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 - Consolidado" sheetId="1" state="visible" r:id="rId1"/>
    <sheet xmlns:r="http://schemas.openxmlformats.org/officeDocument/2006/relationships" name="Administración" sheetId="2" state="visible" r:id="rId2"/>
    <sheet xmlns:r="http://schemas.openxmlformats.org/officeDocument/2006/relationships" name="Historial mensual" sheetId="3" state="visible" r:id="rId3"/>
    <sheet xmlns:r="http://schemas.openxmlformats.org/officeDocument/2006/relationships" name="Cronograma R. Operacional" sheetId="4" state="visible" r:id="rId4"/>
    <sheet xmlns:r="http://schemas.openxmlformats.org/officeDocument/2006/relationships" name="Actividades R. Operacional" sheetId="5" state="visible" r:id="rId5"/>
    <sheet xmlns:r="http://schemas.openxmlformats.org/officeDocument/2006/relationships" name="Cronograma R. Normativo" sheetId="6" state="visible" r:id="rId6"/>
    <sheet xmlns:r="http://schemas.openxmlformats.org/officeDocument/2006/relationships" name="Actividades R. Normativo" sheetId="7" state="visible" r:id="rId7"/>
    <sheet xmlns:r="http://schemas.openxmlformats.org/officeDocument/2006/relationships" name="Cronograma R. Financiero" sheetId="8" state="visible" r:id="rId8"/>
    <sheet xmlns:r="http://schemas.openxmlformats.org/officeDocument/2006/relationships" name="Actividades R. Financiero" sheetId="9" state="visible" r:id="rId9"/>
    <sheet xmlns:r="http://schemas.openxmlformats.org/officeDocument/2006/relationships" name="Cronograma Asistente Técnico" sheetId="10" state="visible" r:id="rId10"/>
    <sheet xmlns:r="http://schemas.openxmlformats.org/officeDocument/2006/relationships" name="Actividades Asistente Técnico" sheetId="11" state="visible" r:id="rId11"/>
    <sheet xmlns:r="http://schemas.openxmlformats.org/officeDocument/2006/relationships" name="Instrucciones" sheetId="12" state="visible" r:id="rId12"/>
    <sheet xmlns:r="http://schemas.openxmlformats.org/officeDocument/2006/relationships" name="Configuración" sheetId="13" state="visible" r:id="rId13"/>
    <sheet xmlns:r="http://schemas.openxmlformats.org/officeDocument/2006/relationships" name="Calculos" sheetId="14" state="hidden" r:id="rId14"/>
  </sheets>
  <definedNames>
    <definedName name="MesEntrada">'Configuración'!$C$4</definedName>
    <definedName name="InicioCiclo">'Configuración'!$C$5</definedName>
    <definedName name="FechaRef">'Configuración'!$C$6</definedName>
    <definedName name="SemanaActual">'Configuración'!$C$7</definedName>
    <definedName name="SemanaManual">'Configuración'!$C$8</definedName>
    <definedName name="DiasAlerta">'Configuración'!$C$9</definedName>
    <definedName name="ObsObligatoria">'Configuración'!$C$10</definedName>
    <definedName name="MetaFinal">'Configuración'!$C$11</definedName>
    <definedName name="HistInicio">'Configuración'!$C$12</definedName>
    <definedName name="PlanRef">'Configuración'!$C$15:$C$18</definedName>
    <definedName name="ListaPuestos">'Configuración'!$B$22:$B$25</definedName>
    <definedName name="ListaEstados">'Configuración'!$B$28:$B$30</definedName>
    <definedName name="ListaSemanas">'Configuración'!$B$33:$B$36</definedName>
    <definedName name="ListaSiNo">'Configuración'!$B$39:$B$40</definedName>
    <definedName name="rFLim_RO">'Cronograma R. Operacional'!$AN$5:$AN$1000</definedName>
    <definedName name="rIni_RO">'Cronograma R. Operacional'!$E$5:$E$1000</definedName>
    <definedName name="rLim_RO">'Cronograma R. Operacional'!$F$5:$F$1000</definedName>
    <definedName name="rDname_RO">'Cronograma R. Operacional'!$AK$5:$AK$1000</definedName>
    <definedName name="rPeso_RO">'Cronograma R. Operacional'!$AG$5:$AG$1000</definedName>
    <definedName name="rPesoEscrito_RO">'Cronograma R. Operacional'!$H$5:$H$1000</definedName>
    <definedName name="rS1_RO">'Cronograma R. Operacional'!$I$5:$I$1000</definedName>
    <definedName name="rS2_RO">'Cronograma R. Operacional'!$J$5:$J$1000</definedName>
    <definedName name="rS3_RO">'Cronograma R. Operacional'!$K$5:$K$1000</definedName>
    <definedName name="rS4_RO">'Cronograma R. Operacional'!$L$5:$L$1000</definedName>
    <definedName name="rAvance_RO">'Cronograma R. Operacional'!$M$5:$M$1000</definedName>
    <definedName name="rEstado_RO">'Cronograma R. Operacional'!$N$5:$N$1000</definedName>
    <definedName name="rAlerta_RO">'Cronograma R. Operacional'!$O$5:$O$1000</definedName>
    <definedName name="rValid_RO">'Cronograma R. Operacional'!$R$5:$R$1000</definedName>
    <definedName name="rMes_RO">'Cronograma R. Operacional'!$S$5:$S$1000</definedName>
    <definedName name="rOrden_RO">'Cronograma R. Operacional'!$T$5:$T$1000</definedName>
    <definedName name="rTipo_RO">'Cronograma R. Operacional'!$V$5:$V$1000</definedName>
    <definedName name="rEf1_RO">'Cronograma R. Operacional'!$AC$5:$AC$1000</definedName>
    <definedName name="rEf2_RO">'Cronograma R. Operacional'!$AD$5:$AD$1000</definedName>
    <definedName name="rEf3_RO">'Cronograma R. Operacional'!$AE$5:$AE$1000</definedName>
    <definedName name="rEf4_RO">'Cronograma R. Operacional'!$AF$5:$AF$1000</definedName>
    <definedName name="rAct_RO">'Cronograma R. Operacional'!$C$5:$C$1000</definedName>
    <definedName name="rDeleg_RO">'Cronograma R. Operacional'!$D$5:$D$1000</definedName>
    <definedName name="rDkey_RO">'Cronograma R. Operacional'!$AJ$5:$AJ$1000</definedName>
    <definedName name="rFLim_RN">'Cronograma R. Normativo'!$AN$5:$AN$1000</definedName>
    <definedName name="rIni_RN">'Cronograma R. Normativo'!$E$5:$E$1000</definedName>
    <definedName name="rLim_RN">'Cronograma R. Normativo'!$F$5:$F$1000</definedName>
    <definedName name="rDname_RN">'Cronograma R. Normativo'!$AK$5:$AK$1000</definedName>
    <definedName name="rPeso_RN">'Cronograma R. Normativo'!$AG$5:$AG$1000</definedName>
    <definedName name="rPesoEscrito_RN">'Cronograma R. Normativo'!$H$5:$H$1000</definedName>
    <definedName name="rS1_RN">'Cronograma R. Normativo'!$I$5:$I$1000</definedName>
    <definedName name="rS2_RN">'Cronograma R. Normativo'!$J$5:$J$1000</definedName>
    <definedName name="rS3_RN">'Cronograma R. Normativo'!$K$5:$K$1000</definedName>
    <definedName name="rS4_RN">'Cronograma R. Normativo'!$L$5:$L$1000</definedName>
    <definedName name="rAvance_RN">'Cronograma R. Normativo'!$M$5:$M$1000</definedName>
    <definedName name="rEstado_RN">'Cronograma R. Normativo'!$N$5:$N$1000</definedName>
    <definedName name="rAlerta_RN">'Cronograma R. Normativo'!$O$5:$O$1000</definedName>
    <definedName name="rValid_RN">'Cronograma R. Normativo'!$R$5:$R$1000</definedName>
    <definedName name="rMes_RN">'Cronograma R. Normativo'!$S$5:$S$1000</definedName>
    <definedName name="rOrden_RN">'Cronograma R. Normativo'!$T$5:$T$1000</definedName>
    <definedName name="rTipo_RN">'Cronograma R. Normativo'!$V$5:$V$1000</definedName>
    <definedName name="rEf1_RN">'Cronograma R. Normativo'!$AC$5:$AC$1000</definedName>
    <definedName name="rEf2_RN">'Cronograma R. Normativo'!$AD$5:$AD$1000</definedName>
    <definedName name="rEf3_RN">'Cronograma R. Normativo'!$AE$5:$AE$1000</definedName>
    <definedName name="rEf4_RN">'Cronograma R. Normativo'!$AF$5:$AF$1000</definedName>
    <definedName name="rAct_RN">'Cronograma R. Normativo'!$C$5:$C$1000</definedName>
    <definedName name="rDeleg_RN">'Cronograma R. Normativo'!$D$5:$D$1000</definedName>
    <definedName name="rDkey_RN">'Cronograma R. Normativo'!$AJ$5:$AJ$1000</definedName>
    <definedName name="rFLim_RF">'Cronograma R. Financiero'!$AN$5:$AN$1000</definedName>
    <definedName name="rIni_RF">'Cronograma R. Financiero'!$E$5:$E$1000</definedName>
    <definedName name="rLim_RF">'Cronograma R. Financiero'!$F$5:$F$1000</definedName>
    <definedName name="rDname_RF">'Cronograma R. Financiero'!$AK$5:$AK$1000</definedName>
    <definedName name="rPeso_RF">'Cronograma R. Financiero'!$AG$5:$AG$1000</definedName>
    <definedName name="rPesoEscrito_RF">'Cronograma R. Financiero'!$H$5:$H$1000</definedName>
    <definedName name="rS1_RF">'Cronograma R. Financiero'!$I$5:$I$1000</definedName>
    <definedName name="rS2_RF">'Cronograma R. Financiero'!$J$5:$J$1000</definedName>
    <definedName name="rS3_RF">'Cronograma R. Financiero'!$K$5:$K$1000</definedName>
    <definedName name="rS4_RF">'Cronograma R. Financiero'!$L$5:$L$1000</definedName>
    <definedName name="rAvance_RF">'Cronograma R. Financiero'!$M$5:$M$1000</definedName>
    <definedName name="rEstado_RF">'Cronograma R. Financiero'!$N$5:$N$1000</definedName>
    <definedName name="rAlerta_RF">'Cronograma R. Financiero'!$O$5:$O$1000</definedName>
    <definedName name="rValid_RF">'Cronograma R. Financiero'!$R$5:$R$1000</definedName>
    <definedName name="rMes_RF">'Cronograma R. Financiero'!$S$5:$S$1000</definedName>
    <definedName name="rOrden_RF">'Cronograma R. Financiero'!$T$5:$T$1000</definedName>
    <definedName name="rTipo_RF">'Cronograma R. Financiero'!$V$5:$V$1000</definedName>
    <definedName name="rEf1_RF">'Cronograma R. Financiero'!$AC$5:$AC$1000</definedName>
    <definedName name="rEf2_RF">'Cronograma R. Financiero'!$AD$5:$AD$1000</definedName>
    <definedName name="rEf3_RF">'Cronograma R. Financiero'!$AE$5:$AE$1000</definedName>
    <definedName name="rEf4_RF">'Cronograma R. Financiero'!$AF$5:$AF$1000</definedName>
    <definedName name="rAct_RF">'Cronograma R. Financiero'!$C$5:$C$1000</definedName>
    <definedName name="rDeleg_RF">'Cronograma R. Financiero'!$D$5:$D$1000</definedName>
    <definedName name="rDkey_RF">'Cronograma R. Financiero'!$AJ$5:$AJ$1000</definedName>
    <definedName name="rFLim_ATR">'Cronograma Asistente Técnico'!$AN$5:$AN$1000</definedName>
    <definedName name="rIni_ATR">'Cronograma Asistente Técnico'!$E$5:$E$1000</definedName>
    <definedName name="rLim_ATR">'Cronograma Asistente Técnico'!$F$5:$F$1000</definedName>
    <definedName name="rDname_ATR">'Cronograma Asistente Técnico'!$AK$5:$AK$1000</definedName>
    <definedName name="rPeso_ATR">'Cronograma Asistente Técnico'!$AG$5:$AG$1000</definedName>
    <definedName name="rPesoEscrito_ATR">'Cronograma Asistente Técnico'!$H$5:$H$1000</definedName>
    <definedName name="rS1_ATR">'Cronograma Asistente Técnico'!$I$5:$I$1000</definedName>
    <definedName name="rS2_ATR">'Cronograma Asistente Técnico'!$J$5:$J$1000</definedName>
    <definedName name="rS3_ATR">'Cronograma Asistente Técnico'!$K$5:$K$1000</definedName>
    <definedName name="rS4_ATR">'Cronograma Asistente Técnico'!$L$5:$L$1000</definedName>
    <definedName name="rAvance_ATR">'Cronograma Asistente Técnico'!$M$5:$M$1000</definedName>
    <definedName name="rEstado_ATR">'Cronograma Asistente Técnico'!$N$5:$N$1000</definedName>
    <definedName name="rAlerta_ATR">'Cronograma Asistente Técnico'!$O$5:$O$1000</definedName>
    <definedName name="rValid_ATR">'Cronograma Asistente Técnico'!$R$5:$R$1000</definedName>
    <definedName name="rMes_ATR">'Cronograma Asistente Técnico'!$S$5:$S$1000</definedName>
    <definedName name="rOrden_ATR">'Cronograma Asistente Técnico'!$T$5:$T$1000</definedName>
    <definedName name="rTipo_ATR">'Cronograma Asistente Técnico'!$V$5:$V$1000</definedName>
    <definedName name="rEf1_ATR">'Cronograma Asistente Técnico'!$AC$5:$AC$1000</definedName>
    <definedName name="rEf2_ATR">'Cronograma Asistente Técnico'!$AD$5:$AD$1000</definedName>
    <definedName name="rEf3_ATR">'Cronograma Asistente Técnico'!$AE$5:$AE$1000</definedName>
    <definedName name="rEf4_ATR">'Cronograma Asistente Técnico'!$AF$5:$AF$1000</definedName>
    <definedName name="rAct_ATR">'Cronograma Asistente Técnico'!$C$5:$C$1000</definedName>
    <definedName name="rDeleg_ATR">'Cronograma Asistente Técnico'!$D$5:$D$1000</definedName>
    <definedName name="rDkey_ATR">'Cronograma Asistente Técnico'!$AJ$5:$AJ$1000</definedName>
    <definedName name="rFLim_ADM">'Administración'!$AN$5:$AN$1000</definedName>
    <definedName name="rIni_ADM">'Administración'!$E$5:$E$1000</definedName>
    <definedName name="rLim_ADM">'Administración'!$F$5:$F$1000</definedName>
    <definedName name="rDname_ADM">'Administración'!$AK$5:$AK$1000</definedName>
    <definedName name="rPeso_ADM">'Administración'!$AG$5:$AG$1000</definedName>
    <definedName name="rPesoEscrito_ADM">'Administración'!$H$5:$H$1000</definedName>
    <definedName name="rS1_ADM">'Administración'!$I$5:$I$1000</definedName>
    <definedName name="rS2_ADM">'Administración'!$J$5:$J$1000</definedName>
    <definedName name="rS3_ADM">'Administración'!$K$5:$K$1000</definedName>
    <definedName name="rS4_ADM">'Administración'!$L$5:$L$1000</definedName>
    <definedName name="rAvance_ADM">'Administración'!$M$5:$M$1000</definedName>
    <definedName name="rEstado_ADM">'Administración'!$N$5:$N$1000</definedName>
    <definedName name="rAlerta_ADM">'Administración'!$O$5:$O$1000</definedName>
    <definedName name="rValid_ADM">'Administración'!$R$5:$R$1000</definedName>
    <definedName name="rMes_ADM">'Administración'!$S$5:$S$1000</definedName>
    <definedName name="rOrden_ADM">'Administración'!$T$5:$T$1000</definedName>
    <definedName name="rTipo_ADM">'Administración'!$V$5:$V$1000</definedName>
    <definedName name="rEf1_ADM">'Administración'!$AC$5:$AC$1000</definedName>
    <definedName name="rEf2_ADM">'Administración'!$AD$5:$AD$1000</definedName>
    <definedName name="rEf3_ADM">'Administración'!$AE$5:$AE$1000</definedName>
    <definedName name="rEf4_ADM">'Administración'!$AF$5:$AF$1000</definedName>
    <definedName name="rAct_ADM">'Administración'!$C$5:$C$1000</definedName>
    <definedName name="rDeleg_ADM">'Administración'!$D$5:$D$1000</definedName>
    <definedName name="rDkey_ADM">'Administración'!$AJ$5:$AJ$1000</definedName>
    <definedName name="hSemana_RO">'Actividades R. Operacional'!$E$5:$E$104</definedName>
    <definedName name="hEstado_RO">'Actividades R. Operacional'!$K$5:$K$104</definedName>
    <definedName name="hTipo_RO">'Actividades R. Operacional'!$O$5:$O$104</definedName>
    <definedName name="hAlertaN_RO">'Actividades R. Operacional'!$Q$5:$Q$104</definedName>
    <definedName name="hN_RO">'Actividades R. Operacional'!$A$5:$A$104</definedName>
    <definedName name="hAct_RO">'Actividades R. Operacional'!$B$5:$B$104</definedName>
    <definedName name="hLim_RO">'Actividades R. Operacional'!$D$5:$D$104</definedName>
    <definedName name="hAlerta_RO">'Actividades R. Operacional'!$L$5:$L$104</definedName>
    <definedName name="hObs_RO">'Actividades R. Operacional'!$M$5:$M$104</definedName>
    <definedName name="hSemana_RN">'Actividades R. Normativo'!$E$5:$E$104</definedName>
    <definedName name="hEstado_RN">'Actividades R. Normativo'!$K$5:$K$104</definedName>
    <definedName name="hTipo_RN">'Actividades R. Normativo'!$O$5:$O$104</definedName>
    <definedName name="hAlertaN_RN">'Actividades R. Normativo'!$Q$5:$Q$104</definedName>
    <definedName name="hN_RN">'Actividades R. Normativo'!$A$5:$A$104</definedName>
    <definedName name="hAct_RN">'Actividades R. Normativo'!$B$5:$B$104</definedName>
    <definedName name="hLim_RN">'Actividades R. Normativo'!$D$5:$D$104</definedName>
    <definedName name="hAlerta_RN">'Actividades R. Normativo'!$L$5:$L$104</definedName>
    <definedName name="hObs_RN">'Actividades R. Normativo'!$M$5:$M$104</definedName>
    <definedName name="hSemana_RF">'Actividades R. Financiero'!$E$5:$E$104</definedName>
    <definedName name="hEstado_RF">'Actividades R. Financiero'!$K$5:$K$104</definedName>
    <definedName name="hTipo_RF">'Actividades R. Financiero'!$O$5:$O$104</definedName>
    <definedName name="hAlertaN_RF">'Actividades R. Financiero'!$Q$5:$Q$104</definedName>
    <definedName name="hN_RF">'Actividades R. Financiero'!$A$5:$A$104</definedName>
    <definedName name="hAct_RF">'Actividades R. Financiero'!$B$5:$B$104</definedName>
    <definedName name="hLim_RF">'Actividades R. Financiero'!$D$5:$D$104</definedName>
    <definedName name="hAlerta_RF">'Actividades R. Financiero'!$L$5:$L$104</definedName>
    <definedName name="hObs_RF">'Actividades R. Financiero'!$M$5:$M$104</definedName>
    <definedName name="hSemana_ATR">'Actividades Asistente Técnico'!$E$5:$E$104</definedName>
    <definedName name="hEstado_ATR">'Actividades Asistente Técnico'!$K$5:$K$104</definedName>
    <definedName name="hTipo_ATR">'Actividades Asistente Técnico'!$O$5:$O$104</definedName>
    <definedName name="hAlertaN_ATR">'Actividades Asistente Técnico'!$Q$5:$Q$104</definedName>
    <definedName name="hN_ATR">'Actividades Asistente Técnico'!$A$5:$A$104</definedName>
    <definedName name="hAct_ATR">'Actividades Asistente Técnico'!$B$5:$B$104</definedName>
    <definedName name="hLim_ATR">'Actividades Asistente Técnico'!$D$5:$D$104</definedName>
    <definedName name="hAlerta_ATR">'Actividades Asistente Técnico'!$L$5:$L$104</definedName>
    <definedName name="hObs_ATR">'Actividades Asistente Técnico'!$M$5:$M$104</definedName>
    <definedName name="ListaDeleg_RO">OFFSET('Calculos'!$B$21,0,0,MAX(1,COUNTIF('Calculos'!$B$21:$B$60,"?*")),1)</definedName>
    <definedName name="ListaDeleg_RN">OFFSET('Calculos'!$C$21,0,0,MAX(1,COUNTIF('Calculos'!$C$21:$C$60,"?*")),1)</definedName>
    <definedName name="ListaDeleg_RF">OFFSET('Calculos'!$D$21,0,0,MAX(1,COUNTIF('Calculos'!$D$21:$D$60,"?*")),1)</definedName>
    <definedName name="ListaDeleg_ATR">OFFSET('Calculos'!$E$21,0,0,MAX(1,COUNTIF('Calculos'!$E$21:$E$60,"?*")),1)</definedName>
    <definedName name="MesCiclo">'Calculos'!$B$15</definedName>
    <definedName name="_xlnm.Print_Titles" localSheetId="0">'Dashboard - Consolidado'!$1:$2</definedName>
    <definedName name="_xlnm.Print_Area" localSheetId="0">'Dashboard - Consolidado'!$A$1:$N$91</definedName>
    <definedName name="_xlnm.Print_Titles" localSheetId="1">'Administración'!$4:$4</definedName>
    <definedName name="_xlnm.Print_Area" localSheetId="1">'Administración'!$A$1:$S$304</definedName>
    <definedName name="_xlnm.Print_Titles" localSheetId="3">'Cronograma R. Operacional'!$4:$4</definedName>
    <definedName name="_xlnm.Print_Area" localSheetId="3">'Cronograma R. Operacional'!$A$1:$S$304</definedName>
    <definedName name="_xlnm.Print_Titles" localSheetId="4">'Actividades R. Operacional'!$4:$4</definedName>
    <definedName name="_xlnm.Print_Area" localSheetId="4">'Actividades R. Operacional'!$A$1:$M$104</definedName>
    <definedName name="_xlnm.Print_Titles" localSheetId="5">'Cronograma R. Normativo'!$4:$4</definedName>
    <definedName name="_xlnm.Print_Area" localSheetId="5">'Cronograma R. Normativo'!$A$1:$S$304</definedName>
    <definedName name="_xlnm.Print_Titles" localSheetId="6">'Actividades R. Normativo'!$4:$4</definedName>
    <definedName name="_xlnm.Print_Area" localSheetId="6">'Actividades R. Normativo'!$A$1:$M$104</definedName>
    <definedName name="_xlnm.Print_Titles" localSheetId="7">'Cronograma R. Financiero'!$4:$4</definedName>
    <definedName name="_xlnm.Print_Area" localSheetId="7">'Cronograma R. Financiero'!$A$1:$S$304</definedName>
    <definedName name="_xlnm.Print_Titles" localSheetId="8">'Actividades R. Financiero'!$4:$4</definedName>
    <definedName name="_xlnm.Print_Area" localSheetId="8">'Actividades R. Financiero'!$A$1:$M$104</definedName>
    <definedName name="_xlnm.Print_Titles" localSheetId="9">'Cronograma Asistente Técnico'!$4:$4</definedName>
    <definedName name="_xlnm.Print_Area" localSheetId="9">'Cronograma Asistente Técnico'!$A$1:$S$304</definedName>
    <definedName name="_xlnm.Print_Titles" localSheetId="10">'Actividades Asistente Técnico'!$4:$4</definedName>
    <definedName name="_xlnm.Print_Area" localSheetId="10">'Actividades Asistente Técnico'!$A$1:$M$104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[$-440A]mmmm yyyy"/>
    <numFmt numFmtId="165" formatCode="dd/mm/yyyy"/>
    <numFmt numFmtId="166" formatCode="&quot;Semana &quot;0"/>
    <numFmt numFmtId="167" formatCode="yyyy-mm-dd"/>
    <numFmt numFmtId="168" formatCode="dd/mm"/>
    <numFmt numFmtId="169" formatCode="0.0%"/>
    <numFmt numFmtId="170" formatCode="0&quot; de 4&quot;"/>
    <numFmt numFmtId="171" formatCode="0%;;&quot;&quot;"/>
    <numFmt numFmtId="172" formatCode="+0%;-0%;0%"/>
  </numFmts>
  <fonts count="2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1A1A1A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b val="1"/>
      <color rgb="001F3864"/>
      <sz val="10"/>
    </font>
    <font>
      <name val="Arial"/>
      <color rgb="001A1A1A"/>
      <sz val="9"/>
    </font>
    <font>
      <name val="Arial"/>
      <b val="1"/>
      <color rgb="002E75B6"/>
      <sz val="10"/>
    </font>
    <font>
      <name val="Arial"/>
      <color rgb="001A1A1A"/>
      <sz val="10"/>
    </font>
    <font>
      <name val="Arial"/>
      <color rgb="001F3864"/>
      <sz val="9"/>
    </font>
    <font>
      <name val="Arial"/>
      <color rgb="001A1A1A"/>
      <sz val="8"/>
    </font>
    <font>
      <name val="Arial"/>
      <b val="1"/>
      <color rgb="001A1A1A"/>
      <sz val="8"/>
    </font>
    <font>
      <name val="Arial"/>
      <i val="1"/>
      <color rgb="001F3864"/>
      <sz val="8"/>
    </font>
    <font>
      <name val="Arial"/>
      <b val="1"/>
      <color rgb="001F3864"/>
      <sz val="9"/>
    </font>
    <font>
      <name val="Arial"/>
      <b val="1"/>
      <color rgb="001A1A1A"/>
      <sz val="9"/>
    </font>
    <font>
      <name val="Arial"/>
      <b val="1"/>
      <color rgb="001F3864"/>
      <sz val="8"/>
    </font>
    <font>
      <name val="Arial"/>
      <b val="1"/>
      <color rgb="00FFFFFF"/>
      <sz val="9"/>
    </font>
    <font>
      <name val="Arial"/>
      <i val="1"/>
      <color rgb="001A1A1A"/>
      <sz val="8"/>
    </font>
    <font>
      <name val="Arial"/>
      <b val="1"/>
      <color rgb="00FFFFFF"/>
      <sz val="16"/>
    </font>
    <font>
      <name val="Arial"/>
      <b val="1"/>
      <color rgb="001F3864"/>
      <sz val="11"/>
    </font>
    <font>
      <name val="Arial"/>
      <b val="1"/>
      <color rgb="001F3864"/>
      <sz val="24"/>
    </font>
    <font>
      <name val="Arial"/>
      <b val="1"/>
      <color rgb="00FFFFFF"/>
      <sz val="12"/>
    </font>
    <font>
      <name val="Arial"/>
      <color rgb="00FFFFFF"/>
      <sz val="9"/>
    </font>
    <font>
      <name val="Arial"/>
      <color rgb="00DDEBF7"/>
      <sz val="9"/>
    </font>
    <font>
      <name val="Arial"/>
      <i val="1"/>
      <color rgb="00404040"/>
      <sz val="9"/>
    </font>
    <font>
      <name val="Arial"/>
      <color rgb="00404040"/>
      <sz val="9"/>
    </font>
    <font>
      <name val="Arial"/>
      <i val="1"/>
      <color rgb="00404040"/>
      <sz val="8"/>
    </font>
    <font>
      <name val="Arial"/>
      <b val="1"/>
      <color rgb="00FFFFFF"/>
      <sz val="11"/>
    </font>
  </fonts>
  <fills count="17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EDEDED"/>
        <bgColor rgb="00EDEDED"/>
      </patternFill>
    </fill>
    <fill>
      <patternFill patternType="solid">
        <fgColor rgb="00EAF3FB"/>
        <bgColor rgb="00EAF3FB"/>
      </patternFill>
    </fill>
    <fill>
      <patternFill patternType="solid">
        <fgColor rgb="00C55A11"/>
        <bgColor rgb="00C55A11"/>
      </patternFill>
    </fill>
    <fill>
      <patternFill patternType="solid">
        <fgColor rgb="00DDEBF7"/>
        <bgColor rgb="00DDEBF7"/>
      </patternFill>
    </fill>
    <fill>
      <patternFill patternType="solid">
        <fgColor rgb="00F3DECF"/>
        <bgColor rgb="00F3DECF"/>
      </patternFill>
    </fill>
    <fill>
      <patternFill patternType="solid">
        <fgColor rgb="007030A0"/>
        <bgColor rgb="007030A0"/>
      </patternFill>
    </fill>
    <fill>
      <patternFill patternType="solid">
        <fgColor rgb="00E2D5EC"/>
        <bgColor rgb="00E2D5EC"/>
      </patternFill>
    </fill>
    <fill>
      <patternFill patternType="solid">
        <fgColor rgb="00548235"/>
        <bgColor rgb="00548235"/>
      </patternFill>
    </fill>
    <fill>
      <patternFill patternType="solid">
        <fgColor rgb="00DCE6D6"/>
        <bgColor rgb="00DCE6D6"/>
      </patternFill>
    </fill>
    <fill>
      <patternFill patternType="solid">
        <fgColor rgb="00D5E3F0"/>
        <bgColor rgb="00D5E3F0"/>
      </patternFill>
    </fill>
    <fill>
      <patternFill patternType="solid">
        <fgColor rgb="00595959"/>
        <bgColor rgb="00595959"/>
      </patternFill>
    </fill>
    <fill>
      <patternFill patternType="solid">
        <fgColor rgb="00DDDDDD"/>
        <bgColor rgb="00DDDDDD"/>
      </patternFill>
    </fill>
    <fill>
      <patternFill patternType="solid">
        <fgColor rgb="00FFFFFF"/>
        <bgColor rgb="00FFFFFF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18" fillId="2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right" vertical="center"/>
    </xf>
    <xf numFmtId="164" fontId="19" fillId="7" borderId="1" applyAlignment="1" pivotButton="0" quotePrefix="0" xfId="0">
      <alignment horizontal="center" vertical="center" wrapText="1"/>
    </xf>
    <xf numFmtId="170" fontId="19" fillId="7" borderId="1" applyAlignment="1" pivotButton="0" quotePrefix="0" xfId="0">
      <alignment horizontal="center" vertical="center" wrapText="1"/>
    </xf>
    <xf numFmtId="165" fontId="19" fillId="7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9" fontId="20" fillId="16" borderId="1" applyAlignment="1" pivotButton="0" quotePrefix="0" xfId="0">
      <alignment horizontal="center" vertical="center" wrapText="1"/>
    </xf>
    <xf numFmtId="0" fontId="20" fillId="16" borderId="1" applyAlignment="1" pivotButton="0" quotePrefix="0" xfId="0">
      <alignment horizontal="center" vertical="center" wrapText="1"/>
    </xf>
    <xf numFmtId="1" fontId="20" fillId="1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170" fontId="20" fillId="16" borderId="1" applyAlignment="1" pivotButton="0" quotePrefix="0" xfId="0">
      <alignment horizontal="center" vertical="center" wrapText="1"/>
    </xf>
    <xf numFmtId="0" fontId="5" fillId="0" borderId="0" pivotButton="0" quotePrefix="0" xfId="0"/>
    <xf numFmtId="9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19" fillId="0" borderId="1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6" borderId="1" applyAlignment="1" pivotButton="0" quotePrefix="0" xfId="0">
      <alignment horizontal="left" vertical="center" wrapText="1"/>
    </xf>
    <xf numFmtId="9" fontId="8" fillId="0" borderId="1" applyAlignment="1" pivotButton="0" quotePrefix="0" xfId="0">
      <alignment horizontal="center" vertical="center" wrapText="1"/>
    </xf>
    <xf numFmtId="171" fontId="2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left" vertical="center" wrapText="1"/>
    </xf>
    <xf numFmtId="0" fontId="3" fillId="11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9" fontId="5" fillId="7" borderId="1" applyAlignment="1" pivotButton="0" quotePrefix="0" xfId="0">
      <alignment horizontal="center" vertical="center" wrapText="1"/>
    </xf>
    <xf numFmtId="171" fontId="23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172" fontId="8" fillId="0" borderId="1" applyAlignment="1" pivotButton="0" quotePrefix="0" xfId="0">
      <alignment horizontal="center" vertical="center" wrapText="1"/>
    </xf>
    <xf numFmtId="172" fontId="5" fillId="7" borderId="1" applyAlignment="1" pivotButton="0" quotePrefix="0" xfId="0">
      <alignment horizontal="center" vertical="center" wrapText="1"/>
    </xf>
    <xf numFmtId="0" fontId="24" fillId="16" borderId="1" applyAlignment="1" pivotButton="0" quotePrefix="0" xfId="0">
      <alignment horizontal="left" vertical="center" wrapText="1"/>
    </xf>
    <xf numFmtId="9" fontId="24" fillId="16" borderId="1" applyAlignment="1" pivotButton="0" quotePrefix="0" xfId="0">
      <alignment horizontal="center" vertical="center" wrapText="1"/>
    </xf>
    <xf numFmtId="172" fontId="5" fillId="16" borderId="1" applyAlignment="1" pivotButton="0" quotePrefix="0" xfId="0">
      <alignment horizontal="center" vertical="center" wrapText="1"/>
    </xf>
    <xf numFmtId="0" fontId="5" fillId="16" borderId="1" applyAlignment="1" pivotButton="0" quotePrefix="0" xfId="0">
      <alignment horizontal="center" vertical="center" wrapText="1"/>
    </xf>
    <xf numFmtId="0" fontId="25" fillId="16" borderId="1" applyAlignment="1" pivotButton="0" quotePrefix="0" xfId="0">
      <alignment horizontal="left" vertical="center" wrapText="1"/>
    </xf>
    <xf numFmtId="9" fontId="25" fillId="16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1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 wrapText="1"/>
    </xf>
    <xf numFmtId="0" fontId="1" fillId="14" borderId="0" applyAlignment="1" pivotButton="0" quotePrefix="0" xfId="0">
      <alignment horizontal="left" vertical="center" wrapText="1"/>
    </xf>
    <xf numFmtId="0" fontId="9" fillId="7" borderId="0" applyAlignment="1" pivotButton="0" quotePrefix="0" xfId="0">
      <alignment horizontal="left" vertical="center" wrapText="1"/>
    </xf>
    <xf numFmtId="0" fontId="10" fillId="4" borderId="1" pivotButton="0" quotePrefix="0" xfId="0"/>
    <xf numFmtId="0" fontId="10" fillId="5" borderId="1" pivotButton="0" quotePrefix="0" xfId="0"/>
    <xf numFmtId="0" fontId="11" fillId="15" borderId="1" pivotButton="0" quotePrefix="0" xfId="0"/>
    <xf numFmtId="0" fontId="13" fillId="0" borderId="0" applyAlignment="1" pivotButton="0" quotePrefix="0" xfId="0">
      <alignment horizontal="right" vertical="center"/>
    </xf>
    <xf numFmtId="0" fontId="13" fillId="7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1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4" borderId="1" applyAlignment="1" applyProtection="1" pivotButton="0" quotePrefix="0" xfId="0">
      <alignment horizontal="center" vertical="center" wrapText="1"/>
      <protection locked="0" hidden="0"/>
    </xf>
    <xf numFmtId="0" fontId="8" fillId="4" borderId="1" applyAlignment="1" applyProtection="1" pivotButton="0" quotePrefix="0" xfId="0">
      <alignment horizontal="left" vertical="center" wrapText="1"/>
      <protection locked="0" hidden="0"/>
    </xf>
    <xf numFmtId="165" fontId="8" fillId="4" borderId="1" applyAlignment="1" applyProtection="1" pivotButton="0" quotePrefix="0" xfId="0">
      <alignment horizontal="center" vertical="center" wrapText="1"/>
      <protection locked="0" hidden="0"/>
    </xf>
    <xf numFmtId="9" fontId="8" fillId="4" borderId="1" applyAlignment="1" applyProtection="1" pivotButton="0" quotePrefix="0" xfId="0">
      <alignment horizontal="center" vertical="center" wrapText="1"/>
      <protection locked="0" hidden="0"/>
    </xf>
    <xf numFmtId="9" fontId="8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164" fontId="8" fillId="5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wrapText="1"/>
    </xf>
    <xf numFmtId="0" fontId="16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left" vertical="center" wrapText="1"/>
    </xf>
    <xf numFmtId="0" fontId="11" fillId="8" borderId="1" pivotButton="0" quotePrefix="0" xfId="0"/>
    <xf numFmtId="0" fontId="13" fillId="7" borderId="0" applyAlignment="1" pivotButton="0" quotePrefix="0" xfId="0">
      <alignment horizontal="left" vertical="center" wrapText="1"/>
    </xf>
    <xf numFmtId="0" fontId="13" fillId="0" borderId="0" pivotButton="0" quotePrefix="0" xfId="0"/>
    <xf numFmtId="164" fontId="5" fillId="7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right" vertical="center"/>
    </xf>
    <xf numFmtId="168" fontId="15" fillId="7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left" vertical="center" wrapText="1"/>
    </xf>
    <xf numFmtId="0" fontId="11" fillId="10" borderId="1" pivotButton="0" quotePrefix="0" xfId="0"/>
    <xf numFmtId="0" fontId="1" fillId="11" borderId="0" applyAlignment="1" pivotButton="0" quotePrefix="0" xfId="0">
      <alignment horizontal="left" vertical="center" wrapText="1"/>
    </xf>
    <xf numFmtId="0" fontId="11" fillId="12" borderId="1" pivotButton="0" quotePrefix="0" xfId="0"/>
    <xf numFmtId="0" fontId="1" fillId="3" borderId="0" applyAlignment="1" pivotButton="0" quotePrefix="0" xfId="0">
      <alignment horizontal="left" vertical="center" wrapText="1"/>
    </xf>
    <xf numFmtId="0" fontId="11" fillId="13" borderId="1" pivotButton="0" quotePrefix="0" xfId="0"/>
    <xf numFmtId="0" fontId="27" fillId="3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top" wrapText="1"/>
    </xf>
    <xf numFmtId="0" fontId="2" fillId="0" borderId="0" pivotButton="0" quotePrefix="0" xfId="0"/>
    <xf numFmtId="0" fontId="4" fillId="0" borderId="1" applyAlignment="1" pivotButton="0" quotePrefix="0" xfId="0">
      <alignment horizontal="left" vertical="center" wrapText="1"/>
    </xf>
    <xf numFmtId="164" fontId="5" fillId="4" borderId="1" applyAlignment="1" applyProtection="1" pivotButton="0" quotePrefix="0" xfId="0">
      <alignment horizontal="center" vertical="center" wrapText="1"/>
      <protection locked="0" hidden="0"/>
    </xf>
    <xf numFmtId="165" fontId="5" fillId="4" borderId="1" applyAlignment="1" applyProtection="1" pivotButton="0" quotePrefix="0" xfId="0">
      <alignment horizontal="center" vertical="center" wrapText="1"/>
      <protection locked="0" hidden="0"/>
    </xf>
    <xf numFmtId="166" fontId="5" fillId="5" borderId="1" applyAlignment="1" pivotButton="0" quotePrefix="0" xfId="0">
      <alignment horizontal="center" vertical="center" wrapText="1"/>
    </xf>
    <xf numFmtId="1" fontId="5" fillId="4" borderId="1" applyAlignment="1" applyProtection="1" pivotButton="0" quotePrefix="0" xfId="0">
      <alignment horizontal="center" vertical="center" wrapText="1"/>
      <protection locked="0" hidden="0"/>
    </xf>
    <xf numFmtId="49" fontId="5" fillId="4" borderId="1" applyAlignment="1" applyProtection="1" pivotButton="0" quotePrefix="0" xfId="0">
      <alignment horizontal="center" vertical="center" wrapText="1"/>
      <protection locked="0" hidden="0"/>
    </xf>
    <xf numFmtId="9" fontId="5" fillId="5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0" borderId="1" pivotButton="0" quotePrefix="0" xfId="0"/>
    <xf numFmtId="9" fontId="5" fillId="4" borderId="1" applyAlignment="1" applyProtection="1" pivotButton="0" quotePrefix="0" xfId="0">
      <alignment horizontal="center" vertical="center" wrapText="1"/>
      <protection locked="0" hidden="0"/>
    </xf>
    <xf numFmtId="0" fontId="6" fillId="0" borderId="1" pivotButton="0" quotePrefix="0" xfId="0"/>
    <xf numFmtId="0" fontId="3" fillId="2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8" fillId="0" borderId="1" pivotButton="0" quotePrefix="0" xfId="0"/>
    <xf numFmtId="0" fontId="6" fillId="0" borderId="0" applyAlignment="1" pivotButton="0" quotePrefix="0" xfId="0">
      <alignment horizontal="left" vertical="top" wrapText="1"/>
    </xf>
    <xf numFmtId="0" fontId="14" fillId="0" borderId="0" pivotButton="0" quotePrefix="0" xfId="0"/>
    <xf numFmtId="0" fontId="16" fillId="2" borderId="0" applyAlignment="1" pivotButton="0" quotePrefix="0" xfId="0">
      <alignment horizontal="center" vertical="center" wrapText="1"/>
    </xf>
    <xf numFmtId="169" fontId="0" fillId="0" borderId="0" pivotButton="0" quotePrefix="0" xfId="0"/>
    <xf numFmtId="1" fontId="0" fillId="0" borderId="0" pivotButton="0" quotePrefix="0" xfId="0"/>
    <xf numFmtId="0" fontId="17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6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7F6000"/>
      </font>
      <fill>
        <patternFill patternType="solid">
          <fgColor rgb="00FFE699"/>
          <bgColor rgb="00FFE699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FFFFFF"/>
      </font>
      <fill>
        <patternFill patternType="solid">
          <fgColor rgb="001E7B34"/>
          <bgColor rgb="001E7B34"/>
        </patternFill>
      </fill>
    </dxf>
    <dxf>
      <font>
        <b val="1"/>
        <color rgb="001F3864"/>
      </font>
      <fill>
        <patternFill patternType="solid">
          <fgColor rgb="00BDD7EE"/>
          <bgColor rgb="00BDD7EE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833C0B"/>
      </font>
      <fill>
        <patternFill patternType="solid">
          <fgColor rgb="00F8CBAD"/>
          <bgColor rgb="00F8CBAD"/>
        </patternFill>
      </fill>
    </dxf>
    <dxf>
      <font>
        <color rgb="007F6000"/>
      </font>
      <fill>
        <patternFill patternType="solid">
          <fgColor rgb="00FFE699"/>
          <bgColor rgb="00FFE699"/>
        </patternFill>
      </fill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ont>
        <b val="1"/>
        <color rgb="003F2F00"/>
      </font>
      <fill>
        <patternFill patternType="solid">
          <fgColor rgb="00FFC000"/>
          <bgColor rgb="00FFC000"/>
        </patternFill>
      </fill>
    </dxf>
    <dxf>
      <font>
        <b val="1"/>
        <color rgb="007F6000"/>
      </font>
      <fill>
        <patternFill patternType="solid">
          <fgColor rgb="00FFF2CC"/>
          <bgColor rgb="00FFF2CC"/>
        </patternFill>
      </fill>
    </dxf>
    <dxf>
      <font>
        <color rgb="00404040"/>
      </font>
      <numFmt numFmtId="200" formatCode="&quot;      ↳  &quot;@"/>
    </dxf>
    <dxf>
      <font>
        <b val="1"/>
      </font>
      <fill>
        <patternFill patternType="solid">
          <fgColor rgb="00DDDDDD"/>
          <bgColor rgb="00DDDDDD"/>
        </patternFill>
      </fill>
      <border>
        <top style="medium">
          <color rgb="00595959"/>
        </top>
      </border>
    </dxf>
    <dxf>
      <font>
        <color rgb="00375623"/>
      </font>
      <fill>
        <patternFill patternType="solid">
          <fgColor rgb="00E2EFDA"/>
          <bgColor rgb="00E2EFDA"/>
        </patternFill>
      </fill>
    </dxf>
    <dxf>
      <fill>
        <patternFill patternType="solid">
          <fgColor rgb="00EAF3FB"/>
          <bgColor rgb="00EAF3FB"/>
        </patternFill>
      </fill>
    </dxf>
    <dxf>
      <font>
        <b val="1"/>
        <color rgb="00006100"/>
      </font>
    </dxf>
    <dxf>
      <font>
        <color rgb="001F3864"/>
      </font>
      <fill>
        <patternFill patternType="solid">
          <fgColor rgb="00BDD7EE"/>
          <bgColor rgb="00BDD7EE"/>
        </patternFill>
      </fill>
    </dxf>
    <dxf>
      <font>
        <i val="1"/>
        <color rgb="007F7F7F"/>
      </font>
    </dxf>
    <dxf>
      <font>
        <b val="1"/>
      </font>
      <fill>
        <patternFill patternType="solid">
          <fgColor rgb="00F3DECF"/>
          <bgColor rgb="00F3DECF"/>
        </patternFill>
      </fill>
      <border>
        <top style="medium">
          <color rgb="00C55A11"/>
        </top>
      </border>
    </dxf>
    <dxf>
      <font>
        <b val="1"/>
        <color rgb="00FFFFFF"/>
      </font>
      <fill>
        <patternFill patternType="solid">
          <fgColor rgb="00C55A11"/>
          <bgColor rgb="00C55A11"/>
        </patternFill>
      </fill>
    </dxf>
    <dxf>
      <font>
        <b val="1"/>
      </font>
      <fill>
        <patternFill patternType="solid">
          <fgColor rgb="00E2D5EC"/>
          <bgColor rgb="00E2D5EC"/>
        </patternFill>
      </fill>
      <border>
        <top style="medium">
          <color rgb="007030A0"/>
        </top>
      </border>
    </dxf>
    <dxf>
      <font>
        <b val="1"/>
        <color rgb="00FFFFFF"/>
      </font>
      <fill>
        <patternFill patternType="solid">
          <fgColor rgb="007030A0"/>
          <bgColor rgb="007030A0"/>
        </patternFill>
      </fill>
    </dxf>
    <dxf>
      <font>
        <b val="1"/>
      </font>
      <fill>
        <patternFill patternType="solid">
          <fgColor rgb="00DCE6D6"/>
          <bgColor rgb="00DCE6D6"/>
        </patternFill>
      </fill>
      <border>
        <top style="medium">
          <color rgb="00548235"/>
        </top>
      </border>
    </dxf>
    <dxf>
      <font>
        <b val="1"/>
        <color rgb="00FFFFFF"/>
      </font>
      <fill>
        <patternFill patternType="solid">
          <fgColor rgb="00548235"/>
          <bgColor rgb="00548235"/>
        </patternFill>
      </fill>
    </dxf>
    <dxf>
      <font>
        <b val="1"/>
      </font>
      <fill>
        <patternFill patternType="solid">
          <fgColor rgb="00D5E3F0"/>
          <bgColor rgb="00D5E3F0"/>
        </patternFill>
      </fill>
      <border>
        <top style="medium">
          <color rgb="002E75B6"/>
        </top>
      </border>
    </dxf>
    <dxf>
      <font>
        <b val="1"/>
        <color rgb="00FFFFFF"/>
      </font>
      <fill>
        <patternFill patternType="solid">
          <fgColor rgb="002E75B6"/>
          <bgColor rgb="002E75B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ponderado de cada puesto en el mes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solidFill>
                  <a:srgbClr val="7030A0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solidFill>
                  <a:srgbClr val="2E75B6"/>
                </a:solidFill>
                <a:prstDash val="solid"/>
              </a:ln>
            </spPr>
          </dPt>
          <cat>
            <numRef>
              <f>'Dashboard - Consolidado'!$P$16:$P$19</f>
            </numRef>
          </cat>
          <val>
            <numRef>
              <f>'Dashboard - Consolidado'!$D$16:$D$19</f>
            </numRef>
          </val>
        </ser>
        <dLbls>
          <numFmt formatCode="0%"/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  <majorUnit val="0.25"/>
      </valAx>
    </plotArea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acumulado por semana de cada puesto vs plan de referencia</a:t>
            </a:r>
          </a:p>
        </rich>
      </tx>
    </title>
    <plotArea>
      <barChart>
        <barDir val="col"/>
        <grouping val="clustered"/>
        <ser>
          <idx val="0"/>
          <order val="0"/>
          <tx>
            <v>R. Operacional</v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cat>
            <numRef>
              <f>'Dashboard - Consolidado'!$C$24:$F$24</f>
            </numRef>
          </cat>
          <val>
            <numRef>
              <f>'Dashboard - Consolidado'!$C$25:$F$25</f>
            </numRef>
          </val>
        </ser>
        <ser>
          <idx val="1"/>
          <order val="1"/>
          <tx>
            <v>R. Normativo</v>
          </tx>
          <spPr>
            <a:solidFill xmlns:a="http://schemas.openxmlformats.org/drawingml/2006/main">
              <a:srgbClr val="7030A0"/>
            </a:solidFill>
            <a:ln xmlns:a="http://schemas.openxmlformats.org/drawingml/2006/main">
              <a:solidFill>
                <a:srgbClr val="7030A0"/>
              </a:solidFill>
              <a:prstDash val="solid"/>
            </a:ln>
          </spPr>
          <cat>
            <numRef>
              <f>'Dashboard - Consolidado'!$C$24:$F$24</f>
            </numRef>
          </cat>
          <val>
            <numRef>
              <f>'Dashboard - Consolidado'!$C$26:$F$26</f>
            </numRef>
          </val>
        </ser>
        <ser>
          <idx val="2"/>
          <order val="2"/>
          <tx>
            <v>R. Financiero</v>
          </tx>
          <spPr>
            <a:solidFill xmlns:a="http://schemas.openxmlformats.org/drawingml/2006/main">
              <a:srgbClr val="548235"/>
            </a:solidFill>
            <a:ln xmlns:a="http://schemas.openxmlformats.org/drawingml/2006/main">
              <a:solidFill>
                <a:srgbClr val="548235"/>
              </a:solidFill>
              <a:prstDash val="solid"/>
            </a:ln>
          </spPr>
          <cat>
            <numRef>
              <f>'Dashboard - Consolidado'!$C$24:$F$24</f>
            </numRef>
          </cat>
          <val>
            <numRef>
              <f>'Dashboard - Consolidado'!$C$27:$F$27</f>
            </numRef>
          </val>
        </ser>
        <ser>
          <idx val="3"/>
          <order val="3"/>
          <tx>
            <v>Asistente Técnico</v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solidFill>
                <a:srgbClr val="2E75B6"/>
              </a:solidFill>
              <a:prstDash val="solid"/>
            </a:ln>
          </spPr>
          <cat>
            <numRef>
              <f>'Dashboard - Consolidado'!$C$24:$F$24</f>
            </numRef>
          </cat>
          <val>
            <numRef>
              <f>'Dashboard - Consolidado'!$C$28:$F$28</f>
            </numRef>
          </val>
        </ser>
        <gapWidth val="80"/>
        <overlap val="-10"/>
        <axId val="10"/>
        <axId val="100"/>
      </barChart>
      <lineChart>
        <grouping val="standard"/>
        <ser>
          <idx val="4"/>
          <order val="4"/>
          <tx>
            <v>Plan de referencia</v>
          </tx>
          <spPr>
            <a:ln xmlns:a="http://schemas.openxmlformats.org/drawingml/2006/main" w="22000">
              <a:solidFill>
                <a:srgbClr val="7F7F7F"/>
              </a:solidFill>
              <a:prstDash val="dash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val>
            <numRef>
              <f>'Dashboard - Consolidado'!$C$30:$F$30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  <majorUnit val="0.25"/>
      </valAx>
    </plotArea>
    <legend>
      <legendPos val="b"/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por puesto – últimos 6 meses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'Historial mensual'!N5</f>
            </strRef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cat>
            <numRef>
              <f>'Historial mensual'!$M$6:$M$11</f>
            </numRef>
          </cat>
          <val>
            <numRef>
              <f>'Historial mensual'!$N$6:$N$11</f>
            </numRef>
          </val>
        </ser>
        <ser>
          <idx val="1"/>
          <order val="1"/>
          <tx>
            <strRef>
              <f>'Historial mensual'!O5</f>
            </strRef>
          </tx>
          <spPr>
            <a:solidFill xmlns:a="http://schemas.openxmlformats.org/drawingml/2006/main">
              <a:srgbClr val="7030A0"/>
            </a:solidFill>
            <a:ln xmlns:a="http://schemas.openxmlformats.org/drawingml/2006/main">
              <a:solidFill>
                <a:srgbClr val="7030A0"/>
              </a:solidFill>
              <a:prstDash val="solid"/>
            </a:ln>
          </spPr>
          <cat>
            <numRef>
              <f>'Historial mensual'!$M$6:$M$11</f>
            </numRef>
          </cat>
          <val>
            <numRef>
              <f>'Historial mensual'!$O$6:$O$11</f>
            </numRef>
          </val>
        </ser>
        <ser>
          <idx val="2"/>
          <order val="2"/>
          <tx>
            <strRef>
              <f>'Historial mensual'!P5</f>
            </strRef>
          </tx>
          <spPr>
            <a:solidFill xmlns:a="http://schemas.openxmlformats.org/drawingml/2006/main">
              <a:srgbClr val="548235"/>
            </a:solidFill>
            <a:ln xmlns:a="http://schemas.openxmlformats.org/drawingml/2006/main">
              <a:solidFill>
                <a:srgbClr val="548235"/>
              </a:solidFill>
              <a:prstDash val="solid"/>
            </a:ln>
          </spPr>
          <cat>
            <numRef>
              <f>'Historial mensual'!$M$6:$M$11</f>
            </numRef>
          </cat>
          <val>
            <numRef>
              <f>'Historial mensual'!$P$6:$P$11</f>
            </numRef>
          </val>
        </ser>
        <ser>
          <idx val="3"/>
          <order val="3"/>
          <tx>
            <strRef>
              <f>'Historial mensual'!Q5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solidFill>
                <a:srgbClr val="2E75B6"/>
              </a:solidFill>
              <a:prstDash val="solid"/>
            </a:ln>
          </spPr>
          <cat>
            <numRef>
              <f>'Historial mensual'!$M$6:$M$11</f>
            </numRef>
          </cat>
          <val>
            <numRef>
              <f>'Historial mensual'!$Q$6:$Q$11</f>
            </numRef>
          </val>
        </ser>
        <gapWidth val="12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  <majorUnit val="0.25"/>
      </valAx>
    </plotArea>
    <legend>
      <legendPos val="b"/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34</row>
      <rowOff>0</rowOff>
    </from>
    <ext cx="111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50</row>
      <rowOff>0</rowOff>
    </from>
    <ext cx="111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30</row>
      <rowOff>0</rowOff>
    </from>
    <ext cx="93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Act_ADM" displayName="tblAct_ADM" ref="A4:AN304" headerRowCount="1">
  <autoFilter ref="A4:AN304"/>
  <tableColumns count="40">
    <tableColumn id="1" name="N°">
      <calculatedColumnFormula>IF(NOT((COUNTA(tblAct_ADM[[#This Row],[Tipo]:[Delegar a]])+COUNTA(tblAct_ADM[[#This Row],[Fecha de cumplimiento]:[Avance Semana 4 (%)]])+COUNTA(tblAct_ADM[[#This Row],[Observaciones]]))&gt;0),"",IF(tblAct_ADM[[#This Row],[Tipo (aux)]]="Macro",COUNTIFS(INDEX(tblAct_ADM[Tipo (aux)],1):tblAct_ADM[[#This Row],[Tipo (aux)]],"Macro",INDEX(tblAct_ADM[Mes],1):tblAct_ADM[[#This Row],[Mes]],tblAct_ADM[[#This Row],[Mes]]),IF(N(tblAct_ADM[[#This Row],[Grupo (aux)]])=0,"?",COUNTIFS(INDEX($V$5:$V$1000,1):INDEX($V$5:$V$1000,tblAct_ADM[[#This Row],[Grupo (aux)]]-4),"Macro",INDEX($S$5:$S$1000,1):INDEX($S$5:$S$1000,tblAct_ADM[[#This Row],[Grupo (aux)]]-4),INDEX($S$5:$S$1000,tblAct_ADM[[#This Row],[Grupo (aux)]]-4))&amp;"."&amp;COUNTIFS(INDEX(tblAct_ADM[Grupo (aux)],1):tblAct_ADM[[#This Row],[Grupo (aux)]],tblAct_ADM[[#This Row],[Grupo (aux)]],INDEX(tblAct_ADM[Tipo (aux)],1):tblAct_ADM[[#This Row],[Tipo (aux)]],"Sub"))))</calculatedColumnFormula>
    </tableColumn>
    <tableColumn id="2" name="Tipo"/>
    <tableColumn id="3" name="Actividad"/>
    <tableColumn id="4" name="Delegar a"/>
    <tableColumn id="5" name="Fecha de inicio"/>
    <tableColumn id="6" name="Fecha límite"/>
    <tableColumn id="7" name="Fecha de cumplimiento"/>
    <tableColumn id="8" name="Peso (%)"/>
    <tableColumn id="9" name="Avance Semana 1 (%)"/>
    <tableColumn id="10" name="Avance Semana 2 (%)"/>
    <tableColumn id="11" name="Avance Semana 3 (%)"/>
    <tableColumn id="12" name="Avance Semana 4 (%)"/>
    <tableColumn id="13" name="% de Avance Total Actual">
      <calculatedColumnFormula>IF(NOT((COUNTA(tblAct_ADM[[#This Row],[Tipo]:[Delegar a]])+COUNTA(tblAct_ADM[[#This Row],[Fecha de cumplimiento]:[Avance Semana 4 (%)]])+COUNTA(tblAct_ADM[[#This Row],[Observaciones]]))&gt;0),"",IF(AND(tblAct_ADM[[#This Row],[Delegar a]]&lt;&gt;"",tblAct_ADM[[#This Row],[Tipo (aux)]]="Macro"),IF(N(tblAct_ADM[[#This Row],[Fila en el puesto (aux)]])&gt;0,N(CHOOSE(MATCH(tblAct_ADM[[#This Row],[Delegar a]],ListaPuestos,0),INDEX('Cronograma R. Operacional'!$M$5:$M$1000,tblAct_ADM[[#This Row],[Fila en el puesto (aux)]]),INDEX('Cronograma R. Normativo'!$M$5:$M$1000,tblAct_ADM[[#This Row],[Fila en el puesto (aux)]]),INDEX('Cronograma R. Financiero'!$M$5:$M$1000,tblAct_ADM[[#This Row],[Fila en el puesto (aux)]]),INDEX('Cronograma Asistente Técnico'!$M$5:$M$1000,tblAct_ADM[[#This Row],[Fila en el puesto (aux)]]))),0),IF(ISNUMBER(tblAct_ADM[[#This Row],[Fecha de cumplimiento]]),1,IF(N(tblAct_ADM[[#This Row],[N subactividades (aux)]])&gt;0,AVERAGEIFS($X$5:$X$1000,$U$5:$U$1000,ROW(),$V$5:$V$1000,"Sub"),tblAct_ADM[[#This Row],[Avance propio (aux)]]))))</calculatedColumnFormula>
    </tableColumn>
    <tableColumn id="14" name="Estado">
      <calculatedColumnFormula>IF(tblAct_ADM[[#This Row],[% de Avance Total Actual]]="","",IF(tblAct_ADM[[#This Row],[% de Avance Total Actual]]&gt;=1,"Completado",IF(tblAct_ADM[[#This Row],[% de Avance Total Actual]]&gt;0,"En curso","Pendiente")))</calculatedColumnFormula>
    </tableColumn>
    <tableColumn id="15" name="Alerta de plazo">
      <calculatedColumnFormula>IF(NOT((COUNTA(tblAct_ADM[[#This Row],[Tipo]:[Delegar a]])+COUNTA(tblAct_ADM[[#This Row],[Fecha de cumplimiento]:[Avance Semana 4 (%)]])+COUNTA(tblAct_ADM[[#This Row],[Observaciones]]))&gt;0),"",IF(AND(AND(tblAct_ADM[[#This Row],[Delegar a]]&lt;&gt;"",tblAct_ADM[[#This Row],[Tipo (aux)]]="Macro"),N(tblAct_ADM[[#This Row],[Fila en el puesto (aux)]])&gt;0),CHOOSE(MATCH(tblAct_ADM[[#This Row],[Delegar a]],ListaPuestos,0),INDEX('Cronograma R. Operacional'!$O$5:$O$1000,tblAct_ADM[[#This Row],[Fila en el puesto (aux)]]),INDEX('Cronograma R. Normativo'!$O$5:$O$1000,tblAct_ADM[[#This Row],[Fila en el puesto (aux)]]),INDEX('Cronograma R. Financiero'!$O$5:$O$1000,tblAct_ADM[[#This Row],[Fila en el puesto (aux)]]),INDEX('Cronograma Asistente Técnico'!$O$5:$O$1000,tblAct_ADM[[#This Row],[Fila en el puesto (aux)]]))&amp;"",IF(ISNUMBER(tblAct_ADM[[#This Row],[Fecha de cumplimiento]]),IF(AND(ISNUMBER(tblAct_ADM[[#This Row],[Límite efectivo (aux)]]),tblAct_ADM[[#This Row],[Fecha de cumplimiento]]&gt;tblAct_ADM[[#This Row],[Límite efectivo (aux)]]),"Cumplida con "&amp;(tblAct_ADM[[#This Row],[Fecha de cumplimiento]]-tblAct_ADM[[#This Row],[Límite efectivo (aux)]])&amp;IF(tblAct_ADM[[#This Row],[Fecha de cumplimiento]]-tblAct_ADM[[#This Row],[Límite efectivo (aux)]]=1," día"," días")&amp;" de retraso","Cumplida"),IF(N(tblAct_ADM[[#This Row],[% de Avance Total Actual]])&gt;=1,"Cumplida",IF(NOT(ISNUMBER(tblAct_ADM[[#This Row],[Límite efectivo (aux)]])),"Sin fecha límite",IF(tblAct_ADM[[#This Row],[Límite efectivo (aux)]]&lt;FechaRef,"Vencida hace "&amp;(FechaRef-tblAct_ADM[[#This Row],[Límite efectivo (aux)]])&amp;IF(FechaRef-tblAct_ADM[[#This Row],[Límite efectivo (aux)]]=1," día"," días"),IF(tblAct_ADM[[#This Row],[Límite efectivo (aux)]]=FechaRef,"Vence hoy",IF(tblAct_ADM[[#This Row],[Límite efectivo (aux)]]-FechaRef&lt;=DiasAlerta,"Vence en "&amp;(tblAct_ADM[[#This Row],[Límite efectivo (aux)]]-FechaRef)&amp;IF(tblAct_ADM[[#This Row],[Límite efectivo (aux)]]-FechaRef=1," día"," días"),"En plazo"))))))))</calculatedColumnFormula>
    </tableColumn>
    <tableColumn id="16" name="Seguimiento de la delegación">
      <calculatedColumnFormula>IF(NOT((COUNTA(tblAct_ADM[[#This Row],[Tipo]:[Delegar a]])+COUNTA(tblAct_ADM[[#This Row],[Fecha de cumplimiento]:[Avance Semana 4 (%)]])+COUNTA(tblAct_ADM[[#This Row],[Observaciones]]))&gt;0),"",IF(tblAct_ADM[[#This Row],[Delegar a]]="","Propia",IF(tblAct_ADM[[#This Row],[Tipo (aux)]]&lt;&gt;"Macro","Solo se delegan macroactividades",IF(N(tblAct_ADM[[#This Row],[Fila en el puesto (aux)]])&gt;0,"✔ Recibida por "&amp;tblAct_ADM[[#This Row],[Delegar a]],"⚠ "&amp;tblAct_ADM[[#This Row],[Delegar a]]&amp;" aún no la agrega"))))</calculatedColumnFormula>
    </tableColumn>
    <tableColumn id="17" name="Observaciones"/>
    <tableColumn id="18" name="Revisión automática (alertas)">
      <calculatedColumnFormula>IF(NOT((COUNTA(tblAct_ADM[[#This Row],[Tipo]:[Delegar a]])+COUNTA(tblAct_ADM[[#This Row],[Fecha de cumplimiento]:[Avance Semana 4 (%)]])+COUNTA(tblAct_ADM[[#This Row],[Observaciones]]))&gt;0),"",IF((IF(tblAct_ADM[[#This Row],[Actividad]]="","Falta el nombre de la actividad"&amp;" · ","")&amp;IF(AND(tblAct_ADM[[#This Row],[Tipo (aux)]]="Sub",N(tblAct_ADM[[#This Row],[Grupo (aux)]])=0),"Subactividad sin macroactividad arriba"&amp;" · ","")&amp;IF(tblAct_ADM[[#This Row],[Inicio efectivo (aux)]]="","Sin fecha de inicio"&amp;" · ","")&amp;IF(tblAct_ADM[[#This Row],[Límite efectivo (aux)]]="","Sin fecha límite"&amp;" · ","")&amp;IF(AND(LEFT(tblAct_ADM[[#This Row],[Actividad]],11)="[Jefatura] ",N(tblAct_ADM[[#This Row],[Fila en Administración (aux)]])=0),"No se encuentra en la hoja de la jefatura (elíjala de nuevo en la lista)"&amp;" · ","")&amp;IF(OR(AND(tblAct_ADM[[#This Row],[Fecha de inicio]]&lt;&gt;"",NOT(ISNUMBER(tblAct_ADM[[#This Row],[Fecha de inicio]]))),AND(tblAct_ADM[[#This Row],[Fecha límite]]&lt;&gt;"",NOT(ISNUMBER(tblAct_ADM[[#This Row],[Fecha límite]]))),AND(tblAct_ADM[[#This Row],[Fecha de cumplimiento]]&lt;&gt;"",NOT(ISNUMBER(tblAct_ADM[[#This Row],[Fecha de cumplimiento]])))),"Fecha no válida"&amp;" · ","")&amp;IF(AND(ISNUMBER(tblAct_ADM[[#This Row],[Inicio efectivo (aux)]]),ISNUMBER(tblAct_ADM[[#This Row],[Límite efectivo (aux)]]),tblAct_ADM[[#This Row],[Inicio efectivo (aux)]]&gt;tblAct_ADM[[#This Row],[Límite efectivo (aux)]]),"Inicio posterior a fecha límite"&amp;" · ","")&amp;IF(AND(tblAct_ADM[[#This Row],[Tipo (aux)]]="Macro",tblAct_ADM[[#This Row],[Peso (%)]]&lt;&gt;"",OR(NOT(ISNUMBER(tblAct_ADM[[#This Row],[Peso (%)]])),tblAct_ADM[[#This Row],[Peso (%)]]&lt;0,tblAct_ADM[[#This Row],[Peso (%)]]&gt;1)),"Peso fuera de rango"&amp;" · ","")&amp;IF(AND(tblAct_ADM[[#This Row],[Tipo (aux)]]="Sub",tblAct_ADM[[#This Row],[Peso (%)]]&lt;&gt;""),"Las subactividades no llevan peso (valen igual dentro de su macroactividad)"&amp;" · ","")&amp;IF(AND(N(tblAct_ADM[[#This Row],[N subactividades (aux)]])&gt;0,COUNT(tblAct_ADM[[#This Row],[Avance Semana 1 (%)]:[Avance Semana 4 (%)]])&gt;0),"Con subactividades: deje vacías las semanas (se calculan solas)"&amp;" · ","")&amp;IF((COUNTIF(tblAct_ADM[[#This Row],[Avance Semana 1 (%)]:[Avance Semana 4 (%)]],"&gt;1")+COUNTIF(tblAct_ADM[[#This Row],[Avance Semana 1 (%)]:[Avance Semana 4 (%)]],"&lt;0")+COUNTA(tblAct_ADM[[#This Row],[Avance Semana 1 (%)]:[Avance Semana 4 (%)]])-COUNT(tblAct_ADM[[#This Row],[Avance Semana 1 (%)]:[Avance Semana 4 (%)]]))&gt;0,"Avance fuera de rango 0-100%"&amp;" · ","")&amp;IF(OR(AND(tblAct_ADM[[#This Row],[Avance Semana 2 (%)]]&lt;&gt;"",tblAct_ADM[[#This Row],[Avance Semana 2 (%)]]&lt;tblAct_ADM[[#This Row],[Avance Semana 1 (%)]]),AND(tblAct_ADM[[#This Row],[Avance Semana 3 (%)]]&lt;&gt;"",tblAct_ADM[[#This Row],[Avance Semana 3 (%)]]&lt;MAX(tblAct_ADM[[#This Row],[Avance Semana 1 (%)]:[Avance Semana 2 (%)]])),AND(tblAct_ADM[[#This Row],[Avance Semana 4 (%)]]&lt;&gt;"",tblAct_ADM[[#This Row],[Avance Semana 4 (%)]]&lt;MAX(tblAct_ADM[[#This Row],[Avance Semana 1 (%)]:[Avance Semana 3 (%)]]))),"Avance semanal decreciente"&amp;" · ","")&amp;IF(AND(ISNUMBER(tblAct_ADM[[#This Row],[Límite efectivo (aux)]]),tblAct_ADM[[#This Row],[Límite efectivo (aux)]]&lt;FechaRef,N(tblAct_ADM[[#This Row],[% de Avance Total Actual]])&lt;1),"Vencida"&amp;" · ","")&amp;IF(AND(ObsObligatoria="Sí",ISNUMBER(tblAct_ADM[[#This Row],[Límite efectivo (aux)]]),tblAct_ADM[[#This Row],[Límite efectivo (aux)]]&lt;FechaRef,N(tblAct_ADM[[#This Row],[% de Avance Total Actual]])&lt;1,tblAct_ADM[[#This Row],[Observaciones]]=""),"Vencida sin observación"&amp;" · ",""))="","✔ OK","⚠ "&amp;LEFT(IF(tblAct_ADM[[#This Row],[Actividad]]="","Falta el nombre de la actividad"&amp;" · ","")&amp;IF(AND(tblAct_ADM[[#This Row],[Tipo (aux)]]="Sub",N(tblAct_ADM[[#This Row],[Grupo (aux)]])=0),"Subactividad sin macroactividad arriba"&amp;" · ","")&amp;IF(tblAct_ADM[[#This Row],[Inicio efectivo (aux)]]="","Sin fecha de inicio"&amp;" · ","")&amp;IF(tblAct_ADM[[#This Row],[Límite efectivo (aux)]]="","Sin fecha límite"&amp;" · ","")&amp;IF(AND(LEFT(tblAct_ADM[[#This Row],[Actividad]],11)="[Jefatura] ",N(tblAct_ADM[[#This Row],[Fila en Administración (aux)]])=0),"No se encuentra en la hoja de la jefatura (elíjala de nuevo en la lista)"&amp;" · ","")&amp;IF(OR(AND(tblAct_ADM[[#This Row],[Fecha de inicio]]&lt;&gt;"",NOT(ISNUMBER(tblAct_ADM[[#This Row],[Fecha de inicio]]))),AND(tblAct_ADM[[#This Row],[Fecha límite]]&lt;&gt;"",NOT(ISNUMBER(tblAct_ADM[[#This Row],[Fecha límite]]))),AND(tblAct_ADM[[#This Row],[Fecha de cumplimiento]]&lt;&gt;"",NOT(ISNUMBER(tblAct_ADM[[#This Row],[Fecha de cumplimiento]])))),"Fecha no válida"&amp;" · ","")&amp;IF(AND(ISNUMBER(tblAct_ADM[[#This Row],[Inicio efectivo (aux)]]),ISNUMBER(tblAct_ADM[[#This Row],[Límite efectivo (aux)]]),tblAct_ADM[[#This Row],[Inicio efectivo (aux)]]&gt;tblAct_ADM[[#This Row],[Límite efectivo (aux)]]),"Inicio posterior a fecha límite"&amp;" · ","")&amp;IF(AND(tblAct_ADM[[#This Row],[Tipo (aux)]]="Macro",tblAct_ADM[[#This Row],[Peso (%)]]&lt;&gt;"",OR(NOT(ISNUMBER(tblAct_ADM[[#This Row],[Peso (%)]])),tblAct_ADM[[#This Row],[Peso (%)]]&lt;0,tblAct_ADM[[#This Row],[Peso (%)]]&gt;1)),"Peso fuera de rango"&amp;" · ","")&amp;IF(AND(tblAct_ADM[[#This Row],[Tipo (aux)]]="Sub",tblAct_ADM[[#This Row],[Peso (%)]]&lt;&gt;""),"Las subactividades no llevan peso (valen igual dentro de su macroactividad)"&amp;" · ","")&amp;IF(AND(N(tblAct_ADM[[#This Row],[N subactividades (aux)]])&gt;0,COUNT(tblAct_ADM[[#This Row],[Avance Semana 1 (%)]:[Avance Semana 4 (%)]])&gt;0),"Con subactividades: deje vacías las semanas (se calculan solas)"&amp;" · ","")&amp;IF((COUNTIF(tblAct_ADM[[#This Row],[Avance Semana 1 (%)]:[Avance Semana 4 (%)]],"&gt;1")+COUNTIF(tblAct_ADM[[#This Row],[Avance Semana 1 (%)]:[Avance Semana 4 (%)]],"&lt;0")+COUNTA(tblAct_ADM[[#This Row],[Avance Semana 1 (%)]:[Avance Semana 4 (%)]])-COUNT(tblAct_ADM[[#This Row],[Avance Semana 1 (%)]:[Avance Semana 4 (%)]]))&gt;0,"Avance fuera de rango 0-100%"&amp;" · ","")&amp;IF(OR(AND(tblAct_ADM[[#This Row],[Avance Semana 2 (%)]]&lt;&gt;"",tblAct_ADM[[#This Row],[Avance Semana 2 (%)]]&lt;tblAct_ADM[[#This Row],[Avance Semana 1 (%)]]),AND(tblAct_ADM[[#This Row],[Avance Semana 3 (%)]]&lt;&gt;"",tblAct_ADM[[#This Row],[Avance Semana 3 (%)]]&lt;MAX(tblAct_ADM[[#This Row],[Avance Semana 1 (%)]:[Avance Semana 2 (%)]])),AND(tblAct_ADM[[#This Row],[Avance Semana 4 (%)]]&lt;&gt;"",tblAct_ADM[[#This Row],[Avance Semana 4 (%)]]&lt;MAX(tblAct_ADM[[#This Row],[Avance Semana 1 (%)]:[Avance Semana 3 (%)]]))),"Avance semanal decreciente"&amp;" · ","")&amp;IF(AND(ISNUMBER(tblAct_ADM[[#This Row],[Límite efectivo (aux)]]),tblAct_ADM[[#This Row],[Límite efectivo (aux)]]&lt;FechaRef,N(tblAct_ADM[[#This Row],[% de Avance Total Actual]])&lt;1),"Vencida"&amp;" · ","")&amp;IF(AND(ObsObligatoria="Sí",ISNUMBER(tblAct_ADM[[#This Row],[Límite efectivo (aux)]]),tblAct_ADM[[#This Row],[Límite efectivo (aux)]]&lt;FechaRef,N(tblAct_ADM[[#This Row],[% de Avance Total Actual]])&lt;1,tblAct_ADM[[#This Row],[Observaciones]]=""),"Vencida sin observación"&amp;" · ",""),LEN(IF(tblAct_ADM[[#This Row],[Actividad]]="","Falta el nombre de la actividad"&amp;" · ","")&amp;IF(AND(tblAct_ADM[[#This Row],[Tipo (aux)]]="Sub",N(tblAct_ADM[[#This Row],[Grupo (aux)]])=0),"Subactividad sin macroactividad arriba"&amp;" · ","")&amp;IF(tblAct_ADM[[#This Row],[Inicio efectivo (aux)]]="","Sin fecha de inicio"&amp;" · ","")&amp;IF(tblAct_ADM[[#This Row],[Límite efectivo (aux)]]="","Sin fecha límite"&amp;" · ","")&amp;IF(AND(LEFT(tblAct_ADM[[#This Row],[Actividad]],11)="[Jefatura] ",N(tblAct_ADM[[#This Row],[Fila en Administración (aux)]])=0),"No se encuentra en la hoja de la jefatura (elíjala de nuevo en la lista)"&amp;" · ","")&amp;IF(OR(AND(tblAct_ADM[[#This Row],[Fecha de inicio]]&lt;&gt;"",NOT(ISNUMBER(tblAct_ADM[[#This Row],[Fecha de inicio]]))),AND(tblAct_ADM[[#This Row],[Fecha límite]]&lt;&gt;"",NOT(ISNUMBER(tblAct_ADM[[#This Row],[Fecha límite]]))),AND(tblAct_ADM[[#This Row],[Fecha de cumplimiento]]&lt;&gt;"",NOT(ISNUMBER(tblAct_ADM[[#This Row],[Fecha de cumplimiento]])))),"Fecha no válida"&amp;" · ","")&amp;IF(AND(ISNUMBER(tblAct_ADM[[#This Row],[Inicio efectivo (aux)]]),ISNUMBER(tblAct_ADM[[#This Row],[Límite efectivo (aux)]]),tblAct_ADM[[#This Row],[Inicio efectivo (aux)]]&gt;tblAct_ADM[[#This Row],[Límite efectivo (aux)]]),"Inicio posterior a fecha límite"&amp;" · ","")&amp;IF(AND(tblAct_ADM[[#This Row],[Tipo (aux)]]="Macro",tblAct_ADM[[#This Row],[Peso (%)]]&lt;&gt;"",OR(NOT(ISNUMBER(tblAct_ADM[[#This Row],[Peso (%)]])),tblAct_ADM[[#This Row],[Peso (%)]]&lt;0,tblAct_ADM[[#This Row],[Peso (%)]]&gt;1)),"Peso fuera de rango"&amp;" · ","")&amp;IF(AND(tblAct_ADM[[#This Row],[Tipo (aux)]]="Sub",tblAct_ADM[[#This Row],[Peso (%)]]&lt;&gt;""),"Las subactividades no llevan peso (valen igual dentro de su macroactividad)"&amp;" · ","")&amp;IF(AND(N(tblAct_ADM[[#This Row],[N subactividades (aux)]])&gt;0,COUNT(tblAct_ADM[[#This Row],[Avance Semana 1 (%)]:[Avance Semana 4 (%)]])&gt;0),"Con subactividades: deje vacías las semanas (se calculan solas)"&amp;" · ","")&amp;IF((COUNTIF(tblAct_ADM[[#This Row],[Avance Semana 1 (%)]:[Avance Semana 4 (%)]],"&gt;1")+COUNTIF(tblAct_ADM[[#This Row],[Avance Semana 1 (%)]:[Avance Semana 4 (%)]],"&lt;0")+COUNTA(tblAct_ADM[[#This Row],[Avance Semana 1 (%)]:[Avance Semana 4 (%)]])-COUNT(tblAct_ADM[[#This Row],[Avance Semana 1 (%)]:[Avance Semana 4 (%)]]))&gt;0,"Avance fuera de rango 0-100%"&amp;" · ","")&amp;IF(OR(AND(tblAct_ADM[[#This Row],[Avance Semana 2 (%)]]&lt;&gt;"",tblAct_ADM[[#This Row],[Avance Semana 2 (%)]]&lt;tblAct_ADM[[#This Row],[Avance Semana 1 (%)]]),AND(tblAct_ADM[[#This Row],[Avance Semana 3 (%)]]&lt;&gt;"",tblAct_ADM[[#This Row],[Avance Semana 3 (%)]]&lt;MAX(tblAct_ADM[[#This Row],[Avance Semana 1 (%)]:[Avance Semana 2 (%)]])),AND(tblAct_ADM[[#This Row],[Avance Semana 4 (%)]]&lt;&gt;"",tblAct_ADM[[#This Row],[Avance Semana 4 (%)]]&lt;MAX(tblAct_ADM[[#This Row],[Avance Semana 1 (%)]:[Avance Semana 3 (%)]]))),"Avance semanal decreciente"&amp;" · ","")&amp;IF(AND(ISNUMBER(tblAct_ADM[[#This Row],[Límite efectivo (aux)]]),tblAct_ADM[[#This Row],[Límite efectivo (aux)]]&lt;FechaRef,N(tblAct_ADM[[#This Row],[% de Avance Total Actual]])&lt;1),"Vencida"&amp;" · ","")&amp;IF(AND(ObsObligatoria="Sí",ISNUMBER(tblAct_ADM[[#This Row],[Límite efectivo (aux)]]),tblAct_ADM[[#This Row],[Límite efectivo (aux)]]&lt;FechaRef,N(tblAct_ADM[[#This Row],[% de Avance Total Actual]])&lt;1,tblAct_ADM[[#This Row],[Observaciones]]=""),"Vencida sin observación"&amp;" · ",""))-3)))</calculatedColumnFormula>
    </tableColumn>
    <tableColumn id="19" name="Mes">
      <calculatedColumnFormula>IF(NOT((COUNTA(tblAct_ADM[[#This Row],[Tipo]:[Delegar a]])+COUNTA(tblAct_ADM[[#This Row],[Fecha de cumplimiento]:[Avance Semana 4 (%)]])+COUNTA(tblAct_ADM[[#This Row],[Observaciones]]))&gt;0),"",IF(AND(tblAct_ADM[[#This Row],[Tipo (aux)]]="Sub",N(tblAct_ADM[[#This Row],[Grupo (aux)]])&gt;0),IF(ISNUMBER(INDEX($AM$5:$AM$1000,tblAct_ADM[[#This Row],[Grupo (aux)]]-4)),DATE(YEAR(INDEX($AM$5:$AM$1000,tblAct_ADM[[#This Row],[Grupo (aux)]]-4)),MONTH(INDEX($AM$5:$AM$1000,tblAct_ADM[[#This Row],[Grupo (aux)]]-4)),1),IF(ISNUMBER(INDEX($AN$5:$AN$1000,tblAct_ADM[[#This Row],[Grupo (aux)]]-4)),DATE(YEAR(INDEX($AN$5:$AN$1000,tblAct_ADM[[#This Row],[Grupo (aux)]]-4)),MONTH(INDEX($AN$5:$AN$1000,tblAct_ADM[[#This Row],[Grupo (aux)]]-4)),1),MesCiclo)),IF(ISNUMBER(tblAct_ADM[[#This Row],[Inicio efectivo (aux)]]),DATE(YEAR(tblAct_ADM[[#This Row],[Inicio efectivo (aux)]]),MONTH(tblAct_ADM[[#This Row],[Inicio efectivo (aux)]]),1),IF(ISNUMBER(tblAct_ADM[[#This Row],[Límite efectivo (aux)]]),DATE(YEAR(tblAct_ADM[[#This Row],[Límite efectivo (aux)]]),MONTH(tblAct_ADM[[#This Row],[Límite efectivo (aux)]]),1),MesCiclo))))</calculatedColumnFormula>
    </tableColumn>
    <tableColumn id="20" name="Orden en el mes (aux)">
      <calculatedColumnFormula>IF(OR(tblAct_ADM[[#This Row],[Mes]]="",tblAct_ADM[[#This Row],[Mes]]&lt;&gt;MesCiclo),"",COUNTIF(INDEX(tblAct_ADM[Mes],1):tblAct_ADM[[#This Row],[Mes]],MesCiclo))</calculatedColumnFormula>
    </tableColumn>
    <tableColumn id="21" name="Grupo (aux)">
      <calculatedColumnFormula>IF(tblAct_ADM[[#This Row],[Tipo (aux)]]="","",IF(tblAct_ADM[[#This Row],[Tipo (aux)]]="Macro",ROW(),IFERROR(LOOKUP(2,1/(INDEX(tblAct_ADM[Tipo (aux)],1):tblAct_ADM[[#This Row],[Tipo (aux)]]="Macro"),ROW(INDEX(tblAct_ADM[Tipo (aux)],1):tblAct_ADM[[#This Row],[Tipo (aux)]])),0)))</calculatedColumnFormula>
    </tableColumn>
    <tableColumn id="22" name="Tipo (aux)">
      <calculatedColumnFormula>IF(NOT((COUNTA(tblAct_ADM[[#This Row],[Tipo]:[Delegar a]])+COUNTA(tblAct_ADM[[#This Row],[Fecha de cumplimiento]:[Avance Semana 4 (%)]])+COUNTA(tblAct_ADM[[#This Row],[Observaciones]]))&gt;0),"",IF(tblAct_ADM[[#This Row],[Tipo]]="Subactividad","Sub","Macro"))</calculatedColumnFormula>
    </tableColumn>
    <tableColumn id="23" name="N subactividades (aux)">
      <calculatedColumnFormula>IF(tblAct_ADM[[#This Row],[Tipo (aux)]]="Macro",COUNTIFS($U$5:$U$1000,ROW(),$V$5:$V$1000,"Sub"),"")</calculatedColumnFormula>
    </tableColumn>
    <tableColumn id="24" name="Avance propio (aux)">
      <calculatedColumnFormula>IF(tblAct_ADM[[#This Row],[Tipo (aux)]]="","",IF(ISNUMBER(tblAct_ADM[[#This Row],[Fecha de cumplimiento]]),1,IFERROR(LOOKUP(2,1/(tblAct_ADM[[#This Row],[Avance Semana 1 (%)]:[Avance Semana 4 (%)]]&lt;&gt;""),tblAct_ADM[[#This Row],[Avance Semana 1 (%)]:[Avance Semana 4 (%)]]),0)))</calculatedColumnFormula>
    </tableColumn>
    <tableColumn id="25" name="Propio S1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Row],[Mes]]),7))+6),1,IF(ISNUMBER(tblAct_ADM[[#This Row],[Avance Semana 1 (%)]]),tblAct_ADM[[#This Row],[Avance Semana 1 (%)]],0)))</calculatedColumnFormula>
    </tableColumn>
    <tableColumn id="26" name="Propio S2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Row],[Mes]]),7))+13),1,IF(ISNUMBER(tblAct_ADM[[#This Row],[Avance Semana 2 (%)]]),tblAct_ADM[[#This Row],[Avance Semana 2 (%)]],tblAct_ADM[[#This Row],[Propio S1 (aux)]])))</calculatedColumnFormula>
    </tableColumn>
    <tableColumn id="27" name="Propio S3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Row],[Mes]]),7))+20),1,IF(ISNUMBER(tblAct_ADM[[#This Row],[Avance Semana 3 (%)]]),tblAct_ADM[[#This Row],[Avance Semana 3 (%)]],tblAct_ADM[[#This Row],[Propio S2 (aux)]])))</calculatedColumnFormula>
    </tableColumn>
    <tableColumn id="28" name="Propio S4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Row],[Mes]]),7))+27),1,IF(ISNUMBER(tblAct_ADM[[#This Row],[Avance Semana 4 (%)]]),tblAct_ADM[[#This Row],[Avance Semana 4 (%)]],tblAct_ADM[[#This Row],[Propio S3 (aux)]])))</calculatedColumnFormula>
    </tableColumn>
    <tableColumn id="29" name="Efectivo S1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Row],[Mes]]),7))+6),1,IF(N(tblAct_ADM[[#This Row],[N subactividades (aux)]])&gt;0,AVERAGEIFS($Y$5:$Y$1000,$U$5:$U$1000,ROW(),$V$5:$V$1000,"Sub"),tblAct_ADM[[#This Row],[Propio S1 (aux)]])))</calculatedColumnFormula>
    </tableColumn>
    <tableColumn id="30" name="Efectivo S2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Row],[Mes]]),7))+13),1,IF(N(tblAct_ADM[[#This Row],[N subactividades (aux)]])&gt;0,AVERAGEIFS($Z$5:$Z$1000,$U$5:$U$1000,ROW(),$V$5:$V$1000,"Sub"),tblAct_ADM[[#This Row],[Propio S2 (aux)]])))</calculatedColumnFormula>
    </tableColumn>
    <tableColumn id="31" name="Efectivo S3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Row],[Mes]]),7))+20),1,IF(N(tblAct_ADM[[#This Row],[N subactividades (aux)]])&gt;0,AVERAGEIFS($AA$5:$AA$1000,$U$5:$U$1000,ROW(),$V$5:$V$1000,"Sub"),tblAct_ADM[[#This Row],[Propio S3 (aux)]])))</calculatedColumnFormula>
    </tableColumn>
    <tableColumn id="32" name="Efectivo S4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Row],[Mes]]),7))+27),1,IF(N(tblAct_ADM[[#This Row],[N subactividades (aux)]])&gt;0,AVERAGEIFS($AB$5:$AB$1000,$U$5:$U$1000,ROW(),$V$5:$V$1000,"Sub"),tblAct_ADM[[#This Row],[Propio S4 (aux)]])))</calculatedColumnFormula>
    </tableColumn>
    <tableColumn id="33" name="Peso efectivo (aux)">
      <calculatedColumnFormula>IF(tblAct_ADM[[#This Row],[Tipo (aux)]]&lt;&gt;"Macro","",IF(COUNTIFS($S$5:$S$1000,tblAct_ADM[[#This Row],[Mes]],$V$5:$V$1000,"Macro",$H$5:$H$1000,"&gt;0")=0,1/COUNTIFS($S$5:$S$1000,tblAct_ADM[[#This Row],[Mes]],$V$5:$V$1000,"Macro"),IF(AND(ISNUMBER(tblAct_ADM[[#This Row],[Peso (%)]]),N(tblAct_ADM[[#This Row],[Peso (%)]])&gt;0),tblAct_ADM[[#This Row],[Peso (%)]],SUMIFS($H$5:$H$1000,$S$5:$S$1000,tblAct_ADM[[#This Row],[Mes]],$V$5:$V$1000,"Macro")/COUNTIFS($S$5:$S$1000,tblAct_ADM[[#This Row],[Mes]],$V$5:$V$1000,"Macro",$H$5:$H$1000,"&gt;0"))/(COUNTIFS($S$5:$S$1000,tblAct_ADM[[#This Row],[Mes]],$V$5:$V$1000,"Macro")*SUMIFS($H$5:$H$1000,$S$5:$S$1000,tblAct_ADM[[#This Row],[Mes]],$V$5:$V$1000,"Macro")/COUNTIFS($S$5:$S$1000,tblAct_ADM[[#This Row],[Mes]],$V$5:$V$1000,"Macro",$H$5:$H$1000,"&gt;0"))))</calculatedColumnFormula>
    </tableColumn>
    <tableColumn id="34" name="Fila en el puesto (aux)">
      <calculatedColumnFormula>IF(NOT(AND(tblAct_ADM[[#This Row],[Delegar a]]&lt;&gt;"",tblAct_ADM[[#This Row],[Tipo (aux)]]="Macro")),"",IFERROR(CHOOSE(MATCH(tblAct_ADM[[#This Row],[Delegar a]],ListaPuestos,0),MATCH("[Jefatura] "&amp;tblAct_ADM[[#This Row],[Actividad]],'Cronograma R. Operacional'!$C$5:$C$1000,0),MATCH("[Jefatura] "&amp;tblAct_ADM[[#This Row],[Actividad]],'Cronograma R. Normativo'!$C$5:$C$1000,0),MATCH("[Jefatura] "&amp;tblAct_ADM[[#This Row],[Actividad]],'Cronograma R. Financiero'!$C$5:$C$1000,0),MATCH("[Jefatura] "&amp;tblAct_ADM[[#This Row],[Actividad]],'Cronograma Asistente Técnico'!$C$5:$C$1000,0)),0))</calculatedColumnFormula>
    </tableColumn>
    <tableColumn id="35" name="N° delegada en el mes (aux)">
      <calculatedColumnFormula>IF(AND(AND(tblAct_ADM[[#This Row],[Delegar a]]&lt;&gt;"",tblAct_ADM[[#This Row],[Tipo (aux)]]="Macro"),tblAct_ADM[[#This Row],[Mes]]=MesCiclo),COUNTIFS(INDEX(tblAct_ADM[Delegar a],1):tblAct_ADM[[#This Row],[Delegar a]],tblAct_ADM[[#This Row],[Delegar a]],INDEX(tblAct_ADM[Mes],1):tblAct_ADM[[#This Row],[Mes]],MesCiclo,INDEX(tblAct_ADM[Tipo (aux)],1):tblAct_ADM[[#This Row],[Tipo (aux)]],"Macro"),"")</calculatedColumnFormula>
    </tableColumn>
    <tableColumn id="36" name="Clave delegada (aux)">
      <calculatedColumnFormula>IF(tblAct_ADM[[#This Row],[N° delegada en el mes (aux)]]="","",tblAct_ADM[[#This Row],[Delegar a]]&amp;"|"&amp;tblAct_ADM[[#This Row],[N° delegada en el mes (aux)]])</calculatedColumnFormula>
    </tableColumn>
    <tableColumn id="37" name="Clave puesto-actividad (aux)">
      <calculatedColumnFormula>IF(AND(tblAct_ADM[[#This Row],[Delegar a]]&lt;&gt;"",tblAct_ADM[[#This Row],[Tipo (aux)]]="Macro"),tblAct_ADM[[#This Row],[Delegar a]]&amp;"|"&amp;tblAct_ADM[[#This Row],[Actividad]],"")</calculatedColumnFormula>
    </tableColumn>
    <tableColumn id="38" name="Fila en Administración (aux)">
      <calculatedColumnFormula>""</calculatedColumnFormula>
    </tableColumn>
    <tableColumn id="39" name="Inicio efectivo (aux)">
      <calculatedColumnFormula>IF(N(tblAct_ADM[[#This Row],[Fila en Administración (aux)]])&gt;0,INDEX(rIni_ADM,tblAct_ADM[[#This Row],[Fila en Administración (aux)]]),IF(ISNUMBER(tblAct_ADM[[#This Row],[Fecha de inicio]]),tblAct_ADM[[#This Row],[Fecha de inicio]],""))</calculatedColumnFormula>
    </tableColumn>
    <tableColumn id="40" name="Límite efectivo (aux)">
      <calculatedColumnFormula>IF(N(tblAct_ADM[[#This Row],[Fila en Administración (aux)]])&gt;0,INDEX(rLim_ADM,tblAct_ADM[[#This Row],[Fila en Administración (aux)]]),IF(ISNUMBER(tblAct_ADM[[#This Row],[Fecha límite]]),tblAct_ADM[[#This Row],[Fecha límite]],""))</calculatedColumnFormula>
    </tableColumn>
  </tableColumns>
  <tableStyleInfo name="TableStyleLight1" showRowStripes="0"/>
</table>
</file>

<file path=xl/tables/table2.xml><?xml version="1.0" encoding="utf-8"?>
<table xmlns="http://schemas.openxmlformats.org/spreadsheetml/2006/main" id="2" name="tblAct_RO" displayName="tblAct_RO" ref="A4:AN304" headerRowCount="1">
  <autoFilter ref="A4:AN304"/>
  <tableColumns count="40">
    <tableColumn id="1" name="N°">
      <calculatedColumnFormula>IF(NOT((COUNTA(tblAct_RO[[#This Row],[Tipo]:[Delegar a]])+COUNTA(tblAct_RO[[#This Row],[Fecha de cumplimiento]:[Avance Semana 4 (%)]])+COUNTA(tblAct_RO[[#This Row],[Observaciones]]))&gt;0),"",IF(tblAct_RO[[#This Row],[Tipo (aux)]]="Macro",COUNTIFS(INDEX(tblAct_RO[Tipo (aux)],1):tblAct_RO[[#This Row],[Tipo (aux)]],"Macro",INDEX(tblAct_RO[Mes],1):tblAct_RO[[#This Row],[Mes]],tblAct_RO[[#This Row],[Mes]]),IF(N(tblAct_RO[[#This Row],[Grupo (aux)]])=0,"?",COUNTIFS(INDEX($V$5:$V$1000,1):INDEX($V$5:$V$1000,tblAct_RO[[#This Row],[Grupo (aux)]]-4),"Macro",INDEX($S$5:$S$1000,1):INDEX($S$5:$S$1000,tblAct_RO[[#This Row],[Grupo (aux)]]-4),INDEX($S$5:$S$1000,tblAct_RO[[#This Row],[Grupo (aux)]]-4))&amp;"."&amp;COUNTIFS(INDEX(tblAct_RO[Grupo (aux)],1):tblAct_RO[[#This Row],[Grupo (aux)]],tblAct_RO[[#This Row],[Grupo (aux)]],INDEX(tblAct_RO[Tipo (aux)],1):tblAct_RO[[#This Row],[Tipo (aux)]],"Sub"))))</calculatedColumnFormula>
    </tableColumn>
    <tableColumn id="2" name="Tipo"/>
    <tableColumn id="3" name="Actividad"/>
    <tableColumn id="4" name="Delegar a"/>
    <tableColumn id="5" name="Fecha de inicio"/>
    <tableColumn id="6" name="Fecha límite"/>
    <tableColumn id="7" name="Fecha de cumplimiento"/>
    <tableColumn id="8" name="Peso (%)"/>
    <tableColumn id="9" name="Avance Semana 1 (%)"/>
    <tableColumn id="10" name="Avance Semana 2 (%)"/>
    <tableColumn id="11" name="Avance Semana 3 (%)"/>
    <tableColumn id="12" name="Avance Semana 4 (%)"/>
    <tableColumn id="13" name="% de Avance Total Actual">
      <calculatedColumnFormula>IF(NOT((COUNTA(tblAct_RO[[#This Row],[Tipo]:[Delegar a]])+COUNTA(tblAct_RO[[#This Row],[Fecha de cumplimiento]:[Avance Semana 4 (%)]])+COUNTA(tblAct_RO[[#This Row],[Observaciones]]))&gt;0),"",IF(ISNUMBER(tblAct_RO[[#This Row],[Fecha de cumplimiento]]),1,IF(N(tblAct_RO[[#This Row],[N subactividades (aux)]])&gt;0,AVERAGEIFS($X$5:$X$1000,$U$5:$U$1000,ROW(),$V$5:$V$1000,"Sub"),tblAct_RO[[#This Row],[Avance propio (aux)]])))</calculatedColumnFormula>
    </tableColumn>
    <tableColumn id="14" name="Estado">
      <calculatedColumnFormula>IF(tblAct_RO[[#This Row],[% de Avance Total Actual]]="","",IF(tblAct_RO[[#This Row],[% de Avance Total Actual]]&gt;=1,"Completado",IF(tblAct_RO[[#This Row],[% de Avance Total Actual]]&gt;0,"En curso","Pendiente")))</calculatedColumnFormula>
    </tableColumn>
    <tableColumn id="15" name="Alerta de plazo">
      <calculatedColumnFormula>IF(NOT((COUNTA(tblAct_RO[[#This Row],[Tipo]:[Delegar a]])+COUNTA(tblAct_RO[[#This Row],[Fecha de cumplimiento]:[Avance Semana 4 (%)]])+COUNTA(tblAct_RO[[#This Row],[Observaciones]]))&gt;0),"",IF(ISNUMBER(tblAct_RO[[#This Row],[Fecha de cumplimiento]]),IF(AND(ISNUMBER(tblAct_RO[[#This Row],[Límite efectivo (aux)]]),tblAct_RO[[#This Row],[Fecha de cumplimiento]]&gt;tblAct_RO[[#This Row],[Límite efectivo (aux)]]),"Cumplida con "&amp;(tblAct_RO[[#This Row],[Fecha de cumplimiento]]-tblAct_RO[[#This Row],[Límite efectivo (aux)]])&amp;IF(tblAct_RO[[#This Row],[Fecha de cumplimiento]]-tblAct_RO[[#This Row],[Límite efectivo (aux)]]=1," día"," días")&amp;" de retraso","Cumplida"),IF(N(tblAct_RO[[#This Row],[% de Avance Total Actual]])&gt;=1,"Cumplida",IF(NOT(ISNUMBER(tblAct_RO[[#This Row],[Límite efectivo (aux)]])),"Sin fecha límite",IF(tblAct_RO[[#This Row],[Límite efectivo (aux)]]&lt;FechaRef,"Vencida hace "&amp;(FechaRef-tblAct_RO[[#This Row],[Límite efectivo (aux)]])&amp;IF(FechaRef-tblAct_RO[[#This Row],[Límite efectivo (aux)]]=1," día"," días"),IF(tblAct_RO[[#This Row],[Límite efectivo (aux)]]=FechaRef,"Vence hoy",IF(tblAct_RO[[#This Row],[Límite efectivo (aux)]]-FechaRef&lt;=DiasAlerta,"Vence en "&amp;(tblAct_RO[[#This Row],[Límite efectivo (aux)]]-FechaRef)&amp;IF(tblAct_RO[[#This Row],[Límite efectivo (aux)]]-FechaRef=1," día"," días"),"En plazo")))))))</calculatedColumnFormula>
    </tableColumn>
    <tableColumn id="16" name="Seguimiento de la delegación"/>
    <tableColumn id="17" name="Observaciones"/>
    <tableColumn id="18" name="Revisión automática (alertas)">
      <calculatedColumnFormula>IF(NOT((COUNTA(tblAct_RO[[#This Row],[Tipo]:[Delegar a]])+COUNTA(tblAct_RO[[#This Row],[Fecha de cumplimiento]:[Avance Semana 4 (%)]])+COUNTA(tblAct_RO[[#This Row],[Observaciones]]))&gt;0),"",IF((IF(tblAct_RO[[#This Row],[Actividad]]="","Falta el nombre de la actividad"&amp;" · ","")&amp;IF(AND(tblAct_RO[[#This Row],[Tipo (aux)]]="Sub",N(tblAct_RO[[#This Row],[Grupo (aux)]])=0),"Subactividad sin macroactividad arriba"&amp;" · ","")&amp;IF(tblAct_RO[[#This Row],[Inicio efectivo (aux)]]="","Sin fecha de inicio"&amp;" · ","")&amp;IF(tblAct_RO[[#This Row],[Límite efectivo (aux)]]="","Sin fecha límite"&amp;" · ","")&amp;IF(AND(LEFT(tblAct_RO[[#This Row],[Actividad]],11)="[Jefatura] ",N(tblAct_RO[[#This Row],[Fila en Administración (aux)]])=0),"No se encuentra en la hoja de la jefatura (elíjala de nuevo en la lista)"&amp;" · ","")&amp;IF(OR(AND(tblAct_RO[[#This Row],[Fecha de inicio]]&lt;&gt;"",NOT(ISNUMBER(tblAct_RO[[#This Row],[Fecha de inicio]]))),AND(tblAct_RO[[#This Row],[Fecha límite]]&lt;&gt;"",NOT(ISNUMBER(tblAct_RO[[#This Row],[Fecha límite]]))),AND(tblAct_RO[[#This Row],[Fecha de cumplimiento]]&lt;&gt;"",NOT(ISNUMBER(tblAct_RO[[#This Row],[Fecha de cumplimiento]])))),"Fecha no válida"&amp;" · ","")&amp;IF(AND(ISNUMBER(tblAct_RO[[#This Row],[Inicio efectivo (aux)]]),ISNUMBER(tblAct_RO[[#This Row],[Límite efectivo (aux)]]),tblAct_RO[[#This Row],[Inicio efectivo (aux)]]&gt;tblAct_RO[[#This Row],[Límite efectivo (aux)]]),"Inicio posterior a fecha límite"&amp;" · ","")&amp;IF(AND(tblAct_RO[[#This Row],[Tipo (aux)]]="Macro",tblAct_RO[[#This Row],[Peso (%)]]&lt;&gt;"",OR(NOT(ISNUMBER(tblAct_RO[[#This Row],[Peso (%)]])),tblAct_RO[[#This Row],[Peso (%)]]&lt;0,tblAct_RO[[#This Row],[Peso (%)]]&gt;1)),"Peso fuera de rango"&amp;" · ","")&amp;IF(AND(tblAct_RO[[#This Row],[Tipo (aux)]]="Sub",tblAct_RO[[#This Row],[Peso (%)]]&lt;&gt;""),"Las subactividades no llevan peso (valen igual dentro de su macroactividad)"&amp;" · ","")&amp;IF(AND(N(tblAct_RO[[#This Row],[N subactividades (aux)]])&gt;0,COUNT(tblAct_RO[[#This Row],[Avance Semana 1 (%)]:[Avance Semana 4 (%)]])&gt;0),"Con subactividades: deje vacías las semanas (se calculan solas)"&amp;" · ","")&amp;IF((COUNTIF(tblAct_RO[[#This Row],[Avance Semana 1 (%)]:[Avance Semana 4 (%)]],"&gt;1")+COUNTIF(tblAct_RO[[#This Row],[Avance Semana 1 (%)]:[Avance Semana 4 (%)]],"&lt;0")+COUNTA(tblAct_RO[[#This Row],[Avance Semana 1 (%)]:[Avance Semana 4 (%)]])-COUNT(tblAct_RO[[#This Row],[Avance Semana 1 (%)]:[Avance Semana 4 (%)]]))&gt;0,"Avance fuera de rango 0-100%"&amp;" · ","")&amp;IF(OR(AND(tblAct_RO[[#This Row],[Avance Semana 2 (%)]]&lt;&gt;"",tblAct_RO[[#This Row],[Avance Semana 2 (%)]]&lt;tblAct_RO[[#This Row],[Avance Semana 1 (%)]]),AND(tblAct_RO[[#This Row],[Avance Semana 3 (%)]]&lt;&gt;"",tblAct_RO[[#This Row],[Avance Semana 3 (%)]]&lt;MAX(tblAct_RO[[#This Row],[Avance Semana 1 (%)]:[Avance Semana 2 (%)]])),AND(tblAct_RO[[#This Row],[Avance Semana 4 (%)]]&lt;&gt;"",tblAct_RO[[#This Row],[Avance Semana 4 (%)]]&lt;MAX(tblAct_RO[[#This Row],[Avance Semana 1 (%)]:[Avance Semana 3 (%)]]))),"Avance semanal decreciente"&amp;" · ","")&amp;IF(AND(ISNUMBER(tblAct_RO[[#This Row],[Límite efectivo (aux)]]),tblAct_RO[[#This Row],[Límite efectivo (aux)]]&lt;FechaRef,N(tblAct_RO[[#This Row],[% de Avance Total Actual]])&lt;1),"Vencida"&amp;" · ","")&amp;IF(AND(ObsObligatoria="Sí",ISNUMBER(tblAct_RO[[#This Row],[Límite efectivo (aux)]]),tblAct_RO[[#This Row],[Límite efectivo (aux)]]&lt;FechaRef,N(tblAct_RO[[#This Row],[% de Avance Total Actual]])&lt;1,tblAct_RO[[#This Row],[Observaciones]]=""),"Vencida sin observación"&amp;" · ",""))="","✔ OK","⚠ "&amp;LEFT(IF(tblAct_RO[[#This Row],[Actividad]]="","Falta el nombre de la actividad"&amp;" · ","")&amp;IF(AND(tblAct_RO[[#This Row],[Tipo (aux)]]="Sub",N(tblAct_RO[[#This Row],[Grupo (aux)]])=0),"Subactividad sin macroactividad arriba"&amp;" · ","")&amp;IF(tblAct_RO[[#This Row],[Inicio efectivo (aux)]]="","Sin fecha de inicio"&amp;" · ","")&amp;IF(tblAct_RO[[#This Row],[Límite efectivo (aux)]]="","Sin fecha límite"&amp;" · ","")&amp;IF(AND(LEFT(tblAct_RO[[#This Row],[Actividad]],11)="[Jefatura] ",N(tblAct_RO[[#This Row],[Fila en Administración (aux)]])=0),"No se encuentra en la hoja de la jefatura (elíjala de nuevo en la lista)"&amp;" · ","")&amp;IF(OR(AND(tblAct_RO[[#This Row],[Fecha de inicio]]&lt;&gt;"",NOT(ISNUMBER(tblAct_RO[[#This Row],[Fecha de inicio]]))),AND(tblAct_RO[[#This Row],[Fecha límite]]&lt;&gt;"",NOT(ISNUMBER(tblAct_RO[[#This Row],[Fecha límite]]))),AND(tblAct_RO[[#This Row],[Fecha de cumplimiento]]&lt;&gt;"",NOT(ISNUMBER(tblAct_RO[[#This Row],[Fecha de cumplimiento]])))),"Fecha no válida"&amp;" · ","")&amp;IF(AND(ISNUMBER(tblAct_RO[[#This Row],[Inicio efectivo (aux)]]),ISNUMBER(tblAct_RO[[#This Row],[Límite efectivo (aux)]]),tblAct_RO[[#This Row],[Inicio efectivo (aux)]]&gt;tblAct_RO[[#This Row],[Límite efectivo (aux)]]),"Inicio posterior a fecha límite"&amp;" · ","")&amp;IF(AND(tblAct_RO[[#This Row],[Tipo (aux)]]="Macro",tblAct_RO[[#This Row],[Peso (%)]]&lt;&gt;"",OR(NOT(ISNUMBER(tblAct_RO[[#This Row],[Peso (%)]])),tblAct_RO[[#This Row],[Peso (%)]]&lt;0,tblAct_RO[[#This Row],[Peso (%)]]&gt;1)),"Peso fuera de rango"&amp;" · ","")&amp;IF(AND(tblAct_RO[[#This Row],[Tipo (aux)]]="Sub",tblAct_RO[[#This Row],[Peso (%)]]&lt;&gt;""),"Las subactividades no llevan peso (valen igual dentro de su macroactividad)"&amp;" · ","")&amp;IF(AND(N(tblAct_RO[[#This Row],[N subactividades (aux)]])&gt;0,COUNT(tblAct_RO[[#This Row],[Avance Semana 1 (%)]:[Avance Semana 4 (%)]])&gt;0),"Con subactividades: deje vacías las semanas (se calculan solas)"&amp;" · ","")&amp;IF((COUNTIF(tblAct_RO[[#This Row],[Avance Semana 1 (%)]:[Avance Semana 4 (%)]],"&gt;1")+COUNTIF(tblAct_RO[[#This Row],[Avance Semana 1 (%)]:[Avance Semana 4 (%)]],"&lt;0")+COUNTA(tblAct_RO[[#This Row],[Avance Semana 1 (%)]:[Avance Semana 4 (%)]])-COUNT(tblAct_RO[[#This Row],[Avance Semana 1 (%)]:[Avance Semana 4 (%)]]))&gt;0,"Avance fuera de rango 0-100%"&amp;" · ","")&amp;IF(OR(AND(tblAct_RO[[#This Row],[Avance Semana 2 (%)]]&lt;&gt;"",tblAct_RO[[#This Row],[Avance Semana 2 (%)]]&lt;tblAct_RO[[#This Row],[Avance Semana 1 (%)]]),AND(tblAct_RO[[#This Row],[Avance Semana 3 (%)]]&lt;&gt;"",tblAct_RO[[#This Row],[Avance Semana 3 (%)]]&lt;MAX(tblAct_RO[[#This Row],[Avance Semana 1 (%)]:[Avance Semana 2 (%)]])),AND(tblAct_RO[[#This Row],[Avance Semana 4 (%)]]&lt;&gt;"",tblAct_RO[[#This Row],[Avance Semana 4 (%)]]&lt;MAX(tblAct_RO[[#This Row],[Avance Semana 1 (%)]:[Avance Semana 3 (%)]]))),"Avance semanal decreciente"&amp;" · ","")&amp;IF(AND(ISNUMBER(tblAct_RO[[#This Row],[Límite efectivo (aux)]]),tblAct_RO[[#This Row],[Límite efectivo (aux)]]&lt;FechaRef,N(tblAct_RO[[#This Row],[% de Avance Total Actual]])&lt;1),"Vencida"&amp;" · ","")&amp;IF(AND(ObsObligatoria="Sí",ISNUMBER(tblAct_RO[[#This Row],[Límite efectivo (aux)]]),tblAct_RO[[#This Row],[Límite efectivo (aux)]]&lt;FechaRef,N(tblAct_RO[[#This Row],[% de Avance Total Actual]])&lt;1,tblAct_RO[[#This Row],[Observaciones]]=""),"Vencida sin observación"&amp;" · ",""),LEN(IF(tblAct_RO[[#This Row],[Actividad]]="","Falta el nombre de la actividad"&amp;" · ","")&amp;IF(AND(tblAct_RO[[#This Row],[Tipo (aux)]]="Sub",N(tblAct_RO[[#This Row],[Grupo (aux)]])=0),"Subactividad sin macroactividad arriba"&amp;" · ","")&amp;IF(tblAct_RO[[#This Row],[Inicio efectivo (aux)]]="","Sin fecha de inicio"&amp;" · ","")&amp;IF(tblAct_RO[[#This Row],[Límite efectivo (aux)]]="","Sin fecha límite"&amp;" · ","")&amp;IF(AND(LEFT(tblAct_RO[[#This Row],[Actividad]],11)="[Jefatura] ",N(tblAct_RO[[#This Row],[Fila en Administración (aux)]])=0),"No se encuentra en la hoja de la jefatura (elíjala de nuevo en la lista)"&amp;" · ","")&amp;IF(OR(AND(tblAct_RO[[#This Row],[Fecha de inicio]]&lt;&gt;"",NOT(ISNUMBER(tblAct_RO[[#This Row],[Fecha de inicio]]))),AND(tblAct_RO[[#This Row],[Fecha límite]]&lt;&gt;"",NOT(ISNUMBER(tblAct_RO[[#This Row],[Fecha límite]]))),AND(tblAct_RO[[#This Row],[Fecha de cumplimiento]]&lt;&gt;"",NOT(ISNUMBER(tblAct_RO[[#This Row],[Fecha de cumplimiento]])))),"Fecha no válida"&amp;" · ","")&amp;IF(AND(ISNUMBER(tblAct_RO[[#This Row],[Inicio efectivo (aux)]]),ISNUMBER(tblAct_RO[[#This Row],[Límite efectivo (aux)]]),tblAct_RO[[#This Row],[Inicio efectivo (aux)]]&gt;tblAct_RO[[#This Row],[Límite efectivo (aux)]]),"Inicio posterior a fecha límite"&amp;" · ","")&amp;IF(AND(tblAct_RO[[#This Row],[Tipo (aux)]]="Macro",tblAct_RO[[#This Row],[Peso (%)]]&lt;&gt;"",OR(NOT(ISNUMBER(tblAct_RO[[#This Row],[Peso (%)]])),tblAct_RO[[#This Row],[Peso (%)]]&lt;0,tblAct_RO[[#This Row],[Peso (%)]]&gt;1)),"Peso fuera de rango"&amp;" · ","")&amp;IF(AND(tblAct_RO[[#This Row],[Tipo (aux)]]="Sub",tblAct_RO[[#This Row],[Peso (%)]]&lt;&gt;""),"Las subactividades no llevan peso (valen igual dentro de su macroactividad)"&amp;" · ","")&amp;IF(AND(N(tblAct_RO[[#This Row],[N subactividades (aux)]])&gt;0,COUNT(tblAct_RO[[#This Row],[Avance Semana 1 (%)]:[Avance Semana 4 (%)]])&gt;0),"Con subactividades: deje vacías las semanas (se calculan solas)"&amp;" · ","")&amp;IF((COUNTIF(tblAct_RO[[#This Row],[Avance Semana 1 (%)]:[Avance Semana 4 (%)]],"&gt;1")+COUNTIF(tblAct_RO[[#This Row],[Avance Semana 1 (%)]:[Avance Semana 4 (%)]],"&lt;0")+COUNTA(tblAct_RO[[#This Row],[Avance Semana 1 (%)]:[Avance Semana 4 (%)]])-COUNT(tblAct_RO[[#This Row],[Avance Semana 1 (%)]:[Avance Semana 4 (%)]]))&gt;0,"Avance fuera de rango 0-100%"&amp;" · ","")&amp;IF(OR(AND(tblAct_RO[[#This Row],[Avance Semana 2 (%)]]&lt;&gt;"",tblAct_RO[[#This Row],[Avance Semana 2 (%)]]&lt;tblAct_RO[[#This Row],[Avance Semana 1 (%)]]),AND(tblAct_RO[[#This Row],[Avance Semana 3 (%)]]&lt;&gt;"",tblAct_RO[[#This Row],[Avance Semana 3 (%)]]&lt;MAX(tblAct_RO[[#This Row],[Avance Semana 1 (%)]:[Avance Semana 2 (%)]])),AND(tblAct_RO[[#This Row],[Avance Semana 4 (%)]]&lt;&gt;"",tblAct_RO[[#This Row],[Avance Semana 4 (%)]]&lt;MAX(tblAct_RO[[#This Row],[Avance Semana 1 (%)]:[Avance Semana 3 (%)]]))),"Avance semanal decreciente"&amp;" · ","")&amp;IF(AND(ISNUMBER(tblAct_RO[[#This Row],[Límite efectivo (aux)]]),tblAct_RO[[#This Row],[Límite efectivo (aux)]]&lt;FechaRef,N(tblAct_RO[[#This Row],[% de Avance Total Actual]])&lt;1),"Vencida"&amp;" · ","")&amp;IF(AND(ObsObligatoria="Sí",ISNUMBER(tblAct_RO[[#This Row],[Límite efectivo (aux)]]),tblAct_RO[[#This Row],[Límite efectivo (aux)]]&lt;FechaRef,N(tblAct_RO[[#This Row],[% de Avance Total Actual]])&lt;1,tblAct_RO[[#This Row],[Observaciones]]=""),"Vencida sin observación"&amp;" · ",""))-3)))</calculatedColumnFormula>
    </tableColumn>
    <tableColumn id="19" name="Mes">
      <calculatedColumnFormula>IF(NOT((COUNTA(tblAct_RO[[#This Row],[Tipo]:[Delegar a]])+COUNTA(tblAct_RO[[#This Row],[Fecha de cumplimiento]:[Avance Semana 4 (%)]])+COUNTA(tblAct_RO[[#This Row],[Observaciones]]))&gt;0),"",IF(AND(tblAct_RO[[#This Row],[Tipo (aux)]]="Sub",N(tblAct_RO[[#This Row],[Grupo (aux)]])&gt;0),IF(ISNUMBER(INDEX($AM$5:$AM$1000,tblAct_RO[[#This Row],[Grupo (aux)]]-4)),DATE(YEAR(INDEX($AM$5:$AM$1000,tblAct_RO[[#This Row],[Grupo (aux)]]-4)),MONTH(INDEX($AM$5:$AM$1000,tblAct_RO[[#This Row],[Grupo (aux)]]-4)),1),IF(ISNUMBER(INDEX($AN$5:$AN$1000,tblAct_RO[[#This Row],[Grupo (aux)]]-4)),DATE(YEAR(INDEX($AN$5:$AN$1000,tblAct_RO[[#This Row],[Grupo (aux)]]-4)),MONTH(INDEX($AN$5:$AN$1000,tblAct_RO[[#This Row],[Grupo (aux)]]-4)),1),MesCiclo)),IF(ISNUMBER(tblAct_RO[[#This Row],[Inicio efectivo (aux)]]),DATE(YEAR(tblAct_RO[[#This Row],[Inicio efectivo (aux)]]),MONTH(tblAct_RO[[#This Row],[Inicio efectivo (aux)]]),1),IF(ISNUMBER(tblAct_RO[[#This Row],[Límite efectivo (aux)]]),DATE(YEAR(tblAct_RO[[#This Row],[Límite efectivo (aux)]]),MONTH(tblAct_RO[[#This Row],[Límite efectivo (aux)]]),1),MesCiclo))))</calculatedColumnFormula>
    </tableColumn>
    <tableColumn id="20" name="Orden en el mes (aux)">
      <calculatedColumnFormula>IF(OR(tblAct_RO[[#This Row],[Mes]]="",tblAct_RO[[#This Row],[Mes]]&lt;&gt;MesCiclo),"",COUNTIF(INDEX(tblAct_RO[Mes],1):tblAct_RO[[#This Row],[Mes]],MesCiclo))</calculatedColumnFormula>
    </tableColumn>
    <tableColumn id="21" name="Grupo (aux)">
      <calculatedColumnFormula>IF(tblAct_RO[[#This Row],[Tipo (aux)]]="","",IF(tblAct_RO[[#This Row],[Tipo (aux)]]="Macro",ROW(),IFERROR(LOOKUP(2,1/(INDEX(tblAct_RO[Tipo (aux)],1):tblAct_RO[[#This Row],[Tipo (aux)]]="Macro"),ROW(INDEX(tblAct_RO[Tipo (aux)],1):tblAct_RO[[#This Row],[Tipo (aux)]])),0)))</calculatedColumnFormula>
    </tableColumn>
    <tableColumn id="22" name="Tipo (aux)">
      <calculatedColumnFormula>IF(NOT((COUNTA(tblAct_RO[[#This Row],[Tipo]:[Delegar a]])+COUNTA(tblAct_RO[[#This Row],[Fecha de cumplimiento]:[Avance Semana 4 (%)]])+COUNTA(tblAct_RO[[#This Row],[Observaciones]]))&gt;0),"",IF(tblAct_RO[[#This Row],[Tipo]]="Subactividad","Sub","Macro"))</calculatedColumnFormula>
    </tableColumn>
    <tableColumn id="23" name="N subactividades (aux)">
      <calculatedColumnFormula>IF(tblAct_RO[[#This Row],[Tipo (aux)]]="Macro",COUNTIFS($U$5:$U$1000,ROW(),$V$5:$V$1000,"Sub"),"")</calculatedColumnFormula>
    </tableColumn>
    <tableColumn id="24" name="Avance propio (aux)">
      <calculatedColumnFormula>IF(tblAct_RO[[#This Row],[Tipo (aux)]]="","",IF(ISNUMBER(tblAct_RO[[#This Row],[Fecha de cumplimiento]]),1,IFERROR(LOOKUP(2,1/(tblAct_RO[[#This Row],[Avance Semana 1 (%)]:[Avance Semana 4 (%)]]&lt;&gt;""),tblAct_RO[[#This Row],[Avance Semana 1 (%)]:[Avance Semana 4 (%)]]),0)))</calculatedColumnFormula>
    </tableColumn>
    <tableColumn id="25" name="Propio S1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Row],[Mes]]),7))+6),1,IF(ISNUMBER(tblAct_RO[[#This Row],[Avance Semana 1 (%)]]),tblAct_RO[[#This Row],[Avance Semana 1 (%)]],0)))</calculatedColumnFormula>
    </tableColumn>
    <tableColumn id="26" name="Propio S2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Row],[Mes]]),7))+13),1,IF(ISNUMBER(tblAct_RO[[#This Row],[Avance Semana 2 (%)]]),tblAct_RO[[#This Row],[Avance Semana 2 (%)]],tblAct_RO[[#This Row],[Propio S1 (aux)]])))</calculatedColumnFormula>
    </tableColumn>
    <tableColumn id="27" name="Propio S3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Row],[Mes]]),7))+20),1,IF(ISNUMBER(tblAct_RO[[#This Row],[Avance Semana 3 (%)]]),tblAct_RO[[#This Row],[Avance Semana 3 (%)]],tblAct_RO[[#This Row],[Propio S2 (aux)]])))</calculatedColumnFormula>
    </tableColumn>
    <tableColumn id="28" name="Propio S4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Row],[Mes]]),7))+27),1,IF(ISNUMBER(tblAct_RO[[#This Row],[Avance Semana 4 (%)]]),tblAct_RO[[#This Row],[Avance Semana 4 (%)]],tblAct_RO[[#This Row],[Propio S3 (aux)]])))</calculatedColumnFormula>
    </tableColumn>
    <tableColumn id="29" name="Efectivo S1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Row],[Mes]]),7))+6),1,IF(N(tblAct_RO[[#This Row],[N subactividades (aux)]])&gt;0,AVERAGEIFS($Y$5:$Y$1000,$U$5:$U$1000,ROW(),$V$5:$V$1000,"Sub"),tblAct_RO[[#This Row],[Propio S1 (aux)]])))</calculatedColumnFormula>
    </tableColumn>
    <tableColumn id="30" name="Efectivo S2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Row],[Mes]]),7))+13),1,IF(N(tblAct_RO[[#This Row],[N subactividades (aux)]])&gt;0,AVERAGEIFS($Z$5:$Z$1000,$U$5:$U$1000,ROW(),$V$5:$V$1000,"Sub"),tblAct_RO[[#This Row],[Propio S2 (aux)]])))</calculatedColumnFormula>
    </tableColumn>
    <tableColumn id="31" name="Efectivo S3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Row],[Mes]]),7))+20),1,IF(N(tblAct_RO[[#This Row],[N subactividades (aux)]])&gt;0,AVERAGEIFS($AA$5:$AA$1000,$U$5:$U$1000,ROW(),$V$5:$V$1000,"Sub"),tblAct_RO[[#This Row],[Propio S3 (aux)]])))</calculatedColumnFormula>
    </tableColumn>
    <tableColumn id="32" name="Efectivo S4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Row],[Mes]]),7))+27),1,IF(N(tblAct_RO[[#This Row],[N subactividades (aux)]])&gt;0,AVERAGEIFS($AB$5:$AB$1000,$U$5:$U$1000,ROW(),$V$5:$V$1000,"Sub"),tblAct_RO[[#This Row],[Propio S4 (aux)]])))</calculatedColumnFormula>
    </tableColumn>
    <tableColumn id="33" name="Peso efectivo (aux)">
      <calculatedColumnFormula>IF(tblAct_RO[[#This Row],[Tipo (aux)]]&lt;&gt;"Macro","",IF(COUNTIFS($S$5:$S$1000,tblAct_RO[[#This Row],[Mes]],$V$5:$V$1000,"Macro",$H$5:$H$1000,"&gt;0")=0,1/COUNTIFS($S$5:$S$1000,tblAct_RO[[#This Row],[Mes]],$V$5:$V$1000,"Macro"),IF(AND(ISNUMBER(tblAct_RO[[#This Row],[Peso (%)]]),N(tblAct_RO[[#This Row],[Peso (%)]])&gt;0),tblAct_RO[[#This Row],[Peso (%)]],SUMIFS($H$5:$H$1000,$S$5:$S$1000,tblAct_RO[[#This Row],[Mes]],$V$5:$V$1000,"Macro")/COUNTIFS($S$5:$S$1000,tblAct_RO[[#This Row],[Mes]],$V$5:$V$1000,"Macro",$H$5:$H$1000,"&gt;0"))/(COUNTIFS($S$5:$S$1000,tblAct_RO[[#This Row],[Mes]],$V$5:$V$1000,"Macro")*SUMIFS($H$5:$H$1000,$S$5:$S$1000,tblAct_RO[[#This Row],[Mes]],$V$5:$V$1000,"Macro")/COUNTIFS($S$5:$S$1000,tblAct_RO[[#This Row],[Mes]],$V$5:$V$1000,"Macro",$H$5:$H$1000,"&gt;0"))))</calculatedColumnFormula>
    </tableColumn>
    <tableColumn id="34" name="Fila en el puesto (aux)"/>
    <tableColumn id="35" name="N° delegada en el mes (aux)"/>
    <tableColumn id="36" name="Clave delegada (aux)"/>
    <tableColumn id="37" name="Clave puesto-actividad (aux)"/>
    <tableColumn id="38" name="Fila en Administración (aux)">
      <calculatedColumnFormula>IF(LEFT(tblAct_RO[[#This Row],[Actividad]],11)="[Jefatura] ",IFERROR(MATCH("Riesgo Operacional|"&amp;MID(tblAct_RO[[#This Row],[Actividad]],12,500),rDname_ADM,0),0),"")</calculatedColumnFormula>
    </tableColumn>
    <tableColumn id="39" name="Inicio efectivo (aux)">
      <calculatedColumnFormula>IF(N(tblAct_RO[[#This Row],[Fila en Administración (aux)]])&gt;0,INDEX(rIni_ADM,tblAct_RO[[#This Row],[Fila en Administración (aux)]]),IF(ISNUMBER(tblAct_RO[[#This Row],[Fecha de inicio]]),tblAct_RO[[#This Row],[Fecha de inicio]],""))</calculatedColumnFormula>
    </tableColumn>
    <tableColumn id="40" name="Límite efectivo (aux)">
      <calculatedColumnFormula>IF(N(tblAct_RO[[#This Row],[Fila en Administración (aux)]])&gt;0,INDEX(rLim_ADM,tblAct_RO[[#This Row],[Fila en Administración (aux)]]),IF(ISNUMBER(tblAct_RO[[#This Row],[Fecha límite]]),tblAct_RO[[#This Row],[Fecha límite]],""))</calculatedColumnFormula>
    </tableColumn>
  </tableColumns>
  <tableStyleInfo name="TableStyleLight1" showRowStripes="0"/>
</table>
</file>

<file path=xl/tables/table3.xml><?xml version="1.0" encoding="utf-8"?>
<table xmlns="http://schemas.openxmlformats.org/spreadsheetml/2006/main" id="3" name="tblSem_RO" displayName="tblSem_RO" ref="A4:M104" headerRowCount="1">
  <autoFilter ref="A4:M104"/>
  <tableColumns count="13">
    <tableColumn id="1" name="N°"/>
    <tableColumn id="2" name="Actividad"/>
    <tableColumn id="3" name="Fecha de inicio"/>
    <tableColumn id="4" name="Fecha límite"/>
    <tableColumn id="5" name="Semana de entrega"/>
    <tableColumn id="6" name="Semana 1"/>
    <tableColumn id="7" name="Semana 2"/>
    <tableColumn id="8" name="Semana 3"/>
    <tableColumn id="9" name="Semana 4"/>
    <tableColumn id="10" name="% Avance actual"/>
    <tableColumn id="11" name="Estado"/>
    <tableColumn id="12" name="Alerta de plazo"/>
    <tableColumn id="13" name="Observaciones"/>
  </tableColumns>
  <tableStyleInfo name="TableStyleLight1" showRowStripes="0"/>
</table>
</file>

<file path=xl/tables/table4.xml><?xml version="1.0" encoding="utf-8"?>
<table xmlns="http://schemas.openxmlformats.org/spreadsheetml/2006/main" id="4" name="tblAct_RN" displayName="tblAct_RN" ref="A4:AN304" headerRowCount="1">
  <autoFilter ref="A4:AN304"/>
  <tableColumns count="40">
    <tableColumn id="1" name="N°">
      <calculatedColumnFormula>IF(NOT((COUNTA(tblAct_RN[[#This Row],[Tipo]:[Delegar a]])+COUNTA(tblAct_RN[[#This Row],[Fecha de cumplimiento]:[Avance Semana 4 (%)]])+COUNTA(tblAct_RN[[#This Row],[Observaciones]]))&gt;0),"",IF(tblAct_RN[[#This Row],[Tipo (aux)]]="Macro",COUNTIFS(INDEX(tblAct_RN[Tipo (aux)],1):tblAct_RN[[#This Row],[Tipo (aux)]],"Macro",INDEX(tblAct_RN[Mes],1):tblAct_RN[[#This Row],[Mes]],tblAct_RN[[#This Row],[Mes]]),IF(N(tblAct_RN[[#This Row],[Grupo (aux)]])=0,"?",COUNTIFS(INDEX($V$5:$V$1000,1):INDEX($V$5:$V$1000,tblAct_RN[[#This Row],[Grupo (aux)]]-4),"Macro",INDEX($S$5:$S$1000,1):INDEX($S$5:$S$1000,tblAct_RN[[#This Row],[Grupo (aux)]]-4),INDEX($S$5:$S$1000,tblAct_RN[[#This Row],[Grupo (aux)]]-4))&amp;"."&amp;COUNTIFS(INDEX(tblAct_RN[Grupo (aux)],1):tblAct_RN[[#This Row],[Grupo (aux)]],tblAct_RN[[#This Row],[Grupo (aux)]],INDEX(tblAct_RN[Tipo (aux)],1):tblAct_RN[[#This Row],[Tipo (aux)]],"Sub"))))</calculatedColumnFormula>
    </tableColumn>
    <tableColumn id="2" name="Tipo"/>
    <tableColumn id="3" name="Actividad"/>
    <tableColumn id="4" name="Delegar a"/>
    <tableColumn id="5" name="Fecha de inicio"/>
    <tableColumn id="6" name="Fecha límite"/>
    <tableColumn id="7" name="Fecha de cumplimiento"/>
    <tableColumn id="8" name="Peso (%)"/>
    <tableColumn id="9" name="Avance Semana 1 (%)"/>
    <tableColumn id="10" name="Avance Semana 2 (%)"/>
    <tableColumn id="11" name="Avance Semana 3 (%)"/>
    <tableColumn id="12" name="Avance Semana 4 (%)"/>
    <tableColumn id="13" name="% de Avance Total Actual">
      <calculatedColumnFormula>IF(NOT((COUNTA(tblAct_RN[[#This Row],[Tipo]:[Delegar a]])+COUNTA(tblAct_RN[[#This Row],[Fecha de cumplimiento]:[Avance Semana 4 (%)]])+COUNTA(tblAct_RN[[#This Row],[Observaciones]]))&gt;0),"",IF(ISNUMBER(tblAct_RN[[#This Row],[Fecha de cumplimiento]]),1,IF(N(tblAct_RN[[#This Row],[N subactividades (aux)]])&gt;0,AVERAGEIFS($X$5:$X$1000,$U$5:$U$1000,ROW(),$V$5:$V$1000,"Sub"),tblAct_RN[[#This Row],[Avance propio (aux)]])))</calculatedColumnFormula>
    </tableColumn>
    <tableColumn id="14" name="Estado">
      <calculatedColumnFormula>IF(tblAct_RN[[#This Row],[% de Avance Total Actual]]="","",IF(tblAct_RN[[#This Row],[% de Avance Total Actual]]&gt;=1,"Completado",IF(tblAct_RN[[#This Row],[% de Avance Total Actual]]&gt;0,"En curso","Pendiente")))</calculatedColumnFormula>
    </tableColumn>
    <tableColumn id="15" name="Alerta de plazo">
      <calculatedColumnFormula>IF(NOT((COUNTA(tblAct_RN[[#This Row],[Tipo]:[Delegar a]])+COUNTA(tblAct_RN[[#This Row],[Fecha de cumplimiento]:[Avance Semana 4 (%)]])+COUNTA(tblAct_RN[[#This Row],[Observaciones]]))&gt;0),"",IF(ISNUMBER(tblAct_RN[[#This Row],[Fecha de cumplimiento]]),IF(AND(ISNUMBER(tblAct_RN[[#This Row],[Límite efectivo (aux)]]),tblAct_RN[[#This Row],[Fecha de cumplimiento]]&gt;tblAct_RN[[#This Row],[Límite efectivo (aux)]]),"Cumplida con "&amp;(tblAct_RN[[#This Row],[Fecha de cumplimiento]]-tblAct_RN[[#This Row],[Límite efectivo (aux)]])&amp;IF(tblAct_RN[[#This Row],[Fecha de cumplimiento]]-tblAct_RN[[#This Row],[Límite efectivo (aux)]]=1," día"," días")&amp;" de retraso","Cumplida"),IF(N(tblAct_RN[[#This Row],[% de Avance Total Actual]])&gt;=1,"Cumplida",IF(NOT(ISNUMBER(tblAct_RN[[#This Row],[Límite efectivo (aux)]])),"Sin fecha límite",IF(tblAct_RN[[#This Row],[Límite efectivo (aux)]]&lt;FechaRef,"Vencida hace "&amp;(FechaRef-tblAct_RN[[#This Row],[Límite efectivo (aux)]])&amp;IF(FechaRef-tblAct_RN[[#This Row],[Límite efectivo (aux)]]=1," día"," días"),IF(tblAct_RN[[#This Row],[Límite efectivo (aux)]]=FechaRef,"Vence hoy",IF(tblAct_RN[[#This Row],[Límite efectivo (aux)]]-FechaRef&lt;=DiasAlerta,"Vence en "&amp;(tblAct_RN[[#This Row],[Límite efectivo (aux)]]-FechaRef)&amp;IF(tblAct_RN[[#This Row],[Límite efectivo (aux)]]-FechaRef=1," día"," días"),"En plazo")))))))</calculatedColumnFormula>
    </tableColumn>
    <tableColumn id="16" name="Seguimiento de la delegación"/>
    <tableColumn id="17" name="Observaciones"/>
    <tableColumn id="18" name="Revisión automática (alertas)">
      <calculatedColumnFormula>IF(NOT((COUNTA(tblAct_RN[[#This Row],[Tipo]:[Delegar a]])+COUNTA(tblAct_RN[[#This Row],[Fecha de cumplimiento]:[Avance Semana 4 (%)]])+COUNTA(tblAct_RN[[#This Row],[Observaciones]]))&gt;0),"",IF((IF(tblAct_RN[[#This Row],[Actividad]]="","Falta el nombre de la actividad"&amp;" · ","")&amp;IF(AND(tblAct_RN[[#This Row],[Tipo (aux)]]="Sub",N(tblAct_RN[[#This Row],[Grupo (aux)]])=0),"Subactividad sin macroactividad arriba"&amp;" · ","")&amp;IF(tblAct_RN[[#This Row],[Inicio efectivo (aux)]]="","Sin fecha de inicio"&amp;" · ","")&amp;IF(tblAct_RN[[#This Row],[Límite efectivo (aux)]]="","Sin fecha límite"&amp;" · ","")&amp;IF(AND(LEFT(tblAct_RN[[#This Row],[Actividad]],11)="[Jefatura] ",N(tblAct_RN[[#This Row],[Fila en Administración (aux)]])=0),"No se encuentra en la hoja de la jefatura (elíjala de nuevo en la lista)"&amp;" · ","")&amp;IF(OR(AND(tblAct_RN[[#This Row],[Fecha de inicio]]&lt;&gt;"",NOT(ISNUMBER(tblAct_RN[[#This Row],[Fecha de inicio]]))),AND(tblAct_RN[[#This Row],[Fecha límite]]&lt;&gt;"",NOT(ISNUMBER(tblAct_RN[[#This Row],[Fecha límite]]))),AND(tblAct_RN[[#This Row],[Fecha de cumplimiento]]&lt;&gt;"",NOT(ISNUMBER(tblAct_RN[[#This Row],[Fecha de cumplimiento]])))),"Fecha no válida"&amp;" · ","")&amp;IF(AND(ISNUMBER(tblAct_RN[[#This Row],[Inicio efectivo (aux)]]),ISNUMBER(tblAct_RN[[#This Row],[Límite efectivo (aux)]]),tblAct_RN[[#This Row],[Inicio efectivo (aux)]]&gt;tblAct_RN[[#This Row],[Límite efectivo (aux)]]),"Inicio posterior a fecha límite"&amp;" · ","")&amp;IF(AND(tblAct_RN[[#This Row],[Tipo (aux)]]="Macro",tblAct_RN[[#This Row],[Peso (%)]]&lt;&gt;"",OR(NOT(ISNUMBER(tblAct_RN[[#This Row],[Peso (%)]])),tblAct_RN[[#This Row],[Peso (%)]]&lt;0,tblAct_RN[[#This Row],[Peso (%)]]&gt;1)),"Peso fuera de rango"&amp;" · ","")&amp;IF(AND(tblAct_RN[[#This Row],[Tipo (aux)]]="Sub",tblAct_RN[[#This Row],[Peso (%)]]&lt;&gt;""),"Las subactividades no llevan peso (valen igual dentro de su macroactividad)"&amp;" · ","")&amp;IF(AND(N(tblAct_RN[[#This Row],[N subactividades (aux)]])&gt;0,COUNT(tblAct_RN[[#This Row],[Avance Semana 1 (%)]:[Avance Semana 4 (%)]])&gt;0),"Con subactividades: deje vacías las semanas (se calculan solas)"&amp;" · ","")&amp;IF((COUNTIF(tblAct_RN[[#This Row],[Avance Semana 1 (%)]:[Avance Semana 4 (%)]],"&gt;1")+COUNTIF(tblAct_RN[[#This Row],[Avance Semana 1 (%)]:[Avance Semana 4 (%)]],"&lt;0")+COUNTA(tblAct_RN[[#This Row],[Avance Semana 1 (%)]:[Avance Semana 4 (%)]])-COUNT(tblAct_RN[[#This Row],[Avance Semana 1 (%)]:[Avance Semana 4 (%)]]))&gt;0,"Avance fuera de rango 0-100%"&amp;" · ","")&amp;IF(OR(AND(tblAct_RN[[#This Row],[Avance Semana 2 (%)]]&lt;&gt;"",tblAct_RN[[#This Row],[Avance Semana 2 (%)]]&lt;tblAct_RN[[#This Row],[Avance Semana 1 (%)]]),AND(tblAct_RN[[#This Row],[Avance Semana 3 (%)]]&lt;&gt;"",tblAct_RN[[#This Row],[Avance Semana 3 (%)]]&lt;MAX(tblAct_RN[[#This Row],[Avance Semana 1 (%)]:[Avance Semana 2 (%)]])),AND(tblAct_RN[[#This Row],[Avance Semana 4 (%)]]&lt;&gt;"",tblAct_RN[[#This Row],[Avance Semana 4 (%)]]&lt;MAX(tblAct_RN[[#This Row],[Avance Semana 1 (%)]:[Avance Semana 3 (%)]]))),"Avance semanal decreciente"&amp;" · ","")&amp;IF(AND(ISNUMBER(tblAct_RN[[#This Row],[Límite efectivo (aux)]]),tblAct_RN[[#This Row],[Límite efectivo (aux)]]&lt;FechaRef,N(tblAct_RN[[#This Row],[% de Avance Total Actual]])&lt;1),"Vencida"&amp;" · ","")&amp;IF(AND(ObsObligatoria="Sí",ISNUMBER(tblAct_RN[[#This Row],[Límite efectivo (aux)]]),tblAct_RN[[#This Row],[Límite efectivo (aux)]]&lt;FechaRef,N(tblAct_RN[[#This Row],[% de Avance Total Actual]])&lt;1,tblAct_RN[[#This Row],[Observaciones]]=""),"Vencida sin observación"&amp;" · ",""))="","✔ OK","⚠ "&amp;LEFT(IF(tblAct_RN[[#This Row],[Actividad]]="","Falta el nombre de la actividad"&amp;" · ","")&amp;IF(AND(tblAct_RN[[#This Row],[Tipo (aux)]]="Sub",N(tblAct_RN[[#This Row],[Grupo (aux)]])=0),"Subactividad sin macroactividad arriba"&amp;" · ","")&amp;IF(tblAct_RN[[#This Row],[Inicio efectivo (aux)]]="","Sin fecha de inicio"&amp;" · ","")&amp;IF(tblAct_RN[[#This Row],[Límite efectivo (aux)]]="","Sin fecha límite"&amp;" · ","")&amp;IF(AND(LEFT(tblAct_RN[[#This Row],[Actividad]],11)="[Jefatura] ",N(tblAct_RN[[#This Row],[Fila en Administración (aux)]])=0),"No se encuentra en la hoja de la jefatura (elíjala de nuevo en la lista)"&amp;" · ","")&amp;IF(OR(AND(tblAct_RN[[#This Row],[Fecha de inicio]]&lt;&gt;"",NOT(ISNUMBER(tblAct_RN[[#This Row],[Fecha de inicio]]))),AND(tblAct_RN[[#This Row],[Fecha límite]]&lt;&gt;"",NOT(ISNUMBER(tblAct_RN[[#This Row],[Fecha límite]]))),AND(tblAct_RN[[#This Row],[Fecha de cumplimiento]]&lt;&gt;"",NOT(ISNUMBER(tblAct_RN[[#This Row],[Fecha de cumplimiento]])))),"Fecha no válida"&amp;" · ","")&amp;IF(AND(ISNUMBER(tblAct_RN[[#This Row],[Inicio efectivo (aux)]]),ISNUMBER(tblAct_RN[[#This Row],[Límite efectivo (aux)]]),tblAct_RN[[#This Row],[Inicio efectivo (aux)]]&gt;tblAct_RN[[#This Row],[Límite efectivo (aux)]]),"Inicio posterior a fecha límite"&amp;" · ","")&amp;IF(AND(tblAct_RN[[#This Row],[Tipo (aux)]]="Macro",tblAct_RN[[#This Row],[Peso (%)]]&lt;&gt;"",OR(NOT(ISNUMBER(tblAct_RN[[#This Row],[Peso (%)]])),tblAct_RN[[#This Row],[Peso (%)]]&lt;0,tblAct_RN[[#This Row],[Peso (%)]]&gt;1)),"Peso fuera de rango"&amp;" · ","")&amp;IF(AND(tblAct_RN[[#This Row],[Tipo (aux)]]="Sub",tblAct_RN[[#This Row],[Peso (%)]]&lt;&gt;""),"Las subactividades no llevan peso (valen igual dentro de su macroactividad)"&amp;" · ","")&amp;IF(AND(N(tblAct_RN[[#This Row],[N subactividades (aux)]])&gt;0,COUNT(tblAct_RN[[#This Row],[Avance Semana 1 (%)]:[Avance Semana 4 (%)]])&gt;0),"Con subactividades: deje vacías las semanas (se calculan solas)"&amp;" · ","")&amp;IF((COUNTIF(tblAct_RN[[#This Row],[Avance Semana 1 (%)]:[Avance Semana 4 (%)]],"&gt;1")+COUNTIF(tblAct_RN[[#This Row],[Avance Semana 1 (%)]:[Avance Semana 4 (%)]],"&lt;0")+COUNTA(tblAct_RN[[#This Row],[Avance Semana 1 (%)]:[Avance Semana 4 (%)]])-COUNT(tblAct_RN[[#This Row],[Avance Semana 1 (%)]:[Avance Semana 4 (%)]]))&gt;0,"Avance fuera de rango 0-100%"&amp;" · ","")&amp;IF(OR(AND(tblAct_RN[[#This Row],[Avance Semana 2 (%)]]&lt;&gt;"",tblAct_RN[[#This Row],[Avance Semana 2 (%)]]&lt;tblAct_RN[[#This Row],[Avance Semana 1 (%)]]),AND(tblAct_RN[[#This Row],[Avance Semana 3 (%)]]&lt;&gt;"",tblAct_RN[[#This Row],[Avance Semana 3 (%)]]&lt;MAX(tblAct_RN[[#This Row],[Avance Semana 1 (%)]:[Avance Semana 2 (%)]])),AND(tblAct_RN[[#This Row],[Avance Semana 4 (%)]]&lt;&gt;"",tblAct_RN[[#This Row],[Avance Semana 4 (%)]]&lt;MAX(tblAct_RN[[#This Row],[Avance Semana 1 (%)]:[Avance Semana 3 (%)]]))),"Avance semanal decreciente"&amp;" · ","")&amp;IF(AND(ISNUMBER(tblAct_RN[[#This Row],[Límite efectivo (aux)]]),tblAct_RN[[#This Row],[Límite efectivo (aux)]]&lt;FechaRef,N(tblAct_RN[[#This Row],[% de Avance Total Actual]])&lt;1),"Vencida"&amp;" · ","")&amp;IF(AND(ObsObligatoria="Sí",ISNUMBER(tblAct_RN[[#This Row],[Límite efectivo (aux)]]),tblAct_RN[[#This Row],[Límite efectivo (aux)]]&lt;FechaRef,N(tblAct_RN[[#This Row],[% de Avance Total Actual]])&lt;1,tblAct_RN[[#This Row],[Observaciones]]=""),"Vencida sin observación"&amp;" · ",""),LEN(IF(tblAct_RN[[#This Row],[Actividad]]="","Falta el nombre de la actividad"&amp;" · ","")&amp;IF(AND(tblAct_RN[[#This Row],[Tipo (aux)]]="Sub",N(tblAct_RN[[#This Row],[Grupo (aux)]])=0),"Subactividad sin macroactividad arriba"&amp;" · ","")&amp;IF(tblAct_RN[[#This Row],[Inicio efectivo (aux)]]="","Sin fecha de inicio"&amp;" · ","")&amp;IF(tblAct_RN[[#This Row],[Límite efectivo (aux)]]="","Sin fecha límite"&amp;" · ","")&amp;IF(AND(LEFT(tblAct_RN[[#This Row],[Actividad]],11)="[Jefatura] ",N(tblAct_RN[[#This Row],[Fila en Administración (aux)]])=0),"No se encuentra en la hoja de la jefatura (elíjala de nuevo en la lista)"&amp;" · ","")&amp;IF(OR(AND(tblAct_RN[[#This Row],[Fecha de inicio]]&lt;&gt;"",NOT(ISNUMBER(tblAct_RN[[#This Row],[Fecha de inicio]]))),AND(tblAct_RN[[#This Row],[Fecha límite]]&lt;&gt;"",NOT(ISNUMBER(tblAct_RN[[#This Row],[Fecha límite]]))),AND(tblAct_RN[[#This Row],[Fecha de cumplimiento]]&lt;&gt;"",NOT(ISNUMBER(tblAct_RN[[#This Row],[Fecha de cumplimiento]])))),"Fecha no válida"&amp;" · ","")&amp;IF(AND(ISNUMBER(tblAct_RN[[#This Row],[Inicio efectivo (aux)]]),ISNUMBER(tblAct_RN[[#This Row],[Límite efectivo (aux)]]),tblAct_RN[[#This Row],[Inicio efectivo (aux)]]&gt;tblAct_RN[[#This Row],[Límite efectivo (aux)]]),"Inicio posterior a fecha límite"&amp;" · ","")&amp;IF(AND(tblAct_RN[[#This Row],[Tipo (aux)]]="Macro",tblAct_RN[[#This Row],[Peso (%)]]&lt;&gt;"",OR(NOT(ISNUMBER(tblAct_RN[[#This Row],[Peso (%)]])),tblAct_RN[[#This Row],[Peso (%)]]&lt;0,tblAct_RN[[#This Row],[Peso (%)]]&gt;1)),"Peso fuera de rango"&amp;" · ","")&amp;IF(AND(tblAct_RN[[#This Row],[Tipo (aux)]]="Sub",tblAct_RN[[#This Row],[Peso (%)]]&lt;&gt;""),"Las subactividades no llevan peso (valen igual dentro de su macroactividad)"&amp;" · ","")&amp;IF(AND(N(tblAct_RN[[#This Row],[N subactividades (aux)]])&gt;0,COUNT(tblAct_RN[[#This Row],[Avance Semana 1 (%)]:[Avance Semana 4 (%)]])&gt;0),"Con subactividades: deje vacías las semanas (se calculan solas)"&amp;" · ","")&amp;IF((COUNTIF(tblAct_RN[[#This Row],[Avance Semana 1 (%)]:[Avance Semana 4 (%)]],"&gt;1")+COUNTIF(tblAct_RN[[#This Row],[Avance Semana 1 (%)]:[Avance Semana 4 (%)]],"&lt;0")+COUNTA(tblAct_RN[[#This Row],[Avance Semana 1 (%)]:[Avance Semana 4 (%)]])-COUNT(tblAct_RN[[#This Row],[Avance Semana 1 (%)]:[Avance Semana 4 (%)]]))&gt;0,"Avance fuera de rango 0-100%"&amp;" · ","")&amp;IF(OR(AND(tblAct_RN[[#This Row],[Avance Semana 2 (%)]]&lt;&gt;"",tblAct_RN[[#This Row],[Avance Semana 2 (%)]]&lt;tblAct_RN[[#This Row],[Avance Semana 1 (%)]]),AND(tblAct_RN[[#This Row],[Avance Semana 3 (%)]]&lt;&gt;"",tblAct_RN[[#This Row],[Avance Semana 3 (%)]]&lt;MAX(tblAct_RN[[#This Row],[Avance Semana 1 (%)]:[Avance Semana 2 (%)]])),AND(tblAct_RN[[#This Row],[Avance Semana 4 (%)]]&lt;&gt;"",tblAct_RN[[#This Row],[Avance Semana 4 (%)]]&lt;MAX(tblAct_RN[[#This Row],[Avance Semana 1 (%)]:[Avance Semana 3 (%)]]))),"Avance semanal decreciente"&amp;" · ","")&amp;IF(AND(ISNUMBER(tblAct_RN[[#This Row],[Límite efectivo (aux)]]),tblAct_RN[[#This Row],[Límite efectivo (aux)]]&lt;FechaRef,N(tblAct_RN[[#This Row],[% de Avance Total Actual]])&lt;1),"Vencida"&amp;" · ","")&amp;IF(AND(ObsObligatoria="Sí",ISNUMBER(tblAct_RN[[#This Row],[Límite efectivo (aux)]]),tblAct_RN[[#This Row],[Límite efectivo (aux)]]&lt;FechaRef,N(tblAct_RN[[#This Row],[% de Avance Total Actual]])&lt;1,tblAct_RN[[#This Row],[Observaciones]]=""),"Vencida sin observación"&amp;" · ",""))-3)))</calculatedColumnFormula>
    </tableColumn>
    <tableColumn id="19" name="Mes">
      <calculatedColumnFormula>IF(NOT((COUNTA(tblAct_RN[[#This Row],[Tipo]:[Delegar a]])+COUNTA(tblAct_RN[[#This Row],[Fecha de cumplimiento]:[Avance Semana 4 (%)]])+COUNTA(tblAct_RN[[#This Row],[Observaciones]]))&gt;0),"",IF(AND(tblAct_RN[[#This Row],[Tipo (aux)]]="Sub",N(tblAct_RN[[#This Row],[Grupo (aux)]])&gt;0),IF(ISNUMBER(INDEX($AM$5:$AM$1000,tblAct_RN[[#This Row],[Grupo (aux)]]-4)),DATE(YEAR(INDEX($AM$5:$AM$1000,tblAct_RN[[#This Row],[Grupo (aux)]]-4)),MONTH(INDEX($AM$5:$AM$1000,tblAct_RN[[#This Row],[Grupo (aux)]]-4)),1),IF(ISNUMBER(INDEX($AN$5:$AN$1000,tblAct_RN[[#This Row],[Grupo (aux)]]-4)),DATE(YEAR(INDEX($AN$5:$AN$1000,tblAct_RN[[#This Row],[Grupo (aux)]]-4)),MONTH(INDEX($AN$5:$AN$1000,tblAct_RN[[#This Row],[Grupo (aux)]]-4)),1),MesCiclo)),IF(ISNUMBER(tblAct_RN[[#This Row],[Inicio efectivo (aux)]]),DATE(YEAR(tblAct_RN[[#This Row],[Inicio efectivo (aux)]]),MONTH(tblAct_RN[[#This Row],[Inicio efectivo (aux)]]),1),IF(ISNUMBER(tblAct_RN[[#This Row],[Límite efectivo (aux)]]),DATE(YEAR(tblAct_RN[[#This Row],[Límite efectivo (aux)]]),MONTH(tblAct_RN[[#This Row],[Límite efectivo (aux)]]),1),MesCiclo))))</calculatedColumnFormula>
    </tableColumn>
    <tableColumn id="20" name="Orden en el mes (aux)">
      <calculatedColumnFormula>IF(OR(tblAct_RN[[#This Row],[Mes]]="",tblAct_RN[[#This Row],[Mes]]&lt;&gt;MesCiclo),"",COUNTIF(INDEX(tblAct_RN[Mes],1):tblAct_RN[[#This Row],[Mes]],MesCiclo))</calculatedColumnFormula>
    </tableColumn>
    <tableColumn id="21" name="Grupo (aux)">
      <calculatedColumnFormula>IF(tblAct_RN[[#This Row],[Tipo (aux)]]="","",IF(tblAct_RN[[#This Row],[Tipo (aux)]]="Macro",ROW(),IFERROR(LOOKUP(2,1/(INDEX(tblAct_RN[Tipo (aux)],1):tblAct_RN[[#This Row],[Tipo (aux)]]="Macro"),ROW(INDEX(tblAct_RN[Tipo (aux)],1):tblAct_RN[[#This Row],[Tipo (aux)]])),0)))</calculatedColumnFormula>
    </tableColumn>
    <tableColumn id="22" name="Tipo (aux)">
      <calculatedColumnFormula>IF(NOT((COUNTA(tblAct_RN[[#This Row],[Tipo]:[Delegar a]])+COUNTA(tblAct_RN[[#This Row],[Fecha de cumplimiento]:[Avance Semana 4 (%)]])+COUNTA(tblAct_RN[[#This Row],[Observaciones]]))&gt;0),"",IF(tblAct_RN[[#This Row],[Tipo]]="Subactividad","Sub","Macro"))</calculatedColumnFormula>
    </tableColumn>
    <tableColumn id="23" name="N subactividades (aux)">
      <calculatedColumnFormula>IF(tblAct_RN[[#This Row],[Tipo (aux)]]="Macro",COUNTIFS($U$5:$U$1000,ROW(),$V$5:$V$1000,"Sub"),"")</calculatedColumnFormula>
    </tableColumn>
    <tableColumn id="24" name="Avance propio (aux)">
      <calculatedColumnFormula>IF(tblAct_RN[[#This Row],[Tipo (aux)]]="","",IF(ISNUMBER(tblAct_RN[[#This Row],[Fecha de cumplimiento]]),1,IFERROR(LOOKUP(2,1/(tblAct_RN[[#This Row],[Avance Semana 1 (%)]:[Avance Semana 4 (%)]]&lt;&gt;""),tblAct_RN[[#This Row],[Avance Semana 1 (%)]:[Avance Semana 4 (%)]]),0)))</calculatedColumnFormula>
    </tableColumn>
    <tableColumn id="25" name="Propio S1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Row],[Mes]]),7))+6),1,IF(ISNUMBER(tblAct_RN[[#This Row],[Avance Semana 1 (%)]]),tblAct_RN[[#This Row],[Avance Semana 1 (%)]],0)))</calculatedColumnFormula>
    </tableColumn>
    <tableColumn id="26" name="Propio S2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Row],[Mes]]),7))+13),1,IF(ISNUMBER(tblAct_RN[[#This Row],[Avance Semana 2 (%)]]),tblAct_RN[[#This Row],[Avance Semana 2 (%)]],tblAct_RN[[#This Row],[Propio S1 (aux)]])))</calculatedColumnFormula>
    </tableColumn>
    <tableColumn id="27" name="Propio S3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Row],[Mes]]),7))+20),1,IF(ISNUMBER(tblAct_RN[[#This Row],[Avance Semana 3 (%)]]),tblAct_RN[[#This Row],[Avance Semana 3 (%)]],tblAct_RN[[#This Row],[Propio S2 (aux)]])))</calculatedColumnFormula>
    </tableColumn>
    <tableColumn id="28" name="Propio S4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Row],[Mes]]),7))+27),1,IF(ISNUMBER(tblAct_RN[[#This Row],[Avance Semana 4 (%)]]),tblAct_RN[[#This Row],[Avance Semana 4 (%)]],tblAct_RN[[#This Row],[Propio S3 (aux)]])))</calculatedColumnFormula>
    </tableColumn>
    <tableColumn id="29" name="Efectivo S1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Row],[Mes]]),7))+6),1,IF(N(tblAct_RN[[#This Row],[N subactividades (aux)]])&gt;0,AVERAGEIFS($Y$5:$Y$1000,$U$5:$U$1000,ROW(),$V$5:$V$1000,"Sub"),tblAct_RN[[#This Row],[Propio S1 (aux)]])))</calculatedColumnFormula>
    </tableColumn>
    <tableColumn id="30" name="Efectivo S2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Row],[Mes]]),7))+13),1,IF(N(tblAct_RN[[#This Row],[N subactividades (aux)]])&gt;0,AVERAGEIFS($Z$5:$Z$1000,$U$5:$U$1000,ROW(),$V$5:$V$1000,"Sub"),tblAct_RN[[#This Row],[Propio S2 (aux)]])))</calculatedColumnFormula>
    </tableColumn>
    <tableColumn id="31" name="Efectivo S3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Row],[Mes]]),7))+20),1,IF(N(tblAct_RN[[#This Row],[N subactividades (aux)]])&gt;0,AVERAGEIFS($AA$5:$AA$1000,$U$5:$U$1000,ROW(),$V$5:$V$1000,"Sub"),tblAct_RN[[#This Row],[Propio S3 (aux)]])))</calculatedColumnFormula>
    </tableColumn>
    <tableColumn id="32" name="Efectivo S4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Row],[Mes]]),7))+27),1,IF(N(tblAct_RN[[#This Row],[N subactividades (aux)]])&gt;0,AVERAGEIFS($AB$5:$AB$1000,$U$5:$U$1000,ROW(),$V$5:$V$1000,"Sub"),tblAct_RN[[#This Row],[Propio S4 (aux)]])))</calculatedColumnFormula>
    </tableColumn>
    <tableColumn id="33" name="Peso efectivo (aux)">
      <calculatedColumnFormula>IF(tblAct_RN[[#This Row],[Tipo (aux)]]&lt;&gt;"Macro","",IF(COUNTIFS($S$5:$S$1000,tblAct_RN[[#This Row],[Mes]],$V$5:$V$1000,"Macro",$H$5:$H$1000,"&gt;0")=0,1/COUNTIFS($S$5:$S$1000,tblAct_RN[[#This Row],[Mes]],$V$5:$V$1000,"Macro"),IF(AND(ISNUMBER(tblAct_RN[[#This Row],[Peso (%)]]),N(tblAct_RN[[#This Row],[Peso (%)]])&gt;0),tblAct_RN[[#This Row],[Peso (%)]],SUMIFS($H$5:$H$1000,$S$5:$S$1000,tblAct_RN[[#This Row],[Mes]],$V$5:$V$1000,"Macro")/COUNTIFS($S$5:$S$1000,tblAct_RN[[#This Row],[Mes]],$V$5:$V$1000,"Macro",$H$5:$H$1000,"&gt;0"))/(COUNTIFS($S$5:$S$1000,tblAct_RN[[#This Row],[Mes]],$V$5:$V$1000,"Macro")*SUMIFS($H$5:$H$1000,$S$5:$S$1000,tblAct_RN[[#This Row],[Mes]],$V$5:$V$1000,"Macro")/COUNTIFS($S$5:$S$1000,tblAct_RN[[#This Row],[Mes]],$V$5:$V$1000,"Macro",$H$5:$H$1000,"&gt;0"))))</calculatedColumnFormula>
    </tableColumn>
    <tableColumn id="34" name="Fila en el puesto (aux)"/>
    <tableColumn id="35" name="N° delegada en el mes (aux)"/>
    <tableColumn id="36" name="Clave delegada (aux)"/>
    <tableColumn id="37" name="Clave puesto-actividad (aux)"/>
    <tableColumn id="38" name="Fila en Administración (aux)">
      <calculatedColumnFormula>IF(LEFT(tblAct_RN[[#This Row],[Actividad]],11)="[Jefatura] ",IFERROR(MATCH("Riesgo Normativo|"&amp;MID(tblAct_RN[[#This Row],[Actividad]],12,500),rDname_ADM,0),0),"")</calculatedColumnFormula>
    </tableColumn>
    <tableColumn id="39" name="Inicio efectivo (aux)">
      <calculatedColumnFormula>IF(N(tblAct_RN[[#This Row],[Fila en Administración (aux)]])&gt;0,INDEX(rIni_ADM,tblAct_RN[[#This Row],[Fila en Administración (aux)]]),IF(ISNUMBER(tblAct_RN[[#This Row],[Fecha de inicio]]),tblAct_RN[[#This Row],[Fecha de inicio]],""))</calculatedColumnFormula>
    </tableColumn>
    <tableColumn id="40" name="Límite efectivo (aux)">
      <calculatedColumnFormula>IF(N(tblAct_RN[[#This Row],[Fila en Administración (aux)]])&gt;0,INDEX(rLim_ADM,tblAct_RN[[#This Row],[Fila en Administración (aux)]]),IF(ISNUMBER(tblAct_RN[[#This Row],[Fecha límite]]),tblAct_RN[[#This Row],[Fecha límite]],""))</calculatedColumnFormula>
    </tableColumn>
  </tableColumns>
  <tableStyleInfo name="TableStyleLight1" showRowStripes="0"/>
</table>
</file>

<file path=xl/tables/table5.xml><?xml version="1.0" encoding="utf-8"?>
<table xmlns="http://schemas.openxmlformats.org/spreadsheetml/2006/main" id="5" name="tblSem_RN" displayName="tblSem_RN" ref="A4:M104" headerRowCount="1">
  <autoFilter ref="A4:M104"/>
  <tableColumns count="13">
    <tableColumn id="1" name="N°"/>
    <tableColumn id="2" name="Actividad"/>
    <tableColumn id="3" name="Fecha de inicio"/>
    <tableColumn id="4" name="Fecha límite"/>
    <tableColumn id="5" name="Semana de entrega"/>
    <tableColumn id="6" name="Semana 1"/>
    <tableColumn id="7" name="Semana 2"/>
    <tableColumn id="8" name="Semana 3"/>
    <tableColumn id="9" name="Semana 4"/>
    <tableColumn id="10" name="% Avance actual"/>
    <tableColumn id="11" name="Estado"/>
    <tableColumn id="12" name="Alerta de plazo"/>
    <tableColumn id="13" name="Observaciones"/>
  </tableColumns>
  <tableStyleInfo name="TableStyleLight1" showRowStripes="0"/>
</table>
</file>

<file path=xl/tables/table6.xml><?xml version="1.0" encoding="utf-8"?>
<table xmlns="http://schemas.openxmlformats.org/spreadsheetml/2006/main" id="6" name="tblAct_RF" displayName="tblAct_RF" ref="A4:AN304" headerRowCount="1">
  <autoFilter ref="A4:AN304"/>
  <tableColumns count="40">
    <tableColumn id="1" name="N°">
      <calculatedColumnFormula>IF(NOT((COUNTA(tblAct_RF[[#This Row],[Tipo]:[Delegar a]])+COUNTA(tblAct_RF[[#This Row],[Fecha de cumplimiento]:[Avance Semana 4 (%)]])+COUNTA(tblAct_RF[[#This Row],[Observaciones]]))&gt;0),"",IF(tblAct_RF[[#This Row],[Tipo (aux)]]="Macro",COUNTIFS(INDEX(tblAct_RF[Tipo (aux)],1):tblAct_RF[[#This Row],[Tipo (aux)]],"Macro",INDEX(tblAct_RF[Mes],1):tblAct_RF[[#This Row],[Mes]],tblAct_RF[[#This Row],[Mes]]),IF(N(tblAct_RF[[#This Row],[Grupo (aux)]])=0,"?",COUNTIFS(INDEX($V$5:$V$1000,1):INDEX($V$5:$V$1000,tblAct_RF[[#This Row],[Grupo (aux)]]-4),"Macro",INDEX($S$5:$S$1000,1):INDEX($S$5:$S$1000,tblAct_RF[[#This Row],[Grupo (aux)]]-4),INDEX($S$5:$S$1000,tblAct_RF[[#This Row],[Grupo (aux)]]-4))&amp;"."&amp;COUNTIFS(INDEX(tblAct_RF[Grupo (aux)],1):tblAct_RF[[#This Row],[Grupo (aux)]],tblAct_RF[[#This Row],[Grupo (aux)]],INDEX(tblAct_RF[Tipo (aux)],1):tblAct_RF[[#This Row],[Tipo (aux)]],"Sub"))))</calculatedColumnFormula>
    </tableColumn>
    <tableColumn id="2" name="Tipo"/>
    <tableColumn id="3" name="Actividad"/>
    <tableColumn id="4" name="Delegar a"/>
    <tableColumn id="5" name="Fecha de inicio"/>
    <tableColumn id="6" name="Fecha límite"/>
    <tableColumn id="7" name="Fecha de cumplimiento"/>
    <tableColumn id="8" name="Peso (%)"/>
    <tableColumn id="9" name="Avance Semana 1 (%)"/>
    <tableColumn id="10" name="Avance Semana 2 (%)"/>
    <tableColumn id="11" name="Avance Semana 3 (%)"/>
    <tableColumn id="12" name="Avance Semana 4 (%)"/>
    <tableColumn id="13" name="% de Avance Total Actual">
      <calculatedColumnFormula>IF(NOT((COUNTA(tblAct_RF[[#This Row],[Tipo]:[Delegar a]])+COUNTA(tblAct_RF[[#This Row],[Fecha de cumplimiento]:[Avance Semana 4 (%)]])+COUNTA(tblAct_RF[[#This Row],[Observaciones]]))&gt;0),"",IF(ISNUMBER(tblAct_RF[[#This Row],[Fecha de cumplimiento]]),1,IF(N(tblAct_RF[[#This Row],[N subactividades (aux)]])&gt;0,AVERAGEIFS($X$5:$X$1000,$U$5:$U$1000,ROW(),$V$5:$V$1000,"Sub"),tblAct_RF[[#This Row],[Avance propio (aux)]])))</calculatedColumnFormula>
    </tableColumn>
    <tableColumn id="14" name="Estado">
      <calculatedColumnFormula>IF(tblAct_RF[[#This Row],[% de Avance Total Actual]]="","",IF(tblAct_RF[[#This Row],[% de Avance Total Actual]]&gt;=1,"Completado",IF(tblAct_RF[[#This Row],[% de Avance Total Actual]]&gt;0,"En curso","Pendiente")))</calculatedColumnFormula>
    </tableColumn>
    <tableColumn id="15" name="Alerta de plazo">
      <calculatedColumnFormula>IF(NOT((COUNTA(tblAct_RF[[#This Row],[Tipo]:[Delegar a]])+COUNTA(tblAct_RF[[#This Row],[Fecha de cumplimiento]:[Avance Semana 4 (%)]])+COUNTA(tblAct_RF[[#This Row],[Observaciones]]))&gt;0),"",IF(ISNUMBER(tblAct_RF[[#This Row],[Fecha de cumplimiento]]),IF(AND(ISNUMBER(tblAct_RF[[#This Row],[Límite efectivo (aux)]]),tblAct_RF[[#This Row],[Fecha de cumplimiento]]&gt;tblAct_RF[[#This Row],[Límite efectivo (aux)]]),"Cumplida con "&amp;(tblAct_RF[[#This Row],[Fecha de cumplimiento]]-tblAct_RF[[#This Row],[Límite efectivo (aux)]])&amp;IF(tblAct_RF[[#This Row],[Fecha de cumplimiento]]-tblAct_RF[[#This Row],[Límite efectivo (aux)]]=1," día"," días")&amp;" de retraso","Cumplida"),IF(N(tblAct_RF[[#This Row],[% de Avance Total Actual]])&gt;=1,"Cumplida",IF(NOT(ISNUMBER(tblAct_RF[[#This Row],[Límite efectivo (aux)]])),"Sin fecha límite",IF(tblAct_RF[[#This Row],[Límite efectivo (aux)]]&lt;FechaRef,"Vencida hace "&amp;(FechaRef-tblAct_RF[[#This Row],[Límite efectivo (aux)]])&amp;IF(FechaRef-tblAct_RF[[#This Row],[Límite efectivo (aux)]]=1," día"," días"),IF(tblAct_RF[[#This Row],[Límite efectivo (aux)]]=FechaRef,"Vence hoy",IF(tblAct_RF[[#This Row],[Límite efectivo (aux)]]-FechaRef&lt;=DiasAlerta,"Vence en "&amp;(tblAct_RF[[#This Row],[Límite efectivo (aux)]]-FechaRef)&amp;IF(tblAct_RF[[#This Row],[Límite efectivo (aux)]]-FechaRef=1," día"," días"),"En plazo")))))))</calculatedColumnFormula>
    </tableColumn>
    <tableColumn id="16" name="Seguimiento de la delegación"/>
    <tableColumn id="17" name="Observaciones"/>
    <tableColumn id="18" name="Revisión automática (alertas)">
      <calculatedColumnFormula>IF(NOT((COUNTA(tblAct_RF[[#This Row],[Tipo]:[Delegar a]])+COUNTA(tblAct_RF[[#This Row],[Fecha de cumplimiento]:[Avance Semana 4 (%)]])+COUNTA(tblAct_RF[[#This Row],[Observaciones]]))&gt;0),"",IF((IF(tblAct_RF[[#This Row],[Actividad]]="","Falta el nombre de la actividad"&amp;" · ","")&amp;IF(AND(tblAct_RF[[#This Row],[Tipo (aux)]]="Sub",N(tblAct_RF[[#This Row],[Grupo (aux)]])=0),"Subactividad sin macroactividad arriba"&amp;" · ","")&amp;IF(tblAct_RF[[#This Row],[Inicio efectivo (aux)]]="","Sin fecha de inicio"&amp;" · ","")&amp;IF(tblAct_RF[[#This Row],[Límite efectivo (aux)]]="","Sin fecha límite"&amp;" · ","")&amp;IF(AND(LEFT(tblAct_RF[[#This Row],[Actividad]],11)="[Jefatura] ",N(tblAct_RF[[#This Row],[Fila en Administración (aux)]])=0),"No se encuentra en la hoja de la jefatura (elíjala de nuevo en la lista)"&amp;" · ","")&amp;IF(OR(AND(tblAct_RF[[#This Row],[Fecha de inicio]]&lt;&gt;"",NOT(ISNUMBER(tblAct_RF[[#This Row],[Fecha de inicio]]))),AND(tblAct_RF[[#This Row],[Fecha límite]]&lt;&gt;"",NOT(ISNUMBER(tblAct_RF[[#This Row],[Fecha límite]]))),AND(tblAct_RF[[#This Row],[Fecha de cumplimiento]]&lt;&gt;"",NOT(ISNUMBER(tblAct_RF[[#This Row],[Fecha de cumplimiento]])))),"Fecha no válida"&amp;" · ","")&amp;IF(AND(ISNUMBER(tblAct_RF[[#This Row],[Inicio efectivo (aux)]]),ISNUMBER(tblAct_RF[[#This Row],[Límite efectivo (aux)]]),tblAct_RF[[#This Row],[Inicio efectivo (aux)]]&gt;tblAct_RF[[#This Row],[Límite efectivo (aux)]]),"Inicio posterior a fecha límite"&amp;" · ","")&amp;IF(AND(tblAct_RF[[#This Row],[Tipo (aux)]]="Macro",tblAct_RF[[#This Row],[Peso (%)]]&lt;&gt;"",OR(NOT(ISNUMBER(tblAct_RF[[#This Row],[Peso (%)]])),tblAct_RF[[#This Row],[Peso (%)]]&lt;0,tblAct_RF[[#This Row],[Peso (%)]]&gt;1)),"Peso fuera de rango"&amp;" · ","")&amp;IF(AND(tblAct_RF[[#This Row],[Tipo (aux)]]="Sub",tblAct_RF[[#This Row],[Peso (%)]]&lt;&gt;""),"Las subactividades no llevan peso (valen igual dentro de su macroactividad)"&amp;" · ","")&amp;IF(AND(N(tblAct_RF[[#This Row],[N subactividades (aux)]])&gt;0,COUNT(tblAct_RF[[#This Row],[Avance Semana 1 (%)]:[Avance Semana 4 (%)]])&gt;0),"Con subactividades: deje vacías las semanas (se calculan solas)"&amp;" · ","")&amp;IF((COUNTIF(tblAct_RF[[#This Row],[Avance Semana 1 (%)]:[Avance Semana 4 (%)]],"&gt;1")+COUNTIF(tblAct_RF[[#This Row],[Avance Semana 1 (%)]:[Avance Semana 4 (%)]],"&lt;0")+COUNTA(tblAct_RF[[#This Row],[Avance Semana 1 (%)]:[Avance Semana 4 (%)]])-COUNT(tblAct_RF[[#This Row],[Avance Semana 1 (%)]:[Avance Semana 4 (%)]]))&gt;0,"Avance fuera de rango 0-100%"&amp;" · ","")&amp;IF(OR(AND(tblAct_RF[[#This Row],[Avance Semana 2 (%)]]&lt;&gt;"",tblAct_RF[[#This Row],[Avance Semana 2 (%)]]&lt;tblAct_RF[[#This Row],[Avance Semana 1 (%)]]),AND(tblAct_RF[[#This Row],[Avance Semana 3 (%)]]&lt;&gt;"",tblAct_RF[[#This Row],[Avance Semana 3 (%)]]&lt;MAX(tblAct_RF[[#This Row],[Avance Semana 1 (%)]:[Avance Semana 2 (%)]])),AND(tblAct_RF[[#This Row],[Avance Semana 4 (%)]]&lt;&gt;"",tblAct_RF[[#This Row],[Avance Semana 4 (%)]]&lt;MAX(tblAct_RF[[#This Row],[Avance Semana 1 (%)]:[Avance Semana 3 (%)]]))),"Avance semanal decreciente"&amp;" · ","")&amp;IF(AND(ISNUMBER(tblAct_RF[[#This Row],[Límite efectivo (aux)]]),tblAct_RF[[#This Row],[Límite efectivo (aux)]]&lt;FechaRef,N(tblAct_RF[[#This Row],[% de Avance Total Actual]])&lt;1),"Vencida"&amp;" · ","")&amp;IF(AND(ObsObligatoria="Sí",ISNUMBER(tblAct_RF[[#This Row],[Límite efectivo (aux)]]),tblAct_RF[[#This Row],[Límite efectivo (aux)]]&lt;FechaRef,N(tblAct_RF[[#This Row],[% de Avance Total Actual]])&lt;1,tblAct_RF[[#This Row],[Observaciones]]=""),"Vencida sin observación"&amp;" · ",""))="","✔ OK","⚠ "&amp;LEFT(IF(tblAct_RF[[#This Row],[Actividad]]="","Falta el nombre de la actividad"&amp;" · ","")&amp;IF(AND(tblAct_RF[[#This Row],[Tipo (aux)]]="Sub",N(tblAct_RF[[#This Row],[Grupo (aux)]])=0),"Subactividad sin macroactividad arriba"&amp;" · ","")&amp;IF(tblAct_RF[[#This Row],[Inicio efectivo (aux)]]="","Sin fecha de inicio"&amp;" · ","")&amp;IF(tblAct_RF[[#This Row],[Límite efectivo (aux)]]="","Sin fecha límite"&amp;" · ","")&amp;IF(AND(LEFT(tblAct_RF[[#This Row],[Actividad]],11)="[Jefatura] ",N(tblAct_RF[[#This Row],[Fila en Administración (aux)]])=0),"No se encuentra en la hoja de la jefatura (elíjala de nuevo en la lista)"&amp;" · ","")&amp;IF(OR(AND(tblAct_RF[[#This Row],[Fecha de inicio]]&lt;&gt;"",NOT(ISNUMBER(tblAct_RF[[#This Row],[Fecha de inicio]]))),AND(tblAct_RF[[#This Row],[Fecha límite]]&lt;&gt;"",NOT(ISNUMBER(tblAct_RF[[#This Row],[Fecha límite]]))),AND(tblAct_RF[[#This Row],[Fecha de cumplimiento]]&lt;&gt;"",NOT(ISNUMBER(tblAct_RF[[#This Row],[Fecha de cumplimiento]])))),"Fecha no válida"&amp;" · ","")&amp;IF(AND(ISNUMBER(tblAct_RF[[#This Row],[Inicio efectivo (aux)]]),ISNUMBER(tblAct_RF[[#This Row],[Límite efectivo (aux)]]),tblAct_RF[[#This Row],[Inicio efectivo (aux)]]&gt;tblAct_RF[[#This Row],[Límite efectivo (aux)]]),"Inicio posterior a fecha límite"&amp;" · ","")&amp;IF(AND(tblAct_RF[[#This Row],[Tipo (aux)]]="Macro",tblAct_RF[[#This Row],[Peso (%)]]&lt;&gt;"",OR(NOT(ISNUMBER(tblAct_RF[[#This Row],[Peso (%)]])),tblAct_RF[[#This Row],[Peso (%)]]&lt;0,tblAct_RF[[#This Row],[Peso (%)]]&gt;1)),"Peso fuera de rango"&amp;" · ","")&amp;IF(AND(tblAct_RF[[#This Row],[Tipo (aux)]]="Sub",tblAct_RF[[#This Row],[Peso (%)]]&lt;&gt;""),"Las subactividades no llevan peso (valen igual dentro de su macroactividad)"&amp;" · ","")&amp;IF(AND(N(tblAct_RF[[#This Row],[N subactividades (aux)]])&gt;0,COUNT(tblAct_RF[[#This Row],[Avance Semana 1 (%)]:[Avance Semana 4 (%)]])&gt;0),"Con subactividades: deje vacías las semanas (se calculan solas)"&amp;" · ","")&amp;IF((COUNTIF(tblAct_RF[[#This Row],[Avance Semana 1 (%)]:[Avance Semana 4 (%)]],"&gt;1")+COUNTIF(tblAct_RF[[#This Row],[Avance Semana 1 (%)]:[Avance Semana 4 (%)]],"&lt;0")+COUNTA(tblAct_RF[[#This Row],[Avance Semana 1 (%)]:[Avance Semana 4 (%)]])-COUNT(tblAct_RF[[#This Row],[Avance Semana 1 (%)]:[Avance Semana 4 (%)]]))&gt;0,"Avance fuera de rango 0-100%"&amp;" · ","")&amp;IF(OR(AND(tblAct_RF[[#This Row],[Avance Semana 2 (%)]]&lt;&gt;"",tblAct_RF[[#This Row],[Avance Semana 2 (%)]]&lt;tblAct_RF[[#This Row],[Avance Semana 1 (%)]]),AND(tblAct_RF[[#This Row],[Avance Semana 3 (%)]]&lt;&gt;"",tblAct_RF[[#This Row],[Avance Semana 3 (%)]]&lt;MAX(tblAct_RF[[#This Row],[Avance Semana 1 (%)]:[Avance Semana 2 (%)]])),AND(tblAct_RF[[#This Row],[Avance Semana 4 (%)]]&lt;&gt;"",tblAct_RF[[#This Row],[Avance Semana 4 (%)]]&lt;MAX(tblAct_RF[[#This Row],[Avance Semana 1 (%)]:[Avance Semana 3 (%)]]))),"Avance semanal decreciente"&amp;" · ","")&amp;IF(AND(ISNUMBER(tblAct_RF[[#This Row],[Límite efectivo (aux)]]),tblAct_RF[[#This Row],[Límite efectivo (aux)]]&lt;FechaRef,N(tblAct_RF[[#This Row],[% de Avance Total Actual]])&lt;1),"Vencida"&amp;" · ","")&amp;IF(AND(ObsObligatoria="Sí",ISNUMBER(tblAct_RF[[#This Row],[Límite efectivo (aux)]]),tblAct_RF[[#This Row],[Límite efectivo (aux)]]&lt;FechaRef,N(tblAct_RF[[#This Row],[% de Avance Total Actual]])&lt;1,tblAct_RF[[#This Row],[Observaciones]]=""),"Vencida sin observación"&amp;" · ",""),LEN(IF(tblAct_RF[[#This Row],[Actividad]]="","Falta el nombre de la actividad"&amp;" · ","")&amp;IF(AND(tblAct_RF[[#This Row],[Tipo (aux)]]="Sub",N(tblAct_RF[[#This Row],[Grupo (aux)]])=0),"Subactividad sin macroactividad arriba"&amp;" · ","")&amp;IF(tblAct_RF[[#This Row],[Inicio efectivo (aux)]]="","Sin fecha de inicio"&amp;" · ","")&amp;IF(tblAct_RF[[#This Row],[Límite efectivo (aux)]]="","Sin fecha límite"&amp;" · ","")&amp;IF(AND(LEFT(tblAct_RF[[#This Row],[Actividad]],11)="[Jefatura] ",N(tblAct_RF[[#This Row],[Fila en Administración (aux)]])=0),"No se encuentra en la hoja de la jefatura (elíjala de nuevo en la lista)"&amp;" · ","")&amp;IF(OR(AND(tblAct_RF[[#This Row],[Fecha de inicio]]&lt;&gt;"",NOT(ISNUMBER(tblAct_RF[[#This Row],[Fecha de inicio]]))),AND(tblAct_RF[[#This Row],[Fecha límite]]&lt;&gt;"",NOT(ISNUMBER(tblAct_RF[[#This Row],[Fecha límite]]))),AND(tblAct_RF[[#This Row],[Fecha de cumplimiento]]&lt;&gt;"",NOT(ISNUMBER(tblAct_RF[[#This Row],[Fecha de cumplimiento]])))),"Fecha no válida"&amp;" · ","")&amp;IF(AND(ISNUMBER(tblAct_RF[[#This Row],[Inicio efectivo (aux)]]),ISNUMBER(tblAct_RF[[#This Row],[Límite efectivo (aux)]]),tblAct_RF[[#This Row],[Inicio efectivo (aux)]]&gt;tblAct_RF[[#This Row],[Límite efectivo (aux)]]),"Inicio posterior a fecha límite"&amp;" · ","")&amp;IF(AND(tblAct_RF[[#This Row],[Tipo (aux)]]="Macro",tblAct_RF[[#This Row],[Peso (%)]]&lt;&gt;"",OR(NOT(ISNUMBER(tblAct_RF[[#This Row],[Peso (%)]])),tblAct_RF[[#This Row],[Peso (%)]]&lt;0,tblAct_RF[[#This Row],[Peso (%)]]&gt;1)),"Peso fuera de rango"&amp;" · ","")&amp;IF(AND(tblAct_RF[[#This Row],[Tipo (aux)]]="Sub",tblAct_RF[[#This Row],[Peso (%)]]&lt;&gt;""),"Las subactividades no llevan peso (valen igual dentro de su macroactividad)"&amp;" · ","")&amp;IF(AND(N(tblAct_RF[[#This Row],[N subactividades (aux)]])&gt;0,COUNT(tblAct_RF[[#This Row],[Avance Semana 1 (%)]:[Avance Semana 4 (%)]])&gt;0),"Con subactividades: deje vacías las semanas (se calculan solas)"&amp;" · ","")&amp;IF((COUNTIF(tblAct_RF[[#This Row],[Avance Semana 1 (%)]:[Avance Semana 4 (%)]],"&gt;1")+COUNTIF(tblAct_RF[[#This Row],[Avance Semana 1 (%)]:[Avance Semana 4 (%)]],"&lt;0")+COUNTA(tblAct_RF[[#This Row],[Avance Semana 1 (%)]:[Avance Semana 4 (%)]])-COUNT(tblAct_RF[[#This Row],[Avance Semana 1 (%)]:[Avance Semana 4 (%)]]))&gt;0,"Avance fuera de rango 0-100%"&amp;" · ","")&amp;IF(OR(AND(tblAct_RF[[#This Row],[Avance Semana 2 (%)]]&lt;&gt;"",tblAct_RF[[#This Row],[Avance Semana 2 (%)]]&lt;tblAct_RF[[#This Row],[Avance Semana 1 (%)]]),AND(tblAct_RF[[#This Row],[Avance Semana 3 (%)]]&lt;&gt;"",tblAct_RF[[#This Row],[Avance Semana 3 (%)]]&lt;MAX(tblAct_RF[[#This Row],[Avance Semana 1 (%)]:[Avance Semana 2 (%)]])),AND(tblAct_RF[[#This Row],[Avance Semana 4 (%)]]&lt;&gt;"",tblAct_RF[[#This Row],[Avance Semana 4 (%)]]&lt;MAX(tblAct_RF[[#This Row],[Avance Semana 1 (%)]:[Avance Semana 3 (%)]]))),"Avance semanal decreciente"&amp;" · ","")&amp;IF(AND(ISNUMBER(tblAct_RF[[#This Row],[Límite efectivo (aux)]]),tblAct_RF[[#This Row],[Límite efectivo (aux)]]&lt;FechaRef,N(tblAct_RF[[#This Row],[% de Avance Total Actual]])&lt;1),"Vencida"&amp;" · ","")&amp;IF(AND(ObsObligatoria="Sí",ISNUMBER(tblAct_RF[[#This Row],[Límite efectivo (aux)]]),tblAct_RF[[#This Row],[Límite efectivo (aux)]]&lt;FechaRef,N(tblAct_RF[[#This Row],[% de Avance Total Actual]])&lt;1,tblAct_RF[[#This Row],[Observaciones]]=""),"Vencida sin observación"&amp;" · ",""))-3)))</calculatedColumnFormula>
    </tableColumn>
    <tableColumn id="19" name="Mes">
      <calculatedColumnFormula>IF(NOT((COUNTA(tblAct_RF[[#This Row],[Tipo]:[Delegar a]])+COUNTA(tblAct_RF[[#This Row],[Fecha de cumplimiento]:[Avance Semana 4 (%)]])+COUNTA(tblAct_RF[[#This Row],[Observaciones]]))&gt;0),"",IF(AND(tblAct_RF[[#This Row],[Tipo (aux)]]="Sub",N(tblAct_RF[[#This Row],[Grupo (aux)]])&gt;0),IF(ISNUMBER(INDEX($AM$5:$AM$1000,tblAct_RF[[#This Row],[Grupo (aux)]]-4)),DATE(YEAR(INDEX($AM$5:$AM$1000,tblAct_RF[[#This Row],[Grupo (aux)]]-4)),MONTH(INDEX($AM$5:$AM$1000,tblAct_RF[[#This Row],[Grupo (aux)]]-4)),1),IF(ISNUMBER(INDEX($AN$5:$AN$1000,tblAct_RF[[#This Row],[Grupo (aux)]]-4)),DATE(YEAR(INDEX($AN$5:$AN$1000,tblAct_RF[[#This Row],[Grupo (aux)]]-4)),MONTH(INDEX($AN$5:$AN$1000,tblAct_RF[[#This Row],[Grupo (aux)]]-4)),1),MesCiclo)),IF(ISNUMBER(tblAct_RF[[#This Row],[Inicio efectivo (aux)]]),DATE(YEAR(tblAct_RF[[#This Row],[Inicio efectivo (aux)]]),MONTH(tblAct_RF[[#This Row],[Inicio efectivo (aux)]]),1),IF(ISNUMBER(tblAct_RF[[#This Row],[Límite efectivo (aux)]]),DATE(YEAR(tblAct_RF[[#This Row],[Límite efectivo (aux)]]),MONTH(tblAct_RF[[#This Row],[Límite efectivo (aux)]]),1),MesCiclo))))</calculatedColumnFormula>
    </tableColumn>
    <tableColumn id="20" name="Orden en el mes (aux)">
      <calculatedColumnFormula>IF(OR(tblAct_RF[[#This Row],[Mes]]="",tblAct_RF[[#This Row],[Mes]]&lt;&gt;MesCiclo),"",COUNTIF(INDEX(tblAct_RF[Mes],1):tblAct_RF[[#This Row],[Mes]],MesCiclo))</calculatedColumnFormula>
    </tableColumn>
    <tableColumn id="21" name="Grupo (aux)">
      <calculatedColumnFormula>IF(tblAct_RF[[#This Row],[Tipo (aux)]]="","",IF(tblAct_RF[[#This Row],[Tipo (aux)]]="Macro",ROW(),IFERROR(LOOKUP(2,1/(INDEX(tblAct_RF[Tipo (aux)],1):tblAct_RF[[#This Row],[Tipo (aux)]]="Macro"),ROW(INDEX(tblAct_RF[Tipo (aux)],1):tblAct_RF[[#This Row],[Tipo (aux)]])),0)))</calculatedColumnFormula>
    </tableColumn>
    <tableColumn id="22" name="Tipo (aux)">
      <calculatedColumnFormula>IF(NOT((COUNTA(tblAct_RF[[#This Row],[Tipo]:[Delegar a]])+COUNTA(tblAct_RF[[#This Row],[Fecha de cumplimiento]:[Avance Semana 4 (%)]])+COUNTA(tblAct_RF[[#This Row],[Observaciones]]))&gt;0),"",IF(tblAct_RF[[#This Row],[Tipo]]="Subactividad","Sub","Macro"))</calculatedColumnFormula>
    </tableColumn>
    <tableColumn id="23" name="N subactividades (aux)">
      <calculatedColumnFormula>IF(tblAct_RF[[#This Row],[Tipo (aux)]]="Macro",COUNTIFS($U$5:$U$1000,ROW(),$V$5:$V$1000,"Sub"),"")</calculatedColumnFormula>
    </tableColumn>
    <tableColumn id="24" name="Avance propio (aux)">
      <calculatedColumnFormula>IF(tblAct_RF[[#This Row],[Tipo (aux)]]="","",IF(ISNUMBER(tblAct_RF[[#This Row],[Fecha de cumplimiento]]),1,IFERROR(LOOKUP(2,1/(tblAct_RF[[#This Row],[Avance Semana 1 (%)]:[Avance Semana 4 (%)]]&lt;&gt;""),tblAct_RF[[#This Row],[Avance Semana 1 (%)]:[Avance Semana 4 (%)]]),0)))</calculatedColumnFormula>
    </tableColumn>
    <tableColumn id="25" name="Propio S1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Row],[Mes]]),7))+6),1,IF(ISNUMBER(tblAct_RF[[#This Row],[Avance Semana 1 (%)]]),tblAct_RF[[#This Row],[Avance Semana 1 (%)]],0)))</calculatedColumnFormula>
    </tableColumn>
    <tableColumn id="26" name="Propio S2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Row],[Mes]]),7))+13),1,IF(ISNUMBER(tblAct_RF[[#This Row],[Avance Semana 2 (%)]]),tblAct_RF[[#This Row],[Avance Semana 2 (%)]],tblAct_RF[[#This Row],[Propio S1 (aux)]])))</calculatedColumnFormula>
    </tableColumn>
    <tableColumn id="27" name="Propio S3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Row],[Mes]]),7))+20),1,IF(ISNUMBER(tblAct_RF[[#This Row],[Avance Semana 3 (%)]]),tblAct_RF[[#This Row],[Avance Semana 3 (%)]],tblAct_RF[[#This Row],[Propio S2 (aux)]])))</calculatedColumnFormula>
    </tableColumn>
    <tableColumn id="28" name="Propio S4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Row],[Mes]]),7))+27),1,IF(ISNUMBER(tblAct_RF[[#This Row],[Avance Semana 4 (%)]]),tblAct_RF[[#This Row],[Avance Semana 4 (%)]],tblAct_RF[[#This Row],[Propio S3 (aux)]])))</calculatedColumnFormula>
    </tableColumn>
    <tableColumn id="29" name="Efectivo S1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Row],[Mes]]),7))+6),1,IF(N(tblAct_RF[[#This Row],[N subactividades (aux)]])&gt;0,AVERAGEIFS($Y$5:$Y$1000,$U$5:$U$1000,ROW(),$V$5:$V$1000,"Sub"),tblAct_RF[[#This Row],[Propio S1 (aux)]])))</calculatedColumnFormula>
    </tableColumn>
    <tableColumn id="30" name="Efectivo S2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Row],[Mes]]),7))+13),1,IF(N(tblAct_RF[[#This Row],[N subactividades (aux)]])&gt;0,AVERAGEIFS($Z$5:$Z$1000,$U$5:$U$1000,ROW(),$V$5:$V$1000,"Sub"),tblAct_RF[[#This Row],[Propio S2 (aux)]])))</calculatedColumnFormula>
    </tableColumn>
    <tableColumn id="31" name="Efectivo S3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Row],[Mes]]),7))+20),1,IF(N(tblAct_RF[[#This Row],[N subactividades (aux)]])&gt;0,AVERAGEIFS($AA$5:$AA$1000,$U$5:$U$1000,ROW(),$V$5:$V$1000,"Sub"),tblAct_RF[[#This Row],[Propio S3 (aux)]])))</calculatedColumnFormula>
    </tableColumn>
    <tableColumn id="32" name="Efectivo S4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Row],[Mes]]),7))+27),1,IF(N(tblAct_RF[[#This Row],[N subactividades (aux)]])&gt;0,AVERAGEIFS($AB$5:$AB$1000,$U$5:$U$1000,ROW(),$V$5:$V$1000,"Sub"),tblAct_RF[[#This Row],[Propio S4 (aux)]])))</calculatedColumnFormula>
    </tableColumn>
    <tableColumn id="33" name="Peso efectivo (aux)">
      <calculatedColumnFormula>IF(tblAct_RF[[#This Row],[Tipo (aux)]]&lt;&gt;"Macro","",IF(COUNTIFS($S$5:$S$1000,tblAct_RF[[#This Row],[Mes]],$V$5:$V$1000,"Macro",$H$5:$H$1000,"&gt;0")=0,1/COUNTIFS($S$5:$S$1000,tblAct_RF[[#This Row],[Mes]],$V$5:$V$1000,"Macro"),IF(AND(ISNUMBER(tblAct_RF[[#This Row],[Peso (%)]]),N(tblAct_RF[[#This Row],[Peso (%)]])&gt;0),tblAct_RF[[#This Row],[Peso (%)]],SUMIFS($H$5:$H$1000,$S$5:$S$1000,tblAct_RF[[#This Row],[Mes]],$V$5:$V$1000,"Macro")/COUNTIFS($S$5:$S$1000,tblAct_RF[[#This Row],[Mes]],$V$5:$V$1000,"Macro",$H$5:$H$1000,"&gt;0"))/(COUNTIFS($S$5:$S$1000,tblAct_RF[[#This Row],[Mes]],$V$5:$V$1000,"Macro")*SUMIFS($H$5:$H$1000,$S$5:$S$1000,tblAct_RF[[#This Row],[Mes]],$V$5:$V$1000,"Macro")/COUNTIFS($S$5:$S$1000,tblAct_RF[[#This Row],[Mes]],$V$5:$V$1000,"Macro",$H$5:$H$1000,"&gt;0"))))</calculatedColumnFormula>
    </tableColumn>
    <tableColumn id="34" name="Fila en el puesto (aux)"/>
    <tableColumn id="35" name="N° delegada en el mes (aux)"/>
    <tableColumn id="36" name="Clave delegada (aux)"/>
    <tableColumn id="37" name="Clave puesto-actividad (aux)"/>
    <tableColumn id="38" name="Fila en Administración (aux)">
      <calculatedColumnFormula>IF(LEFT(tblAct_RF[[#This Row],[Actividad]],11)="[Jefatura] ",IFERROR(MATCH("Riesgo Financiero|"&amp;MID(tblAct_RF[[#This Row],[Actividad]],12,500),rDname_ADM,0),0),"")</calculatedColumnFormula>
    </tableColumn>
    <tableColumn id="39" name="Inicio efectivo (aux)">
      <calculatedColumnFormula>IF(N(tblAct_RF[[#This Row],[Fila en Administración (aux)]])&gt;0,INDEX(rIni_ADM,tblAct_RF[[#This Row],[Fila en Administración (aux)]]),IF(ISNUMBER(tblAct_RF[[#This Row],[Fecha de inicio]]),tblAct_RF[[#This Row],[Fecha de inicio]],""))</calculatedColumnFormula>
    </tableColumn>
    <tableColumn id="40" name="Límite efectivo (aux)">
      <calculatedColumnFormula>IF(N(tblAct_RF[[#This Row],[Fila en Administración (aux)]])&gt;0,INDEX(rLim_ADM,tblAct_RF[[#This Row],[Fila en Administración (aux)]]),IF(ISNUMBER(tblAct_RF[[#This Row],[Fecha límite]]),tblAct_RF[[#This Row],[Fecha límite]],""))</calculatedColumnFormula>
    </tableColumn>
  </tableColumns>
  <tableStyleInfo name="TableStyleLight1" showRowStripes="0"/>
</table>
</file>

<file path=xl/tables/table7.xml><?xml version="1.0" encoding="utf-8"?>
<table xmlns="http://schemas.openxmlformats.org/spreadsheetml/2006/main" id="7" name="tblSem_RF" displayName="tblSem_RF" ref="A4:M104" headerRowCount="1">
  <autoFilter ref="A4:M104"/>
  <tableColumns count="13">
    <tableColumn id="1" name="N°"/>
    <tableColumn id="2" name="Actividad"/>
    <tableColumn id="3" name="Fecha de inicio"/>
    <tableColumn id="4" name="Fecha límite"/>
    <tableColumn id="5" name="Semana de entrega"/>
    <tableColumn id="6" name="Semana 1"/>
    <tableColumn id="7" name="Semana 2"/>
    <tableColumn id="8" name="Semana 3"/>
    <tableColumn id="9" name="Semana 4"/>
    <tableColumn id="10" name="% Avance actual"/>
    <tableColumn id="11" name="Estado"/>
    <tableColumn id="12" name="Alerta de plazo"/>
    <tableColumn id="13" name="Observaciones"/>
  </tableColumns>
  <tableStyleInfo name="TableStyleLight1" showRowStripes="0"/>
</table>
</file>

<file path=xl/tables/table8.xml><?xml version="1.0" encoding="utf-8"?>
<table xmlns="http://schemas.openxmlformats.org/spreadsheetml/2006/main" id="8" name="tblAct_ATR" displayName="tblAct_ATR" ref="A4:AN304" headerRowCount="1">
  <autoFilter ref="A4:AN304"/>
  <tableColumns count="40">
    <tableColumn id="1" name="N°">
      <calculatedColumnFormula>IF(NOT((COUNTA(tblAct_ATR[[#This Row],[Tipo]:[Delegar a]])+COUNTA(tblAct_ATR[[#This Row],[Fecha de cumplimiento]:[Avance Semana 4 (%)]])+COUNTA(tblAct_ATR[[#This Row],[Observaciones]]))&gt;0),"",IF(tblAct_ATR[[#This Row],[Tipo (aux)]]="Macro",COUNTIFS(INDEX(tblAct_ATR[Tipo (aux)],1):tblAct_ATR[[#This Row],[Tipo (aux)]],"Macro",INDEX(tblAct_ATR[Mes],1):tblAct_ATR[[#This Row],[Mes]],tblAct_ATR[[#This Row],[Mes]]),IF(N(tblAct_ATR[[#This Row],[Grupo (aux)]])=0,"?",COUNTIFS(INDEX($V$5:$V$1000,1):INDEX($V$5:$V$1000,tblAct_ATR[[#This Row],[Grupo (aux)]]-4),"Macro",INDEX($S$5:$S$1000,1):INDEX($S$5:$S$1000,tblAct_ATR[[#This Row],[Grupo (aux)]]-4),INDEX($S$5:$S$1000,tblAct_ATR[[#This Row],[Grupo (aux)]]-4))&amp;"."&amp;COUNTIFS(INDEX(tblAct_ATR[Grupo (aux)],1):tblAct_ATR[[#This Row],[Grupo (aux)]],tblAct_ATR[[#This Row],[Grupo (aux)]],INDEX(tblAct_ATR[Tipo (aux)],1):tblAct_ATR[[#This Row],[Tipo (aux)]],"Sub"))))</calculatedColumnFormula>
    </tableColumn>
    <tableColumn id="2" name="Tipo"/>
    <tableColumn id="3" name="Actividad"/>
    <tableColumn id="4" name="Delegar a"/>
    <tableColumn id="5" name="Fecha de inicio"/>
    <tableColumn id="6" name="Fecha límite"/>
    <tableColumn id="7" name="Fecha de cumplimiento"/>
    <tableColumn id="8" name="Peso (%)"/>
    <tableColumn id="9" name="Avance Semana 1 (%)"/>
    <tableColumn id="10" name="Avance Semana 2 (%)"/>
    <tableColumn id="11" name="Avance Semana 3 (%)"/>
    <tableColumn id="12" name="Avance Semana 4 (%)"/>
    <tableColumn id="13" name="% de Avance Total Actual">
      <calculatedColumnFormula>IF(NOT((COUNTA(tblAct_ATR[[#This Row],[Tipo]:[Delegar a]])+COUNTA(tblAct_ATR[[#This Row],[Fecha de cumplimiento]:[Avance Semana 4 (%)]])+COUNTA(tblAct_ATR[[#This Row],[Observaciones]]))&gt;0),"",IF(ISNUMBER(tblAct_ATR[[#This Row],[Fecha de cumplimiento]]),1,IF(N(tblAct_ATR[[#This Row],[N subactividades (aux)]])&gt;0,AVERAGEIFS($X$5:$X$1000,$U$5:$U$1000,ROW(),$V$5:$V$1000,"Sub"),tblAct_ATR[[#This Row],[Avance propio (aux)]])))</calculatedColumnFormula>
    </tableColumn>
    <tableColumn id="14" name="Estado">
      <calculatedColumnFormula>IF(tblAct_ATR[[#This Row],[% de Avance Total Actual]]="","",IF(tblAct_ATR[[#This Row],[% de Avance Total Actual]]&gt;=1,"Completado",IF(tblAct_ATR[[#This Row],[% de Avance Total Actual]]&gt;0,"En curso","Pendiente")))</calculatedColumnFormula>
    </tableColumn>
    <tableColumn id="15" name="Alerta de plazo">
      <calculatedColumnFormula>IF(NOT((COUNTA(tblAct_ATR[[#This Row],[Tipo]:[Delegar a]])+COUNTA(tblAct_ATR[[#This Row],[Fecha de cumplimiento]:[Avance Semana 4 (%)]])+COUNTA(tblAct_ATR[[#This Row],[Observaciones]]))&gt;0),"",IF(ISNUMBER(tblAct_ATR[[#This Row],[Fecha de cumplimiento]]),IF(AND(ISNUMBER(tblAct_ATR[[#This Row],[Límite efectivo (aux)]]),tblAct_ATR[[#This Row],[Fecha de cumplimiento]]&gt;tblAct_ATR[[#This Row],[Límite efectivo (aux)]]),"Cumplida con "&amp;(tblAct_ATR[[#This Row],[Fecha de cumplimiento]]-tblAct_ATR[[#This Row],[Límite efectivo (aux)]])&amp;IF(tblAct_ATR[[#This Row],[Fecha de cumplimiento]]-tblAct_ATR[[#This Row],[Límite efectivo (aux)]]=1," día"," días")&amp;" de retraso","Cumplida"),IF(N(tblAct_ATR[[#This Row],[% de Avance Total Actual]])&gt;=1,"Cumplida",IF(NOT(ISNUMBER(tblAct_ATR[[#This Row],[Límite efectivo (aux)]])),"Sin fecha límite",IF(tblAct_ATR[[#This Row],[Límite efectivo (aux)]]&lt;FechaRef,"Vencida hace "&amp;(FechaRef-tblAct_ATR[[#This Row],[Límite efectivo (aux)]])&amp;IF(FechaRef-tblAct_ATR[[#This Row],[Límite efectivo (aux)]]=1," día"," días"),IF(tblAct_ATR[[#This Row],[Límite efectivo (aux)]]=FechaRef,"Vence hoy",IF(tblAct_ATR[[#This Row],[Límite efectivo (aux)]]-FechaRef&lt;=DiasAlerta,"Vence en "&amp;(tblAct_ATR[[#This Row],[Límite efectivo (aux)]]-FechaRef)&amp;IF(tblAct_ATR[[#This Row],[Límite efectivo (aux)]]-FechaRef=1," día"," días"),"En plazo")))))))</calculatedColumnFormula>
    </tableColumn>
    <tableColumn id="16" name="Seguimiento de la delegación"/>
    <tableColumn id="17" name="Observaciones"/>
    <tableColumn id="18" name="Revisión automática (alertas)">
      <calculatedColumnFormula>IF(NOT((COUNTA(tblAct_ATR[[#This Row],[Tipo]:[Delegar a]])+COUNTA(tblAct_ATR[[#This Row],[Fecha de cumplimiento]:[Avance Semana 4 (%)]])+COUNTA(tblAct_ATR[[#This Row],[Observaciones]]))&gt;0),"",IF((IF(tblAct_ATR[[#This Row],[Actividad]]="","Falta el nombre de la actividad"&amp;" · ","")&amp;IF(AND(tblAct_ATR[[#This Row],[Tipo (aux)]]="Sub",N(tblAct_ATR[[#This Row],[Grupo (aux)]])=0),"Subactividad sin macroactividad arriba"&amp;" · ","")&amp;IF(tblAct_ATR[[#This Row],[Inicio efectivo (aux)]]="","Sin fecha de inicio"&amp;" · ","")&amp;IF(tblAct_ATR[[#This Row],[Límite efectivo (aux)]]="","Sin fecha límite"&amp;" · ","")&amp;IF(AND(LEFT(tblAct_ATR[[#This Row],[Actividad]],11)="[Jefatura] ",N(tblAct_ATR[[#This Row],[Fila en Administración (aux)]])=0),"No se encuentra en la hoja de la jefatura (elíjala de nuevo en la lista)"&amp;" · ","")&amp;IF(OR(AND(tblAct_ATR[[#This Row],[Fecha de inicio]]&lt;&gt;"",NOT(ISNUMBER(tblAct_ATR[[#This Row],[Fecha de inicio]]))),AND(tblAct_ATR[[#This Row],[Fecha límite]]&lt;&gt;"",NOT(ISNUMBER(tblAct_ATR[[#This Row],[Fecha límite]]))),AND(tblAct_ATR[[#This Row],[Fecha de cumplimiento]]&lt;&gt;"",NOT(ISNUMBER(tblAct_ATR[[#This Row],[Fecha de cumplimiento]])))),"Fecha no válida"&amp;" · ","")&amp;IF(AND(ISNUMBER(tblAct_ATR[[#This Row],[Inicio efectivo (aux)]]),ISNUMBER(tblAct_ATR[[#This Row],[Límite efectivo (aux)]]),tblAct_ATR[[#This Row],[Inicio efectivo (aux)]]&gt;tblAct_ATR[[#This Row],[Límite efectivo (aux)]]),"Inicio posterior a fecha límite"&amp;" · ","")&amp;IF(AND(tblAct_ATR[[#This Row],[Tipo (aux)]]="Macro",tblAct_ATR[[#This Row],[Peso (%)]]&lt;&gt;"",OR(NOT(ISNUMBER(tblAct_ATR[[#This Row],[Peso (%)]])),tblAct_ATR[[#This Row],[Peso (%)]]&lt;0,tblAct_ATR[[#This Row],[Peso (%)]]&gt;1)),"Peso fuera de rango"&amp;" · ","")&amp;IF(AND(tblAct_ATR[[#This Row],[Tipo (aux)]]="Sub",tblAct_ATR[[#This Row],[Peso (%)]]&lt;&gt;""),"Las subactividades no llevan peso (valen igual dentro de su macroactividad)"&amp;" · ","")&amp;IF(AND(N(tblAct_ATR[[#This Row],[N subactividades (aux)]])&gt;0,COUNT(tblAct_ATR[[#This Row],[Avance Semana 1 (%)]:[Avance Semana 4 (%)]])&gt;0),"Con subactividades: deje vacías las semanas (se calculan solas)"&amp;" · ","")&amp;IF((COUNTIF(tblAct_ATR[[#This Row],[Avance Semana 1 (%)]:[Avance Semana 4 (%)]],"&gt;1")+COUNTIF(tblAct_ATR[[#This Row],[Avance Semana 1 (%)]:[Avance Semana 4 (%)]],"&lt;0")+COUNTA(tblAct_ATR[[#This Row],[Avance Semana 1 (%)]:[Avance Semana 4 (%)]])-COUNT(tblAct_ATR[[#This Row],[Avance Semana 1 (%)]:[Avance Semana 4 (%)]]))&gt;0,"Avance fuera de rango 0-100%"&amp;" · ","")&amp;IF(OR(AND(tblAct_ATR[[#This Row],[Avance Semana 2 (%)]]&lt;&gt;"",tblAct_ATR[[#This Row],[Avance Semana 2 (%)]]&lt;tblAct_ATR[[#This Row],[Avance Semana 1 (%)]]),AND(tblAct_ATR[[#This Row],[Avance Semana 3 (%)]]&lt;&gt;"",tblAct_ATR[[#This Row],[Avance Semana 3 (%)]]&lt;MAX(tblAct_ATR[[#This Row],[Avance Semana 1 (%)]:[Avance Semana 2 (%)]])),AND(tblAct_ATR[[#This Row],[Avance Semana 4 (%)]]&lt;&gt;"",tblAct_ATR[[#This Row],[Avance Semana 4 (%)]]&lt;MAX(tblAct_ATR[[#This Row],[Avance Semana 1 (%)]:[Avance Semana 3 (%)]]))),"Avance semanal decreciente"&amp;" · ","")&amp;IF(AND(ISNUMBER(tblAct_ATR[[#This Row],[Límite efectivo (aux)]]),tblAct_ATR[[#This Row],[Límite efectivo (aux)]]&lt;FechaRef,N(tblAct_ATR[[#This Row],[% de Avance Total Actual]])&lt;1),"Vencida"&amp;" · ","")&amp;IF(AND(ObsObligatoria="Sí",ISNUMBER(tblAct_ATR[[#This Row],[Límite efectivo (aux)]]),tblAct_ATR[[#This Row],[Límite efectivo (aux)]]&lt;FechaRef,N(tblAct_ATR[[#This Row],[% de Avance Total Actual]])&lt;1,tblAct_ATR[[#This Row],[Observaciones]]=""),"Vencida sin observación"&amp;" · ",""))="","✔ OK","⚠ "&amp;LEFT(IF(tblAct_ATR[[#This Row],[Actividad]]="","Falta el nombre de la actividad"&amp;" · ","")&amp;IF(AND(tblAct_ATR[[#This Row],[Tipo (aux)]]="Sub",N(tblAct_ATR[[#This Row],[Grupo (aux)]])=0),"Subactividad sin macroactividad arriba"&amp;" · ","")&amp;IF(tblAct_ATR[[#This Row],[Inicio efectivo (aux)]]="","Sin fecha de inicio"&amp;" · ","")&amp;IF(tblAct_ATR[[#This Row],[Límite efectivo (aux)]]="","Sin fecha límite"&amp;" · ","")&amp;IF(AND(LEFT(tblAct_ATR[[#This Row],[Actividad]],11)="[Jefatura] ",N(tblAct_ATR[[#This Row],[Fila en Administración (aux)]])=0),"No se encuentra en la hoja de la jefatura (elíjala de nuevo en la lista)"&amp;" · ","")&amp;IF(OR(AND(tblAct_ATR[[#This Row],[Fecha de inicio]]&lt;&gt;"",NOT(ISNUMBER(tblAct_ATR[[#This Row],[Fecha de inicio]]))),AND(tblAct_ATR[[#This Row],[Fecha límite]]&lt;&gt;"",NOT(ISNUMBER(tblAct_ATR[[#This Row],[Fecha límite]]))),AND(tblAct_ATR[[#This Row],[Fecha de cumplimiento]]&lt;&gt;"",NOT(ISNUMBER(tblAct_ATR[[#This Row],[Fecha de cumplimiento]])))),"Fecha no válida"&amp;" · ","")&amp;IF(AND(ISNUMBER(tblAct_ATR[[#This Row],[Inicio efectivo (aux)]]),ISNUMBER(tblAct_ATR[[#This Row],[Límite efectivo (aux)]]),tblAct_ATR[[#This Row],[Inicio efectivo (aux)]]&gt;tblAct_ATR[[#This Row],[Límite efectivo (aux)]]),"Inicio posterior a fecha límite"&amp;" · ","")&amp;IF(AND(tblAct_ATR[[#This Row],[Tipo (aux)]]="Macro",tblAct_ATR[[#This Row],[Peso (%)]]&lt;&gt;"",OR(NOT(ISNUMBER(tblAct_ATR[[#This Row],[Peso (%)]])),tblAct_ATR[[#This Row],[Peso (%)]]&lt;0,tblAct_ATR[[#This Row],[Peso (%)]]&gt;1)),"Peso fuera de rango"&amp;" · ","")&amp;IF(AND(tblAct_ATR[[#This Row],[Tipo (aux)]]="Sub",tblAct_ATR[[#This Row],[Peso (%)]]&lt;&gt;""),"Las subactividades no llevan peso (valen igual dentro de su macroactividad)"&amp;" · ","")&amp;IF(AND(N(tblAct_ATR[[#This Row],[N subactividades (aux)]])&gt;0,COUNT(tblAct_ATR[[#This Row],[Avance Semana 1 (%)]:[Avance Semana 4 (%)]])&gt;0),"Con subactividades: deje vacías las semanas (se calculan solas)"&amp;" · ","")&amp;IF((COUNTIF(tblAct_ATR[[#This Row],[Avance Semana 1 (%)]:[Avance Semana 4 (%)]],"&gt;1")+COUNTIF(tblAct_ATR[[#This Row],[Avance Semana 1 (%)]:[Avance Semana 4 (%)]],"&lt;0")+COUNTA(tblAct_ATR[[#This Row],[Avance Semana 1 (%)]:[Avance Semana 4 (%)]])-COUNT(tblAct_ATR[[#This Row],[Avance Semana 1 (%)]:[Avance Semana 4 (%)]]))&gt;0,"Avance fuera de rango 0-100%"&amp;" · ","")&amp;IF(OR(AND(tblAct_ATR[[#This Row],[Avance Semana 2 (%)]]&lt;&gt;"",tblAct_ATR[[#This Row],[Avance Semana 2 (%)]]&lt;tblAct_ATR[[#This Row],[Avance Semana 1 (%)]]),AND(tblAct_ATR[[#This Row],[Avance Semana 3 (%)]]&lt;&gt;"",tblAct_ATR[[#This Row],[Avance Semana 3 (%)]]&lt;MAX(tblAct_ATR[[#This Row],[Avance Semana 1 (%)]:[Avance Semana 2 (%)]])),AND(tblAct_ATR[[#This Row],[Avance Semana 4 (%)]]&lt;&gt;"",tblAct_ATR[[#This Row],[Avance Semana 4 (%)]]&lt;MAX(tblAct_ATR[[#This Row],[Avance Semana 1 (%)]:[Avance Semana 3 (%)]]))),"Avance semanal decreciente"&amp;" · ","")&amp;IF(AND(ISNUMBER(tblAct_ATR[[#This Row],[Límite efectivo (aux)]]),tblAct_ATR[[#This Row],[Límite efectivo (aux)]]&lt;FechaRef,N(tblAct_ATR[[#This Row],[% de Avance Total Actual]])&lt;1),"Vencida"&amp;" · ","")&amp;IF(AND(ObsObligatoria="Sí",ISNUMBER(tblAct_ATR[[#This Row],[Límite efectivo (aux)]]),tblAct_ATR[[#This Row],[Límite efectivo (aux)]]&lt;FechaRef,N(tblAct_ATR[[#This Row],[% de Avance Total Actual]])&lt;1,tblAct_ATR[[#This Row],[Observaciones]]=""),"Vencida sin observación"&amp;" · ",""),LEN(IF(tblAct_ATR[[#This Row],[Actividad]]="","Falta el nombre de la actividad"&amp;" · ","")&amp;IF(AND(tblAct_ATR[[#This Row],[Tipo (aux)]]="Sub",N(tblAct_ATR[[#This Row],[Grupo (aux)]])=0),"Subactividad sin macroactividad arriba"&amp;" · ","")&amp;IF(tblAct_ATR[[#This Row],[Inicio efectivo (aux)]]="","Sin fecha de inicio"&amp;" · ","")&amp;IF(tblAct_ATR[[#This Row],[Límite efectivo (aux)]]="","Sin fecha límite"&amp;" · ","")&amp;IF(AND(LEFT(tblAct_ATR[[#This Row],[Actividad]],11)="[Jefatura] ",N(tblAct_ATR[[#This Row],[Fila en Administración (aux)]])=0),"No se encuentra en la hoja de la jefatura (elíjala de nuevo en la lista)"&amp;" · ","")&amp;IF(OR(AND(tblAct_ATR[[#This Row],[Fecha de inicio]]&lt;&gt;"",NOT(ISNUMBER(tblAct_ATR[[#This Row],[Fecha de inicio]]))),AND(tblAct_ATR[[#This Row],[Fecha límite]]&lt;&gt;"",NOT(ISNUMBER(tblAct_ATR[[#This Row],[Fecha límite]]))),AND(tblAct_ATR[[#This Row],[Fecha de cumplimiento]]&lt;&gt;"",NOT(ISNUMBER(tblAct_ATR[[#This Row],[Fecha de cumplimiento]])))),"Fecha no válida"&amp;" · ","")&amp;IF(AND(ISNUMBER(tblAct_ATR[[#This Row],[Inicio efectivo (aux)]]),ISNUMBER(tblAct_ATR[[#This Row],[Límite efectivo (aux)]]),tblAct_ATR[[#This Row],[Inicio efectivo (aux)]]&gt;tblAct_ATR[[#This Row],[Límite efectivo (aux)]]),"Inicio posterior a fecha límite"&amp;" · ","")&amp;IF(AND(tblAct_ATR[[#This Row],[Tipo (aux)]]="Macro",tblAct_ATR[[#This Row],[Peso (%)]]&lt;&gt;"",OR(NOT(ISNUMBER(tblAct_ATR[[#This Row],[Peso (%)]])),tblAct_ATR[[#This Row],[Peso (%)]]&lt;0,tblAct_ATR[[#This Row],[Peso (%)]]&gt;1)),"Peso fuera de rango"&amp;" · ","")&amp;IF(AND(tblAct_ATR[[#This Row],[Tipo (aux)]]="Sub",tblAct_ATR[[#This Row],[Peso (%)]]&lt;&gt;""),"Las subactividades no llevan peso (valen igual dentro de su macroactividad)"&amp;" · ","")&amp;IF(AND(N(tblAct_ATR[[#This Row],[N subactividades (aux)]])&gt;0,COUNT(tblAct_ATR[[#This Row],[Avance Semana 1 (%)]:[Avance Semana 4 (%)]])&gt;0),"Con subactividades: deje vacías las semanas (se calculan solas)"&amp;" · ","")&amp;IF((COUNTIF(tblAct_ATR[[#This Row],[Avance Semana 1 (%)]:[Avance Semana 4 (%)]],"&gt;1")+COUNTIF(tblAct_ATR[[#This Row],[Avance Semana 1 (%)]:[Avance Semana 4 (%)]],"&lt;0")+COUNTA(tblAct_ATR[[#This Row],[Avance Semana 1 (%)]:[Avance Semana 4 (%)]])-COUNT(tblAct_ATR[[#This Row],[Avance Semana 1 (%)]:[Avance Semana 4 (%)]]))&gt;0,"Avance fuera de rango 0-100%"&amp;" · ","")&amp;IF(OR(AND(tblAct_ATR[[#This Row],[Avance Semana 2 (%)]]&lt;&gt;"",tblAct_ATR[[#This Row],[Avance Semana 2 (%)]]&lt;tblAct_ATR[[#This Row],[Avance Semana 1 (%)]]),AND(tblAct_ATR[[#This Row],[Avance Semana 3 (%)]]&lt;&gt;"",tblAct_ATR[[#This Row],[Avance Semana 3 (%)]]&lt;MAX(tblAct_ATR[[#This Row],[Avance Semana 1 (%)]:[Avance Semana 2 (%)]])),AND(tblAct_ATR[[#This Row],[Avance Semana 4 (%)]]&lt;&gt;"",tblAct_ATR[[#This Row],[Avance Semana 4 (%)]]&lt;MAX(tblAct_ATR[[#This Row],[Avance Semana 1 (%)]:[Avance Semana 3 (%)]]))),"Avance semanal decreciente"&amp;" · ","")&amp;IF(AND(ISNUMBER(tblAct_ATR[[#This Row],[Límite efectivo (aux)]]),tblAct_ATR[[#This Row],[Límite efectivo (aux)]]&lt;FechaRef,N(tblAct_ATR[[#This Row],[% de Avance Total Actual]])&lt;1),"Vencida"&amp;" · ","")&amp;IF(AND(ObsObligatoria="Sí",ISNUMBER(tblAct_ATR[[#This Row],[Límite efectivo (aux)]]),tblAct_ATR[[#This Row],[Límite efectivo (aux)]]&lt;FechaRef,N(tblAct_ATR[[#This Row],[% de Avance Total Actual]])&lt;1,tblAct_ATR[[#This Row],[Observaciones]]=""),"Vencida sin observación"&amp;" · ",""))-3)))</calculatedColumnFormula>
    </tableColumn>
    <tableColumn id="19" name="Mes">
      <calculatedColumnFormula>IF(NOT((COUNTA(tblAct_ATR[[#This Row],[Tipo]:[Delegar a]])+COUNTA(tblAct_ATR[[#This Row],[Fecha de cumplimiento]:[Avance Semana 4 (%)]])+COUNTA(tblAct_ATR[[#This Row],[Observaciones]]))&gt;0),"",IF(AND(tblAct_ATR[[#This Row],[Tipo (aux)]]="Sub",N(tblAct_ATR[[#This Row],[Grupo (aux)]])&gt;0),IF(ISNUMBER(INDEX($AM$5:$AM$1000,tblAct_ATR[[#This Row],[Grupo (aux)]]-4)),DATE(YEAR(INDEX($AM$5:$AM$1000,tblAct_ATR[[#This Row],[Grupo (aux)]]-4)),MONTH(INDEX($AM$5:$AM$1000,tblAct_ATR[[#This Row],[Grupo (aux)]]-4)),1),IF(ISNUMBER(INDEX($AN$5:$AN$1000,tblAct_ATR[[#This Row],[Grupo (aux)]]-4)),DATE(YEAR(INDEX($AN$5:$AN$1000,tblAct_ATR[[#This Row],[Grupo (aux)]]-4)),MONTH(INDEX($AN$5:$AN$1000,tblAct_ATR[[#This Row],[Grupo (aux)]]-4)),1),MesCiclo)),IF(ISNUMBER(tblAct_ATR[[#This Row],[Inicio efectivo (aux)]]),DATE(YEAR(tblAct_ATR[[#This Row],[Inicio efectivo (aux)]]),MONTH(tblAct_ATR[[#This Row],[Inicio efectivo (aux)]]),1),IF(ISNUMBER(tblAct_ATR[[#This Row],[Límite efectivo (aux)]]),DATE(YEAR(tblAct_ATR[[#This Row],[Límite efectivo (aux)]]),MONTH(tblAct_ATR[[#This Row],[Límite efectivo (aux)]]),1),MesCiclo))))</calculatedColumnFormula>
    </tableColumn>
    <tableColumn id="20" name="Orden en el mes (aux)">
      <calculatedColumnFormula>IF(OR(tblAct_ATR[[#This Row],[Mes]]="",tblAct_ATR[[#This Row],[Mes]]&lt;&gt;MesCiclo),"",COUNTIF(INDEX(tblAct_ATR[Mes],1):tblAct_ATR[[#This Row],[Mes]],MesCiclo))</calculatedColumnFormula>
    </tableColumn>
    <tableColumn id="21" name="Grupo (aux)">
      <calculatedColumnFormula>IF(tblAct_ATR[[#This Row],[Tipo (aux)]]="","",IF(tblAct_ATR[[#This Row],[Tipo (aux)]]="Macro",ROW(),IFERROR(LOOKUP(2,1/(INDEX(tblAct_ATR[Tipo (aux)],1):tblAct_ATR[[#This Row],[Tipo (aux)]]="Macro"),ROW(INDEX(tblAct_ATR[Tipo (aux)],1):tblAct_ATR[[#This Row],[Tipo (aux)]])),0)))</calculatedColumnFormula>
    </tableColumn>
    <tableColumn id="22" name="Tipo (aux)">
      <calculatedColumnFormula>IF(NOT((COUNTA(tblAct_ATR[[#This Row],[Tipo]:[Delegar a]])+COUNTA(tblAct_ATR[[#This Row],[Fecha de cumplimiento]:[Avance Semana 4 (%)]])+COUNTA(tblAct_ATR[[#This Row],[Observaciones]]))&gt;0),"",IF(tblAct_ATR[[#This Row],[Tipo]]="Subactividad","Sub","Macro"))</calculatedColumnFormula>
    </tableColumn>
    <tableColumn id="23" name="N subactividades (aux)">
      <calculatedColumnFormula>IF(tblAct_ATR[[#This Row],[Tipo (aux)]]="Macro",COUNTIFS($U$5:$U$1000,ROW(),$V$5:$V$1000,"Sub"),"")</calculatedColumnFormula>
    </tableColumn>
    <tableColumn id="24" name="Avance propio (aux)">
      <calculatedColumnFormula>IF(tblAct_ATR[[#This Row],[Tipo (aux)]]="","",IF(ISNUMBER(tblAct_ATR[[#This Row],[Fecha de cumplimiento]]),1,IFERROR(LOOKUP(2,1/(tblAct_ATR[[#This Row],[Avance Semana 1 (%)]:[Avance Semana 4 (%)]]&lt;&gt;""),tblAct_ATR[[#This Row],[Avance Semana 1 (%)]:[Avance Semana 4 (%)]]),0)))</calculatedColumnFormula>
    </tableColumn>
    <tableColumn id="25" name="Propio S1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Row],[Mes]]),7))+6),1,IF(ISNUMBER(tblAct_ATR[[#This Row],[Avance Semana 1 (%)]]),tblAct_ATR[[#This Row],[Avance Semana 1 (%)]],0)))</calculatedColumnFormula>
    </tableColumn>
    <tableColumn id="26" name="Propio S2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Row],[Mes]]),7))+13),1,IF(ISNUMBER(tblAct_ATR[[#This Row],[Avance Semana 2 (%)]]),tblAct_ATR[[#This Row],[Avance Semana 2 (%)]],tblAct_ATR[[#This Row],[Propio S1 (aux)]])))</calculatedColumnFormula>
    </tableColumn>
    <tableColumn id="27" name="Propio S3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Row],[Mes]]),7))+20),1,IF(ISNUMBER(tblAct_ATR[[#This Row],[Avance Semana 3 (%)]]),tblAct_ATR[[#This Row],[Avance Semana 3 (%)]],tblAct_ATR[[#This Row],[Propio S2 (aux)]])))</calculatedColumnFormula>
    </tableColumn>
    <tableColumn id="28" name="Propio S4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Row],[Mes]]),7))+27),1,IF(ISNUMBER(tblAct_ATR[[#This Row],[Avance Semana 4 (%)]]),tblAct_ATR[[#This Row],[Avance Semana 4 (%)]],tblAct_ATR[[#This Row],[Propio S3 (aux)]])))</calculatedColumnFormula>
    </tableColumn>
    <tableColumn id="29" name="Efectivo S1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Row],[Mes]]),7))+6),1,IF(N(tblAct_ATR[[#This Row],[N subactividades (aux)]])&gt;0,AVERAGEIFS($Y$5:$Y$1000,$U$5:$U$1000,ROW(),$V$5:$V$1000,"Sub"),tblAct_ATR[[#This Row],[Propio S1 (aux)]])))</calculatedColumnFormula>
    </tableColumn>
    <tableColumn id="30" name="Efectivo S2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Row],[Mes]]),7))+13),1,IF(N(tblAct_ATR[[#This Row],[N subactividades (aux)]])&gt;0,AVERAGEIFS($Z$5:$Z$1000,$U$5:$U$1000,ROW(),$V$5:$V$1000,"Sub"),tblAct_ATR[[#This Row],[Propio S2 (aux)]])))</calculatedColumnFormula>
    </tableColumn>
    <tableColumn id="31" name="Efectivo S3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Row],[Mes]]),7))+20),1,IF(N(tblAct_ATR[[#This Row],[N subactividades (aux)]])&gt;0,AVERAGEIFS($AA$5:$AA$1000,$U$5:$U$1000,ROW(),$V$5:$V$1000,"Sub"),tblAct_ATR[[#This Row],[Propio S3 (aux)]])))</calculatedColumnFormula>
    </tableColumn>
    <tableColumn id="32" name="Efectivo S4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Row],[Mes]]),7))+27),1,IF(N(tblAct_ATR[[#This Row],[N subactividades (aux)]])&gt;0,AVERAGEIFS($AB$5:$AB$1000,$U$5:$U$1000,ROW(),$V$5:$V$1000,"Sub"),tblAct_ATR[[#This Row],[Propio S4 (aux)]])))</calculatedColumnFormula>
    </tableColumn>
    <tableColumn id="33" name="Peso efectivo (aux)">
      <calculatedColumnFormula>IF(tblAct_ATR[[#This Row],[Tipo (aux)]]&lt;&gt;"Macro","",IF(COUNTIFS($S$5:$S$1000,tblAct_ATR[[#This Row],[Mes]],$V$5:$V$1000,"Macro",$H$5:$H$1000,"&gt;0")=0,1/COUNTIFS($S$5:$S$1000,tblAct_ATR[[#This Row],[Mes]],$V$5:$V$1000,"Macro"),IF(AND(ISNUMBER(tblAct_ATR[[#This Row],[Peso (%)]]),N(tblAct_ATR[[#This Row],[Peso (%)]])&gt;0),tblAct_ATR[[#This Row],[Peso (%)]],SUMIFS($H$5:$H$1000,$S$5:$S$1000,tblAct_ATR[[#This Row],[Mes]],$V$5:$V$1000,"Macro")/COUNTIFS($S$5:$S$1000,tblAct_ATR[[#This Row],[Mes]],$V$5:$V$1000,"Macro",$H$5:$H$1000,"&gt;0"))/(COUNTIFS($S$5:$S$1000,tblAct_ATR[[#This Row],[Mes]],$V$5:$V$1000,"Macro")*SUMIFS($H$5:$H$1000,$S$5:$S$1000,tblAct_ATR[[#This Row],[Mes]],$V$5:$V$1000,"Macro")/COUNTIFS($S$5:$S$1000,tblAct_ATR[[#This Row],[Mes]],$V$5:$V$1000,"Macro",$H$5:$H$1000,"&gt;0"))))</calculatedColumnFormula>
    </tableColumn>
    <tableColumn id="34" name="Fila en el puesto (aux)"/>
    <tableColumn id="35" name="N° delegada en el mes (aux)"/>
    <tableColumn id="36" name="Clave delegada (aux)"/>
    <tableColumn id="37" name="Clave puesto-actividad (aux)"/>
    <tableColumn id="38" name="Fila en Administración (aux)">
      <calculatedColumnFormula>IF(LEFT(tblAct_ATR[[#This Row],[Actividad]],11)="[Jefatura] ",IFERROR(MATCH("Asistente Técnico de Riesgo|"&amp;MID(tblAct_ATR[[#This Row],[Actividad]],12,500),rDname_ADM,0),0),"")</calculatedColumnFormula>
    </tableColumn>
    <tableColumn id="39" name="Inicio efectivo (aux)">
      <calculatedColumnFormula>IF(N(tblAct_ATR[[#This Row],[Fila en Administración (aux)]])&gt;0,INDEX(rIni_ADM,tblAct_ATR[[#This Row],[Fila en Administración (aux)]]),IF(ISNUMBER(tblAct_ATR[[#This Row],[Fecha de inicio]]),tblAct_ATR[[#This Row],[Fecha de inicio]],""))</calculatedColumnFormula>
    </tableColumn>
    <tableColumn id="40" name="Límite efectivo (aux)">
      <calculatedColumnFormula>IF(N(tblAct_ATR[[#This Row],[Fila en Administración (aux)]])&gt;0,INDEX(rLim_ADM,tblAct_ATR[[#This Row],[Fila en Administración (aux)]]),IF(ISNUMBER(tblAct_ATR[[#This Row],[Fecha límite]]),tblAct_ATR[[#This Row],[Fecha límite]],""))</calculatedColumnFormula>
    </tableColumn>
  </tableColumns>
  <tableStyleInfo name="TableStyleLight1" showRowStripes="0"/>
</table>
</file>

<file path=xl/tables/table9.xml><?xml version="1.0" encoding="utf-8"?>
<table xmlns="http://schemas.openxmlformats.org/spreadsheetml/2006/main" id="9" name="tblSem_ATR" displayName="tblSem_ATR" ref="A4:M104" headerRowCount="1">
  <autoFilter ref="A4:M104"/>
  <tableColumns count="13">
    <tableColumn id="1" name="N°"/>
    <tableColumn id="2" name="Actividad"/>
    <tableColumn id="3" name="Fecha de inicio"/>
    <tableColumn id="4" name="Fecha límite"/>
    <tableColumn id="5" name="Semana de entrega"/>
    <tableColumn id="6" name="Semana 1"/>
    <tableColumn id="7" name="Semana 2"/>
    <tableColumn id="8" name="Semana 3"/>
    <tableColumn id="9" name="Semana 4"/>
    <tableColumn id="10" name="% Avance actual"/>
    <tableColumn id="11" name="Estado"/>
    <tableColumn id="12" name="Alerta de plazo"/>
    <tableColumn id="13" name="Observaciones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ronograma R. Operacional'!A1" TargetMode="External" Id="rId1"/><Relationship Type="http://schemas.openxmlformats.org/officeDocument/2006/relationships/hyperlink" Target="#'Cronograma R. Normativo'!A1" TargetMode="External" Id="rId2"/><Relationship Type="http://schemas.openxmlformats.org/officeDocument/2006/relationships/hyperlink" Target="#'Cronograma R. Financiero'!A1" TargetMode="External" Id="rId3"/><Relationship Type="http://schemas.openxmlformats.org/officeDocument/2006/relationships/hyperlink" Target="#'Cronograma Asistente T&#233;cnico'!A1" TargetMode="External" Id="rId4"/><Relationship Type="http://schemas.openxmlformats.org/officeDocument/2006/relationships/hyperlink" Target="#'Actividades R. Operacional'!A1" TargetMode="External" Id="rId5"/><Relationship Type="http://schemas.openxmlformats.org/officeDocument/2006/relationships/hyperlink" Target="#'Actividades R. Normativo'!A1" TargetMode="External" Id="rId6"/><Relationship Type="http://schemas.openxmlformats.org/officeDocument/2006/relationships/hyperlink" Target="#'Actividades R. Financiero'!A1" TargetMode="External" Id="rId7"/><Relationship Type="http://schemas.openxmlformats.org/officeDocument/2006/relationships/hyperlink" Target="#'Actividades Asistente T&#233;cnico'!A1" TargetMode="External" Id="rId8"/><Relationship Type="http://schemas.openxmlformats.org/officeDocument/2006/relationships/hyperlink" Target="#'Administraci&#243;n'!A1" TargetMode="External" Id="rId9"/><Relationship Type="http://schemas.openxmlformats.org/officeDocument/2006/relationships/drawing" Target="/xl/drawings/drawing1.xml" Id="rId10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P90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30" customWidth="1" min="2" max="2"/>
    <col width="18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22" customWidth="1" min="11" max="11"/>
    <col width="20" customWidth="1" min="12" max="12"/>
    <col width="24" customWidth="1" min="13" max="13"/>
    <col width="2" customWidth="1" min="14" max="14"/>
    <col hidden="1" width="13" customWidth="1" min="16" max="16"/>
  </cols>
  <sheetData>
    <row r="1" ht="34" customHeight="1">
      <c r="B1" s="1" t="inlineStr">
        <is>
          <t>Dashboard Consolidado – Gestión de Riesgos · Ciclo mensual de 4 semanas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2" customHeight="1">
      <c r="B2" s="2" t="inlineStr">
        <is>
          <t>Período:</t>
        </is>
      </c>
      <c r="C2" s="3">
        <f>MesCiclo</f>
        <v/>
      </c>
      <c r="D2" s="2" t="inlineStr">
        <is>
          <t>Semana actual:</t>
        </is>
      </c>
      <c r="E2" s="4">
        <f>SemanaActual</f>
        <v/>
      </c>
      <c r="F2" s="2" t="inlineStr">
        <is>
          <t>Fecha de corte:</t>
        </is>
      </c>
      <c r="G2" s="5">
        <f>FechaRef</f>
        <v/>
      </c>
      <c r="H2" s="6" t="inlineStr">
        <is>
          <t>Se actualiza solo con las hojas «Cronograma …» y «Actividades …» de cada puesto. El período y la semana se calculan con la fecha de hoy (ver Configuración).</t>
        </is>
      </c>
      <c r="I2" s="6" t="n"/>
      <c r="J2" s="6" t="n"/>
      <c r="K2" s="6" t="n"/>
      <c r="L2" s="6" t="n"/>
      <c r="M2" s="6" t="n"/>
    </row>
    <row r="4" ht="20" customHeight="1">
      <c r="B4" s="7" t="inlineStr">
        <is>
          <t>Avance general de las actividades</t>
        </is>
      </c>
      <c r="C4" s="7" t="n"/>
      <c r="D4" s="7" t="n"/>
      <c r="E4" s="7" t="inlineStr">
        <is>
          <t>Meta de cumplimiento</t>
        </is>
      </c>
      <c r="F4" s="7" t="n"/>
      <c r="G4" s="7" t="n"/>
      <c r="H4" s="7" t="inlineStr">
        <is>
          <t>Macroactividades registradas</t>
        </is>
      </c>
      <c r="I4" s="7" t="n"/>
      <c r="J4" s="7" t="n"/>
      <c r="K4" s="7" t="inlineStr">
        <is>
          <t>Actividades completadas</t>
        </is>
      </c>
      <c r="L4" s="7" t="n"/>
      <c r="M4" s="7" t="n"/>
    </row>
    <row r="5" ht="38" customHeight="1">
      <c r="B5" s="8">
        <f>IF('Calculos'!$E$8,'Calculos'!$F$8,"No definitivo")</f>
        <v/>
      </c>
      <c r="C5" s="9" t="n"/>
      <c r="D5" s="9" t="n"/>
      <c r="E5" s="8">
        <f>MetaFinal</f>
        <v/>
      </c>
      <c r="F5" s="9" t="n"/>
      <c r="G5" s="9" t="n"/>
      <c r="H5" s="10">
        <f>'Calculos'!$B$11</f>
        <v/>
      </c>
      <c r="I5" s="9" t="n"/>
      <c r="J5" s="9" t="n"/>
      <c r="K5" s="10">
        <f>'Calculos'!$N$8</f>
        <v/>
      </c>
      <c r="L5" s="9" t="n"/>
      <c r="M5" s="9" t="n"/>
    </row>
    <row r="6" ht="18" customHeight="1">
      <c r="B6" s="11">
        <f>IF('Calculos'!$E$8,"Promedio simple de los 4 puestos",IF('Calculos'!$C$8=0,"Ningún puesto con datos válidos","Provisional "&amp;TEXT('Calculos'!$D$8,"0%")&amp;" ("&amp;'Calculos'!$C$8&amp;" de 4 puestos válidos)"))</f>
        <v/>
      </c>
      <c r="C6" s="11" t="n"/>
      <c r="D6" s="11" t="n"/>
      <c r="E6" s="11" t="inlineStr">
        <is>
          <t>Al cierre de la Semana 4</t>
        </is>
      </c>
      <c r="F6" s="11" t="n"/>
      <c r="G6" s="11" t="n"/>
      <c r="H6" s="11">
        <f>"En los 4 cronogramas · "&amp;'Calculos'!$U$8&amp;" delegada(s) por la jefatura"</f>
        <v/>
      </c>
      <c r="I6" s="11" t="n"/>
      <c r="J6" s="11" t="n"/>
      <c r="K6" s="11">
        <f>IF('Calculos'!$B$11=0,"—",TEXT('Calculos'!$N$8/'Calculos'!$B$11,"0%")&amp;" del total")</f>
        <v/>
      </c>
      <c r="L6" s="11" t="n"/>
      <c r="M6" s="11" t="n"/>
    </row>
    <row r="7" ht="8" customHeight="1"/>
    <row r="8" ht="20" customHeight="1">
      <c r="B8" s="7" t="inlineStr">
        <is>
          <t>Actividades en curso</t>
        </is>
      </c>
      <c r="C8" s="7" t="n"/>
      <c r="D8" s="7" t="n"/>
      <c r="E8" s="7" t="inlineStr">
        <is>
          <t>Actividades pendientes</t>
        </is>
      </c>
      <c r="F8" s="7" t="n"/>
      <c r="G8" s="7" t="n"/>
      <c r="H8" s="7" t="inlineStr">
        <is>
          <t>Puestos que alcanzaron el 100%</t>
        </is>
      </c>
      <c r="I8" s="7" t="n"/>
      <c r="J8" s="7" t="n"/>
      <c r="K8" s="7" t="inlineStr">
        <is>
          <t>Actividades con alertas</t>
        </is>
      </c>
      <c r="L8" s="7" t="n"/>
      <c r="M8" s="7" t="n"/>
    </row>
    <row r="9" ht="38" customHeight="1">
      <c r="B9" s="10">
        <f>'Calculos'!$O$8</f>
        <v/>
      </c>
      <c r="C9" s="9" t="n"/>
      <c r="D9" s="9" t="n"/>
      <c r="E9" s="10">
        <f>'Calculos'!$P$8</f>
        <v/>
      </c>
      <c r="F9" s="9" t="n"/>
      <c r="G9" s="9" t="n"/>
      <c r="H9" s="12">
        <f>'Calculos'!$B$12</f>
        <v/>
      </c>
      <c r="I9" s="9" t="n"/>
      <c r="J9" s="9" t="n"/>
      <c r="K9" s="10">
        <f>'Calculos'!$R$8</f>
        <v/>
      </c>
      <c r="L9" s="9" t="n"/>
      <c r="M9" s="9" t="n"/>
    </row>
    <row r="10" ht="18" customHeight="1">
      <c r="B10" s="11" t="inlineStr">
        <is>
          <t>Avance &gt; 0% y &lt; 100%</t>
        </is>
      </c>
      <c r="C10" s="11" t="n"/>
      <c r="D10" s="11" t="n"/>
      <c r="E10" s="11">
        <f>"De todas las actividades, vencidas: "&amp;'Calculos'!$Q$8</f>
        <v/>
      </c>
      <c r="F10" s="11" t="n"/>
      <c r="G10" s="11" t="n"/>
      <c r="H10" s="11" t="inlineStr">
        <is>
          <t>Con ponderación válida</t>
        </is>
      </c>
      <c r="I10" s="11" t="n"/>
      <c r="J10" s="11" t="n"/>
      <c r="K10" s="11">
        <f>"Próximas a vencer: "&amp;'Calculos'!$B$13</f>
        <v/>
      </c>
      <c r="L10" s="11" t="n"/>
      <c r="M10" s="11" t="n"/>
    </row>
    <row r="12" ht="30" customHeight="1">
      <c r="B12" s="13">
        <f>IF('Calculos'!$E$8,"Avance general vs meta 100%","Avance PROVISIONAL vs meta")</f>
        <v/>
      </c>
      <c r="C12" s="14">
        <f>IF('Calculos'!$E$8,'Calculos'!$F$8,N('Calculos'!$D$8))</f>
        <v/>
      </c>
      <c r="D12" s="15" t="n"/>
      <c r="E12" s="15" t="n"/>
      <c r="F12" s="15" t="n"/>
      <c r="G12" s="16">
        <f>IF('Calculos'!$B$11=0,"⚠ No hay actividades registradas en este mes. Cada puesto registra sus actividades y pesos en su hoja «Cronograma …».",IF(NOT('Calculos'!$E$8),"⚠ Avance general NO definitivo: "&amp;(4-'Calculos'!$C$8)&amp;" puesto(s) sin actividades válidas o con pesos que no suman 100%.",IF('Calculos'!$M$8,"Actividades del mes: ¡Enhorabuena, completado anticipadamente!",IF('Calculos'!$L$8,"Actividades del mes completadas: meta del 100% alcanzada.","Actividades del mes en ejecución – Semana "&amp;SemanaActual&amp;" de 4."))))</f>
        <v/>
      </c>
      <c r="H12" s="16" t="n"/>
      <c r="I12" s="16" t="n"/>
      <c r="J12" s="16" t="n"/>
      <c r="K12" s="16" t="n"/>
      <c r="L12" s="16" t="n"/>
      <c r="M12" s="16" t="n"/>
    </row>
    <row r="14" ht="24" customHeight="1">
      <c r="B14" s="17" t="inlineStr">
        <is>
          <t>Avance individual por puesto (ponderado por el peso de cada actividad)</t>
        </is>
      </c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</row>
    <row r="15" ht="30" customHeight="1">
      <c r="B15" s="7" t="inlineStr">
        <is>
          <t>Puesto</t>
        </is>
      </c>
      <c r="C15" s="7" t="inlineStr">
        <is>
          <t>Avance ponderado</t>
        </is>
      </c>
      <c r="D15" s="7" t="inlineStr">
        <is>
          <t>Progreso</t>
        </is>
      </c>
      <c r="E15" s="7" t="inlineStr">
        <is>
          <t>Total actividades</t>
        </is>
      </c>
      <c r="F15" s="7" t="inlineStr">
        <is>
          <t>Completadas</t>
        </is>
      </c>
      <c r="G15" s="7" t="inlineStr">
        <is>
          <t>En curso</t>
        </is>
      </c>
      <c r="H15" s="7" t="inlineStr">
        <is>
          <t>Pendientes</t>
        </is>
      </c>
      <c r="I15" s="7" t="inlineStr">
        <is>
          <t>Vencidas</t>
        </is>
      </c>
      <c r="J15" s="7" t="inlineStr">
        <is>
          <t>Con alertas</t>
        </is>
      </c>
      <c r="K15" s="7" t="inlineStr">
        <is>
          <t>Estado general</t>
        </is>
      </c>
      <c r="L15" s="7" t="inlineStr">
        <is>
          <t>Mensaje de finalización</t>
        </is>
      </c>
      <c r="M15" s="18" t="n"/>
    </row>
    <row r="16" ht="28" customHeight="1">
      <c r="B16" s="19">
        <f>'Calculos'!A4</f>
        <v/>
      </c>
      <c r="C16" s="20">
        <f>IF('Calculos'!B4=0,"Sin actividades",IF(NOT('Calculos'!E4),"Revisar pesos",'Calculos'!F4))</f>
        <v/>
      </c>
      <c r="D16" s="21">
        <f>IF(ISNUMBER(C16),C16,0)</f>
        <v/>
      </c>
      <c r="E16" s="22">
        <f>'Calculos'!B4</f>
        <v/>
      </c>
      <c r="F16" s="22">
        <f>'Calculos'!N4</f>
        <v/>
      </c>
      <c r="G16" s="22">
        <f>'Calculos'!O4</f>
        <v/>
      </c>
      <c r="H16" s="22">
        <f>'Calculos'!P4</f>
        <v/>
      </c>
      <c r="I16" s="22">
        <f>'Calculos'!Q4</f>
        <v/>
      </c>
      <c r="J16" s="22">
        <f>'Calculos'!R4</f>
        <v/>
      </c>
      <c r="K16" s="22">
        <f>IF('Calculos'!B4=0,"Sin actividades",IF(NOT('Calculos'!E4),"Pesos no válidos",IF('Calculos'!L4,"Completado",IF('Calculos'!F4&gt;0,"En curso","Pendiente"))))</f>
        <v/>
      </c>
      <c r="L16" s="22">
        <f>IF('Calculos'!B4=0,"⚠ Registrar actividades",IF(NOT('Calculos'!E4),"⚠ Corregir pesos no válidos",IF('Calculos'!M4,"¡Enhorabuena, completado anticipadamente!",IF('Calculos'!L4,"Completado","En ejecución"))))</f>
        <v/>
      </c>
      <c r="M16" s="22" t="n"/>
      <c r="P16" t="inlineStr">
        <is>
          <t>R. Operacional</t>
        </is>
      </c>
    </row>
    <row r="17" ht="28" customHeight="1">
      <c r="B17" s="23">
        <f>'Calculos'!A5</f>
        <v/>
      </c>
      <c r="C17" s="20">
        <f>IF('Calculos'!B5=0,"Sin actividades",IF(NOT('Calculos'!E5),"Revisar pesos",'Calculos'!F5))</f>
        <v/>
      </c>
      <c r="D17" s="21">
        <f>IF(ISNUMBER(C17),C17,0)</f>
        <v/>
      </c>
      <c r="E17" s="22">
        <f>'Calculos'!B5</f>
        <v/>
      </c>
      <c r="F17" s="22">
        <f>'Calculos'!N5</f>
        <v/>
      </c>
      <c r="G17" s="22">
        <f>'Calculos'!O5</f>
        <v/>
      </c>
      <c r="H17" s="22">
        <f>'Calculos'!P5</f>
        <v/>
      </c>
      <c r="I17" s="22">
        <f>'Calculos'!Q5</f>
        <v/>
      </c>
      <c r="J17" s="22">
        <f>'Calculos'!R5</f>
        <v/>
      </c>
      <c r="K17" s="22">
        <f>IF('Calculos'!B5=0,"Sin actividades",IF(NOT('Calculos'!E5),"Pesos no válidos",IF('Calculos'!L5,"Completado",IF('Calculos'!F5&gt;0,"En curso","Pendiente"))))</f>
        <v/>
      </c>
      <c r="L17" s="22">
        <f>IF('Calculos'!B5=0,"⚠ Registrar actividades",IF(NOT('Calculos'!E5),"⚠ Corregir pesos no válidos",IF('Calculos'!M5,"¡Enhorabuena, completado anticipadamente!",IF('Calculos'!L5,"Completado","En ejecución"))))</f>
        <v/>
      </c>
      <c r="M17" s="22" t="n"/>
      <c r="P17" t="inlineStr">
        <is>
          <t>R. Normativo</t>
        </is>
      </c>
    </row>
    <row r="18" ht="28" customHeight="1">
      <c r="B18" s="24">
        <f>'Calculos'!A6</f>
        <v/>
      </c>
      <c r="C18" s="20">
        <f>IF('Calculos'!B6=0,"Sin actividades",IF(NOT('Calculos'!E6),"Revisar pesos",'Calculos'!F6))</f>
        <v/>
      </c>
      <c r="D18" s="21">
        <f>IF(ISNUMBER(C18),C18,0)</f>
        <v/>
      </c>
      <c r="E18" s="22">
        <f>'Calculos'!B6</f>
        <v/>
      </c>
      <c r="F18" s="22">
        <f>'Calculos'!N6</f>
        <v/>
      </c>
      <c r="G18" s="22">
        <f>'Calculos'!O6</f>
        <v/>
      </c>
      <c r="H18" s="22">
        <f>'Calculos'!P6</f>
        <v/>
      </c>
      <c r="I18" s="22">
        <f>'Calculos'!Q6</f>
        <v/>
      </c>
      <c r="J18" s="22">
        <f>'Calculos'!R6</f>
        <v/>
      </c>
      <c r="K18" s="22">
        <f>IF('Calculos'!B6=0,"Sin actividades",IF(NOT('Calculos'!E6),"Pesos no válidos",IF('Calculos'!L6,"Completado",IF('Calculos'!F6&gt;0,"En curso","Pendiente"))))</f>
        <v/>
      </c>
      <c r="L18" s="22">
        <f>IF('Calculos'!B6=0,"⚠ Registrar actividades",IF(NOT('Calculos'!E6),"⚠ Corregir pesos no válidos",IF('Calculos'!M6,"¡Enhorabuena, completado anticipadamente!",IF('Calculos'!L6,"Completado","En ejecución"))))</f>
        <v/>
      </c>
      <c r="M18" s="22" t="n"/>
      <c r="P18" t="inlineStr">
        <is>
          <t>R. Financiero</t>
        </is>
      </c>
    </row>
    <row r="19" ht="28" customHeight="1">
      <c r="B19" s="25">
        <f>'Calculos'!A7</f>
        <v/>
      </c>
      <c r="C19" s="20">
        <f>IF('Calculos'!B7=0,"Sin actividades",IF(NOT('Calculos'!E7),"Revisar pesos",'Calculos'!F7))</f>
        <v/>
      </c>
      <c r="D19" s="21">
        <f>IF(ISNUMBER(C19),C19,0)</f>
        <v/>
      </c>
      <c r="E19" s="22">
        <f>'Calculos'!B7</f>
        <v/>
      </c>
      <c r="F19" s="22">
        <f>'Calculos'!N7</f>
        <v/>
      </c>
      <c r="G19" s="22">
        <f>'Calculos'!O7</f>
        <v/>
      </c>
      <c r="H19" s="22">
        <f>'Calculos'!P7</f>
        <v/>
      </c>
      <c r="I19" s="22">
        <f>'Calculos'!Q7</f>
        <v/>
      </c>
      <c r="J19" s="22">
        <f>'Calculos'!R7</f>
        <v/>
      </c>
      <c r="K19" s="22">
        <f>IF('Calculos'!B7=0,"Sin actividades",IF(NOT('Calculos'!E7),"Pesos no válidos",IF('Calculos'!L7,"Completado",IF('Calculos'!F7&gt;0,"En curso","Pendiente"))))</f>
        <v/>
      </c>
      <c r="L19" s="22">
        <f>IF('Calculos'!B7=0,"⚠ Registrar actividades",IF(NOT('Calculos'!E7),"⚠ Corregir pesos no válidos",IF('Calculos'!M7,"¡Enhorabuena, completado anticipadamente!",IF('Calculos'!L7,"Completado","En ejecución"))))</f>
        <v/>
      </c>
      <c r="M19" s="22" t="n"/>
      <c r="P19" t="inlineStr">
        <is>
          <t>Asistente Técnico</t>
        </is>
      </c>
    </row>
    <row r="20" ht="28" customHeight="1">
      <c r="B20" s="26" t="inlineStr">
        <is>
          <t>Total actividades</t>
        </is>
      </c>
      <c r="C20" s="27">
        <f>IF('Calculos'!$E$8,'Calculos'!$F$8,"No definitivo")</f>
        <v/>
      </c>
      <c r="D20" s="28">
        <f>IF(ISNUMBER(C20),C20,0)</f>
        <v/>
      </c>
      <c r="E20" s="29">
        <f>'Calculos'!B11</f>
        <v/>
      </c>
      <c r="F20" s="29">
        <f>'Calculos'!N8</f>
        <v/>
      </c>
      <c r="G20" s="29">
        <f>'Calculos'!O8</f>
        <v/>
      </c>
      <c r="H20" s="29">
        <f>'Calculos'!P8</f>
        <v/>
      </c>
      <c r="I20" s="29">
        <f>'Calculos'!Q8</f>
        <v/>
      </c>
      <c r="J20" s="29">
        <f>'Calculos'!R8</f>
        <v/>
      </c>
      <c r="K20" s="29">
        <f>IF('Calculos'!$E$8,"Promedio 4 puestos","No definitivo")</f>
        <v/>
      </c>
      <c r="L20" s="29">
        <f>IF(NOT('Calculos'!$E$8),"⚠ Completar configuración de todos los puestos",IF('Calculos'!$M$8,"¡Enhorabuena, completado anticipadamente!",IF('Calculos'!$L$8,"Completado","En ejecución")))</f>
        <v/>
      </c>
      <c r="M20" s="29" t="n"/>
    </row>
    <row r="22" ht="24" customHeight="1">
      <c r="B22" s="17" t="inlineStr">
        <is>
          <t>Seguimiento semanal: avance acumulado ponderado e incremento semanal</t>
        </is>
      </c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</row>
    <row r="23">
      <c r="C23" s="30" t="inlineStr">
        <is>
          <t>Avance ACUMULADO ponderado al cierre de cada semana</t>
        </is>
      </c>
      <c r="D23" s="30" t="n"/>
      <c r="E23" s="30" t="n"/>
      <c r="F23" s="30" t="n"/>
      <c r="H23" s="30" t="inlineStr">
        <is>
          <t>INCREMENTO respecto a la semana anterior (puntos %)</t>
        </is>
      </c>
      <c r="I23" s="30" t="n"/>
      <c r="J23" s="30" t="n"/>
      <c r="K23" s="30" t="n"/>
      <c r="L23" s="30" t="inlineStr">
        <is>
          <t>Brecha vs meta 100%</t>
        </is>
      </c>
      <c r="M23" s="30" t="n"/>
    </row>
    <row r="24">
      <c r="B24" s="31" t="inlineStr">
        <is>
          <t>Puesto / Indicador</t>
        </is>
      </c>
      <c r="C24" s="31" t="inlineStr">
        <is>
          <t>Semana 1</t>
        </is>
      </c>
      <c r="D24" s="31" t="inlineStr">
        <is>
          <t>Semana 2</t>
        </is>
      </c>
      <c r="E24" s="31" t="inlineStr">
        <is>
          <t>Semana 3</t>
        </is>
      </c>
      <c r="F24" s="31" t="inlineStr">
        <is>
          <t>Semana 4</t>
        </is>
      </c>
      <c r="H24" s="31" t="inlineStr">
        <is>
          <t>Semana 1</t>
        </is>
      </c>
      <c r="I24" s="31" t="inlineStr">
        <is>
          <t>Semana 2</t>
        </is>
      </c>
      <c r="J24" s="31" t="inlineStr">
        <is>
          <t>Semana 3</t>
        </is>
      </c>
      <c r="K24" s="31" t="inlineStr">
        <is>
          <t>Semana 4</t>
        </is>
      </c>
      <c r="L24" s="31" t="inlineStr">
        <is>
          <t>Pendiente para la meta</t>
        </is>
      </c>
      <c r="M24" s="31" t="n"/>
    </row>
    <row r="25">
      <c r="B25" s="19">
        <f>'Calculos'!A4</f>
        <v/>
      </c>
      <c r="C25" s="20">
        <f>IF(NOT('Calculos'!G$10),"",IF('Calculos'!$E4,'Calculos'!G4,"–"))</f>
        <v/>
      </c>
      <c r="D25" s="20">
        <f>IF(NOT('Calculos'!H$10),"",IF('Calculos'!$E4,'Calculos'!H4,"–"))</f>
        <v/>
      </c>
      <c r="E25" s="20">
        <f>IF(NOT('Calculos'!I$10),"",IF('Calculos'!$E4,'Calculos'!I4,"–"))</f>
        <v/>
      </c>
      <c r="F25" s="20">
        <f>IF(NOT('Calculos'!J$10),"",IF('Calculos'!$E4,'Calculos'!J4,"–"))</f>
        <v/>
      </c>
      <c r="H25" s="32">
        <f>IF(ISNUMBER(C25),C25,"")</f>
        <v/>
      </c>
      <c r="I25" s="32">
        <f>IF(AND(ISNUMBER(D25),ISNUMBER(C25)),D25-C25,"")</f>
        <v/>
      </c>
      <c r="J25" s="32">
        <f>IF(AND(ISNUMBER(E25),ISNUMBER(D25)),E25-D25,"")</f>
        <v/>
      </c>
      <c r="K25" s="32">
        <f>IF(AND(ISNUMBER(F25),ISNUMBER(E25)),F25-E25,"")</f>
        <v/>
      </c>
      <c r="L25" s="20">
        <f>IFERROR(MetaFinal-LOOKUP(2,1/ISNUMBER(C25:F25),C25:F25),"")</f>
        <v/>
      </c>
      <c r="M25" s="22" t="n"/>
      <c r="P25" t="inlineStr">
        <is>
          <t>R. Operacional</t>
        </is>
      </c>
    </row>
    <row r="26">
      <c r="B26" s="23">
        <f>'Calculos'!A5</f>
        <v/>
      </c>
      <c r="C26" s="20">
        <f>IF(NOT('Calculos'!G$10),"",IF('Calculos'!$E5,'Calculos'!G5,"–"))</f>
        <v/>
      </c>
      <c r="D26" s="20">
        <f>IF(NOT('Calculos'!H$10),"",IF('Calculos'!$E5,'Calculos'!H5,"–"))</f>
        <v/>
      </c>
      <c r="E26" s="20">
        <f>IF(NOT('Calculos'!I$10),"",IF('Calculos'!$E5,'Calculos'!I5,"–"))</f>
        <v/>
      </c>
      <c r="F26" s="20">
        <f>IF(NOT('Calculos'!J$10),"",IF('Calculos'!$E5,'Calculos'!J5,"–"))</f>
        <v/>
      </c>
      <c r="H26" s="32">
        <f>IF(ISNUMBER(C26),C26,"")</f>
        <v/>
      </c>
      <c r="I26" s="32">
        <f>IF(AND(ISNUMBER(D26),ISNUMBER(C26)),D26-C26,"")</f>
        <v/>
      </c>
      <c r="J26" s="32">
        <f>IF(AND(ISNUMBER(E26),ISNUMBER(D26)),E26-D26,"")</f>
        <v/>
      </c>
      <c r="K26" s="32">
        <f>IF(AND(ISNUMBER(F26),ISNUMBER(E26)),F26-E26,"")</f>
        <v/>
      </c>
      <c r="L26" s="20">
        <f>IFERROR(MetaFinal-LOOKUP(2,1/ISNUMBER(C26:F26),C26:F26),"")</f>
        <v/>
      </c>
      <c r="M26" s="22" t="n"/>
      <c r="P26" t="inlineStr">
        <is>
          <t>R. Normativo</t>
        </is>
      </c>
    </row>
    <row r="27">
      <c r="B27" s="24">
        <f>'Calculos'!A6</f>
        <v/>
      </c>
      <c r="C27" s="20">
        <f>IF(NOT('Calculos'!G$10),"",IF('Calculos'!$E6,'Calculos'!G6,"–"))</f>
        <v/>
      </c>
      <c r="D27" s="20">
        <f>IF(NOT('Calculos'!H$10),"",IF('Calculos'!$E6,'Calculos'!H6,"–"))</f>
        <v/>
      </c>
      <c r="E27" s="20">
        <f>IF(NOT('Calculos'!I$10),"",IF('Calculos'!$E6,'Calculos'!I6,"–"))</f>
        <v/>
      </c>
      <c r="F27" s="20">
        <f>IF(NOT('Calculos'!J$10),"",IF('Calculos'!$E6,'Calculos'!J6,"–"))</f>
        <v/>
      </c>
      <c r="H27" s="32">
        <f>IF(ISNUMBER(C27),C27,"")</f>
        <v/>
      </c>
      <c r="I27" s="32">
        <f>IF(AND(ISNUMBER(D27),ISNUMBER(C27)),D27-C27,"")</f>
        <v/>
      </c>
      <c r="J27" s="32">
        <f>IF(AND(ISNUMBER(E27),ISNUMBER(D27)),E27-D27,"")</f>
        <v/>
      </c>
      <c r="K27" s="32">
        <f>IF(AND(ISNUMBER(F27),ISNUMBER(E27)),F27-E27,"")</f>
        <v/>
      </c>
      <c r="L27" s="20">
        <f>IFERROR(MetaFinal-LOOKUP(2,1/ISNUMBER(C27:F27),C27:F27),"")</f>
        <v/>
      </c>
      <c r="M27" s="22" t="n"/>
      <c r="P27" t="inlineStr">
        <is>
          <t>R. Financiero</t>
        </is>
      </c>
    </row>
    <row r="28">
      <c r="B28" s="25">
        <f>'Calculos'!A7</f>
        <v/>
      </c>
      <c r="C28" s="20">
        <f>IF(NOT('Calculos'!G$10),"",IF('Calculos'!$E7,'Calculos'!G7,"–"))</f>
        <v/>
      </c>
      <c r="D28" s="20">
        <f>IF(NOT('Calculos'!H$10),"",IF('Calculos'!$E7,'Calculos'!H7,"–"))</f>
        <v/>
      </c>
      <c r="E28" s="20">
        <f>IF(NOT('Calculos'!I$10),"",IF('Calculos'!$E7,'Calculos'!I7,"–"))</f>
        <v/>
      </c>
      <c r="F28" s="20">
        <f>IF(NOT('Calculos'!J$10),"",IF('Calculos'!$E7,'Calculos'!J7,"–"))</f>
        <v/>
      </c>
      <c r="H28" s="32">
        <f>IF(ISNUMBER(C28),C28,"")</f>
        <v/>
      </c>
      <c r="I28" s="32">
        <f>IF(AND(ISNUMBER(D28),ISNUMBER(C28)),D28-C28,"")</f>
        <v/>
      </c>
      <c r="J28" s="32">
        <f>IF(AND(ISNUMBER(E28),ISNUMBER(D28)),E28-D28,"")</f>
        <v/>
      </c>
      <c r="K28" s="32">
        <f>IF(AND(ISNUMBER(F28),ISNUMBER(E28)),F28-E28,"")</f>
        <v/>
      </c>
      <c r="L28" s="20">
        <f>IFERROR(MetaFinal-LOOKUP(2,1/ISNUMBER(C28:F28),C28:F28),"")</f>
        <v/>
      </c>
      <c r="M28" s="22" t="n"/>
      <c r="P28" t="inlineStr">
        <is>
          <t>Asistente Técnico</t>
        </is>
      </c>
    </row>
    <row r="29">
      <c r="B29" s="26" t="inlineStr">
        <is>
          <t>Avance general de las actividades</t>
        </is>
      </c>
      <c r="C29" s="27">
        <f>IF(NOT('Calculos'!G$10),"",IF('Calculos'!$E$8,'Calculos'!G8,"n/d"))</f>
        <v/>
      </c>
      <c r="D29" s="27">
        <f>IF(NOT('Calculos'!H$10),"",IF('Calculos'!$E$8,'Calculos'!H8,"n/d"))</f>
        <v/>
      </c>
      <c r="E29" s="27">
        <f>IF(NOT('Calculos'!I$10),"",IF('Calculos'!$E$8,'Calculos'!I8,"n/d"))</f>
        <v/>
      </c>
      <c r="F29" s="27">
        <f>IF(NOT('Calculos'!J$10),"",IF('Calculos'!$E$8,'Calculos'!J8,"n/d"))</f>
        <v/>
      </c>
      <c r="H29" s="33">
        <f>IF(ISNUMBER(C29),C29,"")</f>
        <v/>
      </c>
      <c r="I29" s="33">
        <f>IF(AND(ISNUMBER(D29),ISNUMBER(C29)),D29-C29,"")</f>
        <v/>
      </c>
      <c r="J29" s="33">
        <f>IF(AND(ISNUMBER(E29),ISNUMBER(D29)),E29-D29,"")</f>
        <v/>
      </c>
      <c r="K29" s="33">
        <f>IF(AND(ISNUMBER(F29),ISNUMBER(E29)),F29-E29,"")</f>
        <v/>
      </c>
      <c r="L29" s="27">
        <f>IFERROR(MetaFinal-LOOKUP(2,1/ISNUMBER(C29:F29),C29:F29),"")</f>
        <v/>
      </c>
      <c r="M29" s="29" t="n"/>
    </row>
    <row r="30">
      <c r="B30" s="34" t="inlineStr">
        <is>
          <t>Plan de referencia (supuesto)</t>
        </is>
      </c>
      <c r="C30" s="35">
        <f>INDEX(PlanRef,1)</f>
        <v/>
      </c>
      <c r="D30" s="35">
        <f>INDEX(PlanRef,2)</f>
        <v/>
      </c>
      <c r="E30" s="35">
        <f>INDEX(PlanRef,3)</f>
        <v/>
      </c>
      <c r="F30" s="35">
        <f>INDEX(PlanRef,4)</f>
        <v/>
      </c>
      <c r="H30" s="36" t="n"/>
      <c r="I30" s="36" t="n"/>
      <c r="J30" s="36" t="n"/>
      <c r="K30" s="36" t="n"/>
      <c r="L30" s="37" t="n"/>
      <c r="M30" s="37" t="n"/>
      <c r="P30" t="inlineStr">
        <is>
          <t>Plan de referencia</t>
        </is>
      </c>
    </row>
    <row r="31">
      <c r="B31" s="38" t="inlineStr">
        <is>
          <t>Meta final</t>
        </is>
      </c>
      <c r="C31" s="39">
        <f>MetaFinal</f>
        <v/>
      </c>
      <c r="D31" s="39">
        <f>MetaFinal</f>
        <v/>
      </c>
      <c r="E31" s="39">
        <f>MetaFinal</f>
        <v/>
      </c>
      <c r="F31" s="39">
        <f>MetaFinal</f>
        <v/>
      </c>
      <c r="H31" s="36" t="n"/>
      <c r="I31" s="36" t="n"/>
      <c r="J31" s="36" t="n"/>
      <c r="K31" s="36" t="n"/>
      <c r="L31" s="37" t="n"/>
      <c r="M31" s="37" t="n"/>
    </row>
    <row r="33" ht="26" customHeight="1">
      <c r="B33" s="40" t="inlineStr">
        <is>
          <t>Lectura: el acumulado NO se suma entre semanas; el incremento es la diferencia entre semanas consecutivas. «–» = puesto sin configuración válida; «n/d» = avance general no definitivo; celda vacía = semana aún no alcanzada. Ámbar = acumulado por debajo del plan de referencia.</t>
        </is>
      </c>
      <c r="C33" s="40" t="n"/>
      <c r="D33" s="40" t="n"/>
      <c r="E33" s="40" t="n"/>
      <c r="F33" s="40" t="n"/>
      <c r="G33" s="40" t="n"/>
      <c r="H33" s="40" t="n"/>
      <c r="I33" s="40" t="n"/>
      <c r="J33" s="40" t="n"/>
      <c r="K33" s="40" t="n"/>
      <c r="L33" s="40" t="n"/>
      <c r="M33" s="40" t="n"/>
    </row>
    <row r="68" ht="24" customHeight="1">
      <c r="B68" s="17" t="inlineStr">
        <is>
          <t>Control de calidad de datos</t>
        </is>
      </c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</row>
    <row r="69">
      <c r="B69" s="7" t="inlineStr">
        <is>
          <t>Verificación</t>
        </is>
      </c>
      <c r="C69" s="7" t="n"/>
      <c r="D69" s="7" t="n"/>
      <c r="E69" s="7" t="n"/>
      <c r="F69" s="7" t="n"/>
      <c r="G69" s="7" t="inlineStr">
        <is>
          <t>Casos</t>
        </is>
      </c>
      <c r="H69" s="7" t="inlineStr">
        <is>
          <t>Resultado</t>
        </is>
      </c>
      <c r="I69" s="7" t="inlineStr">
        <is>
          <t>Acción sugerida</t>
        </is>
      </c>
      <c r="J69" s="7" t="n"/>
      <c r="K69" s="7" t="n"/>
      <c r="L69" s="7" t="n"/>
      <c r="M69" s="7" t="n"/>
    </row>
    <row r="70" ht="20" customHeight="1">
      <c r="B70" s="41" t="inlineStr">
        <is>
          <t>Puestos sin actividades registradas</t>
        </is>
      </c>
      <c r="C70" s="41" t="n"/>
      <c r="D70" s="41" t="n"/>
      <c r="E70" s="41" t="n"/>
      <c r="F70" s="41" t="n"/>
      <c r="G70" s="42">
        <f>COUNTIF('Calculos'!B4:B7,0)</f>
        <v/>
      </c>
      <c r="H70" s="43">
        <f>IF(G70=0,"✔ OK",IF("crit"="warn","● Atención","⚠ Revisar"))</f>
        <v/>
      </c>
      <c r="I70" s="44" t="inlineStr">
        <is>
          <t>Registrar al menos una macroactividad por puesto.</t>
        </is>
      </c>
      <c r="J70" s="44" t="n"/>
      <c r="K70" s="44" t="n"/>
      <c r="L70" s="44" t="n"/>
      <c r="M70" s="44" t="n"/>
    </row>
    <row r="71" ht="20" customHeight="1">
      <c r="B71" s="41" t="inlineStr">
        <is>
          <t>Puestos con pesos no válidos (fuera de 0–100%)</t>
        </is>
      </c>
      <c r="C71" s="41" t="n"/>
      <c r="D71" s="41" t="n"/>
      <c r="E71" s="41" t="n"/>
      <c r="F71" s="41" t="n"/>
      <c r="G71" s="42">
        <f>COUNTIFS('Calculos'!B4:B7,"&gt;0",'Calculos'!E4:E7,FALSE)</f>
        <v/>
      </c>
      <c r="H71" s="43">
        <f>IF(G71=0,"✔ OK",IF("crit"="warn","● Atención","⚠ Revisar"))</f>
        <v/>
      </c>
      <c r="I71" s="44" t="inlineStr">
        <is>
          <t>Corregir el peso (los pesos se ajustan solos a 100%).</t>
        </is>
      </c>
      <c r="J71" s="44" t="n"/>
      <c r="K71" s="44" t="n"/>
      <c r="L71" s="44" t="n"/>
      <c r="M71" s="44" t="n"/>
    </row>
    <row r="72" ht="20" customHeight="1">
      <c r="B72" s="41" t="inlineStr">
        <is>
          <t>Actividades con peso vacío o fuera de rango</t>
        </is>
      </c>
      <c r="C72" s="41" t="n"/>
      <c r="D72" s="41" t="n"/>
      <c r="E72" s="41" t="n"/>
      <c r="F72" s="41" t="n"/>
      <c r="G72" s="42">
        <f>SUMPRODUCT((rMes_RO=MesCiclo)*((ISNUMBER(SEARCH("Peso vacío",rValid_RO))+ISNUMBER(SEARCH("Peso fuera de rango",rValid_RO)))&gt;0))+SUMPRODUCT((rMes_RN=MesCiclo)*((ISNUMBER(SEARCH("Peso vacío",rValid_RN))+ISNUMBER(SEARCH("Peso fuera de rango",rValid_RN)))&gt;0))+SUMPRODUCT((rMes_RF=MesCiclo)*((ISNUMBER(SEARCH("Peso vacío",rValid_RF))+ISNUMBER(SEARCH("Peso fuera de rango",rValid_RF)))&gt;0))+SUMPRODUCT((rMes_ATR=MesCiclo)*((ISNUMBER(SEARCH("Peso vacío",rValid_ATR))+ISNUMBER(SEARCH("Peso fuera de rango",rValid_ATR)))&gt;0))</f>
        <v/>
      </c>
      <c r="H72" s="43">
        <f>IF(G72=0,"✔ OK",IF("crit"="warn","● Atención","⚠ Revisar"))</f>
        <v/>
      </c>
      <c r="I72" s="44" t="inlineStr">
        <is>
          <t>Ingresar un peso entre 0% y 100% (mayor que 0).</t>
        </is>
      </c>
      <c r="J72" s="44" t="n"/>
      <c r="K72" s="44" t="n"/>
      <c r="L72" s="44" t="n"/>
      <c r="M72" s="44" t="n"/>
    </row>
    <row r="73" ht="20" customHeight="1">
      <c r="B73" s="41" t="inlineStr">
        <is>
          <t>Actividades sin fecha límite</t>
        </is>
      </c>
      <c r="C73" s="41" t="n"/>
      <c r="D73" s="41" t="n"/>
      <c r="E73" s="41" t="n"/>
      <c r="F73" s="41" t="n"/>
      <c r="G73" s="42">
        <f>SUMPRODUCT((rMes_RO=MesCiclo)*((ISNUMBER(SEARCH("Sin fecha límite",rValid_RO)))&gt;0))+SUMPRODUCT((rMes_RN=MesCiclo)*((ISNUMBER(SEARCH("Sin fecha límite",rValid_RN)))&gt;0))+SUMPRODUCT((rMes_RF=MesCiclo)*((ISNUMBER(SEARCH("Sin fecha límite",rValid_RF)))&gt;0))+SUMPRODUCT((rMes_ATR=MesCiclo)*((ISNUMBER(SEARCH("Sin fecha límite",rValid_ATR)))&gt;0))</f>
        <v/>
      </c>
      <c r="H73" s="43">
        <f>IF(G73=0,"✔ OK",IF("crit"="warn","● Atención","⚠ Revisar"))</f>
        <v/>
      </c>
      <c r="I73" s="44" t="inlineStr">
        <is>
          <t>Registrar la fecha límite.</t>
        </is>
      </c>
      <c r="J73" s="44" t="n"/>
      <c r="K73" s="44" t="n"/>
      <c r="L73" s="44" t="n"/>
      <c r="M73" s="44" t="n"/>
    </row>
    <row r="74" ht="20" customHeight="1">
      <c r="B74" s="41" t="inlineStr">
        <is>
          <t>Fechas incoherentes o no válidas (incluye sin fecha de inicio)</t>
        </is>
      </c>
      <c r="C74" s="41" t="n"/>
      <c r="D74" s="41" t="n"/>
      <c r="E74" s="41" t="n"/>
      <c r="F74" s="41" t="n"/>
      <c r="G74" s="42">
        <f>SUMPRODUCT((rMes_RO=MesCiclo)*((ISNUMBER(SEARCH("Inicio posterior",rValid_RO))+ISNUMBER(SEARCH("Fecha no válida",rValid_RO))+ISNUMBER(SEARCH("Sin fecha de inicio",rValid_RO)))&gt;0))+SUMPRODUCT((rMes_RN=MesCiclo)*((ISNUMBER(SEARCH("Inicio posterior",rValid_RN))+ISNUMBER(SEARCH("Fecha no válida",rValid_RN))+ISNUMBER(SEARCH("Sin fecha de inicio",rValid_RN)))&gt;0))+SUMPRODUCT((rMes_RF=MesCiclo)*((ISNUMBER(SEARCH("Inicio posterior",rValid_RF))+ISNUMBER(SEARCH("Fecha no válida",rValid_RF))+ISNUMBER(SEARCH("Sin fecha de inicio",rValid_RF)))&gt;0))+SUMPRODUCT((rMes_ATR=MesCiclo)*((ISNUMBER(SEARCH("Inicio posterior",rValid_ATR))+ISNUMBER(SEARCH("Fecha no válida",rValid_ATR))+ISNUMBER(SEARCH("Sin fecha de inicio",rValid_ATR)))&gt;0))</f>
        <v/>
      </c>
      <c r="H74" s="43">
        <f>IF(G74=0,"✔ OK",IF("crit"="warn","● Atención","⚠ Revisar"))</f>
        <v/>
      </c>
      <c r="I74" s="44" t="inlineStr">
        <is>
          <t>La fecha de inicio debe ser anterior o igual a la fecha límite.</t>
        </is>
      </c>
      <c r="J74" s="44" t="n"/>
      <c r="K74" s="44" t="n"/>
      <c r="L74" s="44" t="n"/>
      <c r="M74" s="44" t="n"/>
    </row>
    <row r="75" ht="20" customHeight="1">
      <c r="B75" s="41" t="inlineStr">
        <is>
          <t>Porcentajes de avance &gt; 100%, &lt; 0% o no numéricos</t>
        </is>
      </c>
      <c r="C75" s="41" t="n"/>
      <c r="D75" s="41" t="n"/>
      <c r="E75" s="41" t="n"/>
      <c r="F75" s="41" t="n"/>
      <c r="G75" s="42">
        <f>SUMPRODUCT((rMes_RO=MesCiclo)*((ISNUMBER(SEARCH("Avance fuera de rango",rValid_RO)))&gt;0))+SUMPRODUCT((rMes_RN=MesCiclo)*((ISNUMBER(SEARCH("Avance fuera de rango",rValid_RN)))&gt;0))+SUMPRODUCT((rMes_RF=MesCiclo)*((ISNUMBER(SEARCH("Avance fuera de rango",rValid_RF)))&gt;0))+SUMPRODUCT((rMes_ATR=MesCiclo)*((ISNUMBER(SEARCH("Avance fuera de rango",rValid_ATR)))&gt;0))</f>
        <v/>
      </c>
      <c r="H75" s="43">
        <f>IF(G75=0,"✔ OK",IF("crit"="warn","● Atención","⚠ Revisar"))</f>
        <v/>
      </c>
      <c r="I75" s="44" t="inlineStr">
        <is>
          <t>Corregir: los avances deben estar entre 0% y 100%.</t>
        </is>
      </c>
      <c r="J75" s="44" t="n"/>
      <c r="K75" s="44" t="n"/>
      <c r="L75" s="44" t="n"/>
      <c r="M75" s="44" t="n"/>
    </row>
    <row r="76" ht="20" customHeight="1">
      <c r="B76" s="41" t="inlineStr">
        <is>
          <t>Avance semanal menor que el de una semana anterior</t>
        </is>
      </c>
      <c r="C76" s="41" t="n"/>
      <c r="D76" s="41" t="n"/>
      <c r="E76" s="41" t="n"/>
      <c r="F76" s="41" t="n"/>
      <c r="G76" s="42">
        <f>SUMPRODUCT((rMes_RO=MesCiclo)*((ISNUMBER(SEARCH("decreciente",rValid_RO)))&gt;0))+SUMPRODUCT((rMes_RN=MesCiclo)*((ISNUMBER(SEARCH("decreciente",rValid_RN)))&gt;0))+SUMPRODUCT((rMes_RF=MesCiclo)*((ISNUMBER(SEARCH("decreciente",rValid_RF)))&gt;0))+SUMPRODUCT((rMes_ATR=MesCiclo)*((ISNUMBER(SEARCH("decreciente",rValid_ATR)))&gt;0))</f>
        <v/>
      </c>
      <c r="H76" s="43">
        <f>IF(G76=0,"✔ OK",IF("crit"="warn","● Atención","⚠ Revisar"))</f>
        <v/>
      </c>
      <c r="I76" s="44" t="inlineStr">
        <is>
          <t>Revisar: el avance es acumulado y no debería disminuir.</t>
        </is>
      </c>
      <c r="J76" s="44" t="n"/>
      <c r="K76" s="44" t="n"/>
      <c r="L76" s="44" t="n"/>
      <c r="M76" s="44" t="n"/>
    </row>
    <row r="77" ht="20" customHeight="1">
      <c r="B77" s="41" t="inlineStr">
        <is>
          <t>Actividades vencidas no completadas</t>
        </is>
      </c>
      <c r="C77" s="41" t="n"/>
      <c r="D77" s="41" t="n"/>
      <c r="E77" s="41" t="n"/>
      <c r="F77" s="41" t="n"/>
      <c r="G77" s="42">
        <f>'Calculos'!Q8</f>
        <v/>
      </c>
      <c r="H77" s="43">
        <f>IF(G77=0,"✔ OK",IF("crit"="warn","● Atención","⚠ Revisar"))</f>
        <v/>
      </c>
      <c r="I77" s="44" t="inlineStr">
        <is>
          <t>Actualizar avance o reprogramar con justificación en Observaciones.</t>
        </is>
      </c>
      <c r="J77" s="44" t="n"/>
      <c r="K77" s="44" t="n"/>
      <c r="L77" s="44" t="n"/>
      <c r="M77" s="44" t="n"/>
    </row>
    <row r="78" ht="20" customHeight="1">
      <c r="B78" s="41" t="inlineStr">
        <is>
          <t>Actividades próximas a vencer (no completadas)</t>
        </is>
      </c>
      <c r="C78" s="41" t="n"/>
      <c r="D78" s="41" t="n"/>
      <c r="E78" s="41" t="n"/>
      <c r="F78" s="41" t="n"/>
      <c r="G78" s="42">
        <f>'Calculos'!B13</f>
        <v/>
      </c>
      <c r="H78" s="43">
        <f>IF(G78=0,"✔ OK",IF("warn"="warn","● Atención","⚠ Revisar"))</f>
        <v/>
      </c>
      <c r="I78" s="44" t="inlineStr">
        <is>
          <t>Alerta preventiva: priorizar seguimiento.</t>
        </is>
      </c>
      <c r="J78" s="44" t="n"/>
      <c r="K78" s="44" t="n"/>
      <c r="L78" s="44" t="n"/>
      <c r="M78" s="44" t="n"/>
    </row>
    <row r="79" ht="20" customHeight="1">
      <c r="B79" s="41" t="inlineStr">
        <is>
          <t>Filas con datos pero sin nombre de macroactividad</t>
        </is>
      </c>
      <c r="C79" s="41" t="n"/>
      <c r="D79" s="41" t="n"/>
      <c r="E79" s="41" t="n"/>
      <c r="F79" s="41" t="n"/>
      <c r="G79" s="42">
        <f>SUMPRODUCT((rMes_RO=MesCiclo)*((ISNUMBER(SEARCH("Macroactividad vacía",rValid_RO)))&gt;0))+SUMPRODUCT((rMes_RN=MesCiclo)*((ISNUMBER(SEARCH("Macroactividad vacía",rValid_RN)))&gt;0))+SUMPRODUCT((rMes_RF=MesCiclo)*((ISNUMBER(SEARCH("Macroactividad vacía",rValid_RF)))&gt;0))+SUMPRODUCT((rMes_ATR=MesCiclo)*((ISNUMBER(SEARCH("Macroactividad vacía",rValid_ATR)))&gt;0))</f>
        <v/>
      </c>
      <c r="H79" s="43">
        <f>IF(G79=0,"✔ OK",IF("crit"="warn","● Atención","⚠ Revisar"))</f>
        <v/>
      </c>
      <c r="I79" s="44" t="inlineStr">
        <is>
          <t>Escribir el nombre de la actividad.</t>
        </is>
      </c>
      <c r="J79" s="44" t="n"/>
      <c r="K79" s="44" t="n"/>
      <c r="L79" s="44" t="n"/>
      <c r="M79" s="44" t="n"/>
    </row>
    <row r="80" ht="20" customHeight="1">
      <c r="B80" s="41" t="inlineStr">
        <is>
          <t>Actividades vencidas sin observación que explique el incumplimiento</t>
        </is>
      </c>
      <c r="C80" s="41" t="n"/>
      <c r="D80" s="41" t="n"/>
      <c r="E80" s="41" t="n"/>
      <c r="F80" s="41" t="n"/>
      <c r="G80" s="42">
        <f>SUMPRODUCT((rMes_RO=MesCiclo)*((ISNUMBER(SEARCH("sin observación",rValid_RO)))&gt;0))+SUMPRODUCT((rMes_RN=MesCiclo)*((ISNUMBER(SEARCH("sin observación",rValid_RN)))&gt;0))+SUMPRODUCT((rMes_RF=MesCiclo)*((ISNUMBER(SEARCH("sin observación",rValid_RF)))&gt;0))+SUMPRODUCT((rMes_ATR=MesCiclo)*((ISNUMBER(SEARCH("sin observación",rValid_ATR)))&gt;0))</f>
        <v/>
      </c>
      <c r="H80" s="43">
        <f>IF(G80=0,"✔ OK",IF("crit"="warn","● Atención","⚠ Revisar"))</f>
        <v/>
      </c>
      <c r="I80" s="44" t="inlineStr">
        <is>
          <t>Escribir en Observaciones por qué no se cumplió y la nueva fecha prevista.</t>
        </is>
      </c>
      <c r="J80" s="44" t="n"/>
      <c r="K80" s="44" t="n"/>
      <c r="L80" s="44" t="n"/>
      <c r="M80" s="44" t="n"/>
    </row>
    <row r="81" ht="20" customHeight="1">
      <c r="B81" s="41" t="inlineStr">
        <is>
          <t>Avance general no definitivo (puestos no válidos)</t>
        </is>
      </c>
      <c r="C81" s="41" t="n"/>
      <c r="D81" s="41" t="n"/>
      <c r="E81" s="41" t="n"/>
      <c r="F81" s="41" t="n"/>
      <c r="G81" s="42">
        <f>4-'Calculos'!C8</f>
        <v/>
      </c>
      <c r="H81" s="43">
        <f>IF(G81=0,"✔ OK",IF("crit"="warn","● Atención","⚠ Revisar"))</f>
        <v/>
      </c>
      <c r="I81" s="44" t="inlineStr">
        <is>
          <t>El avance general solo es definitivo con los 4 puestos válidos.</t>
        </is>
      </c>
      <c r="J81" s="44" t="n"/>
      <c r="K81" s="44" t="n"/>
      <c r="L81" s="44" t="n"/>
      <c r="M81" s="44" t="n"/>
    </row>
    <row r="82" ht="26" customHeight="1">
      <c r="B82" s="40" t="inlineStr">
        <is>
          <t>Detalle por actividad: columna «Revisión automática (alertas)» de la hoja «Cronograma …» de cada puesto (filtrar por «⚠»). Pendiente normal = sin avance y dentro de plazo; Vencida = fecha límite anterior a la fecha de corte sin llegar a 100%.</t>
        </is>
      </c>
      <c r="C82" s="40" t="n"/>
      <c r="D82" s="40" t="n"/>
      <c r="E82" s="40" t="n"/>
      <c r="F82" s="40" t="n"/>
      <c r="G82" s="40" t="n"/>
      <c r="H82" s="40" t="n"/>
      <c r="I82" s="40" t="n"/>
      <c r="J82" s="40" t="n"/>
      <c r="K82" s="40" t="n"/>
      <c r="L82" s="40" t="n"/>
      <c r="M82" s="40" t="n"/>
    </row>
    <row r="84" ht="24" customHeight="1">
      <c r="B84" s="17" t="inlineStr">
        <is>
          <t>Entregas por semana y alertas de plazo (macroactividades completadas / programadas)</t>
        </is>
      </c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</row>
    <row r="85">
      <c r="B85" s="7" t="inlineStr">
        <is>
          <t>Puesto</t>
        </is>
      </c>
      <c r="C85" s="7" t="inlineStr">
        <is>
          <t>Semana 1</t>
        </is>
      </c>
      <c r="D85" s="7" t="inlineStr">
        <is>
          <t>Semana 2</t>
        </is>
      </c>
      <c r="E85" s="7" t="inlineStr">
        <is>
          <t>Semana 3</t>
        </is>
      </c>
      <c r="F85" s="7" t="inlineStr">
        <is>
          <t>Semana 4</t>
        </is>
      </c>
      <c r="G85" s="7" t="inlineStr">
        <is>
          <t>Total</t>
        </is>
      </c>
      <c r="H85" s="7" t="inlineStr">
        <is>
          <t>Vencidas</t>
        </is>
      </c>
      <c r="I85" s="7" t="inlineStr">
        <is>
          <t>Por vencer</t>
        </is>
      </c>
      <c r="J85" s="7" t="inlineStr">
        <is>
          <t>Alerta de plazo (actividades y subactividades del mes)</t>
        </is>
      </c>
      <c r="K85" s="7" t="n"/>
      <c r="L85" s="7" t="n"/>
      <c r="M85" s="7" t="n"/>
    </row>
    <row r="86">
      <c r="B86" s="19">
        <f>'Calculos'!A4</f>
        <v/>
      </c>
      <c r="C86" s="22">
        <f>COUNTIFS(hSemana_RO,"Semana 1",hEstado_RO,"Completado",hTipo_RO,"Macro")&amp;" / "&amp;COUNTIFS(hSemana_RO,"Semana 1",hTipo_RO,"Macro")</f>
        <v/>
      </c>
      <c r="D86" s="22">
        <f>COUNTIFS(hSemana_RO,"Semana 2",hEstado_RO,"Completado",hTipo_RO,"Macro")&amp;" / "&amp;COUNTIFS(hSemana_RO,"Semana 2",hTipo_RO,"Macro")</f>
        <v/>
      </c>
      <c r="E86" s="22">
        <f>COUNTIFS(hSemana_RO,"Semana 3",hEstado_RO,"Completado",hTipo_RO,"Macro")&amp;" / "&amp;COUNTIFS(hSemana_RO,"Semana 3",hTipo_RO,"Macro")</f>
        <v/>
      </c>
      <c r="F86" s="22">
        <f>COUNTIFS(hSemana_RO,"Semana 4",hEstado_RO,"Completado",hTipo_RO,"Macro")&amp;" / "&amp;COUNTIFS(hSemana_RO,"Semana 4",hTipo_RO,"Macro")</f>
        <v/>
      </c>
      <c r="G86" s="22">
        <f>COUNTIFS(hEstado_RO,"Completado",hTipo_RO,"Macro")&amp;" / "&amp;COUNTIFS(hEstado_RO,"?*",hTipo_RO,"Macro")</f>
        <v/>
      </c>
      <c r="H86" s="22">
        <f>COUNTIFS(rMes_RO,MesCiclo,rAlerta_RO,"Vencida*")</f>
        <v/>
      </c>
      <c r="I86" s="22">
        <f>COUNTIFS(rMes_RO,MesCiclo,rAlerta_RO,"Vence*")</f>
        <v/>
      </c>
      <c r="J86" s="45">
        <f>IF(H86+I86=0,"✔ Sin vencidas ni por vencer",IF(H86&gt;0,"⚠ "&amp;H86&amp;" vencida(s) sin cumplir","")&amp;IF(AND(H86&gt;0,I86&gt;0),"  ·  ","")&amp;IF(I86&gt;0,I86&amp;" por vencer (≤ "&amp;DiasAlerta&amp;" días)",""))</f>
        <v/>
      </c>
      <c r="K86" s="45" t="n"/>
      <c r="L86" s="45" t="n"/>
      <c r="M86" s="45" t="n"/>
    </row>
    <row r="87">
      <c r="B87" s="23">
        <f>'Calculos'!A5</f>
        <v/>
      </c>
      <c r="C87" s="22">
        <f>COUNTIFS(hSemana_RN,"Semana 1",hEstado_RN,"Completado",hTipo_RN,"Macro")&amp;" / "&amp;COUNTIFS(hSemana_RN,"Semana 1",hTipo_RN,"Macro")</f>
        <v/>
      </c>
      <c r="D87" s="22">
        <f>COUNTIFS(hSemana_RN,"Semana 2",hEstado_RN,"Completado",hTipo_RN,"Macro")&amp;" / "&amp;COUNTIFS(hSemana_RN,"Semana 2",hTipo_RN,"Macro")</f>
        <v/>
      </c>
      <c r="E87" s="22">
        <f>COUNTIFS(hSemana_RN,"Semana 3",hEstado_RN,"Completado",hTipo_RN,"Macro")&amp;" / "&amp;COUNTIFS(hSemana_RN,"Semana 3",hTipo_RN,"Macro")</f>
        <v/>
      </c>
      <c r="F87" s="22">
        <f>COUNTIFS(hSemana_RN,"Semana 4",hEstado_RN,"Completado",hTipo_RN,"Macro")&amp;" / "&amp;COUNTIFS(hSemana_RN,"Semana 4",hTipo_RN,"Macro")</f>
        <v/>
      </c>
      <c r="G87" s="22">
        <f>COUNTIFS(hEstado_RN,"Completado",hTipo_RN,"Macro")&amp;" / "&amp;COUNTIFS(hEstado_RN,"?*",hTipo_RN,"Macro")</f>
        <v/>
      </c>
      <c r="H87" s="22">
        <f>COUNTIFS(rMes_RN,MesCiclo,rAlerta_RN,"Vencida*")</f>
        <v/>
      </c>
      <c r="I87" s="22">
        <f>COUNTIFS(rMes_RN,MesCiclo,rAlerta_RN,"Vence*")</f>
        <v/>
      </c>
      <c r="J87" s="45">
        <f>IF(H87+I87=0,"✔ Sin vencidas ni por vencer",IF(H87&gt;0,"⚠ "&amp;H87&amp;" vencida(s) sin cumplir","")&amp;IF(AND(H87&gt;0,I87&gt;0),"  ·  ","")&amp;IF(I87&gt;0,I87&amp;" por vencer (≤ "&amp;DiasAlerta&amp;" días)",""))</f>
        <v/>
      </c>
      <c r="K87" s="45" t="n"/>
      <c r="L87" s="45" t="n"/>
      <c r="M87" s="45" t="n"/>
    </row>
    <row r="88">
      <c r="B88" s="24">
        <f>'Calculos'!A6</f>
        <v/>
      </c>
      <c r="C88" s="22">
        <f>COUNTIFS(hSemana_RF,"Semana 1",hEstado_RF,"Completado",hTipo_RF,"Macro")&amp;" / "&amp;COUNTIFS(hSemana_RF,"Semana 1",hTipo_RF,"Macro")</f>
        <v/>
      </c>
      <c r="D88" s="22">
        <f>COUNTIFS(hSemana_RF,"Semana 2",hEstado_RF,"Completado",hTipo_RF,"Macro")&amp;" / "&amp;COUNTIFS(hSemana_RF,"Semana 2",hTipo_RF,"Macro")</f>
        <v/>
      </c>
      <c r="E88" s="22">
        <f>COUNTIFS(hSemana_RF,"Semana 3",hEstado_RF,"Completado",hTipo_RF,"Macro")&amp;" / "&amp;COUNTIFS(hSemana_RF,"Semana 3",hTipo_RF,"Macro")</f>
        <v/>
      </c>
      <c r="F88" s="22">
        <f>COUNTIFS(hSemana_RF,"Semana 4",hEstado_RF,"Completado",hTipo_RF,"Macro")&amp;" / "&amp;COUNTIFS(hSemana_RF,"Semana 4",hTipo_RF,"Macro")</f>
        <v/>
      </c>
      <c r="G88" s="22">
        <f>COUNTIFS(hEstado_RF,"Completado",hTipo_RF,"Macro")&amp;" / "&amp;COUNTIFS(hEstado_RF,"?*",hTipo_RF,"Macro")</f>
        <v/>
      </c>
      <c r="H88" s="22">
        <f>COUNTIFS(rMes_RF,MesCiclo,rAlerta_RF,"Vencida*")</f>
        <v/>
      </c>
      <c r="I88" s="22">
        <f>COUNTIFS(rMes_RF,MesCiclo,rAlerta_RF,"Vence*")</f>
        <v/>
      </c>
      <c r="J88" s="45">
        <f>IF(H88+I88=0,"✔ Sin vencidas ni por vencer",IF(H88&gt;0,"⚠ "&amp;H88&amp;" vencida(s) sin cumplir","")&amp;IF(AND(H88&gt;0,I88&gt;0),"  ·  ","")&amp;IF(I88&gt;0,I88&amp;" por vencer (≤ "&amp;DiasAlerta&amp;" días)",""))</f>
        <v/>
      </c>
      <c r="K88" s="45" t="n"/>
      <c r="L88" s="45" t="n"/>
      <c r="M88" s="45" t="n"/>
    </row>
    <row r="89">
      <c r="B89" s="25">
        <f>'Calculos'!A7</f>
        <v/>
      </c>
      <c r="C89" s="22">
        <f>COUNTIFS(hSemana_ATR,"Semana 1",hEstado_ATR,"Completado",hTipo_ATR,"Macro")&amp;" / "&amp;COUNTIFS(hSemana_ATR,"Semana 1",hTipo_ATR,"Macro")</f>
        <v/>
      </c>
      <c r="D89" s="22">
        <f>COUNTIFS(hSemana_ATR,"Semana 2",hEstado_ATR,"Completado",hTipo_ATR,"Macro")&amp;" / "&amp;COUNTIFS(hSemana_ATR,"Semana 2",hTipo_ATR,"Macro")</f>
        <v/>
      </c>
      <c r="E89" s="22">
        <f>COUNTIFS(hSemana_ATR,"Semana 3",hEstado_ATR,"Completado",hTipo_ATR,"Macro")&amp;" / "&amp;COUNTIFS(hSemana_ATR,"Semana 3",hTipo_ATR,"Macro")</f>
        <v/>
      </c>
      <c r="F89" s="22">
        <f>COUNTIFS(hSemana_ATR,"Semana 4",hEstado_ATR,"Completado",hTipo_ATR,"Macro")&amp;" / "&amp;COUNTIFS(hSemana_ATR,"Semana 4",hTipo_ATR,"Macro")</f>
        <v/>
      </c>
      <c r="G89" s="22">
        <f>COUNTIFS(hEstado_ATR,"Completado",hTipo_ATR,"Macro")&amp;" / "&amp;COUNTIFS(hEstado_ATR,"?*",hTipo_ATR,"Macro")</f>
        <v/>
      </c>
      <c r="H89" s="22">
        <f>COUNTIFS(rMes_ATR,MesCiclo,rAlerta_ATR,"Vencida*")</f>
        <v/>
      </c>
      <c r="I89" s="22">
        <f>COUNTIFS(rMes_ATR,MesCiclo,rAlerta_ATR,"Vence*")</f>
        <v/>
      </c>
      <c r="J89" s="45">
        <f>IF(H89+I89=0,"✔ Sin vencidas ni por vencer",IF(H89&gt;0,"⚠ "&amp;H89&amp;" vencida(s) sin cumplir","")&amp;IF(AND(H89&gt;0,I89&gt;0),"  ·  ","")&amp;IF(I89&gt;0,I89&amp;" por vencer (≤ "&amp;DiasAlerta&amp;" días)",""))</f>
        <v/>
      </c>
      <c r="K89" s="45" t="n"/>
      <c r="L89" s="45" t="n"/>
      <c r="M89" s="45" t="n"/>
    </row>
    <row r="90">
      <c r="B90" s="46" t="inlineStr">
        <is>
          <t>Administración (jefatura)</t>
        </is>
      </c>
      <c r="C90" s="22" t="inlineStr">
        <is>
          <t>—</t>
        </is>
      </c>
      <c r="D90" s="22" t="inlineStr">
        <is>
          <t>—</t>
        </is>
      </c>
      <c r="E90" s="22" t="inlineStr">
        <is>
          <t>—</t>
        </is>
      </c>
      <c r="F90" s="22" t="inlineStr">
        <is>
          <t>—</t>
        </is>
      </c>
      <c r="G90" s="22">
        <f>COUNTIFS(rMes_ADM,MesCiclo,rTipo_ADM,"Macro",rEstado_ADM,"Completado")&amp;" / "&amp;COUNTIFS(rMes_ADM,MesCiclo,rTipo_ADM,"Macro")</f>
        <v/>
      </c>
      <c r="H90" s="22">
        <f>COUNTIFS(rMes_ADM,MesCiclo,rAlerta_ADM,"Vencida*")</f>
        <v/>
      </c>
      <c r="I90" s="22">
        <f>COUNTIFS(rMes_ADM,MesCiclo,rAlerta_ADM,"Vence*")</f>
        <v/>
      </c>
      <c r="J90" s="45">
        <f>IF(H90+I90=0,"✔ Sin vencidas ni por vencer",IF(H90&gt;0,"⚠ "&amp;H90&amp;" vencida(s) sin cumplir","")&amp;IF(AND(H90&gt;0,I90&gt;0),"  ·  ","")&amp;IF(I90&gt;0,I90&amp;" por vencer (≤ "&amp;DiasAlerta&amp;" días)",""))</f>
        <v/>
      </c>
      <c r="K90" s="45" t="n"/>
      <c r="L90" s="45" t="n"/>
      <c r="M90" s="4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3">
    <mergeCell ref="L17:M17"/>
    <mergeCell ref="B81:F81"/>
    <mergeCell ref="I77:M77"/>
    <mergeCell ref="I80:M80"/>
    <mergeCell ref="L19:M19"/>
    <mergeCell ref="B71:F71"/>
    <mergeCell ref="L28:M28"/>
    <mergeCell ref="I70:M70"/>
    <mergeCell ref="I72:M72"/>
    <mergeCell ref="B84:M84"/>
    <mergeCell ref="G12:M12"/>
    <mergeCell ref="B6:D6"/>
    <mergeCell ref="L29:M29"/>
    <mergeCell ref="K10:M10"/>
    <mergeCell ref="H5:J5"/>
    <mergeCell ref="B4:D4"/>
    <mergeCell ref="L31:M31"/>
    <mergeCell ref="I79:M79"/>
    <mergeCell ref="I73:M73"/>
    <mergeCell ref="K9:M9"/>
    <mergeCell ref="K5:M5"/>
    <mergeCell ref="J86:M86"/>
    <mergeCell ref="B80:F80"/>
    <mergeCell ref="I74:M74"/>
    <mergeCell ref="L16:M16"/>
    <mergeCell ref="B8:D8"/>
    <mergeCell ref="B72:F72"/>
    <mergeCell ref="J90:M90"/>
    <mergeCell ref="B82:M82"/>
    <mergeCell ref="E6:G6"/>
    <mergeCell ref="H23:K23"/>
    <mergeCell ref="B10:D10"/>
    <mergeCell ref="B70:F70"/>
    <mergeCell ref="K8:M8"/>
    <mergeCell ref="B9:D9"/>
    <mergeCell ref="B68:M68"/>
    <mergeCell ref="L30:M30"/>
    <mergeCell ref="B5:D5"/>
    <mergeCell ref="L20:M20"/>
    <mergeCell ref="K4:M4"/>
    <mergeCell ref="B74:F74"/>
    <mergeCell ref="I78:M78"/>
    <mergeCell ref="E8:G8"/>
    <mergeCell ref="H4:J4"/>
    <mergeCell ref="B76:F76"/>
    <mergeCell ref="J85:M85"/>
    <mergeCell ref="H6:J6"/>
    <mergeCell ref="E10:G10"/>
    <mergeCell ref="B75:F75"/>
    <mergeCell ref="E9:G9"/>
    <mergeCell ref="I76:M76"/>
    <mergeCell ref="L24:M24"/>
    <mergeCell ref="L18:M18"/>
    <mergeCell ref="I75:M75"/>
    <mergeCell ref="L26:M26"/>
    <mergeCell ref="B73:F73"/>
    <mergeCell ref="J88:M88"/>
    <mergeCell ref="H8:J8"/>
    <mergeCell ref="L25:M25"/>
    <mergeCell ref="H10:J10"/>
    <mergeCell ref="C12:F12"/>
    <mergeCell ref="B22:M22"/>
    <mergeCell ref="E4:G4"/>
    <mergeCell ref="H9:J9"/>
    <mergeCell ref="C23:F23"/>
    <mergeCell ref="I81:M81"/>
    <mergeCell ref="B14:M14"/>
    <mergeCell ref="B1:M1"/>
    <mergeCell ref="H2:M2"/>
    <mergeCell ref="B77:F77"/>
    <mergeCell ref="L15:M15"/>
    <mergeCell ref="L23:M23"/>
    <mergeCell ref="I71:M71"/>
    <mergeCell ref="B33:M33"/>
    <mergeCell ref="B69:F69"/>
    <mergeCell ref="B78:F78"/>
    <mergeCell ref="K6:M6"/>
    <mergeCell ref="J87:M87"/>
    <mergeCell ref="J89:M89"/>
    <mergeCell ref="E5:G5"/>
    <mergeCell ref="L27:M27"/>
    <mergeCell ref="B79:F79"/>
    <mergeCell ref="I69:M69"/>
  </mergeCells>
  <conditionalFormatting sqref="B5">
    <cfRule type="expression" priority="1" dxfId="0">
      <formula>AND(ISNUMBER($B$5),$B$5&gt;=1)</formula>
    </cfRule>
    <cfRule type="expression" priority="2" dxfId="1">
      <formula>NOT(ISNUMBER($B$5))</formula>
    </cfRule>
  </conditionalFormatting>
  <conditionalFormatting sqref="K9">
    <cfRule type="expression" priority="3" dxfId="2">
      <formula>$K$9&gt;0</formula>
    </cfRule>
    <cfRule type="expression" priority="4" dxfId="0">
      <formula>$K$9=0</formula>
    </cfRule>
  </conditionalFormatting>
  <conditionalFormatting sqref="H9">
    <cfRule type="expression" priority="5" dxfId="0">
      <formula>$H$9=4</formula>
    </cfRule>
  </conditionalFormatting>
  <conditionalFormatting sqref="E9">
    <cfRule type="expression" priority="6" dxfId="0">
      <formula>$E$9&gt;0</formula>
    </cfRule>
  </conditionalFormatting>
  <conditionalFormatting sqref="C12:F12">
    <cfRule type="dataBar" priority="7">
      <dataBar showValue="1">
        <cfvo type="num" val="0"/>
        <cfvo type="num" val="1"/>
        <color rgb="002E75B6"/>
      </dataBar>
    </cfRule>
  </conditionalFormatting>
  <conditionalFormatting sqref="G12:M12">
    <cfRule type="expression" priority="8" dxfId="3" stopIfTrue="1">
      <formula>ISNUMBER(SEARCH("Enhorabuena",$G$12))</formula>
    </cfRule>
    <cfRule type="expression" priority="9" dxfId="0" stopIfTrue="1">
      <formula>ISNUMBER(SEARCH("ompletad",$G$12))</formula>
    </cfRule>
    <cfRule type="expression" priority="10" dxfId="2" stopIfTrue="1">
      <formula>LEFT($G$12,1)="⚠"</formula>
    </cfRule>
    <cfRule type="expression" priority="11" dxfId="4">
      <formula>ISNUMBER(SEARCH("ejecución",$G$12))</formula>
    </cfRule>
  </conditionalFormatting>
  <conditionalFormatting sqref="D16:D20">
    <cfRule type="dataBar" priority="12">
      <dataBar showValue="0">
        <cfvo type="num" val="0"/>
        <cfvo type="num" val="1"/>
        <color rgb="002E75B6"/>
      </dataBar>
    </cfRule>
  </conditionalFormatting>
  <conditionalFormatting sqref="C16:C20">
    <cfRule type="expression" priority="13" dxfId="0">
      <formula>AND(ISNUMBER(C16),C16&gt;=1)</formula>
    </cfRule>
    <cfRule type="expression" priority="14" dxfId="4">
      <formula>AND(ISNUMBER(C16),C16&gt;0,C16&lt;1)</formula>
    </cfRule>
    <cfRule type="expression" priority="15" dxfId="2">
      <formula>OR(NOT(ISNUMBER(C16)),C16=0)</formula>
    </cfRule>
  </conditionalFormatting>
  <conditionalFormatting sqref="K16:K20">
    <cfRule type="expression" priority="16" dxfId="0">
      <formula>K16="Completado"</formula>
    </cfRule>
    <cfRule type="expression" priority="17" dxfId="4">
      <formula>K16="En curso"</formula>
    </cfRule>
    <cfRule type="expression" priority="18" dxfId="1">
      <formula>OR(K16="Sin actividades",K16="Pesos no válidos",K16="No definitivo")</formula>
    </cfRule>
    <cfRule type="expression" priority="19" dxfId="5">
      <formula>K16="Pendiente"</formula>
    </cfRule>
  </conditionalFormatting>
  <conditionalFormatting sqref="I16:J20">
    <cfRule type="expression" priority="20" dxfId="6">
      <formula>I16&gt;0</formula>
    </cfRule>
  </conditionalFormatting>
  <conditionalFormatting sqref="L16:M20">
    <cfRule type="expression" priority="21" dxfId="3" stopIfTrue="1">
      <formula>ISNUMBER(SEARCH("Enhorabuena",$L16))</formula>
    </cfRule>
    <cfRule type="expression" priority="22" dxfId="0" stopIfTrue="1">
      <formula>ISNUMBER(SEARCH("ompletad",$L16))</formula>
    </cfRule>
    <cfRule type="expression" priority="23" dxfId="2" stopIfTrue="1">
      <formula>LEFT($L16,1)="⚠"</formula>
    </cfRule>
    <cfRule type="expression" priority="24" dxfId="4">
      <formula>ISNUMBER(SEARCH("ejecución",$L16))</formula>
    </cfRule>
  </conditionalFormatting>
  <conditionalFormatting sqref="C25:F29">
    <cfRule type="expression" priority="25" dxfId="0">
      <formula>AND(ISNUMBER(C25),C25&gt;=1)</formula>
    </cfRule>
    <cfRule type="expression" priority="26" dxfId="7">
      <formula>AND(ISNUMBER(C25),C25&lt;INDEX(PlanRef,COLUMN(C25)-2))</formula>
    </cfRule>
  </conditionalFormatting>
  <conditionalFormatting sqref="H25:K29">
    <cfRule type="expression" priority="27" dxfId="2">
      <formula>AND(ISNUMBER(H25),H25&lt;0)</formula>
    </cfRule>
  </conditionalFormatting>
  <conditionalFormatting sqref="H70:H81">
    <cfRule type="expression" priority="28" dxfId="0">
      <formula>LEFT(H70,1)="✔"</formula>
    </cfRule>
    <cfRule type="expression" priority="29" dxfId="1">
      <formula>LEFT(H70,1)="●"</formula>
    </cfRule>
    <cfRule type="expression" priority="30" dxfId="2">
      <formula>LEFT(H70,1)="⚠"</formula>
    </cfRule>
  </conditionalFormatting>
  <conditionalFormatting sqref="H86:H90">
    <cfRule type="expression" priority="31" dxfId="8">
      <formula>H86&gt;0</formula>
    </cfRule>
  </conditionalFormatting>
  <conditionalFormatting sqref="I86:I90">
    <cfRule type="expression" priority="32" dxfId="9">
      <formula>I86&gt;0</formula>
    </cfRule>
  </conditionalFormatting>
  <conditionalFormatting sqref="J86:M90">
    <cfRule type="expression" priority="33" dxfId="8" stopIfTrue="1">
      <formula>$H86&gt;0</formula>
    </cfRule>
    <cfRule type="expression" priority="34" dxfId="9" stopIfTrue="1">
      <formula>$I86&gt;0</formula>
    </cfRule>
    <cfRule type="expression" priority="35" dxfId="0">
      <formula>LEFT($J86,1)="✔"</formula>
    </cfRule>
  </conditionalFormatting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  <hyperlink xmlns:r="http://schemas.openxmlformats.org/officeDocument/2006/relationships" ref="B19" r:id="rId4"/>
    <hyperlink xmlns:r="http://schemas.openxmlformats.org/officeDocument/2006/relationships" ref="B86" r:id="rId5"/>
    <hyperlink xmlns:r="http://schemas.openxmlformats.org/officeDocument/2006/relationships" ref="B87" r:id="rId6"/>
    <hyperlink xmlns:r="http://schemas.openxmlformats.org/officeDocument/2006/relationships" ref="B88" r:id="rId7"/>
    <hyperlink xmlns:r="http://schemas.openxmlformats.org/officeDocument/2006/relationships" ref="B89" r:id="rId8"/>
    <hyperlink xmlns:r="http://schemas.openxmlformats.org/officeDocument/2006/relationships" ref="B90" r:id="rId9"/>
  </hyperlinks>
  <pageMargins left="0.3" right="0.3" top="0.4" bottom="0.4" header="0.5" footer="0.5"/>
  <pageSetup orientation="landscape" paperSize="1" fitToHeight="0" fitToWidth="1"/>
  <headerFooter>
    <oddHeader/>
    <oddFooter>&amp;CPágina &amp;P de &amp;N</oddFooter>
    <evenHeader/>
    <evenFooter/>
    <firstHeader/>
    <firstFooter/>
  </headerFooter>
  <rowBreaks count="2" manualBreakCount="2">
    <brk id="34" min="0" max="16383" man="1"/>
    <brk id="66" min="0" max="16383" man="1"/>
  </rowBreaks>
  <drawing xmlns:r="http://schemas.openxmlformats.org/officeDocument/2006/relationships" r:id="rId10"/>
</worksheet>
</file>

<file path=xl/worksheets/sheet2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AN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48" customWidth="1" min="3" max="3"/>
    <col width="22" customWidth="1" min="4" max="4"/>
    <col width="12" customWidth="1" min="5" max="5"/>
    <col width="12" customWidth="1" min="6" max="6"/>
    <col width="14" customWidth="1" min="7" max="7"/>
    <col width="12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  <col width="12" customWidth="1" min="14" max="14"/>
    <col width="24" customWidth="1" min="15" max="15"/>
    <col width="30" customWidth="1" min="16" max="16"/>
    <col width="36" customWidth="1" min="17" max="17"/>
    <col width="44" customWidth="1" min="18" max="18"/>
    <col width="14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</cols>
  <sheetData>
    <row r="1" ht="28" customHeight="1">
      <c r="A1" s="47" t="inlineStr">
        <is>
          <t>Administración (jefatura) – Actividades de la jefatura</t>
        </is>
      </c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  <c r="N1" s="47" t="n"/>
      <c r="O1" s="47" t="n"/>
      <c r="P1" s="47" t="n"/>
      <c r="Q1" s="47" t="n"/>
      <c r="R1" s="47" t="n"/>
      <c r="S1" s="47" t="n"/>
    </row>
    <row r="2" ht="44" customHeight="1">
      <c r="A2" s="48" t="inlineStr">
        <is>
          <t>Llene solo las celdas GRIS SUAVE; las AZUL CLARO son automáticas. En «Tipo» elija Macroactividad o Subactividad: las subactividades van en las filas de ABAJO de su macroactividad (se ven con ↳) y su promedio da el % de la macroactividad. Cuando termine algo, escriba la FECHA DE CUMPLIMIENTO: queda al 100% y ya no aparece vencido. Si quiere registrar avances parciales, escriba en cada semana el % total logrado hasta esa semana. Cada mes agregue sus actividades debajo de las anteriores (no borre los meses pasados: quedan como historial).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  <c r="L2" s="48" t="n"/>
      <c r="M2" s="48" t="n"/>
      <c r="N2" s="48" t="n"/>
      <c r="O2" s="48" t="n"/>
      <c r="P2" s="48" t="n"/>
      <c r="Q2" s="48" t="n"/>
      <c r="R2" s="48" t="n"/>
      <c r="S2" s="48" t="n"/>
    </row>
    <row r="3" ht="22" customHeight="1">
      <c r="A3" s="49" t="inlineStr">
        <is>
          <t>Llenar</t>
        </is>
      </c>
      <c r="B3" s="50" t="inlineStr">
        <is>
          <t>Automático</t>
        </is>
      </c>
      <c r="C3" s="51" t="inlineStr">
        <is>
          <t>Macroactividad (fila resaltada)</t>
        </is>
      </c>
      <c r="E3" s="6" t="inlineStr">
        <is>
          <t>Peso: solo macroactividades. Si lo deja vacío valen igual; si lo escribe, se ajusta solo a 100%.</t>
        </is>
      </c>
      <c r="F3" s="6" t="n"/>
      <c r="G3" s="6" t="n"/>
      <c r="H3" s="6" t="n"/>
      <c r="I3" s="6" t="n"/>
      <c r="J3" s="6" t="n"/>
      <c r="K3" s="52" t="inlineStr">
        <is>
          <t>Plazos del mes:</t>
        </is>
      </c>
      <c r="M3" s="43">
        <f>COUNTIFS($S$5:$S$1000,MesCiclo,$O$5:$O$1000,"Vencida*")&amp;" vencida(s)  ·  "&amp;COUNTIFS($S$5:$S$1000,MesCiclo,$O$5:$O$1000,"Vence*")&amp;" por vencer"</f>
        <v/>
      </c>
      <c r="N3" s="43" t="n"/>
      <c r="O3" s="43" t="n"/>
      <c r="Q3" s="53" t="inlineStr">
        <is>
          <t>En «Delegar a» elija el puesto: la actividad le llega a su Cronograma y aquí verá su avance.</t>
        </is>
      </c>
      <c r="R3" s="53" t="n"/>
      <c r="S3" s="53" t="n"/>
    </row>
    <row r="4" ht="42" customHeight="1">
      <c r="A4" s="54" t="inlineStr">
        <is>
          <t>N°</t>
        </is>
      </c>
      <c r="B4" s="55" t="inlineStr">
        <is>
          <t>Tipo</t>
        </is>
      </c>
      <c r="C4" s="55" t="inlineStr">
        <is>
          <t>Actividad</t>
        </is>
      </c>
      <c r="D4" s="55" t="inlineStr">
        <is>
          <t>Delegar a</t>
        </is>
      </c>
      <c r="E4" s="55" t="inlineStr">
        <is>
          <t>Fecha de inicio</t>
        </is>
      </c>
      <c r="F4" s="55" t="inlineStr">
        <is>
          <t>Fecha límite</t>
        </is>
      </c>
      <c r="G4" s="55" t="inlineStr">
        <is>
          <t>Fecha de cumplimiento</t>
        </is>
      </c>
      <c r="H4" s="55" t="inlineStr">
        <is>
          <t>Peso (%)</t>
        </is>
      </c>
      <c r="I4" s="55" t="inlineStr">
        <is>
          <t>Avance Semana 1 (%)</t>
        </is>
      </c>
      <c r="J4" s="55" t="inlineStr">
        <is>
          <t>Avance Semana 2 (%)</t>
        </is>
      </c>
      <c r="K4" s="55" t="inlineStr">
        <is>
          <t>Avance Semana 3 (%)</t>
        </is>
      </c>
      <c r="L4" s="55" t="inlineStr">
        <is>
          <t>Avance Semana 4 (%)</t>
        </is>
      </c>
      <c r="M4" s="54" t="inlineStr">
        <is>
          <t>% de Avance Total Actual</t>
        </is>
      </c>
      <c r="N4" s="54" t="inlineStr">
        <is>
          <t>Estado</t>
        </is>
      </c>
      <c r="O4" s="54" t="inlineStr">
        <is>
          <t>Alerta de plazo</t>
        </is>
      </c>
      <c r="P4" s="54" t="inlineStr">
        <is>
          <t>Seguimiento de la delegación</t>
        </is>
      </c>
      <c r="Q4" s="55" t="inlineStr">
        <is>
          <t>Observaciones</t>
        </is>
      </c>
      <c r="R4" s="54" t="inlineStr">
        <is>
          <t>Revisión automática (alertas)</t>
        </is>
      </c>
      <c r="S4" s="54" t="inlineStr">
        <is>
          <t>Mes</t>
        </is>
      </c>
      <c r="T4" s="54" t="inlineStr">
        <is>
          <t>Orden en el mes (aux)</t>
        </is>
      </c>
      <c r="U4" s="54" t="inlineStr">
        <is>
          <t>Grupo (aux)</t>
        </is>
      </c>
      <c r="V4" s="54" t="inlineStr">
        <is>
          <t>Tipo (aux)</t>
        </is>
      </c>
      <c r="W4" s="54" t="inlineStr">
        <is>
          <t>N subactividades (aux)</t>
        </is>
      </c>
      <c r="X4" s="54" t="inlineStr">
        <is>
          <t>Avance propio (aux)</t>
        </is>
      </c>
      <c r="Y4" s="54" t="inlineStr">
        <is>
          <t>Propio S1 (aux)</t>
        </is>
      </c>
      <c r="Z4" s="54" t="inlineStr">
        <is>
          <t>Propio S2 (aux)</t>
        </is>
      </c>
      <c r="AA4" s="54" t="inlineStr">
        <is>
          <t>Propio S3 (aux)</t>
        </is>
      </c>
      <c r="AB4" s="54" t="inlineStr">
        <is>
          <t>Propio S4 (aux)</t>
        </is>
      </c>
      <c r="AC4" s="54" t="inlineStr">
        <is>
          <t>Efectivo S1 (aux)</t>
        </is>
      </c>
      <c r="AD4" s="54" t="inlineStr">
        <is>
          <t>Efectivo S2 (aux)</t>
        </is>
      </c>
      <c r="AE4" s="54" t="inlineStr">
        <is>
          <t>Efectivo S3 (aux)</t>
        </is>
      </c>
      <c r="AF4" s="54" t="inlineStr">
        <is>
          <t>Efectivo S4 (aux)</t>
        </is>
      </c>
      <c r="AG4" s="54" t="inlineStr">
        <is>
          <t>Peso efectivo (aux)</t>
        </is>
      </c>
      <c r="AH4" s="54" t="inlineStr">
        <is>
          <t>Fila en el puesto (aux)</t>
        </is>
      </c>
      <c r="AI4" s="54" t="inlineStr">
        <is>
          <t>N° delegada en el mes (aux)</t>
        </is>
      </c>
      <c r="AJ4" s="54" t="inlineStr">
        <is>
          <t>Clave delegada (aux)</t>
        </is>
      </c>
      <c r="AK4" s="54" t="inlineStr">
        <is>
          <t>Clave puesto-actividad (aux)</t>
        </is>
      </c>
      <c r="AL4" s="54" t="inlineStr">
        <is>
          <t>Fila en Administración (aux)</t>
        </is>
      </c>
      <c r="AM4" s="54" t="inlineStr">
        <is>
          <t>Inicio efectivo (aux)</t>
        </is>
      </c>
      <c r="AN4" s="54" t="inlineStr">
        <is>
          <t>Límite efectivo (aux)</t>
        </is>
      </c>
    </row>
    <row r="5">
      <c r="A5" s="56">
        <f>IF(NOT((COUNTA($B5:$D5)+COUNTA($G5:$L5)+COUNTA($Q5))&gt;0),"",IF($V5="Macro",COUNTIFS($V$5:$V5,"Macro",$S$5:$S5,$S5),IF(N($U5)=0,"?",COUNTIFS(INDEX($V$5:$V$1000,1):INDEX($V$5:$V$1000,$U5-4),"Macro",INDEX($S$5:$S$1000,1):INDEX($S$5:$S$1000,$U5-4),INDEX($S$5:$S$1000,$U5-4))&amp;"."&amp;COUNTIFS($U$5:$U5,$U5,$V$5:$V5,"Sub"))))</f>
        <v/>
      </c>
      <c r="B5" s="57" t="n"/>
      <c r="C5" s="58" t="n"/>
      <c r="D5" s="58" t="n"/>
      <c r="E5" s="59" t="n"/>
      <c r="F5" s="59" t="n"/>
      <c r="G5" s="59" t="n"/>
      <c r="H5" s="60" t="n"/>
      <c r="I5" s="60" t="n"/>
      <c r="J5" s="60" t="n"/>
      <c r="K5" s="60" t="n"/>
      <c r="L5" s="60" t="n"/>
      <c r="M5" s="61">
        <f>IF(NOT((COUNTA($B5:$D5)+COUNTA($G5:$L5)+COUNTA($Q5))&gt;0),"",IF(AND($D5&lt;&gt;"",$V5="Macro"),IF(N($AH5)&gt;0,N(CHOOSE(MATCH($D5,ListaPuestos,0),INDEX('Cronograma R. Operacional'!$M$5:$M$1000,$AH5),INDEX('Cronograma R. Normativo'!$M$5:$M$1000,$AH5),INDEX('Cronograma R. Financiero'!$M$5:$M$1000,$AH5),INDEX('Cronograma Asistente Técnico'!$M$5:$M$1000,$AH5))),0),IF(ISNUMBER($G5),1,IF(N($W5)&gt;0,AVERAGEIFS($X$5:$X$1000,$U$5:$U$1000,ROW(),$V$5:$V$1000,"Sub"),$X5))))</f>
        <v/>
      </c>
      <c r="N5" s="56">
        <f>IF($M5="","",IF($M5&gt;=1,"Completado",IF($M5&gt;0,"En curso","Pendiente")))</f>
        <v/>
      </c>
      <c r="O5" s="56">
        <f>IF(NOT((COUNTA($B5:$D5)+COUNTA($G5:$L5)+COUNTA($Q5))&gt;0),"",IF(AND(AND($D5&lt;&gt;"",$V5="Macro"),N($AH5)&gt;0),CHOOSE(MATCH($D5,ListaPuestos,0),INDEX('Cronograma R. Operacional'!$O$5:$O$1000,$AH5),INDEX('Cronograma R. Normativo'!$O$5:$O$1000,$AH5),INDEX('Cronograma R. Financiero'!$O$5:$O$1000,$AH5),INDEX('Cronograma Asistente Técnico'!$O$5:$O$1000,$AH5))&amp;"",IF(ISNUMBER($G5),IF(AND(ISNUMBER($AN5),$G5&gt;$AN5),"Cumplida con "&amp;($G5-$AN5)&amp;IF($G5-$AN5=1," día"," días")&amp;" de retraso","Cumplida"),IF(N($M5)&gt;=1,"Cumplida",IF(NOT(ISNUMBER($AN5)),"Sin fecha límite",IF($AN5&lt;FechaRef,"Vencida hace "&amp;(FechaRef-$AN5)&amp;IF(FechaRef-$AN5=1," día"," días"),IF($AN5=FechaRef,"Vence hoy",IF($AN5-FechaRef&lt;=DiasAlerta,"Vence en "&amp;($AN5-FechaRef)&amp;IF($AN5-FechaRef=1," día"," días"),"En plazo"))))))))</f>
        <v/>
      </c>
      <c r="P5" s="62">
        <f>IF(NOT((COUNTA($B5:$D5)+COUNTA($G5:$L5)+COUNTA($Q5))&gt;0),"",IF($D5="","Propia",IF($V5&lt;&gt;"Macro","Solo se delegan macroactividades",IF(N($AH5)&gt;0,"✔ Recibida por "&amp;$D5,"⚠ "&amp;$D5&amp;" aún no la agrega"))))</f>
        <v/>
      </c>
      <c r="Q5" s="58" t="n"/>
      <c r="R5" s="63">
        <f>IF(NOT((COUNTA($B5:$D5)+COUNTA($G5:$L5)+COUNTA($Q5))&gt;0),"",IF((IF($C5="","Falta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",""))="","✔ OK","⚠ "&amp;LEFT(IF($C5="","Falta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",""),LEN(IF($C5="","Falta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",""))-3)))</f>
        <v/>
      </c>
      <c r="S5" s="64">
        <f>IF(NOT((COUNTA($B5:$D5)+COUNTA($G5:$L5)+COUNTA($Q5))&gt;0),"",IF(AND($V5="Sub",N($U5)&gt;0),IF(ISNUMBER(INDEX($AM$5:$AM$1000,$U5-4)),DATE(YEAR(INDEX($AM$5:$AM$1000,$U5-4)),MONTH(INDEX($AM$5:$AM$1000,$U5-4)),1),IF(ISNUMBER(INDEX($AN$5:$AN$1000,$U5-4)),DATE(YEAR(INDEX($AN$5:$AN$1000,$U5-4)),MONTH(INDEX($AN$5:$AN$1000,$U5-4)),1),MesCiclo)),IF(ISNUMBER($AM5),DATE(YEAR($AM5),MONTH($AM5),1),IF(ISNUMBER($AN5),DATE(YEAR($AN5),MONTH($AN5),1),MesCiclo))))</f>
        <v/>
      </c>
      <c r="T5" s="62">
        <f>IF(OR($S5="",$S5&lt;&gt;MesCiclo),"",COUNTIF($S$5:$S5,MesCiclo))</f>
        <v/>
      </c>
      <c r="U5" s="62">
        <f>IF($V5="","",IF($V5="Macro",ROW(),IFERROR(LOOKUP(2,1/($V$5:$V5="Macro"),ROW($V$5:$V5)),0)))</f>
        <v/>
      </c>
      <c r="V5" s="62">
        <f>IF(NOT((COUNTA($B5:$D5)+COUNTA($G5:$L5)+COUNTA($Q5))&gt;0),"",IF($B5="Subactividad","Sub","Macro"))</f>
        <v/>
      </c>
      <c r="W5" s="62">
        <f>IF($V5="Macro",COUNTIFS($U$5:$U$1000,ROW(),$V$5:$V$1000,"Sub"),"")</f>
        <v/>
      </c>
      <c r="X5" s="62">
        <f>IF($V5="","",IF(ISNUMBER($G5),1,IFERROR(LOOKUP(2,1/($I5:$L5&lt;&gt;""),$I5:$L5),0)))</f>
        <v/>
      </c>
      <c r="Y5" s="62">
        <f>IF($V5="","",IF(AND(ISNUMBER($G5),$G5&lt;=IF($S5=MesCiclo,InicioCiclo,$S5+MOD(2-WEEKDAY($S5),7))+6),1,IF(ISNUMBER($I5),$I5,0)))</f>
        <v/>
      </c>
      <c r="Z5" s="62">
        <f>IF($V5="","",IF(AND(ISNUMBER($G5),$G5&lt;=IF($S5=MesCiclo,InicioCiclo,$S5+MOD(2-WEEKDAY($S5),7))+13),1,IF(ISNUMBER($J5),$J5,$Y5)))</f>
        <v/>
      </c>
      <c r="AA5" s="62">
        <f>IF($V5="","",IF(AND(ISNUMBER($G5),$G5&lt;=IF($S5=MesCiclo,InicioCiclo,$S5+MOD(2-WEEKDAY($S5),7))+20),1,IF(ISNUMBER($K5),$K5,$Z5)))</f>
        <v/>
      </c>
      <c r="AB5" s="62">
        <f>IF($V5="","",IF(AND(ISNUMBER($G5),$G5&lt;=IF($S5=MesCiclo,InicioCiclo,$S5+MOD(2-WEEKDAY($S5),7))+27),1,IF(ISNUMBER($L5),$L5,$AA5)))</f>
        <v/>
      </c>
      <c r="AC5" s="62">
        <f>IF($V5="","",IF(AND(ISNUMBER($G5),$G5&lt;=IF($S5=MesCiclo,InicioCiclo,$S5+MOD(2-WEEKDAY($S5),7))+6),1,IF(N($W5)&gt;0,AVERAGEIFS($Y$5:$Y$1000,$U$5:$U$1000,ROW(),$V$5:$V$1000,"Sub"),$Y5)))</f>
        <v/>
      </c>
      <c r="AD5" s="62">
        <f>IF($V5="","",IF(AND(ISNUMBER($G5),$G5&lt;=IF($S5=MesCiclo,InicioCiclo,$S5+MOD(2-WEEKDAY($S5),7))+13),1,IF(N($W5)&gt;0,AVERAGEIFS($Z$5:$Z$1000,$U$5:$U$1000,ROW(),$V$5:$V$1000,"Sub"),$Z5)))</f>
        <v/>
      </c>
      <c r="AE5" s="62">
        <f>IF($V5="","",IF(AND(ISNUMBER($G5),$G5&lt;=IF($S5=MesCiclo,InicioCiclo,$S5+MOD(2-WEEKDAY($S5),7))+20),1,IF(N($W5)&gt;0,AVERAGEIFS($AA$5:$AA$1000,$U$5:$U$1000,ROW(),$V$5:$V$1000,"Sub"),$AA5)))</f>
        <v/>
      </c>
      <c r="AF5" s="62">
        <f>IF($V5="","",IF(AND(ISNUMBER($G5),$G5&lt;=IF($S5=MesCiclo,InicioCiclo,$S5+MOD(2-WEEKDAY($S5),7))+27),1,IF(N($W5)&gt;0,AVERAGEIFS($AB$5:$AB$1000,$U$5:$U$1000,ROW(),$V$5:$V$1000,"Sub"),$AB5)))</f>
        <v/>
      </c>
      <c r="AG5" s="62">
        <f>IF($V5&lt;&gt;"Macro","",IF(COUNTIFS($S$5:$S$1000,$S5,$V$5:$V$1000,"Macro",$H$5:$H$1000,"&gt;0")=0,1/COUNTIFS($S$5:$S$1000,$S5,$V$5:$V$1000,"Macro"),IF(AND(ISNUMBER($H5),N($H5)&gt;0),$H5,SUMIFS($H$5:$H$1000,$S$5:$S$1000,$S5,$V$5:$V$1000,"Macro")/COUNTIFS($S$5:$S$1000,$S5,$V$5:$V$1000,"Macro",$H$5:$H$1000,"&gt;0"))/(COUNTIFS($S$5:$S$1000,$S5,$V$5:$V$1000,"Macro")*SUMIFS($H$5:$H$1000,$S$5:$S$1000,$S5,$V$5:$V$1000,"Macro")/COUNTIFS($S$5:$S$1000,$S5,$V$5:$V$1000,"Macro",$H$5:$H$1000,"&gt;0"))))</f>
        <v/>
      </c>
      <c r="AH5" s="62">
        <f>IF(NOT(AND($D5&lt;&gt;"",$V5="Macro")),"",IFERROR(CHOOSE(MATCH($D5,ListaPuestos,0),MATCH("[Jefatura] "&amp;$C5,'Cronograma R. Operacional'!$C$5:$C$1000,0),MATCH("[Jefatura] "&amp;$C5,'Cronograma R. Normativo'!$C$5:$C$1000,0),MATCH("[Jefatura] "&amp;$C5,'Cronograma R. Financiero'!$C$5:$C$1000,0),MATCH("[Jefatura] "&amp;$C5,'Cronograma Asistente Técnico'!$C$5:$C$1000,0)),0))</f>
        <v/>
      </c>
      <c r="AI5" s="62">
        <f>IF(AND(AND($D5&lt;&gt;"",$V5="Macro"),$S5=MesCiclo),COUNTIFS($D$5:$D5,$D5,$S$5:$S5,MesCiclo,$V$5:$V5,"Macro"),"")</f>
        <v/>
      </c>
      <c r="AJ5" s="62">
        <f>IF($AI5="","",$D5&amp;"|"&amp;$AI5)</f>
        <v/>
      </c>
      <c r="AK5" s="62">
        <f>IF(AND($D5&lt;&gt;"",$V5="Macro"),$D5&amp;"|"&amp;$C5,"")</f>
        <v/>
      </c>
      <c r="AL5" s="62">
        <f>""</f>
        <v/>
      </c>
      <c r="AM5" s="62">
        <f>IF(N($AL5)&gt;0,INDEX(rIni_ADM,$AL5),IF(ISNUMBER($E5),$E5,""))</f>
        <v/>
      </c>
      <c r="AN5" s="62">
        <f>IF(N($AL5)&gt;0,INDEX(rLim_ADM,$AL5),IF(ISNUMBER($F5),$F5,""))</f>
        <v/>
      </c>
    </row>
    <row r="6">
      <c r="A6" s="56">
        <f>IF(NOT((COUNTA($B6:$D6)+COUNTA($G6:$L6)+COUNTA($Q6))&gt;0),"",IF($V6="Macro",COUNTIFS($V$5:$V6,"Macro",$S$5:$S6,$S6),IF(N($U6)=0,"?",COUNTIFS(INDEX($V$5:$V$1000,1):INDEX($V$5:$V$1000,$U6-4),"Macro",INDEX($S$5:$S$1000,1):INDEX($S$5:$S$1000,$U6-4),INDEX($S$5:$S$1000,$U6-4))&amp;"."&amp;COUNTIFS($U$5:$U6,$U6,$V$5:$V6,"Sub"))))</f>
        <v/>
      </c>
      <c r="B6" s="57" t="n"/>
      <c r="C6" s="58" t="n"/>
      <c r="D6" s="58" t="n"/>
      <c r="E6" s="59" t="n"/>
      <c r="F6" s="59" t="n"/>
      <c r="G6" s="59" t="n"/>
      <c r="H6" s="60" t="n"/>
      <c r="I6" s="60" t="n"/>
      <c r="J6" s="60" t="n"/>
      <c r="K6" s="60" t="n"/>
      <c r="L6" s="60" t="n"/>
      <c r="M6" s="61">
        <f>IF(NOT((COUNTA($B6:$D6)+COUNTA($G6:$L6)+COUNTA($Q6))&gt;0),"",IF(AND($D6&lt;&gt;"",$V6="Macro"),IF(N($AH6)&gt;0,N(CHOOSE(MATCH($D6,ListaPuestos,0),INDEX('Cronograma R. Operacional'!$M$5:$M$1000,$AH6),INDEX('Cronograma R. Normativo'!$M$5:$M$1000,$AH6),INDEX('Cronograma R. Financiero'!$M$5:$M$1000,$AH6),INDEX('Cronograma Asistente Técnico'!$M$5:$M$1000,$AH6))),0),IF(ISNUMBER($G6),1,IF(N($W6)&gt;0,AVERAGEIFS($X$5:$X$1000,$U$5:$U$1000,ROW(),$V$5:$V$1000,"Sub"),$X6))))</f>
        <v/>
      </c>
      <c r="N6" s="56">
        <f>IF($M6="","",IF($M6&gt;=1,"Completado",IF($M6&gt;0,"En curso","Pendiente")))</f>
        <v/>
      </c>
      <c r="O6" s="56">
        <f>IF(NOT((COUNTA($B6:$D6)+COUNTA($G6:$L6)+COUNTA($Q6))&gt;0),"",IF(AND(AND($D6&lt;&gt;"",$V6="Macro"),N($AH6)&gt;0),CHOOSE(MATCH($D6,ListaPuestos,0),INDEX('Cronograma R. Operacional'!$O$5:$O$1000,$AH6),INDEX('Cronograma R. Normativo'!$O$5:$O$1000,$AH6),INDEX('Cronograma R. Financiero'!$O$5:$O$1000,$AH6),INDEX('Cronograma Asistente Técnico'!$O$5:$O$1000,$AH6))&amp;"",IF(ISNUMBER($G6),IF(AND(ISNUMBER($AN6),$G6&gt;$AN6),"Cumplida con "&amp;($G6-$AN6)&amp;IF($G6-$AN6=1," día"," días")&amp;" de retraso","Cumplida"),IF(N($M6)&gt;=1,"Cumplida",IF(NOT(ISNUMBER($AN6)),"Sin fecha límite",IF($AN6&lt;FechaRef,"Vencida hace "&amp;(FechaRef-$AN6)&amp;IF(FechaRef-$AN6=1," día"," días"),IF($AN6=FechaRef,"Vence hoy",IF($AN6-FechaRef&lt;=DiasAlerta,"Vence en "&amp;($AN6-FechaRef)&amp;IF($AN6-FechaRef=1," día"," días"),"En plazo"))))))))</f>
        <v/>
      </c>
      <c r="P6" s="62">
        <f>IF(NOT((COUNTA($B6:$D6)+COUNTA($G6:$L6)+COUNTA($Q6))&gt;0),"",IF($D6="","Propia",IF($V6&lt;&gt;"Macro","Solo se delegan macroactividades",IF(N($AH6)&gt;0,"✔ Recibida por "&amp;$D6,"⚠ "&amp;$D6&amp;" aún no la agrega"))))</f>
        <v/>
      </c>
      <c r="Q6" s="58" t="n"/>
      <c r="R6" s="63">
        <f>IF(NOT((COUNTA($B6:$D6)+COUNTA($G6:$L6)+COUNTA($Q6))&gt;0),"",IF((IF($C6="","Falta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",""))="","✔ OK","⚠ "&amp;LEFT(IF($C6="","Falta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",""),LEN(IF($C6="","Falta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",""))-3)))</f>
        <v/>
      </c>
      <c r="S6" s="64">
        <f>IF(NOT((COUNTA($B6:$D6)+COUNTA($G6:$L6)+COUNTA($Q6))&gt;0),"",IF(AND($V6="Sub",N($U6)&gt;0),IF(ISNUMBER(INDEX($AM$5:$AM$1000,$U6-4)),DATE(YEAR(INDEX($AM$5:$AM$1000,$U6-4)),MONTH(INDEX($AM$5:$AM$1000,$U6-4)),1),IF(ISNUMBER(INDEX($AN$5:$AN$1000,$U6-4)),DATE(YEAR(INDEX($AN$5:$AN$1000,$U6-4)),MONTH(INDEX($AN$5:$AN$1000,$U6-4)),1),MesCiclo)),IF(ISNUMBER($AM6),DATE(YEAR($AM6),MONTH($AM6),1),IF(ISNUMBER($AN6),DATE(YEAR($AN6),MONTH($AN6),1),MesCiclo))))</f>
        <v/>
      </c>
      <c r="T6" s="62">
        <f>IF(OR($S6="",$S6&lt;&gt;MesCiclo),"",COUNTIF($S$5:$S6,MesCiclo))</f>
        <v/>
      </c>
      <c r="U6" s="62">
        <f>IF($V6="","",IF($V6="Macro",ROW(),IFERROR(LOOKUP(2,1/($V$5:$V6="Macro"),ROW($V$5:$V6)),0)))</f>
        <v/>
      </c>
      <c r="V6" s="62">
        <f>IF(NOT((COUNTA($B6:$D6)+COUNTA($G6:$L6)+COUNTA($Q6))&gt;0),"",IF($B6="Subactividad","Sub","Macro"))</f>
        <v/>
      </c>
      <c r="W6" s="62">
        <f>IF($V6="Macro",COUNTIFS($U$5:$U$1000,ROW(),$V$5:$V$1000,"Sub"),"")</f>
        <v/>
      </c>
      <c r="X6" s="62">
        <f>IF($V6="","",IF(ISNUMBER($G6),1,IFERROR(LOOKUP(2,1/($I6:$L6&lt;&gt;""),$I6:$L6),0)))</f>
        <v/>
      </c>
      <c r="Y6" s="62">
        <f>IF($V6="","",IF(AND(ISNUMBER($G6),$G6&lt;=IF($S6=MesCiclo,InicioCiclo,$S6+MOD(2-WEEKDAY($S6),7))+6),1,IF(ISNUMBER($I6),$I6,0)))</f>
        <v/>
      </c>
      <c r="Z6" s="62">
        <f>IF($V6="","",IF(AND(ISNUMBER($G6),$G6&lt;=IF($S6=MesCiclo,InicioCiclo,$S6+MOD(2-WEEKDAY($S6),7))+13),1,IF(ISNUMBER($J6),$J6,$Y6)))</f>
        <v/>
      </c>
      <c r="AA6" s="62">
        <f>IF($V6="","",IF(AND(ISNUMBER($G6),$G6&lt;=IF($S6=MesCiclo,InicioCiclo,$S6+MOD(2-WEEKDAY($S6),7))+20),1,IF(ISNUMBER($K6),$K6,$Z6)))</f>
        <v/>
      </c>
      <c r="AB6" s="62">
        <f>IF($V6="","",IF(AND(ISNUMBER($G6),$G6&lt;=IF($S6=MesCiclo,InicioCiclo,$S6+MOD(2-WEEKDAY($S6),7))+27),1,IF(ISNUMBER($L6),$L6,$AA6)))</f>
        <v/>
      </c>
      <c r="AC6" s="62">
        <f>IF($V6="","",IF(AND(ISNUMBER($G6),$G6&lt;=IF($S6=MesCiclo,InicioCiclo,$S6+MOD(2-WEEKDAY($S6),7))+6),1,IF(N($W6)&gt;0,AVERAGEIFS($Y$5:$Y$1000,$U$5:$U$1000,ROW(),$V$5:$V$1000,"Sub"),$Y6)))</f>
        <v/>
      </c>
      <c r="AD6" s="62">
        <f>IF($V6="","",IF(AND(ISNUMBER($G6),$G6&lt;=IF($S6=MesCiclo,InicioCiclo,$S6+MOD(2-WEEKDAY($S6),7))+13),1,IF(N($W6)&gt;0,AVERAGEIFS($Z$5:$Z$1000,$U$5:$U$1000,ROW(),$V$5:$V$1000,"Sub"),$Z6)))</f>
        <v/>
      </c>
      <c r="AE6" s="62">
        <f>IF($V6="","",IF(AND(ISNUMBER($G6),$G6&lt;=IF($S6=MesCiclo,InicioCiclo,$S6+MOD(2-WEEKDAY($S6),7))+20),1,IF(N($W6)&gt;0,AVERAGEIFS($AA$5:$AA$1000,$U$5:$U$1000,ROW(),$V$5:$V$1000,"Sub"),$AA6)))</f>
        <v/>
      </c>
      <c r="AF6" s="62">
        <f>IF($V6="","",IF(AND(ISNUMBER($G6),$G6&lt;=IF($S6=MesCiclo,InicioCiclo,$S6+MOD(2-WEEKDAY($S6),7))+27),1,IF(N($W6)&gt;0,AVERAGEIFS($AB$5:$AB$1000,$U$5:$U$1000,ROW(),$V$5:$V$1000,"Sub"),$AB6)))</f>
        <v/>
      </c>
      <c r="AG6" s="62">
        <f>IF($V6&lt;&gt;"Macro","",IF(COUNTIFS($S$5:$S$1000,$S6,$V$5:$V$1000,"Macro",$H$5:$H$1000,"&gt;0")=0,1/COUNTIFS($S$5:$S$1000,$S6,$V$5:$V$1000,"Macro"),IF(AND(ISNUMBER($H6),N($H6)&gt;0),$H6,SUMIFS($H$5:$H$1000,$S$5:$S$1000,$S6,$V$5:$V$1000,"Macro")/COUNTIFS($S$5:$S$1000,$S6,$V$5:$V$1000,"Macro",$H$5:$H$1000,"&gt;0"))/(COUNTIFS($S$5:$S$1000,$S6,$V$5:$V$1000,"Macro")*SUMIFS($H$5:$H$1000,$S$5:$S$1000,$S6,$V$5:$V$1000,"Macro")/COUNTIFS($S$5:$S$1000,$S6,$V$5:$V$1000,"Macro",$H$5:$H$1000,"&gt;0"))))</f>
        <v/>
      </c>
      <c r="AH6" s="62">
        <f>IF(NOT(AND($D6&lt;&gt;"",$V6="Macro")),"",IFERROR(CHOOSE(MATCH($D6,ListaPuestos,0),MATCH("[Jefatura] "&amp;$C6,'Cronograma R. Operacional'!$C$5:$C$1000,0),MATCH("[Jefatura] "&amp;$C6,'Cronograma R. Normativo'!$C$5:$C$1000,0),MATCH("[Jefatura] "&amp;$C6,'Cronograma R. Financiero'!$C$5:$C$1000,0),MATCH("[Jefatura] "&amp;$C6,'Cronograma Asistente Técnico'!$C$5:$C$1000,0)),0))</f>
        <v/>
      </c>
      <c r="AI6" s="62">
        <f>IF(AND(AND($D6&lt;&gt;"",$V6="Macro"),$S6=MesCiclo),COUNTIFS($D$5:$D6,$D6,$S$5:$S6,MesCiclo,$V$5:$V6,"Macro"),"")</f>
        <v/>
      </c>
      <c r="AJ6" s="62">
        <f>IF($AI6="","",$D6&amp;"|"&amp;$AI6)</f>
        <v/>
      </c>
      <c r="AK6" s="62">
        <f>IF(AND($D6&lt;&gt;"",$V6="Macro"),$D6&amp;"|"&amp;$C6,"")</f>
        <v/>
      </c>
      <c r="AL6" s="62">
        <f>""</f>
        <v/>
      </c>
      <c r="AM6" s="62">
        <f>IF(N($AL6)&gt;0,INDEX(rIni_ADM,$AL6),IF(ISNUMBER($E6),$E6,""))</f>
        <v/>
      </c>
      <c r="AN6" s="62">
        <f>IF(N($AL6)&gt;0,INDEX(rLim_ADM,$AL6),IF(ISNUMBER($F6),$F6,""))</f>
        <v/>
      </c>
    </row>
    <row r="7">
      <c r="A7" s="56">
        <f>IF(NOT((COUNTA($B7:$D7)+COUNTA($G7:$L7)+COUNTA($Q7))&gt;0),"",IF($V7="Macro",COUNTIFS($V$5:$V7,"Macro",$S$5:$S7,$S7),IF(N($U7)=0,"?",COUNTIFS(INDEX($V$5:$V$1000,1):INDEX($V$5:$V$1000,$U7-4),"Macro",INDEX($S$5:$S$1000,1):INDEX($S$5:$S$1000,$U7-4),INDEX($S$5:$S$1000,$U7-4))&amp;"."&amp;COUNTIFS($U$5:$U7,$U7,$V$5:$V7,"Sub"))))</f>
        <v/>
      </c>
      <c r="B7" s="57" t="n"/>
      <c r="C7" s="58" t="n"/>
      <c r="D7" s="58" t="n"/>
      <c r="E7" s="59" t="n"/>
      <c r="F7" s="59" t="n"/>
      <c r="G7" s="59" t="n"/>
      <c r="H7" s="60" t="n"/>
      <c r="I7" s="60" t="n"/>
      <c r="J7" s="60" t="n"/>
      <c r="K7" s="60" t="n"/>
      <c r="L7" s="60" t="n"/>
      <c r="M7" s="61">
        <f>IF(NOT((COUNTA($B7:$D7)+COUNTA($G7:$L7)+COUNTA($Q7))&gt;0),"",IF(AND($D7&lt;&gt;"",$V7="Macro"),IF(N($AH7)&gt;0,N(CHOOSE(MATCH($D7,ListaPuestos,0),INDEX('Cronograma R. Operacional'!$M$5:$M$1000,$AH7),INDEX('Cronograma R. Normativo'!$M$5:$M$1000,$AH7),INDEX('Cronograma R. Financiero'!$M$5:$M$1000,$AH7),INDEX('Cronograma Asistente Técnico'!$M$5:$M$1000,$AH7))),0),IF(ISNUMBER($G7),1,IF(N($W7)&gt;0,AVERAGEIFS($X$5:$X$1000,$U$5:$U$1000,ROW(),$V$5:$V$1000,"Sub"),$X7))))</f>
        <v/>
      </c>
      <c r="N7" s="56">
        <f>IF($M7="","",IF($M7&gt;=1,"Completado",IF($M7&gt;0,"En curso","Pendiente")))</f>
        <v/>
      </c>
      <c r="O7" s="56">
        <f>IF(NOT((COUNTA($B7:$D7)+COUNTA($G7:$L7)+COUNTA($Q7))&gt;0),"",IF(AND(AND($D7&lt;&gt;"",$V7="Macro"),N($AH7)&gt;0),CHOOSE(MATCH($D7,ListaPuestos,0),INDEX('Cronograma R. Operacional'!$O$5:$O$1000,$AH7),INDEX('Cronograma R. Normativo'!$O$5:$O$1000,$AH7),INDEX('Cronograma R. Financiero'!$O$5:$O$1000,$AH7),INDEX('Cronograma Asistente Técnico'!$O$5:$O$1000,$AH7))&amp;"",IF(ISNUMBER($G7),IF(AND(ISNUMBER($AN7),$G7&gt;$AN7),"Cumplida con "&amp;($G7-$AN7)&amp;IF($G7-$AN7=1," día"," días")&amp;" de retraso","Cumplida"),IF(N($M7)&gt;=1,"Cumplida",IF(NOT(ISNUMBER($AN7)),"Sin fecha límite",IF($AN7&lt;FechaRef,"Vencida hace "&amp;(FechaRef-$AN7)&amp;IF(FechaRef-$AN7=1," día"," días"),IF($AN7=FechaRef,"Vence hoy",IF($AN7-FechaRef&lt;=DiasAlerta,"Vence en "&amp;($AN7-FechaRef)&amp;IF($AN7-FechaRef=1," día"," días"),"En plazo"))))))))</f>
        <v/>
      </c>
      <c r="P7" s="62">
        <f>IF(NOT((COUNTA($B7:$D7)+COUNTA($G7:$L7)+COUNTA($Q7))&gt;0),"",IF($D7="","Propia",IF($V7&lt;&gt;"Macro","Solo se delegan macroactividades",IF(N($AH7)&gt;0,"✔ Recibida por "&amp;$D7,"⚠ "&amp;$D7&amp;" aún no la agrega"))))</f>
        <v/>
      </c>
      <c r="Q7" s="58" t="n"/>
      <c r="R7" s="63">
        <f>IF(NOT((COUNTA($B7:$D7)+COUNTA($G7:$L7)+COUNTA($Q7))&gt;0),"",IF((IF($C7="","Falta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",""))="","✔ OK","⚠ "&amp;LEFT(IF($C7="","Falta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",""),LEN(IF($C7="","Falta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",""))-3)))</f>
        <v/>
      </c>
      <c r="S7" s="64">
        <f>IF(NOT((COUNTA($B7:$D7)+COUNTA($G7:$L7)+COUNTA($Q7))&gt;0),"",IF(AND($V7="Sub",N($U7)&gt;0),IF(ISNUMBER(INDEX($AM$5:$AM$1000,$U7-4)),DATE(YEAR(INDEX($AM$5:$AM$1000,$U7-4)),MONTH(INDEX($AM$5:$AM$1000,$U7-4)),1),IF(ISNUMBER(INDEX($AN$5:$AN$1000,$U7-4)),DATE(YEAR(INDEX($AN$5:$AN$1000,$U7-4)),MONTH(INDEX($AN$5:$AN$1000,$U7-4)),1),MesCiclo)),IF(ISNUMBER($AM7),DATE(YEAR($AM7),MONTH($AM7),1),IF(ISNUMBER($AN7),DATE(YEAR($AN7),MONTH($AN7),1),MesCiclo))))</f>
        <v/>
      </c>
      <c r="T7" s="62">
        <f>IF(OR($S7="",$S7&lt;&gt;MesCiclo),"",COUNTIF($S$5:$S7,MesCiclo))</f>
        <v/>
      </c>
      <c r="U7" s="62">
        <f>IF($V7="","",IF($V7="Macro",ROW(),IFERROR(LOOKUP(2,1/($V$5:$V7="Macro"),ROW($V$5:$V7)),0)))</f>
        <v/>
      </c>
      <c r="V7" s="62">
        <f>IF(NOT((COUNTA($B7:$D7)+COUNTA($G7:$L7)+COUNTA($Q7))&gt;0),"",IF($B7="Subactividad","Sub","Macro"))</f>
        <v/>
      </c>
      <c r="W7" s="62">
        <f>IF($V7="Macro",COUNTIFS($U$5:$U$1000,ROW(),$V$5:$V$1000,"Sub"),"")</f>
        <v/>
      </c>
      <c r="X7" s="62">
        <f>IF($V7="","",IF(ISNUMBER($G7),1,IFERROR(LOOKUP(2,1/($I7:$L7&lt;&gt;""),$I7:$L7),0)))</f>
        <v/>
      </c>
      <c r="Y7" s="62">
        <f>IF($V7="","",IF(AND(ISNUMBER($G7),$G7&lt;=IF($S7=MesCiclo,InicioCiclo,$S7+MOD(2-WEEKDAY($S7),7))+6),1,IF(ISNUMBER($I7),$I7,0)))</f>
        <v/>
      </c>
      <c r="Z7" s="62">
        <f>IF($V7="","",IF(AND(ISNUMBER($G7),$G7&lt;=IF($S7=MesCiclo,InicioCiclo,$S7+MOD(2-WEEKDAY($S7),7))+13),1,IF(ISNUMBER($J7),$J7,$Y7)))</f>
        <v/>
      </c>
      <c r="AA7" s="62">
        <f>IF($V7="","",IF(AND(ISNUMBER($G7),$G7&lt;=IF($S7=MesCiclo,InicioCiclo,$S7+MOD(2-WEEKDAY($S7),7))+20),1,IF(ISNUMBER($K7),$K7,$Z7)))</f>
        <v/>
      </c>
      <c r="AB7" s="62">
        <f>IF($V7="","",IF(AND(ISNUMBER($G7),$G7&lt;=IF($S7=MesCiclo,InicioCiclo,$S7+MOD(2-WEEKDAY($S7),7))+27),1,IF(ISNUMBER($L7),$L7,$AA7)))</f>
        <v/>
      </c>
      <c r="AC7" s="62">
        <f>IF($V7="","",IF(AND(ISNUMBER($G7),$G7&lt;=IF($S7=MesCiclo,InicioCiclo,$S7+MOD(2-WEEKDAY($S7),7))+6),1,IF(N($W7)&gt;0,AVERAGEIFS($Y$5:$Y$1000,$U$5:$U$1000,ROW(),$V$5:$V$1000,"Sub"),$Y7)))</f>
        <v/>
      </c>
      <c r="AD7" s="62">
        <f>IF($V7="","",IF(AND(ISNUMBER($G7),$G7&lt;=IF($S7=MesCiclo,InicioCiclo,$S7+MOD(2-WEEKDAY($S7),7))+13),1,IF(N($W7)&gt;0,AVERAGEIFS($Z$5:$Z$1000,$U$5:$U$1000,ROW(),$V$5:$V$1000,"Sub"),$Z7)))</f>
        <v/>
      </c>
      <c r="AE7" s="62">
        <f>IF($V7="","",IF(AND(ISNUMBER($G7),$G7&lt;=IF($S7=MesCiclo,InicioCiclo,$S7+MOD(2-WEEKDAY($S7),7))+20),1,IF(N($W7)&gt;0,AVERAGEIFS($AA$5:$AA$1000,$U$5:$U$1000,ROW(),$V$5:$V$1000,"Sub"),$AA7)))</f>
        <v/>
      </c>
      <c r="AF7" s="62">
        <f>IF($V7="","",IF(AND(ISNUMBER($G7),$G7&lt;=IF($S7=MesCiclo,InicioCiclo,$S7+MOD(2-WEEKDAY($S7),7))+27),1,IF(N($W7)&gt;0,AVERAGEIFS($AB$5:$AB$1000,$U$5:$U$1000,ROW(),$V$5:$V$1000,"Sub"),$AB7)))</f>
        <v/>
      </c>
      <c r="AG7" s="62">
        <f>IF($V7&lt;&gt;"Macro","",IF(COUNTIFS($S$5:$S$1000,$S7,$V$5:$V$1000,"Macro",$H$5:$H$1000,"&gt;0")=0,1/COUNTIFS($S$5:$S$1000,$S7,$V$5:$V$1000,"Macro"),IF(AND(ISNUMBER($H7),N($H7)&gt;0),$H7,SUMIFS($H$5:$H$1000,$S$5:$S$1000,$S7,$V$5:$V$1000,"Macro")/COUNTIFS($S$5:$S$1000,$S7,$V$5:$V$1000,"Macro",$H$5:$H$1000,"&gt;0"))/(COUNTIFS($S$5:$S$1000,$S7,$V$5:$V$1000,"Macro")*SUMIFS($H$5:$H$1000,$S$5:$S$1000,$S7,$V$5:$V$1000,"Macro")/COUNTIFS($S$5:$S$1000,$S7,$V$5:$V$1000,"Macro",$H$5:$H$1000,"&gt;0"))))</f>
        <v/>
      </c>
      <c r="AH7" s="62">
        <f>IF(NOT(AND($D7&lt;&gt;"",$V7="Macro")),"",IFERROR(CHOOSE(MATCH($D7,ListaPuestos,0),MATCH("[Jefatura] "&amp;$C7,'Cronograma R. Operacional'!$C$5:$C$1000,0),MATCH("[Jefatura] "&amp;$C7,'Cronograma R. Normativo'!$C$5:$C$1000,0),MATCH("[Jefatura] "&amp;$C7,'Cronograma R. Financiero'!$C$5:$C$1000,0),MATCH("[Jefatura] "&amp;$C7,'Cronograma Asistente Técnico'!$C$5:$C$1000,0)),0))</f>
        <v/>
      </c>
      <c r="AI7" s="62">
        <f>IF(AND(AND($D7&lt;&gt;"",$V7="Macro"),$S7=MesCiclo),COUNTIFS($D$5:$D7,$D7,$S$5:$S7,MesCiclo,$V$5:$V7,"Macro"),"")</f>
        <v/>
      </c>
      <c r="AJ7" s="62">
        <f>IF($AI7="","",$D7&amp;"|"&amp;$AI7)</f>
        <v/>
      </c>
      <c r="AK7" s="62">
        <f>IF(AND($D7&lt;&gt;"",$V7="Macro"),$D7&amp;"|"&amp;$C7,"")</f>
        <v/>
      </c>
      <c r="AL7" s="62">
        <f>""</f>
        <v/>
      </c>
      <c r="AM7" s="62">
        <f>IF(N($AL7)&gt;0,INDEX(rIni_ADM,$AL7),IF(ISNUMBER($E7),$E7,""))</f>
        <v/>
      </c>
      <c r="AN7" s="62">
        <f>IF(N($AL7)&gt;0,INDEX(rLim_ADM,$AL7),IF(ISNUMBER($F7),$F7,""))</f>
        <v/>
      </c>
    </row>
    <row r="8">
      <c r="A8" s="56">
        <f>IF(NOT((COUNTA($B8:$D8)+COUNTA($G8:$L8)+COUNTA($Q8))&gt;0),"",IF($V8="Macro",COUNTIFS($V$5:$V8,"Macro",$S$5:$S8,$S8),IF(N($U8)=0,"?",COUNTIFS(INDEX($V$5:$V$1000,1):INDEX($V$5:$V$1000,$U8-4),"Macro",INDEX($S$5:$S$1000,1):INDEX($S$5:$S$1000,$U8-4),INDEX($S$5:$S$1000,$U8-4))&amp;"."&amp;COUNTIFS($U$5:$U8,$U8,$V$5:$V8,"Sub"))))</f>
        <v/>
      </c>
      <c r="B8" s="57" t="n"/>
      <c r="C8" s="58" t="n"/>
      <c r="D8" s="58" t="n"/>
      <c r="E8" s="59" t="n"/>
      <c r="F8" s="59" t="n"/>
      <c r="G8" s="59" t="n"/>
      <c r="H8" s="60" t="n"/>
      <c r="I8" s="60" t="n"/>
      <c r="J8" s="60" t="n"/>
      <c r="K8" s="60" t="n"/>
      <c r="L8" s="60" t="n"/>
      <c r="M8" s="61">
        <f>IF(NOT((COUNTA($B8:$D8)+COUNTA($G8:$L8)+COUNTA($Q8))&gt;0),"",IF(AND($D8&lt;&gt;"",$V8="Macro"),IF(N($AH8)&gt;0,N(CHOOSE(MATCH($D8,ListaPuestos,0),INDEX('Cronograma R. Operacional'!$M$5:$M$1000,$AH8),INDEX('Cronograma R. Normativo'!$M$5:$M$1000,$AH8),INDEX('Cronograma R. Financiero'!$M$5:$M$1000,$AH8),INDEX('Cronograma Asistente Técnico'!$M$5:$M$1000,$AH8))),0),IF(ISNUMBER($G8),1,IF(N($W8)&gt;0,AVERAGEIFS($X$5:$X$1000,$U$5:$U$1000,ROW(),$V$5:$V$1000,"Sub"),$X8))))</f>
        <v/>
      </c>
      <c r="N8" s="56">
        <f>IF($M8="","",IF($M8&gt;=1,"Completado",IF($M8&gt;0,"En curso","Pendiente")))</f>
        <v/>
      </c>
      <c r="O8" s="56">
        <f>IF(NOT((COUNTA($B8:$D8)+COUNTA($G8:$L8)+COUNTA($Q8))&gt;0),"",IF(AND(AND($D8&lt;&gt;"",$V8="Macro"),N($AH8)&gt;0),CHOOSE(MATCH($D8,ListaPuestos,0),INDEX('Cronograma R. Operacional'!$O$5:$O$1000,$AH8),INDEX('Cronograma R. Normativo'!$O$5:$O$1000,$AH8),INDEX('Cronograma R. Financiero'!$O$5:$O$1000,$AH8),INDEX('Cronograma Asistente Técnico'!$O$5:$O$1000,$AH8))&amp;"",IF(ISNUMBER($G8),IF(AND(ISNUMBER($AN8),$G8&gt;$AN8),"Cumplida con "&amp;($G8-$AN8)&amp;IF($G8-$AN8=1," día"," días")&amp;" de retraso","Cumplida"),IF(N($M8)&gt;=1,"Cumplida",IF(NOT(ISNUMBER($AN8)),"Sin fecha límite",IF($AN8&lt;FechaRef,"Vencida hace "&amp;(FechaRef-$AN8)&amp;IF(FechaRef-$AN8=1," día"," días"),IF($AN8=FechaRef,"Vence hoy",IF($AN8-FechaRef&lt;=DiasAlerta,"Vence en "&amp;($AN8-FechaRef)&amp;IF($AN8-FechaRef=1," día"," días"),"En plazo"))))))))</f>
        <v/>
      </c>
      <c r="P8" s="62">
        <f>IF(NOT((COUNTA($B8:$D8)+COUNTA($G8:$L8)+COUNTA($Q8))&gt;0),"",IF($D8="","Propia",IF($V8&lt;&gt;"Macro","Solo se delegan macroactividades",IF(N($AH8)&gt;0,"✔ Recibida por "&amp;$D8,"⚠ "&amp;$D8&amp;" aún no la agrega"))))</f>
        <v/>
      </c>
      <c r="Q8" s="58" t="n"/>
      <c r="R8" s="63">
        <f>IF(NOT((COUNTA($B8:$D8)+COUNTA($G8:$L8)+COUNTA($Q8))&gt;0),"",IF((IF($C8="","Falta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",""))="","✔ OK","⚠ "&amp;LEFT(IF($C8="","Falta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",""),LEN(IF($C8="","Falta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",""))-3)))</f>
        <v/>
      </c>
      <c r="S8" s="64">
        <f>IF(NOT((COUNTA($B8:$D8)+COUNTA($G8:$L8)+COUNTA($Q8))&gt;0),"",IF(AND($V8="Sub",N($U8)&gt;0),IF(ISNUMBER(INDEX($AM$5:$AM$1000,$U8-4)),DATE(YEAR(INDEX($AM$5:$AM$1000,$U8-4)),MONTH(INDEX($AM$5:$AM$1000,$U8-4)),1),IF(ISNUMBER(INDEX($AN$5:$AN$1000,$U8-4)),DATE(YEAR(INDEX($AN$5:$AN$1000,$U8-4)),MONTH(INDEX($AN$5:$AN$1000,$U8-4)),1),MesCiclo)),IF(ISNUMBER($AM8),DATE(YEAR($AM8),MONTH($AM8),1),IF(ISNUMBER($AN8),DATE(YEAR($AN8),MONTH($AN8),1),MesCiclo))))</f>
        <v/>
      </c>
      <c r="T8" s="62">
        <f>IF(OR($S8="",$S8&lt;&gt;MesCiclo),"",COUNTIF($S$5:$S8,MesCiclo))</f>
        <v/>
      </c>
      <c r="U8" s="62">
        <f>IF($V8="","",IF($V8="Macro",ROW(),IFERROR(LOOKUP(2,1/($V$5:$V8="Macro"),ROW($V$5:$V8)),0)))</f>
        <v/>
      </c>
      <c r="V8" s="62">
        <f>IF(NOT((COUNTA($B8:$D8)+COUNTA($G8:$L8)+COUNTA($Q8))&gt;0),"",IF($B8="Subactividad","Sub","Macro"))</f>
        <v/>
      </c>
      <c r="W8" s="62">
        <f>IF($V8="Macro",COUNTIFS($U$5:$U$1000,ROW(),$V$5:$V$1000,"Sub"),"")</f>
        <v/>
      </c>
      <c r="X8" s="62">
        <f>IF($V8="","",IF(ISNUMBER($G8),1,IFERROR(LOOKUP(2,1/($I8:$L8&lt;&gt;""),$I8:$L8),0)))</f>
        <v/>
      </c>
      <c r="Y8" s="62">
        <f>IF($V8="","",IF(AND(ISNUMBER($G8),$G8&lt;=IF($S8=MesCiclo,InicioCiclo,$S8+MOD(2-WEEKDAY($S8),7))+6),1,IF(ISNUMBER($I8),$I8,0)))</f>
        <v/>
      </c>
      <c r="Z8" s="62">
        <f>IF($V8="","",IF(AND(ISNUMBER($G8),$G8&lt;=IF($S8=MesCiclo,InicioCiclo,$S8+MOD(2-WEEKDAY($S8),7))+13),1,IF(ISNUMBER($J8),$J8,$Y8)))</f>
        <v/>
      </c>
      <c r="AA8" s="62">
        <f>IF($V8="","",IF(AND(ISNUMBER($G8),$G8&lt;=IF($S8=MesCiclo,InicioCiclo,$S8+MOD(2-WEEKDAY($S8),7))+20),1,IF(ISNUMBER($K8),$K8,$Z8)))</f>
        <v/>
      </c>
      <c r="AB8" s="62">
        <f>IF($V8="","",IF(AND(ISNUMBER($G8),$G8&lt;=IF($S8=MesCiclo,InicioCiclo,$S8+MOD(2-WEEKDAY($S8),7))+27),1,IF(ISNUMBER($L8),$L8,$AA8)))</f>
        <v/>
      </c>
      <c r="AC8" s="62">
        <f>IF($V8="","",IF(AND(ISNUMBER($G8),$G8&lt;=IF($S8=MesCiclo,InicioCiclo,$S8+MOD(2-WEEKDAY($S8),7))+6),1,IF(N($W8)&gt;0,AVERAGEIFS($Y$5:$Y$1000,$U$5:$U$1000,ROW(),$V$5:$V$1000,"Sub"),$Y8)))</f>
        <v/>
      </c>
      <c r="AD8" s="62">
        <f>IF($V8="","",IF(AND(ISNUMBER($G8),$G8&lt;=IF($S8=MesCiclo,InicioCiclo,$S8+MOD(2-WEEKDAY($S8),7))+13),1,IF(N($W8)&gt;0,AVERAGEIFS($Z$5:$Z$1000,$U$5:$U$1000,ROW(),$V$5:$V$1000,"Sub"),$Z8)))</f>
        <v/>
      </c>
      <c r="AE8" s="62">
        <f>IF($V8="","",IF(AND(ISNUMBER($G8),$G8&lt;=IF($S8=MesCiclo,InicioCiclo,$S8+MOD(2-WEEKDAY($S8),7))+20),1,IF(N($W8)&gt;0,AVERAGEIFS($AA$5:$AA$1000,$U$5:$U$1000,ROW(),$V$5:$V$1000,"Sub"),$AA8)))</f>
        <v/>
      </c>
      <c r="AF8" s="62">
        <f>IF($V8="","",IF(AND(ISNUMBER($G8),$G8&lt;=IF($S8=MesCiclo,InicioCiclo,$S8+MOD(2-WEEKDAY($S8),7))+27),1,IF(N($W8)&gt;0,AVERAGEIFS($AB$5:$AB$1000,$U$5:$U$1000,ROW(),$V$5:$V$1000,"Sub"),$AB8)))</f>
        <v/>
      </c>
      <c r="AG8" s="62">
        <f>IF($V8&lt;&gt;"Macro","",IF(COUNTIFS($S$5:$S$1000,$S8,$V$5:$V$1000,"Macro",$H$5:$H$1000,"&gt;0")=0,1/COUNTIFS($S$5:$S$1000,$S8,$V$5:$V$1000,"Macro"),IF(AND(ISNUMBER($H8),N($H8)&gt;0),$H8,SUMIFS($H$5:$H$1000,$S$5:$S$1000,$S8,$V$5:$V$1000,"Macro")/COUNTIFS($S$5:$S$1000,$S8,$V$5:$V$1000,"Macro",$H$5:$H$1000,"&gt;0"))/(COUNTIFS($S$5:$S$1000,$S8,$V$5:$V$1000,"Macro")*SUMIFS($H$5:$H$1000,$S$5:$S$1000,$S8,$V$5:$V$1000,"Macro")/COUNTIFS($S$5:$S$1000,$S8,$V$5:$V$1000,"Macro",$H$5:$H$1000,"&gt;0"))))</f>
        <v/>
      </c>
      <c r="AH8" s="62">
        <f>IF(NOT(AND($D8&lt;&gt;"",$V8="Macro")),"",IFERROR(CHOOSE(MATCH($D8,ListaPuestos,0),MATCH("[Jefatura] "&amp;$C8,'Cronograma R. Operacional'!$C$5:$C$1000,0),MATCH("[Jefatura] "&amp;$C8,'Cronograma R. Normativo'!$C$5:$C$1000,0),MATCH("[Jefatura] "&amp;$C8,'Cronograma R. Financiero'!$C$5:$C$1000,0),MATCH("[Jefatura] "&amp;$C8,'Cronograma Asistente Técnico'!$C$5:$C$1000,0)),0))</f>
        <v/>
      </c>
      <c r="AI8" s="62">
        <f>IF(AND(AND($D8&lt;&gt;"",$V8="Macro"),$S8=MesCiclo),COUNTIFS($D$5:$D8,$D8,$S$5:$S8,MesCiclo,$V$5:$V8,"Macro"),"")</f>
        <v/>
      </c>
      <c r="AJ8" s="62">
        <f>IF($AI8="","",$D8&amp;"|"&amp;$AI8)</f>
        <v/>
      </c>
      <c r="AK8" s="62">
        <f>IF(AND($D8&lt;&gt;"",$V8="Macro"),$D8&amp;"|"&amp;$C8,"")</f>
        <v/>
      </c>
      <c r="AL8" s="62">
        <f>""</f>
        <v/>
      </c>
      <c r="AM8" s="62">
        <f>IF(N($AL8)&gt;0,INDEX(rIni_ADM,$AL8),IF(ISNUMBER($E8),$E8,""))</f>
        <v/>
      </c>
      <c r="AN8" s="62">
        <f>IF(N($AL8)&gt;0,INDEX(rLim_ADM,$AL8),IF(ISNUMBER($F8),$F8,""))</f>
        <v/>
      </c>
    </row>
    <row r="9">
      <c r="A9" s="56">
        <f>IF(NOT((COUNTA($B9:$D9)+COUNTA($G9:$L9)+COUNTA($Q9))&gt;0),"",IF($V9="Macro",COUNTIFS($V$5:$V9,"Macro",$S$5:$S9,$S9),IF(N($U9)=0,"?",COUNTIFS(INDEX($V$5:$V$1000,1):INDEX($V$5:$V$1000,$U9-4),"Macro",INDEX($S$5:$S$1000,1):INDEX($S$5:$S$1000,$U9-4),INDEX($S$5:$S$1000,$U9-4))&amp;"."&amp;COUNTIFS($U$5:$U9,$U9,$V$5:$V9,"Sub"))))</f>
        <v/>
      </c>
      <c r="B9" s="57" t="n"/>
      <c r="C9" s="58" t="n"/>
      <c r="D9" s="58" t="n"/>
      <c r="E9" s="59" t="n"/>
      <c r="F9" s="59" t="n"/>
      <c r="G9" s="59" t="n"/>
      <c r="H9" s="60" t="n"/>
      <c r="I9" s="60" t="n"/>
      <c r="J9" s="60" t="n"/>
      <c r="K9" s="60" t="n"/>
      <c r="L9" s="60" t="n"/>
      <c r="M9" s="61">
        <f>IF(NOT((COUNTA($B9:$D9)+COUNTA($G9:$L9)+COUNTA($Q9))&gt;0),"",IF(AND($D9&lt;&gt;"",$V9="Macro"),IF(N($AH9)&gt;0,N(CHOOSE(MATCH($D9,ListaPuestos,0),INDEX('Cronograma R. Operacional'!$M$5:$M$1000,$AH9),INDEX('Cronograma R. Normativo'!$M$5:$M$1000,$AH9),INDEX('Cronograma R. Financiero'!$M$5:$M$1000,$AH9),INDEX('Cronograma Asistente Técnico'!$M$5:$M$1000,$AH9))),0),IF(ISNUMBER($G9),1,IF(N($W9)&gt;0,AVERAGEIFS($X$5:$X$1000,$U$5:$U$1000,ROW(),$V$5:$V$1000,"Sub"),$X9))))</f>
        <v/>
      </c>
      <c r="N9" s="56">
        <f>IF($M9="","",IF($M9&gt;=1,"Completado",IF($M9&gt;0,"En curso","Pendiente")))</f>
        <v/>
      </c>
      <c r="O9" s="56">
        <f>IF(NOT((COUNTA($B9:$D9)+COUNTA($G9:$L9)+COUNTA($Q9))&gt;0),"",IF(AND(AND($D9&lt;&gt;"",$V9="Macro"),N($AH9)&gt;0),CHOOSE(MATCH($D9,ListaPuestos,0),INDEX('Cronograma R. Operacional'!$O$5:$O$1000,$AH9),INDEX('Cronograma R. Normativo'!$O$5:$O$1000,$AH9),INDEX('Cronograma R. Financiero'!$O$5:$O$1000,$AH9),INDEX('Cronograma Asistente Técnico'!$O$5:$O$1000,$AH9))&amp;"",IF(ISNUMBER($G9),IF(AND(ISNUMBER($AN9),$G9&gt;$AN9),"Cumplida con "&amp;($G9-$AN9)&amp;IF($G9-$AN9=1," día"," días")&amp;" de retraso","Cumplida"),IF(N($M9)&gt;=1,"Cumplida",IF(NOT(ISNUMBER($AN9)),"Sin fecha límite",IF($AN9&lt;FechaRef,"Vencida hace "&amp;(FechaRef-$AN9)&amp;IF(FechaRef-$AN9=1," día"," días"),IF($AN9=FechaRef,"Vence hoy",IF($AN9-FechaRef&lt;=DiasAlerta,"Vence en "&amp;($AN9-FechaRef)&amp;IF($AN9-FechaRef=1," día"," días"),"En plazo"))))))))</f>
        <v/>
      </c>
      <c r="P9" s="62">
        <f>IF(NOT((COUNTA($B9:$D9)+COUNTA($G9:$L9)+COUNTA($Q9))&gt;0),"",IF($D9="","Propia",IF($V9&lt;&gt;"Macro","Solo se delegan macroactividades",IF(N($AH9)&gt;0,"✔ Recibida por "&amp;$D9,"⚠ "&amp;$D9&amp;" aún no la agrega"))))</f>
        <v/>
      </c>
      <c r="Q9" s="58" t="n"/>
      <c r="R9" s="63">
        <f>IF(NOT((COUNTA($B9:$D9)+COUNTA($G9:$L9)+COUNTA($Q9))&gt;0),"",IF((IF($C9="","Falta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",""))="","✔ OK","⚠ "&amp;LEFT(IF($C9="","Falta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",""),LEN(IF($C9="","Falta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",""))-3)))</f>
        <v/>
      </c>
      <c r="S9" s="64">
        <f>IF(NOT((COUNTA($B9:$D9)+COUNTA($G9:$L9)+COUNTA($Q9))&gt;0),"",IF(AND($V9="Sub",N($U9)&gt;0),IF(ISNUMBER(INDEX($AM$5:$AM$1000,$U9-4)),DATE(YEAR(INDEX($AM$5:$AM$1000,$U9-4)),MONTH(INDEX($AM$5:$AM$1000,$U9-4)),1),IF(ISNUMBER(INDEX($AN$5:$AN$1000,$U9-4)),DATE(YEAR(INDEX($AN$5:$AN$1000,$U9-4)),MONTH(INDEX($AN$5:$AN$1000,$U9-4)),1),MesCiclo)),IF(ISNUMBER($AM9),DATE(YEAR($AM9),MONTH($AM9),1),IF(ISNUMBER($AN9),DATE(YEAR($AN9),MONTH($AN9),1),MesCiclo))))</f>
        <v/>
      </c>
      <c r="T9" s="62">
        <f>IF(OR($S9="",$S9&lt;&gt;MesCiclo),"",COUNTIF($S$5:$S9,MesCiclo))</f>
        <v/>
      </c>
      <c r="U9" s="62">
        <f>IF($V9="","",IF($V9="Macro",ROW(),IFERROR(LOOKUP(2,1/($V$5:$V9="Macro"),ROW($V$5:$V9)),0)))</f>
        <v/>
      </c>
      <c r="V9" s="62">
        <f>IF(NOT((COUNTA($B9:$D9)+COUNTA($G9:$L9)+COUNTA($Q9))&gt;0),"",IF($B9="Subactividad","Sub","Macro"))</f>
        <v/>
      </c>
      <c r="W9" s="62">
        <f>IF($V9="Macro",COUNTIFS($U$5:$U$1000,ROW(),$V$5:$V$1000,"Sub"),"")</f>
        <v/>
      </c>
      <c r="X9" s="62">
        <f>IF($V9="","",IF(ISNUMBER($G9),1,IFERROR(LOOKUP(2,1/($I9:$L9&lt;&gt;""),$I9:$L9),0)))</f>
        <v/>
      </c>
      <c r="Y9" s="62">
        <f>IF($V9="","",IF(AND(ISNUMBER($G9),$G9&lt;=IF($S9=MesCiclo,InicioCiclo,$S9+MOD(2-WEEKDAY($S9),7))+6),1,IF(ISNUMBER($I9),$I9,0)))</f>
        <v/>
      </c>
      <c r="Z9" s="62">
        <f>IF($V9="","",IF(AND(ISNUMBER($G9),$G9&lt;=IF($S9=MesCiclo,InicioCiclo,$S9+MOD(2-WEEKDAY($S9),7))+13),1,IF(ISNUMBER($J9),$J9,$Y9)))</f>
        <v/>
      </c>
      <c r="AA9" s="62">
        <f>IF($V9="","",IF(AND(ISNUMBER($G9),$G9&lt;=IF($S9=MesCiclo,InicioCiclo,$S9+MOD(2-WEEKDAY($S9),7))+20),1,IF(ISNUMBER($K9),$K9,$Z9)))</f>
        <v/>
      </c>
      <c r="AB9" s="62">
        <f>IF($V9="","",IF(AND(ISNUMBER($G9),$G9&lt;=IF($S9=MesCiclo,InicioCiclo,$S9+MOD(2-WEEKDAY($S9),7))+27),1,IF(ISNUMBER($L9),$L9,$AA9)))</f>
        <v/>
      </c>
      <c r="AC9" s="62">
        <f>IF($V9="","",IF(AND(ISNUMBER($G9),$G9&lt;=IF($S9=MesCiclo,InicioCiclo,$S9+MOD(2-WEEKDAY($S9),7))+6),1,IF(N($W9)&gt;0,AVERAGEIFS($Y$5:$Y$1000,$U$5:$U$1000,ROW(),$V$5:$V$1000,"Sub"),$Y9)))</f>
        <v/>
      </c>
      <c r="AD9" s="62">
        <f>IF($V9="","",IF(AND(ISNUMBER($G9),$G9&lt;=IF($S9=MesCiclo,InicioCiclo,$S9+MOD(2-WEEKDAY($S9),7))+13),1,IF(N($W9)&gt;0,AVERAGEIFS($Z$5:$Z$1000,$U$5:$U$1000,ROW(),$V$5:$V$1000,"Sub"),$Z9)))</f>
        <v/>
      </c>
      <c r="AE9" s="62">
        <f>IF($V9="","",IF(AND(ISNUMBER($G9),$G9&lt;=IF($S9=MesCiclo,InicioCiclo,$S9+MOD(2-WEEKDAY($S9),7))+20),1,IF(N($W9)&gt;0,AVERAGEIFS($AA$5:$AA$1000,$U$5:$U$1000,ROW(),$V$5:$V$1000,"Sub"),$AA9)))</f>
        <v/>
      </c>
      <c r="AF9" s="62">
        <f>IF($V9="","",IF(AND(ISNUMBER($G9),$G9&lt;=IF($S9=MesCiclo,InicioCiclo,$S9+MOD(2-WEEKDAY($S9),7))+27),1,IF(N($W9)&gt;0,AVERAGEIFS($AB$5:$AB$1000,$U$5:$U$1000,ROW(),$V$5:$V$1000,"Sub"),$AB9)))</f>
        <v/>
      </c>
      <c r="AG9" s="62">
        <f>IF($V9&lt;&gt;"Macro","",IF(COUNTIFS($S$5:$S$1000,$S9,$V$5:$V$1000,"Macro",$H$5:$H$1000,"&gt;0")=0,1/COUNTIFS($S$5:$S$1000,$S9,$V$5:$V$1000,"Macro"),IF(AND(ISNUMBER($H9),N($H9)&gt;0),$H9,SUMIFS($H$5:$H$1000,$S$5:$S$1000,$S9,$V$5:$V$1000,"Macro")/COUNTIFS($S$5:$S$1000,$S9,$V$5:$V$1000,"Macro",$H$5:$H$1000,"&gt;0"))/(COUNTIFS($S$5:$S$1000,$S9,$V$5:$V$1000,"Macro")*SUMIFS($H$5:$H$1000,$S$5:$S$1000,$S9,$V$5:$V$1000,"Macro")/COUNTIFS($S$5:$S$1000,$S9,$V$5:$V$1000,"Macro",$H$5:$H$1000,"&gt;0"))))</f>
        <v/>
      </c>
      <c r="AH9" s="62">
        <f>IF(NOT(AND($D9&lt;&gt;"",$V9="Macro")),"",IFERROR(CHOOSE(MATCH($D9,ListaPuestos,0),MATCH("[Jefatura] "&amp;$C9,'Cronograma R. Operacional'!$C$5:$C$1000,0),MATCH("[Jefatura] "&amp;$C9,'Cronograma R. Normativo'!$C$5:$C$1000,0),MATCH("[Jefatura] "&amp;$C9,'Cronograma R. Financiero'!$C$5:$C$1000,0),MATCH("[Jefatura] "&amp;$C9,'Cronograma Asistente Técnico'!$C$5:$C$1000,0)),0))</f>
        <v/>
      </c>
      <c r="AI9" s="62">
        <f>IF(AND(AND($D9&lt;&gt;"",$V9="Macro"),$S9=MesCiclo),COUNTIFS($D$5:$D9,$D9,$S$5:$S9,MesCiclo,$V$5:$V9,"Macro"),"")</f>
        <v/>
      </c>
      <c r="AJ9" s="62">
        <f>IF($AI9="","",$D9&amp;"|"&amp;$AI9)</f>
        <v/>
      </c>
      <c r="AK9" s="62">
        <f>IF(AND($D9&lt;&gt;"",$V9="Macro"),$D9&amp;"|"&amp;$C9,"")</f>
        <v/>
      </c>
      <c r="AL9" s="62">
        <f>""</f>
        <v/>
      </c>
      <c r="AM9" s="62">
        <f>IF(N($AL9)&gt;0,INDEX(rIni_ADM,$AL9),IF(ISNUMBER($E9),$E9,""))</f>
        <v/>
      </c>
      <c r="AN9" s="62">
        <f>IF(N($AL9)&gt;0,INDEX(rLim_ADM,$AL9),IF(ISNUMBER($F9),$F9,""))</f>
        <v/>
      </c>
    </row>
    <row r="10">
      <c r="A10" s="56">
        <f>IF(NOT((COUNTA($B10:$D10)+COUNTA($G10:$L10)+COUNTA($Q10))&gt;0),"",IF($V10="Macro",COUNTIFS($V$5:$V10,"Macro",$S$5:$S10,$S10),IF(N($U10)=0,"?",COUNTIFS(INDEX($V$5:$V$1000,1):INDEX($V$5:$V$1000,$U10-4),"Macro",INDEX($S$5:$S$1000,1):INDEX($S$5:$S$1000,$U10-4),INDEX($S$5:$S$1000,$U10-4))&amp;"."&amp;COUNTIFS($U$5:$U10,$U10,$V$5:$V10,"Sub"))))</f>
        <v/>
      </c>
      <c r="B10" s="57" t="n"/>
      <c r="C10" s="58" t="n"/>
      <c r="D10" s="58" t="n"/>
      <c r="E10" s="59" t="n"/>
      <c r="F10" s="59" t="n"/>
      <c r="G10" s="59" t="n"/>
      <c r="H10" s="60" t="n"/>
      <c r="I10" s="60" t="n"/>
      <c r="J10" s="60" t="n"/>
      <c r="K10" s="60" t="n"/>
      <c r="L10" s="60" t="n"/>
      <c r="M10" s="61">
        <f>IF(NOT((COUNTA($B10:$D10)+COUNTA($G10:$L10)+COUNTA($Q10))&gt;0),"",IF(AND($D10&lt;&gt;"",$V10="Macro"),IF(N($AH10)&gt;0,N(CHOOSE(MATCH($D10,ListaPuestos,0),INDEX('Cronograma R. Operacional'!$M$5:$M$1000,$AH10),INDEX('Cronograma R. Normativo'!$M$5:$M$1000,$AH10),INDEX('Cronograma R. Financiero'!$M$5:$M$1000,$AH10),INDEX('Cronograma Asistente Técnico'!$M$5:$M$1000,$AH10))),0),IF(ISNUMBER($G10),1,IF(N($W10)&gt;0,AVERAGEIFS($X$5:$X$1000,$U$5:$U$1000,ROW(),$V$5:$V$1000,"Sub"),$X10))))</f>
        <v/>
      </c>
      <c r="N10" s="56">
        <f>IF($M10="","",IF($M10&gt;=1,"Completado",IF($M10&gt;0,"En curso","Pendiente")))</f>
        <v/>
      </c>
      <c r="O10" s="56">
        <f>IF(NOT((COUNTA($B10:$D10)+COUNTA($G10:$L10)+COUNTA($Q10))&gt;0),"",IF(AND(AND($D10&lt;&gt;"",$V10="Macro"),N($AH10)&gt;0),CHOOSE(MATCH($D10,ListaPuestos,0),INDEX('Cronograma R. Operacional'!$O$5:$O$1000,$AH10),INDEX('Cronograma R. Normativo'!$O$5:$O$1000,$AH10),INDEX('Cronograma R. Financiero'!$O$5:$O$1000,$AH10),INDEX('Cronograma Asistente Técnico'!$O$5:$O$1000,$AH10))&amp;"",IF(ISNUMBER($G10),IF(AND(ISNUMBER($AN10),$G10&gt;$AN10),"Cumplida con "&amp;($G10-$AN10)&amp;IF($G10-$AN10=1," día"," días")&amp;" de retraso","Cumplida"),IF(N($M10)&gt;=1,"Cumplida",IF(NOT(ISNUMBER($AN10)),"Sin fecha límite",IF($AN10&lt;FechaRef,"Vencida hace "&amp;(FechaRef-$AN10)&amp;IF(FechaRef-$AN10=1," día"," días"),IF($AN10=FechaRef,"Vence hoy",IF($AN10-FechaRef&lt;=DiasAlerta,"Vence en "&amp;($AN10-FechaRef)&amp;IF($AN10-FechaRef=1," día"," días"),"En plazo"))))))))</f>
        <v/>
      </c>
      <c r="P10" s="62">
        <f>IF(NOT((COUNTA($B10:$D10)+COUNTA($G10:$L10)+COUNTA($Q10))&gt;0),"",IF($D10="","Propia",IF($V10&lt;&gt;"Macro","Solo se delegan macroactividades",IF(N($AH10)&gt;0,"✔ Recibida por "&amp;$D10,"⚠ "&amp;$D10&amp;" aún no la agrega"))))</f>
        <v/>
      </c>
      <c r="Q10" s="58" t="n"/>
      <c r="R10" s="63">
        <f>IF(NOT((COUNTA($B10:$D10)+COUNTA($G10:$L10)+COUNTA($Q10))&gt;0),"",IF((IF($C10="","Falta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",""))="","✔ OK","⚠ "&amp;LEFT(IF($C10="","Falta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",""),LEN(IF($C10="","Falta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",""))-3)))</f>
        <v/>
      </c>
      <c r="S10" s="64">
        <f>IF(NOT((COUNTA($B10:$D10)+COUNTA($G10:$L10)+COUNTA($Q10))&gt;0),"",IF(AND($V10="Sub",N($U10)&gt;0),IF(ISNUMBER(INDEX($AM$5:$AM$1000,$U10-4)),DATE(YEAR(INDEX($AM$5:$AM$1000,$U10-4)),MONTH(INDEX($AM$5:$AM$1000,$U10-4)),1),IF(ISNUMBER(INDEX($AN$5:$AN$1000,$U10-4)),DATE(YEAR(INDEX($AN$5:$AN$1000,$U10-4)),MONTH(INDEX($AN$5:$AN$1000,$U10-4)),1),MesCiclo)),IF(ISNUMBER($AM10),DATE(YEAR($AM10),MONTH($AM10),1),IF(ISNUMBER($AN10),DATE(YEAR($AN10),MONTH($AN10),1),MesCiclo))))</f>
        <v/>
      </c>
      <c r="T10" s="62">
        <f>IF(OR($S10="",$S10&lt;&gt;MesCiclo),"",COUNTIF($S$5:$S10,MesCiclo))</f>
        <v/>
      </c>
      <c r="U10" s="62">
        <f>IF($V10="","",IF($V10="Macro",ROW(),IFERROR(LOOKUP(2,1/($V$5:$V10="Macro"),ROW($V$5:$V10)),0)))</f>
        <v/>
      </c>
      <c r="V10" s="62">
        <f>IF(NOT((COUNTA($B10:$D10)+COUNTA($G10:$L10)+COUNTA($Q10))&gt;0),"",IF($B10="Subactividad","Sub","Macro"))</f>
        <v/>
      </c>
      <c r="W10" s="62">
        <f>IF($V10="Macro",COUNTIFS($U$5:$U$1000,ROW(),$V$5:$V$1000,"Sub"),"")</f>
        <v/>
      </c>
      <c r="X10" s="62">
        <f>IF($V10="","",IF(ISNUMBER($G10),1,IFERROR(LOOKUP(2,1/($I10:$L10&lt;&gt;""),$I10:$L10),0)))</f>
        <v/>
      </c>
      <c r="Y10" s="62">
        <f>IF($V10="","",IF(AND(ISNUMBER($G10),$G10&lt;=IF($S10=MesCiclo,InicioCiclo,$S10+MOD(2-WEEKDAY($S10),7))+6),1,IF(ISNUMBER($I10),$I10,0)))</f>
        <v/>
      </c>
      <c r="Z10" s="62">
        <f>IF($V10="","",IF(AND(ISNUMBER($G10),$G10&lt;=IF($S10=MesCiclo,InicioCiclo,$S10+MOD(2-WEEKDAY($S10),7))+13),1,IF(ISNUMBER($J10),$J10,$Y10)))</f>
        <v/>
      </c>
      <c r="AA10" s="62">
        <f>IF($V10="","",IF(AND(ISNUMBER($G10),$G10&lt;=IF($S10=MesCiclo,InicioCiclo,$S10+MOD(2-WEEKDAY($S10),7))+20),1,IF(ISNUMBER($K10),$K10,$Z10)))</f>
        <v/>
      </c>
      <c r="AB10" s="62">
        <f>IF($V10="","",IF(AND(ISNUMBER($G10),$G10&lt;=IF($S10=MesCiclo,InicioCiclo,$S10+MOD(2-WEEKDAY($S10),7))+27),1,IF(ISNUMBER($L10),$L10,$AA10)))</f>
        <v/>
      </c>
      <c r="AC10" s="62">
        <f>IF($V10="","",IF(AND(ISNUMBER($G10),$G10&lt;=IF($S10=MesCiclo,InicioCiclo,$S10+MOD(2-WEEKDAY($S10),7))+6),1,IF(N($W10)&gt;0,AVERAGEIFS($Y$5:$Y$1000,$U$5:$U$1000,ROW(),$V$5:$V$1000,"Sub"),$Y10)))</f>
        <v/>
      </c>
      <c r="AD10" s="62">
        <f>IF($V10="","",IF(AND(ISNUMBER($G10),$G10&lt;=IF($S10=MesCiclo,InicioCiclo,$S10+MOD(2-WEEKDAY($S10),7))+13),1,IF(N($W10)&gt;0,AVERAGEIFS($Z$5:$Z$1000,$U$5:$U$1000,ROW(),$V$5:$V$1000,"Sub"),$Z10)))</f>
        <v/>
      </c>
      <c r="AE10" s="62">
        <f>IF($V10="","",IF(AND(ISNUMBER($G10),$G10&lt;=IF($S10=MesCiclo,InicioCiclo,$S10+MOD(2-WEEKDAY($S10),7))+20),1,IF(N($W10)&gt;0,AVERAGEIFS($AA$5:$AA$1000,$U$5:$U$1000,ROW(),$V$5:$V$1000,"Sub"),$AA10)))</f>
        <v/>
      </c>
      <c r="AF10" s="62">
        <f>IF($V10="","",IF(AND(ISNUMBER($G10),$G10&lt;=IF($S10=MesCiclo,InicioCiclo,$S10+MOD(2-WEEKDAY($S10),7))+27),1,IF(N($W10)&gt;0,AVERAGEIFS($AB$5:$AB$1000,$U$5:$U$1000,ROW(),$V$5:$V$1000,"Sub"),$AB10)))</f>
        <v/>
      </c>
      <c r="AG10" s="62">
        <f>IF($V10&lt;&gt;"Macro","",IF(COUNTIFS($S$5:$S$1000,$S10,$V$5:$V$1000,"Macro",$H$5:$H$1000,"&gt;0")=0,1/COUNTIFS($S$5:$S$1000,$S10,$V$5:$V$1000,"Macro"),IF(AND(ISNUMBER($H10),N($H10)&gt;0),$H10,SUMIFS($H$5:$H$1000,$S$5:$S$1000,$S10,$V$5:$V$1000,"Macro")/COUNTIFS($S$5:$S$1000,$S10,$V$5:$V$1000,"Macro",$H$5:$H$1000,"&gt;0"))/(COUNTIFS($S$5:$S$1000,$S10,$V$5:$V$1000,"Macro")*SUMIFS($H$5:$H$1000,$S$5:$S$1000,$S10,$V$5:$V$1000,"Macro")/COUNTIFS($S$5:$S$1000,$S10,$V$5:$V$1000,"Macro",$H$5:$H$1000,"&gt;0"))))</f>
        <v/>
      </c>
      <c r="AH10" s="62">
        <f>IF(NOT(AND($D10&lt;&gt;"",$V10="Macro")),"",IFERROR(CHOOSE(MATCH($D10,ListaPuestos,0),MATCH("[Jefatura] "&amp;$C10,'Cronograma R. Operacional'!$C$5:$C$1000,0),MATCH("[Jefatura] "&amp;$C10,'Cronograma R. Normativo'!$C$5:$C$1000,0),MATCH("[Jefatura] "&amp;$C10,'Cronograma R. Financiero'!$C$5:$C$1000,0),MATCH("[Jefatura] "&amp;$C10,'Cronograma Asistente Técnico'!$C$5:$C$1000,0)),0))</f>
        <v/>
      </c>
      <c r="AI10" s="62">
        <f>IF(AND(AND($D10&lt;&gt;"",$V10="Macro"),$S10=MesCiclo),COUNTIFS($D$5:$D10,$D10,$S$5:$S10,MesCiclo,$V$5:$V10,"Macro"),"")</f>
        <v/>
      </c>
      <c r="AJ10" s="62">
        <f>IF($AI10="","",$D10&amp;"|"&amp;$AI10)</f>
        <v/>
      </c>
      <c r="AK10" s="62">
        <f>IF(AND($D10&lt;&gt;"",$V10="Macro"),$D10&amp;"|"&amp;$C10,"")</f>
        <v/>
      </c>
      <c r="AL10" s="62">
        <f>""</f>
        <v/>
      </c>
      <c r="AM10" s="62">
        <f>IF(N($AL10)&gt;0,INDEX(rIni_ADM,$AL10),IF(ISNUMBER($E10),$E10,""))</f>
        <v/>
      </c>
      <c r="AN10" s="62">
        <f>IF(N($AL10)&gt;0,INDEX(rLim_ADM,$AL10),IF(ISNUMBER($F10),$F10,""))</f>
        <v/>
      </c>
    </row>
    <row r="11">
      <c r="A11" s="56">
        <f>IF(NOT((COUNTA($B11:$D11)+COUNTA($G11:$L11)+COUNTA($Q11))&gt;0),"",IF($V11="Macro",COUNTIFS($V$5:$V11,"Macro",$S$5:$S11,$S11),IF(N($U11)=0,"?",COUNTIFS(INDEX($V$5:$V$1000,1):INDEX($V$5:$V$1000,$U11-4),"Macro",INDEX($S$5:$S$1000,1):INDEX($S$5:$S$1000,$U11-4),INDEX($S$5:$S$1000,$U11-4))&amp;"."&amp;COUNTIFS($U$5:$U11,$U11,$V$5:$V11,"Sub"))))</f>
        <v/>
      </c>
      <c r="B11" s="57" t="n"/>
      <c r="C11" s="58" t="n"/>
      <c r="D11" s="58" t="n"/>
      <c r="E11" s="59" t="n"/>
      <c r="F11" s="59" t="n"/>
      <c r="G11" s="59" t="n"/>
      <c r="H11" s="60" t="n"/>
      <c r="I11" s="60" t="n"/>
      <c r="J11" s="60" t="n"/>
      <c r="K11" s="60" t="n"/>
      <c r="L11" s="60" t="n"/>
      <c r="M11" s="61">
        <f>IF(NOT((COUNTA($B11:$D11)+COUNTA($G11:$L11)+COUNTA($Q11))&gt;0),"",IF(AND($D11&lt;&gt;"",$V11="Macro"),IF(N($AH11)&gt;0,N(CHOOSE(MATCH($D11,ListaPuestos,0),INDEX('Cronograma R. Operacional'!$M$5:$M$1000,$AH11),INDEX('Cronograma R. Normativo'!$M$5:$M$1000,$AH11),INDEX('Cronograma R. Financiero'!$M$5:$M$1000,$AH11),INDEX('Cronograma Asistente Técnico'!$M$5:$M$1000,$AH11))),0),IF(ISNUMBER($G11),1,IF(N($W11)&gt;0,AVERAGEIFS($X$5:$X$1000,$U$5:$U$1000,ROW(),$V$5:$V$1000,"Sub"),$X11))))</f>
        <v/>
      </c>
      <c r="N11" s="56">
        <f>IF($M11="","",IF($M11&gt;=1,"Completado",IF($M11&gt;0,"En curso","Pendiente")))</f>
        <v/>
      </c>
      <c r="O11" s="56">
        <f>IF(NOT((COUNTA($B11:$D11)+COUNTA($G11:$L11)+COUNTA($Q11))&gt;0),"",IF(AND(AND($D11&lt;&gt;"",$V11="Macro"),N($AH11)&gt;0),CHOOSE(MATCH($D11,ListaPuestos,0),INDEX('Cronograma R. Operacional'!$O$5:$O$1000,$AH11),INDEX('Cronograma R. Normativo'!$O$5:$O$1000,$AH11),INDEX('Cronograma R. Financiero'!$O$5:$O$1000,$AH11),INDEX('Cronograma Asistente Técnico'!$O$5:$O$1000,$AH11))&amp;"",IF(ISNUMBER($G11),IF(AND(ISNUMBER($AN11),$G11&gt;$AN11),"Cumplida con "&amp;($G11-$AN11)&amp;IF($G11-$AN11=1," día"," días")&amp;" de retraso","Cumplida"),IF(N($M11)&gt;=1,"Cumplida",IF(NOT(ISNUMBER($AN11)),"Sin fecha límite",IF($AN11&lt;FechaRef,"Vencida hace "&amp;(FechaRef-$AN11)&amp;IF(FechaRef-$AN11=1," día"," días"),IF($AN11=FechaRef,"Vence hoy",IF($AN11-FechaRef&lt;=DiasAlerta,"Vence en "&amp;($AN11-FechaRef)&amp;IF($AN11-FechaRef=1," día"," días"),"En plazo"))))))))</f>
        <v/>
      </c>
      <c r="P11" s="62">
        <f>IF(NOT((COUNTA($B11:$D11)+COUNTA($G11:$L11)+COUNTA($Q11))&gt;0),"",IF($D11="","Propia",IF($V11&lt;&gt;"Macro","Solo se delegan macroactividades",IF(N($AH11)&gt;0,"✔ Recibida por "&amp;$D11,"⚠ "&amp;$D11&amp;" aún no la agrega"))))</f>
        <v/>
      </c>
      <c r="Q11" s="58" t="n"/>
      <c r="R11" s="63">
        <f>IF(NOT((COUNTA($B11:$D11)+COUNTA($G11:$L11)+COUNTA($Q11))&gt;0),"",IF((IF($C11="","Falta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",""))="","✔ OK","⚠ "&amp;LEFT(IF($C11="","Falta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",""),LEN(IF($C11="","Falta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",""))-3)))</f>
        <v/>
      </c>
      <c r="S11" s="64">
        <f>IF(NOT((COUNTA($B11:$D11)+COUNTA($G11:$L11)+COUNTA($Q11))&gt;0),"",IF(AND($V11="Sub",N($U11)&gt;0),IF(ISNUMBER(INDEX($AM$5:$AM$1000,$U11-4)),DATE(YEAR(INDEX($AM$5:$AM$1000,$U11-4)),MONTH(INDEX($AM$5:$AM$1000,$U11-4)),1),IF(ISNUMBER(INDEX($AN$5:$AN$1000,$U11-4)),DATE(YEAR(INDEX($AN$5:$AN$1000,$U11-4)),MONTH(INDEX($AN$5:$AN$1000,$U11-4)),1),MesCiclo)),IF(ISNUMBER($AM11),DATE(YEAR($AM11),MONTH($AM11),1),IF(ISNUMBER($AN11),DATE(YEAR($AN11),MONTH($AN11),1),MesCiclo))))</f>
        <v/>
      </c>
      <c r="T11" s="62">
        <f>IF(OR($S11="",$S11&lt;&gt;MesCiclo),"",COUNTIF($S$5:$S11,MesCiclo))</f>
        <v/>
      </c>
      <c r="U11" s="62">
        <f>IF($V11="","",IF($V11="Macro",ROW(),IFERROR(LOOKUP(2,1/($V$5:$V11="Macro"),ROW($V$5:$V11)),0)))</f>
        <v/>
      </c>
      <c r="V11" s="62">
        <f>IF(NOT((COUNTA($B11:$D11)+COUNTA($G11:$L11)+COUNTA($Q11))&gt;0),"",IF($B11="Subactividad","Sub","Macro"))</f>
        <v/>
      </c>
      <c r="W11" s="62">
        <f>IF($V11="Macro",COUNTIFS($U$5:$U$1000,ROW(),$V$5:$V$1000,"Sub"),"")</f>
        <v/>
      </c>
      <c r="X11" s="62">
        <f>IF($V11="","",IF(ISNUMBER($G11),1,IFERROR(LOOKUP(2,1/($I11:$L11&lt;&gt;""),$I11:$L11),0)))</f>
        <v/>
      </c>
      <c r="Y11" s="62">
        <f>IF($V11="","",IF(AND(ISNUMBER($G11),$G11&lt;=IF($S11=MesCiclo,InicioCiclo,$S11+MOD(2-WEEKDAY($S11),7))+6),1,IF(ISNUMBER($I11),$I11,0)))</f>
        <v/>
      </c>
      <c r="Z11" s="62">
        <f>IF($V11="","",IF(AND(ISNUMBER($G11),$G11&lt;=IF($S11=MesCiclo,InicioCiclo,$S11+MOD(2-WEEKDAY($S11),7))+13),1,IF(ISNUMBER($J11),$J11,$Y11)))</f>
        <v/>
      </c>
      <c r="AA11" s="62">
        <f>IF($V11="","",IF(AND(ISNUMBER($G11),$G11&lt;=IF($S11=MesCiclo,InicioCiclo,$S11+MOD(2-WEEKDAY($S11),7))+20),1,IF(ISNUMBER($K11),$K11,$Z11)))</f>
        <v/>
      </c>
      <c r="AB11" s="62">
        <f>IF($V11="","",IF(AND(ISNUMBER($G11),$G11&lt;=IF($S11=MesCiclo,InicioCiclo,$S11+MOD(2-WEEKDAY($S11),7))+27),1,IF(ISNUMBER($L11),$L11,$AA11)))</f>
        <v/>
      </c>
      <c r="AC11" s="62">
        <f>IF($V11="","",IF(AND(ISNUMBER($G11),$G11&lt;=IF($S11=MesCiclo,InicioCiclo,$S11+MOD(2-WEEKDAY($S11),7))+6),1,IF(N($W11)&gt;0,AVERAGEIFS($Y$5:$Y$1000,$U$5:$U$1000,ROW(),$V$5:$V$1000,"Sub"),$Y11)))</f>
        <v/>
      </c>
      <c r="AD11" s="62">
        <f>IF($V11="","",IF(AND(ISNUMBER($G11),$G11&lt;=IF($S11=MesCiclo,InicioCiclo,$S11+MOD(2-WEEKDAY($S11),7))+13),1,IF(N($W11)&gt;0,AVERAGEIFS($Z$5:$Z$1000,$U$5:$U$1000,ROW(),$V$5:$V$1000,"Sub"),$Z11)))</f>
        <v/>
      </c>
      <c r="AE11" s="62">
        <f>IF($V11="","",IF(AND(ISNUMBER($G11),$G11&lt;=IF($S11=MesCiclo,InicioCiclo,$S11+MOD(2-WEEKDAY($S11),7))+20),1,IF(N($W11)&gt;0,AVERAGEIFS($AA$5:$AA$1000,$U$5:$U$1000,ROW(),$V$5:$V$1000,"Sub"),$AA11)))</f>
        <v/>
      </c>
      <c r="AF11" s="62">
        <f>IF($V11="","",IF(AND(ISNUMBER($G11),$G11&lt;=IF($S11=MesCiclo,InicioCiclo,$S11+MOD(2-WEEKDAY($S11),7))+27),1,IF(N($W11)&gt;0,AVERAGEIFS($AB$5:$AB$1000,$U$5:$U$1000,ROW(),$V$5:$V$1000,"Sub"),$AB11)))</f>
        <v/>
      </c>
      <c r="AG11" s="62">
        <f>IF($V11&lt;&gt;"Macro","",IF(COUNTIFS($S$5:$S$1000,$S11,$V$5:$V$1000,"Macro",$H$5:$H$1000,"&gt;0")=0,1/COUNTIFS($S$5:$S$1000,$S11,$V$5:$V$1000,"Macro"),IF(AND(ISNUMBER($H11),N($H11)&gt;0),$H11,SUMIFS($H$5:$H$1000,$S$5:$S$1000,$S11,$V$5:$V$1000,"Macro")/COUNTIFS($S$5:$S$1000,$S11,$V$5:$V$1000,"Macro",$H$5:$H$1000,"&gt;0"))/(COUNTIFS($S$5:$S$1000,$S11,$V$5:$V$1000,"Macro")*SUMIFS($H$5:$H$1000,$S$5:$S$1000,$S11,$V$5:$V$1000,"Macro")/COUNTIFS($S$5:$S$1000,$S11,$V$5:$V$1000,"Macro",$H$5:$H$1000,"&gt;0"))))</f>
        <v/>
      </c>
      <c r="AH11" s="62">
        <f>IF(NOT(AND($D11&lt;&gt;"",$V11="Macro")),"",IFERROR(CHOOSE(MATCH($D11,ListaPuestos,0),MATCH("[Jefatura] "&amp;$C11,'Cronograma R. Operacional'!$C$5:$C$1000,0),MATCH("[Jefatura] "&amp;$C11,'Cronograma R. Normativo'!$C$5:$C$1000,0),MATCH("[Jefatura] "&amp;$C11,'Cronograma R. Financiero'!$C$5:$C$1000,0),MATCH("[Jefatura] "&amp;$C11,'Cronograma Asistente Técnico'!$C$5:$C$1000,0)),0))</f>
        <v/>
      </c>
      <c r="AI11" s="62">
        <f>IF(AND(AND($D11&lt;&gt;"",$V11="Macro"),$S11=MesCiclo),COUNTIFS($D$5:$D11,$D11,$S$5:$S11,MesCiclo,$V$5:$V11,"Macro"),"")</f>
        <v/>
      </c>
      <c r="AJ11" s="62">
        <f>IF($AI11="","",$D11&amp;"|"&amp;$AI11)</f>
        <v/>
      </c>
      <c r="AK11" s="62">
        <f>IF(AND($D11&lt;&gt;"",$V11="Macro"),$D11&amp;"|"&amp;$C11,"")</f>
        <v/>
      </c>
      <c r="AL11" s="62">
        <f>""</f>
        <v/>
      </c>
      <c r="AM11" s="62">
        <f>IF(N($AL11)&gt;0,INDEX(rIni_ADM,$AL11),IF(ISNUMBER($E11),$E11,""))</f>
        <v/>
      </c>
      <c r="AN11" s="62">
        <f>IF(N($AL11)&gt;0,INDEX(rLim_ADM,$AL11),IF(ISNUMBER($F11),$F11,""))</f>
        <v/>
      </c>
    </row>
    <row r="12">
      <c r="A12" s="56">
        <f>IF(NOT((COUNTA($B12:$D12)+COUNTA($G12:$L12)+COUNTA($Q12))&gt;0),"",IF($V12="Macro",COUNTIFS($V$5:$V12,"Macro",$S$5:$S12,$S12),IF(N($U12)=0,"?",COUNTIFS(INDEX($V$5:$V$1000,1):INDEX($V$5:$V$1000,$U12-4),"Macro",INDEX($S$5:$S$1000,1):INDEX($S$5:$S$1000,$U12-4),INDEX($S$5:$S$1000,$U12-4))&amp;"."&amp;COUNTIFS($U$5:$U12,$U12,$V$5:$V12,"Sub"))))</f>
        <v/>
      </c>
      <c r="B12" s="57" t="n"/>
      <c r="C12" s="58" t="n"/>
      <c r="D12" s="58" t="n"/>
      <c r="E12" s="59" t="n"/>
      <c r="F12" s="59" t="n"/>
      <c r="G12" s="59" t="n"/>
      <c r="H12" s="60" t="n"/>
      <c r="I12" s="60" t="n"/>
      <c r="J12" s="60" t="n"/>
      <c r="K12" s="60" t="n"/>
      <c r="L12" s="60" t="n"/>
      <c r="M12" s="61">
        <f>IF(NOT((COUNTA($B12:$D12)+COUNTA($G12:$L12)+COUNTA($Q12))&gt;0),"",IF(AND($D12&lt;&gt;"",$V12="Macro"),IF(N($AH12)&gt;0,N(CHOOSE(MATCH($D12,ListaPuestos,0),INDEX('Cronograma R. Operacional'!$M$5:$M$1000,$AH12),INDEX('Cronograma R. Normativo'!$M$5:$M$1000,$AH12),INDEX('Cronograma R. Financiero'!$M$5:$M$1000,$AH12),INDEX('Cronograma Asistente Técnico'!$M$5:$M$1000,$AH12))),0),IF(ISNUMBER($G12),1,IF(N($W12)&gt;0,AVERAGEIFS($X$5:$X$1000,$U$5:$U$1000,ROW(),$V$5:$V$1000,"Sub"),$X12))))</f>
        <v/>
      </c>
      <c r="N12" s="56">
        <f>IF($M12="","",IF($M12&gt;=1,"Completado",IF($M12&gt;0,"En curso","Pendiente")))</f>
        <v/>
      </c>
      <c r="O12" s="56">
        <f>IF(NOT((COUNTA($B12:$D12)+COUNTA($G12:$L12)+COUNTA($Q12))&gt;0),"",IF(AND(AND($D12&lt;&gt;"",$V12="Macro"),N($AH12)&gt;0),CHOOSE(MATCH($D12,ListaPuestos,0),INDEX('Cronograma R. Operacional'!$O$5:$O$1000,$AH12),INDEX('Cronograma R. Normativo'!$O$5:$O$1000,$AH12),INDEX('Cronograma R. Financiero'!$O$5:$O$1000,$AH12),INDEX('Cronograma Asistente Técnico'!$O$5:$O$1000,$AH12))&amp;"",IF(ISNUMBER($G12),IF(AND(ISNUMBER($AN12),$G12&gt;$AN12),"Cumplida con "&amp;($G12-$AN12)&amp;IF($G12-$AN12=1," día"," días")&amp;" de retraso","Cumplida"),IF(N($M12)&gt;=1,"Cumplida",IF(NOT(ISNUMBER($AN12)),"Sin fecha límite",IF($AN12&lt;FechaRef,"Vencida hace "&amp;(FechaRef-$AN12)&amp;IF(FechaRef-$AN12=1," día"," días"),IF($AN12=FechaRef,"Vence hoy",IF($AN12-FechaRef&lt;=DiasAlerta,"Vence en "&amp;($AN12-FechaRef)&amp;IF($AN12-FechaRef=1," día"," días"),"En plazo"))))))))</f>
        <v/>
      </c>
      <c r="P12" s="62">
        <f>IF(NOT((COUNTA($B12:$D12)+COUNTA($G12:$L12)+COUNTA($Q12))&gt;0),"",IF($D12="","Propia",IF($V12&lt;&gt;"Macro","Solo se delegan macroactividades",IF(N($AH12)&gt;0,"✔ Recibida por "&amp;$D12,"⚠ "&amp;$D12&amp;" aún no la agrega"))))</f>
        <v/>
      </c>
      <c r="Q12" s="58" t="n"/>
      <c r="R12" s="63">
        <f>IF(NOT((COUNTA($B12:$D12)+COUNTA($G12:$L12)+COUNTA($Q12))&gt;0),"",IF((IF($C12="","Falta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",""))="","✔ OK","⚠ "&amp;LEFT(IF($C12="","Falta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",""),LEN(IF($C12="","Falta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",""))-3)))</f>
        <v/>
      </c>
      <c r="S12" s="64">
        <f>IF(NOT((COUNTA($B12:$D12)+COUNTA($G12:$L12)+COUNTA($Q12))&gt;0),"",IF(AND($V12="Sub",N($U12)&gt;0),IF(ISNUMBER(INDEX($AM$5:$AM$1000,$U12-4)),DATE(YEAR(INDEX($AM$5:$AM$1000,$U12-4)),MONTH(INDEX($AM$5:$AM$1000,$U12-4)),1),IF(ISNUMBER(INDEX($AN$5:$AN$1000,$U12-4)),DATE(YEAR(INDEX($AN$5:$AN$1000,$U12-4)),MONTH(INDEX($AN$5:$AN$1000,$U12-4)),1),MesCiclo)),IF(ISNUMBER($AM12),DATE(YEAR($AM12),MONTH($AM12),1),IF(ISNUMBER($AN12),DATE(YEAR($AN12),MONTH($AN12),1),MesCiclo))))</f>
        <v/>
      </c>
      <c r="T12" s="62">
        <f>IF(OR($S12="",$S12&lt;&gt;MesCiclo),"",COUNTIF($S$5:$S12,MesCiclo))</f>
        <v/>
      </c>
      <c r="U12" s="62">
        <f>IF($V12="","",IF($V12="Macro",ROW(),IFERROR(LOOKUP(2,1/($V$5:$V12="Macro"),ROW($V$5:$V12)),0)))</f>
        <v/>
      </c>
      <c r="V12" s="62">
        <f>IF(NOT((COUNTA($B12:$D12)+COUNTA($G12:$L12)+COUNTA($Q12))&gt;0),"",IF($B12="Subactividad","Sub","Macro"))</f>
        <v/>
      </c>
      <c r="W12" s="62">
        <f>IF($V12="Macro",COUNTIFS($U$5:$U$1000,ROW(),$V$5:$V$1000,"Sub"),"")</f>
        <v/>
      </c>
      <c r="X12" s="62">
        <f>IF($V12="","",IF(ISNUMBER($G12),1,IFERROR(LOOKUP(2,1/($I12:$L12&lt;&gt;""),$I12:$L12),0)))</f>
        <v/>
      </c>
      <c r="Y12" s="62">
        <f>IF($V12="","",IF(AND(ISNUMBER($G12),$G12&lt;=IF($S12=MesCiclo,InicioCiclo,$S12+MOD(2-WEEKDAY($S12),7))+6),1,IF(ISNUMBER($I12),$I12,0)))</f>
        <v/>
      </c>
      <c r="Z12" s="62">
        <f>IF($V12="","",IF(AND(ISNUMBER($G12),$G12&lt;=IF($S12=MesCiclo,InicioCiclo,$S12+MOD(2-WEEKDAY($S12),7))+13),1,IF(ISNUMBER($J12),$J12,$Y12)))</f>
        <v/>
      </c>
      <c r="AA12" s="62">
        <f>IF($V12="","",IF(AND(ISNUMBER($G12),$G12&lt;=IF($S12=MesCiclo,InicioCiclo,$S12+MOD(2-WEEKDAY($S12),7))+20),1,IF(ISNUMBER($K12),$K12,$Z12)))</f>
        <v/>
      </c>
      <c r="AB12" s="62">
        <f>IF($V12="","",IF(AND(ISNUMBER($G12),$G12&lt;=IF($S12=MesCiclo,InicioCiclo,$S12+MOD(2-WEEKDAY($S12),7))+27),1,IF(ISNUMBER($L12),$L12,$AA12)))</f>
        <v/>
      </c>
      <c r="AC12" s="62">
        <f>IF($V12="","",IF(AND(ISNUMBER($G12),$G12&lt;=IF($S12=MesCiclo,InicioCiclo,$S12+MOD(2-WEEKDAY($S12),7))+6),1,IF(N($W12)&gt;0,AVERAGEIFS($Y$5:$Y$1000,$U$5:$U$1000,ROW(),$V$5:$V$1000,"Sub"),$Y12)))</f>
        <v/>
      </c>
      <c r="AD12" s="62">
        <f>IF($V12="","",IF(AND(ISNUMBER($G12),$G12&lt;=IF($S12=MesCiclo,InicioCiclo,$S12+MOD(2-WEEKDAY($S12),7))+13),1,IF(N($W12)&gt;0,AVERAGEIFS($Z$5:$Z$1000,$U$5:$U$1000,ROW(),$V$5:$V$1000,"Sub"),$Z12)))</f>
        <v/>
      </c>
      <c r="AE12" s="62">
        <f>IF($V12="","",IF(AND(ISNUMBER($G12),$G12&lt;=IF($S12=MesCiclo,InicioCiclo,$S12+MOD(2-WEEKDAY($S12),7))+20),1,IF(N($W12)&gt;0,AVERAGEIFS($AA$5:$AA$1000,$U$5:$U$1000,ROW(),$V$5:$V$1000,"Sub"),$AA12)))</f>
        <v/>
      </c>
      <c r="AF12" s="62">
        <f>IF($V12="","",IF(AND(ISNUMBER($G12),$G12&lt;=IF($S12=MesCiclo,InicioCiclo,$S12+MOD(2-WEEKDAY($S12),7))+27),1,IF(N($W12)&gt;0,AVERAGEIFS($AB$5:$AB$1000,$U$5:$U$1000,ROW(),$V$5:$V$1000,"Sub"),$AB12)))</f>
        <v/>
      </c>
      <c r="AG12" s="62">
        <f>IF($V12&lt;&gt;"Macro","",IF(COUNTIFS($S$5:$S$1000,$S12,$V$5:$V$1000,"Macro",$H$5:$H$1000,"&gt;0")=0,1/COUNTIFS($S$5:$S$1000,$S12,$V$5:$V$1000,"Macro"),IF(AND(ISNUMBER($H12),N($H12)&gt;0),$H12,SUMIFS($H$5:$H$1000,$S$5:$S$1000,$S12,$V$5:$V$1000,"Macro")/COUNTIFS($S$5:$S$1000,$S12,$V$5:$V$1000,"Macro",$H$5:$H$1000,"&gt;0"))/(COUNTIFS($S$5:$S$1000,$S12,$V$5:$V$1000,"Macro")*SUMIFS($H$5:$H$1000,$S$5:$S$1000,$S12,$V$5:$V$1000,"Macro")/COUNTIFS($S$5:$S$1000,$S12,$V$5:$V$1000,"Macro",$H$5:$H$1000,"&gt;0"))))</f>
        <v/>
      </c>
      <c r="AH12" s="62">
        <f>IF(NOT(AND($D12&lt;&gt;"",$V12="Macro")),"",IFERROR(CHOOSE(MATCH($D12,ListaPuestos,0),MATCH("[Jefatura] "&amp;$C12,'Cronograma R. Operacional'!$C$5:$C$1000,0),MATCH("[Jefatura] "&amp;$C12,'Cronograma R. Normativo'!$C$5:$C$1000,0),MATCH("[Jefatura] "&amp;$C12,'Cronograma R. Financiero'!$C$5:$C$1000,0),MATCH("[Jefatura] "&amp;$C12,'Cronograma Asistente Técnico'!$C$5:$C$1000,0)),0))</f>
        <v/>
      </c>
      <c r="AI12" s="62">
        <f>IF(AND(AND($D12&lt;&gt;"",$V12="Macro"),$S12=MesCiclo),COUNTIFS($D$5:$D12,$D12,$S$5:$S12,MesCiclo,$V$5:$V12,"Macro"),"")</f>
        <v/>
      </c>
      <c r="AJ12" s="62">
        <f>IF($AI12="","",$D12&amp;"|"&amp;$AI12)</f>
        <v/>
      </c>
      <c r="AK12" s="62">
        <f>IF(AND($D12&lt;&gt;"",$V12="Macro"),$D12&amp;"|"&amp;$C12,"")</f>
        <v/>
      </c>
      <c r="AL12" s="62">
        <f>""</f>
        <v/>
      </c>
      <c r="AM12" s="62">
        <f>IF(N($AL12)&gt;0,INDEX(rIni_ADM,$AL12),IF(ISNUMBER($E12),$E12,""))</f>
        <v/>
      </c>
      <c r="AN12" s="62">
        <f>IF(N($AL12)&gt;0,INDEX(rLim_ADM,$AL12),IF(ISNUMBER($F12),$F12,""))</f>
        <v/>
      </c>
    </row>
    <row r="13">
      <c r="A13" s="56">
        <f>IF(NOT((COUNTA($B13:$D13)+COUNTA($G13:$L13)+COUNTA($Q13))&gt;0),"",IF($V13="Macro",COUNTIFS($V$5:$V13,"Macro",$S$5:$S13,$S13),IF(N($U13)=0,"?",COUNTIFS(INDEX($V$5:$V$1000,1):INDEX($V$5:$V$1000,$U13-4),"Macro",INDEX($S$5:$S$1000,1):INDEX($S$5:$S$1000,$U13-4),INDEX($S$5:$S$1000,$U13-4))&amp;"."&amp;COUNTIFS($U$5:$U13,$U13,$V$5:$V13,"Sub"))))</f>
        <v/>
      </c>
      <c r="B13" s="57" t="n"/>
      <c r="C13" s="58" t="n"/>
      <c r="D13" s="58" t="n"/>
      <c r="E13" s="59" t="n"/>
      <c r="F13" s="59" t="n"/>
      <c r="G13" s="59" t="n"/>
      <c r="H13" s="60" t="n"/>
      <c r="I13" s="60" t="n"/>
      <c r="J13" s="60" t="n"/>
      <c r="K13" s="60" t="n"/>
      <c r="L13" s="60" t="n"/>
      <c r="M13" s="61">
        <f>IF(NOT((COUNTA($B13:$D13)+COUNTA($G13:$L13)+COUNTA($Q13))&gt;0),"",IF(AND($D13&lt;&gt;"",$V13="Macro"),IF(N($AH13)&gt;0,N(CHOOSE(MATCH($D13,ListaPuestos,0),INDEX('Cronograma R. Operacional'!$M$5:$M$1000,$AH13),INDEX('Cronograma R. Normativo'!$M$5:$M$1000,$AH13),INDEX('Cronograma R. Financiero'!$M$5:$M$1000,$AH13),INDEX('Cronograma Asistente Técnico'!$M$5:$M$1000,$AH13))),0),IF(ISNUMBER($G13),1,IF(N($W13)&gt;0,AVERAGEIFS($X$5:$X$1000,$U$5:$U$1000,ROW(),$V$5:$V$1000,"Sub"),$X13))))</f>
        <v/>
      </c>
      <c r="N13" s="56">
        <f>IF($M13="","",IF($M13&gt;=1,"Completado",IF($M13&gt;0,"En curso","Pendiente")))</f>
        <v/>
      </c>
      <c r="O13" s="56">
        <f>IF(NOT((COUNTA($B13:$D13)+COUNTA($G13:$L13)+COUNTA($Q13))&gt;0),"",IF(AND(AND($D13&lt;&gt;"",$V13="Macro"),N($AH13)&gt;0),CHOOSE(MATCH($D13,ListaPuestos,0),INDEX('Cronograma R. Operacional'!$O$5:$O$1000,$AH13),INDEX('Cronograma R. Normativo'!$O$5:$O$1000,$AH13),INDEX('Cronograma R. Financiero'!$O$5:$O$1000,$AH13),INDEX('Cronograma Asistente Técnico'!$O$5:$O$1000,$AH13))&amp;"",IF(ISNUMBER($G13),IF(AND(ISNUMBER($AN13),$G13&gt;$AN13),"Cumplida con "&amp;($G13-$AN13)&amp;IF($G13-$AN13=1," día"," días")&amp;" de retraso","Cumplida"),IF(N($M13)&gt;=1,"Cumplida",IF(NOT(ISNUMBER($AN13)),"Sin fecha límite",IF($AN13&lt;FechaRef,"Vencida hace "&amp;(FechaRef-$AN13)&amp;IF(FechaRef-$AN13=1," día"," días"),IF($AN13=FechaRef,"Vence hoy",IF($AN13-FechaRef&lt;=DiasAlerta,"Vence en "&amp;($AN13-FechaRef)&amp;IF($AN13-FechaRef=1," día"," días"),"En plazo"))))))))</f>
        <v/>
      </c>
      <c r="P13" s="62">
        <f>IF(NOT((COUNTA($B13:$D13)+COUNTA($G13:$L13)+COUNTA($Q13))&gt;0),"",IF($D13="","Propia",IF($V13&lt;&gt;"Macro","Solo se delegan macroactividades",IF(N($AH13)&gt;0,"✔ Recibida por "&amp;$D13,"⚠ "&amp;$D13&amp;" aún no la agrega"))))</f>
        <v/>
      </c>
      <c r="Q13" s="58" t="n"/>
      <c r="R13" s="63">
        <f>IF(NOT((COUNTA($B13:$D13)+COUNTA($G13:$L13)+COUNTA($Q13))&gt;0),"",IF((IF($C13="","Falta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",""))="","✔ OK","⚠ "&amp;LEFT(IF($C13="","Falta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",""),LEN(IF($C13="","Falta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",""))-3)))</f>
        <v/>
      </c>
      <c r="S13" s="64">
        <f>IF(NOT((COUNTA($B13:$D13)+COUNTA($G13:$L13)+COUNTA($Q13))&gt;0),"",IF(AND($V13="Sub",N($U13)&gt;0),IF(ISNUMBER(INDEX($AM$5:$AM$1000,$U13-4)),DATE(YEAR(INDEX($AM$5:$AM$1000,$U13-4)),MONTH(INDEX($AM$5:$AM$1000,$U13-4)),1),IF(ISNUMBER(INDEX($AN$5:$AN$1000,$U13-4)),DATE(YEAR(INDEX($AN$5:$AN$1000,$U13-4)),MONTH(INDEX($AN$5:$AN$1000,$U13-4)),1),MesCiclo)),IF(ISNUMBER($AM13),DATE(YEAR($AM13),MONTH($AM13),1),IF(ISNUMBER($AN13),DATE(YEAR($AN13),MONTH($AN13),1),MesCiclo))))</f>
        <v/>
      </c>
      <c r="T13" s="62">
        <f>IF(OR($S13="",$S13&lt;&gt;MesCiclo),"",COUNTIF($S$5:$S13,MesCiclo))</f>
        <v/>
      </c>
      <c r="U13" s="62">
        <f>IF($V13="","",IF($V13="Macro",ROW(),IFERROR(LOOKUP(2,1/($V$5:$V13="Macro"),ROW($V$5:$V13)),0)))</f>
        <v/>
      </c>
      <c r="V13" s="62">
        <f>IF(NOT((COUNTA($B13:$D13)+COUNTA($G13:$L13)+COUNTA($Q13))&gt;0),"",IF($B13="Subactividad","Sub","Macro"))</f>
        <v/>
      </c>
      <c r="W13" s="62">
        <f>IF($V13="Macro",COUNTIFS($U$5:$U$1000,ROW(),$V$5:$V$1000,"Sub"),"")</f>
        <v/>
      </c>
      <c r="X13" s="62">
        <f>IF($V13="","",IF(ISNUMBER($G13),1,IFERROR(LOOKUP(2,1/($I13:$L13&lt;&gt;""),$I13:$L13),0)))</f>
        <v/>
      </c>
      <c r="Y13" s="62">
        <f>IF($V13="","",IF(AND(ISNUMBER($G13),$G13&lt;=IF($S13=MesCiclo,InicioCiclo,$S13+MOD(2-WEEKDAY($S13),7))+6),1,IF(ISNUMBER($I13),$I13,0)))</f>
        <v/>
      </c>
      <c r="Z13" s="62">
        <f>IF($V13="","",IF(AND(ISNUMBER($G13),$G13&lt;=IF($S13=MesCiclo,InicioCiclo,$S13+MOD(2-WEEKDAY($S13),7))+13),1,IF(ISNUMBER($J13),$J13,$Y13)))</f>
        <v/>
      </c>
      <c r="AA13" s="62">
        <f>IF($V13="","",IF(AND(ISNUMBER($G13),$G13&lt;=IF($S13=MesCiclo,InicioCiclo,$S13+MOD(2-WEEKDAY($S13),7))+20),1,IF(ISNUMBER($K13),$K13,$Z13)))</f>
        <v/>
      </c>
      <c r="AB13" s="62">
        <f>IF($V13="","",IF(AND(ISNUMBER($G13),$G13&lt;=IF($S13=MesCiclo,InicioCiclo,$S13+MOD(2-WEEKDAY($S13),7))+27),1,IF(ISNUMBER($L13),$L13,$AA13)))</f>
        <v/>
      </c>
      <c r="AC13" s="62">
        <f>IF($V13="","",IF(AND(ISNUMBER($G13),$G13&lt;=IF($S13=MesCiclo,InicioCiclo,$S13+MOD(2-WEEKDAY($S13),7))+6),1,IF(N($W13)&gt;0,AVERAGEIFS($Y$5:$Y$1000,$U$5:$U$1000,ROW(),$V$5:$V$1000,"Sub"),$Y13)))</f>
        <v/>
      </c>
      <c r="AD13" s="62">
        <f>IF($V13="","",IF(AND(ISNUMBER($G13),$G13&lt;=IF($S13=MesCiclo,InicioCiclo,$S13+MOD(2-WEEKDAY($S13),7))+13),1,IF(N($W13)&gt;0,AVERAGEIFS($Z$5:$Z$1000,$U$5:$U$1000,ROW(),$V$5:$V$1000,"Sub"),$Z13)))</f>
        <v/>
      </c>
      <c r="AE13" s="62">
        <f>IF($V13="","",IF(AND(ISNUMBER($G13),$G13&lt;=IF($S13=MesCiclo,InicioCiclo,$S13+MOD(2-WEEKDAY($S13),7))+20),1,IF(N($W13)&gt;0,AVERAGEIFS($AA$5:$AA$1000,$U$5:$U$1000,ROW(),$V$5:$V$1000,"Sub"),$AA13)))</f>
        <v/>
      </c>
      <c r="AF13" s="62">
        <f>IF($V13="","",IF(AND(ISNUMBER($G13),$G13&lt;=IF($S13=MesCiclo,InicioCiclo,$S13+MOD(2-WEEKDAY($S13),7))+27),1,IF(N($W13)&gt;0,AVERAGEIFS($AB$5:$AB$1000,$U$5:$U$1000,ROW(),$V$5:$V$1000,"Sub"),$AB13)))</f>
        <v/>
      </c>
      <c r="AG13" s="62">
        <f>IF($V13&lt;&gt;"Macro","",IF(COUNTIFS($S$5:$S$1000,$S13,$V$5:$V$1000,"Macro",$H$5:$H$1000,"&gt;0")=0,1/COUNTIFS($S$5:$S$1000,$S13,$V$5:$V$1000,"Macro"),IF(AND(ISNUMBER($H13),N($H13)&gt;0),$H13,SUMIFS($H$5:$H$1000,$S$5:$S$1000,$S13,$V$5:$V$1000,"Macro")/COUNTIFS($S$5:$S$1000,$S13,$V$5:$V$1000,"Macro",$H$5:$H$1000,"&gt;0"))/(COUNTIFS($S$5:$S$1000,$S13,$V$5:$V$1000,"Macro")*SUMIFS($H$5:$H$1000,$S$5:$S$1000,$S13,$V$5:$V$1000,"Macro")/COUNTIFS($S$5:$S$1000,$S13,$V$5:$V$1000,"Macro",$H$5:$H$1000,"&gt;0"))))</f>
        <v/>
      </c>
      <c r="AH13" s="62">
        <f>IF(NOT(AND($D13&lt;&gt;"",$V13="Macro")),"",IFERROR(CHOOSE(MATCH($D13,ListaPuestos,0),MATCH("[Jefatura] "&amp;$C13,'Cronograma R. Operacional'!$C$5:$C$1000,0),MATCH("[Jefatura] "&amp;$C13,'Cronograma R. Normativo'!$C$5:$C$1000,0),MATCH("[Jefatura] "&amp;$C13,'Cronograma R. Financiero'!$C$5:$C$1000,0),MATCH("[Jefatura] "&amp;$C13,'Cronograma Asistente Técnico'!$C$5:$C$1000,0)),0))</f>
        <v/>
      </c>
      <c r="AI13" s="62">
        <f>IF(AND(AND($D13&lt;&gt;"",$V13="Macro"),$S13=MesCiclo),COUNTIFS($D$5:$D13,$D13,$S$5:$S13,MesCiclo,$V$5:$V13,"Macro"),"")</f>
        <v/>
      </c>
      <c r="AJ13" s="62">
        <f>IF($AI13="","",$D13&amp;"|"&amp;$AI13)</f>
        <v/>
      </c>
      <c r="AK13" s="62">
        <f>IF(AND($D13&lt;&gt;"",$V13="Macro"),$D13&amp;"|"&amp;$C13,"")</f>
        <v/>
      </c>
      <c r="AL13" s="62">
        <f>""</f>
        <v/>
      </c>
      <c r="AM13" s="62">
        <f>IF(N($AL13)&gt;0,INDEX(rIni_ADM,$AL13),IF(ISNUMBER($E13),$E13,""))</f>
        <v/>
      </c>
      <c r="AN13" s="62">
        <f>IF(N($AL13)&gt;0,INDEX(rLim_ADM,$AL13),IF(ISNUMBER($F13),$F13,""))</f>
        <v/>
      </c>
    </row>
    <row r="14">
      <c r="A14" s="56">
        <f>IF(NOT((COUNTA($B14:$D14)+COUNTA($G14:$L14)+COUNTA($Q14))&gt;0),"",IF($V14="Macro",COUNTIFS($V$5:$V14,"Macro",$S$5:$S14,$S14),IF(N($U14)=0,"?",COUNTIFS(INDEX($V$5:$V$1000,1):INDEX($V$5:$V$1000,$U14-4),"Macro",INDEX($S$5:$S$1000,1):INDEX($S$5:$S$1000,$U14-4),INDEX($S$5:$S$1000,$U14-4))&amp;"."&amp;COUNTIFS($U$5:$U14,$U14,$V$5:$V14,"Sub"))))</f>
        <v/>
      </c>
      <c r="B14" s="57" t="n"/>
      <c r="C14" s="58" t="n"/>
      <c r="D14" s="58" t="n"/>
      <c r="E14" s="59" t="n"/>
      <c r="F14" s="59" t="n"/>
      <c r="G14" s="59" t="n"/>
      <c r="H14" s="60" t="n"/>
      <c r="I14" s="60" t="n"/>
      <c r="J14" s="60" t="n"/>
      <c r="K14" s="60" t="n"/>
      <c r="L14" s="60" t="n"/>
      <c r="M14" s="61">
        <f>IF(NOT((COUNTA($B14:$D14)+COUNTA($G14:$L14)+COUNTA($Q14))&gt;0),"",IF(AND($D14&lt;&gt;"",$V14="Macro"),IF(N($AH14)&gt;0,N(CHOOSE(MATCH($D14,ListaPuestos,0),INDEX('Cronograma R. Operacional'!$M$5:$M$1000,$AH14),INDEX('Cronograma R. Normativo'!$M$5:$M$1000,$AH14),INDEX('Cronograma R. Financiero'!$M$5:$M$1000,$AH14),INDEX('Cronograma Asistente Técnico'!$M$5:$M$1000,$AH14))),0),IF(ISNUMBER($G14),1,IF(N($W14)&gt;0,AVERAGEIFS($X$5:$X$1000,$U$5:$U$1000,ROW(),$V$5:$V$1000,"Sub"),$X14))))</f>
        <v/>
      </c>
      <c r="N14" s="56">
        <f>IF($M14="","",IF($M14&gt;=1,"Completado",IF($M14&gt;0,"En curso","Pendiente")))</f>
        <v/>
      </c>
      <c r="O14" s="56">
        <f>IF(NOT((COUNTA($B14:$D14)+COUNTA($G14:$L14)+COUNTA($Q14))&gt;0),"",IF(AND(AND($D14&lt;&gt;"",$V14="Macro"),N($AH14)&gt;0),CHOOSE(MATCH($D14,ListaPuestos,0),INDEX('Cronograma R. Operacional'!$O$5:$O$1000,$AH14),INDEX('Cronograma R. Normativo'!$O$5:$O$1000,$AH14),INDEX('Cronograma R. Financiero'!$O$5:$O$1000,$AH14),INDEX('Cronograma Asistente Técnico'!$O$5:$O$1000,$AH14))&amp;"",IF(ISNUMBER($G14),IF(AND(ISNUMBER($AN14),$G14&gt;$AN14),"Cumplida con "&amp;($G14-$AN14)&amp;IF($G14-$AN14=1," día"," días")&amp;" de retraso","Cumplida"),IF(N($M14)&gt;=1,"Cumplida",IF(NOT(ISNUMBER($AN14)),"Sin fecha límite",IF($AN14&lt;FechaRef,"Vencida hace "&amp;(FechaRef-$AN14)&amp;IF(FechaRef-$AN14=1," día"," días"),IF($AN14=FechaRef,"Vence hoy",IF($AN14-FechaRef&lt;=DiasAlerta,"Vence en "&amp;($AN14-FechaRef)&amp;IF($AN14-FechaRef=1," día"," días"),"En plazo"))))))))</f>
        <v/>
      </c>
      <c r="P14" s="62">
        <f>IF(NOT((COUNTA($B14:$D14)+COUNTA($G14:$L14)+COUNTA($Q14))&gt;0),"",IF($D14="","Propia",IF($V14&lt;&gt;"Macro","Solo se delegan macroactividades",IF(N($AH14)&gt;0,"✔ Recibida por "&amp;$D14,"⚠ "&amp;$D14&amp;" aún no la agrega"))))</f>
        <v/>
      </c>
      <c r="Q14" s="58" t="n"/>
      <c r="R14" s="63">
        <f>IF(NOT((COUNTA($B14:$D14)+COUNTA($G14:$L14)+COUNTA($Q14))&gt;0),"",IF((IF($C14="","Falta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",""))="","✔ OK","⚠ "&amp;LEFT(IF($C14="","Falta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",""),LEN(IF($C14="","Falta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",""))-3)))</f>
        <v/>
      </c>
      <c r="S14" s="64">
        <f>IF(NOT((COUNTA($B14:$D14)+COUNTA($G14:$L14)+COUNTA($Q14))&gt;0),"",IF(AND($V14="Sub",N($U14)&gt;0),IF(ISNUMBER(INDEX($AM$5:$AM$1000,$U14-4)),DATE(YEAR(INDEX($AM$5:$AM$1000,$U14-4)),MONTH(INDEX($AM$5:$AM$1000,$U14-4)),1),IF(ISNUMBER(INDEX($AN$5:$AN$1000,$U14-4)),DATE(YEAR(INDEX($AN$5:$AN$1000,$U14-4)),MONTH(INDEX($AN$5:$AN$1000,$U14-4)),1),MesCiclo)),IF(ISNUMBER($AM14),DATE(YEAR($AM14),MONTH($AM14),1),IF(ISNUMBER($AN14),DATE(YEAR($AN14),MONTH($AN14),1),MesCiclo))))</f>
        <v/>
      </c>
      <c r="T14" s="62">
        <f>IF(OR($S14="",$S14&lt;&gt;MesCiclo),"",COUNTIF($S$5:$S14,MesCiclo))</f>
        <v/>
      </c>
      <c r="U14" s="62">
        <f>IF($V14="","",IF($V14="Macro",ROW(),IFERROR(LOOKUP(2,1/($V$5:$V14="Macro"),ROW($V$5:$V14)),0)))</f>
        <v/>
      </c>
      <c r="V14" s="62">
        <f>IF(NOT((COUNTA($B14:$D14)+COUNTA($G14:$L14)+COUNTA($Q14))&gt;0),"",IF($B14="Subactividad","Sub","Macro"))</f>
        <v/>
      </c>
      <c r="W14" s="62">
        <f>IF($V14="Macro",COUNTIFS($U$5:$U$1000,ROW(),$V$5:$V$1000,"Sub"),"")</f>
        <v/>
      </c>
      <c r="X14" s="62">
        <f>IF($V14="","",IF(ISNUMBER($G14),1,IFERROR(LOOKUP(2,1/($I14:$L14&lt;&gt;""),$I14:$L14),0)))</f>
        <v/>
      </c>
      <c r="Y14" s="62">
        <f>IF($V14="","",IF(AND(ISNUMBER($G14),$G14&lt;=IF($S14=MesCiclo,InicioCiclo,$S14+MOD(2-WEEKDAY($S14),7))+6),1,IF(ISNUMBER($I14),$I14,0)))</f>
        <v/>
      </c>
      <c r="Z14" s="62">
        <f>IF($V14="","",IF(AND(ISNUMBER($G14),$G14&lt;=IF($S14=MesCiclo,InicioCiclo,$S14+MOD(2-WEEKDAY($S14),7))+13),1,IF(ISNUMBER($J14),$J14,$Y14)))</f>
        <v/>
      </c>
      <c r="AA14" s="62">
        <f>IF($V14="","",IF(AND(ISNUMBER($G14),$G14&lt;=IF($S14=MesCiclo,InicioCiclo,$S14+MOD(2-WEEKDAY($S14),7))+20),1,IF(ISNUMBER($K14),$K14,$Z14)))</f>
        <v/>
      </c>
      <c r="AB14" s="62">
        <f>IF($V14="","",IF(AND(ISNUMBER($G14),$G14&lt;=IF($S14=MesCiclo,InicioCiclo,$S14+MOD(2-WEEKDAY($S14),7))+27),1,IF(ISNUMBER($L14),$L14,$AA14)))</f>
        <v/>
      </c>
      <c r="AC14" s="62">
        <f>IF($V14="","",IF(AND(ISNUMBER($G14),$G14&lt;=IF($S14=MesCiclo,InicioCiclo,$S14+MOD(2-WEEKDAY($S14),7))+6),1,IF(N($W14)&gt;0,AVERAGEIFS($Y$5:$Y$1000,$U$5:$U$1000,ROW(),$V$5:$V$1000,"Sub"),$Y14)))</f>
        <v/>
      </c>
      <c r="AD14" s="62">
        <f>IF($V14="","",IF(AND(ISNUMBER($G14),$G14&lt;=IF($S14=MesCiclo,InicioCiclo,$S14+MOD(2-WEEKDAY($S14),7))+13),1,IF(N($W14)&gt;0,AVERAGEIFS($Z$5:$Z$1000,$U$5:$U$1000,ROW(),$V$5:$V$1000,"Sub"),$Z14)))</f>
        <v/>
      </c>
      <c r="AE14" s="62">
        <f>IF($V14="","",IF(AND(ISNUMBER($G14),$G14&lt;=IF($S14=MesCiclo,InicioCiclo,$S14+MOD(2-WEEKDAY($S14),7))+20),1,IF(N($W14)&gt;0,AVERAGEIFS($AA$5:$AA$1000,$U$5:$U$1000,ROW(),$V$5:$V$1000,"Sub"),$AA14)))</f>
        <v/>
      </c>
      <c r="AF14" s="62">
        <f>IF($V14="","",IF(AND(ISNUMBER($G14),$G14&lt;=IF($S14=MesCiclo,InicioCiclo,$S14+MOD(2-WEEKDAY($S14),7))+27),1,IF(N($W14)&gt;0,AVERAGEIFS($AB$5:$AB$1000,$U$5:$U$1000,ROW(),$V$5:$V$1000,"Sub"),$AB14)))</f>
        <v/>
      </c>
      <c r="AG14" s="62">
        <f>IF($V14&lt;&gt;"Macro","",IF(COUNTIFS($S$5:$S$1000,$S14,$V$5:$V$1000,"Macro",$H$5:$H$1000,"&gt;0")=0,1/COUNTIFS($S$5:$S$1000,$S14,$V$5:$V$1000,"Macro"),IF(AND(ISNUMBER($H14),N($H14)&gt;0),$H14,SUMIFS($H$5:$H$1000,$S$5:$S$1000,$S14,$V$5:$V$1000,"Macro")/COUNTIFS($S$5:$S$1000,$S14,$V$5:$V$1000,"Macro",$H$5:$H$1000,"&gt;0"))/(COUNTIFS($S$5:$S$1000,$S14,$V$5:$V$1000,"Macro")*SUMIFS($H$5:$H$1000,$S$5:$S$1000,$S14,$V$5:$V$1000,"Macro")/COUNTIFS($S$5:$S$1000,$S14,$V$5:$V$1000,"Macro",$H$5:$H$1000,"&gt;0"))))</f>
        <v/>
      </c>
      <c r="AH14" s="62">
        <f>IF(NOT(AND($D14&lt;&gt;"",$V14="Macro")),"",IFERROR(CHOOSE(MATCH($D14,ListaPuestos,0),MATCH("[Jefatura] "&amp;$C14,'Cronograma R. Operacional'!$C$5:$C$1000,0),MATCH("[Jefatura] "&amp;$C14,'Cronograma R. Normativo'!$C$5:$C$1000,0),MATCH("[Jefatura] "&amp;$C14,'Cronograma R. Financiero'!$C$5:$C$1000,0),MATCH("[Jefatura] "&amp;$C14,'Cronograma Asistente Técnico'!$C$5:$C$1000,0)),0))</f>
        <v/>
      </c>
      <c r="AI14" s="62">
        <f>IF(AND(AND($D14&lt;&gt;"",$V14="Macro"),$S14=MesCiclo),COUNTIFS($D$5:$D14,$D14,$S$5:$S14,MesCiclo,$V$5:$V14,"Macro"),"")</f>
        <v/>
      </c>
      <c r="AJ14" s="62">
        <f>IF($AI14="","",$D14&amp;"|"&amp;$AI14)</f>
        <v/>
      </c>
      <c r="AK14" s="62">
        <f>IF(AND($D14&lt;&gt;"",$V14="Macro"),$D14&amp;"|"&amp;$C14,"")</f>
        <v/>
      </c>
      <c r="AL14" s="62">
        <f>""</f>
        <v/>
      </c>
      <c r="AM14" s="62">
        <f>IF(N($AL14)&gt;0,INDEX(rIni_ADM,$AL14),IF(ISNUMBER($E14),$E14,""))</f>
        <v/>
      </c>
      <c r="AN14" s="62">
        <f>IF(N($AL14)&gt;0,INDEX(rLim_ADM,$AL14),IF(ISNUMBER($F14),$F14,""))</f>
        <v/>
      </c>
    </row>
    <row r="15">
      <c r="A15" s="56">
        <f>IF(NOT((COUNTA($B15:$D15)+COUNTA($G15:$L15)+COUNTA($Q15))&gt;0),"",IF($V15="Macro",COUNTIFS($V$5:$V15,"Macro",$S$5:$S15,$S15),IF(N($U15)=0,"?",COUNTIFS(INDEX($V$5:$V$1000,1):INDEX($V$5:$V$1000,$U15-4),"Macro",INDEX($S$5:$S$1000,1):INDEX($S$5:$S$1000,$U15-4),INDEX($S$5:$S$1000,$U15-4))&amp;"."&amp;COUNTIFS($U$5:$U15,$U15,$V$5:$V15,"Sub"))))</f>
        <v/>
      </c>
      <c r="B15" s="57" t="n"/>
      <c r="C15" s="58" t="n"/>
      <c r="D15" s="58" t="n"/>
      <c r="E15" s="59" t="n"/>
      <c r="F15" s="59" t="n"/>
      <c r="G15" s="59" t="n"/>
      <c r="H15" s="60" t="n"/>
      <c r="I15" s="60" t="n"/>
      <c r="J15" s="60" t="n"/>
      <c r="K15" s="60" t="n"/>
      <c r="L15" s="60" t="n"/>
      <c r="M15" s="61">
        <f>IF(NOT((COUNTA($B15:$D15)+COUNTA($G15:$L15)+COUNTA($Q15))&gt;0),"",IF(AND($D15&lt;&gt;"",$V15="Macro"),IF(N($AH15)&gt;0,N(CHOOSE(MATCH($D15,ListaPuestos,0),INDEX('Cronograma R. Operacional'!$M$5:$M$1000,$AH15),INDEX('Cronograma R. Normativo'!$M$5:$M$1000,$AH15),INDEX('Cronograma R. Financiero'!$M$5:$M$1000,$AH15),INDEX('Cronograma Asistente Técnico'!$M$5:$M$1000,$AH15))),0),IF(ISNUMBER($G15),1,IF(N($W15)&gt;0,AVERAGEIFS($X$5:$X$1000,$U$5:$U$1000,ROW(),$V$5:$V$1000,"Sub"),$X15))))</f>
        <v/>
      </c>
      <c r="N15" s="56">
        <f>IF($M15="","",IF($M15&gt;=1,"Completado",IF($M15&gt;0,"En curso","Pendiente")))</f>
        <v/>
      </c>
      <c r="O15" s="56">
        <f>IF(NOT((COUNTA($B15:$D15)+COUNTA($G15:$L15)+COUNTA($Q15))&gt;0),"",IF(AND(AND($D15&lt;&gt;"",$V15="Macro"),N($AH15)&gt;0),CHOOSE(MATCH($D15,ListaPuestos,0),INDEX('Cronograma R. Operacional'!$O$5:$O$1000,$AH15),INDEX('Cronograma R. Normativo'!$O$5:$O$1000,$AH15),INDEX('Cronograma R. Financiero'!$O$5:$O$1000,$AH15),INDEX('Cronograma Asistente Técnico'!$O$5:$O$1000,$AH15))&amp;"",IF(ISNUMBER($G15),IF(AND(ISNUMBER($AN15),$G15&gt;$AN15),"Cumplida con "&amp;($G15-$AN15)&amp;IF($G15-$AN15=1," día"," días")&amp;" de retraso","Cumplida"),IF(N($M15)&gt;=1,"Cumplida",IF(NOT(ISNUMBER($AN15)),"Sin fecha límite",IF($AN15&lt;FechaRef,"Vencida hace "&amp;(FechaRef-$AN15)&amp;IF(FechaRef-$AN15=1," día"," días"),IF($AN15=FechaRef,"Vence hoy",IF($AN15-FechaRef&lt;=DiasAlerta,"Vence en "&amp;($AN15-FechaRef)&amp;IF($AN15-FechaRef=1," día"," días"),"En plazo"))))))))</f>
        <v/>
      </c>
      <c r="P15" s="62">
        <f>IF(NOT((COUNTA($B15:$D15)+COUNTA($G15:$L15)+COUNTA($Q15))&gt;0),"",IF($D15="","Propia",IF($V15&lt;&gt;"Macro","Solo se delegan macroactividades",IF(N($AH15)&gt;0,"✔ Recibida por "&amp;$D15,"⚠ "&amp;$D15&amp;" aún no la agrega"))))</f>
        <v/>
      </c>
      <c r="Q15" s="58" t="n"/>
      <c r="R15" s="63">
        <f>IF(NOT((COUNTA($B15:$D15)+COUNTA($G15:$L15)+COUNTA($Q15))&gt;0),"",IF((IF($C15="","Falta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",""))="","✔ OK","⚠ "&amp;LEFT(IF($C15="","Falta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",""),LEN(IF($C15="","Falta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",""))-3)))</f>
        <v/>
      </c>
      <c r="S15" s="64">
        <f>IF(NOT((COUNTA($B15:$D15)+COUNTA($G15:$L15)+COUNTA($Q15))&gt;0),"",IF(AND($V15="Sub",N($U15)&gt;0),IF(ISNUMBER(INDEX($AM$5:$AM$1000,$U15-4)),DATE(YEAR(INDEX($AM$5:$AM$1000,$U15-4)),MONTH(INDEX($AM$5:$AM$1000,$U15-4)),1),IF(ISNUMBER(INDEX($AN$5:$AN$1000,$U15-4)),DATE(YEAR(INDEX($AN$5:$AN$1000,$U15-4)),MONTH(INDEX($AN$5:$AN$1000,$U15-4)),1),MesCiclo)),IF(ISNUMBER($AM15),DATE(YEAR($AM15),MONTH($AM15),1),IF(ISNUMBER($AN15),DATE(YEAR($AN15),MONTH($AN15),1),MesCiclo))))</f>
        <v/>
      </c>
      <c r="T15" s="62">
        <f>IF(OR($S15="",$S15&lt;&gt;MesCiclo),"",COUNTIF($S$5:$S15,MesCiclo))</f>
        <v/>
      </c>
      <c r="U15" s="62">
        <f>IF($V15="","",IF($V15="Macro",ROW(),IFERROR(LOOKUP(2,1/($V$5:$V15="Macro"),ROW($V$5:$V15)),0)))</f>
        <v/>
      </c>
      <c r="V15" s="62">
        <f>IF(NOT((COUNTA($B15:$D15)+COUNTA($G15:$L15)+COUNTA($Q15))&gt;0),"",IF($B15="Subactividad","Sub","Macro"))</f>
        <v/>
      </c>
      <c r="W15" s="62">
        <f>IF($V15="Macro",COUNTIFS($U$5:$U$1000,ROW(),$V$5:$V$1000,"Sub"),"")</f>
        <v/>
      </c>
      <c r="X15" s="62">
        <f>IF($V15="","",IF(ISNUMBER($G15),1,IFERROR(LOOKUP(2,1/($I15:$L15&lt;&gt;""),$I15:$L15),0)))</f>
        <v/>
      </c>
      <c r="Y15" s="62">
        <f>IF($V15="","",IF(AND(ISNUMBER($G15),$G15&lt;=IF($S15=MesCiclo,InicioCiclo,$S15+MOD(2-WEEKDAY($S15),7))+6),1,IF(ISNUMBER($I15),$I15,0)))</f>
        <v/>
      </c>
      <c r="Z15" s="62">
        <f>IF($V15="","",IF(AND(ISNUMBER($G15),$G15&lt;=IF($S15=MesCiclo,InicioCiclo,$S15+MOD(2-WEEKDAY($S15),7))+13),1,IF(ISNUMBER($J15),$J15,$Y15)))</f>
        <v/>
      </c>
      <c r="AA15" s="62">
        <f>IF($V15="","",IF(AND(ISNUMBER($G15),$G15&lt;=IF($S15=MesCiclo,InicioCiclo,$S15+MOD(2-WEEKDAY($S15),7))+20),1,IF(ISNUMBER($K15),$K15,$Z15)))</f>
        <v/>
      </c>
      <c r="AB15" s="62">
        <f>IF($V15="","",IF(AND(ISNUMBER($G15),$G15&lt;=IF($S15=MesCiclo,InicioCiclo,$S15+MOD(2-WEEKDAY($S15),7))+27),1,IF(ISNUMBER($L15),$L15,$AA15)))</f>
        <v/>
      </c>
      <c r="AC15" s="62">
        <f>IF($V15="","",IF(AND(ISNUMBER($G15),$G15&lt;=IF($S15=MesCiclo,InicioCiclo,$S15+MOD(2-WEEKDAY($S15),7))+6),1,IF(N($W15)&gt;0,AVERAGEIFS($Y$5:$Y$1000,$U$5:$U$1000,ROW(),$V$5:$V$1000,"Sub"),$Y15)))</f>
        <v/>
      </c>
      <c r="AD15" s="62">
        <f>IF($V15="","",IF(AND(ISNUMBER($G15),$G15&lt;=IF($S15=MesCiclo,InicioCiclo,$S15+MOD(2-WEEKDAY($S15),7))+13),1,IF(N($W15)&gt;0,AVERAGEIFS($Z$5:$Z$1000,$U$5:$U$1000,ROW(),$V$5:$V$1000,"Sub"),$Z15)))</f>
        <v/>
      </c>
      <c r="AE15" s="62">
        <f>IF($V15="","",IF(AND(ISNUMBER($G15),$G15&lt;=IF($S15=MesCiclo,InicioCiclo,$S15+MOD(2-WEEKDAY($S15),7))+20),1,IF(N($W15)&gt;0,AVERAGEIFS($AA$5:$AA$1000,$U$5:$U$1000,ROW(),$V$5:$V$1000,"Sub"),$AA15)))</f>
        <v/>
      </c>
      <c r="AF15" s="62">
        <f>IF($V15="","",IF(AND(ISNUMBER($G15),$G15&lt;=IF($S15=MesCiclo,InicioCiclo,$S15+MOD(2-WEEKDAY($S15),7))+27),1,IF(N($W15)&gt;0,AVERAGEIFS($AB$5:$AB$1000,$U$5:$U$1000,ROW(),$V$5:$V$1000,"Sub"),$AB15)))</f>
        <v/>
      </c>
      <c r="AG15" s="62">
        <f>IF($V15&lt;&gt;"Macro","",IF(COUNTIFS($S$5:$S$1000,$S15,$V$5:$V$1000,"Macro",$H$5:$H$1000,"&gt;0")=0,1/COUNTIFS($S$5:$S$1000,$S15,$V$5:$V$1000,"Macro"),IF(AND(ISNUMBER($H15),N($H15)&gt;0),$H15,SUMIFS($H$5:$H$1000,$S$5:$S$1000,$S15,$V$5:$V$1000,"Macro")/COUNTIFS($S$5:$S$1000,$S15,$V$5:$V$1000,"Macro",$H$5:$H$1000,"&gt;0"))/(COUNTIFS($S$5:$S$1000,$S15,$V$5:$V$1000,"Macro")*SUMIFS($H$5:$H$1000,$S$5:$S$1000,$S15,$V$5:$V$1000,"Macro")/COUNTIFS($S$5:$S$1000,$S15,$V$5:$V$1000,"Macro",$H$5:$H$1000,"&gt;0"))))</f>
        <v/>
      </c>
      <c r="AH15" s="62">
        <f>IF(NOT(AND($D15&lt;&gt;"",$V15="Macro")),"",IFERROR(CHOOSE(MATCH($D15,ListaPuestos,0),MATCH("[Jefatura] "&amp;$C15,'Cronograma R. Operacional'!$C$5:$C$1000,0),MATCH("[Jefatura] "&amp;$C15,'Cronograma R. Normativo'!$C$5:$C$1000,0),MATCH("[Jefatura] "&amp;$C15,'Cronograma R. Financiero'!$C$5:$C$1000,0),MATCH("[Jefatura] "&amp;$C15,'Cronograma Asistente Técnico'!$C$5:$C$1000,0)),0))</f>
        <v/>
      </c>
      <c r="AI15" s="62">
        <f>IF(AND(AND($D15&lt;&gt;"",$V15="Macro"),$S15=MesCiclo),COUNTIFS($D$5:$D15,$D15,$S$5:$S15,MesCiclo,$V$5:$V15,"Macro"),"")</f>
        <v/>
      </c>
      <c r="AJ15" s="62">
        <f>IF($AI15="","",$D15&amp;"|"&amp;$AI15)</f>
        <v/>
      </c>
      <c r="AK15" s="62">
        <f>IF(AND($D15&lt;&gt;"",$V15="Macro"),$D15&amp;"|"&amp;$C15,"")</f>
        <v/>
      </c>
      <c r="AL15" s="62">
        <f>""</f>
        <v/>
      </c>
      <c r="AM15" s="62">
        <f>IF(N($AL15)&gt;0,INDEX(rIni_ADM,$AL15),IF(ISNUMBER($E15),$E15,""))</f>
        <v/>
      </c>
      <c r="AN15" s="62">
        <f>IF(N($AL15)&gt;0,INDEX(rLim_ADM,$AL15),IF(ISNUMBER($F15),$F15,""))</f>
        <v/>
      </c>
    </row>
    <row r="16">
      <c r="A16" s="56">
        <f>IF(NOT((COUNTA($B16:$D16)+COUNTA($G16:$L16)+COUNTA($Q16))&gt;0),"",IF($V16="Macro",COUNTIFS($V$5:$V16,"Macro",$S$5:$S16,$S16),IF(N($U16)=0,"?",COUNTIFS(INDEX($V$5:$V$1000,1):INDEX($V$5:$V$1000,$U16-4),"Macro",INDEX($S$5:$S$1000,1):INDEX($S$5:$S$1000,$U16-4),INDEX($S$5:$S$1000,$U16-4))&amp;"."&amp;COUNTIFS($U$5:$U16,$U16,$V$5:$V16,"Sub"))))</f>
        <v/>
      </c>
      <c r="B16" s="57" t="n"/>
      <c r="C16" s="58" t="n"/>
      <c r="D16" s="58" t="n"/>
      <c r="E16" s="59" t="n"/>
      <c r="F16" s="59" t="n"/>
      <c r="G16" s="59" t="n"/>
      <c r="H16" s="60" t="n"/>
      <c r="I16" s="60" t="n"/>
      <c r="J16" s="60" t="n"/>
      <c r="K16" s="60" t="n"/>
      <c r="L16" s="60" t="n"/>
      <c r="M16" s="61">
        <f>IF(NOT((COUNTA($B16:$D16)+COUNTA($G16:$L16)+COUNTA($Q16))&gt;0),"",IF(AND($D16&lt;&gt;"",$V16="Macro"),IF(N($AH16)&gt;0,N(CHOOSE(MATCH($D16,ListaPuestos,0),INDEX('Cronograma R. Operacional'!$M$5:$M$1000,$AH16),INDEX('Cronograma R. Normativo'!$M$5:$M$1000,$AH16),INDEX('Cronograma R. Financiero'!$M$5:$M$1000,$AH16),INDEX('Cronograma Asistente Técnico'!$M$5:$M$1000,$AH16))),0),IF(ISNUMBER($G16),1,IF(N($W16)&gt;0,AVERAGEIFS($X$5:$X$1000,$U$5:$U$1000,ROW(),$V$5:$V$1000,"Sub"),$X16))))</f>
        <v/>
      </c>
      <c r="N16" s="56">
        <f>IF($M16="","",IF($M16&gt;=1,"Completado",IF($M16&gt;0,"En curso","Pendiente")))</f>
        <v/>
      </c>
      <c r="O16" s="56">
        <f>IF(NOT((COUNTA($B16:$D16)+COUNTA($G16:$L16)+COUNTA($Q16))&gt;0),"",IF(AND(AND($D16&lt;&gt;"",$V16="Macro"),N($AH16)&gt;0),CHOOSE(MATCH($D16,ListaPuestos,0),INDEX('Cronograma R. Operacional'!$O$5:$O$1000,$AH16),INDEX('Cronograma R. Normativo'!$O$5:$O$1000,$AH16),INDEX('Cronograma R. Financiero'!$O$5:$O$1000,$AH16),INDEX('Cronograma Asistente Técnico'!$O$5:$O$1000,$AH16))&amp;"",IF(ISNUMBER($G16),IF(AND(ISNUMBER($AN16),$G16&gt;$AN16),"Cumplida con "&amp;($G16-$AN16)&amp;IF($G16-$AN16=1," día"," días")&amp;" de retraso","Cumplida"),IF(N($M16)&gt;=1,"Cumplida",IF(NOT(ISNUMBER($AN16)),"Sin fecha límite",IF($AN16&lt;FechaRef,"Vencida hace "&amp;(FechaRef-$AN16)&amp;IF(FechaRef-$AN16=1," día"," días"),IF($AN16=FechaRef,"Vence hoy",IF($AN16-FechaRef&lt;=DiasAlerta,"Vence en "&amp;($AN16-FechaRef)&amp;IF($AN16-FechaRef=1," día"," días"),"En plazo"))))))))</f>
        <v/>
      </c>
      <c r="P16" s="62">
        <f>IF(NOT((COUNTA($B16:$D16)+COUNTA($G16:$L16)+COUNTA($Q16))&gt;0),"",IF($D16="","Propia",IF($V16&lt;&gt;"Macro","Solo se delegan macroactividades",IF(N($AH16)&gt;0,"✔ Recibida por "&amp;$D16,"⚠ "&amp;$D16&amp;" aún no la agrega"))))</f>
        <v/>
      </c>
      <c r="Q16" s="58" t="n"/>
      <c r="R16" s="63">
        <f>IF(NOT((COUNTA($B16:$D16)+COUNTA($G16:$L16)+COUNTA($Q16))&gt;0),"",IF((IF($C16="","Falta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",""))="","✔ OK","⚠ "&amp;LEFT(IF($C16="","Falta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",""),LEN(IF($C16="","Falta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",""))-3)))</f>
        <v/>
      </c>
      <c r="S16" s="64">
        <f>IF(NOT((COUNTA($B16:$D16)+COUNTA($G16:$L16)+COUNTA($Q16))&gt;0),"",IF(AND($V16="Sub",N($U16)&gt;0),IF(ISNUMBER(INDEX($AM$5:$AM$1000,$U16-4)),DATE(YEAR(INDEX($AM$5:$AM$1000,$U16-4)),MONTH(INDEX($AM$5:$AM$1000,$U16-4)),1),IF(ISNUMBER(INDEX($AN$5:$AN$1000,$U16-4)),DATE(YEAR(INDEX($AN$5:$AN$1000,$U16-4)),MONTH(INDEX($AN$5:$AN$1000,$U16-4)),1),MesCiclo)),IF(ISNUMBER($AM16),DATE(YEAR($AM16),MONTH($AM16),1),IF(ISNUMBER($AN16),DATE(YEAR($AN16),MONTH($AN16),1),MesCiclo))))</f>
        <v/>
      </c>
      <c r="T16" s="62">
        <f>IF(OR($S16="",$S16&lt;&gt;MesCiclo),"",COUNTIF($S$5:$S16,MesCiclo))</f>
        <v/>
      </c>
      <c r="U16" s="62">
        <f>IF($V16="","",IF($V16="Macro",ROW(),IFERROR(LOOKUP(2,1/($V$5:$V16="Macro"),ROW($V$5:$V16)),0)))</f>
        <v/>
      </c>
      <c r="V16" s="62">
        <f>IF(NOT((COUNTA($B16:$D16)+COUNTA($G16:$L16)+COUNTA($Q16))&gt;0),"",IF($B16="Subactividad","Sub","Macro"))</f>
        <v/>
      </c>
      <c r="W16" s="62">
        <f>IF($V16="Macro",COUNTIFS($U$5:$U$1000,ROW(),$V$5:$V$1000,"Sub"),"")</f>
        <v/>
      </c>
      <c r="X16" s="62">
        <f>IF($V16="","",IF(ISNUMBER($G16),1,IFERROR(LOOKUP(2,1/($I16:$L16&lt;&gt;""),$I16:$L16),0)))</f>
        <v/>
      </c>
      <c r="Y16" s="62">
        <f>IF($V16="","",IF(AND(ISNUMBER($G16),$G16&lt;=IF($S16=MesCiclo,InicioCiclo,$S16+MOD(2-WEEKDAY($S16),7))+6),1,IF(ISNUMBER($I16),$I16,0)))</f>
        <v/>
      </c>
      <c r="Z16" s="62">
        <f>IF($V16="","",IF(AND(ISNUMBER($G16),$G16&lt;=IF($S16=MesCiclo,InicioCiclo,$S16+MOD(2-WEEKDAY($S16),7))+13),1,IF(ISNUMBER($J16),$J16,$Y16)))</f>
        <v/>
      </c>
      <c r="AA16" s="62">
        <f>IF($V16="","",IF(AND(ISNUMBER($G16),$G16&lt;=IF($S16=MesCiclo,InicioCiclo,$S16+MOD(2-WEEKDAY($S16),7))+20),1,IF(ISNUMBER($K16),$K16,$Z16)))</f>
        <v/>
      </c>
      <c r="AB16" s="62">
        <f>IF($V16="","",IF(AND(ISNUMBER($G16),$G16&lt;=IF($S16=MesCiclo,InicioCiclo,$S16+MOD(2-WEEKDAY($S16),7))+27),1,IF(ISNUMBER($L16),$L16,$AA16)))</f>
        <v/>
      </c>
      <c r="AC16" s="62">
        <f>IF($V16="","",IF(AND(ISNUMBER($G16),$G16&lt;=IF($S16=MesCiclo,InicioCiclo,$S16+MOD(2-WEEKDAY($S16),7))+6),1,IF(N($W16)&gt;0,AVERAGEIFS($Y$5:$Y$1000,$U$5:$U$1000,ROW(),$V$5:$V$1000,"Sub"),$Y16)))</f>
        <v/>
      </c>
      <c r="AD16" s="62">
        <f>IF($V16="","",IF(AND(ISNUMBER($G16),$G16&lt;=IF($S16=MesCiclo,InicioCiclo,$S16+MOD(2-WEEKDAY($S16),7))+13),1,IF(N($W16)&gt;0,AVERAGEIFS($Z$5:$Z$1000,$U$5:$U$1000,ROW(),$V$5:$V$1000,"Sub"),$Z16)))</f>
        <v/>
      </c>
      <c r="AE16" s="62">
        <f>IF($V16="","",IF(AND(ISNUMBER($G16),$G16&lt;=IF($S16=MesCiclo,InicioCiclo,$S16+MOD(2-WEEKDAY($S16),7))+20),1,IF(N($W16)&gt;0,AVERAGEIFS($AA$5:$AA$1000,$U$5:$U$1000,ROW(),$V$5:$V$1000,"Sub"),$AA16)))</f>
        <v/>
      </c>
      <c r="AF16" s="62">
        <f>IF($V16="","",IF(AND(ISNUMBER($G16),$G16&lt;=IF($S16=MesCiclo,InicioCiclo,$S16+MOD(2-WEEKDAY($S16),7))+27),1,IF(N($W16)&gt;0,AVERAGEIFS($AB$5:$AB$1000,$U$5:$U$1000,ROW(),$V$5:$V$1000,"Sub"),$AB16)))</f>
        <v/>
      </c>
      <c r="AG16" s="62">
        <f>IF($V16&lt;&gt;"Macro","",IF(COUNTIFS($S$5:$S$1000,$S16,$V$5:$V$1000,"Macro",$H$5:$H$1000,"&gt;0")=0,1/COUNTIFS($S$5:$S$1000,$S16,$V$5:$V$1000,"Macro"),IF(AND(ISNUMBER($H16),N($H16)&gt;0),$H16,SUMIFS($H$5:$H$1000,$S$5:$S$1000,$S16,$V$5:$V$1000,"Macro")/COUNTIFS($S$5:$S$1000,$S16,$V$5:$V$1000,"Macro",$H$5:$H$1000,"&gt;0"))/(COUNTIFS($S$5:$S$1000,$S16,$V$5:$V$1000,"Macro")*SUMIFS($H$5:$H$1000,$S$5:$S$1000,$S16,$V$5:$V$1000,"Macro")/COUNTIFS($S$5:$S$1000,$S16,$V$5:$V$1000,"Macro",$H$5:$H$1000,"&gt;0"))))</f>
        <v/>
      </c>
      <c r="AH16" s="62">
        <f>IF(NOT(AND($D16&lt;&gt;"",$V16="Macro")),"",IFERROR(CHOOSE(MATCH($D16,ListaPuestos,0),MATCH("[Jefatura] "&amp;$C16,'Cronograma R. Operacional'!$C$5:$C$1000,0),MATCH("[Jefatura] "&amp;$C16,'Cronograma R. Normativo'!$C$5:$C$1000,0),MATCH("[Jefatura] "&amp;$C16,'Cronograma R. Financiero'!$C$5:$C$1000,0),MATCH("[Jefatura] "&amp;$C16,'Cronograma Asistente Técnico'!$C$5:$C$1000,0)),0))</f>
        <v/>
      </c>
      <c r="AI16" s="62">
        <f>IF(AND(AND($D16&lt;&gt;"",$V16="Macro"),$S16=MesCiclo),COUNTIFS($D$5:$D16,$D16,$S$5:$S16,MesCiclo,$V$5:$V16,"Macro"),"")</f>
        <v/>
      </c>
      <c r="AJ16" s="62">
        <f>IF($AI16="","",$D16&amp;"|"&amp;$AI16)</f>
        <v/>
      </c>
      <c r="AK16" s="62">
        <f>IF(AND($D16&lt;&gt;"",$V16="Macro"),$D16&amp;"|"&amp;$C16,"")</f>
        <v/>
      </c>
      <c r="AL16" s="62">
        <f>""</f>
        <v/>
      </c>
      <c r="AM16" s="62">
        <f>IF(N($AL16)&gt;0,INDEX(rIni_ADM,$AL16),IF(ISNUMBER($E16),$E16,""))</f>
        <v/>
      </c>
      <c r="AN16" s="62">
        <f>IF(N($AL16)&gt;0,INDEX(rLim_ADM,$AL16),IF(ISNUMBER($F16),$F16,""))</f>
        <v/>
      </c>
    </row>
    <row r="17">
      <c r="A17" s="56">
        <f>IF(NOT((COUNTA($B17:$D17)+COUNTA($G17:$L17)+COUNTA($Q17))&gt;0),"",IF($V17="Macro",COUNTIFS($V$5:$V17,"Macro",$S$5:$S17,$S17),IF(N($U17)=0,"?",COUNTIFS(INDEX($V$5:$V$1000,1):INDEX($V$5:$V$1000,$U17-4),"Macro",INDEX($S$5:$S$1000,1):INDEX($S$5:$S$1000,$U17-4),INDEX($S$5:$S$1000,$U17-4))&amp;"."&amp;COUNTIFS($U$5:$U17,$U17,$V$5:$V17,"Sub"))))</f>
        <v/>
      </c>
      <c r="B17" s="57" t="n"/>
      <c r="C17" s="58" t="n"/>
      <c r="D17" s="58" t="n"/>
      <c r="E17" s="59" t="n"/>
      <c r="F17" s="59" t="n"/>
      <c r="G17" s="59" t="n"/>
      <c r="H17" s="60" t="n"/>
      <c r="I17" s="60" t="n"/>
      <c r="J17" s="60" t="n"/>
      <c r="K17" s="60" t="n"/>
      <c r="L17" s="60" t="n"/>
      <c r="M17" s="61">
        <f>IF(NOT((COUNTA($B17:$D17)+COUNTA($G17:$L17)+COUNTA($Q17))&gt;0),"",IF(AND($D17&lt;&gt;"",$V17="Macro"),IF(N($AH17)&gt;0,N(CHOOSE(MATCH($D17,ListaPuestos,0),INDEX('Cronograma R. Operacional'!$M$5:$M$1000,$AH17),INDEX('Cronograma R. Normativo'!$M$5:$M$1000,$AH17),INDEX('Cronograma R. Financiero'!$M$5:$M$1000,$AH17),INDEX('Cronograma Asistente Técnico'!$M$5:$M$1000,$AH17))),0),IF(ISNUMBER($G17),1,IF(N($W17)&gt;0,AVERAGEIFS($X$5:$X$1000,$U$5:$U$1000,ROW(),$V$5:$V$1000,"Sub"),$X17))))</f>
        <v/>
      </c>
      <c r="N17" s="56">
        <f>IF($M17="","",IF($M17&gt;=1,"Completado",IF($M17&gt;0,"En curso","Pendiente")))</f>
        <v/>
      </c>
      <c r="O17" s="56">
        <f>IF(NOT((COUNTA($B17:$D17)+COUNTA($G17:$L17)+COUNTA($Q17))&gt;0),"",IF(AND(AND($D17&lt;&gt;"",$V17="Macro"),N($AH17)&gt;0),CHOOSE(MATCH($D17,ListaPuestos,0),INDEX('Cronograma R. Operacional'!$O$5:$O$1000,$AH17),INDEX('Cronograma R. Normativo'!$O$5:$O$1000,$AH17),INDEX('Cronograma R. Financiero'!$O$5:$O$1000,$AH17),INDEX('Cronograma Asistente Técnico'!$O$5:$O$1000,$AH17))&amp;"",IF(ISNUMBER($G17),IF(AND(ISNUMBER($AN17),$G17&gt;$AN17),"Cumplida con "&amp;($G17-$AN17)&amp;IF($G17-$AN17=1," día"," días")&amp;" de retraso","Cumplida"),IF(N($M17)&gt;=1,"Cumplida",IF(NOT(ISNUMBER($AN17)),"Sin fecha límite",IF($AN17&lt;FechaRef,"Vencida hace "&amp;(FechaRef-$AN17)&amp;IF(FechaRef-$AN17=1," día"," días"),IF($AN17=FechaRef,"Vence hoy",IF($AN17-FechaRef&lt;=DiasAlerta,"Vence en "&amp;($AN17-FechaRef)&amp;IF($AN17-FechaRef=1," día"," días"),"En plazo"))))))))</f>
        <v/>
      </c>
      <c r="P17" s="62">
        <f>IF(NOT((COUNTA($B17:$D17)+COUNTA($G17:$L17)+COUNTA($Q17))&gt;0),"",IF($D17="","Propia",IF($V17&lt;&gt;"Macro","Solo se delegan macroactividades",IF(N($AH17)&gt;0,"✔ Recibida por "&amp;$D17,"⚠ "&amp;$D17&amp;" aún no la agrega"))))</f>
        <v/>
      </c>
      <c r="Q17" s="58" t="n"/>
      <c r="R17" s="63">
        <f>IF(NOT((COUNTA($B17:$D17)+COUNTA($G17:$L17)+COUNTA($Q17))&gt;0),"",IF((IF($C17="","Falta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",""))="","✔ OK","⚠ "&amp;LEFT(IF($C17="","Falta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",""),LEN(IF($C17="","Falta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",""))-3)))</f>
        <v/>
      </c>
      <c r="S17" s="64">
        <f>IF(NOT((COUNTA($B17:$D17)+COUNTA($G17:$L17)+COUNTA($Q17))&gt;0),"",IF(AND($V17="Sub",N($U17)&gt;0),IF(ISNUMBER(INDEX($AM$5:$AM$1000,$U17-4)),DATE(YEAR(INDEX($AM$5:$AM$1000,$U17-4)),MONTH(INDEX($AM$5:$AM$1000,$U17-4)),1),IF(ISNUMBER(INDEX($AN$5:$AN$1000,$U17-4)),DATE(YEAR(INDEX($AN$5:$AN$1000,$U17-4)),MONTH(INDEX($AN$5:$AN$1000,$U17-4)),1),MesCiclo)),IF(ISNUMBER($AM17),DATE(YEAR($AM17),MONTH($AM17),1),IF(ISNUMBER($AN17),DATE(YEAR($AN17),MONTH($AN17),1),MesCiclo))))</f>
        <v/>
      </c>
      <c r="T17" s="62">
        <f>IF(OR($S17="",$S17&lt;&gt;MesCiclo),"",COUNTIF($S$5:$S17,MesCiclo))</f>
        <v/>
      </c>
      <c r="U17" s="62">
        <f>IF($V17="","",IF($V17="Macro",ROW(),IFERROR(LOOKUP(2,1/($V$5:$V17="Macro"),ROW($V$5:$V17)),0)))</f>
        <v/>
      </c>
      <c r="V17" s="62">
        <f>IF(NOT((COUNTA($B17:$D17)+COUNTA($G17:$L17)+COUNTA($Q17))&gt;0),"",IF($B17="Subactividad","Sub","Macro"))</f>
        <v/>
      </c>
      <c r="W17" s="62">
        <f>IF($V17="Macro",COUNTIFS($U$5:$U$1000,ROW(),$V$5:$V$1000,"Sub"),"")</f>
        <v/>
      </c>
      <c r="X17" s="62">
        <f>IF($V17="","",IF(ISNUMBER($G17),1,IFERROR(LOOKUP(2,1/($I17:$L17&lt;&gt;""),$I17:$L17),0)))</f>
        <v/>
      </c>
      <c r="Y17" s="62">
        <f>IF($V17="","",IF(AND(ISNUMBER($G17),$G17&lt;=IF($S17=MesCiclo,InicioCiclo,$S17+MOD(2-WEEKDAY($S17),7))+6),1,IF(ISNUMBER($I17),$I17,0)))</f>
        <v/>
      </c>
      <c r="Z17" s="62">
        <f>IF($V17="","",IF(AND(ISNUMBER($G17),$G17&lt;=IF($S17=MesCiclo,InicioCiclo,$S17+MOD(2-WEEKDAY($S17),7))+13),1,IF(ISNUMBER($J17),$J17,$Y17)))</f>
        <v/>
      </c>
      <c r="AA17" s="62">
        <f>IF($V17="","",IF(AND(ISNUMBER($G17),$G17&lt;=IF($S17=MesCiclo,InicioCiclo,$S17+MOD(2-WEEKDAY($S17),7))+20),1,IF(ISNUMBER($K17),$K17,$Z17)))</f>
        <v/>
      </c>
      <c r="AB17" s="62">
        <f>IF($V17="","",IF(AND(ISNUMBER($G17),$G17&lt;=IF($S17=MesCiclo,InicioCiclo,$S17+MOD(2-WEEKDAY($S17),7))+27),1,IF(ISNUMBER($L17),$L17,$AA17)))</f>
        <v/>
      </c>
      <c r="AC17" s="62">
        <f>IF($V17="","",IF(AND(ISNUMBER($G17),$G17&lt;=IF($S17=MesCiclo,InicioCiclo,$S17+MOD(2-WEEKDAY($S17),7))+6),1,IF(N($W17)&gt;0,AVERAGEIFS($Y$5:$Y$1000,$U$5:$U$1000,ROW(),$V$5:$V$1000,"Sub"),$Y17)))</f>
        <v/>
      </c>
      <c r="AD17" s="62">
        <f>IF($V17="","",IF(AND(ISNUMBER($G17),$G17&lt;=IF($S17=MesCiclo,InicioCiclo,$S17+MOD(2-WEEKDAY($S17),7))+13),1,IF(N($W17)&gt;0,AVERAGEIFS($Z$5:$Z$1000,$U$5:$U$1000,ROW(),$V$5:$V$1000,"Sub"),$Z17)))</f>
        <v/>
      </c>
      <c r="AE17" s="62">
        <f>IF($V17="","",IF(AND(ISNUMBER($G17),$G17&lt;=IF($S17=MesCiclo,InicioCiclo,$S17+MOD(2-WEEKDAY($S17),7))+20),1,IF(N($W17)&gt;0,AVERAGEIFS($AA$5:$AA$1000,$U$5:$U$1000,ROW(),$V$5:$V$1000,"Sub"),$AA17)))</f>
        <v/>
      </c>
      <c r="AF17" s="62">
        <f>IF($V17="","",IF(AND(ISNUMBER($G17),$G17&lt;=IF($S17=MesCiclo,InicioCiclo,$S17+MOD(2-WEEKDAY($S17),7))+27),1,IF(N($W17)&gt;0,AVERAGEIFS($AB$5:$AB$1000,$U$5:$U$1000,ROW(),$V$5:$V$1000,"Sub"),$AB17)))</f>
        <v/>
      </c>
      <c r="AG17" s="62">
        <f>IF($V17&lt;&gt;"Macro","",IF(COUNTIFS($S$5:$S$1000,$S17,$V$5:$V$1000,"Macro",$H$5:$H$1000,"&gt;0")=0,1/COUNTIFS($S$5:$S$1000,$S17,$V$5:$V$1000,"Macro"),IF(AND(ISNUMBER($H17),N($H17)&gt;0),$H17,SUMIFS($H$5:$H$1000,$S$5:$S$1000,$S17,$V$5:$V$1000,"Macro")/COUNTIFS($S$5:$S$1000,$S17,$V$5:$V$1000,"Macro",$H$5:$H$1000,"&gt;0"))/(COUNTIFS($S$5:$S$1000,$S17,$V$5:$V$1000,"Macro")*SUMIFS($H$5:$H$1000,$S$5:$S$1000,$S17,$V$5:$V$1000,"Macro")/COUNTIFS($S$5:$S$1000,$S17,$V$5:$V$1000,"Macro",$H$5:$H$1000,"&gt;0"))))</f>
        <v/>
      </c>
      <c r="AH17" s="62">
        <f>IF(NOT(AND($D17&lt;&gt;"",$V17="Macro")),"",IFERROR(CHOOSE(MATCH($D17,ListaPuestos,0),MATCH("[Jefatura] "&amp;$C17,'Cronograma R. Operacional'!$C$5:$C$1000,0),MATCH("[Jefatura] "&amp;$C17,'Cronograma R. Normativo'!$C$5:$C$1000,0),MATCH("[Jefatura] "&amp;$C17,'Cronograma R. Financiero'!$C$5:$C$1000,0),MATCH("[Jefatura] "&amp;$C17,'Cronograma Asistente Técnico'!$C$5:$C$1000,0)),0))</f>
        <v/>
      </c>
      <c r="AI17" s="62">
        <f>IF(AND(AND($D17&lt;&gt;"",$V17="Macro"),$S17=MesCiclo),COUNTIFS($D$5:$D17,$D17,$S$5:$S17,MesCiclo,$V$5:$V17,"Macro"),"")</f>
        <v/>
      </c>
      <c r="AJ17" s="62">
        <f>IF($AI17="","",$D17&amp;"|"&amp;$AI17)</f>
        <v/>
      </c>
      <c r="AK17" s="62">
        <f>IF(AND($D17&lt;&gt;"",$V17="Macro"),$D17&amp;"|"&amp;$C17,"")</f>
        <v/>
      </c>
      <c r="AL17" s="62">
        <f>""</f>
        <v/>
      </c>
      <c r="AM17" s="62">
        <f>IF(N($AL17)&gt;0,INDEX(rIni_ADM,$AL17),IF(ISNUMBER($E17),$E17,""))</f>
        <v/>
      </c>
      <c r="AN17" s="62">
        <f>IF(N($AL17)&gt;0,INDEX(rLim_ADM,$AL17),IF(ISNUMBER($F17),$F17,""))</f>
        <v/>
      </c>
    </row>
    <row r="18">
      <c r="A18" s="56">
        <f>IF(NOT((COUNTA($B18:$D18)+COUNTA($G18:$L18)+COUNTA($Q18))&gt;0),"",IF($V18="Macro",COUNTIFS($V$5:$V18,"Macro",$S$5:$S18,$S18),IF(N($U18)=0,"?",COUNTIFS(INDEX($V$5:$V$1000,1):INDEX($V$5:$V$1000,$U18-4),"Macro",INDEX($S$5:$S$1000,1):INDEX($S$5:$S$1000,$U18-4),INDEX($S$5:$S$1000,$U18-4))&amp;"."&amp;COUNTIFS($U$5:$U18,$U18,$V$5:$V18,"Sub"))))</f>
        <v/>
      </c>
      <c r="B18" s="57" t="n"/>
      <c r="C18" s="58" t="n"/>
      <c r="D18" s="58" t="n"/>
      <c r="E18" s="59" t="n"/>
      <c r="F18" s="59" t="n"/>
      <c r="G18" s="59" t="n"/>
      <c r="H18" s="60" t="n"/>
      <c r="I18" s="60" t="n"/>
      <c r="J18" s="60" t="n"/>
      <c r="K18" s="60" t="n"/>
      <c r="L18" s="60" t="n"/>
      <c r="M18" s="61">
        <f>IF(NOT((COUNTA($B18:$D18)+COUNTA($G18:$L18)+COUNTA($Q18))&gt;0),"",IF(AND($D18&lt;&gt;"",$V18="Macro"),IF(N($AH18)&gt;0,N(CHOOSE(MATCH($D18,ListaPuestos,0),INDEX('Cronograma R. Operacional'!$M$5:$M$1000,$AH18),INDEX('Cronograma R. Normativo'!$M$5:$M$1000,$AH18),INDEX('Cronograma R. Financiero'!$M$5:$M$1000,$AH18),INDEX('Cronograma Asistente Técnico'!$M$5:$M$1000,$AH18))),0),IF(ISNUMBER($G18),1,IF(N($W18)&gt;0,AVERAGEIFS($X$5:$X$1000,$U$5:$U$1000,ROW(),$V$5:$V$1000,"Sub"),$X18))))</f>
        <v/>
      </c>
      <c r="N18" s="56">
        <f>IF($M18="","",IF($M18&gt;=1,"Completado",IF($M18&gt;0,"En curso","Pendiente")))</f>
        <v/>
      </c>
      <c r="O18" s="56">
        <f>IF(NOT((COUNTA($B18:$D18)+COUNTA($G18:$L18)+COUNTA($Q18))&gt;0),"",IF(AND(AND($D18&lt;&gt;"",$V18="Macro"),N($AH18)&gt;0),CHOOSE(MATCH($D18,ListaPuestos,0),INDEX('Cronograma R. Operacional'!$O$5:$O$1000,$AH18),INDEX('Cronograma R. Normativo'!$O$5:$O$1000,$AH18),INDEX('Cronograma R. Financiero'!$O$5:$O$1000,$AH18),INDEX('Cronograma Asistente Técnico'!$O$5:$O$1000,$AH18))&amp;"",IF(ISNUMBER($G18),IF(AND(ISNUMBER($AN18),$G18&gt;$AN18),"Cumplida con "&amp;($G18-$AN18)&amp;IF($G18-$AN18=1," día"," días")&amp;" de retraso","Cumplida"),IF(N($M18)&gt;=1,"Cumplida",IF(NOT(ISNUMBER($AN18)),"Sin fecha límite",IF($AN18&lt;FechaRef,"Vencida hace "&amp;(FechaRef-$AN18)&amp;IF(FechaRef-$AN18=1," día"," días"),IF($AN18=FechaRef,"Vence hoy",IF($AN18-FechaRef&lt;=DiasAlerta,"Vence en "&amp;($AN18-FechaRef)&amp;IF($AN18-FechaRef=1," día"," días"),"En plazo"))))))))</f>
        <v/>
      </c>
      <c r="P18" s="62">
        <f>IF(NOT((COUNTA($B18:$D18)+COUNTA($G18:$L18)+COUNTA($Q18))&gt;0),"",IF($D18="","Propia",IF($V18&lt;&gt;"Macro","Solo se delegan macroactividades",IF(N($AH18)&gt;0,"✔ Recibida por "&amp;$D18,"⚠ "&amp;$D18&amp;" aún no la agrega"))))</f>
        <v/>
      </c>
      <c r="Q18" s="58" t="n"/>
      <c r="R18" s="63">
        <f>IF(NOT((COUNTA($B18:$D18)+COUNTA($G18:$L18)+COUNTA($Q18))&gt;0),"",IF((IF($C18="","Falta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",""))="","✔ OK","⚠ "&amp;LEFT(IF($C18="","Falta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",""),LEN(IF($C18="","Falta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",""))-3)))</f>
        <v/>
      </c>
      <c r="S18" s="64">
        <f>IF(NOT((COUNTA($B18:$D18)+COUNTA($G18:$L18)+COUNTA($Q18))&gt;0),"",IF(AND($V18="Sub",N($U18)&gt;0),IF(ISNUMBER(INDEX($AM$5:$AM$1000,$U18-4)),DATE(YEAR(INDEX($AM$5:$AM$1000,$U18-4)),MONTH(INDEX($AM$5:$AM$1000,$U18-4)),1),IF(ISNUMBER(INDEX($AN$5:$AN$1000,$U18-4)),DATE(YEAR(INDEX($AN$5:$AN$1000,$U18-4)),MONTH(INDEX($AN$5:$AN$1000,$U18-4)),1),MesCiclo)),IF(ISNUMBER($AM18),DATE(YEAR($AM18),MONTH($AM18),1),IF(ISNUMBER($AN18),DATE(YEAR($AN18),MONTH($AN18),1),MesCiclo))))</f>
        <v/>
      </c>
      <c r="T18" s="62">
        <f>IF(OR($S18="",$S18&lt;&gt;MesCiclo),"",COUNTIF($S$5:$S18,MesCiclo))</f>
        <v/>
      </c>
      <c r="U18" s="62">
        <f>IF($V18="","",IF($V18="Macro",ROW(),IFERROR(LOOKUP(2,1/($V$5:$V18="Macro"),ROW($V$5:$V18)),0)))</f>
        <v/>
      </c>
      <c r="V18" s="62">
        <f>IF(NOT((COUNTA($B18:$D18)+COUNTA($G18:$L18)+COUNTA($Q18))&gt;0),"",IF($B18="Subactividad","Sub","Macro"))</f>
        <v/>
      </c>
      <c r="W18" s="62">
        <f>IF($V18="Macro",COUNTIFS($U$5:$U$1000,ROW(),$V$5:$V$1000,"Sub"),"")</f>
        <v/>
      </c>
      <c r="X18" s="62">
        <f>IF($V18="","",IF(ISNUMBER($G18),1,IFERROR(LOOKUP(2,1/($I18:$L18&lt;&gt;""),$I18:$L18),0)))</f>
        <v/>
      </c>
      <c r="Y18" s="62">
        <f>IF($V18="","",IF(AND(ISNUMBER($G18),$G18&lt;=IF($S18=MesCiclo,InicioCiclo,$S18+MOD(2-WEEKDAY($S18),7))+6),1,IF(ISNUMBER($I18),$I18,0)))</f>
        <v/>
      </c>
      <c r="Z18" s="62">
        <f>IF($V18="","",IF(AND(ISNUMBER($G18),$G18&lt;=IF($S18=MesCiclo,InicioCiclo,$S18+MOD(2-WEEKDAY($S18),7))+13),1,IF(ISNUMBER($J18),$J18,$Y18)))</f>
        <v/>
      </c>
      <c r="AA18" s="62">
        <f>IF($V18="","",IF(AND(ISNUMBER($G18),$G18&lt;=IF($S18=MesCiclo,InicioCiclo,$S18+MOD(2-WEEKDAY($S18),7))+20),1,IF(ISNUMBER($K18),$K18,$Z18)))</f>
        <v/>
      </c>
      <c r="AB18" s="62">
        <f>IF($V18="","",IF(AND(ISNUMBER($G18),$G18&lt;=IF($S18=MesCiclo,InicioCiclo,$S18+MOD(2-WEEKDAY($S18),7))+27),1,IF(ISNUMBER($L18),$L18,$AA18)))</f>
        <v/>
      </c>
      <c r="AC18" s="62">
        <f>IF($V18="","",IF(AND(ISNUMBER($G18),$G18&lt;=IF($S18=MesCiclo,InicioCiclo,$S18+MOD(2-WEEKDAY($S18),7))+6),1,IF(N($W18)&gt;0,AVERAGEIFS($Y$5:$Y$1000,$U$5:$U$1000,ROW(),$V$5:$V$1000,"Sub"),$Y18)))</f>
        <v/>
      </c>
      <c r="AD18" s="62">
        <f>IF($V18="","",IF(AND(ISNUMBER($G18),$G18&lt;=IF($S18=MesCiclo,InicioCiclo,$S18+MOD(2-WEEKDAY($S18),7))+13),1,IF(N($W18)&gt;0,AVERAGEIFS($Z$5:$Z$1000,$U$5:$U$1000,ROW(),$V$5:$V$1000,"Sub"),$Z18)))</f>
        <v/>
      </c>
      <c r="AE18" s="62">
        <f>IF($V18="","",IF(AND(ISNUMBER($G18),$G18&lt;=IF($S18=MesCiclo,InicioCiclo,$S18+MOD(2-WEEKDAY($S18),7))+20),1,IF(N($W18)&gt;0,AVERAGEIFS($AA$5:$AA$1000,$U$5:$U$1000,ROW(),$V$5:$V$1000,"Sub"),$AA18)))</f>
        <v/>
      </c>
      <c r="AF18" s="62">
        <f>IF($V18="","",IF(AND(ISNUMBER($G18),$G18&lt;=IF($S18=MesCiclo,InicioCiclo,$S18+MOD(2-WEEKDAY($S18),7))+27),1,IF(N($W18)&gt;0,AVERAGEIFS($AB$5:$AB$1000,$U$5:$U$1000,ROW(),$V$5:$V$1000,"Sub"),$AB18)))</f>
        <v/>
      </c>
      <c r="AG18" s="62">
        <f>IF($V18&lt;&gt;"Macro","",IF(COUNTIFS($S$5:$S$1000,$S18,$V$5:$V$1000,"Macro",$H$5:$H$1000,"&gt;0")=0,1/COUNTIFS($S$5:$S$1000,$S18,$V$5:$V$1000,"Macro"),IF(AND(ISNUMBER($H18),N($H18)&gt;0),$H18,SUMIFS($H$5:$H$1000,$S$5:$S$1000,$S18,$V$5:$V$1000,"Macro")/COUNTIFS($S$5:$S$1000,$S18,$V$5:$V$1000,"Macro",$H$5:$H$1000,"&gt;0"))/(COUNTIFS($S$5:$S$1000,$S18,$V$5:$V$1000,"Macro")*SUMIFS($H$5:$H$1000,$S$5:$S$1000,$S18,$V$5:$V$1000,"Macro")/COUNTIFS($S$5:$S$1000,$S18,$V$5:$V$1000,"Macro",$H$5:$H$1000,"&gt;0"))))</f>
        <v/>
      </c>
      <c r="AH18" s="62">
        <f>IF(NOT(AND($D18&lt;&gt;"",$V18="Macro")),"",IFERROR(CHOOSE(MATCH($D18,ListaPuestos,0),MATCH("[Jefatura] "&amp;$C18,'Cronograma R. Operacional'!$C$5:$C$1000,0),MATCH("[Jefatura] "&amp;$C18,'Cronograma R. Normativo'!$C$5:$C$1000,0),MATCH("[Jefatura] "&amp;$C18,'Cronograma R. Financiero'!$C$5:$C$1000,0),MATCH("[Jefatura] "&amp;$C18,'Cronograma Asistente Técnico'!$C$5:$C$1000,0)),0))</f>
        <v/>
      </c>
      <c r="AI18" s="62">
        <f>IF(AND(AND($D18&lt;&gt;"",$V18="Macro"),$S18=MesCiclo),COUNTIFS($D$5:$D18,$D18,$S$5:$S18,MesCiclo,$V$5:$V18,"Macro"),"")</f>
        <v/>
      </c>
      <c r="AJ18" s="62">
        <f>IF($AI18="","",$D18&amp;"|"&amp;$AI18)</f>
        <v/>
      </c>
      <c r="AK18" s="62">
        <f>IF(AND($D18&lt;&gt;"",$V18="Macro"),$D18&amp;"|"&amp;$C18,"")</f>
        <v/>
      </c>
      <c r="AL18" s="62">
        <f>""</f>
        <v/>
      </c>
      <c r="AM18" s="62">
        <f>IF(N($AL18)&gt;0,INDEX(rIni_ADM,$AL18),IF(ISNUMBER($E18),$E18,""))</f>
        <v/>
      </c>
      <c r="AN18" s="62">
        <f>IF(N($AL18)&gt;0,INDEX(rLim_ADM,$AL18),IF(ISNUMBER($F18),$F18,""))</f>
        <v/>
      </c>
    </row>
    <row r="19">
      <c r="A19" s="56">
        <f>IF(NOT((COUNTA($B19:$D19)+COUNTA($G19:$L19)+COUNTA($Q19))&gt;0),"",IF($V19="Macro",COUNTIFS($V$5:$V19,"Macro",$S$5:$S19,$S19),IF(N($U19)=0,"?",COUNTIFS(INDEX($V$5:$V$1000,1):INDEX($V$5:$V$1000,$U19-4),"Macro",INDEX($S$5:$S$1000,1):INDEX($S$5:$S$1000,$U19-4),INDEX($S$5:$S$1000,$U19-4))&amp;"."&amp;COUNTIFS($U$5:$U19,$U19,$V$5:$V19,"Sub"))))</f>
        <v/>
      </c>
      <c r="B19" s="57" t="n"/>
      <c r="C19" s="58" t="n"/>
      <c r="D19" s="58" t="n"/>
      <c r="E19" s="59" t="n"/>
      <c r="F19" s="59" t="n"/>
      <c r="G19" s="59" t="n"/>
      <c r="H19" s="60" t="n"/>
      <c r="I19" s="60" t="n"/>
      <c r="J19" s="60" t="n"/>
      <c r="K19" s="60" t="n"/>
      <c r="L19" s="60" t="n"/>
      <c r="M19" s="61">
        <f>IF(NOT((COUNTA($B19:$D19)+COUNTA($G19:$L19)+COUNTA($Q19))&gt;0),"",IF(AND($D19&lt;&gt;"",$V19="Macro"),IF(N($AH19)&gt;0,N(CHOOSE(MATCH($D19,ListaPuestos,0),INDEX('Cronograma R. Operacional'!$M$5:$M$1000,$AH19),INDEX('Cronograma R. Normativo'!$M$5:$M$1000,$AH19),INDEX('Cronograma R. Financiero'!$M$5:$M$1000,$AH19),INDEX('Cronograma Asistente Técnico'!$M$5:$M$1000,$AH19))),0),IF(ISNUMBER($G19),1,IF(N($W19)&gt;0,AVERAGEIFS($X$5:$X$1000,$U$5:$U$1000,ROW(),$V$5:$V$1000,"Sub"),$X19))))</f>
        <v/>
      </c>
      <c r="N19" s="56">
        <f>IF($M19="","",IF($M19&gt;=1,"Completado",IF($M19&gt;0,"En curso","Pendiente")))</f>
        <v/>
      </c>
      <c r="O19" s="56">
        <f>IF(NOT((COUNTA($B19:$D19)+COUNTA($G19:$L19)+COUNTA($Q19))&gt;0),"",IF(AND(AND($D19&lt;&gt;"",$V19="Macro"),N($AH19)&gt;0),CHOOSE(MATCH($D19,ListaPuestos,0),INDEX('Cronograma R. Operacional'!$O$5:$O$1000,$AH19),INDEX('Cronograma R. Normativo'!$O$5:$O$1000,$AH19),INDEX('Cronograma R. Financiero'!$O$5:$O$1000,$AH19),INDEX('Cronograma Asistente Técnico'!$O$5:$O$1000,$AH19))&amp;"",IF(ISNUMBER($G19),IF(AND(ISNUMBER($AN19),$G19&gt;$AN19),"Cumplida con "&amp;($G19-$AN19)&amp;IF($G19-$AN19=1," día"," días")&amp;" de retraso","Cumplida"),IF(N($M19)&gt;=1,"Cumplida",IF(NOT(ISNUMBER($AN19)),"Sin fecha límite",IF($AN19&lt;FechaRef,"Vencida hace "&amp;(FechaRef-$AN19)&amp;IF(FechaRef-$AN19=1," día"," días"),IF($AN19=FechaRef,"Vence hoy",IF($AN19-FechaRef&lt;=DiasAlerta,"Vence en "&amp;($AN19-FechaRef)&amp;IF($AN19-FechaRef=1," día"," días"),"En plazo"))))))))</f>
        <v/>
      </c>
      <c r="P19" s="62">
        <f>IF(NOT((COUNTA($B19:$D19)+COUNTA($G19:$L19)+COUNTA($Q19))&gt;0),"",IF($D19="","Propia",IF($V19&lt;&gt;"Macro","Solo se delegan macroactividades",IF(N($AH19)&gt;0,"✔ Recibida por "&amp;$D19,"⚠ "&amp;$D19&amp;" aún no la agrega"))))</f>
        <v/>
      </c>
      <c r="Q19" s="58" t="n"/>
      <c r="R19" s="63">
        <f>IF(NOT((COUNTA($B19:$D19)+COUNTA($G19:$L19)+COUNTA($Q19))&gt;0),"",IF((IF($C19="","Falta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",""))="","✔ OK","⚠ "&amp;LEFT(IF($C19="","Falta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",""),LEN(IF($C19="","Falta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",""))-3)))</f>
        <v/>
      </c>
      <c r="S19" s="64">
        <f>IF(NOT((COUNTA($B19:$D19)+COUNTA($G19:$L19)+COUNTA($Q19))&gt;0),"",IF(AND($V19="Sub",N($U19)&gt;0),IF(ISNUMBER(INDEX($AM$5:$AM$1000,$U19-4)),DATE(YEAR(INDEX($AM$5:$AM$1000,$U19-4)),MONTH(INDEX($AM$5:$AM$1000,$U19-4)),1),IF(ISNUMBER(INDEX($AN$5:$AN$1000,$U19-4)),DATE(YEAR(INDEX($AN$5:$AN$1000,$U19-4)),MONTH(INDEX($AN$5:$AN$1000,$U19-4)),1),MesCiclo)),IF(ISNUMBER($AM19),DATE(YEAR($AM19),MONTH($AM19),1),IF(ISNUMBER($AN19),DATE(YEAR($AN19),MONTH($AN19),1),MesCiclo))))</f>
        <v/>
      </c>
      <c r="T19" s="62">
        <f>IF(OR($S19="",$S19&lt;&gt;MesCiclo),"",COUNTIF($S$5:$S19,MesCiclo))</f>
        <v/>
      </c>
      <c r="U19" s="62">
        <f>IF($V19="","",IF($V19="Macro",ROW(),IFERROR(LOOKUP(2,1/($V$5:$V19="Macro"),ROW($V$5:$V19)),0)))</f>
        <v/>
      </c>
      <c r="V19" s="62">
        <f>IF(NOT((COUNTA($B19:$D19)+COUNTA($G19:$L19)+COUNTA($Q19))&gt;0),"",IF($B19="Subactividad","Sub","Macro"))</f>
        <v/>
      </c>
      <c r="W19" s="62">
        <f>IF($V19="Macro",COUNTIFS($U$5:$U$1000,ROW(),$V$5:$V$1000,"Sub"),"")</f>
        <v/>
      </c>
      <c r="X19" s="62">
        <f>IF($V19="","",IF(ISNUMBER($G19),1,IFERROR(LOOKUP(2,1/($I19:$L19&lt;&gt;""),$I19:$L19),0)))</f>
        <v/>
      </c>
      <c r="Y19" s="62">
        <f>IF($V19="","",IF(AND(ISNUMBER($G19),$G19&lt;=IF($S19=MesCiclo,InicioCiclo,$S19+MOD(2-WEEKDAY($S19),7))+6),1,IF(ISNUMBER($I19),$I19,0)))</f>
        <v/>
      </c>
      <c r="Z19" s="62">
        <f>IF($V19="","",IF(AND(ISNUMBER($G19),$G19&lt;=IF($S19=MesCiclo,InicioCiclo,$S19+MOD(2-WEEKDAY($S19),7))+13),1,IF(ISNUMBER($J19),$J19,$Y19)))</f>
        <v/>
      </c>
      <c r="AA19" s="62">
        <f>IF($V19="","",IF(AND(ISNUMBER($G19),$G19&lt;=IF($S19=MesCiclo,InicioCiclo,$S19+MOD(2-WEEKDAY($S19),7))+20),1,IF(ISNUMBER($K19),$K19,$Z19)))</f>
        <v/>
      </c>
      <c r="AB19" s="62">
        <f>IF($V19="","",IF(AND(ISNUMBER($G19),$G19&lt;=IF($S19=MesCiclo,InicioCiclo,$S19+MOD(2-WEEKDAY($S19),7))+27),1,IF(ISNUMBER($L19),$L19,$AA19)))</f>
        <v/>
      </c>
      <c r="AC19" s="62">
        <f>IF($V19="","",IF(AND(ISNUMBER($G19),$G19&lt;=IF($S19=MesCiclo,InicioCiclo,$S19+MOD(2-WEEKDAY($S19),7))+6),1,IF(N($W19)&gt;0,AVERAGEIFS($Y$5:$Y$1000,$U$5:$U$1000,ROW(),$V$5:$V$1000,"Sub"),$Y19)))</f>
        <v/>
      </c>
      <c r="AD19" s="62">
        <f>IF($V19="","",IF(AND(ISNUMBER($G19),$G19&lt;=IF($S19=MesCiclo,InicioCiclo,$S19+MOD(2-WEEKDAY($S19),7))+13),1,IF(N($W19)&gt;0,AVERAGEIFS($Z$5:$Z$1000,$U$5:$U$1000,ROW(),$V$5:$V$1000,"Sub"),$Z19)))</f>
        <v/>
      </c>
      <c r="AE19" s="62">
        <f>IF($V19="","",IF(AND(ISNUMBER($G19),$G19&lt;=IF($S19=MesCiclo,InicioCiclo,$S19+MOD(2-WEEKDAY($S19),7))+20),1,IF(N($W19)&gt;0,AVERAGEIFS($AA$5:$AA$1000,$U$5:$U$1000,ROW(),$V$5:$V$1000,"Sub"),$AA19)))</f>
        <v/>
      </c>
      <c r="AF19" s="62">
        <f>IF($V19="","",IF(AND(ISNUMBER($G19),$G19&lt;=IF($S19=MesCiclo,InicioCiclo,$S19+MOD(2-WEEKDAY($S19),7))+27),1,IF(N($W19)&gt;0,AVERAGEIFS($AB$5:$AB$1000,$U$5:$U$1000,ROW(),$V$5:$V$1000,"Sub"),$AB19)))</f>
        <v/>
      </c>
      <c r="AG19" s="62">
        <f>IF($V19&lt;&gt;"Macro","",IF(COUNTIFS($S$5:$S$1000,$S19,$V$5:$V$1000,"Macro",$H$5:$H$1000,"&gt;0")=0,1/COUNTIFS($S$5:$S$1000,$S19,$V$5:$V$1000,"Macro"),IF(AND(ISNUMBER($H19),N($H19)&gt;0),$H19,SUMIFS($H$5:$H$1000,$S$5:$S$1000,$S19,$V$5:$V$1000,"Macro")/COUNTIFS($S$5:$S$1000,$S19,$V$5:$V$1000,"Macro",$H$5:$H$1000,"&gt;0"))/(COUNTIFS($S$5:$S$1000,$S19,$V$5:$V$1000,"Macro")*SUMIFS($H$5:$H$1000,$S$5:$S$1000,$S19,$V$5:$V$1000,"Macro")/COUNTIFS($S$5:$S$1000,$S19,$V$5:$V$1000,"Macro",$H$5:$H$1000,"&gt;0"))))</f>
        <v/>
      </c>
      <c r="AH19" s="62">
        <f>IF(NOT(AND($D19&lt;&gt;"",$V19="Macro")),"",IFERROR(CHOOSE(MATCH($D19,ListaPuestos,0),MATCH("[Jefatura] "&amp;$C19,'Cronograma R. Operacional'!$C$5:$C$1000,0),MATCH("[Jefatura] "&amp;$C19,'Cronograma R. Normativo'!$C$5:$C$1000,0),MATCH("[Jefatura] "&amp;$C19,'Cronograma R. Financiero'!$C$5:$C$1000,0),MATCH("[Jefatura] "&amp;$C19,'Cronograma Asistente Técnico'!$C$5:$C$1000,0)),0))</f>
        <v/>
      </c>
      <c r="AI19" s="62">
        <f>IF(AND(AND($D19&lt;&gt;"",$V19="Macro"),$S19=MesCiclo),COUNTIFS($D$5:$D19,$D19,$S$5:$S19,MesCiclo,$V$5:$V19,"Macro"),"")</f>
        <v/>
      </c>
      <c r="AJ19" s="62">
        <f>IF($AI19="","",$D19&amp;"|"&amp;$AI19)</f>
        <v/>
      </c>
      <c r="AK19" s="62">
        <f>IF(AND($D19&lt;&gt;"",$V19="Macro"),$D19&amp;"|"&amp;$C19,"")</f>
        <v/>
      </c>
      <c r="AL19" s="62">
        <f>""</f>
        <v/>
      </c>
      <c r="AM19" s="62">
        <f>IF(N($AL19)&gt;0,INDEX(rIni_ADM,$AL19),IF(ISNUMBER($E19),$E19,""))</f>
        <v/>
      </c>
      <c r="AN19" s="62">
        <f>IF(N($AL19)&gt;0,INDEX(rLim_ADM,$AL19),IF(ISNUMBER($F19),$F19,""))</f>
        <v/>
      </c>
    </row>
    <row r="20">
      <c r="A20" s="56">
        <f>IF(NOT((COUNTA($B20:$D20)+COUNTA($G20:$L20)+COUNTA($Q20))&gt;0),"",IF($V20="Macro",COUNTIFS($V$5:$V20,"Macro",$S$5:$S20,$S20),IF(N($U20)=0,"?",COUNTIFS(INDEX($V$5:$V$1000,1):INDEX($V$5:$V$1000,$U20-4),"Macro",INDEX($S$5:$S$1000,1):INDEX($S$5:$S$1000,$U20-4),INDEX($S$5:$S$1000,$U20-4))&amp;"."&amp;COUNTIFS($U$5:$U20,$U20,$V$5:$V20,"Sub"))))</f>
        <v/>
      </c>
      <c r="B20" s="57" t="n"/>
      <c r="C20" s="58" t="n"/>
      <c r="D20" s="58" t="n"/>
      <c r="E20" s="59" t="n"/>
      <c r="F20" s="59" t="n"/>
      <c r="G20" s="59" t="n"/>
      <c r="H20" s="60" t="n"/>
      <c r="I20" s="60" t="n"/>
      <c r="J20" s="60" t="n"/>
      <c r="K20" s="60" t="n"/>
      <c r="L20" s="60" t="n"/>
      <c r="M20" s="61">
        <f>IF(NOT((COUNTA($B20:$D20)+COUNTA($G20:$L20)+COUNTA($Q20))&gt;0),"",IF(AND($D20&lt;&gt;"",$V20="Macro"),IF(N($AH20)&gt;0,N(CHOOSE(MATCH($D20,ListaPuestos,0),INDEX('Cronograma R. Operacional'!$M$5:$M$1000,$AH20),INDEX('Cronograma R. Normativo'!$M$5:$M$1000,$AH20),INDEX('Cronograma R. Financiero'!$M$5:$M$1000,$AH20),INDEX('Cronograma Asistente Técnico'!$M$5:$M$1000,$AH20))),0),IF(ISNUMBER($G20),1,IF(N($W20)&gt;0,AVERAGEIFS($X$5:$X$1000,$U$5:$U$1000,ROW(),$V$5:$V$1000,"Sub"),$X20))))</f>
        <v/>
      </c>
      <c r="N20" s="56">
        <f>IF($M20="","",IF($M20&gt;=1,"Completado",IF($M20&gt;0,"En curso","Pendiente")))</f>
        <v/>
      </c>
      <c r="O20" s="56">
        <f>IF(NOT((COUNTA($B20:$D20)+COUNTA($G20:$L20)+COUNTA($Q20))&gt;0),"",IF(AND(AND($D20&lt;&gt;"",$V20="Macro"),N($AH20)&gt;0),CHOOSE(MATCH($D20,ListaPuestos,0),INDEX('Cronograma R. Operacional'!$O$5:$O$1000,$AH20),INDEX('Cronograma R. Normativo'!$O$5:$O$1000,$AH20),INDEX('Cronograma R. Financiero'!$O$5:$O$1000,$AH20),INDEX('Cronograma Asistente Técnico'!$O$5:$O$1000,$AH20))&amp;"",IF(ISNUMBER($G20),IF(AND(ISNUMBER($AN20),$G20&gt;$AN20),"Cumplida con "&amp;($G20-$AN20)&amp;IF($G20-$AN20=1," día"," días")&amp;" de retraso","Cumplida"),IF(N($M20)&gt;=1,"Cumplida",IF(NOT(ISNUMBER($AN20)),"Sin fecha límite",IF($AN20&lt;FechaRef,"Vencida hace "&amp;(FechaRef-$AN20)&amp;IF(FechaRef-$AN20=1," día"," días"),IF($AN20=FechaRef,"Vence hoy",IF($AN20-FechaRef&lt;=DiasAlerta,"Vence en "&amp;($AN20-FechaRef)&amp;IF($AN20-FechaRef=1," día"," días"),"En plazo"))))))))</f>
        <v/>
      </c>
      <c r="P20" s="62">
        <f>IF(NOT((COUNTA($B20:$D20)+COUNTA($G20:$L20)+COUNTA($Q20))&gt;0),"",IF($D20="","Propia",IF($V20&lt;&gt;"Macro","Solo se delegan macroactividades",IF(N($AH20)&gt;0,"✔ Recibida por "&amp;$D20,"⚠ "&amp;$D20&amp;" aún no la agrega"))))</f>
        <v/>
      </c>
      <c r="Q20" s="58" t="n"/>
      <c r="R20" s="63">
        <f>IF(NOT((COUNTA($B20:$D20)+COUNTA($G20:$L20)+COUNTA($Q20))&gt;0),"",IF((IF($C20="","Falta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",""))="","✔ OK","⚠ "&amp;LEFT(IF($C20="","Falta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",""),LEN(IF($C20="","Falta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",""))-3)))</f>
        <v/>
      </c>
      <c r="S20" s="64">
        <f>IF(NOT((COUNTA($B20:$D20)+COUNTA($G20:$L20)+COUNTA($Q20))&gt;0),"",IF(AND($V20="Sub",N($U20)&gt;0),IF(ISNUMBER(INDEX($AM$5:$AM$1000,$U20-4)),DATE(YEAR(INDEX($AM$5:$AM$1000,$U20-4)),MONTH(INDEX($AM$5:$AM$1000,$U20-4)),1),IF(ISNUMBER(INDEX($AN$5:$AN$1000,$U20-4)),DATE(YEAR(INDEX($AN$5:$AN$1000,$U20-4)),MONTH(INDEX($AN$5:$AN$1000,$U20-4)),1),MesCiclo)),IF(ISNUMBER($AM20),DATE(YEAR($AM20),MONTH($AM20),1),IF(ISNUMBER($AN20),DATE(YEAR($AN20),MONTH($AN20),1),MesCiclo))))</f>
        <v/>
      </c>
      <c r="T20" s="62">
        <f>IF(OR($S20="",$S20&lt;&gt;MesCiclo),"",COUNTIF($S$5:$S20,MesCiclo))</f>
        <v/>
      </c>
      <c r="U20" s="62">
        <f>IF($V20="","",IF($V20="Macro",ROW(),IFERROR(LOOKUP(2,1/($V$5:$V20="Macro"),ROW($V$5:$V20)),0)))</f>
        <v/>
      </c>
      <c r="V20" s="62">
        <f>IF(NOT((COUNTA($B20:$D20)+COUNTA($G20:$L20)+COUNTA($Q20))&gt;0),"",IF($B20="Subactividad","Sub","Macro"))</f>
        <v/>
      </c>
      <c r="W20" s="62">
        <f>IF($V20="Macro",COUNTIFS($U$5:$U$1000,ROW(),$V$5:$V$1000,"Sub"),"")</f>
        <v/>
      </c>
      <c r="X20" s="62">
        <f>IF($V20="","",IF(ISNUMBER($G20),1,IFERROR(LOOKUP(2,1/($I20:$L20&lt;&gt;""),$I20:$L20),0)))</f>
        <v/>
      </c>
      <c r="Y20" s="62">
        <f>IF($V20="","",IF(AND(ISNUMBER($G20),$G20&lt;=IF($S20=MesCiclo,InicioCiclo,$S20+MOD(2-WEEKDAY($S20),7))+6),1,IF(ISNUMBER($I20),$I20,0)))</f>
        <v/>
      </c>
      <c r="Z20" s="62">
        <f>IF($V20="","",IF(AND(ISNUMBER($G20),$G20&lt;=IF($S20=MesCiclo,InicioCiclo,$S20+MOD(2-WEEKDAY($S20),7))+13),1,IF(ISNUMBER($J20),$J20,$Y20)))</f>
        <v/>
      </c>
      <c r="AA20" s="62">
        <f>IF($V20="","",IF(AND(ISNUMBER($G20),$G20&lt;=IF($S20=MesCiclo,InicioCiclo,$S20+MOD(2-WEEKDAY($S20),7))+20),1,IF(ISNUMBER($K20),$K20,$Z20)))</f>
        <v/>
      </c>
      <c r="AB20" s="62">
        <f>IF($V20="","",IF(AND(ISNUMBER($G20),$G20&lt;=IF($S20=MesCiclo,InicioCiclo,$S20+MOD(2-WEEKDAY($S20),7))+27),1,IF(ISNUMBER($L20),$L20,$AA20)))</f>
        <v/>
      </c>
      <c r="AC20" s="62">
        <f>IF($V20="","",IF(AND(ISNUMBER($G20),$G20&lt;=IF($S20=MesCiclo,InicioCiclo,$S20+MOD(2-WEEKDAY($S20),7))+6),1,IF(N($W20)&gt;0,AVERAGEIFS($Y$5:$Y$1000,$U$5:$U$1000,ROW(),$V$5:$V$1000,"Sub"),$Y20)))</f>
        <v/>
      </c>
      <c r="AD20" s="62">
        <f>IF($V20="","",IF(AND(ISNUMBER($G20),$G20&lt;=IF($S20=MesCiclo,InicioCiclo,$S20+MOD(2-WEEKDAY($S20),7))+13),1,IF(N($W20)&gt;0,AVERAGEIFS($Z$5:$Z$1000,$U$5:$U$1000,ROW(),$V$5:$V$1000,"Sub"),$Z20)))</f>
        <v/>
      </c>
      <c r="AE20" s="62">
        <f>IF($V20="","",IF(AND(ISNUMBER($G20),$G20&lt;=IF($S20=MesCiclo,InicioCiclo,$S20+MOD(2-WEEKDAY($S20),7))+20),1,IF(N($W20)&gt;0,AVERAGEIFS($AA$5:$AA$1000,$U$5:$U$1000,ROW(),$V$5:$V$1000,"Sub"),$AA20)))</f>
        <v/>
      </c>
      <c r="AF20" s="62">
        <f>IF($V20="","",IF(AND(ISNUMBER($G20),$G20&lt;=IF($S20=MesCiclo,InicioCiclo,$S20+MOD(2-WEEKDAY($S20),7))+27),1,IF(N($W20)&gt;0,AVERAGEIFS($AB$5:$AB$1000,$U$5:$U$1000,ROW(),$V$5:$V$1000,"Sub"),$AB20)))</f>
        <v/>
      </c>
      <c r="AG20" s="62">
        <f>IF($V20&lt;&gt;"Macro","",IF(COUNTIFS($S$5:$S$1000,$S20,$V$5:$V$1000,"Macro",$H$5:$H$1000,"&gt;0")=0,1/COUNTIFS($S$5:$S$1000,$S20,$V$5:$V$1000,"Macro"),IF(AND(ISNUMBER($H20),N($H20)&gt;0),$H20,SUMIFS($H$5:$H$1000,$S$5:$S$1000,$S20,$V$5:$V$1000,"Macro")/COUNTIFS($S$5:$S$1000,$S20,$V$5:$V$1000,"Macro",$H$5:$H$1000,"&gt;0"))/(COUNTIFS($S$5:$S$1000,$S20,$V$5:$V$1000,"Macro")*SUMIFS($H$5:$H$1000,$S$5:$S$1000,$S20,$V$5:$V$1000,"Macro")/COUNTIFS($S$5:$S$1000,$S20,$V$5:$V$1000,"Macro",$H$5:$H$1000,"&gt;0"))))</f>
        <v/>
      </c>
      <c r="AH20" s="62">
        <f>IF(NOT(AND($D20&lt;&gt;"",$V20="Macro")),"",IFERROR(CHOOSE(MATCH($D20,ListaPuestos,0),MATCH("[Jefatura] "&amp;$C20,'Cronograma R. Operacional'!$C$5:$C$1000,0),MATCH("[Jefatura] "&amp;$C20,'Cronograma R. Normativo'!$C$5:$C$1000,0),MATCH("[Jefatura] "&amp;$C20,'Cronograma R. Financiero'!$C$5:$C$1000,0),MATCH("[Jefatura] "&amp;$C20,'Cronograma Asistente Técnico'!$C$5:$C$1000,0)),0))</f>
        <v/>
      </c>
      <c r="AI20" s="62">
        <f>IF(AND(AND($D20&lt;&gt;"",$V20="Macro"),$S20=MesCiclo),COUNTIFS($D$5:$D20,$D20,$S$5:$S20,MesCiclo,$V$5:$V20,"Macro"),"")</f>
        <v/>
      </c>
      <c r="AJ20" s="62">
        <f>IF($AI20="","",$D20&amp;"|"&amp;$AI20)</f>
        <v/>
      </c>
      <c r="AK20" s="62">
        <f>IF(AND($D20&lt;&gt;"",$V20="Macro"),$D20&amp;"|"&amp;$C20,"")</f>
        <v/>
      </c>
      <c r="AL20" s="62">
        <f>""</f>
        <v/>
      </c>
      <c r="AM20" s="62">
        <f>IF(N($AL20)&gt;0,INDEX(rIni_ADM,$AL20),IF(ISNUMBER($E20),$E20,""))</f>
        <v/>
      </c>
      <c r="AN20" s="62">
        <f>IF(N($AL20)&gt;0,INDEX(rLim_ADM,$AL20),IF(ISNUMBER($F20),$F20,""))</f>
        <v/>
      </c>
    </row>
    <row r="21">
      <c r="A21" s="56">
        <f>IF(NOT((COUNTA($B21:$D21)+COUNTA($G21:$L21)+COUNTA($Q21))&gt;0),"",IF($V21="Macro",COUNTIFS($V$5:$V21,"Macro",$S$5:$S21,$S21),IF(N($U21)=0,"?",COUNTIFS(INDEX($V$5:$V$1000,1):INDEX($V$5:$V$1000,$U21-4),"Macro",INDEX($S$5:$S$1000,1):INDEX($S$5:$S$1000,$U21-4),INDEX($S$5:$S$1000,$U21-4))&amp;"."&amp;COUNTIFS($U$5:$U21,$U21,$V$5:$V21,"Sub"))))</f>
        <v/>
      </c>
      <c r="B21" s="57" t="n"/>
      <c r="C21" s="58" t="n"/>
      <c r="D21" s="58" t="n"/>
      <c r="E21" s="59" t="n"/>
      <c r="F21" s="59" t="n"/>
      <c r="G21" s="59" t="n"/>
      <c r="H21" s="60" t="n"/>
      <c r="I21" s="60" t="n"/>
      <c r="J21" s="60" t="n"/>
      <c r="K21" s="60" t="n"/>
      <c r="L21" s="60" t="n"/>
      <c r="M21" s="61">
        <f>IF(NOT((COUNTA($B21:$D21)+COUNTA($G21:$L21)+COUNTA($Q21))&gt;0),"",IF(AND($D21&lt;&gt;"",$V21="Macro"),IF(N($AH21)&gt;0,N(CHOOSE(MATCH($D21,ListaPuestos,0),INDEX('Cronograma R. Operacional'!$M$5:$M$1000,$AH21),INDEX('Cronograma R. Normativo'!$M$5:$M$1000,$AH21),INDEX('Cronograma R. Financiero'!$M$5:$M$1000,$AH21),INDEX('Cronograma Asistente Técnico'!$M$5:$M$1000,$AH21))),0),IF(ISNUMBER($G21),1,IF(N($W21)&gt;0,AVERAGEIFS($X$5:$X$1000,$U$5:$U$1000,ROW(),$V$5:$V$1000,"Sub"),$X21))))</f>
        <v/>
      </c>
      <c r="N21" s="56">
        <f>IF($M21="","",IF($M21&gt;=1,"Completado",IF($M21&gt;0,"En curso","Pendiente")))</f>
        <v/>
      </c>
      <c r="O21" s="56">
        <f>IF(NOT((COUNTA($B21:$D21)+COUNTA($G21:$L21)+COUNTA($Q21))&gt;0),"",IF(AND(AND($D21&lt;&gt;"",$V21="Macro"),N($AH21)&gt;0),CHOOSE(MATCH($D21,ListaPuestos,0),INDEX('Cronograma R. Operacional'!$O$5:$O$1000,$AH21),INDEX('Cronograma R. Normativo'!$O$5:$O$1000,$AH21),INDEX('Cronograma R. Financiero'!$O$5:$O$1000,$AH21),INDEX('Cronograma Asistente Técnico'!$O$5:$O$1000,$AH21))&amp;"",IF(ISNUMBER($G21),IF(AND(ISNUMBER($AN21),$G21&gt;$AN21),"Cumplida con "&amp;($G21-$AN21)&amp;IF($G21-$AN21=1," día"," días")&amp;" de retraso","Cumplida"),IF(N($M21)&gt;=1,"Cumplida",IF(NOT(ISNUMBER($AN21)),"Sin fecha límite",IF($AN21&lt;FechaRef,"Vencida hace "&amp;(FechaRef-$AN21)&amp;IF(FechaRef-$AN21=1," día"," días"),IF($AN21=FechaRef,"Vence hoy",IF($AN21-FechaRef&lt;=DiasAlerta,"Vence en "&amp;($AN21-FechaRef)&amp;IF($AN21-FechaRef=1," día"," días"),"En plazo"))))))))</f>
        <v/>
      </c>
      <c r="P21" s="62">
        <f>IF(NOT((COUNTA($B21:$D21)+COUNTA($G21:$L21)+COUNTA($Q21))&gt;0),"",IF($D21="","Propia",IF($V21&lt;&gt;"Macro","Solo se delegan macroactividades",IF(N($AH21)&gt;0,"✔ Recibida por "&amp;$D21,"⚠ "&amp;$D21&amp;" aún no la agrega"))))</f>
        <v/>
      </c>
      <c r="Q21" s="58" t="n"/>
      <c r="R21" s="63">
        <f>IF(NOT((COUNTA($B21:$D21)+COUNTA($G21:$L21)+COUNTA($Q21))&gt;0),"",IF((IF($C21="","Falta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",""))="","✔ OK","⚠ "&amp;LEFT(IF($C21="","Falta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",""),LEN(IF($C21="","Falta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",""))-3)))</f>
        <v/>
      </c>
      <c r="S21" s="64">
        <f>IF(NOT((COUNTA($B21:$D21)+COUNTA($G21:$L21)+COUNTA($Q21))&gt;0),"",IF(AND($V21="Sub",N($U21)&gt;0),IF(ISNUMBER(INDEX($AM$5:$AM$1000,$U21-4)),DATE(YEAR(INDEX($AM$5:$AM$1000,$U21-4)),MONTH(INDEX($AM$5:$AM$1000,$U21-4)),1),IF(ISNUMBER(INDEX($AN$5:$AN$1000,$U21-4)),DATE(YEAR(INDEX($AN$5:$AN$1000,$U21-4)),MONTH(INDEX($AN$5:$AN$1000,$U21-4)),1),MesCiclo)),IF(ISNUMBER($AM21),DATE(YEAR($AM21),MONTH($AM21),1),IF(ISNUMBER($AN21),DATE(YEAR($AN21),MONTH($AN21),1),MesCiclo))))</f>
        <v/>
      </c>
      <c r="T21" s="62">
        <f>IF(OR($S21="",$S21&lt;&gt;MesCiclo),"",COUNTIF($S$5:$S21,MesCiclo))</f>
        <v/>
      </c>
      <c r="U21" s="62">
        <f>IF($V21="","",IF($V21="Macro",ROW(),IFERROR(LOOKUP(2,1/($V$5:$V21="Macro"),ROW($V$5:$V21)),0)))</f>
        <v/>
      </c>
      <c r="V21" s="62">
        <f>IF(NOT((COUNTA($B21:$D21)+COUNTA($G21:$L21)+COUNTA($Q21))&gt;0),"",IF($B21="Subactividad","Sub","Macro"))</f>
        <v/>
      </c>
      <c r="W21" s="62">
        <f>IF($V21="Macro",COUNTIFS($U$5:$U$1000,ROW(),$V$5:$V$1000,"Sub"),"")</f>
        <v/>
      </c>
      <c r="X21" s="62">
        <f>IF($V21="","",IF(ISNUMBER($G21),1,IFERROR(LOOKUP(2,1/($I21:$L21&lt;&gt;""),$I21:$L21),0)))</f>
        <v/>
      </c>
      <c r="Y21" s="62">
        <f>IF($V21="","",IF(AND(ISNUMBER($G21),$G21&lt;=IF($S21=MesCiclo,InicioCiclo,$S21+MOD(2-WEEKDAY($S21),7))+6),1,IF(ISNUMBER($I21),$I21,0)))</f>
        <v/>
      </c>
      <c r="Z21" s="62">
        <f>IF($V21="","",IF(AND(ISNUMBER($G21),$G21&lt;=IF($S21=MesCiclo,InicioCiclo,$S21+MOD(2-WEEKDAY($S21),7))+13),1,IF(ISNUMBER($J21),$J21,$Y21)))</f>
        <v/>
      </c>
      <c r="AA21" s="62">
        <f>IF($V21="","",IF(AND(ISNUMBER($G21),$G21&lt;=IF($S21=MesCiclo,InicioCiclo,$S21+MOD(2-WEEKDAY($S21),7))+20),1,IF(ISNUMBER($K21),$K21,$Z21)))</f>
        <v/>
      </c>
      <c r="AB21" s="62">
        <f>IF($V21="","",IF(AND(ISNUMBER($G21),$G21&lt;=IF($S21=MesCiclo,InicioCiclo,$S21+MOD(2-WEEKDAY($S21),7))+27),1,IF(ISNUMBER($L21),$L21,$AA21)))</f>
        <v/>
      </c>
      <c r="AC21" s="62">
        <f>IF($V21="","",IF(AND(ISNUMBER($G21),$G21&lt;=IF($S21=MesCiclo,InicioCiclo,$S21+MOD(2-WEEKDAY($S21),7))+6),1,IF(N($W21)&gt;0,AVERAGEIFS($Y$5:$Y$1000,$U$5:$U$1000,ROW(),$V$5:$V$1000,"Sub"),$Y21)))</f>
        <v/>
      </c>
      <c r="AD21" s="62">
        <f>IF($V21="","",IF(AND(ISNUMBER($G21),$G21&lt;=IF($S21=MesCiclo,InicioCiclo,$S21+MOD(2-WEEKDAY($S21),7))+13),1,IF(N($W21)&gt;0,AVERAGEIFS($Z$5:$Z$1000,$U$5:$U$1000,ROW(),$V$5:$V$1000,"Sub"),$Z21)))</f>
        <v/>
      </c>
      <c r="AE21" s="62">
        <f>IF($V21="","",IF(AND(ISNUMBER($G21),$G21&lt;=IF($S21=MesCiclo,InicioCiclo,$S21+MOD(2-WEEKDAY($S21),7))+20),1,IF(N($W21)&gt;0,AVERAGEIFS($AA$5:$AA$1000,$U$5:$U$1000,ROW(),$V$5:$V$1000,"Sub"),$AA21)))</f>
        <v/>
      </c>
      <c r="AF21" s="62">
        <f>IF($V21="","",IF(AND(ISNUMBER($G21),$G21&lt;=IF($S21=MesCiclo,InicioCiclo,$S21+MOD(2-WEEKDAY($S21),7))+27),1,IF(N($W21)&gt;0,AVERAGEIFS($AB$5:$AB$1000,$U$5:$U$1000,ROW(),$V$5:$V$1000,"Sub"),$AB21)))</f>
        <v/>
      </c>
      <c r="AG21" s="62">
        <f>IF($V21&lt;&gt;"Macro","",IF(COUNTIFS($S$5:$S$1000,$S21,$V$5:$V$1000,"Macro",$H$5:$H$1000,"&gt;0")=0,1/COUNTIFS($S$5:$S$1000,$S21,$V$5:$V$1000,"Macro"),IF(AND(ISNUMBER($H21),N($H21)&gt;0),$H21,SUMIFS($H$5:$H$1000,$S$5:$S$1000,$S21,$V$5:$V$1000,"Macro")/COUNTIFS($S$5:$S$1000,$S21,$V$5:$V$1000,"Macro",$H$5:$H$1000,"&gt;0"))/(COUNTIFS($S$5:$S$1000,$S21,$V$5:$V$1000,"Macro")*SUMIFS($H$5:$H$1000,$S$5:$S$1000,$S21,$V$5:$V$1000,"Macro")/COUNTIFS($S$5:$S$1000,$S21,$V$5:$V$1000,"Macro",$H$5:$H$1000,"&gt;0"))))</f>
        <v/>
      </c>
      <c r="AH21" s="62">
        <f>IF(NOT(AND($D21&lt;&gt;"",$V21="Macro")),"",IFERROR(CHOOSE(MATCH($D21,ListaPuestos,0),MATCH("[Jefatura] "&amp;$C21,'Cronograma R. Operacional'!$C$5:$C$1000,0),MATCH("[Jefatura] "&amp;$C21,'Cronograma R. Normativo'!$C$5:$C$1000,0),MATCH("[Jefatura] "&amp;$C21,'Cronograma R. Financiero'!$C$5:$C$1000,0),MATCH("[Jefatura] "&amp;$C21,'Cronograma Asistente Técnico'!$C$5:$C$1000,0)),0))</f>
        <v/>
      </c>
      <c r="AI21" s="62">
        <f>IF(AND(AND($D21&lt;&gt;"",$V21="Macro"),$S21=MesCiclo),COUNTIFS($D$5:$D21,$D21,$S$5:$S21,MesCiclo,$V$5:$V21,"Macro"),"")</f>
        <v/>
      </c>
      <c r="AJ21" s="62">
        <f>IF($AI21="","",$D21&amp;"|"&amp;$AI21)</f>
        <v/>
      </c>
      <c r="AK21" s="62">
        <f>IF(AND($D21&lt;&gt;"",$V21="Macro"),$D21&amp;"|"&amp;$C21,"")</f>
        <v/>
      </c>
      <c r="AL21" s="62">
        <f>""</f>
        <v/>
      </c>
      <c r="AM21" s="62">
        <f>IF(N($AL21)&gt;0,INDEX(rIni_ADM,$AL21),IF(ISNUMBER($E21),$E21,""))</f>
        <v/>
      </c>
      <c r="AN21" s="62">
        <f>IF(N($AL21)&gt;0,INDEX(rLim_ADM,$AL21),IF(ISNUMBER($F21),$F21,""))</f>
        <v/>
      </c>
    </row>
    <row r="22">
      <c r="A22" s="56">
        <f>IF(NOT((COUNTA($B22:$D22)+COUNTA($G22:$L22)+COUNTA($Q22))&gt;0),"",IF($V22="Macro",COUNTIFS($V$5:$V22,"Macro",$S$5:$S22,$S22),IF(N($U22)=0,"?",COUNTIFS(INDEX($V$5:$V$1000,1):INDEX($V$5:$V$1000,$U22-4),"Macro",INDEX($S$5:$S$1000,1):INDEX($S$5:$S$1000,$U22-4),INDEX($S$5:$S$1000,$U22-4))&amp;"."&amp;COUNTIFS($U$5:$U22,$U22,$V$5:$V22,"Sub"))))</f>
        <v/>
      </c>
      <c r="B22" s="57" t="n"/>
      <c r="C22" s="58" t="n"/>
      <c r="D22" s="58" t="n"/>
      <c r="E22" s="59" t="n"/>
      <c r="F22" s="59" t="n"/>
      <c r="G22" s="59" t="n"/>
      <c r="H22" s="60" t="n"/>
      <c r="I22" s="60" t="n"/>
      <c r="J22" s="60" t="n"/>
      <c r="K22" s="60" t="n"/>
      <c r="L22" s="60" t="n"/>
      <c r="M22" s="61">
        <f>IF(NOT((COUNTA($B22:$D22)+COUNTA($G22:$L22)+COUNTA($Q22))&gt;0),"",IF(AND($D22&lt;&gt;"",$V22="Macro"),IF(N($AH22)&gt;0,N(CHOOSE(MATCH($D22,ListaPuestos,0),INDEX('Cronograma R. Operacional'!$M$5:$M$1000,$AH22),INDEX('Cronograma R. Normativo'!$M$5:$M$1000,$AH22),INDEX('Cronograma R. Financiero'!$M$5:$M$1000,$AH22),INDEX('Cronograma Asistente Técnico'!$M$5:$M$1000,$AH22))),0),IF(ISNUMBER($G22),1,IF(N($W22)&gt;0,AVERAGEIFS($X$5:$X$1000,$U$5:$U$1000,ROW(),$V$5:$V$1000,"Sub"),$X22))))</f>
        <v/>
      </c>
      <c r="N22" s="56">
        <f>IF($M22="","",IF($M22&gt;=1,"Completado",IF($M22&gt;0,"En curso","Pendiente")))</f>
        <v/>
      </c>
      <c r="O22" s="56">
        <f>IF(NOT((COUNTA($B22:$D22)+COUNTA($G22:$L22)+COUNTA($Q22))&gt;0),"",IF(AND(AND($D22&lt;&gt;"",$V22="Macro"),N($AH22)&gt;0),CHOOSE(MATCH($D22,ListaPuestos,0),INDEX('Cronograma R. Operacional'!$O$5:$O$1000,$AH22),INDEX('Cronograma R. Normativo'!$O$5:$O$1000,$AH22),INDEX('Cronograma R. Financiero'!$O$5:$O$1000,$AH22),INDEX('Cronograma Asistente Técnico'!$O$5:$O$1000,$AH22))&amp;"",IF(ISNUMBER($G22),IF(AND(ISNUMBER($AN22),$G22&gt;$AN22),"Cumplida con "&amp;($G22-$AN22)&amp;IF($G22-$AN22=1," día"," días")&amp;" de retraso","Cumplida"),IF(N($M22)&gt;=1,"Cumplida",IF(NOT(ISNUMBER($AN22)),"Sin fecha límite",IF($AN22&lt;FechaRef,"Vencida hace "&amp;(FechaRef-$AN22)&amp;IF(FechaRef-$AN22=1," día"," días"),IF($AN22=FechaRef,"Vence hoy",IF($AN22-FechaRef&lt;=DiasAlerta,"Vence en "&amp;($AN22-FechaRef)&amp;IF($AN22-FechaRef=1," día"," días"),"En plazo"))))))))</f>
        <v/>
      </c>
      <c r="P22" s="62">
        <f>IF(NOT((COUNTA($B22:$D22)+COUNTA($G22:$L22)+COUNTA($Q22))&gt;0),"",IF($D22="","Propia",IF($V22&lt;&gt;"Macro","Solo se delegan macroactividades",IF(N($AH22)&gt;0,"✔ Recibida por "&amp;$D22,"⚠ "&amp;$D22&amp;" aún no la agrega"))))</f>
        <v/>
      </c>
      <c r="Q22" s="58" t="n"/>
      <c r="R22" s="63">
        <f>IF(NOT((COUNTA($B22:$D22)+COUNTA($G22:$L22)+COUNTA($Q22))&gt;0),"",IF((IF($C22="","Falta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",""))="","✔ OK","⚠ "&amp;LEFT(IF($C22="","Falta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",""),LEN(IF($C22="","Falta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",""))-3)))</f>
        <v/>
      </c>
      <c r="S22" s="64">
        <f>IF(NOT((COUNTA($B22:$D22)+COUNTA($G22:$L22)+COUNTA($Q22))&gt;0),"",IF(AND($V22="Sub",N($U22)&gt;0),IF(ISNUMBER(INDEX($AM$5:$AM$1000,$U22-4)),DATE(YEAR(INDEX($AM$5:$AM$1000,$U22-4)),MONTH(INDEX($AM$5:$AM$1000,$U22-4)),1),IF(ISNUMBER(INDEX($AN$5:$AN$1000,$U22-4)),DATE(YEAR(INDEX($AN$5:$AN$1000,$U22-4)),MONTH(INDEX($AN$5:$AN$1000,$U22-4)),1),MesCiclo)),IF(ISNUMBER($AM22),DATE(YEAR($AM22),MONTH($AM22),1),IF(ISNUMBER($AN22),DATE(YEAR($AN22),MONTH($AN22),1),MesCiclo))))</f>
        <v/>
      </c>
      <c r="T22" s="62">
        <f>IF(OR($S22="",$S22&lt;&gt;MesCiclo),"",COUNTIF($S$5:$S22,MesCiclo))</f>
        <v/>
      </c>
      <c r="U22" s="62">
        <f>IF($V22="","",IF($V22="Macro",ROW(),IFERROR(LOOKUP(2,1/($V$5:$V22="Macro"),ROW($V$5:$V22)),0)))</f>
        <v/>
      </c>
      <c r="V22" s="62">
        <f>IF(NOT((COUNTA($B22:$D22)+COUNTA($G22:$L22)+COUNTA($Q22))&gt;0),"",IF($B22="Subactividad","Sub","Macro"))</f>
        <v/>
      </c>
      <c r="W22" s="62">
        <f>IF($V22="Macro",COUNTIFS($U$5:$U$1000,ROW(),$V$5:$V$1000,"Sub"),"")</f>
        <v/>
      </c>
      <c r="X22" s="62">
        <f>IF($V22="","",IF(ISNUMBER($G22),1,IFERROR(LOOKUP(2,1/($I22:$L22&lt;&gt;""),$I22:$L22),0)))</f>
        <v/>
      </c>
      <c r="Y22" s="62">
        <f>IF($V22="","",IF(AND(ISNUMBER($G22),$G22&lt;=IF($S22=MesCiclo,InicioCiclo,$S22+MOD(2-WEEKDAY($S22),7))+6),1,IF(ISNUMBER($I22),$I22,0)))</f>
        <v/>
      </c>
      <c r="Z22" s="62">
        <f>IF($V22="","",IF(AND(ISNUMBER($G22),$G22&lt;=IF($S22=MesCiclo,InicioCiclo,$S22+MOD(2-WEEKDAY($S22),7))+13),1,IF(ISNUMBER($J22),$J22,$Y22)))</f>
        <v/>
      </c>
      <c r="AA22" s="62">
        <f>IF($V22="","",IF(AND(ISNUMBER($G22),$G22&lt;=IF($S22=MesCiclo,InicioCiclo,$S22+MOD(2-WEEKDAY($S22),7))+20),1,IF(ISNUMBER($K22),$K22,$Z22)))</f>
        <v/>
      </c>
      <c r="AB22" s="62">
        <f>IF($V22="","",IF(AND(ISNUMBER($G22),$G22&lt;=IF($S22=MesCiclo,InicioCiclo,$S22+MOD(2-WEEKDAY($S22),7))+27),1,IF(ISNUMBER($L22),$L22,$AA22)))</f>
        <v/>
      </c>
      <c r="AC22" s="62">
        <f>IF($V22="","",IF(AND(ISNUMBER($G22),$G22&lt;=IF($S22=MesCiclo,InicioCiclo,$S22+MOD(2-WEEKDAY($S22),7))+6),1,IF(N($W22)&gt;0,AVERAGEIFS($Y$5:$Y$1000,$U$5:$U$1000,ROW(),$V$5:$V$1000,"Sub"),$Y22)))</f>
        <v/>
      </c>
      <c r="AD22" s="62">
        <f>IF($V22="","",IF(AND(ISNUMBER($G22),$G22&lt;=IF($S22=MesCiclo,InicioCiclo,$S22+MOD(2-WEEKDAY($S22),7))+13),1,IF(N($W22)&gt;0,AVERAGEIFS($Z$5:$Z$1000,$U$5:$U$1000,ROW(),$V$5:$V$1000,"Sub"),$Z22)))</f>
        <v/>
      </c>
      <c r="AE22" s="62">
        <f>IF($V22="","",IF(AND(ISNUMBER($G22),$G22&lt;=IF($S22=MesCiclo,InicioCiclo,$S22+MOD(2-WEEKDAY($S22),7))+20),1,IF(N($W22)&gt;0,AVERAGEIFS($AA$5:$AA$1000,$U$5:$U$1000,ROW(),$V$5:$V$1000,"Sub"),$AA22)))</f>
        <v/>
      </c>
      <c r="AF22" s="62">
        <f>IF($V22="","",IF(AND(ISNUMBER($G22),$G22&lt;=IF($S22=MesCiclo,InicioCiclo,$S22+MOD(2-WEEKDAY($S22),7))+27),1,IF(N($W22)&gt;0,AVERAGEIFS($AB$5:$AB$1000,$U$5:$U$1000,ROW(),$V$5:$V$1000,"Sub"),$AB22)))</f>
        <v/>
      </c>
      <c r="AG22" s="62">
        <f>IF($V22&lt;&gt;"Macro","",IF(COUNTIFS($S$5:$S$1000,$S22,$V$5:$V$1000,"Macro",$H$5:$H$1000,"&gt;0")=0,1/COUNTIFS($S$5:$S$1000,$S22,$V$5:$V$1000,"Macro"),IF(AND(ISNUMBER($H22),N($H22)&gt;0),$H22,SUMIFS($H$5:$H$1000,$S$5:$S$1000,$S22,$V$5:$V$1000,"Macro")/COUNTIFS($S$5:$S$1000,$S22,$V$5:$V$1000,"Macro",$H$5:$H$1000,"&gt;0"))/(COUNTIFS($S$5:$S$1000,$S22,$V$5:$V$1000,"Macro")*SUMIFS($H$5:$H$1000,$S$5:$S$1000,$S22,$V$5:$V$1000,"Macro")/COUNTIFS($S$5:$S$1000,$S22,$V$5:$V$1000,"Macro",$H$5:$H$1000,"&gt;0"))))</f>
        <v/>
      </c>
      <c r="AH22" s="62">
        <f>IF(NOT(AND($D22&lt;&gt;"",$V22="Macro")),"",IFERROR(CHOOSE(MATCH($D22,ListaPuestos,0),MATCH("[Jefatura] "&amp;$C22,'Cronograma R. Operacional'!$C$5:$C$1000,0),MATCH("[Jefatura] "&amp;$C22,'Cronograma R. Normativo'!$C$5:$C$1000,0),MATCH("[Jefatura] "&amp;$C22,'Cronograma R. Financiero'!$C$5:$C$1000,0),MATCH("[Jefatura] "&amp;$C22,'Cronograma Asistente Técnico'!$C$5:$C$1000,0)),0))</f>
        <v/>
      </c>
      <c r="AI22" s="62">
        <f>IF(AND(AND($D22&lt;&gt;"",$V22="Macro"),$S22=MesCiclo),COUNTIFS($D$5:$D22,$D22,$S$5:$S22,MesCiclo,$V$5:$V22,"Macro"),"")</f>
        <v/>
      </c>
      <c r="AJ22" s="62">
        <f>IF($AI22="","",$D22&amp;"|"&amp;$AI22)</f>
        <v/>
      </c>
      <c r="AK22" s="62">
        <f>IF(AND($D22&lt;&gt;"",$V22="Macro"),$D22&amp;"|"&amp;$C22,"")</f>
        <v/>
      </c>
      <c r="AL22" s="62">
        <f>""</f>
        <v/>
      </c>
      <c r="AM22" s="62">
        <f>IF(N($AL22)&gt;0,INDEX(rIni_ADM,$AL22),IF(ISNUMBER($E22),$E22,""))</f>
        <v/>
      </c>
      <c r="AN22" s="62">
        <f>IF(N($AL22)&gt;0,INDEX(rLim_ADM,$AL22),IF(ISNUMBER($F22),$F22,""))</f>
        <v/>
      </c>
    </row>
    <row r="23">
      <c r="A23" s="56">
        <f>IF(NOT((COUNTA($B23:$D23)+COUNTA($G23:$L23)+COUNTA($Q23))&gt;0),"",IF($V23="Macro",COUNTIFS($V$5:$V23,"Macro",$S$5:$S23,$S23),IF(N($U23)=0,"?",COUNTIFS(INDEX($V$5:$V$1000,1):INDEX($V$5:$V$1000,$U23-4),"Macro",INDEX($S$5:$S$1000,1):INDEX($S$5:$S$1000,$U23-4),INDEX($S$5:$S$1000,$U23-4))&amp;"."&amp;COUNTIFS($U$5:$U23,$U23,$V$5:$V23,"Sub"))))</f>
        <v/>
      </c>
      <c r="B23" s="57" t="n"/>
      <c r="C23" s="58" t="n"/>
      <c r="D23" s="58" t="n"/>
      <c r="E23" s="59" t="n"/>
      <c r="F23" s="59" t="n"/>
      <c r="G23" s="59" t="n"/>
      <c r="H23" s="60" t="n"/>
      <c r="I23" s="60" t="n"/>
      <c r="J23" s="60" t="n"/>
      <c r="K23" s="60" t="n"/>
      <c r="L23" s="60" t="n"/>
      <c r="M23" s="61">
        <f>IF(NOT((COUNTA($B23:$D23)+COUNTA($G23:$L23)+COUNTA($Q23))&gt;0),"",IF(AND($D23&lt;&gt;"",$V23="Macro"),IF(N($AH23)&gt;0,N(CHOOSE(MATCH($D23,ListaPuestos,0),INDEX('Cronograma R. Operacional'!$M$5:$M$1000,$AH23),INDEX('Cronograma R. Normativo'!$M$5:$M$1000,$AH23),INDEX('Cronograma R. Financiero'!$M$5:$M$1000,$AH23),INDEX('Cronograma Asistente Técnico'!$M$5:$M$1000,$AH23))),0),IF(ISNUMBER($G23),1,IF(N($W23)&gt;0,AVERAGEIFS($X$5:$X$1000,$U$5:$U$1000,ROW(),$V$5:$V$1000,"Sub"),$X23))))</f>
        <v/>
      </c>
      <c r="N23" s="56">
        <f>IF($M23="","",IF($M23&gt;=1,"Completado",IF($M23&gt;0,"En curso","Pendiente")))</f>
        <v/>
      </c>
      <c r="O23" s="56">
        <f>IF(NOT((COUNTA($B23:$D23)+COUNTA($G23:$L23)+COUNTA($Q23))&gt;0),"",IF(AND(AND($D23&lt;&gt;"",$V23="Macro"),N($AH23)&gt;0),CHOOSE(MATCH($D23,ListaPuestos,0),INDEX('Cronograma R. Operacional'!$O$5:$O$1000,$AH23),INDEX('Cronograma R. Normativo'!$O$5:$O$1000,$AH23),INDEX('Cronograma R. Financiero'!$O$5:$O$1000,$AH23),INDEX('Cronograma Asistente Técnico'!$O$5:$O$1000,$AH23))&amp;"",IF(ISNUMBER($G23),IF(AND(ISNUMBER($AN23),$G23&gt;$AN23),"Cumplida con "&amp;($G23-$AN23)&amp;IF($G23-$AN23=1," día"," días")&amp;" de retraso","Cumplida"),IF(N($M23)&gt;=1,"Cumplida",IF(NOT(ISNUMBER($AN23)),"Sin fecha límite",IF($AN23&lt;FechaRef,"Vencida hace "&amp;(FechaRef-$AN23)&amp;IF(FechaRef-$AN23=1," día"," días"),IF($AN23=FechaRef,"Vence hoy",IF($AN23-FechaRef&lt;=DiasAlerta,"Vence en "&amp;($AN23-FechaRef)&amp;IF($AN23-FechaRef=1," día"," días"),"En plazo"))))))))</f>
        <v/>
      </c>
      <c r="P23" s="62">
        <f>IF(NOT((COUNTA($B23:$D23)+COUNTA($G23:$L23)+COUNTA($Q23))&gt;0),"",IF($D23="","Propia",IF($V23&lt;&gt;"Macro","Solo se delegan macroactividades",IF(N($AH23)&gt;0,"✔ Recibida por "&amp;$D23,"⚠ "&amp;$D23&amp;" aún no la agrega"))))</f>
        <v/>
      </c>
      <c r="Q23" s="58" t="n"/>
      <c r="R23" s="63">
        <f>IF(NOT((COUNTA($B23:$D23)+COUNTA($G23:$L23)+COUNTA($Q23))&gt;0),"",IF((IF($C23="","Falta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",""))="","✔ OK","⚠ "&amp;LEFT(IF($C23="","Falta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",""),LEN(IF($C23="","Falta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",""))-3)))</f>
        <v/>
      </c>
      <c r="S23" s="64">
        <f>IF(NOT((COUNTA($B23:$D23)+COUNTA($G23:$L23)+COUNTA($Q23))&gt;0),"",IF(AND($V23="Sub",N($U23)&gt;0),IF(ISNUMBER(INDEX($AM$5:$AM$1000,$U23-4)),DATE(YEAR(INDEX($AM$5:$AM$1000,$U23-4)),MONTH(INDEX($AM$5:$AM$1000,$U23-4)),1),IF(ISNUMBER(INDEX($AN$5:$AN$1000,$U23-4)),DATE(YEAR(INDEX($AN$5:$AN$1000,$U23-4)),MONTH(INDEX($AN$5:$AN$1000,$U23-4)),1),MesCiclo)),IF(ISNUMBER($AM23),DATE(YEAR($AM23),MONTH($AM23),1),IF(ISNUMBER($AN23),DATE(YEAR($AN23),MONTH($AN23),1),MesCiclo))))</f>
        <v/>
      </c>
      <c r="T23" s="62">
        <f>IF(OR($S23="",$S23&lt;&gt;MesCiclo),"",COUNTIF($S$5:$S23,MesCiclo))</f>
        <v/>
      </c>
      <c r="U23" s="62">
        <f>IF($V23="","",IF($V23="Macro",ROW(),IFERROR(LOOKUP(2,1/($V$5:$V23="Macro"),ROW($V$5:$V23)),0)))</f>
        <v/>
      </c>
      <c r="V23" s="62">
        <f>IF(NOT((COUNTA($B23:$D23)+COUNTA($G23:$L23)+COUNTA($Q23))&gt;0),"",IF($B23="Subactividad","Sub","Macro"))</f>
        <v/>
      </c>
      <c r="W23" s="62">
        <f>IF($V23="Macro",COUNTIFS($U$5:$U$1000,ROW(),$V$5:$V$1000,"Sub"),"")</f>
        <v/>
      </c>
      <c r="X23" s="62">
        <f>IF($V23="","",IF(ISNUMBER($G23),1,IFERROR(LOOKUP(2,1/($I23:$L23&lt;&gt;""),$I23:$L23),0)))</f>
        <v/>
      </c>
      <c r="Y23" s="62">
        <f>IF($V23="","",IF(AND(ISNUMBER($G23),$G23&lt;=IF($S23=MesCiclo,InicioCiclo,$S23+MOD(2-WEEKDAY($S23),7))+6),1,IF(ISNUMBER($I23),$I23,0)))</f>
        <v/>
      </c>
      <c r="Z23" s="62">
        <f>IF($V23="","",IF(AND(ISNUMBER($G23),$G23&lt;=IF($S23=MesCiclo,InicioCiclo,$S23+MOD(2-WEEKDAY($S23),7))+13),1,IF(ISNUMBER($J23),$J23,$Y23)))</f>
        <v/>
      </c>
      <c r="AA23" s="62">
        <f>IF($V23="","",IF(AND(ISNUMBER($G23),$G23&lt;=IF($S23=MesCiclo,InicioCiclo,$S23+MOD(2-WEEKDAY($S23),7))+20),1,IF(ISNUMBER($K23),$K23,$Z23)))</f>
        <v/>
      </c>
      <c r="AB23" s="62">
        <f>IF($V23="","",IF(AND(ISNUMBER($G23),$G23&lt;=IF($S23=MesCiclo,InicioCiclo,$S23+MOD(2-WEEKDAY($S23),7))+27),1,IF(ISNUMBER($L23),$L23,$AA23)))</f>
        <v/>
      </c>
      <c r="AC23" s="62">
        <f>IF($V23="","",IF(AND(ISNUMBER($G23),$G23&lt;=IF($S23=MesCiclo,InicioCiclo,$S23+MOD(2-WEEKDAY($S23),7))+6),1,IF(N($W23)&gt;0,AVERAGEIFS($Y$5:$Y$1000,$U$5:$U$1000,ROW(),$V$5:$V$1000,"Sub"),$Y23)))</f>
        <v/>
      </c>
      <c r="AD23" s="62">
        <f>IF($V23="","",IF(AND(ISNUMBER($G23),$G23&lt;=IF($S23=MesCiclo,InicioCiclo,$S23+MOD(2-WEEKDAY($S23),7))+13),1,IF(N($W23)&gt;0,AVERAGEIFS($Z$5:$Z$1000,$U$5:$U$1000,ROW(),$V$5:$V$1000,"Sub"),$Z23)))</f>
        <v/>
      </c>
      <c r="AE23" s="62">
        <f>IF($V23="","",IF(AND(ISNUMBER($G23),$G23&lt;=IF($S23=MesCiclo,InicioCiclo,$S23+MOD(2-WEEKDAY($S23),7))+20),1,IF(N($W23)&gt;0,AVERAGEIFS($AA$5:$AA$1000,$U$5:$U$1000,ROW(),$V$5:$V$1000,"Sub"),$AA23)))</f>
        <v/>
      </c>
      <c r="AF23" s="62">
        <f>IF($V23="","",IF(AND(ISNUMBER($G23),$G23&lt;=IF($S23=MesCiclo,InicioCiclo,$S23+MOD(2-WEEKDAY($S23),7))+27),1,IF(N($W23)&gt;0,AVERAGEIFS($AB$5:$AB$1000,$U$5:$U$1000,ROW(),$V$5:$V$1000,"Sub"),$AB23)))</f>
        <v/>
      </c>
      <c r="AG23" s="62">
        <f>IF($V23&lt;&gt;"Macro","",IF(COUNTIFS($S$5:$S$1000,$S23,$V$5:$V$1000,"Macro",$H$5:$H$1000,"&gt;0")=0,1/COUNTIFS($S$5:$S$1000,$S23,$V$5:$V$1000,"Macro"),IF(AND(ISNUMBER($H23),N($H23)&gt;0),$H23,SUMIFS($H$5:$H$1000,$S$5:$S$1000,$S23,$V$5:$V$1000,"Macro")/COUNTIFS($S$5:$S$1000,$S23,$V$5:$V$1000,"Macro",$H$5:$H$1000,"&gt;0"))/(COUNTIFS($S$5:$S$1000,$S23,$V$5:$V$1000,"Macro")*SUMIFS($H$5:$H$1000,$S$5:$S$1000,$S23,$V$5:$V$1000,"Macro")/COUNTIFS($S$5:$S$1000,$S23,$V$5:$V$1000,"Macro",$H$5:$H$1000,"&gt;0"))))</f>
        <v/>
      </c>
      <c r="AH23" s="62">
        <f>IF(NOT(AND($D23&lt;&gt;"",$V23="Macro")),"",IFERROR(CHOOSE(MATCH($D23,ListaPuestos,0),MATCH("[Jefatura] "&amp;$C23,'Cronograma R. Operacional'!$C$5:$C$1000,0),MATCH("[Jefatura] "&amp;$C23,'Cronograma R. Normativo'!$C$5:$C$1000,0),MATCH("[Jefatura] "&amp;$C23,'Cronograma R. Financiero'!$C$5:$C$1000,0),MATCH("[Jefatura] "&amp;$C23,'Cronograma Asistente Técnico'!$C$5:$C$1000,0)),0))</f>
        <v/>
      </c>
      <c r="AI23" s="62">
        <f>IF(AND(AND($D23&lt;&gt;"",$V23="Macro"),$S23=MesCiclo),COUNTIFS($D$5:$D23,$D23,$S$5:$S23,MesCiclo,$V$5:$V23,"Macro"),"")</f>
        <v/>
      </c>
      <c r="AJ23" s="62">
        <f>IF($AI23="","",$D23&amp;"|"&amp;$AI23)</f>
        <v/>
      </c>
      <c r="AK23" s="62">
        <f>IF(AND($D23&lt;&gt;"",$V23="Macro"),$D23&amp;"|"&amp;$C23,"")</f>
        <v/>
      </c>
      <c r="AL23" s="62">
        <f>""</f>
        <v/>
      </c>
      <c r="AM23" s="62">
        <f>IF(N($AL23)&gt;0,INDEX(rIni_ADM,$AL23),IF(ISNUMBER($E23),$E23,""))</f>
        <v/>
      </c>
      <c r="AN23" s="62">
        <f>IF(N($AL23)&gt;0,INDEX(rLim_ADM,$AL23),IF(ISNUMBER($F23),$F23,""))</f>
        <v/>
      </c>
    </row>
    <row r="24">
      <c r="A24" s="56">
        <f>IF(NOT((COUNTA($B24:$D24)+COUNTA($G24:$L24)+COUNTA($Q24))&gt;0),"",IF($V24="Macro",COUNTIFS($V$5:$V24,"Macro",$S$5:$S24,$S24),IF(N($U24)=0,"?",COUNTIFS(INDEX($V$5:$V$1000,1):INDEX($V$5:$V$1000,$U24-4),"Macro",INDEX($S$5:$S$1000,1):INDEX($S$5:$S$1000,$U24-4),INDEX($S$5:$S$1000,$U24-4))&amp;"."&amp;COUNTIFS($U$5:$U24,$U24,$V$5:$V24,"Sub"))))</f>
        <v/>
      </c>
      <c r="B24" s="57" t="n"/>
      <c r="C24" s="58" t="n"/>
      <c r="D24" s="58" t="n"/>
      <c r="E24" s="59" t="n"/>
      <c r="F24" s="59" t="n"/>
      <c r="G24" s="59" t="n"/>
      <c r="H24" s="60" t="n"/>
      <c r="I24" s="60" t="n"/>
      <c r="J24" s="60" t="n"/>
      <c r="K24" s="60" t="n"/>
      <c r="L24" s="60" t="n"/>
      <c r="M24" s="61">
        <f>IF(NOT((COUNTA($B24:$D24)+COUNTA($G24:$L24)+COUNTA($Q24))&gt;0),"",IF(AND($D24&lt;&gt;"",$V24="Macro"),IF(N($AH24)&gt;0,N(CHOOSE(MATCH($D24,ListaPuestos,0),INDEX('Cronograma R. Operacional'!$M$5:$M$1000,$AH24),INDEX('Cronograma R. Normativo'!$M$5:$M$1000,$AH24),INDEX('Cronograma R. Financiero'!$M$5:$M$1000,$AH24),INDEX('Cronograma Asistente Técnico'!$M$5:$M$1000,$AH24))),0),IF(ISNUMBER($G24),1,IF(N($W24)&gt;0,AVERAGEIFS($X$5:$X$1000,$U$5:$U$1000,ROW(),$V$5:$V$1000,"Sub"),$X24))))</f>
        <v/>
      </c>
      <c r="N24" s="56">
        <f>IF($M24="","",IF($M24&gt;=1,"Completado",IF($M24&gt;0,"En curso","Pendiente")))</f>
        <v/>
      </c>
      <c r="O24" s="56">
        <f>IF(NOT((COUNTA($B24:$D24)+COUNTA($G24:$L24)+COUNTA($Q24))&gt;0),"",IF(AND(AND($D24&lt;&gt;"",$V24="Macro"),N($AH24)&gt;0),CHOOSE(MATCH($D24,ListaPuestos,0),INDEX('Cronograma R. Operacional'!$O$5:$O$1000,$AH24),INDEX('Cronograma R. Normativo'!$O$5:$O$1000,$AH24),INDEX('Cronograma R. Financiero'!$O$5:$O$1000,$AH24),INDEX('Cronograma Asistente Técnico'!$O$5:$O$1000,$AH24))&amp;"",IF(ISNUMBER($G24),IF(AND(ISNUMBER($AN24),$G24&gt;$AN24),"Cumplida con "&amp;($G24-$AN24)&amp;IF($G24-$AN24=1," día"," días")&amp;" de retraso","Cumplida"),IF(N($M24)&gt;=1,"Cumplida",IF(NOT(ISNUMBER($AN24)),"Sin fecha límite",IF($AN24&lt;FechaRef,"Vencida hace "&amp;(FechaRef-$AN24)&amp;IF(FechaRef-$AN24=1," día"," días"),IF($AN24=FechaRef,"Vence hoy",IF($AN24-FechaRef&lt;=DiasAlerta,"Vence en "&amp;($AN24-FechaRef)&amp;IF($AN24-FechaRef=1," día"," días"),"En plazo"))))))))</f>
        <v/>
      </c>
      <c r="P24" s="62">
        <f>IF(NOT((COUNTA($B24:$D24)+COUNTA($G24:$L24)+COUNTA($Q24))&gt;0),"",IF($D24="","Propia",IF($V24&lt;&gt;"Macro","Solo se delegan macroactividades",IF(N($AH24)&gt;0,"✔ Recibida por "&amp;$D24,"⚠ "&amp;$D24&amp;" aún no la agrega"))))</f>
        <v/>
      </c>
      <c r="Q24" s="58" t="n"/>
      <c r="R24" s="63">
        <f>IF(NOT((COUNTA($B24:$D24)+COUNTA($G24:$L24)+COUNTA($Q24))&gt;0),"",IF((IF($C24="","Falta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",""))="","✔ OK","⚠ "&amp;LEFT(IF($C24="","Falta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",""),LEN(IF($C24="","Falta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",""))-3)))</f>
        <v/>
      </c>
      <c r="S24" s="64">
        <f>IF(NOT((COUNTA($B24:$D24)+COUNTA($G24:$L24)+COUNTA($Q24))&gt;0),"",IF(AND($V24="Sub",N($U24)&gt;0),IF(ISNUMBER(INDEX($AM$5:$AM$1000,$U24-4)),DATE(YEAR(INDEX($AM$5:$AM$1000,$U24-4)),MONTH(INDEX($AM$5:$AM$1000,$U24-4)),1),IF(ISNUMBER(INDEX($AN$5:$AN$1000,$U24-4)),DATE(YEAR(INDEX($AN$5:$AN$1000,$U24-4)),MONTH(INDEX($AN$5:$AN$1000,$U24-4)),1),MesCiclo)),IF(ISNUMBER($AM24),DATE(YEAR($AM24),MONTH($AM24),1),IF(ISNUMBER($AN24),DATE(YEAR($AN24),MONTH($AN24),1),MesCiclo))))</f>
        <v/>
      </c>
      <c r="T24" s="62">
        <f>IF(OR($S24="",$S24&lt;&gt;MesCiclo),"",COUNTIF($S$5:$S24,MesCiclo))</f>
        <v/>
      </c>
      <c r="U24" s="62">
        <f>IF($V24="","",IF($V24="Macro",ROW(),IFERROR(LOOKUP(2,1/($V$5:$V24="Macro"),ROW($V$5:$V24)),0)))</f>
        <v/>
      </c>
      <c r="V24" s="62">
        <f>IF(NOT((COUNTA($B24:$D24)+COUNTA($G24:$L24)+COUNTA($Q24))&gt;0),"",IF($B24="Subactividad","Sub","Macro"))</f>
        <v/>
      </c>
      <c r="W24" s="62">
        <f>IF($V24="Macro",COUNTIFS($U$5:$U$1000,ROW(),$V$5:$V$1000,"Sub"),"")</f>
        <v/>
      </c>
      <c r="X24" s="62">
        <f>IF($V24="","",IF(ISNUMBER($G24),1,IFERROR(LOOKUP(2,1/($I24:$L24&lt;&gt;""),$I24:$L24),0)))</f>
        <v/>
      </c>
      <c r="Y24" s="62">
        <f>IF($V24="","",IF(AND(ISNUMBER($G24),$G24&lt;=IF($S24=MesCiclo,InicioCiclo,$S24+MOD(2-WEEKDAY($S24),7))+6),1,IF(ISNUMBER($I24),$I24,0)))</f>
        <v/>
      </c>
      <c r="Z24" s="62">
        <f>IF($V24="","",IF(AND(ISNUMBER($G24),$G24&lt;=IF($S24=MesCiclo,InicioCiclo,$S24+MOD(2-WEEKDAY($S24),7))+13),1,IF(ISNUMBER($J24),$J24,$Y24)))</f>
        <v/>
      </c>
      <c r="AA24" s="62">
        <f>IF($V24="","",IF(AND(ISNUMBER($G24),$G24&lt;=IF($S24=MesCiclo,InicioCiclo,$S24+MOD(2-WEEKDAY($S24),7))+20),1,IF(ISNUMBER($K24),$K24,$Z24)))</f>
        <v/>
      </c>
      <c r="AB24" s="62">
        <f>IF($V24="","",IF(AND(ISNUMBER($G24),$G24&lt;=IF($S24=MesCiclo,InicioCiclo,$S24+MOD(2-WEEKDAY($S24),7))+27),1,IF(ISNUMBER($L24),$L24,$AA24)))</f>
        <v/>
      </c>
      <c r="AC24" s="62">
        <f>IF($V24="","",IF(AND(ISNUMBER($G24),$G24&lt;=IF($S24=MesCiclo,InicioCiclo,$S24+MOD(2-WEEKDAY($S24),7))+6),1,IF(N($W24)&gt;0,AVERAGEIFS($Y$5:$Y$1000,$U$5:$U$1000,ROW(),$V$5:$V$1000,"Sub"),$Y24)))</f>
        <v/>
      </c>
      <c r="AD24" s="62">
        <f>IF($V24="","",IF(AND(ISNUMBER($G24),$G24&lt;=IF($S24=MesCiclo,InicioCiclo,$S24+MOD(2-WEEKDAY($S24),7))+13),1,IF(N($W24)&gt;0,AVERAGEIFS($Z$5:$Z$1000,$U$5:$U$1000,ROW(),$V$5:$V$1000,"Sub"),$Z24)))</f>
        <v/>
      </c>
      <c r="AE24" s="62">
        <f>IF($V24="","",IF(AND(ISNUMBER($G24),$G24&lt;=IF($S24=MesCiclo,InicioCiclo,$S24+MOD(2-WEEKDAY($S24),7))+20),1,IF(N($W24)&gt;0,AVERAGEIFS($AA$5:$AA$1000,$U$5:$U$1000,ROW(),$V$5:$V$1000,"Sub"),$AA24)))</f>
        <v/>
      </c>
      <c r="AF24" s="62">
        <f>IF($V24="","",IF(AND(ISNUMBER($G24),$G24&lt;=IF($S24=MesCiclo,InicioCiclo,$S24+MOD(2-WEEKDAY($S24),7))+27),1,IF(N($W24)&gt;0,AVERAGEIFS($AB$5:$AB$1000,$U$5:$U$1000,ROW(),$V$5:$V$1000,"Sub"),$AB24)))</f>
        <v/>
      </c>
      <c r="AG24" s="62">
        <f>IF($V24&lt;&gt;"Macro","",IF(COUNTIFS($S$5:$S$1000,$S24,$V$5:$V$1000,"Macro",$H$5:$H$1000,"&gt;0")=0,1/COUNTIFS($S$5:$S$1000,$S24,$V$5:$V$1000,"Macro"),IF(AND(ISNUMBER($H24),N($H24)&gt;0),$H24,SUMIFS($H$5:$H$1000,$S$5:$S$1000,$S24,$V$5:$V$1000,"Macro")/COUNTIFS($S$5:$S$1000,$S24,$V$5:$V$1000,"Macro",$H$5:$H$1000,"&gt;0"))/(COUNTIFS($S$5:$S$1000,$S24,$V$5:$V$1000,"Macro")*SUMIFS($H$5:$H$1000,$S$5:$S$1000,$S24,$V$5:$V$1000,"Macro")/COUNTIFS($S$5:$S$1000,$S24,$V$5:$V$1000,"Macro",$H$5:$H$1000,"&gt;0"))))</f>
        <v/>
      </c>
      <c r="AH24" s="62">
        <f>IF(NOT(AND($D24&lt;&gt;"",$V24="Macro")),"",IFERROR(CHOOSE(MATCH($D24,ListaPuestos,0),MATCH("[Jefatura] "&amp;$C24,'Cronograma R. Operacional'!$C$5:$C$1000,0),MATCH("[Jefatura] "&amp;$C24,'Cronograma R. Normativo'!$C$5:$C$1000,0),MATCH("[Jefatura] "&amp;$C24,'Cronograma R. Financiero'!$C$5:$C$1000,0),MATCH("[Jefatura] "&amp;$C24,'Cronograma Asistente Técnico'!$C$5:$C$1000,0)),0))</f>
        <v/>
      </c>
      <c r="AI24" s="62">
        <f>IF(AND(AND($D24&lt;&gt;"",$V24="Macro"),$S24=MesCiclo),COUNTIFS($D$5:$D24,$D24,$S$5:$S24,MesCiclo,$V$5:$V24,"Macro"),"")</f>
        <v/>
      </c>
      <c r="AJ24" s="62">
        <f>IF($AI24="","",$D24&amp;"|"&amp;$AI24)</f>
        <v/>
      </c>
      <c r="AK24" s="62">
        <f>IF(AND($D24&lt;&gt;"",$V24="Macro"),$D24&amp;"|"&amp;$C24,"")</f>
        <v/>
      </c>
      <c r="AL24" s="62">
        <f>""</f>
        <v/>
      </c>
      <c r="AM24" s="62">
        <f>IF(N($AL24)&gt;0,INDEX(rIni_ADM,$AL24),IF(ISNUMBER($E24),$E24,""))</f>
        <v/>
      </c>
      <c r="AN24" s="62">
        <f>IF(N($AL24)&gt;0,INDEX(rLim_ADM,$AL24),IF(ISNUMBER($F24),$F24,""))</f>
        <v/>
      </c>
    </row>
    <row r="25">
      <c r="A25" s="56">
        <f>IF(NOT((COUNTA($B25:$D25)+COUNTA($G25:$L25)+COUNTA($Q25))&gt;0),"",IF($V25="Macro",COUNTIFS($V$5:$V25,"Macro",$S$5:$S25,$S25),IF(N($U25)=0,"?",COUNTIFS(INDEX($V$5:$V$1000,1):INDEX($V$5:$V$1000,$U25-4),"Macro",INDEX($S$5:$S$1000,1):INDEX($S$5:$S$1000,$U25-4),INDEX($S$5:$S$1000,$U25-4))&amp;"."&amp;COUNTIFS($U$5:$U25,$U25,$V$5:$V25,"Sub"))))</f>
        <v/>
      </c>
      <c r="B25" s="57" t="n"/>
      <c r="C25" s="58" t="n"/>
      <c r="D25" s="58" t="n"/>
      <c r="E25" s="59" t="n"/>
      <c r="F25" s="59" t="n"/>
      <c r="G25" s="59" t="n"/>
      <c r="H25" s="60" t="n"/>
      <c r="I25" s="60" t="n"/>
      <c r="J25" s="60" t="n"/>
      <c r="K25" s="60" t="n"/>
      <c r="L25" s="60" t="n"/>
      <c r="M25" s="61">
        <f>IF(NOT((COUNTA($B25:$D25)+COUNTA($G25:$L25)+COUNTA($Q25))&gt;0),"",IF(AND($D25&lt;&gt;"",$V25="Macro"),IF(N($AH25)&gt;0,N(CHOOSE(MATCH($D25,ListaPuestos,0),INDEX('Cronograma R. Operacional'!$M$5:$M$1000,$AH25),INDEX('Cronograma R. Normativo'!$M$5:$M$1000,$AH25),INDEX('Cronograma R. Financiero'!$M$5:$M$1000,$AH25),INDEX('Cronograma Asistente Técnico'!$M$5:$M$1000,$AH25))),0),IF(ISNUMBER($G25),1,IF(N($W25)&gt;0,AVERAGEIFS($X$5:$X$1000,$U$5:$U$1000,ROW(),$V$5:$V$1000,"Sub"),$X25))))</f>
        <v/>
      </c>
      <c r="N25" s="56">
        <f>IF($M25="","",IF($M25&gt;=1,"Completado",IF($M25&gt;0,"En curso","Pendiente")))</f>
        <v/>
      </c>
      <c r="O25" s="56">
        <f>IF(NOT((COUNTA($B25:$D25)+COUNTA($G25:$L25)+COUNTA($Q25))&gt;0),"",IF(AND(AND($D25&lt;&gt;"",$V25="Macro"),N($AH25)&gt;0),CHOOSE(MATCH($D25,ListaPuestos,0),INDEX('Cronograma R. Operacional'!$O$5:$O$1000,$AH25),INDEX('Cronograma R. Normativo'!$O$5:$O$1000,$AH25),INDEX('Cronograma R. Financiero'!$O$5:$O$1000,$AH25),INDEX('Cronograma Asistente Técnico'!$O$5:$O$1000,$AH25))&amp;"",IF(ISNUMBER($G25),IF(AND(ISNUMBER($AN25),$G25&gt;$AN25),"Cumplida con "&amp;($G25-$AN25)&amp;IF($G25-$AN25=1," día"," días")&amp;" de retraso","Cumplida"),IF(N($M25)&gt;=1,"Cumplida",IF(NOT(ISNUMBER($AN25)),"Sin fecha límite",IF($AN25&lt;FechaRef,"Vencida hace "&amp;(FechaRef-$AN25)&amp;IF(FechaRef-$AN25=1," día"," días"),IF($AN25=FechaRef,"Vence hoy",IF($AN25-FechaRef&lt;=DiasAlerta,"Vence en "&amp;($AN25-FechaRef)&amp;IF($AN25-FechaRef=1," día"," días"),"En plazo"))))))))</f>
        <v/>
      </c>
      <c r="P25" s="62">
        <f>IF(NOT((COUNTA($B25:$D25)+COUNTA($G25:$L25)+COUNTA($Q25))&gt;0),"",IF($D25="","Propia",IF($V25&lt;&gt;"Macro","Solo se delegan macroactividades",IF(N($AH25)&gt;0,"✔ Recibida por "&amp;$D25,"⚠ "&amp;$D25&amp;" aún no la agrega"))))</f>
        <v/>
      </c>
      <c r="Q25" s="58" t="n"/>
      <c r="R25" s="63">
        <f>IF(NOT((COUNTA($B25:$D25)+COUNTA($G25:$L25)+COUNTA($Q25))&gt;0),"",IF((IF($C25="","Falta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",""))="","✔ OK","⚠ "&amp;LEFT(IF($C25="","Falta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",""),LEN(IF($C25="","Falta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",""))-3)))</f>
        <v/>
      </c>
      <c r="S25" s="64">
        <f>IF(NOT((COUNTA($B25:$D25)+COUNTA($G25:$L25)+COUNTA($Q25))&gt;0),"",IF(AND($V25="Sub",N($U25)&gt;0),IF(ISNUMBER(INDEX($AM$5:$AM$1000,$U25-4)),DATE(YEAR(INDEX($AM$5:$AM$1000,$U25-4)),MONTH(INDEX($AM$5:$AM$1000,$U25-4)),1),IF(ISNUMBER(INDEX($AN$5:$AN$1000,$U25-4)),DATE(YEAR(INDEX($AN$5:$AN$1000,$U25-4)),MONTH(INDEX($AN$5:$AN$1000,$U25-4)),1),MesCiclo)),IF(ISNUMBER($AM25),DATE(YEAR($AM25),MONTH($AM25),1),IF(ISNUMBER($AN25),DATE(YEAR($AN25),MONTH($AN25),1),MesCiclo))))</f>
        <v/>
      </c>
      <c r="T25" s="62">
        <f>IF(OR($S25="",$S25&lt;&gt;MesCiclo),"",COUNTIF($S$5:$S25,MesCiclo))</f>
        <v/>
      </c>
      <c r="U25" s="62">
        <f>IF($V25="","",IF($V25="Macro",ROW(),IFERROR(LOOKUP(2,1/($V$5:$V25="Macro"),ROW($V$5:$V25)),0)))</f>
        <v/>
      </c>
      <c r="V25" s="62">
        <f>IF(NOT((COUNTA($B25:$D25)+COUNTA($G25:$L25)+COUNTA($Q25))&gt;0),"",IF($B25="Subactividad","Sub","Macro"))</f>
        <v/>
      </c>
      <c r="W25" s="62">
        <f>IF($V25="Macro",COUNTIFS($U$5:$U$1000,ROW(),$V$5:$V$1000,"Sub"),"")</f>
        <v/>
      </c>
      <c r="X25" s="62">
        <f>IF($V25="","",IF(ISNUMBER($G25),1,IFERROR(LOOKUP(2,1/($I25:$L25&lt;&gt;""),$I25:$L25),0)))</f>
        <v/>
      </c>
      <c r="Y25" s="62">
        <f>IF($V25="","",IF(AND(ISNUMBER($G25),$G25&lt;=IF($S25=MesCiclo,InicioCiclo,$S25+MOD(2-WEEKDAY($S25),7))+6),1,IF(ISNUMBER($I25),$I25,0)))</f>
        <v/>
      </c>
      <c r="Z25" s="62">
        <f>IF($V25="","",IF(AND(ISNUMBER($G25),$G25&lt;=IF($S25=MesCiclo,InicioCiclo,$S25+MOD(2-WEEKDAY($S25),7))+13),1,IF(ISNUMBER($J25),$J25,$Y25)))</f>
        <v/>
      </c>
      <c r="AA25" s="62">
        <f>IF($V25="","",IF(AND(ISNUMBER($G25),$G25&lt;=IF($S25=MesCiclo,InicioCiclo,$S25+MOD(2-WEEKDAY($S25),7))+20),1,IF(ISNUMBER($K25),$K25,$Z25)))</f>
        <v/>
      </c>
      <c r="AB25" s="62">
        <f>IF($V25="","",IF(AND(ISNUMBER($G25),$G25&lt;=IF($S25=MesCiclo,InicioCiclo,$S25+MOD(2-WEEKDAY($S25),7))+27),1,IF(ISNUMBER($L25),$L25,$AA25)))</f>
        <v/>
      </c>
      <c r="AC25" s="62">
        <f>IF($V25="","",IF(AND(ISNUMBER($G25),$G25&lt;=IF($S25=MesCiclo,InicioCiclo,$S25+MOD(2-WEEKDAY($S25),7))+6),1,IF(N($W25)&gt;0,AVERAGEIFS($Y$5:$Y$1000,$U$5:$U$1000,ROW(),$V$5:$V$1000,"Sub"),$Y25)))</f>
        <v/>
      </c>
      <c r="AD25" s="62">
        <f>IF($V25="","",IF(AND(ISNUMBER($G25),$G25&lt;=IF($S25=MesCiclo,InicioCiclo,$S25+MOD(2-WEEKDAY($S25),7))+13),1,IF(N($W25)&gt;0,AVERAGEIFS($Z$5:$Z$1000,$U$5:$U$1000,ROW(),$V$5:$V$1000,"Sub"),$Z25)))</f>
        <v/>
      </c>
      <c r="AE25" s="62">
        <f>IF($V25="","",IF(AND(ISNUMBER($G25),$G25&lt;=IF($S25=MesCiclo,InicioCiclo,$S25+MOD(2-WEEKDAY($S25),7))+20),1,IF(N($W25)&gt;0,AVERAGEIFS($AA$5:$AA$1000,$U$5:$U$1000,ROW(),$V$5:$V$1000,"Sub"),$AA25)))</f>
        <v/>
      </c>
      <c r="AF25" s="62">
        <f>IF($V25="","",IF(AND(ISNUMBER($G25),$G25&lt;=IF($S25=MesCiclo,InicioCiclo,$S25+MOD(2-WEEKDAY($S25),7))+27),1,IF(N($W25)&gt;0,AVERAGEIFS($AB$5:$AB$1000,$U$5:$U$1000,ROW(),$V$5:$V$1000,"Sub"),$AB25)))</f>
        <v/>
      </c>
      <c r="AG25" s="62">
        <f>IF($V25&lt;&gt;"Macro","",IF(COUNTIFS($S$5:$S$1000,$S25,$V$5:$V$1000,"Macro",$H$5:$H$1000,"&gt;0")=0,1/COUNTIFS($S$5:$S$1000,$S25,$V$5:$V$1000,"Macro"),IF(AND(ISNUMBER($H25),N($H25)&gt;0),$H25,SUMIFS($H$5:$H$1000,$S$5:$S$1000,$S25,$V$5:$V$1000,"Macro")/COUNTIFS($S$5:$S$1000,$S25,$V$5:$V$1000,"Macro",$H$5:$H$1000,"&gt;0"))/(COUNTIFS($S$5:$S$1000,$S25,$V$5:$V$1000,"Macro")*SUMIFS($H$5:$H$1000,$S$5:$S$1000,$S25,$V$5:$V$1000,"Macro")/COUNTIFS($S$5:$S$1000,$S25,$V$5:$V$1000,"Macro",$H$5:$H$1000,"&gt;0"))))</f>
        <v/>
      </c>
      <c r="AH25" s="62">
        <f>IF(NOT(AND($D25&lt;&gt;"",$V25="Macro")),"",IFERROR(CHOOSE(MATCH($D25,ListaPuestos,0),MATCH("[Jefatura] "&amp;$C25,'Cronograma R. Operacional'!$C$5:$C$1000,0),MATCH("[Jefatura] "&amp;$C25,'Cronograma R. Normativo'!$C$5:$C$1000,0),MATCH("[Jefatura] "&amp;$C25,'Cronograma R. Financiero'!$C$5:$C$1000,0),MATCH("[Jefatura] "&amp;$C25,'Cronograma Asistente Técnico'!$C$5:$C$1000,0)),0))</f>
        <v/>
      </c>
      <c r="AI25" s="62">
        <f>IF(AND(AND($D25&lt;&gt;"",$V25="Macro"),$S25=MesCiclo),COUNTIFS($D$5:$D25,$D25,$S$5:$S25,MesCiclo,$V$5:$V25,"Macro"),"")</f>
        <v/>
      </c>
      <c r="AJ25" s="62">
        <f>IF($AI25="","",$D25&amp;"|"&amp;$AI25)</f>
        <v/>
      </c>
      <c r="AK25" s="62">
        <f>IF(AND($D25&lt;&gt;"",$V25="Macro"),$D25&amp;"|"&amp;$C25,"")</f>
        <v/>
      </c>
      <c r="AL25" s="62">
        <f>""</f>
        <v/>
      </c>
      <c r="AM25" s="62">
        <f>IF(N($AL25)&gt;0,INDEX(rIni_ADM,$AL25),IF(ISNUMBER($E25),$E25,""))</f>
        <v/>
      </c>
      <c r="AN25" s="62">
        <f>IF(N($AL25)&gt;0,INDEX(rLim_ADM,$AL25),IF(ISNUMBER($F25),$F25,""))</f>
        <v/>
      </c>
    </row>
    <row r="26">
      <c r="A26" s="56">
        <f>IF(NOT((COUNTA($B26:$D26)+COUNTA($G26:$L26)+COUNTA($Q26))&gt;0),"",IF($V26="Macro",COUNTIFS($V$5:$V26,"Macro",$S$5:$S26,$S26),IF(N($U26)=0,"?",COUNTIFS(INDEX($V$5:$V$1000,1):INDEX($V$5:$V$1000,$U26-4),"Macro",INDEX($S$5:$S$1000,1):INDEX($S$5:$S$1000,$U26-4),INDEX($S$5:$S$1000,$U26-4))&amp;"."&amp;COUNTIFS($U$5:$U26,$U26,$V$5:$V26,"Sub"))))</f>
        <v/>
      </c>
      <c r="B26" s="57" t="n"/>
      <c r="C26" s="58" t="n"/>
      <c r="D26" s="58" t="n"/>
      <c r="E26" s="59" t="n"/>
      <c r="F26" s="59" t="n"/>
      <c r="G26" s="59" t="n"/>
      <c r="H26" s="60" t="n"/>
      <c r="I26" s="60" t="n"/>
      <c r="J26" s="60" t="n"/>
      <c r="K26" s="60" t="n"/>
      <c r="L26" s="60" t="n"/>
      <c r="M26" s="61">
        <f>IF(NOT((COUNTA($B26:$D26)+COUNTA($G26:$L26)+COUNTA($Q26))&gt;0),"",IF(AND($D26&lt;&gt;"",$V26="Macro"),IF(N($AH26)&gt;0,N(CHOOSE(MATCH($D26,ListaPuestos,0),INDEX('Cronograma R. Operacional'!$M$5:$M$1000,$AH26),INDEX('Cronograma R. Normativo'!$M$5:$M$1000,$AH26),INDEX('Cronograma R. Financiero'!$M$5:$M$1000,$AH26),INDEX('Cronograma Asistente Técnico'!$M$5:$M$1000,$AH26))),0),IF(ISNUMBER($G26),1,IF(N($W26)&gt;0,AVERAGEIFS($X$5:$X$1000,$U$5:$U$1000,ROW(),$V$5:$V$1000,"Sub"),$X26))))</f>
        <v/>
      </c>
      <c r="N26" s="56">
        <f>IF($M26="","",IF($M26&gt;=1,"Completado",IF($M26&gt;0,"En curso","Pendiente")))</f>
        <v/>
      </c>
      <c r="O26" s="56">
        <f>IF(NOT((COUNTA($B26:$D26)+COUNTA($G26:$L26)+COUNTA($Q26))&gt;0),"",IF(AND(AND($D26&lt;&gt;"",$V26="Macro"),N($AH26)&gt;0),CHOOSE(MATCH($D26,ListaPuestos,0),INDEX('Cronograma R. Operacional'!$O$5:$O$1000,$AH26),INDEX('Cronograma R. Normativo'!$O$5:$O$1000,$AH26),INDEX('Cronograma R. Financiero'!$O$5:$O$1000,$AH26),INDEX('Cronograma Asistente Técnico'!$O$5:$O$1000,$AH26))&amp;"",IF(ISNUMBER($G26),IF(AND(ISNUMBER($AN26),$G26&gt;$AN26),"Cumplida con "&amp;($G26-$AN26)&amp;IF($G26-$AN26=1," día"," días")&amp;" de retraso","Cumplida"),IF(N($M26)&gt;=1,"Cumplida",IF(NOT(ISNUMBER($AN26)),"Sin fecha límite",IF($AN26&lt;FechaRef,"Vencida hace "&amp;(FechaRef-$AN26)&amp;IF(FechaRef-$AN26=1," día"," días"),IF($AN26=FechaRef,"Vence hoy",IF($AN26-FechaRef&lt;=DiasAlerta,"Vence en "&amp;($AN26-FechaRef)&amp;IF($AN26-FechaRef=1," día"," días"),"En plazo"))))))))</f>
        <v/>
      </c>
      <c r="P26" s="62">
        <f>IF(NOT((COUNTA($B26:$D26)+COUNTA($G26:$L26)+COUNTA($Q26))&gt;0),"",IF($D26="","Propia",IF($V26&lt;&gt;"Macro","Solo se delegan macroactividades",IF(N($AH26)&gt;0,"✔ Recibida por "&amp;$D26,"⚠ "&amp;$D26&amp;" aún no la agrega"))))</f>
        <v/>
      </c>
      <c r="Q26" s="58" t="n"/>
      <c r="R26" s="63">
        <f>IF(NOT((COUNTA($B26:$D26)+COUNTA($G26:$L26)+COUNTA($Q26))&gt;0),"",IF((IF($C26="","Falta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",""))="","✔ OK","⚠ "&amp;LEFT(IF($C26="","Falta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",""),LEN(IF($C26="","Falta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",""))-3)))</f>
        <v/>
      </c>
      <c r="S26" s="64">
        <f>IF(NOT((COUNTA($B26:$D26)+COUNTA($G26:$L26)+COUNTA($Q26))&gt;0),"",IF(AND($V26="Sub",N($U26)&gt;0),IF(ISNUMBER(INDEX($AM$5:$AM$1000,$U26-4)),DATE(YEAR(INDEX($AM$5:$AM$1000,$U26-4)),MONTH(INDEX($AM$5:$AM$1000,$U26-4)),1),IF(ISNUMBER(INDEX($AN$5:$AN$1000,$U26-4)),DATE(YEAR(INDEX($AN$5:$AN$1000,$U26-4)),MONTH(INDEX($AN$5:$AN$1000,$U26-4)),1),MesCiclo)),IF(ISNUMBER($AM26),DATE(YEAR($AM26),MONTH($AM26),1),IF(ISNUMBER($AN26),DATE(YEAR($AN26),MONTH($AN26),1),MesCiclo))))</f>
        <v/>
      </c>
      <c r="T26" s="62">
        <f>IF(OR($S26="",$S26&lt;&gt;MesCiclo),"",COUNTIF($S$5:$S26,MesCiclo))</f>
        <v/>
      </c>
      <c r="U26" s="62">
        <f>IF($V26="","",IF($V26="Macro",ROW(),IFERROR(LOOKUP(2,1/($V$5:$V26="Macro"),ROW($V$5:$V26)),0)))</f>
        <v/>
      </c>
      <c r="V26" s="62">
        <f>IF(NOT((COUNTA($B26:$D26)+COUNTA($G26:$L26)+COUNTA($Q26))&gt;0),"",IF($B26="Subactividad","Sub","Macro"))</f>
        <v/>
      </c>
      <c r="W26" s="62">
        <f>IF($V26="Macro",COUNTIFS($U$5:$U$1000,ROW(),$V$5:$V$1000,"Sub"),"")</f>
        <v/>
      </c>
      <c r="X26" s="62">
        <f>IF($V26="","",IF(ISNUMBER($G26),1,IFERROR(LOOKUP(2,1/($I26:$L26&lt;&gt;""),$I26:$L26),0)))</f>
        <v/>
      </c>
      <c r="Y26" s="62">
        <f>IF($V26="","",IF(AND(ISNUMBER($G26),$G26&lt;=IF($S26=MesCiclo,InicioCiclo,$S26+MOD(2-WEEKDAY($S26),7))+6),1,IF(ISNUMBER($I26),$I26,0)))</f>
        <v/>
      </c>
      <c r="Z26" s="62">
        <f>IF($V26="","",IF(AND(ISNUMBER($G26),$G26&lt;=IF($S26=MesCiclo,InicioCiclo,$S26+MOD(2-WEEKDAY($S26),7))+13),1,IF(ISNUMBER($J26),$J26,$Y26)))</f>
        <v/>
      </c>
      <c r="AA26" s="62">
        <f>IF($V26="","",IF(AND(ISNUMBER($G26),$G26&lt;=IF($S26=MesCiclo,InicioCiclo,$S26+MOD(2-WEEKDAY($S26),7))+20),1,IF(ISNUMBER($K26),$K26,$Z26)))</f>
        <v/>
      </c>
      <c r="AB26" s="62">
        <f>IF($V26="","",IF(AND(ISNUMBER($G26),$G26&lt;=IF($S26=MesCiclo,InicioCiclo,$S26+MOD(2-WEEKDAY($S26),7))+27),1,IF(ISNUMBER($L26),$L26,$AA26)))</f>
        <v/>
      </c>
      <c r="AC26" s="62">
        <f>IF($V26="","",IF(AND(ISNUMBER($G26),$G26&lt;=IF($S26=MesCiclo,InicioCiclo,$S26+MOD(2-WEEKDAY($S26),7))+6),1,IF(N($W26)&gt;0,AVERAGEIFS($Y$5:$Y$1000,$U$5:$U$1000,ROW(),$V$5:$V$1000,"Sub"),$Y26)))</f>
        <v/>
      </c>
      <c r="AD26" s="62">
        <f>IF($V26="","",IF(AND(ISNUMBER($G26),$G26&lt;=IF($S26=MesCiclo,InicioCiclo,$S26+MOD(2-WEEKDAY($S26),7))+13),1,IF(N($W26)&gt;0,AVERAGEIFS($Z$5:$Z$1000,$U$5:$U$1000,ROW(),$V$5:$V$1000,"Sub"),$Z26)))</f>
        <v/>
      </c>
      <c r="AE26" s="62">
        <f>IF($V26="","",IF(AND(ISNUMBER($G26),$G26&lt;=IF($S26=MesCiclo,InicioCiclo,$S26+MOD(2-WEEKDAY($S26),7))+20),1,IF(N($W26)&gt;0,AVERAGEIFS($AA$5:$AA$1000,$U$5:$U$1000,ROW(),$V$5:$V$1000,"Sub"),$AA26)))</f>
        <v/>
      </c>
      <c r="AF26" s="62">
        <f>IF($V26="","",IF(AND(ISNUMBER($G26),$G26&lt;=IF($S26=MesCiclo,InicioCiclo,$S26+MOD(2-WEEKDAY($S26),7))+27),1,IF(N($W26)&gt;0,AVERAGEIFS($AB$5:$AB$1000,$U$5:$U$1000,ROW(),$V$5:$V$1000,"Sub"),$AB26)))</f>
        <v/>
      </c>
      <c r="AG26" s="62">
        <f>IF($V26&lt;&gt;"Macro","",IF(COUNTIFS($S$5:$S$1000,$S26,$V$5:$V$1000,"Macro",$H$5:$H$1000,"&gt;0")=0,1/COUNTIFS($S$5:$S$1000,$S26,$V$5:$V$1000,"Macro"),IF(AND(ISNUMBER($H26),N($H26)&gt;0),$H26,SUMIFS($H$5:$H$1000,$S$5:$S$1000,$S26,$V$5:$V$1000,"Macro")/COUNTIFS($S$5:$S$1000,$S26,$V$5:$V$1000,"Macro",$H$5:$H$1000,"&gt;0"))/(COUNTIFS($S$5:$S$1000,$S26,$V$5:$V$1000,"Macro")*SUMIFS($H$5:$H$1000,$S$5:$S$1000,$S26,$V$5:$V$1000,"Macro")/COUNTIFS($S$5:$S$1000,$S26,$V$5:$V$1000,"Macro",$H$5:$H$1000,"&gt;0"))))</f>
        <v/>
      </c>
      <c r="AH26" s="62">
        <f>IF(NOT(AND($D26&lt;&gt;"",$V26="Macro")),"",IFERROR(CHOOSE(MATCH($D26,ListaPuestos,0),MATCH("[Jefatura] "&amp;$C26,'Cronograma R. Operacional'!$C$5:$C$1000,0),MATCH("[Jefatura] "&amp;$C26,'Cronograma R. Normativo'!$C$5:$C$1000,0),MATCH("[Jefatura] "&amp;$C26,'Cronograma R. Financiero'!$C$5:$C$1000,0),MATCH("[Jefatura] "&amp;$C26,'Cronograma Asistente Técnico'!$C$5:$C$1000,0)),0))</f>
        <v/>
      </c>
      <c r="AI26" s="62">
        <f>IF(AND(AND($D26&lt;&gt;"",$V26="Macro"),$S26=MesCiclo),COUNTIFS($D$5:$D26,$D26,$S$5:$S26,MesCiclo,$V$5:$V26,"Macro"),"")</f>
        <v/>
      </c>
      <c r="AJ26" s="62">
        <f>IF($AI26="","",$D26&amp;"|"&amp;$AI26)</f>
        <v/>
      </c>
      <c r="AK26" s="62">
        <f>IF(AND($D26&lt;&gt;"",$V26="Macro"),$D26&amp;"|"&amp;$C26,"")</f>
        <v/>
      </c>
      <c r="AL26" s="62">
        <f>""</f>
        <v/>
      </c>
      <c r="AM26" s="62">
        <f>IF(N($AL26)&gt;0,INDEX(rIni_ADM,$AL26),IF(ISNUMBER($E26),$E26,""))</f>
        <v/>
      </c>
      <c r="AN26" s="62">
        <f>IF(N($AL26)&gt;0,INDEX(rLim_ADM,$AL26),IF(ISNUMBER($F26),$F26,""))</f>
        <v/>
      </c>
    </row>
    <row r="27">
      <c r="A27" s="56">
        <f>IF(NOT((COUNTA($B27:$D27)+COUNTA($G27:$L27)+COUNTA($Q27))&gt;0),"",IF($V27="Macro",COUNTIFS($V$5:$V27,"Macro",$S$5:$S27,$S27),IF(N($U27)=0,"?",COUNTIFS(INDEX($V$5:$V$1000,1):INDEX($V$5:$V$1000,$U27-4),"Macro",INDEX($S$5:$S$1000,1):INDEX($S$5:$S$1000,$U27-4),INDEX($S$5:$S$1000,$U27-4))&amp;"."&amp;COUNTIFS($U$5:$U27,$U27,$V$5:$V27,"Sub"))))</f>
        <v/>
      </c>
      <c r="B27" s="57" t="n"/>
      <c r="C27" s="58" t="n"/>
      <c r="D27" s="58" t="n"/>
      <c r="E27" s="59" t="n"/>
      <c r="F27" s="59" t="n"/>
      <c r="G27" s="59" t="n"/>
      <c r="H27" s="60" t="n"/>
      <c r="I27" s="60" t="n"/>
      <c r="J27" s="60" t="n"/>
      <c r="K27" s="60" t="n"/>
      <c r="L27" s="60" t="n"/>
      <c r="M27" s="61">
        <f>IF(NOT((COUNTA($B27:$D27)+COUNTA($G27:$L27)+COUNTA($Q27))&gt;0),"",IF(AND($D27&lt;&gt;"",$V27="Macro"),IF(N($AH27)&gt;0,N(CHOOSE(MATCH($D27,ListaPuestos,0),INDEX('Cronograma R. Operacional'!$M$5:$M$1000,$AH27),INDEX('Cronograma R. Normativo'!$M$5:$M$1000,$AH27),INDEX('Cronograma R. Financiero'!$M$5:$M$1000,$AH27),INDEX('Cronograma Asistente Técnico'!$M$5:$M$1000,$AH27))),0),IF(ISNUMBER($G27),1,IF(N($W27)&gt;0,AVERAGEIFS($X$5:$X$1000,$U$5:$U$1000,ROW(),$V$5:$V$1000,"Sub"),$X27))))</f>
        <v/>
      </c>
      <c r="N27" s="56">
        <f>IF($M27="","",IF($M27&gt;=1,"Completado",IF($M27&gt;0,"En curso","Pendiente")))</f>
        <v/>
      </c>
      <c r="O27" s="56">
        <f>IF(NOT((COUNTA($B27:$D27)+COUNTA($G27:$L27)+COUNTA($Q27))&gt;0),"",IF(AND(AND($D27&lt;&gt;"",$V27="Macro"),N($AH27)&gt;0),CHOOSE(MATCH($D27,ListaPuestos,0),INDEX('Cronograma R. Operacional'!$O$5:$O$1000,$AH27),INDEX('Cronograma R. Normativo'!$O$5:$O$1000,$AH27),INDEX('Cronograma R. Financiero'!$O$5:$O$1000,$AH27),INDEX('Cronograma Asistente Técnico'!$O$5:$O$1000,$AH27))&amp;"",IF(ISNUMBER($G27),IF(AND(ISNUMBER($AN27),$G27&gt;$AN27),"Cumplida con "&amp;($G27-$AN27)&amp;IF($G27-$AN27=1," día"," días")&amp;" de retraso","Cumplida"),IF(N($M27)&gt;=1,"Cumplida",IF(NOT(ISNUMBER($AN27)),"Sin fecha límite",IF($AN27&lt;FechaRef,"Vencida hace "&amp;(FechaRef-$AN27)&amp;IF(FechaRef-$AN27=1," día"," días"),IF($AN27=FechaRef,"Vence hoy",IF($AN27-FechaRef&lt;=DiasAlerta,"Vence en "&amp;($AN27-FechaRef)&amp;IF($AN27-FechaRef=1," día"," días"),"En plazo"))))))))</f>
        <v/>
      </c>
      <c r="P27" s="62">
        <f>IF(NOT((COUNTA($B27:$D27)+COUNTA($G27:$L27)+COUNTA($Q27))&gt;0),"",IF($D27="","Propia",IF($V27&lt;&gt;"Macro","Solo se delegan macroactividades",IF(N($AH27)&gt;0,"✔ Recibida por "&amp;$D27,"⚠ "&amp;$D27&amp;" aún no la agrega"))))</f>
        <v/>
      </c>
      <c r="Q27" s="58" t="n"/>
      <c r="R27" s="63">
        <f>IF(NOT((COUNTA($B27:$D27)+COUNTA($G27:$L27)+COUNTA($Q27))&gt;0),"",IF((IF($C27="","Falta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",""))="","✔ OK","⚠ "&amp;LEFT(IF($C27="","Falta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",""),LEN(IF($C27="","Falta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",""))-3)))</f>
        <v/>
      </c>
      <c r="S27" s="64">
        <f>IF(NOT((COUNTA($B27:$D27)+COUNTA($G27:$L27)+COUNTA($Q27))&gt;0),"",IF(AND($V27="Sub",N($U27)&gt;0),IF(ISNUMBER(INDEX($AM$5:$AM$1000,$U27-4)),DATE(YEAR(INDEX($AM$5:$AM$1000,$U27-4)),MONTH(INDEX($AM$5:$AM$1000,$U27-4)),1),IF(ISNUMBER(INDEX($AN$5:$AN$1000,$U27-4)),DATE(YEAR(INDEX($AN$5:$AN$1000,$U27-4)),MONTH(INDEX($AN$5:$AN$1000,$U27-4)),1),MesCiclo)),IF(ISNUMBER($AM27),DATE(YEAR($AM27),MONTH($AM27),1),IF(ISNUMBER($AN27),DATE(YEAR($AN27),MONTH($AN27),1),MesCiclo))))</f>
        <v/>
      </c>
      <c r="T27" s="62">
        <f>IF(OR($S27="",$S27&lt;&gt;MesCiclo),"",COUNTIF($S$5:$S27,MesCiclo))</f>
        <v/>
      </c>
      <c r="U27" s="62">
        <f>IF($V27="","",IF($V27="Macro",ROW(),IFERROR(LOOKUP(2,1/($V$5:$V27="Macro"),ROW($V$5:$V27)),0)))</f>
        <v/>
      </c>
      <c r="V27" s="62">
        <f>IF(NOT((COUNTA($B27:$D27)+COUNTA($G27:$L27)+COUNTA($Q27))&gt;0),"",IF($B27="Subactividad","Sub","Macro"))</f>
        <v/>
      </c>
      <c r="W27" s="62">
        <f>IF($V27="Macro",COUNTIFS($U$5:$U$1000,ROW(),$V$5:$V$1000,"Sub"),"")</f>
        <v/>
      </c>
      <c r="X27" s="62">
        <f>IF($V27="","",IF(ISNUMBER($G27),1,IFERROR(LOOKUP(2,1/($I27:$L27&lt;&gt;""),$I27:$L27),0)))</f>
        <v/>
      </c>
      <c r="Y27" s="62">
        <f>IF($V27="","",IF(AND(ISNUMBER($G27),$G27&lt;=IF($S27=MesCiclo,InicioCiclo,$S27+MOD(2-WEEKDAY($S27),7))+6),1,IF(ISNUMBER($I27),$I27,0)))</f>
        <v/>
      </c>
      <c r="Z27" s="62">
        <f>IF($V27="","",IF(AND(ISNUMBER($G27),$G27&lt;=IF($S27=MesCiclo,InicioCiclo,$S27+MOD(2-WEEKDAY($S27),7))+13),1,IF(ISNUMBER($J27),$J27,$Y27)))</f>
        <v/>
      </c>
      <c r="AA27" s="62">
        <f>IF($V27="","",IF(AND(ISNUMBER($G27),$G27&lt;=IF($S27=MesCiclo,InicioCiclo,$S27+MOD(2-WEEKDAY($S27),7))+20),1,IF(ISNUMBER($K27),$K27,$Z27)))</f>
        <v/>
      </c>
      <c r="AB27" s="62">
        <f>IF($V27="","",IF(AND(ISNUMBER($G27),$G27&lt;=IF($S27=MesCiclo,InicioCiclo,$S27+MOD(2-WEEKDAY($S27),7))+27),1,IF(ISNUMBER($L27),$L27,$AA27)))</f>
        <v/>
      </c>
      <c r="AC27" s="62">
        <f>IF($V27="","",IF(AND(ISNUMBER($G27),$G27&lt;=IF($S27=MesCiclo,InicioCiclo,$S27+MOD(2-WEEKDAY($S27),7))+6),1,IF(N($W27)&gt;0,AVERAGEIFS($Y$5:$Y$1000,$U$5:$U$1000,ROW(),$V$5:$V$1000,"Sub"),$Y27)))</f>
        <v/>
      </c>
      <c r="AD27" s="62">
        <f>IF($V27="","",IF(AND(ISNUMBER($G27),$G27&lt;=IF($S27=MesCiclo,InicioCiclo,$S27+MOD(2-WEEKDAY($S27),7))+13),1,IF(N($W27)&gt;0,AVERAGEIFS($Z$5:$Z$1000,$U$5:$U$1000,ROW(),$V$5:$V$1000,"Sub"),$Z27)))</f>
        <v/>
      </c>
      <c r="AE27" s="62">
        <f>IF($V27="","",IF(AND(ISNUMBER($G27),$G27&lt;=IF($S27=MesCiclo,InicioCiclo,$S27+MOD(2-WEEKDAY($S27),7))+20),1,IF(N($W27)&gt;0,AVERAGEIFS($AA$5:$AA$1000,$U$5:$U$1000,ROW(),$V$5:$V$1000,"Sub"),$AA27)))</f>
        <v/>
      </c>
      <c r="AF27" s="62">
        <f>IF($V27="","",IF(AND(ISNUMBER($G27),$G27&lt;=IF($S27=MesCiclo,InicioCiclo,$S27+MOD(2-WEEKDAY($S27),7))+27),1,IF(N($W27)&gt;0,AVERAGEIFS($AB$5:$AB$1000,$U$5:$U$1000,ROW(),$V$5:$V$1000,"Sub"),$AB27)))</f>
        <v/>
      </c>
      <c r="AG27" s="62">
        <f>IF($V27&lt;&gt;"Macro","",IF(COUNTIFS($S$5:$S$1000,$S27,$V$5:$V$1000,"Macro",$H$5:$H$1000,"&gt;0")=0,1/COUNTIFS($S$5:$S$1000,$S27,$V$5:$V$1000,"Macro"),IF(AND(ISNUMBER($H27),N($H27)&gt;0),$H27,SUMIFS($H$5:$H$1000,$S$5:$S$1000,$S27,$V$5:$V$1000,"Macro")/COUNTIFS($S$5:$S$1000,$S27,$V$5:$V$1000,"Macro",$H$5:$H$1000,"&gt;0"))/(COUNTIFS($S$5:$S$1000,$S27,$V$5:$V$1000,"Macro")*SUMIFS($H$5:$H$1000,$S$5:$S$1000,$S27,$V$5:$V$1000,"Macro")/COUNTIFS($S$5:$S$1000,$S27,$V$5:$V$1000,"Macro",$H$5:$H$1000,"&gt;0"))))</f>
        <v/>
      </c>
      <c r="AH27" s="62">
        <f>IF(NOT(AND($D27&lt;&gt;"",$V27="Macro")),"",IFERROR(CHOOSE(MATCH($D27,ListaPuestos,0),MATCH("[Jefatura] "&amp;$C27,'Cronograma R. Operacional'!$C$5:$C$1000,0),MATCH("[Jefatura] "&amp;$C27,'Cronograma R. Normativo'!$C$5:$C$1000,0),MATCH("[Jefatura] "&amp;$C27,'Cronograma R. Financiero'!$C$5:$C$1000,0),MATCH("[Jefatura] "&amp;$C27,'Cronograma Asistente Técnico'!$C$5:$C$1000,0)),0))</f>
        <v/>
      </c>
      <c r="AI27" s="62">
        <f>IF(AND(AND($D27&lt;&gt;"",$V27="Macro"),$S27=MesCiclo),COUNTIFS($D$5:$D27,$D27,$S$5:$S27,MesCiclo,$V$5:$V27,"Macro"),"")</f>
        <v/>
      </c>
      <c r="AJ27" s="62">
        <f>IF($AI27="","",$D27&amp;"|"&amp;$AI27)</f>
        <v/>
      </c>
      <c r="AK27" s="62">
        <f>IF(AND($D27&lt;&gt;"",$V27="Macro"),$D27&amp;"|"&amp;$C27,"")</f>
        <v/>
      </c>
      <c r="AL27" s="62">
        <f>""</f>
        <v/>
      </c>
      <c r="AM27" s="62">
        <f>IF(N($AL27)&gt;0,INDEX(rIni_ADM,$AL27),IF(ISNUMBER($E27),$E27,""))</f>
        <v/>
      </c>
      <c r="AN27" s="62">
        <f>IF(N($AL27)&gt;0,INDEX(rLim_ADM,$AL27),IF(ISNUMBER($F27),$F27,""))</f>
        <v/>
      </c>
    </row>
    <row r="28">
      <c r="A28" s="56">
        <f>IF(NOT((COUNTA($B28:$D28)+COUNTA($G28:$L28)+COUNTA($Q28))&gt;0),"",IF($V28="Macro",COUNTIFS($V$5:$V28,"Macro",$S$5:$S28,$S28),IF(N($U28)=0,"?",COUNTIFS(INDEX($V$5:$V$1000,1):INDEX($V$5:$V$1000,$U28-4),"Macro",INDEX($S$5:$S$1000,1):INDEX($S$5:$S$1000,$U28-4),INDEX($S$5:$S$1000,$U28-4))&amp;"."&amp;COUNTIFS($U$5:$U28,$U28,$V$5:$V28,"Sub"))))</f>
        <v/>
      </c>
      <c r="B28" s="57" t="n"/>
      <c r="C28" s="58" t="n"/>
      <c r="D28" s="58" t="n"/>
      <c r="E28" s="59" t="n"/>
      <c r="F28" s="59" t="n"/>
      <c r="G28" s="59" t="n"/>
      <c r="H28" s="60" t="n"/>
      <c r="I28" s="60" t="n"/>
      <c r="J28" s="60" t="n"/>
      <c r="K28" s="60" t="n"/>
      <c r="L28" s="60" t="n"/>
      <c r="M28" s="61">
        <f>IF(NOT((COUNTA($B28:$D28)+COUNTA($G28:$L28)+COUNTA($Q28))&gt;0),"",IF(AND($D28&lt;&gt;"",$V28="Macro"),IF(N($AH28)&gt;0,N(CHOOSE(MATCH($D28,ListaPuestos,0),INDEX('Cronograma R. Operacional'!$M$5:$M$1000,$AH28),INDEX('Cronograma R. Normativo'!$M$5:$M$1000,$AH28),INDEX('Cronograma R. Financiero'!$M$5:$M$1000,$AH28),INDEX('Cronograma Asistente Técnico'!$M$5:$M$1000,$AH28))),0),IF(ISNUMBER($G28),1,IF(N($W28)&gt;0,AVERAGEIFS($X$5:$X$1000,$U$5:$U$1000,ROW(),$V$5:$V$1000,"Sub"),$X28))))</f>
        <v/>
      </c>
      <c r="N28" s="56">
        <f>IF($M28="","",IF($M28&gt;=1,"Completado",IF($M28&gt;0,"En curso","Pendiente")))</f>
        <v/>
      </c>
      <c r="O28" s="56">
        <f>IF(NOT((COUNTA($B28:$D28)+COUNTA($G28:$L28)+COUNTA($Q28))&gt;0),"",IF(AND(AND($D28&lt;&gt;"",$V28="Macro"),N($AH28)&gt;0),CHOOSE(MATCH($D28,ListaPuestos,0),INDEX('Cronograma R. Operacional'!$O$5:$O$1000,$AH28),INDEX('Cronograma R. Normativo'!$O$5:$O$1000,$AH28),INDEX('Cronograma R. Financiero'!$O$5:$O$1000,$AH28),INDEX('Cronograma Asistente Técnico'!$O$5:$O$1000,$AH28))&amp;"",IF(ISNUMBER($G28),IF(AND(ISNUMBER($AN28),$G28&gt;$AN28),"Cumplida con "&amp;($G28-$AN28)&amp;IF($G28-$AN28=1," día"," días")&amp;" de retraso","Cumplida"),IF(N($M28)&gt;=1,"Cumplida",IF(NOT(ISNUMBER($AN28)),"Sin fecha límite",IF($AN28&lt;FechaRef,"Vencida hace "&amp;(FechaRef-$AN28)&amp;IF(FechaRef-$AN28=1," día"," días"),IF($AN28=FechaRef,"Vence hoy",IF($AN28-FechaRef&lt;=DiasAlerta,"Vence en "&amp;($AN28-FechaRef)&amp;IF($AN28-FechaRef=1," día"," días"),"En plazo"))))))))</f>
        <v/>
      </c>
      <c r="P28" s="62">
        <f>IF(NOT((COUNTA($B28:$D28)+COUNTA($G28:$L28)+COUNTA($Q28))&gt;0),"",IF($D28="","Propia",IF($V28&lt;&gt;"Macro","Solo se delegan macroactividades",IF(N($AH28)&gt;0,"✔ Recibida por "&amp;$D28,"⚠ "&amp;$D28&amp;" aún no la agrega"))))</f>
        <v/>
      </c>
      <c r="Q28" s="58" t="n"/>
      <c r="R28" s="63">
        <f>IF(NOT((COUNTA($B28:$D28)+COUNTA($G28:$L28)+COUNTA($Q28))&gt;0),"",IF((IF($C28="","Falta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",""))="","✔ OK","⚠ "&amp;LEFT(IF($C28="","Falta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",""),LEN(IF($C28="","Falta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",""))-3)))</f>
        <v/>
      </c>
      <c r="S28" s="64">
        <f>IF(NOT((COUNTA($B28:$D28)+COUNTA($G28:$L28)+COUNTA($Q28))&gt;0),"",IF(AND($V28="Sub",N($U28)&gt;0),IF(ISNUMBER(INDEX($AM$5:$AM$1000,$U28-4)),DATE(YEAR(INDEX($AM$5:$AM$1000,$U28-4)),MONTH(INDEX($AM$5:$AM$1000,$U28-4)),1),IF(ISNUMBER(INDEX($AN$5:$AN$1000,$U28-4)),DATE(YEAR(INDEX($AN$5:$AN$1000,$U28-4)),MONTH(INDEX($AN$5:$AN$1000,$U28-4)),1),MesCiclo)),IF(ISNUMBER($AM28),DATE(YEAR($AM28),MONTH($AM28),1),IF(ISNUMBER($AN28),DATE(YEAR($AN28),MONTH($AN28),1),MesCiclo))))</f>
        <v/>
      </c>
      <c r="T28" s="62">
        <f>IF(OR($S28="",$S28&lt;&gt;MesCiclo),"",COUNTIF($S$5:$S28,MesCiclo))</f>
        <v/>
      </c>
      <c r="U28" s="62">
        <f>IF($V28="","",IF($V28="Macro",ROW(),IFERROR(LOOKUP(2,1/($V$5:$V28="Macro"),ROW($V$5:$V28)),0)))</f>
        <v/>
      </c>
      <c r="V28" s="62">
        <f>IF(NOT((COUNTA($B28:$D28)+COUNTA($G28:$L28)+COUNTA($Q28))&gt;0),"",IF($B28="Subactividad","Sub","Macro"))</f>
        <v/>
      </c>
      <c r="W28" s="62">
        <f>IF($V28="Macro",COUNTIFS($U$5:$U$1000,ROW(),$V$5:$V$1000,"Sub"),"")</f>
        <v/>
      </c>
      <c r="X28" s="62">
        <f>IF($V28="","",IF(ISNUMBER($G28),1,IFERROR(LOOKUP(2,1/($I28:$L28&lt;&gt;""),$I28:$L28),0)))</f>
        <v/>
      </c>
      <c r="Y28" s="62">
        <f>IF($V28="","",IF(AND(ISNUMBER($G28),$G28&lt;=IF($S28=MesCiclo,InicioCiclo,$S28+MOD(2-WEEKDAY($S28),7))+6),1,IF(ISNUMBER($I28),$I28,0)))</f>
        <v/>
      </c>
      <c r="Z28" s="62">
        <f>IF($V28="","",IF(AND(ISNUMBER($G28),$G28&lt;=IF($S28=MesCiclo,InicioCiclo,$S28+MOD(2-WEEKDAY($S28),7))+13),1,IF(ISNUMBER($J28),$J28,$Y28)))</f>
        <v/>
      </c>
      <c r="AA28" s="62">
        <f>IF($V28="","",IF(AND(ISNUMBER($G28),$G28&lt;=IF($S28=MesCiclo,InicioCiclo,$S28+MOD(2-WEEKDAY($S28),7))+20),1,IF(ISNUMBER($K28),$K28,$Z28)))</f>
        <v/>
      </c>
      <c r="AB28" s="62">
        <f>IF($V28="","",IF(AND(ISNUMBER($G28),$G28&lt;=IF($S28=MesCiclo,InicioCiclo,$S28+MOD(2-WEEKDAY($S28),7))+27),1,IF(ISNUMBER($L28),$L28,$AA28)))</f>
        <v/>
      </c>
      <c r="AC28" s="62">
        <f>IF($V28="","",IF(AND(ISNUMBER($G28),$G28&lt;=IF($S28=MesCiclo,InicioCiclo,$S28+MOD(2-WEEKDAY($S28),7))+6),1,IF(N($W28)&gt;0,AVERAGEIFS($Y$5:$Y$1000,$U$5:$U$1000,ROW(),$V$5:$V$1000,"Sub"),$Y28)))</f>
        <v/>
      </c>
      <c r="AD28" s="62">
        <f>IF($V28="","",IF(AND(ISNUMBER($G28),$G28&lt;=IF($S28=MesCiclo,InicioCiclo,$S28+MOD(2-WEEKDAY($S28),7))+13),1,IF(N($W28)&gt;0,AVERAGEIFS($Z$5:$Z$1000,$U$5:$U$1000,ROW(),$V$5:$V$1000,"Sub"),$Z28)))</f>
        <v/>
      </c>
      <c r="AE28" s="62">
        <f>IF($V28="","",IF(AND(ISNUMBER($G28),$G28&lt;=IF($S28=MesCiclo,InicioCiclo,$S28+MOD(2-WEEKDAY($S28),7))+20),1,IF(N($W28)&gt;0,AVERAGEIFS($AA$5:$AA$1000,$U$5:$U$1000,ROW(),$V$5:$V$1000,"Sub"),$AA28)))</f>
        <v/>
      </c>
      <c r="AF28" s="62">
        <f>IF($V28="","",IF(AND(ISNUMBER($G28),$G28&lt;=IF($S28=MesCiclo,InicioCiclo,$S28+MOD(2-WEEKDAY($S28),7))+27),1,IF(N($W28)&gt;0,AVERAGEIFS($AB$5:$AB$1000,$U$5:$U$1000,ROW(),$V$5:$V$1000,"Sub"),$AB28)))</f>
        <v/>
      </c>
      <c r="AG28" s="62">
        <f>IF($V28&lt;&gt;"Macro","",IF(COUNTIFS($S$5:$S$1000,$S28,$V$5:$V$1000,"Macro",$H$5:$H$1000,"&gt;0")=0,1/COUNTIFS($S$5:$S$1000,$S28,$V$5:$V$1000,"Macro"),IF(AND(ISNUMBER($H28),N($H28)&gt;0),$H28,SUMIFS($H$5:$H$1000,$S$5:$S$1000,$S28,$V$5:$V$1000,"Macro")/COUNTIFS($S$5:$S$1000,$S28,$V$5:$V$1000,"Macro",$H$5:$H$1000,"&gt;0"))/(COUNTIFS($S$5:$S$1000,$S28,$V$5:$V$1000,"Macro")*SUMIFS($H$5:$H$1000,$S$5:$S$1000,$S28,$V$5:$V$1000,"Macro")/COUNTIFS($S$5:$S$1000,$S28,$V$5:$V$1000,"Macro",$H$5:$H$1000,"&gt;0"))))</f>
        <v/>
      </c>
      <c r="AH28" s="62">
        <f>IF(NOT(AND($D28&lt;&gt;"",$V28="Macro")),"",IFERROR(CHOOSE(MATCH($D28,ListaPuestos,0),MATCH("[Jefatura] "&amp;$C28,'Cronograma R. Operacional'!$C$5:$C$1000,0),MATCH("[Jefatura] "&amp;$C28,'Cronograma R. Normativo'!$C$5:$C$1000,0),MATCH("[Jefatura] "&amp;$C28,'Cronograma R. Financiero'!$C$5:$C$1000,0),MATCH("[Jefatura] "&amp;$C28,'Cronograma Asistente Técnico'!$C$5:$C$1000,0)),0))</f>
        <v/>
      </c>
      <c r="AI28" s="62">
        <f>IF(AND(AND($D28&lt;&gt;"",$V28="Macro"),$S28=MesCiclo),COUNTIFS($D$5:$D28,$D28,$S$5:$S28,MesCiclo,$V$5:$V28,"Macro"),"")</f>
        <v/>
      </c>
      <c r="AJ28" s="62">
        <f>IF($AI28="","",$D28&amp;"|"&amp;$AI28)</f>
        <v/>
      </c>
      <c r="AK28" s="62">
        <f>IF(AND($D28&lt;&gt;"",$V28="Macro"),$D28&amp;"|"&amp;$C28,"")</f>
        <v/>
      </c>
      <c r="AL28" s="62">
        <f>""</f>
        <v/>
      </c>
      <c r="AM28" s="62">
        <f>IF(N($AL28)&gt;0,INDEX(rIni_ADM,$AL28),IF(ISNUMBER($E28),$E28,""))</f>
        <v/>
      </c>
      <c r="AN28" s="62">
        <f>IF(N($AL28)&gt;0,INDEX(rLim_ADM,$AL28),IF(ISNUMBER($F28),$F28,""))</f>
        <v/>
      </c>
    </row>
    <row r="29">
      <c r="A29" s="56">
        <f>IF(NOT((COUNTA($B29:$D29)+COUNTA($G29:$L29)+COUNTA($Q29))&gt;0),"",IF($V29="Macro",COUNTIFS($V$5:$V29,"Macro",$S$5:$S29,$S29),IF(N($U29)=0,"?",COUNTIFS(INDEX($V$5:$V$1000,1):INDEX($V$5:$V$1000,$U29-4),"Macro",INDEX($S$5:$S$1000,1):INDEX($S$5:$S$1000,$U29-4),INDEX($S$5:$S$1000,$U29-4))&amp;"."&amp;COUNTIFS($U$5:$U29,$U29,$V$5:$V29,"Sub"))))</f>
        <v/>
      </c>
      <c r="B29" s="57" t="n"/>
      <c r="C29" s="58" t="n"/>
      <c r="D29" s="58" t="n"/>
      <c r="E29" s="59" t="n"/>
      <c r="F29" s="59" t="n"/>
      <c r="G29" s="59" t="n"/>
      <c r="H29" s="60" t="n"/>
      <c r="I29" s="60" t="n"/>
      <c r="J29" s="60" t="n"/>
      <c r="K29" s="60" t="n"/>
      <c r="L29" s="60" t="n"/>
      <c r="M29" s="61">
        <f>IF(NOT((COUNTA($B29:$D29)+COUNTA($G29:$L29)+COUNTA($Q29))&gt;0),"",IF(AND($D29&lt;&gt;"",$V29="Macro"),IF(N($AH29)&gt;0,N(CHOOSE(MATCH($D29,ListaPuestos,0),INDEX('Cronograma R. Operacional'!$M$5:$M$1000,$AH29),INDEX('Cronograma R. Normativo'!$M$5:$M$1000,$AH29),INDEX('Cronograma R. Financiero'!$M$5:$M$1000,$AH29),INDEX('Cronograma Asistente Técnico'!$M$5:$M$1000,$AH29))),0),IF(ISNUMBER($G29),1,IF(N($W29)&gt;0,AVERAGEIFS($X$5:$X$1000,$U$5:$U$1000,ROW(),$V$5:$V$1000,"Sub"),$X29))))</f>
        <v/>
      </c>
      <c r="N29" s="56">
        <f>IF($M29="","",IF($M29&gt;=1,"Completado",IF($M29&gt;0,"En curso","Pendiente")))</f>
        <v/>
      </c>
      <c r="O29" s="56">
        <f>IF(NOT((COUNTA($B29:$D29)+COUNTA($G29:$L29)+COUNTA($Q29))&gt;0),"",IF(AND(AND($D29&lt;&gt;"",$V29="Macro"),N($AH29)&gt;0),CHOOSE(MATCH($D29,ListaPuestos,0),INDEX('Cronograma R. Operacional'!$O$5:$O$1000,$AH29),INDEX('Cronograma R. Normativo'!$O$5:$O$1000,$AH29),INDEX('Cronograma R. Financiero'!$O$5:$O$1000,$AH29),INDEX('Cronograma Asistente Técnico'!$O$5:$O$1000,$AH29))&amp;"",IF(ISNUMBER($G29),IF(AND(ISNUMBER($AN29),$G29&gt;$AN29),"Cumplida con "&amp;($G29-$AN29)&amp;IF($G29-$AN29=1," día"," días")&amp;" de retraso","Cumplida"),IF(N($M29)&gt;=1,"Cumplida",IF(NOT(ISNUMBER($AN29)),"Sin fecha límite",IF($AN29&lt;FechaRef,"Vencida hace "&amp;(FechaRef-$AN29)&amp;IF(FechaRef-$AN29=1," día"," días"),IF($AN29=FechaRef,"Vence hoy",IF($AN29-FechaRef&lt;=DiasAlerta,"Vence en "&amp;($AN29-FechaRef)&amp;IF($AN29-FechaRef=1," día"," días"),"En plazo"))))))))</f>
        <v/>
      </c>
      <c r="P29" s="62">
        <f>IF(NOT((COUNTA($B29:$D29)+COUNTA($G29:$L29)+COUNTA($Q29))&gt;0),"",IF($D29="","Propia",IF($V29&lt;&gt;"Macro","Solo se delegan macroactividades",IF(N($AH29)&gt;0,"✔ Recibida por "&amp;$D29,"⚠ "&amp;$D29&amp;" aún no la agrega"))))</f>
        <v/>
      </c>
      <c r="Q29" s="58" t="n"/>
      <c r="R29" s="63">
        <f>IF(NOT((COUNTA($B29:$D29)+COUNTA($G29:$L29)+COUNTA($Q29))&gt;0),"",IF((IF($C29="","Falta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",""))="","✔ OK","⚠ "&amp;LEFT(IF($C29="","Falta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",""),LEN(IF($C29="","Falta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",""))-3)))</f>
        <v/>
      </c>
      <c r="S29" s="64">
        <f>IF(NOT((COUNTA($B29:$D29)+COUNTA($G29:$L29)+COUNTA($Q29))&gt;0),"",IF(AND($V29="Sub",N($U29)&gt;0),IF(ISNUMBER(INDEX($AM$5:$AM$1000,$U29-4)),DATE(YEAR(INDEX($AM$5:$AM$1000,$U29-4)),MONTH(INDEX($AM$5:$AM$1000,$U29-4)),1),IF(ISNUMBER(INDEX($AN$5:$AN$1000,$U29-4)),DATE(YEAR(INDEX($AN$5:$AN$1000,$U29-4)),MONTH(INDEX($AN$5:$AN$1000,$U29-4)),1),MesCiclo)),IF(ISNUMBER($AM29),DATE(YEAR($AM29),MONTH($AM29),1),IF(ISNUMBER($AN29),DATE(YEAR($AN29),MONTH($AN29),1),MesCiclo))))</f>
        <v/>
      </c>
      <c r="T29" s="62">
        <f>IF(OR($S29="",$S29&lt;&gt;MesCiclo),"",COUNTIF($S$5:$S29,MesCiclo))</f>
        <v/>
      </c>
      <c r="U29" s="62">
        <f>IF($V29="","",IF($V29="Macro",ROW(),IFERROR(LOOKUP(2,1/($V$5:$V29="Macro"),ROW($V$5:$V29)),0)))</f>
        <v/>
      </c>
      <c r="V29" s="62">
        <f>IF(NOT((COUNTA($B29:$D29)+COUNTA($G29:$L29)+COUNTA($Q29))&gt;0),"",IF($B29="Subactividad","Sub","Macro"))</f>
        <v/>
      </c>
      <c r="W29" s="62">
        <f>IF($V29="Macro",COUNTIFS($U$5:$U$1000,ROW(),$V$5:$V$1000,"Sub"),"")</f>
        <v/>
      </c>
      <c r="X29" s="62">
        <f>IF($V29="","",IF(ISNUMBER($G29),1,IFERROR(LOOKUP(2,1/($I29:$L29&lt;&gt;""),$I29:$L29),0)))</f>
        <v/>
      </c>
      <c r="Y29" s="62">
        <f>IF($V29="","",IF(AND(ISNUMBER($G29),$G29&lt;=IF($S29=MesCiclo,InicioCiclo,$S29+MOD(2-WEEKDAY($S29),7))+6),1,IF(ISNUMBER($I29),$I29,0)))</f>
        <v/>
      </c>
      <c r="Z29" s="62">
        <f>IF($V29="","",IF(AND(ISNUMBER($G29),$G29&lt;=IF($S29=MesCiclo,InicioCiclo,$S29+MOD(2-WEEKDAY($S29),7))+13),1,IF(ISNUMBER($J29),$J29,$Y29)))</f>
        <v/>
      </c>
      <c r="AA29" s="62">
        <f>IF($V29="","",IF(AND(ISNUMBER($G29),$G29&lt;=IF($S29=MesCiclo,InicioCiclo,$S29+MOD(2-WEEKDAY($S29),7))+20),1,IF(ISNUMBER($K29),$K29,$Z29)))</f>
        <v/>
      </c>
      <c r="AB29" s="62">
        <f>IF($V29="","",IF(AND(ISNUMBER($G29),$G29&lt;=IF($S29=MesCiclo,InicioCiclo,$S29+MOD(2-WEEKDAY($S29),7))+27),1,IF(ISNUMBER($L29),$L29,$AA29)))</f>
        <v/>
      </c>
      <c r="AC29" s="62">
        <f>IF($V29="","",IF(AND(ISNUMBER($G29),$G29&lt;=IF($S29=MesCiclo,InicioCiclo,$S29+MOD(2-WEEKDAY($S29),7))+6),1,IF(N($W29)&gt;0,AVERAGEIFS($Y$5:$Y$1000,$U$5:$U$1000,ROW(),$V$5:$V$1000,"Sub"),$Y29)))</f>
        <v/>
      </c>
      <c r="AD29" s="62">
        <f>IF($V29="","",IF(AND(ISNUMBER($G29),$G29&lt;=IF($S29=MesCiclo,InicioCiclo,$S29+MOD(2-WEEKDAY($S29),7))+13),1,IF(N($W29)&gt;0,AVERAGEIFS($Z$5:$Z$1000,$U$5:$U$1000,ROW(),$V$5:$V$1000,"Sub"),$Z29)))</f>
        <v/>
      </c>
      <c r="AE29" s="62">
        <f>IF($V29="","",IF(AND(ISNUMBER($G29),$G29&lt;=IF($S29=MesCiclo,InicioCiclo,$S29+MOD(2-WEEKDAY($S29),7))+20),1,IF(N($W29)&gt;0,AVERAGEIFS($AA$5:$AA$1000,$U$5:$U$1000,ROW(),$V$5:$V$1000,"Sub"),$AA29)))</f>
        <v/>
      </c>
      <c r="AF29" s="62">
        <f>IF($V29="","",IF(AND(ISNUMBER($G29),$G29&lt;=IF($S29=MesCiclo,InicioCiclo,$S29+MOD(2-WEEKDAY($S29),7))+27),1,IF(N($W29)&gt;0,AVERAGEIFS($AB$5:$AB$1000,$U$5:$U$1000,ROW(),$V$5:$V$1000,"Sub"),$AB29)))</f>
        <v/>
      </c>
      <c r="AG29" s="62">
        <f>IF($V29&lt;&gt;"Macro","",IF(COUNTIFS($S$5:$S$1000,$S29,$V$5:$V$1000,"Macro",$H$5:$H$1000,"&gt;0")=0,1/COUNTIFS($S$5:$S$1000,$S29,$V$5:$V$1000,"Macro"),IF(AND(ISNUMBER($H29),N($H29)&gt;0),$H29,SUMIFS($H$5:$H$1000,$S$5:$S$1000,$S29,$V$5:$V$1000,"Macro")/COUNTIFS($S$5:$S$1000,$S29,$V$5:$V$1000,"Macro",$H$5:$H$1000,"&gt;0"))/(COUNTIFS($S$5:$S$1000,$S29,$V$5:$V$1000,"Macro")*SUMIFS($H$5:$H$1000,$S$5:$S$1000,$S29,$V$5:$V$1000,"Macro")/COUNTIFS($S$5:$S$1000,$S29,$V$5:$V$1000,"Macro",$H$5:$H$1000,"&gt;0"))))</f>
        <v/>
      </c>
      <c r="AH29" s="62">
        <f>IF(NOT(AND($D29&lt;&gt;"",$V29="Macro")),"",IFERROR(CHOOSE(MATCH($D29,ListaPuestos,0),MATCH("[Jefatura] "&amp;$C29,'Cronograma R. Operacional'!$C$5:$C$1000,0),MATCH("[Jefatura] "&amp;$C29,'Cronograma R. Normativo'!$C$5:$C$1000,0),MATCH("[Jefatura] "&amp;$C29,'Cronograma R. Financiero'!$C$5:$C$1000,0),MATCH("[Jefatura] "&amp;$C29,'Cronograma Asistente Técnico'!$C$5:$C$1000,0)),0))</f>
        <v/>
      </c>
      <c r="AI29" s="62">
        <f>IF(AND(AND($D29&lt;&gt;"",$V29="Macro"),$S29=MesCiclo),COUNTIFS($D$5:$D29,$D29,$S$5:$S29,MesCiclo,$V$5:$V29,"Macro"),"")</f>
        <v/>
      </c>
      <c r="AJ29" s="62">
        <f>IF($AI29="","",$D29&amp;"|"&amp;$AI29)</f>
        <v/>
      </c>
      <c r="AK29" s="62">
        <f>IF(AND($D29&lt;&gt;"",$V29="Macro"),$D29&amp;"|"&amp;$C29,"")</f>
        <v/>
      </c>
      <c r="AL29" s="62">
        <f>""</f>
        <v/>
      </c>
      <c r="AM29" s="62">
        <f>IF(N($AL29)&gt;0,INDEX(rIni_ADM,$AL29),IF(ISNUMBER($E29),$E29,""))</f>
        <v/>
      </c>
      <c r="AN29" s="62">
        <f>IF(N($AL29)&gt;0,INDEX(rLim_ADM,$AL29),IF(ISNUMBER($F29),$F29,""))</f>
        <v/>
      </c>
    </row>
    <row r="30">
      <c r="A30" s="56">
        <f>IF(NOT((COUNTA($B30:$D30)+COUNTA($G30:$L30)+COUNTA($Q30))&gt;0),"",IF($V30="Macro",COUNTIFS($V$5:$V30,"Macro",$S$5:$S30,$S30),IF(N($U30)=0,"?",COUNTIFS(INDEX($V$5:$V$1000,1):INDEX($V$5:$V$1000,$U30-4),"Macro",INDEX($S$5:$S$1000,1):INDEX($S$5:$S$1000,$U30-4),INDEX($S$5:$S$1000,$U30-4))&amp;"."&amp;COUNTIFS($U$5:$U30,$U30,$V$5:$V30,"Sub"))))</f>
        <v/>
      </c>
      <c r="B30" s="57" t="n"/>
      <c r="C30" s="58" t="n"/>
      <c r="D30" s="58" t="n"/>
      <c r="E30" s="59" t="n"/>
      <c r="F30" s="59" t="n"/>
      <c r="G30" s="59" t="n"/>
      <c r="H30" s="60" t="n"/>
      <c r="I30" s="60" t="n"/>
      <c r="J30" s="60" t="n"/>
      <c r="K30" s="60" t="n"/>
      <c r="L30" s="60" t="n"/>
      <c r="M30" s="61">
        <f>IF(NOT((COUNTA($B30:$D30)+COUNTA($G30:$L30)+COUNTA($Q30))&gt;0),"",IF(AND($D30&lt;&gt;"",$V30="Macro"),IF(N($AH30)&gt;0,N(CHOOSE(MATCH($D30,ListaPuestos,0),INDEX('Cronograma R. Operacional'!$M$5:$M$1000,$AH30),INDEX('Cronograma R. Normativo'!$M$5:$M$1000,$AH30),INDEX('Cronograma R. Financiero'!$M$5:$M$1000,$AH30),INDEX('Cronograma Asistente Técnico'!$M$5:$M$1000,$AH30))),0),IF(ISNUMBER($G30),1,IF(N($W30)&gt;0,AVERAGEIFS($X$5:$X$1000,$U$5:$U$1000,ROW(),$V$5:$V$1000,"Sub"),$X30))))</f>
        <v/>
      </c>
      <c r="N30" s="56">
        <f>IF($M30="","",IF($M30&gt;=1,"Completado",IF($M30&gt;0,"En curso","Pendiente")))</f>
        <v/>
      </c>
      <c r="O30" s="56">
        <f>IF(NOT((COUNTA($B30:$D30)+COUNTA($G30:$L30)+COUNTA($Q30))&gt;0),"",IF(AND(AND($D30&lt;&gt;"",$V30="Macro"),N($AH30)&gt;0),CHOOSE(MATCH($D30,ListaPuestos,0),INDEX('Cronograma R. Operacional'!$O$5:$O$1000,$AH30),INDEX('Cronograma R. Normativo'!$O$5:$O$1000,$AH30),INDEX('Cronograma R. Financiero'!$O$5:$O$1000,$AH30),INDEX('Cronograma Asistente Técnico'!$O$5:$O$1000,$AH30))&amp;"",IF(ISNUMBER($G30),IF(AND(ISNUMBER($AN30),$G30&gt;$AN30),"Cumplida con "&amp;($G30-$AN30)&amp;IF($G30-$AN30=1," día"," días")&amp;" de retraso","Cumplida"),IF(N($M30)&gt;=1,"Cumplida",IF(NOT(ISNUMBER($AN30)),"Sin fecha límite",IF($AN30&lt;FechaRef,"Vencida hace "&amp;(FechaRef-$AN30)&amp;IF(FechaRef-$AN30=1," día"," días"),IF($AN30=FechaRef,"Vence hoy",IF($AN30-FechaRef&lt;=DiasAlerta,"Vence en "&amp;($AN30-FechaRef)&amp;IF($AN30-FechaRef=1," día"," días"),"En plazo"))))))))</f>
        <v/>
      </c>
      <c r="P30" s="62">
        <f>IF(NOT((COUNTA($B30:$D30)+COUNTA($G30:$L30)+COUNTA($Q30))&gt;0),"",IF($D30="","Propia",IF($V30&lt;&gt;"Macro","Solo se delegan macroactividades",IF(N($AH30)&gt;0,"✔ Recibida por "&amp;$D30,"⚠ "&amp;$D30&amp;" aún no la agrega"))))</f>
        <v/>
      </c>
      <c r="Q30" s="58" t="n"/>
      <c r="R30" s="63">
        <f>IF(NOT((COUNTA($B30:$D30)+COUNTA($G30:$L30)+COUNTA($Q30))&gt;0),"",IF((IF($C30="","Falta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",""))="","✔ OK","⚠ "&amp;LEFT(IF($C30="","Falta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",""),LEN(IF($C30="","Falta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",""))-3)))</f>
        <v/>
      </c>
      <c r="S30" s="64">
        <f>IF(NOT((COUNTA($B30:$D30)+COUNTA($G30:$L30)+COUNTA($Q30))&gt;0),"",IF(AND($V30="Sub",N($U30)&gt;0),IF(ISNUMBER(INDEX($AM$5:$AM$1000,$U30-4)),DATE(YEAR(INDEX($AM$5:$AM$1000,$U30-4)),MONTH(INDEX($AM$5:$AM$1000,$U30-4)),1),IF(ISNUMBER(INDEX($AN$5:$AN$1000,$U30-4)),DATE(YEAR(INDEX($AN$5:$AN$1000,$U30-4)),MONTH(INDEX($AN$5:$AN$1000,$U30-4)),1),MesCiclo)),IF(ISNUMBER($AM30),DATE(YEAR($AM30),MONTH($AM30),1),IF(ISNUMBER($AN30),DATE(YEAR($AN30),MONTH($AN30),1),MesCiclo))))</f>
        <v/>
      </c>
      <c r="T30" s="62">
        <f>IF(OR($S30="",$S30&lt;&gt;MesCiclo),"",COUNTIF($S$5:$S30,MesCiclo))</f>
        <v/>
      </c>
      <c r="U30" s="62">
        <f>IF($V30="","",IF($V30="Macro",ROW(),IFERROR(LOOKUP(2,1/($V$5:$V30="Macro"),ROW($V$5:$V30)),0)))</f>
        <v/>
      </c>
      <c r="V30" s="62">
        <f>IF(NOT((COUNTA($B30:$D30)+COUNTA($G30:$L30)+COUNTA($Q30))&gt;0),"",IF($B30="Subactividad","Sub","Macro"))</f>
        <v/>
      </c>
      <c r="W30" s="62">
        <f>IF($V30="Macro",COUNTIFS($U$5:$U$1000,ROW(),$V$5:$V$1000,"Sub"),"")</f>
        <v/>
      </c>
      <c r="X30" s="62">
        <f>IF($V30="","",IF(ISNUMBER($G30),1,IFERROR(LOOKUP(2,1/($I30:$L30&lt;&gt;""),$I30:$L30),0)))</f>
        <v/>
      </c>
      <c r="Y30" s="62">
        <f>IF($V30="","",IF(AND(ISNUMBER($G30),$G30&lt;=IF($S30=MesCiclo,InicioCiclo,$S30+MOD(2-WEEKDAY($S30),7))+6),1,IF(ISNUMBER($I30),$I30,0)))</f>
        <v/>
      </c>
      <c r="Z30" s="62">
        <f>IF($V30="","",IF(AND(ISNUMBER($G30),$G30&lt;=IF($S30=MesCiclo,InicioCiclo,$S30+MOD(2-WEEKDAY($S30),7))+13),1,IF(ISNUMBER($J30),$J30,$Y30)))</f>
        <v/>
      </c>
      <c r="AA30" s="62">
        <f>IF($V30="","",IF(AND(ISNUMBER($G30),$G30&lt;=IF($S30=MesCiclo,InicioCiclo,$S30+MOD(2-WEEKDAY($S30),7))+20),1,IF(ISNUMBER($K30),$K30,$Z30)))</f>
        <v/>
      </c>
      <c r="AB30" s="62">
        <f>IF($V30="","",IF(AND(ISNUMBER($G30),$G30&lt;=IF($S30=MesCiclo,InicioCiclo,$S30+MOD(2-WEEKDAY($S30),7))+27),1,IF(ISNUMBER($L30),$L30,$AA30)))</f>
        <v/>
      </c>
      <c r="AC30" s="62">
        <f>IF($V30="","",IF(AND(ISNUMBER($G30),$G30&lt;=IF($S30=MesCiclo,InicioCiclo,$S30+MOD(2-WEEKDAY($S30),7))+6),1,IF(N($W30)&gt;0,AVERAGEIFS($Y$5:$Y$1000,$U$5:$U$1000,ROW(),$V$5:$V$1000,"Sub"),$Y30)))</f>
        <v/>
      </c>
      <c r="AD30" s="62">
        <f>IF($V30="","",IF(AND(ISNUMBER($G30),$G30&lt;=IF($S30=MesCiclo,InicioCiclo,$S30+MOD(2-WEEKDAY($S30),7))+13),1,IF(N($W30)&gt;0,AVERAGEIFS($Z$5:$Z$1000,$U$5:$U$1000,ROW(),$V$5:$V$1000,"Sub"),$Z30)))</f>
        <v/>
      </c>
      <c r="AE30" s="62">
        <f>IF($V30="","",IF(AND(ISNUMBER($G30),$G30&lt;=IF($S30=MesCiclo,InicioCiclo,$S30+MOD(2-WEEKDAY($S30),7))+20),1,IF(N($W30)&gt;0,AVERAGEIFS($AA$5:$AA$1000,$U$5:$U$1000,ROW(),$V$5:$V$1000,"Sub"),$AA30)))</f>
        <v/>
      </c>
      <c r="AF30" s="62">
        <f>IF($V30="","",IF(AND(ISNUMBER($G30),$G30&lt;=IF($S30=MesCiclo,InicioCiclo,$S30+MOD(2-WEEKDAY($S30),7))+27),1,IF(N($W30)&gt;0,AVERAGEIFS($AB$5:$AB$1000,$U$5:$U$1000,ROW(),$V$5:$V$1000,"Sub"),$AB30)))</f>
        <v/>
      </c>
      <c r="AG30" s="62">
        <f>IF($V30&lt;&gt;"Macro","",IF(COUNTIFS($S$5:$S$1000,$S30,$V$5:$V$1000,"Macro",$H$5:$H$1000,"&gt;0")=0,1/COUNTIFS($S$5:$S$1000,$S30,$V$5:$V$1000,"Macro"),IF(AND(ISNUMBER($H30),N($H30)&gt;0),$H30,SUMIFS($H$5:$H$1000,$S$5:$S$1000,$S30,$V$5:$V$1000,"Macro")/COUNTIFS($S$5:$S$1000,$S30,$V$5:$V$1000,"Macro",$H$5:$H$1000,"&gt;0"))/(COUNTIFS($S$5:$S$1000,$S30,$V$5:$V$1000,"Macro")*SUMIFS($H$5:$H$1000,$S$5:$S$1000,$S30,$V$5:$V$1000,"Macro")/COUNTIFS($S$5:$S$1000,$S30,$V$5:$V$1000,"Macro",$H$5:$H$1000,"&gt;0"))))</f>
        <v/>
      </c>
      <c r="AH30" s="62">
        <f>IF(NOT(AND($D30&lt;&gt;"",$V30="Macro")),"",IFERROR(CHOOSE(MATCH($D30,ListaPuestos,0),MATCH("[Jefatura] "&amp;$C30,'Cronograma R. Operacional'!$C$5:$C$1000,0),MATCH("[Jefatura] "&amp;$C30,'Cronograma R. Normativo'!$C$5:$C$1000,0),MATCH("[Jefatura] "&amp;$C30,'Cronograma R. Financiero'!$C$5:$C$1000,0),MATCH("[Jefatura] "&amp;$C30,'Cronograma Asistente Técnico'!$C$5:$C$1000,0)),0))</f>
        <v/>
      </c>
      <c r="AI30" s="62">
        <f>IF(AND(AND($D30&lt;&gt;"",$V30="Macro"),$S30=MesCiclo),COUNTIFS($D$5:$D30,$D30,$S$5:$S30,MesCiclo,$V$5:$V30,"Macro"),"")</f>
        <v/>
      </c>
      <c r="AJ30" s="62">
        <f>IF($AI30="","",$D30&amp;"|"&amp;$AI30)</f>
        <v/>
      </c>
      <c r="AK30" s="62">
        <f>IF(AND($D30&lt;&gt;"",$V30="Macro"),$D30&amp;"|"&amp;$C30,"")</f>
        <v/>
      </c>
      <c r="AL30" s="62">
        <f>""</f>
        <v/>
      </c>
      <c r="AM30" s="62">
        <f>IF(N($AL30)&gt;0,INDEX(rIni_ADM,$AL30),IF(ISNUMBER($E30),$E30,""))</f>
        <v/>
      </c>
      <c r="AN30" s="62">
        <f>IF(N($AL30)&gt;0,INDEX(rLim_ADM,$AL30),IF(ISNUMBER($F30),$F30,""))</f>
        <v/>
      </c>
    </row>
    <row r="31">
      <c r="A31" s="56">
        <f>IF(NOT((COUNTA($B31:$D31)+COUNTA($G31:$L31)+COUNTA($Q31))&gt;0),"",IF($V31="Macro",COUNTIFS($V$5:$V31,"Macro",$S$5:$S31,$S31),IF(N($U31)=0,"?",COUNTIFS(INDEX($V$5:$V$1000,1):INDEX($V$5:$V$1000,$U31-4),"Macro",INDEX($S$5:$S$1000,1):INDEX($S$5:$S$1000,$U31-4),INDEX($S$5:$S$1000,$U31-4))&amp;"."&amp;COUNTIFS($U$5:$U31,$U31,$V$5:$V31,"Sub"))))</f>
        <v/>
      </c>
      <c r="B31" s="57" t="n"/>
      <c r="C31" s="58" t="n"/>
      <c r="D31" s="58" t="n"/>
      <c r="E31" s="59" t="n"/>
      <c r="F31" s="59" t="n"/>
      <c r="G31" s="59" t="n"/>
      <c r="H31" s="60" t="n"/>
      <c r="I31" s="60" t="n"/>
      <c r="J31" s="60" t="n"/>
      <c r="K31" s="60" t="n"/>
      <c r="L31" s="60" t="n"/>
      <c r="M31" s="61">
        <f>IF(NOT((COUNTA($B31:$D31)+COUNTA($G31:$L31)+COUNTA($Q31))&gt;0),"",IF(AND($D31&lt;&gt;"",$V31="Macro"),IF(N($AH31)&gt;0,N(CHOOSE(MATCH($D31,ListaPuestos,0),INDEX('Cronograma R. Operacional'!$M$5:$M$1000,$AH31),INDEX('Cronograma R. Normativo'!$M$5:$M$1000,$AH31),INDEX('Cronograma R. Financiero'!$M$5:$M$1000,$AH31),INDEX('Cronograma Asistente Técnico'!$M$5:$M$1000,$AH31))),0),IF(ISNUMBER($G31),1,IF(N($W31)&gt;0,AVERAGEIFS($X$5:$X$1000,$U$5:$U$1000,ROW(),$V$5:$V$1000,"Sub"),$X31))))</f>
        <v/>
      </c>
      <c r="N31" s="56">
        <f>IF($M31="","",IF($M31&gt;=1,"Completado",IF($M31&gt;0,"En curso","Pendiente")))</f>
        <v/>
      </c>
      <c r="O31" s="56">
        <f>IF(NOT((COUNTA($B31:$D31)+COUNTA($G31:$L31)+COUNTA($Q31))&gt;0),"",IF(AND(AND($D31&lt;&gt;"",$V31="Macro"),N($AH31)&gt;0),CHOOSE(MATCH($D31,ListaPuestos,0),INDEX('Cronograma R. Operacional'!$O$5:$O$1000,$AH31),INDEX('Cronograma R. Normativo'!$O$5:$O$1000,$AH31),INDEX('Cronograma R. Financiero'!$O$5:$O$1000,$AH31),INDEX('Cronograma Asistente Técnico'!$O$5:$O$1000,$AH31))&amp;"",IF(ISNUMBER($G31),IF(AND(ISNUMBER($AN31),$G31&gt;$AN31),"Cumplida con "&amp;($G31-$AN31)&amp;IF($G31-$AN31=1," día"," días")&amp;" de retraso","Cumplida"),IF(N($M31)&gt;=1,"Cumplida",IF(NOT(ISNUMBER($AN31)),"Sin fecha límite",IF($AN31&lt;FechaRef,"Vencida hace "&amp;(FechaRef-$AN31)&amp;IF(FechaRef-$AN31=1," día"," días"),IF($AN31=FechaRef,"Vence hoy",IF($AN31-FechaRef&lt;=DiasAlerta,"Vence en "&amp;($AN31-FechaRef)&amp;IF($AN31-FechaRef=1," día"," días"),"En plazo"))))))))</f>
        <v/>
      </c>
      <c r="P31" s="62">
        <f>IF(NOT((COUNTA($B31:$D31)+COUNTA($G31:$L31)+COUNTA($Q31))&gt;0),"",IF($D31="","Propia",IF($V31&lt;&gt;"Macro","Solo se delegan macroactividades",IF(N($AH31)&gt;0,"✔ Recibida por "&amp;$D31,"⚠ "&amp;$D31&amp;" aún no la agrega"))))</f>
        <v/>
      </c>
      <c r="Q31" s="58" t="n"/>
      <c r="R31" s="63">
        <f>IF(NOT((COUNTA($B31:$D31)+COUNTA($G31:$L31)+COUNTA($Q31))&gt;0),"",IF((IF($C31="","Falta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",""))="","✔ OK","⚠ "&amp;LEFT(IF($C31="","Falta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",""),LEN(IF($C31="","Falta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",""))-3)))</f>
        <v/>
      </c>
      <c r="S31" s="64">
        <f>IF(NOT((COUNTA($B31:$D31)+COUNTA($G31:$L31)+COUNTA($Q31))&gt;0),"",IF(AND($V31="Sub",N($U31)&gt;0),IF(ISNUMBER(INDEX($AM$5:$AM$1000,$U31-4)),DATE(YEAR(INDEX($AM$5:$AM$1000,$U31-4)),MONTH(INDEX($AM$5:$AM$1000,$U31-4)),1),IF(ISNUMBER(INDEX($AN$5:$AN$1000,$U31-4)),DATE(YEAR(INDEX($AN$5:$AN$1000,$U31-4)),MONTH(INDEX($AN$5:$AN$1000,$U31-4)),1),MesCiclo)),IF(ISNUMBER($AM31),DATE(YEAR($AM31),MONTH($AM31),1),IF(ISNUMBER($AN31),DATE(YEAR($AN31),MONTH($AN31),1),MesCiclo))))</f>
        <v/>
      </c>
      <c r="T31" s="62">
        <f>IF(OR($S31="",$S31&lt;&gt;MesCiclo),"",COUNTIF($S$5:$S31,MesCiclo))</f>
        <v/>
      </c>
      <c r="U31" s="62">
        <f>IF($V31="","",IF($V31="Macro",ROW(),IFERROR(LOOKUP(2,1/($V$5:$V31="Macro"),ROW($V$5:$V31)),0)))</f>
        <v/>
      </c>
      <c r="V31" s="62">
        <f>IF(NOT((COUNTA($B31:$D31)+COUNTA($G31:$L31)+COUNTA($Q31))&gt;0),"",IF($B31="Subactividad","Sub","Macro"))</f>
        <v/>
      </c>
      <c r="W31" s="62">
        <f>IF($V31="Macro",COUNTIFS($U$5:$U$1000,ROW(),$V$5:$V$1000,"Sub"),"")</f>
        <v/>
      </c>
      <c r="X31" s="62">
        <f>IF($V31="","",IF(ISNUMBER($G31),1,IFERROR(LOOKUP(2,1/($I31:$L31&lt;&gt;""),$I31:$L31),0)))</f>
        <v/>
      </c>
      <c r="Y31" s="62">
        <f>IF($V31="","",IF(AND(ISNUMBER($G31),$G31&lt;=IF($S31=MesCiclo,InicioCiclo,$S31+MOD(2-WEEKDAY($S31),7))+6),1,IF(ISNUMBER($I31),$I31,0)))</f>
        <v/>
      </c>
      <c r="Z31" s="62">
        <f>IF($V31="","",IF(AND(ISNUMBER($G31),$G31&lt;=IF($S31=MesCiclo,InicioCiclo,$S31+MOD(2-WEEKDAY($S31),7))+13),1,IF(ISNUMBER($J31),$J31,$Y31)))</f>
        <v/>
      </c>
      <c r="AA31" s="62">
        <f>IF($V31="","",IF(AND(ISNUMBER($G31),$G31&lt;=IF($S31=MesCiclo,InicioCiclo,$S31+MOD(2-WEEKDAY($S31),7))+20),1,IF(ISNUMBER($K31),$K31,$Z31)))</f>
        <v/>
      </c>
      <c r="AB31" s="62">
        <f>IF($V31="","",IF(AND(ISNUMBER($G31),$G31&lt;=IF($S31=MesCiclo,InicioCiclo,$S31+MOD(2-WEEKDAY($S31),7))+27),1,IF(ISNUMBER($L31),$L31,$AA31)))</f>
        <v/>
      </c>
      <c r="AC31" s="62">
        <f>IF($V31="","",IF(AND(ISNUMBER($G31),$G31&lt;=IF($S31=MesCiclo,InicioCiclo,$S31+MOD(2-WEEKDAY($S31),7))+6),1,IF(N($W31)&gt;0,AVERAGEIFS($Y$5:$Y$1000,$U$5:$U$1000,ROW(),$V$5:$V$1000,"Sub"),$Y31)))</f>
        <v/>
      </c>
      <c r="AD31" s="62">
        <f>IF($V31="","",IF(AND(ISNUMBER($G31),$G31&lt;=IF($S31=MesCiclo,InicioCiclo,$S31+MOD(2-WEEKDAY($S31),7))+13),1,IF(N($W31)&gt;0,AVERAGEIFS($Z$5:$Z$1000,$U$5:$U$1000,ROW(),$V$5:$V$1000,"Sub"),$Z31)))</f>
        <v/>
      </c>
      <c r="AE31" s="62">
        <f>IF($V31="","",IF(AND(ISNUMBER($G31),$G31&lt;=IF($S31=MesCiclo,InicioCiclo,$S31+MOD(2-WEEKDAY($S31),7))+20),1,IF(N($W31)&gt;0,AVERAGEIFS($AA$5:$AA$1000,$U$5:$U$1000,ROW(),$V$5:$V$1000,"Sub"),$AA31)))</f>
        <v/>
      </c>
      <c r="AF31" s="62">
        <f>IF($V31="","",IF(AND(ISNUMBER($G31),$G31&lt;=IF($S31=MesCiclo,InicioCiclo,$S31+MOD(2-WEEKDAY($S31),7))+27),1,IF(N($W31)&gt;0,AVERAGEIFS($AB$5:$AB$1000,$U$5:$U$1000,ROW(),$V$5:$V$1000,"Sub"),$AB31)))</f>
        <v/>
      </c>
      <c r="AG31" s="62">
        <f>IF($V31&lt;&gt;"Macro","",IF(COUNTIFS($S$5:$S$1000,$S31,$V$5:$V$1000,"Macro",$H$5:$H$1000,"&gt;0")=0,1/COUNTIFS($S$5:$S$1000,$S31,$V$5:$V$1000,"Macro"),IF(AND(ISNUMBER($H31),N($H31)&gt;0),$H31,SUMIFS($H$5:$H$1000,$S$5:$S$1000,$S31,$V$5:$V$1000,"Macro")/COUNTIFS($S$5:$S$1000,$S31,$V$5:$V$1000,"Macro",$H$5:$H$1000,"&gt;0"))/(COUNTIFS($S$5:$S$1000,$S31,$V$5:$V$1000,"Macro")*SUMIFS($H$5:$H$1000,$S$5:$S$1000,$S31,$V$5:$V$1000,"Macro")/COUNTIFS($S$5:$S$1000,$S31,$V$5:$V$1000,"Macro",$H$5:$H$1000,"&gt;0"))))</f>
        <v/>
      </c>
      <c r="AH31" s="62">
        <f>IF(NOT(AND($D31&lt;&gt;"",$V31="Macro")),"",IFERROR(CHOOSE(MATCH($D31,ListaPuestos,0),MATCH("[Jefatura] "&amp;$C31,'Cronograma R. Operacional'!$C$5:$C$1000,0),MATCH("[Jefatura] "&amp;$C31,'Cronograma R. Normativo'!$C$5:$C$1000,0),MATCH("[Jefatura] "&amp;$C31,'Cronograma R. Financiero'!$C$5:$C$1000,0),MATCH("[Jefatura] "&amp;$C31,'Cronograma Asistente Técnico'!$C$5:$C$1000,0)),0))</f>
        <v/>
      </c>
      <c r="AI31" s="62">
        <f>IF(AND(AND($D31&lt;&gt;"",$V31="Macro"),$S31=MesCiclo),COUNTIFS($D$5:$D31,$D31,$S$5:$S31,MesCiclo,$V$5:$V31,"Macro"),"")</f>
        <v/>
      </c>
      <c r="AJ31" s="62">
        <f>IF($AI31="","",$D31&amp;"|"&amp;$AI31)</f>
        <v/>
      </c>
      <c r="AK31" s="62">
        <f>IF(AND($D31&lt;&gt;"",$V31="Macro"),$D31&amp;"|"&amp;$C31,"")</f>
        <v/>
      </c>
      <c r="AL31" s="62">
        <f>""</f>
        <v/>
      </c>
      <c r="AM31" s="62">
        <f>IF(N($AL31)&gt;0,INDEX(rIni_ADM,$AL31),IF(ISNUMBER($E31),$E31,""))</f>
        <v/>
      </c>
      <c r="AN31" s="62">
        <f>IF(N($AL31)&gt;0,INDEX(rLim_ADM,$AL31),IF(ISNUMBER($F31),$F31,""))</f>
        <v/>
      </c>
    </row>
    <row r="32">
      <c r="A32" s="56">
        <f>IF(NOT((COUNTA($B32:$D32)+COUNTA($G32:$L32)+COUNTA($Q32))&gt;0),"",IF($V32="Macro",COUNTIFS($V$5:$V32,"Macro",$S$5:$S32,$S32),IF(N($U32)=0,"?",COUNTIFS(INDEX($V$5:$V$1000,1):INDEX($V$5:$V$1000,$U32-4),"Macro",INDEX($S$5:$S$1000,1):INDEX($S$5:$S$1000,$U32-4),INDEX($S$5:$S$1000,$U32-4))&amp;"."&amp;COUNTIFS($U$5:$U32,$U32,$V$5:$V32,"Sub"))))</f>
        <v/>
      </c>
      <c r="B32" s="57" t="n"/>
      <c r="C32" s="58" t="n"/>
      <c r="D32" s="58" t="n"/>
      <c r="E32" s="59" t="n"/>
      <c r="F32" s="59" t="n"/>
      <c r="G32" s="59" t="n"/>
      <c r="H32" s="60" t="n"/>
      <c r="I32" s="60" t="n"/>
      <c r="J32" s="60" t="n"/>
      <c r="K32" s="60" t="n"/>
      <c r="L32" s="60" t="n"/>
      <c r="M32" s="61">
        <f>IF(NOT((COUNTA($B32:$D32)+COUNTA($G32:$L32)+COUNTA($Q32))&gt;0),"",IF(AND($D32&lt;&gt;"",$V32="Macro"),IF(N($AH32)&gt;0,N(CHOOSE(MATCH($D32,ListaPuestos,0),INDEX('Cronograma R. Operacional'!$M$5:$M$1000,$AH32),INDEX('Cronograma R. Normativo'!$M$5:$M$1000,$AH32),INDEX('Cronograma R. Financiero'!$M$5:$M$1000,$AH32),INDEX('Cronograma Asistente Técnico'!$M$5:$M$1000,$AH32))),0),IF(ISNUMBER($G32),1,IF(N($W32)&gt;0,AVERAGEIFS($X$5:$X$1000,$U$5:$U$1000,ROW(),$V$5:$V$1000,"Sub"),$X32))))</f>
        <v/>
      </c>
      <c r="N32" s="56">
        <f>IF($M32="","",IF($M32&gt;=1,"Completado",IF($M32&gt;0,"En curso","Pendiente")))</f>
        <v/>
      </c>
      <c r="O32" s="56">
        <f>IF(NOT((COUNTA($B32:$D32)+COUNTA($G32:$L32)+COUNTA($Q32))&gt;0),"",IF(AND(AND($D32&lt;&gt;"",$V32="Macro"),N($AH32)&gt;0),CHOOSE(MATCH($D32,ListaPuestos,0),INDEX('Cronograma R. Operacional'!$O$5:$O$1000,$AH32),INDEX('Cronograma R. Normativo'!$O$5:$O$1000,$AH32),INDEX('Cronograma R. Financiero'!$O$5:$O$1000,$AH32),INDEX('Cronograma Asistente Técnico'!$O$5:$O$1000,$AH32))&amp;"",IF(ISNUMBER($G32),IF(AND(ISNUMBER($AN32),$G32&gt;$AN32),"Cumplida con "&amp;($G32-$AN32)&amp;IF($G32-$AN32=1," día"," días")&amp;" de retraso","Cumplida"),IF(N($M32)&gt;=1,"Cumplida",IF(NOT(ISNUMBER($AN32)),"Sin fecha límite",IF($AN32&lt;FechaRef,"Vencida hace "&amp;(FechaRef-$AN32)&amp;IF(FechaRef-$AN32=1," día"," días"),IF($AN32=FechaRef,"Vence hoy",IF($AN32-FechaRef&lt;=DiasAlerta,"Vence en "&amp;($AN32-FechaRef)&amp;IF($AN32-FechaRef=1," día"," días"),"En plazo"))))))))</f>
        <v/>
      </c>
      <c r="P32" s="62">
        <f>IF(NOT((COUNTA($B32:$D32)+COUNTA($G32:$L32)+COUNTA($Q32))&gt;0),"",IF($D32="","Propia",IF($V32&lt;&gt;"Macro","Solo se delegan macroactividades",IF(N($AH32)&gt;0,"✔ Recibida por "&amp;$D32,"⚠ "&amp;$D32&amp;" aún no la agrega"))))</f>
        <v/>
      </c>
      <c r="Q32" s="58" t="n"/>
      <c r="R32" s="63">
        <f>IF(NOT((COUNTA($B32:$D32)+COUNTA($G32:$L32)+COUNTA($Q32))&gt;0),"",IF((IF($C32="","Falta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",""))="","✔ OK","⚠ "&amp;LEFT(IF($C32="","Falta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",""),LEN(IF($C32="","Falta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",""))-3)))</f>
        <v/>
      </c>
      <c r="S32" s="64">
        <f>IF(NOT((COUNTA($B32:$D32)+COUNTA($G32:$L32)+COUNTA($Q32))&gt;0),"",IF(AND($V32="Sub",N($U32)&gt;0),IF(ISNUMBER(INDEX($AM$5:$AM$1000,$U32-4)),DATE(YEAR(INDEX($AM$5:$AM$1000,$U32-4)),MONTH(INDEX($AM$5:$AM$1000,$U32-4)),1),IF(ISNUMBER(INDEX($AN$5:$AN$1000,$U32-4)),DATE(YEAR(INDEX($AN$5:$AN$1000,$U32-4)),MONTH(INDEX($AN$5:$AN$1000,$U32-4)),1),MesCiclo)),IF(ISNUMBER($AM32),DATE(YEAR($AM32),MONTH($AM32),1),IF(ISNUMBER($AN32),DATE(YEAR($AN32),MONTH($AN32),1),MesCiclo))))</f>
        <v/>
      </c>
      <c r="T32" s="62">
        <f>IF(OR($S32="",$S32&lt;&gt;MesCiclo),"",COUNTIF($S$5:$S32,MesCiclo))</f>
        <v/>
      </c>
      <c r="U32" s="62">
        <f>IF($V32="","",IF($V32="Macro",ROW(),IFERROR(LOOKUP(2,1/($V$5:$V32="Macro"),ROW($V$5:$V32)),0)))</f>
        <v/>
      </c>
      <c r="V32" s="62">
        <f>IF(NOT((COUNTA($B32:$D32)+COUNTA($G32:$L32)+COUNTA($Q32))&gt;0),"",IF($B32="Subactividad","Sub","Macro"))</f>
        <v/>
      </c>
      <c r="W32" s="62">
        <f>IF($V32="Macro",COUNTIFS($U$5:$U$1000,ROW(),$V$5:$V$1000,"Sub"),"")</f>
        <v/>
      </c>
      <c r="X32" s="62">
        <f>IF($V32="","",IF(ISNUMBER($G32),1,IFERROR(LOOKUP(2,1/($I32:$L32&lt;&gt;""),$I32:$L32),0)))</f>
        <v/>
      </c>
      <c r="Y32" s="62">
        <f>IF($V32="","",IF(AND(ISNUMBER($G32),$G32&lt;=IF($S32=MesCiclo,InicioCiclo,$S32+MOD(2-WEEKDAY($S32),7))+6),1,IF(ISNUMBER($I32),$I32,0)))</f>
        <v/>
      </c>
      <c r="Z32" s="62">
        <f>IF($V32="","",IF(AND(ISNUMBER($G32),$G32&lt;=IF($S32=MesCiclo,InicioCiclo,$S32+MOD(2-WEEKDAY($S32),7))+13),1,IF(ISNUMBER($J32),$J32,$Y32)))</f>
        <v/>
      </c>
      <c r="AA32" s="62">
        <f>IF($V32="","",IF(AND(ISNUMBER($G32),$G32&lt;=IF($S32=MesCiclo,InicioCiclo,$S32+MOD(2-WEEKDAY($S32),7))+20),1,IF(ISNUMBER($K32),$K32,$Z32)))</f>
        <v/>
      </c>
      <c r="AB32" s="62">
        <f>IF($V32="","",IF(AND(ISNUMBER($G32),$G32&lt;=IF($S32=MesCiclo,InicioCiclo,$S32+MOD(2-WEEKDAY($S32),7))+27),1,IF(ISNUMBER($L32),$L32,$AA32)))</f>
        <v/>
      </c>
      <c r="AC32" s="62">
        <f>IF($V32="","",IF(AND(ISNUMBER($G32),$G32&lt;=IF($S32=MesCiclo,InicioCiclo,$S32+MOD(2-WEEKDAY($S32),7))+6),1,IF(N($W32)&gt;0,AVERAGEIFS($Y$5:$Y$1000,$U$5:$U$1000,ROW(),$V$5:$V$1000,"Sub"),$Y32)))</f>
        <v/>
      </c>
      <c r="AD32" s="62">
        <f>IF($V32="","",IF(AND(ISNUMBER($G32),$G32&lt;=IF($S32=MesCiclo,InicioCiclo,$S32+MOD(2-WEEKDAY($S32),7))+13),1,IF(N($W32)&gt;0,AVERAGEIFS($Z$5:$Z$1000,$U$5:$U$1000,ROW(),$V$5:$V$1000,"Sub"),$Z32)))</f>
        <v/>
      </c>
      <c r="AE32" s="62">
        <f>IF($V32="","",IF(AND(ISNUMBER($G32),$G32&lt;=IF($S32=MesCiclo,InicioCiclo,$S32+MOD(2-WEEKDAY($S32),7))+20),1,IF(N($W32)&gt;0,AVERAGEIFS($AA$5:$AA$1000,$U$5:$U$1000,ROW(),$V$5:$V$1000,"Sub"),$AA32)))</f>
        <v/>
      </c>
      <c r="AF32" s="62">
        <f>IF($V32="","",IF(AND(ISNUMBER($G32),$G32&lt;=IF($S32=MesCiclo,InicioCiclo,$S32+MOD(2-WEEKDAY($S32),7))+27),1,IF(N($W32)&gt;0,AVERAGEIFS($AB$5:$AB$1000,$U$5:$U$1000,ROW(),$V$5:$V$1000,"Sub"),$AB32)))</f>
        <v/>
      </c>
      <c r="AG32" s="62">
        <f>IF($V32&lt;&gt;"Macro","",IF(COUNTIFS($S$5:$S$1000,$S32,$V$5:$V$1000,"Macro",$H$5:$H$1000,"&gt;0")=0,1/COUNTIFS($S$5:$S$1000,$S32,$V$5:$V$1000,"Macro"),IF(AND(ISNUMBER($H32),N($H32)&gt;0),$H32,SUMIFS($H$5:$H$1000,$S$5:$S$1000,$S32,$V$5:$V$1000,"Macro")/COUNTIFS($S$5:$S$1000,$S32,$V$5:$V$1000,"Macro",$H$5:$H$1000,"&gt;0"))/(COUNTIFS($S$5:$S$1000,$S32,$V$5:$V$1000,"Macro")*SUMIFS($H$5:$H$1000,$S$5:$S$1000,$S32,$V$5:$V$1000,"Macro")/COUNTIFS($S$5:$S$1000,$S32,$V$5:$V$1000,"Macro",$H$5:$H$1000,"&gt;0"))))</f>
        <v/>
      </c>
      <c r="AH32" s="62">
        <f>IF(NOT(AND($D32&lt;&gt;"",$V32="Macro")),"",IFERROR(CHOOSE(MATCH($D32,ListaPuestos,0),MATCH("[Jefatura] "&amp;$C32,'Cronograma R. Operacional'!$C$5:$C$1000,0),MATCH("[Jefatura] "&amp;$C32,'Cronograma R. Normativo'!$C$5:$C$1000,0),MATCH("[Jefatura] "&amp;$C32,'Cronograma R. Financiero'!$C$5:$C$1000,0),MATCH("[Jefatura] "&amp;$C32,'Cronograma Asistente Técnico'!$C$5:$C$1000,0)),0))</f>
        <v/>
      </c>
      <c r="AI32" s="62">
        <f>IF(AND(AND($D32&lt;&gt;"",$V32="Macro"),$S32=MesCiclo),COUNTIFS($D$5:$D32,$D32,$S$5:$S32,MesCiclo,$V$5:$V32,"Macro"),"")</f>
        <v/>
      </c>
      <c r="AJ32" s="62">
        <f>IF($AI32="","",$D32&amp;"|"&amp;$AI32)</f>
        <v/>
      </c>
      <c r="AK32" s="62">
        <f>IF(AND($D32&lt;&gt;"",$V32="Macro"),$D32&amp;"|"&amp;$C32,"")</f>
        <v/>
      </c>
      <c r="AL32" s="62">
        <f>""</f>
        <v/>
      </c>
      <c r="AM32" s="62">
        <f>IF(N($AL32)&gt;0,INDEX(rIni_ADM,$AL32),IF(ISNUMBER($E32),$E32,""))</f>
        <v/>
      </c>
      <c r="AN32" s="62">
        <f>IF(N($AL32)&gt;0,INDEX(rLim_ADM,$AL32),IF(ISNUMBER($F32),$F32,""))</f>
        <v/>
      </c>
    </row>
    <row r="33">
      <c r="A33" s="56">
        <f>IF(NOT((COUNTA($B33:$D33)+COUNTA($G33:$L33)+COUNTA($Q33))&gt;0),"",IF($V33="Macro",COUNTIFS($V$5:$V33,"Macro",$S$5:$S33,$S33),IF(N($U33)=0,"?",COUNTIFS(INDEX($V$5:$V$1000,1):INDEX($V$5:$V$1000,$U33-4),"Macro",INDEX($S$5:$S$1000,1):INDEX($S$5:$S$1000,$U33-4),INDEX($S$5:$S$1000,$U33-4))&amp;"."&amp;COUNTIFS($U$5:$U33,$U33,$V$5:$V33,"Sub"))))</f>
        <v/>
      </c>
      <c r="B33" s="57" t="n"/>
      <c r="C33" s="58" t="n"/>
      <c r="D33" s="58" t="n"/>
      <c r="E33" s="59" t="n"/>
      <c r="F33" s="59" t="n"/>
      <c r="G33" s="59" t="n"/>
      <c r="H33" s="60" t="n"/>
      <c r="I33" s="60" t="n"/>
      <c r="J33" s="60" t="n"/>
      <c r="K33" s="60" t="n"/>
      <c r="L33" s="60" t="n"/>
      <c r="M33" s="61">
        <f>IF(NOT((COUNTA($B33:$D33)+COUNTA($G33:$L33)+COUNTA($Q33))&gt;0),"",IF(AND($D33&lt;&gt;"",$V33="Macro"),IF(N($AH33)&gt;0,N(CHOOSE(MATCH($D33,ListaPuestos,0),INDEX('Cronograma R. Operacional'!$M$5:$M$1000,$AH33),INDEX('Cronograma R. Normativo'!$M$5:$M$1000,$AH33),INDEX('Cronograma R. Financiero'!$M$5:$M$1000,$AH33),INDEX('Cronograma Asistente Técnico'!$M$5:$M$1000,$AH33))),0),IF(ISNUMBER($G33),1,IF(N($W33)&gt;0,AVERAGEIFS($X$5:$X$1000,$U$5:$U$1000,ROW(),$V$5:$V$1000,"Sub"),$X33))))</f>
        <v/>
      </c>
      <c r="N33" s="56">
        <f>IF($M33="","",IF($M33&gt;=1,"Completado",IF($M33&gt;0,"En curso","Pendiente")))</f>
        <v/>
      </c>
      <c r="O33" s="56">
        <f>IF(NOT((COUNTA($B33:$D33)+COUNTA($G33:$L33)+COUNTA($Q33))&gt;0),"",IF(AND(AND($D33&lt;&gt;"",$V33="Macro"),N($AH33)&gt;0),CHOOSE(MATCH($D33,ListaPuestos,0),INDEX('Cronograma R. Operacional'!$O$5:$O$1000,$AH33),INDEX('Cronograma R. Normativo'!$O$5:$O$1000,$AH33),INDEX('Cronograma R. Financiero'!$O$5:$O$1000,$AH33),INDEX('Cronograma Asistente Técnico'!$O$5:$O$1000,$AH33))&amp;"",IF(ISNUMBER($G33),IF(AND(ISNUMBER($AN33),$G33&gt;$AN33),"Cumplida con "&amp;($G33-$AN33)&amp;IF($G33-$AN33=1," día"," días")&amp;" de retraso","Cumplida"),IF(N($M33)&gt;=1,"Cumplida",IF(NOT(ISNUMBER($AN33)),"Sin fecha límite",IF($AN33&lt;FechaRef,"Vencida hace "&amp;(FechaRef-$AN33)&amp;IF(FechaRef-$AN33=1," día"," días"),IF($AN33=FechaRef,"Vence hoy",IF($AN33-FechaRef&lt;=DiasAlerta,"Vence en "&amp;($AN33-FechaRef)&amp;IF($AN33-FechaRef=1," día"," días"),"En plazo"))))))))</f>
        <v/>
      </c>
      <c r="P33" s="62">
        <f>IF(NOT((COUNTA($B33:$D33)+COUNTA($G33:$L33)+COUNTA($Q33))&gt;0),"",IF($D33="","Propia",IF($V33&lt;&gt;"Macro","Solo se delegan macroactividades",IF(N($AH33)&gt;0,"✔ Recibida por "&amp;$D33,"⚠ "&amp;$D33&amp;" aún no la agrega"))))</f>
        <v/>
      </c>
      <c r="Q33" s="58" t="n"/>
      <c r="R33" s="63">
        <f>IF(NOT((COUNTA($B33:$D33)+COUNTA($G33:$L33)+COUNTA($Q33))&gt;0),"",IF((IF($C33="","Falta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",""))="","✔ OK","⚠ "&amp;LEFT(IF($C33="","Falta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",""),LEN(IF($C33="","Falta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",""))-3)))</f>
        <v/>
      </c>
      <c r="S33" s="64">
        <f>IF(NOT((COUNTA($B33:$D33)+COUNTA($G33:$L33)+COUNTA($Q33))&gt;0),"",IF(AND($V33="Sub",N($U33)&gt;0),IF(ISNUMBER(INDEX($AM$5:$AM$1000,$U33-4)),DATE(YEAR(INDEX($AM$5:$AM$1000,$U33-4)),MONTH(INDEX($AM$5:$AM$1000,$U33-4)),1),IF(ISNUMBER(INDEX($AN$5:$AN$1000,$U33-4)),DATE(YEAR(INDEX($AN$5:$AN$1000,$U33-4)),MONTH(INDEX($AN$5:$AN$1000,$U33-4)),1),MesCiclo)),IF(ISNUMBER($AM33),DATE(YEAR($AM33),MONTH($AM33),1),IF(ISNUMBER($AN33),DATE(YEAR($AN33),MONTH($AN33),1),MesCiclo))))</f>
        <v/>
      </c>
      <c r="T33" s="62">
        <f>IF(OR($S33="",$S33&lt;&gt;MesCiclo),"",COUNTIF($S$5:$S33,MesCiclo))</f>
        <v/>
      </c>
      <c r="U33" s="62">
        <f>IF($V33="","",IF($V33="Macro",ROW(),IFERROR(LOOKUP(2,1/($V$5:$V33="Macro"),ROW($V$5:$V33)),0)))</f>
        <v/>
      </c>
      <c r="V33" s="62">
        <f>IF(NOT((COUNTA($B33:$D33)+COUNTA($G33:$L33)+COUNTA($Q33))&gt;0),"",IF($B33="Subactividad","Sub","Macro"))</f>
        <v/>
      </c>
      <c r="W33" s="62">
        <f>IF($V33="Macro",COUNTIFS($U$5:$U$1000,ROW(),$V$5:$V$1000,"Sub"),"")</f>
        <v/>
      </c>
      <c r="X33" s="62">
        <f>IF($V33="","",IF(ISNUMBER($G33),1,IFERROR(LOOKUP(2,1/($I33:$L33&lt;&gt;""),$I33:$L33),0)))</f>
        <v/>
      </c>
      <c r="Y33" s="62">
        <f>IF($V33="","",IF(AND(ISNUMBER($G33),$G33&lt;=IF($S33=MesCiclo,InicioCiclo,$S33+MOD(2-WEEKDAY($S33),7))+6),1,IF(ISNUMBER($I33),$I33,0)))</f>
        <v/>
      </c>
      <c r="Z33" s="62">
        <f>IF($V33="","",IF(AND(ISNUMBER($G33),$G33&lt;=IF($S33=MesCiclo,InicioCiclo,$S33+MOD(2-WEEKDAY($S33),7))+13),1,IF(ISNUMBER($J33),$J33,$Y33)))</f>
        <v/>
      </c>
      <c r="AA33" s="62">
        <f>IF($V33="","",IF(AND(ISNUMBER($G33),$G33&lt;=IF($S33=MesCiclo,InicioCiclo,$S33+MOD(2-WEEKDAY($S33),7))+20),1,IF(ISNUMBER($K33),$K33,$Z33)))</f>
        <v/>
      </c>
      <c r="AB33" s="62">
        <f>IF($V33="","",IF(AND(ISNUMBER($G33),$G33&lt;=IF($S33=MesCiclo,InicioCiclo,$S33+MOD(2-WEEKDAY($S33),7))+27),1,IF(ISNUMBER($L33),$L33,$AA33)))</f>
        <v/>
      </c>
      <c r="AC33" s="62">
        <f>IF($V33="","",IF(AND(ISNUMBER($G33),$G33&lt;=IF($S33=MesCiclo,InicioCiclo,$S33+MOD(2-WEEKDAY($S33),7))+6),1,IF(N($W33)&gt;0,AVERAGEIFS($Y$5:$Y$1000,$U$5:$U$1000,ROW(),$V$5:$V$1000,"Sub"),$Y33)))</f>
        <v/>
      </c>
      <c r="AD33" s="62">
        <f>IF($V33="","",IF(AND(ISNUMBER($G33),$G33&lt;=IF($S33=MesCiclo,InicioCiclo,$S33+MOD(2-WEEKDAY($S33),7))+13),1,IF(N($W33)&gt;0,AVERAGEIFS($Z$5:$Z$1000,$U$5:$U$1000,ROW(),$V$5:$V$1000,"Sub"),$Z33)))</f>
        <v/>
      </c>
      <c r="AE33" s="62">
        <f>IF($V33="","",IF(AND(ISNUMBER($G33),$G33&lt;=IF($S33=MesCiclo,InicioCiclo,$S33+MOD(2-WEEKDAY($S33),7))+20),1,IF(N($W33)&gt;0,AVERAGEIFS($AA$5:$AA$1000,$U$5:$U$1000,ROW(),$V$5:$V$1000,"Sub"),$AA33)))</f>
        <v/>
      </c>
      <c r="AF33" s="62">
        <f>IF($V33="","",IF(AND(ISNUMBER($G33),$G33&lt;=IF($S33=MesCiclo,InicioCiclo,$S33+MOD(2-WEEKDAY($S33),7))+27),1,IF(N($W33)&gt;0,AVERAGEIFS($AB$5:$AB$1000,$U$5:$U$1000,ROW(),$V$5:$V$1000,"Sub"),$AB33)))</f>
        <v/>
      </c>
      <c r="AG33" s="62">
        <f>IF($V33&lt;&gt;"Macro","",IF(COUNTIFS($S$5:$S$1000,$S33,$V$5:$V$1000,"Macro",$H$5:$H$1000,"&gt;0")=0,1/COUNTIFS($S$5:$S$1000,$S33,$V$5:$V$1000,"Macro"),IF(AND(ISNUMBER($H33),N($H33)&gt;0),$H33,SUMIFS($H$5:$H$1000,$S$5:$S$1000,$S33,$V$5:$V$1000,"Macro")/COUNTIFS($S$5:$S$1000,$S33,$V$5:$V$1000,"Macro",$H$5:$H$1000,"&gt;0"))/(COUNTIFS($S$5:$S$1000,$S33,$V$5:$V$1000,"Macro")*SUMIFS($H$5:$H$1000,$S$5:$S$1000,$S33,$V$5:$V$1000,"Macro")/COUNTIFS($S$5:$S$1000,$S33,$V$5:$V$1000,"Macro",$H$5:$H$1000,"&gt;0"))))</f>
        <v/>
      </c>
      <c r="AH33" s="62">
        <f>IF(NOT(AND($D33&lt;&gt;"",$V33="Macro")),"",IFERROR(CHOOSE(MATCH($D33,ListaPuestos,0),MATCH("[Jefatura] "&amp;$C33,'Cronograma R. Operacional'!$C$5:$C$1000,0),MATCH("[Jefatura] "&amp;$C33,'Cronograma R. Normativo'!$C$5:$C$1000,0),MATCH("[Jefatura] "&amp;$C33,'Cronograma R. Financiero'!$C$5:$C$1000,0),MATCH("[Jefatura] "&amp;$C33,'Cronograma Asistente Técnico'!$C$5:$C$1000,0)),0))</f>
        <v/>
      </c>
      <c r="AI33" s="62">
        <f>IF(AND(AND($D33&lt;&gt;"",$V33="Macro"),$S33=MesCiclo),COUNTIFS($D$5:$D33,$D33,$S$5:$S33,MesCiclo,$V$5:$V33,"Macro"),"")</f>
        <v/>
      </c>
      <c r="AJ33" s="62">
        <f>IF($AI33="","",$D33&amp;"|"&amp;$AI33)</f>
        <v/>
      </c>
      <c r="AK33" s="62">
        <f>IF(AND($D33&lt;&gt;"",$V33="Macro"),$D33&amp;"|"&amp;$C33,"")</f>
        <v/>
      </c>
      <c r="AL33" s="62">
        <f>""</f>
        <v/>
      </c>
      <c r="AM33" s="62">
        <f>IF(N($AL33)&gt;0,INDEX(rIni_ADM,$AL33),IF(ISNUMBER($E33),$E33,""))</f>
        <v/>
      </c>
      <c r="AN33" s="62">
        <f>IF(N($AL33)&gt;0,INDEX(rLim_ADM,$AL33),IF(ISNUMBER($F33),$F33,""))</f>
        <v/>
      </c>
    </row>
    <row r="34">
      <c r="A34" s="56">
        <f>IF(NOT((COUNTA($B34:$D34)+COUNTA($G34:$L34)+COUNTA($Q34))&gt;0),"",IF($V34="Macro",COUNTIFS($V$5:$V34,"Macro",$S$5:$S34,$S34),IF(N($U34)=0,"?",COUNTIFS(INDEX($V$5:$V$1000,1):INDEX($V$5:$V$1000,$U34-4),"Macro",INDEX($S$5:$S$1000,1):INDEX($S$5:$S$1000,$U34-4),INDEX($S$5:$S$1000,$U34-4))&amp;"."&amp;COUNTIFS($U$5:$U34,$U34,$V$5:$V34,"Sub"))))</f>
        <v/>
      </c>
      <c r="B34" s="57" t="n"/>
      <c r="C34" s="58" t="n"/>
      <c r="D34" s="58" t="n"/>
      <c r="E34" s="59" t="n"/>
      <c r="F34" s="59" t="n"/>
      <c r="G34" s="59" t="n"/>
      <c r="H34" s="60" t="n"/>
      <c r="I34" s="60" t="n"/>
      <c r="J34" s="60" t="n"/>
      <c r="K34" s="60" t="n"/>
      <c r="L34" s="60" t="n"/>
      <c r="M34" s="61">
        <f>IF(NOT((COUNTA($B34:$D34)+COUNTA($G34:$L34)+COUNTA($Q34))&gt;0),"",IF(AND($D34&lt;&gt;"",$V34="Macro"),IF(N($AH34)&gt;0,N(CHOOSE(MATCH($D34,ListaPuestos,0),INDEX('Cronograma R. Operacional'!$M$5:$M$1000,$AH34),INDEX('Cronograma R. Normativo'!$M$5:$M$1000,$AH34),INDEX('Cronograma R. Financiero'!$M$5:$M$1000,$AH34),INDEX('Cronograma Asistente Técnico'!$M$5:$M$1000,$AH34))),0),IF(ISNUMBER($G34),1,IF(N($W34)&gt;0,AVERAGEIFS($X$5:$X$1000,$U$5:$U$1000,ROW(),$V$5:$V$1000,"Sub"),$X34))))</f>
        <v/>
      </c>
      <c r="N34" s="56">
        <f>IF($M34="","",IF($M34&gt;=1,"Completado",IF($M34&gt;0,"En curso","Pendiente")))</f>
        <v/>
      </c>
      <c r="O34" s="56">
        <f>IF(NOT((COUNTA($B34:$D34)+COUNTA($G34:$L34)+COUNTA($Q34))&gt;0),"",IF(AND(AND($D34&lt;&gt;"",$V34="Macro"),N($AH34)&gt;0),CHOOSE(MATCH($D34,ListaPuestos,0),INDEX('Cronograma R. Operacional'!$O$5:$O$1000,$AH34),INDEX('Cronograma R. Normativo'!$O$5:$O$1000,$AH34),INDEX('Cronograma R. Financiero'!$O$5:$O$1000,$AH34),INDEX('Cronograma Asistente Técnico'!$O$5:$O$1000,$AH34))&amp;"",IF(ISNUMBER($G34),IF(AND(ISNUMBER($AN34),$G34&gt;$AN34),"Cumplida con "&amp;($G34-$AN34)&amp;IF($G34-$AN34=1," día"," días")&amp;" de retraso","Cumplida"),IF(N($M34)&gt;=1,"Cumplida",IF(NOT(ISNUMBER($AN34)),"Sin fecha límite",IF($AN34&lt;FechaRef,"Vencida hace "&amp;(FechaRef-$AN34)&amp;IF(FechaRef-$AN34=1," día"," días"),IF($AN34=FechaRef,"Vence hoy",IF($AN34-FechaRef&lt;=DiasAlerta,"Vence en "&amp;($AN34-FechaRef)&amp;IF($AN34-FechaRef=1," día"," días"),"En plazo"))))))))</f>
        <v/>
      </c>
      <c r="P34" s="62">
        <f>IF(NOT((COUNTA($B34:$D34)+COUNTA($G34:$L34)+COUNTA($Q34))&gt;0),"",IF($D34="","Propia",IF($V34&lt;&gt;"Macro","Solo se delegan macroactividades",IF(N($AH34)&gt;0,"✔ Recibida por "&amp;$D34,"⚠ "&amp;$D34&amp;" aún no la agrega"))))</f>
        <v/>
      </c>
      <c r="Q34" s="58" t="n"/>
      <c r="R34" s="63">
        <f>IF(NOT((COUNTA($B34:$D34)+COUNTA($G34:$L34)+COUNTA($Q34))&gt;0),"",IF((IF($C34="","Falta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",""))="","✔ OK","⚠ "&amp;LEFT(IF($C34="","Falta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",""),LEN(IF($C34="","Falta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",""))-3)))</f>
        <v/>
      </c>
      <c r="S34" s="64">
        <f>IF(NOT((COUNTA($B34:$D34)+COUNTA($G34:$L34)+COUNTA($Q34))&gt;0),"",IF(AND($V34="Sub",N($U34)&gt;0),IF(ISNUMBER(INDEX($AM$5:$AM$1000,$U34-4)),DATE(YEAR(INDEX($AM$5:$AM$1000,$U34-4)),MONTH(INDEX($AM$5:$AM$1000,$U34-4)),1),IF(ISNUMBER(INDEX($AN$5:$AN$1000,$U34-4)),DATE(YEAR(INDEX($AN$5:$AN$1000,$U34-4)),MONTH(INDEX($AN$5:$AN$1000,$U34-4)),1),MesCiclo)),IF(ISNUMBER($AM34),DATE(YEAR($AM34),MONTH($AM34),1),IF(ISNUMBER($AN34),DATE(YEAR($AN34),MONTH($AN34),1),MesCiclo))))</f>
        <v/>
      </c>
      <c r="T34" s="62">
        <f>IF(OR($S34="",$S34&lt;&gt;MesCiclo),"",COUNTIF($S$5:$S34,MesCiclo))</f>
        <v/>
      </c>
      <c r="U34" s="62">
        <f>IF($V34="","",IF($V34="Macro",ROW(),IFERROR(LOOKUP(2,1/($V$5:$V34="Macro"),ROW($V$5:$V34)),0)))</f>
        <v/>
      </c>
      <c r="V34" s="62">
        <f>IF(NOT((COUNTA($B34:$D34)+COUNTA($G34:$L34)+COUNTA($Q34))&gt;0),"",IF($B34="Subactividad","Sub","Macro"))</f>
        <v/>
      </c>
      <c r="W34" s="62">
        <f>IF($V34="Macro",COUNTIFS($U$5:$U$1000,ROW(),$V$5:$V$1000,"Sub"),"")</f>
        <v/>
      </c>
      <c r="X34" s="62">
        <f>IF($V34="","",IF(ISNUMBER($G34),1,IFERROR(LOOKUP(2,1/($I34:$L34&lt;&gt;""),$I34:$L34),0)))</f>
        <v/>
      </c>
      <c r="Y34" s="62">
        <f>IF($V34="","",IF(AND(ISNUMBER($G34),$G34&lt;=IF($S34=MesCiclo,InicioCiclo,$S34+MOD(2-WEEKDAY($S34),7))+6),1,IF(ISNUMBER($I34),$I34,0)))</f>
        <v/>
      </c>
      <c r="Z34" s="62">
        <f>IF($V34="","",IF(AND(ISNUMBER($G34),$G34&lt;=IF($S34=MesCiclo,InicioCiclo,$S34+MOD(2-WEEKDAY($S34),7))+13),1,IF(ISNUMBER($J34),$J34,$Y34)))</f>
        <v/>
      </c>
      <c r="AA34" s="62">
        <f>IF($V34="","",IF(AND(ISNUMBER($G34),$G34&lt;=IF($S34=MesCiclo,InicioCiclo,$S34+MOD(2-WEEKDAY($S34),7))+20),1,IF(ISNUMBER($K34),$K34,$Z34)))</f>
        <v/>
      </c>
      <c r="AB34" s="62">
        <f>IF($V34="","",IF(AND(ISNUMBER($G34),$G34&lt;=IF($S34=MesCiclo,InicioCiclo,$S34+MOD(2-WEEKDAY($S34),7))+27),1,IF(ISNUMBER($L34),$L34,$AA34)))</f>
        <v/>
      </c>
      <c r="AC34" s="62">
        <f>IF($V34="","",IF(AND(ISNUMBER($G34),$G34&lt;=IF($S34=MesCiclo,InicioCiclo,$S34+MOD(2-WEEKDAY($S34),7))+6),1,IF(N($W34)&gt;0,AVERAGEIFS($Y$5:$Y$1000,$U$5:$U$1000,ROW(),$V$5:$V$1000,"Sub"),$Y34)))</f>
        <v/>
      </c>
      <c r="AD34" s="62">
        <f>IF($V34="","",IF(AND(ISNUMBER($G34),$G34&lt;=IF($S34=MesCiclo,InicioCiclo,$S34+MOD(2-WEEKDAY($S34),7))+13),1,IF(N($W34)&gt;0,AVERAGEIFS($Z$5:$Z$1000,$U$5:$U$1000,ROW(),$V$5:$V$1000,"Sub"),$Z34)))</f>
        <v/>
      </c>
      <c r="AE34" s="62">
        <f>IF($V34="","",IF(AND(ISNUMBER($G34),$G34&lt;=IF($S34=MesCiclo,InicioCiclo,$S34+MOD(2-WEEKDAY($S34),7))+20),1,IF(N($W34)&gt;0,AVERAGEIFS($AA$5:$AA$1000,$U$5:$U$1000,ROW(),$V$5:$V$1000,"Sub"),$AA34)))</f>
        <v/>
      </c>
      <c r="AF34" s="62">
        <f>IF($V34="","",IF(AND(ISNUMBER($G34),$G34&lt;=IF($S34=MesCiclo,InicioCiclo,$S34+MOD(2-WEEKDAY($S34),7))+27),1,IF(N($W34)&gt;0,AVERAGEIFS($AB$5:$AB$1000,$U$5:$U$1000,ROW(),$V$5:$V$1000,"Sub"),$AB34)))</f>
        <v/>
      </c>
      <c r="AG34" s="62">
        <f>IF($V34&lt;&gt;"Macro","",IF(COUNTIFS($S$5:$S$1000,$S34,$V$5:$V$1000,"Macro",$H$5:$H$1000,"&gt;0")=0,1/COUNTIFS($S$5:$S$1000,$S34,$V$5:$V$1000,"Macro"),IF(AND(ISNUMBER($H34),N($H34)&gt;0),$H34,SUMIFS($H$5:$H$1000,$S$5:$S$1000,$S34,$V$5:$V$1000,"Macro")/COUNTIFS($S$5:$S$1000,$S34,$V$5:$V$1000,"Macro",$H$5:$H$1000,"&gt;0"))/(COUNTIFS($S$5:$S$1000,$S34,$V$5:$V$1000,"Macro")*SUMIFS($H$5:$H$1000,$S$5:$S$1000,$S34,$V$5:$V$1000,"Macro")/COUNTIFS($S$5:$S$1000,$S34,$V$5:$V$1000,"Macro",$H$5:$H$1000,"&gt;0"))))</f>
        <v/>
      </c>
      <c r="AH34" s="62">
        <f>IF(NOT(AND($D34&lt;&gt;"",$V34="Macro")),"",IFERROR(CHOOSE(MATCH($D34,ListaPuestos,0),MATCH("[Jefatura] "&amp;$C34,'Cronograma R. Operacional'!$C$5:$C$1000,0),MATCH("[Jefatura] "&amp;$C34,'Cronograma R. Normativo'!$C$5:$C$1000,0),MATCH("[Jefatura] "&amp;$C34,'Cronograma R. Financiero'!$C$5:$C$1000,0),MATCH("[Jefatura] "&amp;$C34,'Cronograma Asistente Técnico'!$C$5:$C$1000,0)),0))</f>
        <v/>
      </c>
      <c r="AI34" s="62">
        <f>IF(AND(AND($D34&lt;&gt;"",$V34="Macro"),$S34=MesCiclo),COUNTIFS($D$5:$D34,$D34,$S$5:$S34,MesCiclo,$V$5:$V34,"Macro"),"")</f>
        <v/>
      </c>
      <c r="AJ34" s="62">
        <f>IF($AI34="","",$D34&amp;"|"&amp;$AI34)</f>
        <v/>
      </c>
      <c r="AK34" s="62">
        <f>IF(AND($D34&lt;&gt;"",$V34="Macro"),$D34&amp;"|"&amp;$C34,"")</f>
        <v/>
      </c>
      <c r="AL34" s="62">
        <f>""</f>
        <v/>
      </c>
      <c r="AM34" s="62">
        <f>IF(N($AL34)&gt;0,INDEX(rIni_ADM,$AL34),IF(ISNUMBER($E34),$E34,""))</f>
        <v/>
      </c>
      <c r="AN34" s="62">
        <f>IF(N($AL34)&gt;0,INDEX(rLim_ADM,$AL34),IF(ISNUMBER($F34),$F34,""))</f>
        <v/>
      </c>
    </row>
    <row r="35">
      <c r="A35" s="56">
        <f>IF(NOT((COUNTA($B35:$D35)+COUNTA($G35:$L35)+COUNTA($Q35))&gt;0),"",IF($V35="Macro",COUNTIFS($V$5:$V35,"Macro",$S$5:$S35,$S35),IF(N($U35)=0,"?",COUNTIFS(INDEX($V$5:$V$1000,1):INDEX($V$5:$V$1000,$U35-4),"Macro",INDEX($S$5:$S$1000,1):INDEX($S$5:$S$1000,$U35-4),INDEX($S$5:$S$1000,$U35-4))&amp;"."&amp;COUNTIFS($U$5:$U35,$U35,$V$5:$V35,"Sub"))))</f>
        <v/>
      </c>
      <c r="B35" s="57" t="n"/>
      <c r="C35" s="58" t="n"/>
      <c r="D35" s="58" t="n"/>
      <c r="E35" s="59" t="n"/>
      <c r="F35" s="59" t="n"/>
      <c r="G35" s="59" t="n"/>
      <c r="H35" s="60" t="n"/>
      <c r="I35" s="60" t="n"/>
      <c r="J35" s="60" t="n"/>
      <c r="K35" s="60" t="n"/>
      <c r="L35" s="60" t="n"/>
      <c r="M35" s="61">
        <f>IF(NOT((COUNTA($B35:$D35)+COUNTA($G35:$L35)+COUNTA($Q35))&gt;0),"",IF(AND($D35&lt;&gt;"",$V35="Macro"),IF(N($AH35)&gt;0,N(CHOOSE(MATCH($D35,ListaPuestos,0),INDEX('Cronograma R. Operacional'!$M$5:$M$1000,$AH35),INDEX('Cronograma R. Normativo'!$M$5:$M$1000,$AH35),INDEX('Cronograma R. Financiero'!$M$5:$M$1000,$AH35),INDEX('Cronograma Asistente Técnico'!$M$5:$M$1000,$AH35))),0),IF(ISNUMBER($G35),1,IF(N($W35)&gt;0,AVERAGEIFS($X$5:$X$1000,$U$5:$U$1000,ROW(),$V$5:$V$1000,"Sub"),$X35))))</f>
        <v/>
      </c>
      <c r="N35" s="56">
        <f>IF($M35="","",IF($M35&gt;=1,"Completado",IF($M35&gt;0,"En curso","Pendiente")))</f>
        <v/>
      </c>
      <c r="O35" s="56">
        <f>IF(NOT((COUNTA($B35:$D35)+COUNTA($G35:$L35)+COUNTA($Q35))&gt;0),"",IF(AND(AND($D35&lt;&gt;"",$V35="Macro"),N($AH35)&gt;0),CHOOSE(MATCH($D35,ListaPuestos,0),INDEX('Cronograma R. Operacional'!$O$5:$O$1000,$AH35),INDEX('Cronograma R. Normativo'!$O$5:$O$1000,$AH35),INDEX('Cronograma R. Financiero'!$O$5:$O$1000,$AH35),INDEX('Cronograma Asistente Técnico'!$O$5:$O$1000,$AH35))&amp;"",IF(ISNUMBER($G35),IF(AND(ISNUMBER($AN35),$G35&gt;$AN35),"Cumplida con "&amp;($G35-$AN35)&amp;IF($G35-$AN35=1," día"," días")&amp;" de retraso","Cumplida"),IF(N($M35)&gt;=1,"Cumplida",IF(NOT(ISNUMBER($AN35)),"Sin fecha límite",IF($AN35&lt;FechaRef,"Vencida hace "&amp;(FechaRef-$AN35)&amp;IF(FechaRef-$AN35=1," día"," días"),IF($AN35=FechaRef,"Vence hoy",IF($AN35-FechaRef&lt;=DiasAlerta,"Vence en "&amp;($AN35-FechaRef)&amp;IF($AN35-FechaRef=1," día"," días"),"En plazo"))))))))</f>
        <v/>
      </c>
      <c r="P35" s="62">
        <f>IF(NOT((COUNTA($B35:$D35)+COUNTA($G35:$L35)+COUNTA($Q35))&gt;0),"",IF($D35="","Propia",IF($V35&lt;&gt;"Macro","Solo se delegan macroactividades",IF(N($AH35)&gt;0,"✔ Recibida por "&amp;$D35,"⚠ "&amp;$D35&amp;" aún no la agrega"))))</f>
        <v/>
      </c>
      <c r="Q35" s="58" t="n"/>
      <c r="R35" s="63">
        <f>IF(NOT((COUNTA($B35:$D35)+COUNTA($G35:$L35)+COUNTA($Q35))&gt;0),"",IF((IF($C35="","Falta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",""))="","✔ OK","⚠ "&amp;LEFT(IF($C35="","Falta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",""),LEN(IF($C35="","Falta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",""))-3)))</f>
        <v/>
      </c>
      <c r="S35" s="64">
        <f>IF(NOT((COUNTA($B35:$D35)+COUNTA($G35:$L35)+COUNTA($Q35))&gt;0),"",IF(AND($V35="Sub",N($U35)&gt;0),IF(ISNUMBER(INDEX($AM$5:$AM$1000,$U35-4)),DATE(YEAR(INDEX($AM$5:$AM$1000,$U35-4)),MONTH(INDEX($AM$5:$AM$1000,$U35-4)),1),IF(ISNUMBER(INDEX($AN$5:$AN$1000,$U35-4)),DATE(YEAR(INDEX($AN$5:$AN$1000,$U35-4)),MONTH(INDEX($AN$5:$AN$1000,$U35-4)),1),MesCiclo)),IF(ISNUMBER($AM35),DATE(YEAR($AM35),MONTH($AM35),1),IF(ISNUMBER($AN35),DATE(YEAR($AN35),MONTH($AN35),1),MesCiclo))))</f>
        <v/>
      </c>
      <c r="T35" s="62">
        <f>IF(OR($S35="",$S35&lt;&gt;MesCiclo),"",COUNTIF($S$5:$S35,MesCiclo))</f>
        <v/>
      </c>
      <c r="U35" s="62">
        <f>IF($V35="","",IF($V35="Macro",ROW(),IFERROR(LOOKUP(2,1/($V$5:$V35="Macro"),ROW($V$5:$V35)),0)))</f>
        <v/>
      </c>
      <c r="V35" s="62">
        <f>IF(NOT((COUNTA($B35:$D35)+COUNTA($G35:$L35)+COUNTA($Q35))&gt;0),"",IF($B35="Subactividad","Sub","Macro"))</f>
        <v/>
      </c>
      <c r="W35" s="62">
        <f>IF($V35="Macro",COUNTIFS($U$5:$U$1000,ROW(),$V$5:$V$1000,"Sub"),"")</f>
        <v/>
      </c>
      <c r="X35" s="62">
        <f>IF($V35="","",IF(ISNUMBER($G35),1,IFERROR(LOOKUP(2,1/($I35:$L35&lt;&gt;""),$I35:$L35),0)))</f>
        <v/>
      </c>
      <c r="Y35" s="62">
        <f>IF($V35="","",IF(AND(ISNUMBER($G35),$G35&lt;=IF($S35=MesCiclo,InicioCiclo,$S35+MOD(2-WEEKDAY($S35),7))+6),1,IF(ISNUMBER($I35),$I35,0)))</f>
        <v/>
      </c>
      <c r="Z35" s="62">
        <f>IF($V35="","",IF(AND(ISNUMBER($G35),$G35&lt;=IF($S35=MesCiclo,InicioCiclo,$S35+MOD(2-WEEKDAY($S35),7))+13),1,IF(ISNUMBER($J35),$J35,$Y35)))</f>
        <v/>
      </c>
      <c r="AA35" s="62">
        <f>IF($V35="","",IF(AND(ISNUMBER($G35),$G35&lt;=IF($S35=MesCiclo,InicioCiclo,$S35+MOD(2-WEEKDAY($S35),7))+20),1,IF(ISNUMBER($K35),$K35,$Z35)))</f>
        <v/>
      </c>
      <c r="AB35" s="62">
        <f>IF($V35="","",IF(AND(ISNUMBER($G35),$G35&lt;=IF($S35=MesCiclo,InicioCiclo,$S35+MOD(2-WEEKDAY($S35),7))+27),1,IF(ISNUMBER($L35),$L35,$AA35)))</f>
        <v/>
      </c>
      <c r="AC35" s="62">
        <f>IF($V35="","",IF(AND(ISNUMBER($G35),$G35&lt;=IF($S35=MesCiclo,InicioCiclo,$S35+MOD(2-WEEKDAY($S35),7))+6),1,IF(N($W35)&gt;0,AVERAGEIFS($Y$5:$Y$1000,$U$5:$U$1000,ROW(),$V$5:$V$1000,"Sub"),$Y35)))</f>
        <v/>
      </c>
      <c r="AD35" s="62">
        <f>IF($V35="","",IF(AND(ISNUMBER($G35),$G35&lt;=IF($S35=MesCiclo,InicioCiclo,$S35+MOD(2-WEEKDAY($S35),7))+13),1,IF(N($W35)&gt;0,AVERAGEIFS($Z$5:$Z$1000,$U$5:$U$1000,ROW(),$V$5:$V$1000,"Sub"),$Z35)))</f>
        <v/>
      </c>
      <c r="AE35" s="62">
        <f>IF($V35="","",IF(AND(ISNUMBER($G35),$G35&lt;=IF($S35=MesCiclo,InicioCiclo,$S35+MOD(2-WEEKDAY($S35),7))+20),1,IF(N($W35)&gt;0,AVERAGEIFS($AA$5:$AA$1000,$U$5:$U$1000,ROW(),$V$5:$V$1000,"Sub"),$AA35)))</f>
        <v/>
      </c>
      <c r="AF35" s="62">
        <f>IF($V35="","",IF(AND(ISNUMBER($G35),$G35&lt;=IF($S35=MesCiclo,InicioCiclo,$S35+MOD(2-WEEKDAY($S35),7))+27),1,IF(N($W35)&gt;0,AVERAGEIFS($AB$5:$AB$1000,$U$5:$U$1000,ROW(),$V$5:$V$1000,"Sub"),$AB35)))</f>
        <v/>
      </c>
      <c r="AG35" s="62">
        <f>IF($V35&lt;&gt;"Macro","",IF(COUNTIFS($S$5:$S$1000,$S35,$V$5:$V$1000,"Macro",$H$5:$H$1000,"&gt;0")=0,1/COUNTIFS($S$5:$S$1000,$S35,$V$5:$V$1000,"Macro"),IF(AND(ISNUMBER($H35),N($H35)&gt;0),$H35,SUMIFS($H$5:$H$1000,$S$5:$S$1000,$S35,$V$5:$V$1000,"Macro")/COUNTIFS($S$5:$S$1000,$S35,$V$5:$V$1000,"Macro",$H$5:$H$1000,"&gt;0"))/(COUNTIFS($S$5:$S$1000,$S35,$V$5:$V$1000,"Macro")*SUMIFS($H$5:$H$1000,$S$5:$S$1000,$S35,$V$5:$V$1000,"Macro")/COUNTIFS($S$5:$S$1000,$S35,$V$5:$V$1000,"Macro",$H$5:$H$1000,"&gt;0"))))</f>
        <v/>
      </c>
      <c r="AH35" s="62">
        <f>IF(NOT(AND($D35&lt;&gt;"",$V35="Macro")),"",IFERROR(CHOOSE(MATCH($D35,ListaPuestos,0),MATCH("[Jefatura] "&amp;$C35,'Cronograma R. Operacional'!$C$5:$C$1000,0),MATCH("[Jefatura] "&amp;$C35,'Cronograma R. Normativo'!$C$5:$C$1000,0),MATCH("[Jefatura] "&amp;$C35,'Cronograma R. Financiero'!$C$5:$C$1000,0),MATCH("[Jefatura] "&amp;$C35,'Cronograma Asistente Técnico'!$C$5:$C$1000,0)),0))</f>
        <v/>
      </c>
      <c r="AI35" s="62">
        <f>IF(AND(AND($D35&lt;&gt;"",$V35="Macro"),$S35=MesCiclo),COUNTIFS($D$5:$D35,$D35,$S$5:$S35,MesCiclo,$V$5:$V35,"Macro"),"")</f>
        <v/>
      </c>
      <c r="AJ35" s="62">
        <f>IF($AI35="","",$D35&amp;"|"&amp;$AI35)</f>
        <v/>
      </c>
      <c r="AK35" s="62">
        <f>IF(AND($D35&lt;&gt;"",$V35="Macro"),$D35&amp;"|"&amp;$C35,"")</f>
        <v/>
      </c>
      <c r="AL35" s="62">
        <f>""</f>
        <v/>
      </c>
      <c r="AM35" s="62">
        <f>IF(N($AL35)&gt;0,INDEX(rIni_ADM,$AL35),IF(ISNUMBER($E35),$E35,""))</f>
        <v/>
      </c>
      <c r="AN35" s="62">
        <f>IF(N($AL35)&gt;0,INDEX(rLim_ADM,$AL35),IF(ISNUMBER($F35),$F35,""))</f>
        <v/>
      </c>
    </row>
    <row r="36">
      <c r="A36" s="56">
        <f>IF(NOT((COUNTA($B36:$D36)+COUNTA($G36:$L36)+COUNTA($Q36))&gt;0),"",IF($V36="Macro",COUNTIFS($V$5:$V36,"Macro",$S$5:$S36,$S36),IF(N($U36)=0,"?",COUNTIFS(INDEX($V$5:$V$1000,1):INDEX($V$5:$V$1000,$U36-4),"Macro",INDEX($S$5:$S$1000,1):INDEX($S$5:$S$1000,$U36-4),INDEX($S$5:$S$1000,$U36-4))&amp;"."&amp;COUNTIFS($U$5:$U36,$U36,$V$5:$V36,"Sub"))))</f>
        <v/>
      </c>
      <c r="B36" s="57" t="n"/>
      <c r="C36" s="58" t="n"/>
      <c r="D36" s="58" t="n"/>
      <c r="E36" s="59" t="n"/>
      <c r="F36" s="59" t="n"/>
      <c r="G36" s="59" t="n"/>
      <c r="H36" s="60" t="n"/>
      <c r="I36" s="60" t="n"/>
      <c r="J36" s="60" t="n"/>
      <c r="K36" s="60" t="n"/>
      <c r="L36" s="60" t="n"/>
      <c r="M36" s="61">
        <f>IF(NOT((COUNTA($B36:$D36)+COUNTA($G36:$L36)+COUNTA($Q36))&gt;0),"",IF(AND($D36&lt;&gt;"",$V36="Macro"),IF(N($AH36)&gt;0,N(CHOOSE(MATCH($D36,ListaPuestos,0),INDEX('Cronograma R. Operacional'!$M$5:$M$1000,$AH36),INDEX('Cronograma R. Normativo'!$M$5:$M$1000,$AH36),INDEX('Cronograma R. Financiero'!$M$5:$M$1000,$AH36),INDEX('Cronograma Asistente Técnico'!$M$5:$M$1000,$AH36))),0),IF(ISNUMBER($G36),1,IF(N($W36)&gt;0,AVERAGEIFS($X$5:$X$1000,$U$5:$U$1000,ROW(),$V$5:$V$1000,"Sub"),$X36))))</f>
        <v/>
      </c>
      <c r="N36" s="56">
        <f>IF($M36="","",IF($M36&gt;=1,"Completado",IF($M36&gt;0,"En curso","Pendiente")))</f>
        <v/>
      </c>
      <c r="O36" s="56">
        <f>IF(NOT((COUNTA($B36:$D36)+COUNTA($G36:$L36)+COUNTA($Q36))&gt;0),"",IF(AND(AND($D36&lt;&gt;"",$V36="Macro"),N($AH36)&gt;0),CHOOSE(MATCH($D36,ListaPuestos,0),INDEX('Cronograma R. Operacional'!$O$5:$O$1000,$AH36),INDEX('Cronograma R. Normativo'!$O$5:$O$1000,$AH36),INDEX('Cronograma R. Financiero'!$O$5:$O$1000,$AH36),INDEX('Cronograma Asistente Técnico'!$O$5:$O$1000,$AH36))&amp;"",IF(ISNUMBER($G36),IF(AND(ISNUMBER($AN36),$G36&gt;$AN36),"Cumplida con "&amp;($G36-$AN36)&amp;IF($G36-$AN36=1," día"," días")&amp;" de retraso","Cumplida"),IF(N($M36)&gt;=1,"Cumplida",IF(NOT(ISNUMBER($AN36)),"Sin fecha límite",IF($AN36&lt;FechaRef,"Vencida hace "&amp;(FechaRef-$AN36)&amp;IF(FechaRef-$AN36=1," día"," días"),IF($AN36=FechaRef,"Vence hoy",IF($AN36-FechaRef&lt;=DiasAlerta,"Vence en "&amp;($AN36-FechaRef)&amp;IF($AN36-FechaRef=1," día"," días"),"En plazo"))))))))</f>
        <v/>
      </c>
      <c r="P36" s="62">
        <f>IF(NOT((COUNTA($B36:$D36)+COUNTA($G36:$L36)+COUNTA($Q36))&gt;0),"",IF($D36="","Propia",IF($V36&lt;&gt;"Macro","Solo se delegan macroactividades",IF(N($AH36)&gt;0,"✔ Recibida por "&amp;$D36,"⚠ "&amp;$D36&amp;" aún no la agrega"))))</f>
        <v/>
      </c>
      <c r="Q36" s="58" t="n"/>
      <c r="R36" s="63">
        <f>IF(NOT((COUNTA($B36:$D36)+COUNTA($G36:$L36)+COUNTA($Q36))&gt;0),"",IF((IF($C36="","Falta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",""))="","✔ OK","⚠ "&amp;LEFT(IF($C36="","Falta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",""),LEN(IF($C36="","Falta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",""))-3)))</f>
        <v/>
      </c>
      <c r="S36" s="64">
        <f>IF(NOT((COUNTA($B36:$D36)+COUNTA($G36:$L36)+COUNTA($Q36))&gt;0),"",IF(AND($V36="Sub",N($U36)&gt;0),IF(ISNUMBER(INDEX($AM$5:$AM$1000,$U36-4)),DATE(YEAR(INDEX($AM$5:$AM$1000,$U36-4)),MONTH(INDEX($AM$5:$AM$1000,$U36-4)),1),IF(ISNUMBER(INDEX($AN$5:$AN$1000,$U36-4)),DATE(YEAR(INDEX($AN$5:$AN$1000,$U36-4)),MONTH(INDEX($AN$5:$AN$1000,$U36-4)),1),MesCiclo)),IF(ISNUMBER($AM36),DATE(YEAR($AM36),MONTH($AM36),1),IF(ISNUMBER($AN36),DATE(YEAR($AN36),MONTH($AN36),1),MesCiclo))))</f>
        <v/>
      </c>
      <c r="T36" s="62">
        <f>IF(OR($S36="",$S36&lt;&gt;MesCiclo),"",COUNTIF($S$5:$S36,MesCiclo))</f>
        <v/>
      </c>
      <c r="U36" s="62">
        <f>IF($V36="","",IF($V36="Macro",ROW(),IFERROR(LOOKUP(2,1/($V$5:$V36="Macro"),ROW($V$5:$V36)),0)))</f>
        <v/>
      </c>
      <c r="V36" s="62">
        <f>IF(NOT((COUNTA($B36:$D36)+COUNTA($G36:$L36)+COUNTA($Q36))&gt;0),"",IF($B36="Subactividad","Sub","Macro"))</f>
        <v/>
      </c>
      <c r="W36" s="62">
        <f>IF($V36="Macro",COUNTIFS($U$5:$U$1000,ROW(),$V$5:$V$1000,"Sub"),"")</f>
        <v/>
      </c>
      <c r="X36" s="62">
        <f>IF($V36="","",IF(ISNUMBER($G36),1,IFERROR(LOOKUP(2,1/($I36:$L36&lt;&gt;""),$I36:$L36),0)))</f>
        <v/>
      </c>
      <c r="Y36" s="62">
        <f>IF($V36="","",IF(AND(ISNUMBER($G36),$G36&lt;=IF($S36=MesCiclo,InicioCiclo,$S36+MOD(2-WEEKDAY($S36),7))+6),1,IF(ISNUMBER($I36),$I36,0)))</f>
        <v/>
      </c>
      <c r="Z36" s="62">
        <f>IF($V36="","",IF(AND(ISNUMBER($G36),$G36&lt;=IF($S36=MesCiclo,InicioCiclo,$S36+MOD(2-WEEKDAY($S36),7))+13),1,IF(ISNUMBER($J36),$J36,$Y36)))</f>
        <v/>
      </c>
      <c r="AA36" s="62">
        <f>IF($V36="","",IF(AND(ISNUMBER($G36),$G36&lt;=IF($S36=MesCiclo,InicioCiclo,$S36+MOD(2-WEEKDAY($S36),7))+20),1,IF(ISNUMBER($K36),$K36,$Z36)))</f>
        <v/>
      </c>
      <c r="AB36" s="62">
        <f>IF($V36="","",IF(AND(ISNUMBER($G36),$G36&lt;=IF($S36=MesCiclo,InicioCiclo,$S36+MOD(2-WEEKDAY($S36),7))+27),1,IF(ISNUMBER($L36),$L36,$AA36)))</f>
        <v/>
      </c>
      <c r="AC36" s="62">
        <f>IF($V36="","",IF(AND(ISNUMBER($G36),$G36&lt;=IF($S36=MesCiclo,InicioCiclo,$S36+MOD(2-WEEKDAY($S36),7))+6),1,IF(N($W36)&gt;0,AVERAGEIFS($Y$5:$Y$1000,$U$5:$U$1000,ROW(),$V$5:$V$1000,"Sub"),$Y36)))</f>
        <v/>
      </c>
      <c r="AD36" s="62">
        <f>IF($V36="","",IF(AND(ISNUMBER($G36),$G36&lt;=IF($S36=MesCiclo,InicioCiclo,$S36+MOD(2-WEEKDAY($S36),7))+13),1,IF(N($W36)&gt;0,AVERAGEIFS($Z$5:$Z$1000,$U$5:$U$1000,ROW(),$V$5:$V$1000,"Sub"),$Z36)))</f>
        <v/>
      </c>
      <c r="AE36" s="62">
        <f>IF($V36="","",IF(AND(ISNUMBER($G36),$G36&lt;=IF($S36=MesCiclo,InicioCiclo,$S36+MOD(2-WEEKDAY($S36),7))+20),1,IF(N($W36)&gt;0,AVERAGEIFS($AA$5:$AA$1000,$U$5:$U$1000,ROW(),$V$5:$V$1000,"Sub"),$AA36)))</f>
        <v/>
      </c>
      <c r="AF36" s="62">
        <f>IF($V36="","",IF(AND(ISNUMBER($G36),$G36&lt;=IF($S36=MesCiclo,InicioCiclo,$S36+MOD(2-WEEKDAY($S36),7))+27),1,IF(N($W36)&gt;0,AVERAGEIFS($AB$5:$AB$1000,$U$5:$U$1000,ROW(),$V$5:$V$1000,"Sub"),$AB36)))</f>
        <v/>
      </c>
      <c r="AG36" s="62">
        <f>IF($V36&lt;&gt;"Macro","",IF(COUNTIFS($S$5:$S$1000,$S36,$V$5:$V$1000,"Macro",$H$5:$H$1000,"&gt;0")=0,1/COUNTIFS($S$5:$S$1000,$S36,$V$5:$V$1000,"Macro"),IF(AND(ISNUMBER($H36),N($H36)&gt;0),$H36,SUMIFS($H$5:$H$1000,$S$5:$S$1000,$S36,$V$5:$V$1000,"Macro")/COUNTIFS($S$5:$S$1000,$S36,$V$5:$V$1000,"Macro",$H$5:$H$1000,"&gt;0"))/(COUNTIFS($S$5:$S$1000,$S36,$V$5:$V$1000,"Macro")*SUMIFS($H$5:$H$1000,$S$5:$S$1000,$S36,$V$5:$V$1000,"Macro")/COUNTIFS($S$5:$S$1000,$S36,$V$5:$V$1000,"Macro",$H$5:$H$1000,"&gt;0"))))</f>
        <v/>
      </c>
      <c r="AH36" s="62">
        <f>IF(NOT(AND($D36&lt;&gt;"",$V36="Macro")),"",IFERROR(CHOOSE(MATCH($D36,ListaPuestos,0),MATCH("[Jefatura] "&amp;$C36,'Cronograma R. Operacional'!$C$5:$C$1000,0),MATCH("[Jefatura] "&amp;$C36,'Cronograma R. Normativo'!$C$5:$C$1000,0),MATCH("[Jefatura] "&amp;$C36,'Cronograma R. Financiero'!$C$5:$C$1000,0),MATCH("[Jefatura] "&amp;$C36,'Cronograma Asistente Técnico'!$C$5:$C$1000,0)),0))</f>
        <v/>
      </c>
      <c r="AI36" s="62">
        <f>IF(AND(AND($D36&lt;&gt;"",$V36="Macro"),$S36=MesCiclo),COUNTIFS($D$5:$D36,$D36,$S$5:$S36,MesCiclo,$V$5:$V36,"Macro"),"")</f>
        <v/>
      </c>
      <c r="AJ36" s="62">
        <f>IF($AI36="","",$D36&amp;"|"&amp;$AI36)</f>
        <v/>
      </c>
      <c r="AK36" s="62">
        <f>IF(AND($D36&lt;&gt;"",$V36="Macro"),$D36&amp;"|"&amp;$C36,"")</f>
        <v/>
      </c>
      <c r="AL36" s="62">
        <f>""</f>
        <v/>
      </c>
      <c r="AM36" s="62">
        <f>IF(N($AL36)&gt;0,INDEX(rIni_ADM,$AL36),IF(ISNUMBER($E36),$E36,""))</f>
        <v/>
      </c>
      <c r="AN36" s="62">
        <f>IF(N($AL36)&gt;0,INDEX(rLim_ADM,$AL36),IF(ISNUMBER($F36),$F36,""))</f>
        <v/>
      </c>
    </row>
    <row r="37">
      <c r="A37" s="56">
        <f>IF(NOT((COUNTA($B37:$D37)+COUNTA($G37:$L37)+COUNTA($Q37))&gt;0),"",IF($V37="Macro",COUNTIFS($V$5:$V37,"Macro",$S$5:$S37,$S37),IF(N($U37)=0,"?",COUNTIFS(INDEX($V$5:$V$1000,1):INDEX($V$5:$V$1000,$U37-4),"Macro",INDEX($S$5:$S$1000,1):INDEX($S$5:$S$1000,$U37-4),INDEX($S$5:$S$1000,$U37-4))&amp;"."&amp;COUNTIFS($U$5:$U37,$U37,$V$5:$V37,"Sub"))))</f>
        <v/>
      </c>
      <c r="B37" s="57" t="n"/>
      <c r="C37" s="58" t="n"/>
      <c r="D37" s="58" t="n"/>
      <c r="E37" s="59" t="n"/>
      <c r="F37" s="59" t="n"/>
      <c r="G37" s="59" t="n"/>
      <c r="H37" s="60" t="n"/>
      <c r="I37" s="60" t="n"/>
      <c r="J37" s="60" t="n"/>
      <c r="K37" s="60" t="n"/>
      <c r="L37" s="60" t="n"/>
      <c r="M37" s="61">
        <f>IF(NOT((COUNTA($B37:$D37)+COUNTA($G37:$L37)+COUNTA($Q37))&gt;0),"",IF(AND($D37&lt;&gt;"",$V37="Macro"),IF(N($AH37)&gt;0,N(CHOOSE(MATCH($D37,ListaPuestos,0),INDEX('Cronograma R. Operacional'!$M$5:$M$1000,$AH37),INDEX('Cronograma R. Normativo'!$M$5:$M$1000,$AH37),INDEX('Cronograma R. Financiero'!$M$5:$M$1000,$AH37),INDEX('Cronograma Asistente Técnico'!$M$5:$M$1000,$AH37))),0),IF(ISNUMBER($G37),1,IF(N($W37)&gt;0,AVERAGEIFS($X$5:$X$1000,$U$5:$U$1000,ROW(),$V$5:$V$1000,"Sub"),$X37))))</f>
        <v/>
      </c>
      <c r="N37" s="56">
        <f>IF($M37="","",IF($M37&gt;=1,"Completado",IF($M37&gt;0,"En curso","Pendiente")))</f>
        <v/>
      </c>
      <c r="O37" s="56">
        <f>IF(NOT((COUNTA($B37:$D37)+COUNTA($G37:$L37)+COUNTA($Q37))&gt;0),"",IF(AND(AND($D37&lt;&gt;"",$V37="Macro"),N($AH37)&gt;0),CHOOSE(MATCH($D37,ListaPuestos,0),INDEX('Cronograma R. Operacional'!$O$5:$O$1000,$AH37),INDEX('Cronograma R. Normativo'!$O$5:$O$1000,$AH37),INDEX('Cronograma R. Financiero'!$O$5:$O$1000,$AH37),INDEX('Cronograma Asistente Técnico'!$O$5:$O$1000,$AH37))&amp;"",IF(ISNUMBER($G37),IF(AND(ISNUMBER($AN37),$G37&gt;$AN37),"Cumplida con "&amp;($G37-$AN37)&amp;IF($G37-$AN37=1," día"," días")&amp;" de retraso","Cumplida"),IF(N($M37)&gt;=1,"Cumplida",IF(NOT(ISNUMBER($AN37)),"Sin fecha límite",IF($AN37&lt;FechaRef,"Vencida hace "&amp;(FechaRef-$AN37)&amp;IF(FechaRef-$AN37=1," día"," días"),IF($AN37=FechaRef,"Vence hoy",IF($AN37-FechaRef&lt;=DiasAlerta,"Vence en "&amp;($AN37-FechaRef)&amp;IF($AN37-FechaRef=1," día"," días"),"En plazo"))))))))</f>
        <v/>
      </c>
      <c r="P37" s="62">
        <f>IF(NOT((COUNTA($B37:$D37)+COUNTA($G37:$L37)+COUNTA($Q37))&gt;0),"",IF($D37="","Propia",IF($V37&lt;&gt;"Macro","Solo se delegan macroactividades",IF(N($AH37)&gt;0,"✔ Recibida por "&amp;$D37,"⚠ "&amp;$D37&amp;" aún no la agrega"))))</f>
        <v/>
      </c>
      <c r="Q37" s="58" t="n"/>
      <c r="R37" s="63">
        <f>IF(NOT((COUNTA($B37:$D37)+COUNTA($G37:$L37)+COUNTA($Q37))&gt;0),"",IF((IF($C37="","Falta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",""))="","✔ OK","⚠ "&amp;LEFT(IF($C37="","Falta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",""),LEN(IF($C37="","Falta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",""))-3)))</f>
        <v/>
      </c>
      <c r="S37" s="64">
        <f>IF(NOT((COUNTA($B37:$D37)+COUNTA($G37:$L37)+COUNTA($Q37))&gt;0),"",IF(AND($V37="Sub",N($U37)&gt;0),IF(ISNUMBER(INDEX($AM$5:$AM$1000,$U37-4)),DATE(YEAR(INDEX($AM$5:$AM$1000,$U37-4)),MONTH(INDEX($AM$5:$AM$1000,$U37-4)),1),IF(ISNUMBER(INDEX($AN$5:$AN$1000,$U37-4)),DATE(YEAR(INDEX($AN$5:$AN$1000,$U37-4)),MONTH(INDEX($AN$5:$AN$1000,$U37-4)),1),MesCiclo)),IF(ISNUMBER($AM37),DATE(YEAR($AM37),MONTH($AM37),1),IF(ISNUMBER($AN37),DATE(YEAR($AN37),MONTH($AN37),1),MesCiclo))))</f>
        <v/>
      </c>
      <c r="T37" s="62">
        <f>IF(OR($S37="",$S37&lt;&gt;MesCiclo),"",COUNTIF($S$5:$S37,MesCiclo))</f>
        <v/>
      </c>
      <c r="U37" s="62">
        <f>IF($V37="","",IF($V37="Macro",ROW(),IFERROR(LOOKUP(2,1/($V$5:$V37="Macro"),ROW($V$5:$V37)),0)))</f>
        <v/>
      </c>
      <c r="V37" s="62">
        <f>IF(NOT((COUNTA($B37:$D37)+COUNTA($G37:$L37)+COUNTA($Q37))&gt;0),"",IF($B37="Subactividad","Sub","Macro"))</f>
        <v/>
      </c>
      <c r="W37" s="62">
        <f>IF($V37="Macro",COUNTIFS($U$5:$U$1000,ROW(),$V$5:$V$1000,"Sub"),"")</f>
        <v/>
      </c>
      <c r="X37" s="62">
        <f>IF($V37="","",IF(ISNUMBER($G37),1,IFERROR(LOOKUP(2,1/($I37:$L37&lt;&gt;""),$I37:$L37),0)))</f>
        <v/>
      </c>
      <c r="Y37" s="62">
        <f>IF($V37="","",IF(AND(ISNUMBER($G37),$G37&lt;=IF($S37=MesCiclo,InicioCiclo,$S37+MOD(2-WEEKDAY($S37),7))+6),1,IF(ISNUMBER($I37),$I37,0)))</f>
        <v/>
      </c>
      <c r="Z37" s="62">
        <f>IF($V37="","",IF(AND(ISNUMBER($G37),$G37&lt;=IF($S37=MesCiclo,InicioCiclo,$S37+MOD(2-WEEKDAY($S37),7))+13),1,IF(ISNUMBER($J37),$J37,$Y37)))</f>
        <v/>
      </c>
      <c r="AA37" s="62">
        <f>IF($V37="","",IF(AND(ISNUMBER($G37),$G37&lt;=IF($S37=MesCiclo,InicioCiclo,$S37+MOD(2-WEEKDAY($S37),7))+20),1,IF(ISNUMBER($K37),$K37,$Z37)))</f>
        <v/>
      </c>
      <c r="AB37" s="62">
        <f>IF($V37="","",IF(AND(ISNUMBER($G37),$G37&lt;=IF($S37=MesCiclo,InicioCiclo,$S37+MOD(2-WEEKDAY($S37),7))+27),1,IF(ISNUMBER($L37),$L37,$AA37)))</f>
        <v/>
      </c>
      <c r="AC37" s="62">
        <f>IF($V37="","",IF(AND(ISNUMBER($G37),$G37&lt;=IF($S37=MesCiclo,InicioCiclo,$S37+MOD(2-WEEKDAY($S37),7))+6),1,IF(N($W37)&gt;0,AVERAGEIFS($Y$5:$Y$1000,$U$5:$U$1000,ROW(),$V$5:$V$1000,"Sub"),$Y37)))</f>
        <v/>
      </c>
      <c r="AD37" s="62">
        <f>IF($V37="","",IF(AND(ISNUMBER($G37),$G37&lt;=IF($S37=MesCiclo,InicioCiclo,$S37+MOD(2-WEEKDAY($S37),7))+13),1,IF(N($W37)&gt;0,AVERAGEIFS($Z$5:$Z$1000,$U$5:$U$1000,ROW(),$V$5:$V$1000,"Sub"),$Z37)))</f>
        <v/>
      </c>
      <c r="AE37" s="62">
        <f>IF($V37="","",IF(AND(ISNUMBER($G37),$G37&lt;=IF($S37=MesCiclo,InicioCiclo,$S37+MOD(2-WEEKDAY($S37),7))+20),1,IF(N($W37)&gt;0,AVERAGEIFS($AA$5:$AA$1000,$U$5:$U$1000,ROW(),$V$5:$V$1000,"Sub"),$AA37)))</f>
        <v/>
      </c>
      <c r="AF37" s="62">
        <f>IF($V37="","",IF(AND(ISNUMBER($G37),$G37&lt;=IF($S37=MesCiclo,InicioCiclo,$S37+MOD(2-WEEKDAY($S37),7))+27),1,IF(N($W37)&gt;0,AVERAGEIFS($AB$5:$AB$1000,$U$5:$U$1000,ROW(),$V$5:$V$1000,"Sub"),$AB37)))</f>
        <v/>
      </c>
      <c r="AG37" s="62">
        <f>IF($V37&lt;&gt;"Macro","",IF(COUNTIFS($S$5:$S$1000,$S37,$V$5:$V$1000,"Macro",$H$5:$H$1000,"&gt;0")=0,1/COUNTIFS($S$5:$S$1000,$S37,$V$5:$V$1000,"Macro"),IF(AND(ISNUMBER($H37),N($H37)&gt;0),$H37,SUMIFS($H$5:$H$1000,$S$5:$S$1000,$S37,$V$5:$V$1000,"Macro")/COUNTIFS($S$5:$S$1000,$S37,$V$5:$V$1000,"Macro",$H$5:$H$1000,"&gt;0"))/(COUNTIFS($S$5:$S$1000,$S37,$V$5:$V$1000,"Macro")*SUMIFS($H$5:$H$1000,$S$5:$S$1000,$S37,$V$5:$V$1000,"Macro")/COUNTIFS($S$5:$S$1000,$S37,$V$5:$V$1000,"Macro",$H$5:$H$1000,"&gt;0"))))</f>
        <v/>
      </c>
      <c r="AH37" s="62">
        <f>IF(NOT(AND($D37&lt;&gt;"",$V37="Macro")),"",IFERROR(CHOOSE(MATCH($D37,ListaPuestos,0),MATCH("[Jefatura] "&amp;$C37,'Cronograma R. Operacional'!$C$5:$C$1000,0),MATCH("[Jefatura] "&amp;$C37,'Cronograma R. Normativo'!$C$5:$C$1000,0),MATCH("[Jefatura] "&amp;$C37,'Cronograma R. Financiero'!$C$5:$C$1000,0),MATCH("[Jefatura] "&amp;$C37,'Cronograma Asistente Técnico'!$C$5:$C$1000,0)),0))</f>
        <v/>
      </c>
      <c r="AI37" s="62">
        <f>IF(AND(AND($D37&lt;&gt;"",$V37="Macro"),$S37=MesCiclo),COUNTIFS($D$5:$D37,$D37,$S$5:$S37,MesCiclo,$V$5:$V37,"Macro"),"")</f>
        <v/>
      </c>
      <c r="AJ37" s="62">
        <f>IF($AI37="","",$D37&amp;"|"&amp;$AI37)</f>
        <v/>
      </c>
      <c r="AK37" s="62">
        <f>IF(AND($D37&lt;&gt;"",$V37="Macro"),$D37&amp;"|"&amp;$C37,"")</f>
        <v/>
      </c>
      <c r="AL37" s="62">
        <f>""</f>
        <v/>
      </c>
      <c r="AM37" s="62">
        <f>IF(N($AL37)&gt;0,INDEX(rIni_ADM,$AL37),IF(ISNUMBER($E37),$E37,""))</f>
        <v/>
      </c>
      <c r="AN37" s="62">
        <f>IF(N($AL37)&gt;0,INDEX(rLim_ADM,$AL37),IF(ISNUMBER($F37),$F37,""))</f>
        <v/>
      </c>
    </row>
    <row r="38">
      <c r="A38" s="56">
        <f>IF(NOT((COUNTA($B38:$D38)+COUNTA($G38:$L38)+COUNTA($Q38))&gt;0),"",IF($V38="Macro",COUNTIFS($V$5:$V38,"Macro",$S$5:$S38,$S38),IF(N($U38)=0,"?",COUNTIFS(INDEX($V$5:$V$1000,1):INDEX($V$5:$V$1000,$U38-4),"Macro",INDEX($S$5:$S$1000,1):INDEX($S$5:$S$1000,$U38-4),INDEX($S$5:$S$1000,$U38-4))&amp;"."&amp;COUNTIFS($U$5:$U38,$U38,$V$5:$V38,"Sub"))))</f>
        <v/>
      </c>
      <c r="B38" s="57" t="n"/>
      <c r="C38" s="58" t="n"/>
      <c r="D38" s="58" t="n"/>
      <c r="E38" s="59" t="n"/>
      <c r="F38" s="59" t="n"/>
      <c r="G38" s="59" t="n"/>
      <c r="H38" s="60" t="n"/>
      <c r="I38" s="60" t="n"/>
      <c r="J38" s="60" t="n"/>
      <c r="K38" s="60" t="n"/>
      <c r="L38" s="60" t="n"/>
      <c r="M38" s="61">
        <f>IF(NOT((COUNTA($B38:$D38)+COUNTA($G38:$L38)+COUNTA($Q38))&gt;0),"",IF(AND($D38&lt;&gt;"",$V38="Macro"),IF(N($AH38)&gt;0,N(CHOOSE(MATCH($D38,ListaPuestos,0),INDEX('Cronograma R. Operacional'!$M$5:$M$1000,$AH38),INDEX('Cronograma R. Normativo'!$M$5:$M$1000,$AH38),INDEX('Cronograma R. Financiero'!$M$5:$M$1000,$AH38),INDEX('Cronograma Asistente Técnico'!$M$5:$M$1000,$AH38))),0),IF(ISNUMBER($G38),1,IF(N($W38)&gt;0,AVERAGEIFS($X$5:$X$1000,$U$5:$U$1000,ROW(),$V$5:$V$1000,"Sub"),$X38))))</f>
        <v/>
      </c>
      <c r="N38" s="56">
        <f>IF($M38="","",IF($M38&gt;=1,"Completado",IF($M38&gt;0,"En curso","Pendiente")))</f>
        <v/>
      </c>
      <c r="O38" s="56">
        <f>IF(NOT((COUNTA($B38:$D38)+COUNTA($G38:$L38)+COUNTA($Q38))&gt;0),"",IF(AND(AND($D38&lt;&gt;"",$V38="Macro"),N($AH38)&gt;0),CHOOSE(MATCH($D38,ListaPuestos,0),INDEX('Cronograma R. Operacional'!$O$5:$O$1000,$AH38),INDEX('Cronograma R. Normativo'!$O$5:$O$1000,$AH38),INDEX('Cronograma R. Financiero'!$O$5:$O$1000,$AH38),INDEX('Cronograma Asistente Técnico'!$O$5:$O$1000,$AH38))&amp;"",IF(ISNUMBER($G38),IF(AND(ISNUMBER($AN38),$G38&gt;$AN38),"Cumplida con "&amp;($G38-$AN38)&amp;IF($G38-$AN38=1," día"," días")&amp;" de retraso","Cumplida"),IF(N($M38)&gt;=1,"Cumplida",IF(NOT(ISNUMBER($AN38)),"Sin fecha límite",IF($AN38&lt;FechaRef,"Vencida hace "&amp;(FechaRef-$AN38)&amp;IF(FechaRef-$AN38=1," día"," días"),IF($AN38=FechaRef,"Vence hoy",IF($AN38-FechaRef&lt;=DiasAlerta,"Vence en "&amp;($AN38-FechaRef)&amp;IF($AN38-FechaRef=1," día"," días"),"En plazo"))))))))</f>
        <v/>
      </c>
      <c r="P38" s="62">
        <f>IF(NOT((COUNTA($B38:$D38)+COUNTA($G38:$L38)+COUNTA($Q38))&gt;0),"",IF($D38="","Propia",IF($V38&lt;&gt;"Macro","Solo se delegan macroactividades",IF(N($AH38)&gt;0,"✔ Recibida por "&amp;$D38,"⚠ "&amp;$D38&amp;" aún no la agrega"))))</f>
        <v/>
      </c>
      <c r="Q38" s="58" t="n"/>
      <c r="R38" s="63">
        <f>IF(NOT((COUNTA($B38:$D38)+COUNTA($G38:$L38)+COUNTA($Q38))&gt;0),"",IF((IF($C38="","Falta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",""))="","✔ OK","⚠ "&amp;LEFT(IF($C38="","Falta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",""),LEN(IF($C38="","Falta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",""))-3)))</f>
        <v/>
      </c>
      <c r="S38" s="64">
        <f>IF(NOT((COUNTA($B38:$D38)+COUNTA($G38:$L38)+COUNTA($Q38))&gt;0),"",IF(AND($V38="Sub",N($U38)&gt;0),IF(ISNUMBER(INDEX($AM$5:$AM$1000,$U38-4)),DATE(YEAR(INDEX($AM$5:$AM$1000,$U38-4)),MONTH(INDEX($AM$5:$AM$1000,$U38-4)),1),IF(ISNUMBER(INDEX($AN$5:$AN$1000,$U38-4)),DATE(YEAR(INDEX($AN$5:$AN$1000,$U38-4)),MONTH(INDEX($AN$5:$AN$1000,$U38-4)),1),MesCiclo)),IF(ISNUMBER($AM38),DATE(YEAR($AM38),MONTH($AM38),1),IF(ISNUMBER($AN38),DATE(YEAR($AN38),MONTH($AN38),1),MesCiclo))))</f>
        <v/>
      </c>
      <c r="T38" s="62">
        <f>IF(OR($S38="",$S38&lt;&gt;MesCiclo),"",COUNTIF($S$5:$S38,MesCiclo))</f>
        <v/>
      </c>
      <c r="U38" s="62">
        <f>IF($V38="","",IF($V38="Macro",ROW(),IFERROR(LOOKUP(2,1/($V$5:$V38="Macro"),ROW($V$5:$V38)),0)))</f>
        <v/>
      </c>
      <c r="V38" s="62">
        <f>IF(NOT((COUNTA($B38:$D38)+COUNTA($G38:$L38)+COUNTA($Q38))&gt;0),"",IF($B38="Subactividad","Sub","Macro"))</f>
        <v/>
      </c>
      <c r="W38" s="62">
        <f>IF($V38="Macro",COUNTIFS($U$5:$U$1000,ROW(),$V$5:$V$1000,"Sub"),"")</f>
        <v/>
      </c>
      <c r="X38" s="62">
        <f>IF($V38="","",IF(ISNUMBER($G38),1,IFERROR(LOOKUP(2,1/($I38:$L38&lt;&gt;""),$I38:$L38),0)))</f>
        <v/>
      </c>
      <c r="Y38" s="62">
        <f>IF($V38="","",IF(AND(ISNUMBER($G38),$G38&lt;=IF($S38=MesCiclo,InicioCiclo,$S38+MOD(2-WEEKDAY($S38),7))+6),1,IF(ISNUMBER($I38),$I38,0)))</f>
        <v/>
      </c>
      <c r="Z38" s="62">
        <f>IF($V38="","",IF(AND(ISNUMBER($G38),$G38&lt;=IF($S38=MesCiclo,InicioCiclo,$S38+MOD(2-WEEKDAY($S38),7))+13),1,IF(ISNUMBER($J38),$J38,$Y38)))</f>
        <v/>
      </c>
      <c r="AA38" s="62">
        <f>IF($V38="","",IF(AND(ISNUMBER($G38),$G38&lt;=IF($S38=MesCiclo,InicioCiclo,$S38+MOD(2-WEEKDAY($S38),7))+20),1,IF(ISNUMBER($K38),$K38,$Z38)))</f>
        <v/>
      </c>
      <c r="AB38" s="62">
        <f>IF($V38="","",IF(AND(ISNUMBER($G38),$G38&lt;=IF($S38=MesCiclo,InicioCiclo,$S38+MOD(2-WEEKDAY($S38),7))+27),1,IF(ISNUMBER($L38),$L38,$AA38)))</f>
        <v/>
      </c>
      <c r="AC38" s="62">
        <f>IF($V38="","",IF(AND(ISNUMBER($G38),$G38&lt;=IF($S38=MesCiclo,InicioCiclo,$S38+MOD(2-WEEKDAY($S38),7))+6),1,IF(N($W38)&gt;0,AVERAGEIFS($Y$5:$Y$1000,$U$5:$U$1000,ROW(),$V$5:$V$1000,"Sub"),$Y38)))</f>
        <v/>
      </c>
      <c r="AD38" s="62">
        <f>IF($V38="","",IF(AND(ISNUMBER($G38),$G38&lt;=IF($S38=MesCiclo,InicioCiclo,$S38+MOD(2-WEEKDAY($S38),7))+13),1,IF(N($W38)&gt;0,AVERAGEIFS($Z$5:$Z$1000,$U$5:$U$1000,ROW(),$V$5:$V$1000,"Sub"),$Z38)))</f>
        <v/>
      </c>
      <c r="AE38" s="62">
        <f>IF($V38="","",IF(AND(ISNUMBER($G38),$G38&lt;=IF($S38=MesCiclo,InicioCiclo,$S38+MOD(2-WEEKDAY($S38),7))+20),1,IF(N($W38)&gt;0,AVERAGEIFS($AA$5:$AA$1000,$U$5:$U$1000,ROW(),$V$5:$V$1000,"Sub"),$AA38)))</f>
        <v/>
      </c>
      <c r="AF38" s="62">
        <f>IF($V38="","",IF(AND(ISNUMBER($G38),$G38&lt;=IF($S38=MesCiclo,InicioCiclo,$S38+MOD(2-WEEKDAY($S38),7))+27),1,IF(N($W38)&gt;0,AVERAGEIFS($AB$5:$AB$1000,$U$5:$U$1000,ROW(),$V$5:$V$1000,"Sub"),$AB38)))</f>
        <v/>
      </c>
      <c r="AG38" s="62">
        <f>IF($V38&lt;&gt;"Macro","",IF(COUNTIFS($S$5:$S$1000,$S38,$V$5:$V$1000,"Macro",$H$5:$H$1000,"&gt;0")=0,1/COUNTIFS($S$5:$S$1000,$S38,$V$5:$V$1000,"Macro"),IF(AND(ISNUMBER($H38),N($H38)&gt;0),$H38,SUMIFS($H$5:$H$1000,$S$5:$S$1000,$S38,$V$5:$V$1000,"Macro")/COUNTIFS($S$5:$S$1000,$S38,$V$5:$V$1000,"Macro",$H$5:$H$1000,"&gt;0"))/(COUNTIFS($S$5:$S$1000,$S38,$V$5:$V$1000,"Macro")*SUMIFS($H$5:$H$1000,$S$5:$S$1000,$S38,$V$5:$V$1000,"Macro")/COUNTIFS($S$5:$S$1000,$S38,$V$5:$V$1000,"Macro",$H$5:$H$1000,"&gt;0"))))</f>
        <v/>
      </c>
      <c r="AH38" s="62">
        <f>IF(NOT(AND($D38&lt;&gt;"",$V38="Macro")),"",IFERROR(CHOOSE(MATCH($D38,ListaPuestos,0),MATCH("[Jefatura] "&amp;$C38,'Cronograma R. Operacional'!$C$5:$C$1000,0),MATCH("[Jefatura] "&amp;$C38,'Cronograma R. Normativo'!$C$5:$C$1000,0),MATCH("[Jefatura] "&amp;$C38,'Cronograma R. Financiero'!$C$5:$C$1000,0),MATCH("[Jefatura] "&amp;$C38,'Cronograma Asistente Técnico'!$C$5:$C$1000,0)),0))</f>
        <v/>
      </c>
      <c r="AI38" s="62">
        <f>IF(AND(AND($D38&lt;&gt;"",$V38="Macro"),$S38=MesCiclo),COUNTIFS($D$5:$D38,$D38,$S$5:$S38,MesCiclo,$V$5:$V38,"Macro"),"")</f>
        <v/>
      </c>
      <c r="AJ38" s="62">
        <f>IF($AI38="","",$D38&amp;"|"&amp;$AI38)</f>
        <v/>
      </c>
      <c r="AK38" s="62">
        <f>IF(AND($D38&lt;&gt;"",$V38="Macro"),$D38&amp;"|"&amp;$C38,"")</f>
        <v/>
      </c>
      <c r="AL38" s="62">
        <f>""</f>
        <v/>
      </c>
      <c r="AM38" s="62">
        <f>IF(N($AL38)&gt;0,INDEX(rIni_ADM,$AL38),IF(ISNUMBER($E38),$E38,""))</f>
        <v/>
      </c>
      <c r="AN38" s="62">
        <f>IF(N($AL38)&gt;0,INDEX(rLim_ADM,$AL38),IF(ISNUMBER($F38),$F38,""))</f>
        <v/>
      </c>
    </row>
    <row r="39">
      <c r="A39" s="56">
        <f>IF(NOT((COUNTA($B39:$D39)+COUNTA($G39:$L39)+COUNTA($Q39))&gt;0),"",IF($V39="Macro",COUNTIFS($V$5:$V39,"Macro",$S$5:$S39,$S39),IF(N($U39)=0,"?",COUNTIFS(INDEX($V$5:$V$1000,1):INDEX($V$5:$V$1000,$U39-4),"Macro",INDEX($S$5:$S$1000,1):INDEX($S$5:$S$1000,$U39-4),INDEX($S$5:$S$1000,$U39-4))&amp;"."&amp;COUNTIFS($U$5:$U39,$U39,$V$5:$V39,"Sub"))))</f>
        <v/>
      </c>
      <c r="B39" s="57" t="n"/>
      <c r="C39" s="58" t="n"/>
      <c r="D39" s="58" t="n"/>
      <c r="E39" s="59" t="n"/>
      <c r="F39" s="59" t="n"/>
      <c r="G39" s="59" t="n"/>
      <c r="H39" s="60" t="n"/>
      <c r="I39" s="60" t="n"/>
      <c r="J39" s="60" t="n"/>
      <c r="K39" s="60" t="n"/>
      <c r="L39" s="60" t="n"/>
      <c r="M39" s="61">
        <f>IF(NOT((COUNTA($B39:$D39)+COUNTA($G39:$L39)+COUNTA($Q39))&gt;0),"",IF(AND($D39&lt;&gt;"",$V39="Macro"),IF(N($AH39)&gt;0,N(CHOOSE(MATCH($D39,ListaPuestos,0),INDEX('Cronograma R. Operacional'!$M$5:$M$1000,$AH39),INDEX('Cronograma R. Normativo'!$M$5:$M$1000,$AH39),INDEX('Cronograma R. Financiero'!$M$5:$M$1000,$AH39),INDEX('Cronograma Asistente Técnico'!$M$5:$M$1000,$AH39))),0),IF(ISNUMBER($G39),1,IF(N($W39)&gt;0,AVERAGEIFS($X$5:$X$1000,$U$5:$U$1000,ROW(),$V$5:$V$1000,"Sub"),$X39))))</f>
        <v/>
      </c>
      <c r="N39" s="56">
        <f>IF($M39="","",IF($M39&gt;=1,"Completado",IF($M39&gt;0,"En curso","Pendiente")))</f>
        <v/>
      </c>
      <c r="O39" s="56">
        <f>IF(NOT((COUNTA($B39:$D39)+COUNTA($G39:$L39)+COUNTA($Q39))&gt;0),"",IF(AND(AND($D39&lt;&gt;"",$V39="Macro"),N($AH39)&gt;0),CHOOSE(MATCH($D39,ListaPuestos,0),INDEX('Cronograma R. Operacional'!$O$5:$O$1000,$AH39),INDEX('Cronograma R. Normativo'!$O$5:$O$1000,$AH39),INDEX('Cronograma R. Financiero'!$O$5:$O$1000,$AH39),INDEX('Cronograma Asistente Técnico'!$O$5:$O$1000,$AH39))&amp;"",IF(ISNUMBER($G39),IF(AND(ISNUMBER($AN39),$G39&gt;$AN39),"Cumplida con "&amp;($G39-$AN39)&amp;IF($G39-$AN39=1," día"," días")&amp;" de retraso","Cumplida"),IF(N($M39)&gt;=1,"Cumplida",IF(NOT(ISNUMBER($AN39)),"Sin fecha límite",IF($AN39&lt;FechaRef,"Vencida hace "&amp;(FechaRef-$AN39)&amp;IF(FechaRef-$AN39=1," día"," días"),IF($AN39=FechaRef,"Vence hoy",IF($AN39-FechaRef&lt;=DiasAlerta,"Vence en "&amp;($AN39-FechaRef)&amp;IF($AN39-FechaRef=1," día"," días"),"En plazo"))))))))</f>
        <v/>
      </c>
      <c r="P39" s="62">
        <f>IF(NOT((COUNTA($B39:$D39)+COUNTA($G39:$L39)+COUNTA($Q39))&gt;0),"",IF($D39="","Propia",IF($V39&lt;&gt;"Macro","Solo se delegan macroactividades",IF(N($AH39)&gt;0,"✔ Recibida por "&amp;$D39,"⚠ "&amp;$D39&amp;" aún no la agrega"))))</f>
        <v/>
      </c>
      <c r="Q39" s="58" t="n"/>
      <c r="R39" s="63">
        <f>IF(NOT((COUNTA($B39:$D39)+COUNTA($G39:$L39)+COUNTA($Q39))&gt;0),"",IF((IF($C39="","Falta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",""))="","✔ OK","⚠ "&amp;LEFT(IF($C39="","Falta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",""),LEN(IF($C39="","Falta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",""))-3)))</f>
        <v/>
      </c>
      <c r="S39" s="64">
        <f>IF(NOT((COUNTA($B39:$D39)+COUNTA($G39:$L39)+COUNTA($Q39))&gt;0),"",IF(AND($V39="Sub",N($U39)&gt;0),IF(ISNUMBER(INDEX($AM$5:$AM$1000,$U39-4)),DATE(YEAR(INDEX($AM$5:$AM$1000,$U39-4)),MONTH(INDEX($AM$5:$AM$1000,$U39-4)),1),IF(ISNUMBER(INDEX($AN$5:$AN$1000,$U39-4)),DATE(YEAR(INDEX($AN$5:$AN$1000,$U39-4)),MONTH(INDEX($AN$5:$AN$1000,$U39-4)),1),MesCiclo)),IF(ISNUMBER($AM39),DATE(YEAR($AM39),MONTH($AM39),1),IF(ISNUMBER($AN39),DATE(YEAR($AN39),MONTH($AN39),1),MesCiclo))))</f>
        <v/>
      </c>
      <c r="T39" s="62">
        <f>IF(OR($S39="",$S39&lt;&gt;MesCiclo),"",COUNTIF($S$5:$S39,MesCiclo))</f>
        <v/>
      </c>
      <c r="U39" s="62">
        <f>IF($V39="","",IF($V39="Macro",ROW(),IFERROR(LOOKUP(2,1/($V$5:$V39="Macro"),ROW($V$5:$V39)),0)))</f>
        <v/>
      </c>
      <c r="V39" s="62">
        <f>IF(NOT((COUNTA($B39:$D39)+COUNTA($G39:$L39)+COUNTA($Q39))&gt;0),"",IF($B39="Subactividad","Sub","Macro"))</f>
        <v/>
      </c>
      <c r="W39" s="62">
        <f>IF($V39="Macro",COUNTIFS($U$5:$U$1000,ROW(),$V$5:$V$1000,"Sub"),"")</f>
        <v/>
      </c>
      <c r="X39" s="62">
        <f>IF($V39="","",IF(ISNUMBER($G39),1,IFERROR(LOOKUP(2,1/($I39:$L39&lt;&gt;""),$I39:$L39),0)))</f>
        <v/>
      </c>
      <c r="Y39" s="62">
        <f>IF($V39="","",IF(AND(ISNUMBER($G39),$G39&lt;=IF($S39=MesCiclo,InicioCiclo,$S39+MOD(2-WEEKDAY($S39),7))+6),1,IF(ISNUMBER($I39),$I39,0)))</f>
        <v/>
      </c>
      <c r="Z39" s="62">
        <f>IF($V39="","",IF(AND(ISNUMBER($G39),$G39&lt;=IF($S39=MesCiclo,InicioCiclo,$S39+MOD(2-WEEKDAY($S39),7))+13),1,IF(ISNUMBER($J39),$J39,$Y39)))</f>
        <v/>
      </c>
      <c r="AA39" s="62">
        <f>IF($V39="","",IF(AND(ISNUMBER($G39),$G39&lt;=IF($S39=MesCiclo,InicioCiclo,$S39+MOD(2-WEEKDAY($S39),7))+20),1,IF(ISNUMBER($K39),$K39,$Z39)))</f>
        <v/>
      </c>
      <c r="AB39" s="62">
        <f>IF($V39="","",IF(AND(ISNUMBER($G39),$G39&lt;=IF($S39=MesCiclo,InicioCiclo,$S39+MOD(2-WEEKDAY($S39),7))+27),1,IF(ISNUMBER($L39),$L39,$AA39)))</f>
        <v/>
      </c>
      <c r="AC39" s="62">
        <f>IF($V39="","",IF(AND(ISNUMBER($G39),$G39&lt;=IF($S39=MesCiclo,InicioCiclo,$S39+MOD(2-WEEKDAY($S39),7))+6),1,IF(N($W39)&gt;0,AVERAGEIFS($Y$5:$Y$1000,$U$5:$U$1000,ROW(),$V$5:$V$1000,"Sub"),$Y39)))</f>
        <v/>
      </c>
      <c r="AD39" s="62">
        <f>IF($V39="","",IF(AND(ISNUMBER($G39),$G39&lt;=IF($S39=MesCiclo,InicioCiclo,$S39+MOD(2-WEEKDAY($S39),7))+13),1,IF(N($W39)&gt;0,AVERAGEIFS($Z$5:$Z$1000,$U$5:$U$1000,ROW(),$V$5:$V$1000,"Sub"),$Z39)))</f>
        <v/>
      </c>
      <c r="AE39" s="62">
        <f>IF($V39="","",IF(AND(ISNUMBER($G39),$G39&lt;=IF($S39=MesCiclo,InicioCiclo,$S39+MOD(2-WEEKDAY($S39),7))+20),1,IF(N($W39)&gt;0,AVERAGEIFS($AA$5:$AA$1000,$U$5:$U$1000,ROW(),$V$5:$V$1000,"Sub"),$AA39)))</f>
        <v/>
      </c>
      <c r="AF39" s="62">
        <f>IF($V39="","",IF(AND(ISNUMBER($G39),$G39&lt;=IF($S39=MesCiclo,InicioCiclo,$S39+MOD(2-WEEKDAY($S39),7))+27),1,IF(N($W39)&gt;0,AVERAGEIFS($AB$5:$AB$1000,$U$5:$U$1000,ROW(),$V$5:$V$1000,"Sub"),$AB39)))</f>
        <v/>
      </c>
      <c r="AG39" s="62">
        <f>IF($V39&lt;&gt;"Macro","",IF(COUNTIFS($S$5:$S$1000,$S39,$V$5:$V$1000,"Macro",$H$5:$H$1000,"&gt;0")=0,1/COUNTIFS($S$5:$S$1000,$S39,$V$5:$V$1000,"Macro"),IF(AND(ISNUMBER($H39),N($H39)&gt;0),$H39,SUMIFS($H$5:$H$1000,$S$5:$S$1000,$S39,$V$5:$V$1000,"Macro")/COUNTIFS($S$5:$S$1000,$S39,$V$5:$V$1000,"Macro",$H$5:$H$1000,"&gt;0"))/(COUNTIFS($S$5:$S$1000,$S39,$V$5:$V$1000,"Macro")*SUMIFS($H$5:$H$1000,$S$5:$S$1000,$S39,$V$5:$V$1000,"Macro")/COUNTIFS($S$5:$S$1000,$S39,$V$5:$V$1000,"Macro",$H$5:$H$1000,"&gt;0"))))</f>
        <v/>
      </c>
      <c r="AH39" s="62">
        <f>IF(NOT(AND($D39&lt;&gt;"",$V39="Macro")),"",IFERROR(CHOOSE(MATCH($D39,ListaPuestos,0),MATCH("[Jefatura] "&amp;$C39,'Cronograma R. Operacional'!$C$5:$C$1000,0),MATCH("[Jefatura] "&amp;$C39,'Cronograma R. Normativo'!$C$5:$C$1000,0),MATCH("[Jefatura] "&amp;$C39,'Cronograma R. Financiero'!$C$5:$C$1000,0),MATCH("[Jefatura] "&amp;$C39,'Cronograma Asistente Técnico'!$C$5:$C$1000,0)),0))</f>
        <v/>
      </c>
      <c r="AI39" s="62">
        <f>IF(AND(AND($D39&lt;&gt;"",$V39="Macro"),$S39=MesCiclo),COUNTIFS($D$5:$D39,$D39,$S$5:$S39,MesCiclo,$V$5:$V39,"Macro"),"")</f>
        <v/>
      </c>
      <c r="AJ39" s="62">
        <f>IF($AI39="","",$D39&amp;"|"&amp;$AI39)</f>
        <v/>
      </c>
      <c r="AK39" s="62">
        <f>IF(AND($D39&lt;&gt;"",$V39="Macro"),$D39&amp;"|"&amp;$C39,"")</f>
        <v/>
      </c>
      <c r="AL39" s="62">
        <f>""</f>
        <v/>
      </c>
      <c r="AM39" s="62">
        <f>IF(N($AL39)&gt;0,INDEX(rIni_ADM,$AL39),IF(ISNUMBER($E39),$E39,""))</f>
        <v/>
      </c>
      <c r="AN39" s="62">
        <f>IF(N($AL39)&gt;0,INDEX(rLim_ADM,$AL39),IF(ISNUMBER($F39),$F39,""))</f>
        <v/>
      </c>
    </row>
    <row r="40">
      <c r="A40" s="56">
        <f>IF(NOT((COUNTA($B40:$D40)+COUNTA($G40:$L40)+COUNTA($Q40))&gt;0),"",IF($V40="Macro",COUNTIFS($V$5:$V40,"Macro",$S$5:$S40,$S40),IF(N($U40)=0,"?",COUNTIFS(INDEX($V$5:$V$1000,1):INDEX($V$5:$V$1000,$U40-4),"Macro",INDEX($S$5:$S$1000,1):INDEX($S$5:$S$1000,$U40-4),INDEX($S$5:$S$1000,$U40-4))&amp;"."&amp;COUNTIFS($U$5:$U40,$U40,$V$5:$V40,"Sub"))))</f>
        <v/>
      </c>
      <c r="B40" s="57" t="n"/>
      <c r="C40" s="58" t="n"/>
      <c r="D40" s="58" t="n"/>
      <c r="E40" s="59" t="n"/>
      <c r="F40" s="59" t="n"/>
      <c r="G40" s="59" t="n"/>
      <c r="H40" s="60" t="n"/>
      <c r="I40" s="60" t="n"/>
      <c r="J40" s="60" t="n"/>
      <c r="K40" s="60" t="n"/>
      <c r="L40" s="60" t="n"/>
      <c r="M40" s="61">
        <f>IF(NOT((COUNTA($B40:$D40)+COUNTA($G40:$L40)+COUNTA($Q40))&gt;0),"",IF(AND($D40&lt;&gt;"",$V40="Macro"),IF(N($AH40)&gt;0,N(CHOOSE(MATCH($D40,ListaPuestos,0),INDEX('Cronograma R. Operacional'!$M$5:$M$1000,$AH40),INDEX('Cronograma R. Normativo'!$M$5:$M$1000,$AH40),INDEX('Cronograma R. Financiero'!$M$5:$M$1000,$AH40),INDEX('Cronograma Asistente Técnico'!$M$5:$M$1000,$AH40))),0),IF(ISNUMBER($G40),1,IF(N($W40)&gt;0,AVERAGEIFS($X$5:$X$1000,$U$5:$U$1000,ROW(),$V$5:$V$1000,"Sub"),$X40))))</f>
        <v/>
      </c>
      <c r="N40" s="56">
        <f>IF($M40="","",IF($M40&gt;=1,"Completado",IF($M40&gt;0,"En curso","Pendiente")))</f>
        <v/>
      </c>
      <c r="O40" s="56">
        <f>IF(NOT((COUNTA($B40:$D40)+COUNTA($G40:$L40)+COUNTA($Q40))&gt;0),"",IF(AND(AND($D40&lt;&gt;"",$V40="Macro"),N($AH40)&gt;0),CHOOSE(MATCH($D40,ListaPuestos,0),INDEX('Cronograma R. Operacional'!$O$5:$O$1000,$AH40),INDEX('Cronograma R. Normativo'!$O$5:$O$1000,$AH40),INDEX('Cronograma R. Financiero'!$O$5:$O$1000,$AH40),INDEX('Cronograma Asistente Técnico'!$O$5:$O$1000,$AH40))&amp;"",IF(ISNUMBER($G40),IF(AND(ISNUMBER($AN40),$G40&gt;$AN40),"Cumplida con "&amp;($G40-$AN40)&amp;IF($G40-$AN40=1," día"," días")&amp;" de retraso","Cumplida"),IF(N($M40)&gt;=1,"Cumplida",IF(NOT(ISNUMBER($AN40)),"Sin fecha límite",IF($AN40&lt;FechaRef,"Vencida hace "&amp;(FechaRef-$AN40)&amp;IF(FechaRef-$AN40=1," día"," días"),IF($AN40=FechaRef,"Vence hoy",IF($AN40-FechaRef&lt;=DiasAlerta,"Vence en "&amp;($AN40-FechaRef)&amp;IF($AN40-FechaRef=1," día"," días"),"En plazo"))))))))</f>
        <v/>
      </c>
      <c r="P40" s="62">
        <f>IF(NOT((COUNTA($B40:$D40)+COUNTA($G40:$L40)+COUNTA($Q40))&gt;0),"",IF($D40="","Propia",IF($V40&lt;&gt;"Macro","Solo se delegan macroactividades",IF(N($AH40)&gt;0,"✔ Recibida por "&amp;$D40,"⚠ "&amp;$D40&amp;" aún no la agrega"))))</f>
        <v/>
      </c>
      <c r="Q40" s="58" t="n"/>
      <c r="R40" s="63">
        <f>IF(NOT((COUNTA($B40:$D40)+COUNTA($G40:$L40)+COUNTA($Q40))&gt;0),"",IF((IF($C40="","Falta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",""))="","✔ OK","⚠ "&amp;LEFT(IF($C40="","Falta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",""),LEN(IF($C40="","Falta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",""))-3)))</f>
        <v/>
      </c>
      <c r="S40" s="64">
        <f>IF(NOT((COUNTA($B40:$D40)+COUNTA($G40:$L40)+COUNTA($Q40))&gt;0),"",IF(AND($V40="Sub",N($U40)&gt;0),IF(ISNUMBER(INDEX($AM$5:$AM$1000,$U40-4)),DATE(YEAR(INDEX($AM$5:$AM$1000,$U40-4)),MONTH(INDEX($AM$5:$AM$1000,$U40-4)),1),IF(ISNUMBER(INDEX($AN$5:$AN$1000,$U40-4)),DATE(YEAR(INDEX($AN$5:$AN$1000,$U40-4)),MONTH(INDEX($AN$5:$AN$1000,$U40-4)),1),MesCiclo)),IF(ISNUMBER($AM40),DATE(YEAR($AM40),MONTH($AM40),1),IF(ISNUMBER($AN40),DATE(YEAR($AN40),MONTH($AN40),1),MesCiclo))))</f>
        <v/>
      </c>
      <c r="T40" s="62">
        <f>IF(OR($S40="",$S40&lt;&gt;MesCiclo),"",COUNTIF($S$5:$S40,MesCiclo))</f>
        <v/>
      </c>
      <c r="U40" s="62">
        <f>IF($V40="","",IF($V40="Macro",ROW(),IFERROR(LOOKUP(2,1/($V$5:$V40="Macro"),ROW($V$5:$V40)),0)))</f>
        <v/>
      </c>
      <c r="V40" s="62">
        <f>IF(NOT((COUNTA($B40:$D40)+COUNTA($G40:$L40)+COUNTA($Q40))&gt;0),"",IF($B40="Subactividad","Sub","Macro"))</f>
        <v/>
      </c>
      <c r="W40" s="62">
        <f>IF($V40="Macro",COUNTIFS($U$5:$U$1000,ROW(),$V$5:$V$1000,"Sub"),"")</f>
        <v/>
      </c>
      <c r="X40" s="62">
        <f>IF($V40="","",IF(ISNUMBER($G40),1,IFERROR(LOOKUP(2,1/($I40:$L40&lt;&gt;""),$I40:$L40),0)))</f>
        <v/>
      </c>
      <c r="Y40" s="62">
        <f>IF($V40="","",IF(AND(ISNUMBER($G40),$G40&lt;=IF($S40=MesCiclo,InicioCiclo,$S40+MOD(2-WEEKDAY($S40),7))+6),1,IF(ISNUMBER($I40),$I40,0)))</f>
        <v/>
      </c>
      <c r="Z40" s="62">
        <f>IF($V40="","",IF(AND(ISNUMBER($G40),$G40&lt;=IF($S40=MesCiclo,InicioCiclo,$S40+MOD(2-WEEKDAY($S40),7))+13),1,IF(ISNUMBER($J40),$J40,$Y40)))</f>
        <v/>
      </c>
      <c r="AA40" s="62">
        <f>IF($V40="","",IF(AND(ISNUMBER($G40),$G40&lt;=IF($S40=MesCiclo,InicioCiclo,$S40+MOD(2-WEEKDAY($S40),7))+20),1,IF(ISNUMBER($K40),$K40,$Z40)))</f>
        <v/>
      </c>
      <c r="AB40" s="62">
        <f>IF($V40="","",IF(AND(ISNUMBER($G40),$G40&lt;=IF($S40=MesCiclo,InicioCiclo,$S40+MOD(2-WEEKDAY($S40),7))+27),1,IF(ISNUMBER($L40),$L40,$AA40)))</f>
        <v/>
      </c>
      <c r="AC40" s="62">
        <f>IF($V40="","",IF(AND(ISNUMBER($G40),$G40&lt;=IF($S40=MesCiclo,InicioCiclo,$S40+MOD(2-WEEKDAY($S40),7))+6),1,IF(N($W40)&gt;0,AVERAGEIFS($Y$5:$Y$1000,$U$5:$U$1000,ROW(),$V$5:$V$1000,"Sub"),$Y40)))</f>
        <v/>
      </c>
      <c r="AD40" s="62">
        <f>IF($V40="","",IF(AND(ISNUMBER($G40),$G40&lt;=IF($S40=MesCiclo,InicioCiclo,$S40+MOD(2-WEEKDAY($S40),7))+13),1,IF(N($W40)&gt;0,AVERAGEIFS($Z$5:$Z$1000,$U$5:$U$1000,ROW(),$V$5:$V$1000,"Sub"),$Z40)))</f>
        <v/>
      </c>
      <c r="AE40" s="62">
        <f>IF($V40="","",IF(AND(ISNUMBER($G40),$G40&lt;=IF($S40=MesCiclo,InicioCiclo,$S40+MOD(2-WEEKDAY($S40),7))+20),1,IF(N($W40)&gt;0,AVERAGEIFS($AA$5:$AA$1000,$U$5:$U$1000,ROW(),$V$5:$V$1000,"Sub"),$AA40)))</f>
        <v/>
      </c>
      <c r="AF40" s="62">
        <f>IF($V40="","",IF(AND(ISNUMBER($G40),$G40&lt;=IF($S40=MesCiclo,InicioCiclo,$S40+MOD(2-WEEKDAY($S40),7))+27),1,IF(N($W40)&gt;0,AVERAGEIFS($AB$5:$AB$1000,$U$5:$U$1000,ROW(),$V$5:$V$1000,"Sub"),$AB40)))</f>
        <v/>
      </c>
      <c r="AG40" s="62">
        <f>IF($V40&lt;&gt;"Macro","",IF(COUNTIFS($S$5:$S$1000,$S40,$V$5:$V$1000,"Macro",$H$5:$H$1000,"&gt;0")=0,1/COUNTIFS($S$5:$S$1000,$S40,$V$5:$V$1000,"Macro"),IF(AND(ISNUMBER($H40),N($H40)&gt;0),$H40,SUMIFS($H$5:$H$1000,$S$5:$S$1000,$S40,$V$5:$V$1000,"Macro")/COUNTIFS($S$5:$S$1000,$S40,$V$5:$V$1000,"Macro",$H$5:$H$1000,"&gt;0"))/(COUNTIFS($S$5:$S$1000,$S40,$V$5:$V$1000,"Macro")*SUMIFS($H$5:$H$1000,$S$5:$S$1000,$S40,$V$5:$V$1000,"Macro")/COUNTIFS($S$5:$S$1000,$S40,$V$5:$V$1000,"Macro",$H$5:$H$1000,"&gt;0"))))</f>
        <v/>
      </c>
      <c r="AH40" s="62">
        <f>IF(NOT(AND($D40&lt;&gt;"",$V40="Macro")),"",IFERROR(CHOOSE(MATCH($D40,ListaPuestos,0),MATCH("[Jefatura] "&amp;$C40,'Cronograma R. Operacional'!$C$5:$C$1000,0),MATCH("[Jefatura] "&amp;$C40,'Cronograma R. Normativo'!$C$5:$C$1000,0),MATCH("[Jefatura] "&amp;$C40,'Cronograma R. Financiero'!$C$5:$C$1000,0),MATCH("[Jefatura] "&amp;$C40,'Cronograma Asistente Técnico'!$C$5:$C$1000,0)),0))</f>
        <v/>
      </c>
      <c r="AI40" s="62">
        <f>IF(AND(AND($D40&lt;&gt;"",$V40="Macro"),$S40=MesCiclo),COUNTIFS($D$5:$D40,$D40,$S$5:$S40,MesCiclo,$V$5:$V40,"Macro"),"")</f>
        <v/>
      </c>
      <c r="AJ40" s="62">
        <f>IF($AI40="","",$D40&amp;"|"&amp;$AI40)</f>
        <v/>
      </c>
      <c r="AK40" s="62">
        <f>IF(AND($D40&lt;&gt;"",$V40="Macro"),$D40&amp;"|"&amp;$C40,"")</f>
        <v/>
      </c>
      <c r="AL40" s="62">
        <f>""</f>
        <v/>
      </c>
      <c r="AM40" s="62">
        <f>IF(N($AL40)&gt;0,INDEX(rIni_ADM,$AL40),IF(ISNUMBER($E40),$E40,""))</f>
        <v/>
      </c>
      <c r="AN40" s="62">
        <f>IF(N($AL40)&gt;0,INDEX(rLim_ADM,$AL40),IF(ISNUMBER($F40),$F40,""))</f>
        <v/>
      </c>
    </row>
    <row r="41">
      <c r="A41" s="56">
        <f>IF(NOT((COUNTA($B41:$D41)+COUNTA($G41:$L41)+COUNTA($Q41))&gt;0),"",IF($V41="Macro",COUNTIFS($V$5:$V41,"Macro",$S$5:$S41,$S41),IF(N($U41)=0,"?",COUNTIFS(INDEX($V$5:$V$1000,1):INDEX($V$5:$V$1000,$U41-4),"Macro",INDEX($S$5:$S$1000,1):INDEX($S$5:$S$1000,$U41-4),INDEX($S$5:$S$1000,$U41-4))&amp;"."&amp;COUNTIFS($U$5:$U41,$U41,$V$5:$V41,"Sub"))))</f>
        <v/>
      </c>
      <c r="B41" s="57" t="n"/>
      <c r="C41" s="58" t="n"/>
      <c r="D41" s="58" t="n"/>
      <c r="E41" s="59" t="n"/>
      <c r="F41" s="59" t="n"/>
      <c r="G41" s="59" t="n"/>
      <c r="H41" s="60" t="n"/>
      <c r="I41" s="60" t="n"/>
      <c r="J41" s="60" t="n"/>
      <c r="K41" s="60" t="n"/>
      <c r="L41" s="60" t="n"/>
      <c r="M41" s="61">
        <f>IF(NOT((COUNTA($B41:$D41)+COUNTA($G41:$L41)+COUNTA($Q41))&gt;0),"",IF(AND($D41&lt;&gt;"",$V41="Macro"),IF(N($AH41)&gt;0,N(CHOOSE(MATCH($D41,ListaPuestos,0),INDEX('Cronograma R. Operacional'!$M$5:$M$1000,$AH41),INDEX('Cronograma R. Normativo'!$M$5:$M$1000,$AH41),INDEX('Cronograma R. Financiero'!$M$5:$M$1000,$AH41),INDEX('Cronograma Asistente Técnico'!$M$5:$M$1000,$AH41))),0),IF(ISNUMBER($G41),1,IF(N($W41)&gt;0,AVERAGEIFS($X$5:$X$1000,$U$5:$U$1000,ROW(),$V$5:$V$1000,"Sub"),$X41))))</f>
        <v/>
      </c>
      <c r="N41" s="56">
        <f>IF($M41="","",IF($M41&gt;=1,"Completado",IF($M41&gt;0,"En curso","Pendiente")))</f>
        <v/>
      </c>
      <c r="O41" s="56">
        <f>IF(NOT((COUNTA($B41:$D41)+COUNTA($G41:$L41)+COUNTA($Q41))&gt;0),"",IF(AND(AND($D41&lt;&gt;"",$V41="Macro"),N($AH41)&gt;0),CHOOSE(MATCH($D41,ListaPuestos,0),INDEX('Cronograma R. Operacional'!$O$5:$O$1000,$AH41),INDEX('Cronograma R. Normativo'!$O$5:$O$1000,$AH41),INDEX('Cronograma R. Financiero'!$O$5:$O$1000,$AH41),INDEX('Cronograma Asistente Técnico'!$O$5:$O$1000,$AH41))&amp;"",IF(ISNUMBER($G41),IF(AND(ISNUMBER($AN41),$G41&gt;$AN41),"Cumplida con "&amp;($G41-$AN41)&amp;IF($G41-$AN41=1," día"," días")&amp;" de retraso","Cumplida"),IF(N($M41)&gt;=1,"Cumplida",IF(NOT(ISNUMBER($AN41)),"Sin fecha límite",IF($AN41&lt;FechaRef,"Vencida hace "&amp;(FechaRef-$AN41)&amp;IF(FechaRef-$AN41=1," día"," días"),IF($AN41=FechaRef,"Vence hoy",IF($AN41-FechaRef&lt;=DiasAlerta,"Vence en "&amp;($AN41-FechaRef)&amp;IF($AN41-FechaRef=1," día"," días"),"En plazo"))))))))</f>
        <v/>
      </c>
      <c r="P41" s="62">
        <f>IF(NOT((COUNTA($B41:$D41)+COUNTA($G41:$L41)+COUNTA($Q41))&gt;0),"",IF($D41="","Propia",IF($V41&lt;&gt;"Macro","Solo se delegan macroactividades",IF(N($AH41)&gt;0,"✔ Recibida por "&amp;$D41,"⚠ "&amp;$D41&amp;" aún no la agrega"))))</f>
        <v/>
      </c>
      <c r="Q41" s="58" t="n"/>
      <c r="R41" s="63">
        <f>IF(NOT((COUNTA($B41:$D41)+COUNTA($G41:$L41)+COUNTA($Q41))&gt;0),"",IF((IF($C41="","Falta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",""))="","✔ OK","⚠ "&amp;LEFT(IF($C41="","Falta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",""),LEN(IF($C41="","Falta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",""))-3)))</f>
        <v/>
      </c>
      <c r="S41" s="64">
        <f>IF(NOT((COUNTA($B41:$D41)+COUNTA($G41:$L41)+COUNTA($Q41))&gt;0),"",IF(AND($V41="Sub",N($U41)&gt;0),IF(ISNUMBER(INDEX($AM$5:$AM$1000,$U41-4)),DATE(YEAR(INDEX($AM$5:$AM$1000,$U41-4)),MONTH(INDEX($AM$5:$AM$1000,$U41-4)),1),IF(ISNUMBER(INDEX($AN$5:$AN$1000,$U41-4)),DATE(YEAR(INDEX($AN$5:$AN$1000,$U41-4)),MONTH(INDEX($AN$5:$AN$1000,$U41-4)),1),MesCiclo)),IF(ISNUMBER($AM41),DATE(YEAR($AM41),MONTH($AM41),1),IF(ISNUMBER($AN41),DATE(YEAR($AN41),MONTH($AN41),1),MesCiclo))))</f>
        <v/>
      </c>
      <c r="T41" s="62">
        <f>IF(OR($S41="",$S41&lt;&gt;MesCiclo),"",COUNTIF($S$5:$S41,MesCiclo))</f>
        <v/>
      </c>
      <c r="U41" s="62">
        <f>IF($V41="","",IF($V41="Macro",ROW(),IFERROR(LOOKUP(2,1/($V$5:$V41="Macro"),ROW($V$5:$V41)),0)))</f>
        <v/>
      </c>
      <c r="V41" s="62">
        <f>IF(NOT((COUNTA($B41:$D41)+COUNTA($G41:$L41)+COUNTA($Q41))&gt;0),"",IF($B41="Subactividad","Sub","Macro"))</f>
        <v/>
      </c>
      <c r="W41" s="62">
        <f>IF($V41="Macro",COUNTIFS($U$5:$U$1000,ROW(),$V$5:$V$1000,"Sub"),"")</f>
        <v/>
      </c>
      <c r="X41" s="62">
        <f>IF($V41="","",IF(ISNUMBER($G41),1,IFERROR(LOOKUP(2,1/($I41:$L41&lt;&gt;""),$I41:$L41),0)))</f>
        <v/>
      </c>
      <c r="Y41" s="62">
        <f>IF($V41="","",IF(AND(ISNUMBER($G41),$G41&lt;=IF($S41=MesCiclo,InicioCiclo,$S41+MOD(2-WEEKDAY($S41),7))+6),1,IF(ISNUMBER($I41),$I41,0)))</f>
        <v/>
      </c>
      <c r="Z41" s="62">
        <f>IF($V41="","",IF(AND(ISNUMBER($G41),$G41&lt;=IF($S41=MesCiclo,InicioCiclo,$S41+MOD(2-WEEKDAY($S41),7))+13),1,IF(ISNUMBER($J41),$J41,$Y41)))</f>
        <v/>
      </c>
      <c r="AA41" s="62">
        <f>IF($V41="","",IF(AND(ISNUMBER($G41),$G41&lt;=IF($S41=MesCiclo,InicioCiclo,$S41+MOD(2-WEEKDAY($S41),7))+20),1,IF(ISNUMBER($K41),$K41,$Z41)))</f>
        <v/>
      </c>
      <c r="AB41" s="62">
        <f>IF($V41="","",IF(AND(ISNUMBER($G41),$G41&lt;=IF($S41=MesCiclo,InicioCiclo,$S41+MOD(2-WEEKDAY($S41),7))+27),1,IF(ISNUMBER($L41),$L41,$AA41)))</f>
        <v/>
      </c>
      <c r="AC41" s="62">
        <f>IF($V41="","",IF(AND(ISNUMBER($G41),$G41&lt;=IF($S41=MesCiclo,InicioCiclo,$S41+MOD(2-WEEKDAY($S41),7))+6),1,IF(N($W41)&gt;0,AVERAGEIFS($Y$5:$Y$1000,$U$5:$U$1000,ROW(),$V$5:$V$1000,"Sub"),$Y41)))</f>
        <v/>
      </c>
      <c r="AD41" s="62">
        <f>IF($V41="","",IF(AND(ISNUMBER($G41),$G41&lt;=IF($S41=MesCiclo,InicioCiclo,$S41+MOD(2-WEEKDAY($S41),7))+13),1,IF(N($W41)&gt;0,AVERAGEIFS($Z$5:$Z$1000,$U$5:$U$1000,ROW(),$V$5:$V$1000,"Sub"),$Z41)))</f>
        <v/>
      </c>
      <c r="AE41" s="62">
        <f>IF($V41="","",IF(AND(ISNUMBER($G41),$G41&lt;=IF($S41=MesCiclo,InicioCiclo,$S41+MOD(2-WEEKDAY($S41),7))+20),1,IF(N($W41)&gt;0,AVERAGEIFS($AA$5:$AA$1000,$U$5:$U$1000,ROW(),$V$5:$V$1000,"Sub"),$AA41)))</f>
        <v/>
      </c>
      <c r="AF41" s="62">
        <f>IF($V41="","",IF(AND(ISNUMBER($G41),$G41&lt;=IF($S41=MesCiclo,InicioCiclo,$S41+MOD(2-WEEKDAY($S41),7))+27),1,IF(N($W41)&gt;0,AVERAGEIFS($AB$5:$AB$1000,$U$5:$U$1000,ROW(),$V$5:$V$1000,"Sub"),$AB41)))</f>
        <v/>
      </c>
      <c r="AG41" s="62">
        <f>IF($V41&lt;&gt;"Macro","",IF(COUNTIFS($S$5:$S$1000,$S41,$V$5:$V$1000,"Macro",$H$5:$H$1000,"&gt;0")=0,1/COUNTIFS($S$5:$S$1000,$S41,$V$5:$V$1000,"Macro"),IF(AND(ISNUMBER($H41),N($H41)&gt;0),$H41,SUMIFS($H$5:$H$1000,$S$5:$S$1000,$S41,$V$5:$V$1000,"Macro")/COUNTIFS($S$5:$S$1000,$S41,$V$5:$V$1000,"Macro",$H$5:$H$1000,"&gt;0"))/(COUNTIFS($S$5:$S$1000,$S41,$V$5:$V$1000,"Macro")*SUMIFS($H$5:$H$1000,$S$5:$S$1000,$S41,$V$5:$V$1000,"Macro")/COUNTIFS($S$5:$S$1000,$S41,$V$5:$V$1000,"Macro",$H$5:$H$1000,"&gt;0"))))</f>
        <v/>
      </c>
      <c r="AH41" s="62">
        <f>IF(NOT(AND($D41&lt;&gt;"",$V41="Macro")),"",IFERROR(CHOOSE(MATCH($D41,ListaPuestos,0),MATCH("[Jefatura] "&amp;$C41,'Cronograma R. Operacional'!$C$5:$C$1000,0),MATCH("[Jefatura] "&amp;$C41,'Cronograma R. Normativo'!$C$5:$C$1000,0),MATCH("[Jefatura] "&amp;$C41,'Cronograma R. Financiero'!$C$5:$C$1000,0),MATCH("[Jefatura] "&amp;$C41,'Cronograma Asistente Técnico'!$C$5:$C$1000,0)),0))</f>
        <v/>
      </c>
      <c r="AI41" s="62">
        <f>IF(AND(AND($D41&lt;&gt;"",$V41="Macro"),$S41=MesCiclo),COUNTIFS($D$5:$D41,$D41,$S$5:$S41,MesCiclo,$V$5:$V41,"Macro"),"")</f>
        <v/>
      </c>
      <c r="AJ41" s="62">
        <f>IF($AI41="","",$D41&amp;"|"&amp;$AI41)</f>
        <v/>
      </c>
      <c r="AK41" s="62">
        <f>IF(AND($D41&lt;&gt;"",$V41="Macro"),$D41&amp;"|"&amp;$C41,"")</f>
        <v/>
      </c>
      <c r="AL41" s="62">
        <f>""</f>
        <v/>
      </c>
      <c r="AM41" s="62">
        <f>IF(N($AL41)&gt;0,INDEX(rIni_ADM,$AL41),IF(ISNUMBER($E41),$E41,""))</f>
        <v/>
      </c>
      <c r="AN41" s="62">
        <f>IF(N($AL41)&gt;0,INDEX(rLim_ADM,$AL41),IF(ISNUMBER($F41),$F41,""))</f>
        <v/>
      </c>
    </row>
    <row r="42">
      <c r="A42" s="56">
        <f>IF(NOT((COUNTA($B42:$D42)+COUNTA($G42:$L42)+COUNTA($Q42))&gt;0),"",IF($V42="Macro",COUNTIFS($V$5:$V42,"Macro",$S$5:$S42,$S42),IF(N($U42)=0,"?",COUNTIFS(INDEX($V$5:$V$1000,1):INDEX($V$5:$V$1000,$U42-4),"Macro",INDEX($S$5:$S$1000,1):INDEX($S$5:$S$1000,$U42-4),INDEX($S$5:$S$1000,$U42-4))&amp;"."&amp;COUNTIFS($U$5:$U42,$U42,$V$5:$V42,"Sub"))))</f>
        <v/>
      </c>
      <c r="B42" s="57" t="n"/>
      <c r="C42" s="58" t="n"/>
      <c r="D42" s="58" t="n"/>
      <c r="E42" s="59" t="n"/>
      <c r="F42" s="59" t="n"/>
      <c r="G42" s="59" t="n"/>
      <c r="H42" s="60" t="n"/>
      <c r="I42" s="60" t="n"/>
      <c r="J42" s="60" t="n"/>
      <c r="K42" s="60" t="n"/>
      <c r="L42" s="60" t="n"/>
      <c r="M42" s="61">
        <f>IF(NOT((COUNTA($B42:$D42)+COUNTA($G42:$L42)+COUNTA($Q42))&gt;0),"",IF(AND($D42&lt;&gt;"",$V42="Macro"),IF(N($AH42)&gt;0,N(CHOOSE(MATCH($D42,ListaPuestos,0),INDEX('Cronograma R. Operacional'!$M$5:$M$1000,$AH42),INDEX('Cronograma R. Normativo'!$M$5:$M$1000,$AH42),INDEX('Cronograma R. Financiero'!$M$5:$M$1000,$AH42),INDEX('Cronograma Asistente Técnico'!$M$5:$M$1000,$AH42))),0),IF(ISNUMBER($G42),1,IF(N($W42)&gt;0,AVERAGEIFS($X$5:$X$1000,$U$5:$U$1000,ROW(),$V$5:$V$1000,"Sub"),$X42))))</f>
        <v/>
      </c>
      <c r="N42" s="56">
        <f>IF($M42="","",IF($M42&gt;=1,"Completado",IF($M42&gt;0,"En curso","Pendiente")))</f>
        <v/>
      </c>
      <c r="O42" s="56">
        <f>IF(NOT((COUNTA($B42:$D42)+COUNTA($G42:$L42)+COUNTA($Q42))&gt;0),"",IF(AND(AND($D42&lt;&gt;"",$V42="Macro"),N($AH42)&gt;0),CHOOSE(MATCH($D42,ListaPuestos,0),INDEX('Cronograma R. Operacional'!$O$5:$O$1000,$AH42),INDEX('Cronograma R. Normativo'!$O$5:$O$1000,$AH42),INDEX('Cronograma R. Financiero'!$O$5:$O$1000,$AH42),INDEX('Cronograma Asistente Técnico'!$O$5:$O$1000,$AH42))&amp;"",IF(ISNUMBER($G42),IF(AND(ISNUMBER($AN42),$G42&gt;$AN42),"Cumplida con "&amp;($G42-$AN42)&amp;IF($G42-$AN42=1," día"," días")&amp;" de retraso","Cumplida"),IF(N($M42)&gt;=1,"Cumplida",IF(NOT(ISNUMBER($AN42)),"Sin fecha límite",IF($AN42&lt;FechaRef,"Vencida hace "&amp;(FechaRef-$AN42)&amp;IF(FechaRef-$AN42=1," día"," días"),IF($AN42=FechaRef,"Vence hoy",IF($AN42-FechaRef&lt;=DiasAlerta,"Vence en "&amp;($AN42-FechaRef)&amp;IF($AN42-FechaRef=1," día"," días"),"En plazo"))))))))</f>
        <v/>
      </c>
      <c r="P42" s="62">
        <f>IF(NOT((COUNTA($B42:$D42)+COUNTA($G42:$L42)+COUNTA($Q42))&gt;0),"",IF($D42="","Propia",IF($V42&lt;&gt;"Macro","Solo se delegan macroactividades",IF(N($AH42)&gt;0,"✔ Recibida por "&amp;$D42,"⚠ "&amp;$D42&amp;" aún no la agrega"))))</f>
        <v/>
      </c>
      <c r="Q42" s="58" t="n"/>
      <c r="R42" s="63">
        <f>IF(NOT((COUNTA($B42:$D42)+COUNTA($G42:$L42)+COUNTA($Q42))&gt;0),"",IF((IF($C42="","Falta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",""))="","✔ OK","⚠ "&amp;LEFT(IF($C42="","Falta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",""),LEN(IF($C42="","Falta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",""))-3)))</f>
        <v/>
      </c>
      <c r="S42" s="64">
        <f>IF(NOT((COUNTA($B42:$D42)+COUNTA($G42:$L42)+COUNTA($Q42))&gt;0),"",IF(AND($V42="Sub",N($U42)&gt;0),IF(ISNUMBER(INDEX($AM$5:$AM$1000,$U42-4)),DATE(YEAR(INDEX($AM$5:$AM$1000,$U42-4)),MONTH(INDEX($AM$5:$AM$1000,$U42-4)),1),IF(ISNUMBER(INDEX($AN$5:$AN$1000,$U42-4)),DATE(YEAR(INDEX($AN$5:$AN$1000,$U42-4)),MONTH(INDEX($AN$5:$AN$1000,$U42-4)),1),MesCiclo)),IF(ISNUMBER($AM42),DATE(YEAR($AM42),MONTH($AM42),1),IF(ISNUMBER($AN42),DATE(YEAR($AN42),MONTH($AN42),1),MesCiclo))))</f>
        <v/>
      </c>
      <c r="T42" s="62">
        <f>IF(OR($S42="",$S42&lt;&gt;MesCiclo),"",COUNTIF($S$5:$S42,MesCiclo))</f>
        <v/>
      </c>
      <c r="U42" s="62">
        <f>IF($V42="","",IF($V42="Macro",ROW(),IFERROR(LOOKUP(2,1/($V$5:$V42="Macro"),ROW($V$5:$V42)),0)))</f>
        <v/>
      </c>
      <c r="V42" s="62">
        <f>IF(NOT((COUNTA($B42:$D42)+COUNTA($G42:$L42)+COUNTA($Q42))&gt;0),"",IF($B42="Subactividad","Sub","Macro"))</f>
        <v/>
      </c>
      <c r="W42" s="62">
        <f>IF($V42="Macro",COUNTIFS($U$5:$U$1000,ROW(),$V$5:$V$1000,"Sub"),"")</f>
        <v/>
      </c>
      <c r="X42" s="62">
        <f>IF($V42="","",IF(ISNUMBER($G42),1,IFERROR(LOOKUP(2,1/($I42:$L42&lt;&gt;""),$I42:$L42),0)))</f>
        <v/>
      </c>
      <c r="Y42" s="62">
        <f>IF($V42="","",IF(AND(ISNUMBER($G42),$G42&lt;=IF($S42=MesCiclo,InicioCiclo,$S42+MOD(2-WEEKDAY($S42),7))+6),1,IF(ISNUMBER($I42),$I42,0)))</f>
        <v/>
      </c>
      <c r="Z42" s="62">
        <f>IF($V42="","",IF(AND(ISNUMBER($G42),$G42&lt;=IF($S42=MesCiclo,InicioCiclo,$S42+MOD(2-WEEKDAY($S42),7))+13),1,IF(ISNUMBER($J42),$J42,$Y42)))</f>
        <v/>
      </c>
      <c r="AA42" s="62">
        <f>IF($V42="","",IF(AND(ISNUMBER($G42),$G42&lt;=IF($S42=MesCiclo,InicioCiclo,$S42+MOD(2-WEEKDAY($S42),7))+20),1,IF(ISNUMBER($K42),$K42,$Z42)))</f>
        <v/>
      </c>
      <c r="AB42" s="62">
        <f>IF($V42="","",IF(AND(ISNUMBER($G42),$G42&lt;=IF($S42=MesCiclo,InicioCiclo,$S42+MOD(2-WEEKDAY($S42),7))+27),1,IF(ISNUMBER($L42),$L42,$AA42)))</f>
        <v/>
      </c>
      <c r="AC42" s="62">
        <f>IF($V42="","",IF(AND(ISNUMBER($G42),$G42&lt;=IF($S42=MesCiclo,InicioCiclo,$S42+MOD(2-WEEKDAY($S42),7))+6),1,IF(N($W42)&gt;0,AVERAGEIFS($Y$5:$Y$1000,$U$5:$U$1000,ROW(),$V$5:$V$1000,"Sub"),$Y42)))</f>
        <v/>
      </c>
      <c r="AD42" s="62">
        <f>IF($V42="","",IF(AND(ISNUMBER($G42),$G42&lt;=IF($S42=MesCiclo,InicioCiclo,$S42+MOD(2-WEEKDAY($S42),7))+13),1,IF(N($W42)&gt;0,AVERAGEIFS($Z$5:$Z$1000,$U$5:$U$1000,ROW(),$V$5:$V$1000,"Sub"),$Z42)))</f>
        <v/>
      </c>
      <c r="AE42" s="62">
        <f>IF($V42="","",IF(AND(ISNUMBER($G42),$G42&lt;=IF($S42=MesCiclo,InicioCiclo,$S42+MOD(2-WEEKDAY($S42),7))+20),1,IF(N($W42)&gt;0,AVERAGEIFS($AA$5:$AA$1000,$U$5:$U$1000,ROW(),$V$5:$V$1000,"Sub"),$AA42)))</f>
        <v/>
      </c>
      <c r="AF42" s="62">
        <f>IF($V42="","",IF(AND(ISNUMBER($G42),$G42&lt;=IF($S42=MesCiclo,InicioCiclo,$S42+MOD(2-WEEKDAY($S42),7))+27),1,IF(N($W42)&gt;0,AVERAGEIFS($AB$5:$AB$1000,$U$5:$U$1000,ROW(),$V$5:$V$1000,"Sub"),$AB42)))</f>
        <v/>
      </c>
      <c r="AG42" s="62">
        <f>IF($V42&lt;&gt;"Macro","",IF(COUNTIFS($S$5:$S$1000,$S42,$V$5:$V$1000,"Macro",$H$5:$H$1000,"&gt;0")=0,1/COUNTIFS($S$5:$S$1000,$S42,$V$5:$V$1000,"Macro"),IF(AND(ISNUMBER($H42),N($H42)&gt;0),$H42,SUMIFS($H$5:$H$1000,$S$5:$S$1000,$S42,$V$5:$V$1000,"Macro")/COUNTIFS($S$5:$S$1000,$S42,$V$5:$V$1000,"Macro",$H$5:$H$1000,"&gt;0"))/(COUNTIFS($S$5:$S$1000,$S42,$V$5:$V$1000,"Macro")*SUMIFS($H$5:$H$1000,$S$5:$S$1000,$S42,$V$5:$V$1000,"Macro")/COUNTIFS($S$5:$S$1000,$S42,$V$5:$V$1000,"Macro",$H$5:$H$1000,"&gt;0"))))</f>
        <v/>
      </c>
      <c r="AH42" s="62">
        <f>IF(NOT(AND($D42&lt;&gt;"",$V42="Macro")),"",IFERROR(CHOOSE(MATCH($D42,ListaPuestos,0),MATCH("[Jefatura] "&amp;$C42,'Cronograma R. Operacional'!$C$5:$C$1000,0),MATCH("[Jefatura] "&amp;$C42,'Cronograma R. Normativo'!$C$5:$C$1000,0),MATCH("[Jefatura] "&amp;$C42,'Cronograma R. Financiero'!$C$5:$C$1000,0),MATCH("[Jefatura] "&amp;$C42,'Cronograma Asistente Técnico'!$C$5:$C$1000,0)),0))</f>
        <v/>
      </c>
      <c r="AI42" s="62">
        <f>IF(AND(AND($D42&lt;&gt;"",$V42="Macro"),$S42=MesCiclo),COUNTIFS($D$5:$D42,$D42,$S$5:$S42,MesCiclo,$V$5:$V42,"Macro"),"")</f>
        <v/>
      </c>
      <c r="AJ42" s="62">
        <f>IF($AI42="","",$D42&amp;"|"&amp;$AI42)</f>
        <v/>
      </c>
      <c r="AK42" s="62">
        <f>IF(AND($D42&lt;&gt;"",$V42="Macro"),$D42&amp;"|"&amp;$C42,"")</f>
        <v/>
      </c>
      <c r="AL42" s="62">
        <f>""</f>
        <v/>
      </c>
      <c r="AM42" s="62">
        <f>IF(N($AL42)&gt;0,INDEX(rIni_ADM,$AL42),IF(ISNUMBER($E42),$E42,""))</f>
        <v/>
      </c>
      <c r="AN42" s="62">
        <f>IF(N($AL42)&gt;0,INDEX(rLim_ADM,$AL42),IF(ISNUMBER($F42),$F42,""))</f>
        <v/>
      </c>
    </row>
    <row r="43">
      <c r="A43" s="56">
        <f>IF(NOT((COUNTA($B43:$D43)+COUNTA($G43:$L43)+COUNTA($Q43))&gt;0),"",IF($V43="Macro",COUNTIFS($V$5:$V43,"Macro",$S$5:$S43,$S43),IF(N($U43)=0,"?",COUNTIFS(INDEX($V$5:$V$1000,1):INDEX($V$5:$V$1000,$U43-4),"Macro",INDEX($S$5:$S$1000,1):INDEX($S$5:$S$1000,$U43-4),INDEX($S$5:$S$1000,$U43-4))&amp;"."&amp;COUNTIFS($U$5:$U43,$U43,$V$5:$V43,"Sub"))))</f>
        <v/>
      </c>
      <c r="B43" s="57" t="n"/>
      <c r="C43" s="58" t="n"/>
      <c r="D43" s="58" t="n"/>
      <c r="E43" s="59" t="n"/>
      <c r="F43" s="59" t="n"/>
      <c r="G43" s="59" t="n"/>
      <c r="H43" s="60" t="n"/>
      <c r="I43" s="60" t="n"/>
      <c r="J43" s="60" t="n"/>
      <c r="K43" s="60" t="n"/>
      <c r="L43" s="60" t="n"/>
      <c r="M43" s="61">
        <f>IF(NOT((COUNTA($B43:$D43)+COUNTA($G43:$L43)+COUNTA($Q43))&gt;0),"",IF(AND($D43&lt;&gt;"",$V43="Macro"),IF(N($AH43)&gt;0,N(CHOOSE(MATCH($D43,ListaPuestos,0),INDEX('Cronograma R. Operacional'!$M$5:$M$1000,$AH43),INDEX('Cronograma R. Normativo'!$M$5:$M$1000,$AH43),INDEX('Cronograma R. Financiero'!$M$5:$M$1000,$AH43),INDEX('Cronograma Asistente Técnico'!$M$5:$M$1000,$AH43))),0),IF(ISNUMBER($G43),1,IF(N($W43)&gt;0,AVERAGEIFS($X$5:$X$1000,$U$5:$U$1000,ROW(),$V$5:$V$1000,"Sub"),$X43))))</f>
        <v/>
      </c>
      <c r="N43" s="56">
        <f>IF($M43="","",IF($M43&gt;=1,"Completado",IF($M43&gt;0,"En curso","Pendiente")))</f>
        <v/>
      </c>
      <c r="O43" s="56">
        <f>IF(NOT((COUNTA($B43:$D43)+COUNTA($G43:$L43)+COUNTA($Q43))&gt;0),"",IF(AND(AND($D43&lt;&gt;"",$V43="Macro"),N($AH43)&gt;0),CHOOSE(MATCH($D43,ListaPuestos,0),INDEX('Cronograma R. Operacional'!$O$5:$O$1000,$AH43),INDEX('Cronograma R. Normativo'!$O$5:$O$1000,$AH43),INDEX('Cronograma R. Financiero'!$O$5:$O$1000,$AH43),INDEX('Cronograma Asistente Técnico'!$O$5:$O$1000,$AH43))&amp;"",IF(ISNUMBER($G43),IF(AND(ISNUMBER($AN43),$G43&gt;$AN43),"Cumplida con "&amp;($G43-$AN43)&amp;IF($G43-$AN43=1," día"," días")&amp;" de retraso","Cumplida"),IF(N($M43)&gt;=1,"Cumplida",IF(NOT(ISNUMBER($AN43)),"Sin fecha límite",IF($AN43&lt;FechaRef,"Vencida hace "&amp;(FechaRef-$AN43)&amp;IF(FechaRef-$AN43=1," día"," días"),IF($AN43=FechaRef,"Vence hoy",IF($AN43-FechaRef&lt;=DiasAlerta,"Vence en "&amp;($AN43-FechaRef)&amp;IF($AN43-FechaRef=1," día"," días"),"En plazo"))))))))</f>
        <v/>
      </c>
      <c r="P43" s="62">
        <f>IF(NOT((COUNTA($B43:$D43)+COUNTA($G43:$L43)+COUNTA($Q43))&gt;0),"",IF($D43="","Propia",IF($V43&lt;&gt;"Macro","Solo se delegan macroactividades",IF(N($AH43)&gt;0,"✔ Recibida por "&amp;$D43,"⚠ "&amp;$D43&amp;" aún no la agrega"))))</f>
        <v/>
      </c>
      <c r="Q43" s="58" t="n"/>
      <c r="R43" s="63">
        <f>IF(NOT((COUNTA($B43:$D43)+COUNTA($G43:$L43)+COUNTA($Q43))&gt;0),"",IF((IF($C43="","Falta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",""))="","✔ OK","⚠ "&amp;LEFT(IF($C43="","Falta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",""),LEN(IF($C43="","Falta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",""))-3)))</f>
        <v/>
      </c>
      <c r="S43" s="64">
        <f>IF(NOT((COUNTA($B43:$D43)+COUNTA($G43:$L43)+COUNTA($Q43))&gt;0),"",IF(AND($V43="Sub",N($U43)&gt;0),IF(ISNUMBER(INDEX($AM$5:$AM$1000,$U43-4)),DATE(YEAR(INDEX($AM$5:$AM$1000,$U43-4)),MONTH(INDEX($AM$5:$AM$1000,$U43-4)),1),IF(ISNUMBER(INDEX($AN$5:$AN$1000,$U43-4)),DATE(YEAR(INDEX($AN$5:$AN$1000,$U43-4)),MONTH(INDEX($AN$5:$AN$1000,$U43-4)),1),MesCiclo)),IF(ISNUMBER($AM43),DATE(YEAR($AM43),MONTH($AM43),1),IF(ISNUMBER($AN43),DATE(YEAR($AN43),MONTH($AN43),1),MesCiclo))))</f>
        <v/>
      </c>
      <c r="T43" s="62">
        <f>IF(OR($S43="",$S43&lt;&gt;MesCiclo),"",COUNTIF($S$5:$S43,MesCiclo))</f>
        <v/>
      </c>
      <c r="U43" s="62">
        <f>IF($V43="","",IF($V43="Macro",ROW(),IFERROR(LOOKUP(2,1/($V$5:$V43="Macro"),ROW($V$5:$V43)),0)))</f>
        <v/>
      </c>
      <c r="V43" s="62">
        <f>IF(NOT((COUNTA($B43:$D43)+COUNTA($G43:$L43)+COUNTA($Q43))&gt;0),"",IF($B43="Subactividad","Sub","Macro"))</f>
        <v/>
      </c>
      <c r="W43" s="62">
        <f>IF($V43="Macro",COUNTIFS($U$5:$U$1000,ROW(),$V$5:$V$1000,"Sub"),"")</f>
        <v/>
      </c>
      <c r="X43" s="62">
        <f>IF($V43="","",IF(ISNUMBER($G43),1,IFERROR(LOOKUP(2,1/($I43:$L43&lt;&gt;""),$I43:$L43),0)))</f>
        <v/>
      </c>
      <c r="Y43" s="62">
        <f>IF($V43="","",IF(AND(ISNUMBER($G43),$G43&lt;=IF($S43=MesCiclo,InicioCiclo,$S43+MOD(2-WEEKDAY($S43),7))+6),1,IF(ISNUMBER($I43),$I43,0)))</f>
        <v/>
      </c>
      <c r="Z43" s="62">
        <f>IF($V43="","",IF(AND(ISNUMBER($G43),$G43&lt;=IF($S43=MesCiclo,InicioCiclo,$S43+MOD(2-WEEKDAY($S43),7))+13),1,IF(ISNUMBER($J43),$J43,$Y43)))</f>
        <v/>
      </c>
      <c r="AA43" s="62">
        <f>IF($V43="","",IF(AND(ISNUMBER($G43),$G43&lt;=IF($S43=MesCiclo,InicioCiclo,$S43+MOD(2-WEEKDAY($S43),7))+20),1,IF(ISNUMBER($K43),$K43,$Z43)))</f>
        <v/>
      </c>
      <c r="AB43" s="62">
        <f>IF($V43="","",IF(AND(ISNUMBER($G43),$G43&lt;=IF($S43=MesCiclo,InicioCiclo,$S43+MOD(2-WEEKDAY($S43),7))+27),1,IF(ISNUMBER($L43),$L43,$AA43)))</f>
        <v/>
      </c>
      <c r="AC43" s="62">
        <f>IF($V43="","",IF(AND(ISNUMBER($G43),$G43&lt;=IF($S43=MesCiclo,InicioCiclo,$S43+MOD(2-WEEKDAY($S43),7))+6),1,IF(N($W43)&gt;0,AVERAGEIFS($Y$5:$Y$1000,$U$5:$U$1000,ROW(),$V$5:$V$1000,"Sub"),$Y43)))</f>
        <v/>
      </c>
      <c r="AD43" s="62">
        <f>IF($V43="","",IF(AND(ISNUMBER($G43),$G43&lt;=IF($S43=MesCiclo,InicioCiclo,$S43+MOD(2-WEEKDAY($S43),7))+13),1,IF(N($W43)&gt;0,AVERAGEIFS($Z$5:$Z$1000,$U$5:$U$1000,ROW(),$V$5:$V$1000,"Sub"),$Z43)))</f>
        <v/>
      </c>
      <c r="AE43" s="62">
        <f>IF($V43="","",IF(AND(ISNUMBER($G43),$G43&lt;=IF($S43=MesCiclo,InicioCiclo,$S43+MOD(2-WEEKDAY($S43),7))+20),1,IF(N($W43)&gt;0,AVERAGEIFS($AA$5:$AA$1000,$U$5:$U$1000,ROW(),$V$5:$V$1000,"Sub"),$AA43)))</f>
        <v/>
      </c>
      <c r="AF43" s="62">
        <f>IF($V43="","",IF(AND(ISNUMBER($G43),$G43&lt;=IF($S43=MesCiclo,InicioCiclo,$S43+MOD(2-WEEKDAY($S43),7))+27),1,IF(N($W43)&gt;0,AVERAGEIFS($AB$5:$AB$1000,$U$5:$U$1000,ROW(),$V$5:$V$1000,"Sub"),$AB43)))</f>
        <v/>
      </c>
      <c r="AG43" s="62">
        <f>IF($V43&lt;&gt;"Macro","",IF(COUNTIFS($S$5:$S$1000,$S43,$V$5:$V$1000,"Macro",$H$5:$H$1000,"&gt;0")=0,1/COUNTIFS($S$5:$S$1000,$S43,$V$5:$V$1000,"Macro"),IF(AND(ISNUMBER($H43),N($H43)&gt;0),$H43,SUMIFS($H$5:$H$1000,$S$5:$S$1000,$S43,$V$5:$V$1000,"Macro")/COUNTIFS($S$5:$S$1000,$S43,$V$5:$V$1000,"Macro",$H$5:$H$1000,"&gt;0"))/(COUNTIFS($S$5:$S$1000,$S43,$V$5:$V$1000,"Macro")*SUMIFS($H$5:$H$1000,$S$5:$S$1000,$S43,$V$5:$V$1000,"Macro")/COUNTIFS($S$5:$S$1000,$S43,$V$5:$V$1000,"Macro",$H$5:$H$1000,"&gt;0"))))</f>
        <v/>
      </c>
      <c r="AH43" s="62">
        <f>IF(NOT(AND($D43&lt;&gt;"",$V43="Macro")),"",IFERROR(CHOOSE(MATCH($D43,ListaPuestos,0),MATCH("[Jefatura] "&amp;$C43,'Cronograma R. Operacional'!$C$5:$C$1000,0),MATCH("[Jefatura] "&amp;$C43,'Cronograma R. Normativo'!$C$5:$C$1000,0),MATCH("[Jefatura] "&amp;$C43,'Cronograma R. Financiero'!$C$5:$C$1000,0),MATCH("[Jefatura] "&amp;$C43,'Cronograma Asistente Técnico'!$C$5:$C$1000,0)),0))</f>
        <v/>
      </c>
      <c r="AI43" s="62">
        <f>IF(AND(AND($D43&lt;&gt;"",$V43="Macro"),$S43=MesCiclo),COUNTIFS($D$5:$D43,$D43,$S$5:$S43,MesCiclo,$V$5:$V43,"Macro"),"")</f>
        <v/>
      </c>
      <c r="AJ43" s="62">
        <f>IF($AI43="","",$D43&amp;"|"&amp;$AI43)</f>
        <v/>
      </c>
      <c r="AK43" s="62">
        <f>IF(AND($D43&lt;&gt;"",$V43="Macro"),$D43&amp;"|"&amp;$C43,"")</f>
        <v/>
      </c>
      <c r="AL43" s="62">
        <f>""</f>
        <v/>
      </c>
      <c r="AM43" s="62">
        <f>IF(N($AL43)&gt;0,INDEX(rIni_ADM,$AL43),IF(ISNUMBER($E43),$E43,""))</f>
        <v/>
      </c>
      <c r="AN43" s="62">
        <f>IF(N($AL43)&gt;0,INDEX(rLim_ADM,$AL43),IF(ISNUMBER($F43),$F43,""))</f>
        <v/>
      </c>
    </row>
    <row r="44">
      <c r="A44" s="56">
        <f>IF(NOT((COUNTA($B44:$D44)+COUNTA($G44:$L44)+COUNTA($Q44))&gt;0),"",IF($V44="Macro",COUNTIFS($V$5:$V44,"Macro",$S$5:$S44,$S44),IF(N($U44)=0,"?",COUNTIFS(INDEX($V$5:$V$1000,1):INDEX($V$5:$V$1000,$U44-4),"Macro",INDEX($S$5:$S$1000,1):INDEX($S$5:$S$1000,$U44-4),INDEX($S$5:$S$1000,$U44-4))&amp;"."&amp;COUNTIFS($U$5:$U44,$U44,$V$5:$V44,"Sub"))))</f>
        <v/>
      </c>
      <c r="B44" s="57" t="n"/>
      <c r="C44" s="58" t="n"/>
      <c r="D44" s="58" t="n"/>
      <c r="E44" s="59" t="n"/>
      <c r="F44" s="59" t="n"/>
      <c r="G44" s="59" t="n"/>
      <c r="H44" s="60" t="n"/>
      <c r="I44" s="60" t="n"/>
      <c r="J44" s="60" t="n"/>
      <c r="K44" s="60" t="n"/>
      <c r="L44" s="60" t="n"/>
      <c r="M44" s="61">
        <f>IF(NOT((COUNTA($B44:$D44)+COUNTA($G44:$L44)+COUNTA($Q44))&gt;0),"",IF(AND($D44&lt;&gt;"",$V44="Macro"),IF(N($AH44)&gt;0,N(CHOOSE(MATCH($D44,ListaPuestos,0),INDEX('Cronograma R. Operacional'!$M$5:$M$1000,$AH44),INDEX('Cronograma R. Normativo'!$M$5:$M$1000,$AH44),INDEX('Cronograma R. Financiero'!$M$5:$M$1000,$AH44),INDEX('Cronograma Asistente Técnico'!$M$5:$M$1000,$AH44))),0),IF(ISNUMBER($G44),1,IF(N($W44)&gt;0,AVERAGEIFS($X$5:$X$1000,$U$5:$U$1000,ROW(),$V$5:$V$1000,"Sub"),$X44))))</f>
        <v/>
      </c>
      <c r="N44" s="56">
        <f>IF($M44="","",IF($M44&gt;=1,"Completado",IF($M44&gt;0,"En curso","Pendiente")))</f>
        <v/>
      </c>
      <c r="O44" s="56">
        <f>IF(NOT((COUNTA($B44:$D44)+COUNTA($G44:$L44)+COUNTA($Q44))&gt;0),"",IF(AND(AND($D44&lt;&gt;"",$V44="Macro"),N($AH44)&gt;0),CHOOSE(MATCH($D44,ListaPuestos,0),INDEX('Cronograma R. Operacional'!$O$5:$O$1000,$AH44),INDEX('Cronograma R. Normativo'!$O$5:$O$1000,$AH44),INDEX('Cronograma R. Financiero'!$O$5:$O$1000,$AH44),INDEX('Cronograma Asistente Técnico'!$O$5:$O$1000,$AH44))&amp;"",IF(ISNUMBER($G44),IF(AND(ISNUMBER($AN44),$G44&gt;$AN44),"Cumplida con "&amp;($G44-$AN44)&amp;IF($G44-$AN44=1," día"," días")&amp;" de retraso","Cumplida"),IF(N($M44)&gt;=1,"Cumplida",IF(NOT(ISNUMBER($AN44)),"Sin fecha límite",IF($AN44&lt;FechaRef,"Vencida hace "&amp;(FechaRef-$AN44)&amp;IF(FechaRef-$AN44=1," día"," días"),IF($AN44=FechaRef,"Vence hoy",IF($AN44-FechaRef&lt;=DiasAlerta,"Vence en "&amp;($AN44-FechaRef)&amp;IF($AN44-FechaRef=1," día"," días"),"En plazo"))))))))</f>
        <v/>
      </c>
      <c r="P44" s="62">
        <f>IF(NOT((COUNTA($B44:$D44)+COUNTA($G44:$L44)+COUNTA($Q44))&gt;0),"",IF($D44="","Propia",IF($V44&lt;&gt;"Macro","Solo se delegan macroactividades",IF(N($AH44)&gt;0,"✔ Recibida por "&amp;$D44,"⚠ "&amp;$D44&amp;" aún no la agrega"))))</f>
        <v/>
      </c>
      <c r="Q44" s="58" t="n"/>
      <c r="R44" s="63">
        <f>IF(NOT((COUNTA($B44:$D44)+COUNTA($G44:$L44)+COUNTA($Q44))&gt;0),"",IF((IF($C44="","Falta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",""))="","✔ OK","⚠ "&amp;LEFT(IF($C44="","Falta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",""),LEN(IF($C44="","Falta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",""))-3)))</f>
        <v/>
      </c>
      <c r="S44" s="64">
        <f>IF(NOT((COUNTA($B44:$D44)+COUNTA($G44:$L44)+COUNTA($Q44))&gt;0),"",IF(AND($V44="Sub",N($U44)&gt;0),IF(ISNUMBER(INDEX($AM$5:$AM$1000,$U44-4)),DATE(YEAR(INDEX($AM$5:$AM$1000,$U44-4)),MONTH(INDEX($AM$5:$AM$1000,$U44-4)),1),IF(ISNUMBER(INDEX($AN$5:$AN$1000,$U44-4)),DATE(YEAR(INDEX($AN$5:$AN$1000,$U44-4)),MONTH(INDEX($AN$5:$AN$1000,$U44-4)),1),MesCiclo)),IF(ISNUMBER($AM44),DATE(YEAR($AM44),MONTH($AM44),1),IF(ISNUMBER($AN44),DATE(YEAR($AN44),MONTH($AN44),1),MesCiclo))))</f>
        <v/>
      </c>
      <c r="T44" s="62">
        <f>IF(OR($S44="",$S44&lt;&gt;MesCiclo),"",COUNTIF($S$5:$S44,MesCiclo))</f>
        <v/>
      </c>
      <c r="U44" s="62">
        <f>IF($V44="","",IF($V44="Macro",ROW(),IFERROR(LOOKUP(2,1/($V$5:$V44="Macro"),ROW($V$5:$V44)),0)))</f>
        <v/>
      </c>
      <c r="V44" s="62">
        <f>IF(NOT((COUNTA($B44:$D44)+COUNTA($G44:$L44)+COUNTA($Q44))&gt;0),"",IF($B44="Subactividad","Sub","Macro"))</f>
        <v/>
      </c>
      <c r="W44" s="62">
        <f>IF($V44="Macro",COUNTIFS($U$5:$U$1000,ROW(),$V$5:$V$1000,"Sub"),"")</f>
        <v/>
      </c>
      <c r="X44" s="62">
        <f>IF($V44="","",IF(ISNUMBER($G44),1,IFERROR(LOOKUP(2,1/($I44:$L44&lt;&gt;""),$I44:$L44),0)))</f>
        <v/>
      </c>
      <c r="Y44" s="62">
        <f>IF($V44="","",IF(AND(ISNUMBER($G44),$G44&lt;=IF($S44=MesCiclo,InicioCiclo,$S44+MOD(2-WEEKDAY($S44),7))+6),1,IF(ISNUMBER($I44),$I44,0)))</f>
        <v/>
      </c>
      <c r="Z44" s="62">
        <f>IF($V44="","",IF(AND(ISNUMBER($G44),$G44&lt;=IF($S44=MesCiclo,InicioCiclo,$S44+MOD(2-WEEKDAY($S44),7))+13),1,IF(ISNUMBER($J44),$J44,$Y44)))</f>
        <v/>
      </c>
      <c r="AA44" s="62">
        <f>IF($V44="","",IF(AND(ISNUMBER($G44),$G44&lt;=IF($S44=MesCiclo,InicioCiclo,$S44+MOD(2-WEEKDAY($S44),7))+20),1,IF(ISNUMBER($K44),$K44,$Z44)))</f>
        <v/>
      </c>
      <c r="AB44" s="62">
        <f>IF($V44="","",IF(AND(ISNUMBER($G44),$G44&lt;=IF($S44=MesCiclo,InicioCiclo,$S44+MOD(2-WEEKDAY($S44),7))+27),1,IF(ISNUMBER($L44),$L44,$AA44)))</f>
        <v/>
      </c>
      <c r="AC44" s="62">
        <f>IF($V44="","",IF(AND(ISNUMBER($G44),$G44&lt;=IF($S44=MesCiclo,InicioCiclo,$S44+MOD(2-WEEKDAY($S44),7))+6),1,IF(N($W44)&gt;0,AVERAGEIFS($Y$5:$Y$1000,$U$5:$U$1000,ROW(),$V$5:$V$1000,"Sub"),$Y44)))</f>
        <v/>
      </c>
      <c r="AD44" s="62">
        <f>IF($V44="","",IF(AND(ISNUMBER($G44),$G44&lt;=IF($S44=MesCiclo,InicioCiclo,$S44+MOD(2-WEEKDAY($S44),7))+13),1,IF(N($W44)&gt;0,AVERAGEIFS($Z$5:$Z$1000,$U$5:$U$1000,ROW(),$V$5:$V$1000,"Sub"),$Z44)))</f>
        <v/>
      </c>
      <c r="AE44" s="62">
        <f>IF($V44="","",IF(AND(ISNUMBER($G44),$G44&lt;=IF($S44=MesCiclo,InicioCiclo,$S44+MOD(2-WEEKDAY($S44),7))+20),1,IF(N($W44)&gt;0,AVERAGEIFS($AA$5:$AA$1000,$U$5:$U$1000,ROW(),$V$5:$V$1000,"Sub"),$AA44)))</f>
        <v/>
      </c>
      <c r="AF44" s="62">
        <f>IF($V44="","",IF(AND(ISNUMBER($G44),$G44&lt;=IF($S44=MesCiclo,InicioCiclo,$S44+MOD(2-WEEKDAY($S44),7))+27),1,IF(N($W44)&gt;0,AVERAGEIFS($AB$5:$AB$1000,$U$5:$U$1000,ROW(),$V$5:$V$1000,"Sub"),$AB44)))</f>
        <v/>
      </c>
      <c r="AG44" s="62">
        <f>IF($V44&lt;&gt;"Macro","",IF(COUNTIFS($S$5:$S$1000,$S44,$V$5:$V$1000,"Macro",$H$5:$H$1000,"&gt;0")=0,1/COUNTIFS($S$5:$S$1000,$S44,$V$5:$V$1000,"Macro"),IF(AND(ISNUMBER($H44),N($H44)&gt;0),$H44,SUMIFS($H$5:$H$1000,$S$5:$S$1000,$S44,$V$5:$V$1000,"Macro")/COUNTIFS($S$5:$S$1000,$S44,$V$5:$V$1000,"Macro",$H$5:$H$1000,"&gt;0"))/(COUNTIFS($S$5:$S$1000,$S44,$V$5:$V$1000,"Macro")*SUMIFS($H$5:$H$1000,$S$5:$S$1000,$S44,$V$5:$V$1000,"Macro")/COUNTIFS($S$5:$S$1000,$S44,$V$5:$V$1000,"Macro",$H$5:$H$1000,"&gt;0"))))</f>
        <v/>
      </c>
      <c r="AH44" s="62">
        <f>IF(NOT(AND($D44&lt;&gt;"",$V44="Macro")),"",IFERROR(CHOOSE(MATCH($D44,ListaPuestos,0),MATCH("[Jefatura] "&amp;$C44,'Cronograma R. Operacional'!$C$5:$C$1000,0),MATCH("[Jefatura] "&amp;$C44,'Cronograma R. Normativo'!$C$5:$C$1000,0),MATCH("[Jefatura] "&amp;$C44,'Cronograma R. Financiero'!$C$5:$C$1000,0),MATCH("[Jefatura] "&amp;$C44,'Cronograma Asistente Técnico'!$C$5:$C$1000,0)),0))</f>
        <v/>
      </c>
      <c r="AI44" s="62">
        <f>IF(AND(AND($D44&lt;&gt;"",$V44="Macro"),$S44=MesCiclo),COUNTIFS($D$5:$D44,$D44,$S$5:$S44,MesCiclo,$V$5:$V44,"Macro"),"")</f>
        <v/>
      </c>
      <c r="AJ44" s="62">
        <f>IF($AI44="","",$D44&amp;"|"&amp;$AI44)</f>
        <v/>
      </c>
      <c r="AK44" s="62">
        <f>IF(AND($D44&lt;&gt;"",$V44="Macro"),$D44&amp;"|"&amp;$C44,"")</f>
        <v/>
      </c>
      <c r="AL44" s="62">
        <f>""</f>
        <v/>
      </c>
      <c r="AM44" s="62">
        <f>IF(N($AL44)&gt;0,INDEX(rIni_ADM,$AL44),IF(ISNUMBER($E44),$E44,""))</f>
        <v/>
      </c>
      <c r="AN44" s="62">
        <f>IF(N($AL44)&gt;0,INDEX(rLim_ADM,$AL44),IF(ISNUMBER($F44),$F44,""))</f>
        <v/>
      </c>
    </row>
    <row r="45">
      <c r="A45" s="56">
        <f>IF(NOT((COUNTA($B45:$D45)+COUNTA($G45:$L45)+COUNTA($Q45))&gt;0),"",IF($V45="Macro",COUNTIFS($V$5:$V45,"Macro",$S$5:$S45,$S45),IF(N($U45)=0,"?",COUNTIFS(INDEX($V$5:$V$1000,1):INDEX($V$5:$V$1000,$U45-4),"Macro",INDEX($S$5:$S$1000,1):INDEX($S$5:$S$1000,$U45-4),INDEX($S$5:$S$1000,$U45-4))&amp;"."&amp;COUNTIFS($U$5:$U45,$U45,$V$5:$V45,"Sub"))))</f>
        <v/>
      </c>
      <c r="B45" s="57" t="n"/>
      <c r="C45" s="58" t="n"/>
      <c r="D45" s="58" t="n"/>
      <c r="E45" s="59" t="n"/>
      <c r="F45" s="59" t="n"/>
      <c r="G45" s="59" t="n"/>
      <c r="H45" s="60" t="n"/>
      <c r="I45" s="60" t="n"/>
      <c r="J45" s="60" t="n"/>
      <c r="K45" s="60" t="n"/>
      <c r="L45" s="60" t="n"/>
      <c r="M45" s="61">
        <f>IF(NOT((COUNTA($B45:$D45)+COUNTA($G45:$L45)+COUNTA($Q45))&gt;0),"",IF(AND($D45&lt;&gt;"",$V45="Macro"),IF(N($AH45)&gt;0,N(CHOOSE(MATCH($D45,ListaPuestos,0),INDEX('Cronograma R. Operacional'!$M$5:$M$1000,$AH45),INDEX('Cronograma R. Normativo'!$M$5:$M$1000,$AH45),INDEX('Cronograma R. Financiero'!$M$5:$M$1000,$AH45),INDEX('Cronograma Asistente Técnico'!$M$5:$M$1000,$AH45))),0),IF(ISNUMBER($G45),1,IF(N($W45)&gt;0,AVERAGEIFS($X$5:$X$1000,$U$5:$U$1000,ROW(),$V$5:$V$1000,"Sub"),$X45))))</f>
        <v/>
      </c>
      <c r="N45" s="56">
        <f>IF($M45="","",IF($M45&gt;=1,"Completado",IF($M45&gt;0,"En curso","Pendiente")))</f>
        <v/>
      </c>
      <c r="O45" s="56">
        <f>IF(NOT((COUNTA($B45:$D45)+COUNTA($G45:$L45)+COUNTA($Q45))&gt;0),"",IF(AND(AND($D45&lt;&gt;"",$V45="Macro"),N($AH45)&gt;0),CHOOSE(MATCH($D45,ListaPuestos,0),INDEX('Cronograma R. Operacional'!$O$5:$O$1000,$AH45),INDEX('Cronograma R. Normativo'!$O$5:$O$1000,$AH45),INDEX('Cronograma R. Financiero'!$O$5:$O$1000,$AH45),INDEX('Cronograma Asistente Técnico'!$O$5:$O$1000,$AH45))&amp;"",IF(ISNUMBER($G45),IF(AND(ISNUMBER($AN45),$G45&gt;$AN45),"Cumplida con "&amp;($G45-$AN45)&amp;IF($G45-$AN45=1," día"," días")&amp;" de retraso","Cumplida"),IF(N($M45)&gt;=1,"Cumplida",IF(NOT(ISNUMBER($AN45)),"Sin fecha límite",IF($AN45&lt;FechaRef,"Vencida hace "&amp;(FechaRef-$AN45)&amp;IF(FechaRef-$AN45=1," día"," días"),IF($AN45=FechaRef,"Vence hoy",IF($AN45-FechaRef&lt;=DiasAlerta,"Vence en "&amp;($AN45-FechaRef)&amp;IF($AN45-FechaRef=1," día"," días"),"En plazo"))))))))</f>
        <v/>
      </c>
      <c r="P45" s="62">
        <f>IF(NOT((COUNTA($B45:$D45)+COUNTA($G45:$L45)+COUNTA($Q45))&gt;0),"",IF($D45="","Propia",IF($V45&lt;&gt;"Macro","Solo se delegan macroactividades",IF(N($AH45)&gt;0,"✔ Recibida por "&amp;$D45,"⚠ "&amp;$D45&amp;" aún no la agrega"))))</f>
        <v/>
      </c>
      <c r="Q45" s="58" t="n"/>
      <c r="R45" s="63">
        <f>IF(NOT((COUNTA($B45:$D45)+COUNTA($G45:$L45)+COUNTA($Q45))&gt;0),"",IF((IF($C45="","Falta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",""))="","✔ OK","⚠ "&amp;LEFT(IF($C45="","Falta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",""),LEN(IF($C45="","Falta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",""))-3)))</f>
        <v/>
      </c>
      <c r="S45" s="64">
        <f>IF(NOT((COUNTA($B45:$D45)+COUNTA($G45:$L45)+COUNTA($Q45))&gt;0),"",IF(AND($V45="Sub",N($U45)&gt;0),IF(ISNUMBER(INDEX($AM$5:$AM$1000,$U45-4)),DATE(YEAR(INDEX($AM$5:$AM$1000,$U45-4)),MONTH(INDEX($AM$5:$AM$1000,$U45-4)),1),IF(ISNUMBER(INDEX($AN$5:$AN$1000,$U45-4)),DATE(YEAR(INDEX($AN$5:$AN$1000,$U45-4)),MONTH(INDEX($AN$5:$AN$1000,$U45-4)),1),MesCiclo)),IF(ISNUMBER($AM45),DATE(YEAR($AM45),MONTH($AM45),1),IF(ISNUMBER($AN45),DATE(YEAR($AN45),MONTH($AN45),1),MesCiclo))))</f>
        <v/>
      </c>
      <c r="T45" s="62">
        <f>IF(OR($S45="",$S45&lt;&gt;MesCiclo),"",COUNTIF($S$5:$S45,MesCiclo))</f>
        <v/>
      </c>
      <c r="U45" s="62">
        <f>IF($V45="","",IF($V45="Macro",ROW(),IFERROR(LOOKUP(2,1/($V$5:$V45="Macro"),ROW($V$5:$V45)),0)))</f>
        <v/>
      </c>
      <c r="V45" s="62">
        <f>IF(NOT((COUNTA($B45:$D45)+COUNTA($G45:$L45)+COUNTA($Q45))&gt;0),"",IF($B45="Subactividad","Sub","Macro"))</f>
        <v/>
      </c>
      <c r="W45" s="62">
        <f>IF($V45="Macro",COUNTIFS($U$5:$U$1000,ROW(),$V$5:$V$1000,"Sub"),"")</f>
        <v/>
      </c>
      <c r="X45" s="62">
        <f>IF($V45="","",IF(ISNUMBER($G45),1,IFERROR(LOOKUP(2,1/($I45:$L45&lt;&gt;""),$I45:$L45),0)))</f>
        <v/>
      </c>
      <c r="Y45" s="62">
        <f>IF($V45="","",IF(AND(ISNUMBER($G45),$G45&lt;=IF($S45=MesCiclo,InicioCiclo,$S45+MOD(2-WEEKDAY($S45),7))+6),1,IF(ISNUMBER($I45),$I45,0)))</f>
        <v/>
      </c>
      <c r="Z45" s="62">
        <f>IF($V45="","",IF(AND(ISNUMBER($G45),$G45&lt;=IF($S45=MesCiclo,InicioCiclo,$S45+MOD(2-WEEKDAY($S45),7))+13),1,IF(ISNUMBER($J45),$J45,$Y45)))</f>
        <v/>
      </c>
      <c r="AA45" s="62">
        <f>IF($V45="","",IF(AND(ISNUMBER($G45),$G45&lt;=IF($S45=MesCiclo,InicioCiclo,$S45+MOD(2-WEEKDAY($S45),7))+20),1,IF(ISNUMBER($K45),$K45,$Z45)))</f>
        <v/>
      </c>
      <c r="AB45" s="62">
        <f>IF($V45="","",IF(AND(ISNUMBER($G45),$G45&lt;=IF($S45=MesCiclo,InicioCiclo,$S45+MOD(2-WEEKDAY($S45),7))+27),1,IF(ISNUMBER($L45),$L45,$AA45)))</f>
        <v/>
      </c>
      <c r="AC45" s="62">
        <f>IF($V45="","",IF(AND(ISNUMBER($G45),$G45&lt;=IF($S45=MesCiclo,InicioCiclo,$S45+MOD(2-WEEKDAY($S45),7))+6),1,IF(N($W45)&gt;0,AVERAGEIFS($Y$5:$Y$1000,$U$5:$U$1000,ROW(),$V$5:$V$1000,"Sub"),$Y45)))</f>
        <v/>
      </c>
      <c r="AD45" s="62">
        <f>IF($V45="","",IF(AND(ISNUMBER($G45),$G45&lt;=IF($S45=MesCiclo,InicioCiclo,$S45+MOD(2-WEEKDAY($S45),7))+13),1,IF(N($W45)&gt;0,AVERAGEIFS($Z$5:$Z$1000,$U$5:$U$1000,ROW(),$V$5:$V$1000,"Sub"),$Z45)))</f>
        <v/>
      </c>
      <c r="AE45" s="62">
        <f>IF($V45="","",IF(AND(ISNUMBER($G45),$G45&lt;=IF($S45=MesCiclo,InicioCiclo,$S45+MOD(2-WEEKDAY($S45),7))+20),1,IF(N($W45)&gt;0,AVERAGEIFS($AA$5:$AA$1000,$U$5:$U$1000,ROW(),$V$5:$V$1000,"Sub"),$AA45)))</f>
        <v/>
      </c>
      <c r="AF45" s="62">
        <f>IF($V45="","",IF(AND(ISNUMBER($G45),$G45&lt;=IF($S45=MesCiclo,InicioCiclo,$S45+MOD(2-WEEKDAY($S45),7))+27),1,IF(N($W45)&gt;0,AVERAGEIFS($AB$5:$AB$1000,$U$5:$U$1000,ROW(),$V$5:$V$1000,"Sub"),$AB45)))</f>
        <v/>
      </c>
      <c r="AG45" s="62">
        <f>IF($V45&lt;&gt;"Macro","",IF(COUNTIFS($S$5:$S$1000,$S45,$V$5:$V$1000,"Macro",$H$5:$H$1000,"&gt;0")=0,1/COUNTIFS($S$5:$S$1000,$S45,$V$5:$V$1000,"Macro"),IF(AND(ISNUMBER($H45),N($H45)&gt;0),$H45,SUMIFS($H$5:$H$1000,$S$5:$S$1000,$S45,$V$5:$V$1000,"Macro")/COUNTIFS($S$5:$S$1000,$S45,$V$5:$V$1000,"Macro",$H$5:$H$1000,"&gt;0"))/(COUNTIFS($S$5:$S$1000,$S45,$V$5:$V$1000,"Macro")*SUMIFS($H$5:$H$1000,$S$5:$S$1000,$S45,$V$5:$V$1000,"Macro")/COUNTIFS($S$5:$S$1000,$S45,$V$5:$V$1000,"Macro",$H$5:$H$1000,"&gt;0"))))</f>
        <v/>
      </c>
      <c r="AH45" s="62">
        <f>IF(NOT(AND($D45&lt;&gt;"",$V45="Macro")),"",IFERROR(CHOOSE(MATCH($D45,ListaPuestos,0),MATCH("[Jefatura] "&amp;$C45,'Cronograma R. Operacional'!$C$5:$C$1000,0),MATCH("[Jefatura] "&amp;$C45,'Cronograma R. Normativo'!$C$5:$C$1000,0),MATCH("[Jefatura] "&amp;$C45,'Cronograma R. Financiero'!$C$5:$C$1000,0),MATCH("[Jefatura] "&amp;$C45,'Cronograma Asistente Técnico'!$C$5:$C$1000,0)),0))</f>
        <v/>
      </c>
      <c r="AI45" s="62">
        <f>IF(AND(AND($D45&lt;&gt;"",$V45="Macro"),$S45=MesCiclo),COUNTIFS($D$5:$D45,$D45,$S$5:$S45,MesCiclo,$V$5:$V45,"Macro"),"")</f>
        <v/>
      </c>
      <c r="AJ45" s="62">
        <f>IF($AI45="","",$D45&amp;"|"&amp;$AI45)</f>
        <v/>
      </c>
      <c r="AK45" s="62">
        <f>IF(AND($D45&lt;&gt;"",$V45="Macro"),$D45&amp;"|"&amp;$C45,"")</f>
        <v/>
      </c>
      <c r="AL45" s="62">
        <f>""</f>
        <v/>
      </c>
      <c r="AM45" s="62">
        <f>IF(N($AL45)&gt;0,INDEX(rIni_ADM,$AL45),IF(ISNUMBER($E45),$E45,""))</f>
        <v/>
      </c>
      <c r="AN45" s="62">
        <f>IF(N($AL45)&gt;0,INDEX(rLim_ADM,$AL45),IF(ISNUMBER($F45),$F45,""))</f>
        <v/>
      </c>
    </row>
    <row r="46">
      <c r="A46" s="56">
        <f>IF(NOT((COUNTA($B46:$D46)+COUNTA($G46:$L46)+COUNTA($Q46))&gt;0),"",IF($V46="Macro",COUNTIFS($V$5:$V46,"Macro",$S$5:$S46,$S46),IF(N($U46)=0,"?",COUNTIFS(INDEX($V$5:$V$1000,1):INDEX($V$5:$V$1000,$U46-4),"Macro",INDEX($S$5:$S$1000,1):INDEX($S$5:$S$1000,$U46-4),INDEX($S$5:$S$1000,$U46-4))&amp;"."&amp;COUNTIFS($U$5:$U46,$U46,$V$5:$V46,"Sub"))))</f>
        <v/>
      </c>
      <c r="B46" s="57" t="n"/>
      <c r="C46" s="58" t="n"/>
      <c r="D46" s="58" t="n"/>
      <c r="E46" s="59" t="n"/>
      <c r="F46" s="59" t="n"/>
      <c r="G46" s="59" t="n"/>
      <c r="H46" s="60" t="n"/>
      <c r="I46" s="60" t="n"/>
      <c r="J46" s="60" t="n"/>
      <c r="K46" s="60" t="n"/>
      <c r="L46" s="60" t="n"/>
      <c r="M46" s="61">
        <f>IF(NOT((COUNTA($B46:$D46)+COUNTA($G46:$L46)+COUNTA($Q46))&gt;0),"",IF(AND($D46&lt;&gt;"",$V46="Macro"),IF(N($AH46)&gt;0,N(CHOOSE(MATCH($D46,ListaPuestos,0),INDEX('Cronograma R. Operacional'!$M$5:$M$1000,$AH46),INDEX('Cronograma R. Normativo'!$M$5:$M$1000,$AH46),INDEX('Cronograma R. Financiero'!$M$5:$M$1000,$AH46),INDEX('Cronograma Asistente Técnico'!$M$5:$M$1000,$AH46))),0),IF(ISNUMBER($G46),1,IF(N($W46)&gt;0,AVERAGEIFS($X$5:$X$1000,$U$5:$U$1000,ROW(),$V$5:$V$1000,"Sub"),$X46))))</f>
        <v/>
      </c>
      <c r="N46" s="56">
        <f>IF($M46="","",IF($M46&gt;=1,"Completado",IF($M46&gt;0,"En curso","Pendiente")))</f>
        <v/>
      </c>
      <c r="O46" s="56">
        <f>IF(NOT((COUNTA($B46:$D46)+COUNTA($G46:$L46)+COUNTA($Q46))&gt;0),"",IF(AND(AND($D46&lt;&gt;"",$V46="Macro"),N($AH46)&gt;0),CHOOSE(MATCH($D46,ListaPuestos,0),INDEX('Cronograma R. Operacional'!$O$5:$O$1000,$AH46),INDEX('Cronograma R. Normativo'!$O$5:$O$1000,$AH46),INDEX('Cronograma R. Financiero'!$O$5:$O$1000,$AH46),INDEX('Cronograma Asistente Técnico'!$O$5:$O$1000,$AH46))&amp;"",IF(ISNUMBER($G46),IF(AND(ISNUMBER($AN46),$G46&gt;$AN46),"Cumplida con "&amp;($G46-$AN46)&amp;IF($G46-$AN46=1," día"," días")&amp;" de retraso","Cumplida"),IF(N($M46)&gt;=1,"Cumplida",IF(NOT(ISNUMBER($AN46)),"Sin fecha límite",IF($AN46&lt;FechaRef,"Vencida hace "&amp;(FechaRef-$AN46)&amp;IF(FechaRef-$AN46=1," día"," días"),IF($AN46=FechaRef,"Vence hoy",IF($AN46-FechaRef&lt;=DiasAlerta,"Vence en "&amp;($AN46-FechaRef)&amp;IF($AN46-FechaRef=1," día"," días"),"En plazo"))))))))</f>
        <v/>
      </c>
      <c r="P46" s="62">
        <f>IF(NOT((COUNTA($B46:$D46)+COUNTA($G46:$L46)+COUNTA($Q46))&gt;0),"",IF($D46="","Propia",IF($V46&lt;&gt;"Macro","Solo se delegan macroactividades",IF(N($AH46)&gt;0,"✔ Recibida por "&amp;$D46,"⚠ "&amp;$D46&amp;" aún no la agrega"))))</f>
        <v/>
      </c>
      <c r="Q46" s="58" t="n"/>
      <c r="R46" s="63">
        <f>IF(NOT((COUNTA($B46:$D46)+COUNTA($G46:$L46)+COUNTA($Q46))&gt;0),"",IF((IF($C46="","Falta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",""))="","✔ OK","⚠ "&amp;LEFT(IF($C46="","Falta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",""),LEN(IF($C46="","Falta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",""))-3)))</f>
        <v/>
      </c>
      <c r="S46" s="64">
        <f>IF(NOT((COUNTA($B46:$D46)+COUNTA($G46:$L46)+COUNTA($Q46))&gt;0),"",IF(AND($V46="Sub",N($U46)&gt;0),IF(ISNUMBER(INDEX($AM$5:$AM$1000,$U46-4)),DATE(YEAR(INDEX($AM$5:$AM$1000,$U46-4)),MONTH(INDEX($AM$5:$AM$1000,$U46-4)),1),IF(ISNUMBER(INDEX($AN$5:$AN$1000,$U46-4)),DATE(YEAR(INDEX($AN$5:$AN$1000,$U46-4)),MONTH(INDEX($AN$5:$AN$1000,$U46-4)),1),MesCiclo)),IF(ISNUMBER($AM46),DATE(YEAR($AM46),MONTH($AM46),1),IF(ISNUMBER($AN46),DATE(YEAR($AN46),MONTH($AN46),1),MesCiclo))))</f>
        <v/>
      </c>
      <c r="T46" s="62">
        <f>IF(OR($S46="",$S46&lt;&gt;MesCiclo),"",COUNTIF($S$5:$S46,MesCiclo))</f>
        <v/>
      </c>
      <c r="U46" s="62">
        <f>IF($V46="","",IF($V46="Macro",ROW(),IFERROR(LOOKUP(2,1/($V$5:$V46="Macro"),ROW($V$5:$V46)),0)))</f>
        <v/>
      </c>
      <c r="V46" s="62">
        <f>IF(NOT((COUNTA($B46:$D46)+COUNTA($G46:$L46)+COUNTA($Q46))&gt;0),"",IF($B46="Subactividad","Sub","Macro"))</f>
        <v/>
      </c>
      <c r="W46" s="62">
        <f>IF($V46="Macro",COUNTIFS($U$5:$U$1000,ROW(),$V$5:$V$1000,"Sub"),"")</f>
        <v/>
      </c>
      <c r="X46" s="62">
        <f>IF($V46="","",IF(ISNUMBER($G46),1,IFERROR(LOOKUP(2,1/($I46:$L46&lt;&gt;""),$I46:$L46),0)))</f>
        <v/>
      </c>
      <c r="Y46" s="62">
        <f>IF($V46="","",IF(AND(ISNUMBER($G46),$G46&lt;=IF($S46=MesCiclo,InicioCiclo,$S46+MOD(2-WEEKDAY($S46),7))+6),1,IF(ISNUMBER($I46),$I46,0)))</f>
        <v/>
      </c>
      <c r="Z46" s="62">
        <f>IF($V46="","",IF(AND(ISNUMBER($G46),$G46&lt;=IF($S46=MesCiclo,InicioCiclo,$S46+MOD(2-WEEKDAY($S46),7))+13),1,IF(ISNUMBER($J46),$J46,$Y46)))</f>
        <v/>
      </c>
      <c r="AA46" s="62">
        <f>IF($V46="","",IF(AND(ISNUMBER($G46),$G46&lt;=IF($S46=MesCiclo,InicioCiclo,$S46+MOD(2-WEEKDAY($S46),7))+20),1,IF(ISNUMBER($K46),$K46,$Z46)))</f>
        <v/>
      </c>
      <c r="AB46" s="62">
        <f>IF($V46="","",IF(AND(ISNUMBER($G46),$G46&lt;=IF($S46=MesCiclo,InicioCiclo,$S46+MOD(2-WEEKDAY($S46),7))+27),1,IF(ISNUMBER($L46),$L46,$AA46)))</f>
        <v/>
      </c>
      <c r="AC46" s="62">
        <f>IF($V46="","",IF(AND(ISNUMBER($G46),$G46&lt;=IF($S46=MesCiclo,InicioCiclo,$S46+MOD(2-WEEKDAY($S46),7))+6),1,IF(N($W46)&gt;0,AVERAGEIFS($Y$5:$Y$1000,$U$5:$U$1000,ROW(),$V$5:$V$1000,"Sub"),$Y46)))</f>
        <v/>
      </c>
      <c r="AD46" s="62">
        <f>IF($V46="","",IF(AND(ISNUMBER($G46),$G46&lt;=IF($S46=MesCiclo,InicioCiclo,$S46+MOD(2-WEEKDAY($S46),7))+13),1,IF(N($W46)&gt;0,AVERAGEIFS($Z$5:$Z$1000,$U$5:$U$1000,ROW(),$V$5:$V$1000,"Sub"),$Z46)))</f>
        <v/>
      </c>
      <c r="AE46" s="62">
        <f>IF($V46="","",IF(AND(ISNUMBER($G46),$G46&lt;=IF($S46=MesCiclo,InicioCiclo,$S46+MOD(2-WEEKDAY($S46),7))+20),1,IF(N($W46)&gt;0,AVERAGEIFS($AA$5:$AA$1000,$U$5:$U$1000,ROW(),$V$5:$V$1000,"Sub"),$AA46)))</f>
        <v/>
      </c>
      <c r="AF46" s="62">
        <f>IF($V46="","",IF(AND(ISNUMBER($G46),$G46&lt;=IF($S46=MesCiclo,InicioCiclo,$S46+MOD(2-WEEKDAY($S46),7))+27),1,IF(N($W46)&gt;0,AVERAGEIFS($AB$5:$AB$1000,$U$5:$U$1000,ROW(),$V$5:$V$1000,"Sub"),$AB46)))</f>
        <v/>
      </c>
      <c r="AG46" s="62">
        <f>IF($V46&lt;&gt;"Macro","",IF(COUNTIFS($S$5:$S$1000,$S46,$V$5:$V$1000,"Macro",$H$5:$H$1000,"&gt;0")=0,1/COUNTIFS($S$5:$S$1000,$S46,$V$5:$V$1000,"Macro"),IF(AND(ISNUMBER($H46),N($H46)&gt;0),$H46,SUMIFS($H$5:$H$1000,$S$5:$S$1000,$S46,$V$5:$V$1000,"Macro")/COUNTIFS($S$5:$S$1000,$S46,$V$5:$V$1000,"Macro",$H$5:$H$1000,"&gt;0"))/(COUNTIFS($S$5:$S$1000,$S46,$V$5:$V$1000,"Macro")*SUMIFS($H$5:$H$1000,$S$5:$S$1000,$S46,$V$5:$V$1000,"Macro")/COUNTIFS($S$5:$S$1000,$S46,$V$5:$V$1000,"Macro",$H$5:$H$1000,"&gt;0"))))</f>
        <v/>
      </c>
      <c r="AH46" s="62">
        <f>IF(NOT(AND($D46&lt;&gt;"",$V46="Macro")),"",IFERROR(CHOOSE(MATCH($D46,ListaPuestos,0),MATCH("[Jefatura] "&amp;$C46,'Cronograma R. Operacional'!$C$5:$C$1000,0),MATCH("[Jefatura] "&amp;$C46,'Cronograma R. Normativo'!$C$5:$C$1000,0),MATCH("[Jefatura] "&amp;$C46,'Cronograma R. Financiero'!$C$5:$C$1000,0),MATCH("[Jefatura] "&amp;$C46,'Cronograma Asistente Técnico'!$C$5:$C$1000,0)),0))</f>
        <v/>
      </c>
      <c r="AI46" s="62">
        <f>IF(AND(AND($D46&lt;&gt;"",$V46="Macro"),$S46=MesCiclo),COUNTIFS($D$5:$D46,$D46,$S$5:$S46,MesCiclo,$V$5:$V46,"Macro"),"")</f>
        <v/>
      </c>
      <c r="AJ46" s="62">
        <f>IF($AI46="","",$D46&amp;"|"&amp;$AI46)</f>
        <v/>
      </c>
      <c r="AK46" s="62">
        <f>IF(AND($D46&lt;&gt;"",$V46="Macro"),$D46&amp;"|"&amp;$C46,"")</f>
        <v/>
      </c>
      <c r="AL46" s="62">
        <f>""</f>
        <v/>
      </c>
      <c r="AM46" s="62">
        <f>IF(N($AL46)&gt;0,INDEX(rIni_ADM,$AL46),IF(ISNUMBER($E46),$E46,""))</f>
        <v/>
      </c>
      <c r="AN46" s="62">
        <f>IF(N($AL46)&gt;0,INDEX(rLim_ADM,$AL46),IF(ISNUMBER($F46),$F46,""))</f>
        <v/>
      </c>
    </row>
    <row r="47">
      <c r="A47" s="56">
        <f>IF(NOT((COUNTA($B47:$D47)+COUNTA($G47:$L47)+COUNTA($Q47))&gt;0),"",IF($V47="Macro",COUNTIFS($V$5:$V47,"Macro",$S$5:$S47,$S47),IF(N($U47)=0,"?",COUNTIFS(INDEX($V$5:$V$1000,1):INDEX($V$5:$V$1000,$U47-4),"Macro",INDEX($S$5:$S$1000,1):INDEX($S$5:$S$1000,$U47-4),INDEX($S$5:$S$1000,$U47-4))&amp;"."&amp;COUNTIFS($U$5:$U47,$U47,$V$5:$V47,"Sub"))))</f>
        <v/>
      </c>
      <c r="B47" s="57" t="n"/>
      <c r="C47" s="58" t="n"/>
      <c r="D47" s="58" t="n"/>
      <c r="E47" s="59" t="n"/>
      <c r="F47" s="59" t="n"/>
      <c r="G47" s="59" t="n"/>
      <c r="H47" s="60" t="n"/>
      <c r="I47" s="60" t="n"/>
      <c r="J47" s="60" t="n"/>
      <c r="K47" s="60" t="n"/>
      <c r="L47" s="60" t="n"/>
      <c r="M47" s="61">
        <f>IF(NOT((COUNTA($B47:$D47)+COUNTA($G47:$L47)+COUNTA($Q47))&gt;0),"",IF(AND($D47&lt;&gt;"",$V47="Macro"),IF(N($AH47)&gt;0,N(CHOOSE(MATCH($D47,ListaPuestos,0),INDEX('Cronograma R. Operacional'!$M$5:$M$1000,$AH47),INDEX('Cronograma R. Normativo'!$M$5:$M$1000,$AH47),INDEX('Cronograma R. Financiero'!$M$5:$M$1000,$AH47),INDEX('Cronograma Asistente Técnico'!$M$5:$M$1000,$AH47))),0),IF(ISNUMBER($G47),1,IF(N($W47)&gt;0,AVERAGEIFS($X$5:$X$1000,$U$5:$U$1000,ROW(),$V$5:$V$1000,"Sub"),$X47))))</f>
        <v/>
      </c>
      <c r="N47" s="56">
        <f>IF($M47="","",IF($M47&gt;=1,"Completado",IF($M47&gt;0,"En curso","Pendiente")))</f>
        <v/>
      </c>
      <c r="O47" s="56">
        <f>IF(NOT((COUNTA($B47:$D47)+COUNTA($G47:$L47)+COUNTA($Q47))&gt;0),"",IF(AND(AND($D47&lt;&gt;"",$V47="Macro"),N($AH47)&gt;0),CHOOSE(MATCH($D47,ListaPuestos,0),INDEX('Cronograma R. Operacional'!$O$5:$O$1000,$AH47),INDEX('Cronograma R. Normativo'!$O$5:$O$1000,$AH47),INDEX('Cronograma R. Financiero'!$O$5:$O$1000,$AH47),INDEX('Cronograma Asistente Técnico'!$O$5:$O$1000,$AH47))&amp;"",IF(ISNUMBER($G47),IF(AND(ISNUMBER($AN47),$G47&gt;$AN47),"Cumplida con "&amp;($G47-$AN47)&amp;IF($G47-$AN47=1," día"," días")&amp;" de retraso","Cumplida"),IF(N($M47)&gt;=1,"Cumplida",IF(NOT(ISNUMBER($AN47)),"Sin fecha límite",IF($AN47&lt;FechaRef,"Vencida hace "&amp;(FechaRef-$AN47)&amp;IF(FechaRef-$AN47=1," día"," días"),IF($AN47=FechaRef,"Vence hoy",IF($AN47-FechaRef&lt;=DiasAlerta,"Vence en "&amp;($AN47-FechaRef)&amp;IF($AN47-FechaRef=1," día"," días"),"En plazo"))))))))</f>
        <v/>
      </c>
      <c r="P47" s="62">
        <f>IF(NOT((COUNTA($B47:$D47)+COUNTA($G47:$L47)+COUNTA($Q47))&gt;0),"",IF($D47="","Propia",IF($V47&lt;&gt;"Macro","Solo se delegan macroactividades",IF(N($AH47)&gt;0,"✔ Recibida por "&amp;$D47,"⚠ "&amp;$D47&amp;" aún no la agrega"))))</f>
        <v/>
      </c>
      <c r="Q47" s="58" t="n"/>
      <c r="R47" s="63">
        <f>IF(NOT((COUNTA($B47:$D47)+COUNTA($G47:$L47)+COUNTA($Q47))&gt;0),"",IF((IF($C47="","Falta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",""))="","✔ OK","⚠ "&amp;LEFT(IF($C47="","Falta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",""),LEN(IF($C47="","Falta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",""))-3)))</f>
        <v/>
      </c>
      <c r="S47" s="64">
        <f>IF(NOT((COUNTA($B47:$D47)+COUNTA($G47:$L47)+COUNTA($Q47))&gt;0),"",IF(AND($V47="Sub",N($U47)&gt;0),IF(ISNUMBER(INDEX($AM$5:$AM$1000,$U47-4)),DATE(YEAR(INDEX($AM$5:$AM$1000,$U47-4)),MONTH(INDEX($AM$5:$AM$1000,$U47-4)),1),IF(ISNUMBER(INDEX($AN$5:$AN$1000,$U47-4)),DATE(YEAR(INDEX($AN$5:$AN$1000,$U47-4)),MONTH(INDEX($AN$5:$AN$1000,$U47-4)),1),MesCiclo)),IF(ISNUMBER($AM47),DATE(YEAR($AM47),MONTH($AM47),1),IF(ISNUMBER($AN47),DATE(YEAR($AN47),MONTH($AN47),1),MesCiclo))))</f>
        <v/>
      </c>
      <c r="T47" s="62">
        <f>IF(OR($S47="",$S47&lt;&gt;MesCiclo),"",COUNTIF($S$5:$S47,MesCiclo))</f>
        <v/>
      </c>
      <c r="U47" s="62">
        <f>IF($V47="","",IF($V47="Macro",ROW(),IFERROR(LOOKUP(2,1/($V$5:$V47="Macro"),ROW($V$5:$V47)),0)))</f>
        <v/>
      </c>
      <c r="V47" s="62">
        <f>IF(NOT((COUNTA($B47:$D47)+COUNTA($G47:$L47)+COUNTA($Q47))&gt;0),"",IF($B47="Subactividad","Sub","Macro"))</f>
        <v/>
      </c>
      <c r="W47" s="62">
        <f>IF($V47="Macro",COUNTIFS($U$5:$U$1000,ROW(),$V$5:$V$1000,"Sub"),"")</f>
        <v/>
      </c>
      <c r="X47" s="62">
        <f>IF($V47="","",IF(ISNUMBER($G47),1,IFERROR(LOOKUP(2,1/($I47:$L47&lt;&gt;""),$I47:$L47),0)))</f>
        <v/>
      </c>
      <c r="Y47" s="62">
        <f>IF($V47="","",IF(AND(ISNUMBER($G47),$G47&lt;=IF($S47=MesCiclo,InicioCiclo,$S47+MOD(2-WEEKDAY($S47),7))+6),1,IF(ISNUMBER($I47),$I47,0)))</f>
        <v/>
      </c>
      <c r="Z47" s="62">
        <f>IF($V47="","",IF(AND(ISNUMBER($G47),$G47&lt;=IF($S47=MesCiclo,InicioCiclo,$S47+MOD(2-WEEKDAY($S47),7))+13),1,IF(ISNUMBER($J47),$J47,$Y47)))</f>
        <v/>
      </c>
      <c r="AA47" s="62">
        <f>IF($V47="","",IF(AND(ISNUMBER($G47),$G47&lt;=IF($S47=MesCiclo,InicioCiclo,$S47+MOD(2-WEEKDAY($S47),7))+20),1,IF(ISNUMBER($K47),$K47,$Z47)))</f>
        <v/>
      </c>
      <c r="AB47" s="62">
        <f>IF($V47="","",IF(AND(ISNUMBER($G47),$G47&lt;=IF($S47=MesCiclo,InicioCiclo,$S47+MOD(2-WEEKDAY($S47),7))+27),1,IF(ISNUMBER($L47),$L47,$AA47)))</f>
        <v/>
      </c>
      <c r="AC47" s="62">
        <f>IF($V47="","",IF(AND(ISNUMBER($G47),$G47&lt;=IF($S47=MesCiclo,InicioCiclo,$S47+MOD(2-WEEKDAY($S47),7))+6),1,IF(N($W47)&gt;0,AVERAGEIFS($Y$5:$Y$1000,$U$5:$U$1000,ROW(),$V$5:$V$1000,"Sub"),$Y47)))</f>
        <v/>
      </c>
      <c r="AD47" s="62">
        <f>IF($V47="","",IF(AND(ISNUMBER($G47),$G47&lt;=IF($S47=MesCiclo,InicioCiclo,$S47+MOD(2-WEEKDAY($S47),7))+13),1,IF(N($W47)&gt;0,AVERAGEIFS($Z$5:$Z$1000,$U$5:$U$1000,ROW(),$V$5:$V$1000,"Sub"),$Z47)))</f>
        <v/>
      </c>
      <c r="AE47" s="62">
        <f>IF($V47="","",IF(AND(ISNUMBER($G47),$G47&lt;=IF($S47=MesCiclo,InicioCiclo,$S47+MOD(2-WEEKDAY($S47),7))+20),1,IF(N($W47)&gt;0,AVERAGEIFS($AA$5:$AA$1000,$U$5:$U$1000,ROW(),$V$5:$V$1000,"Sub"),$AA47)))</f>
        <v/>
      </c>
      <c r="AF47" s="62">
        <f>IF($V47="","",IF(AND(ISNUMBER($G47),$G47&lt;=IF($S47=MesCiclo,InicioCiclo,$S47+MOD(2-WEEKDAY($S47),7))+27),1,IF(N($W47)&gt;0,AVERAGEIFS($AB$5:$AB$1000,$U$5:$U$1000,ROW(),$V$5:$V$1000,"Sub"),$AB47)))</f>
        <v/>
      </c>
      <c r="AG47" s="62">
        <f>IF($V47&lt;&gt;"Macro","",IF(COUNTIFS($S$5:$S$1000,$S47,$V$5:$V$1000,"Macro",$H$5:$H$1000,"&gt;0")=0,1/COUNTIFS($S$5:$S$1000,$S47,$V$5:$V$1000,"Macro"),IF(AND(ISNUMBER($H47),N($H47)&gt;0),$H47,SUMIFS($H$5:$H$1000,$S$5:$S$1000,$S47,$V$5:$V$1000,"Macro")/COUNTIFS($S$5:$S$1000,$S47,$V$5:$V$1000,"Macro",$H$5:$H$1000,"&gt;0"))/(COUNTIFS($S$5:$S$1000,$S47,$V$5:$V$1000,"Macro")*SUMIFS($H$5:$H$1000,$S$5:$S$1000,$S47,$V$5:$V$1000,"Macro")/COUNTIFS($S$5:$S$1000,$S47,$V$5:$V$1000,"Macro",$H$5:$H$1000,"&gt;0"))))</f>
        <v/>
      </c>
      <c r="AH47" s="62">
        <f>IF(NOT(AND($D47&lt;&gt;"",$V47="Macro")),"",IFERROR(CHOOSE(MATCH($D47,ListaPuestos,0),MATCH("[Jefatura] "&amp;$C47,'Cronograma R. Operacional'!$C$5:$C$1000,0),MATCH("[Jefatura] "&amp;$C47,'Cronograma R. Normativo'!$C$5:$C$1000,0),MATCH("[Jefatura] "&amp;$C47,'Cronograma R. Financiero'!$C$5:$C$1000,0),MATCH("[Jefatura] "&amp;$C47,'Cronograma Asistente Técnico'!$C$5:$C$1000,0)),0))</f>
        <v/>
      </c>
      <c r="AI47" s="62">
        <f>IF(AND(AND($D47&lt;&gt;"",$V47="Macro"),$S47=MesCiclo),COUNTIFS($D$5:$D47,$D47,$S$5:$S47,MesCiclo,$V$5:$V47,"Macro"),"")</f>
        <v/>
      </c>
      <c r="AJ47" s="62">
        <f>IF($AI47="","",$D47&amp;"|"&amp;$AI47)</f>
        <v/>
      </c>
      <c r="AK47" s="62">
        <f>IF(AND($D47&lt;&gt;"",$V47="Macro"),$D47&amp;"|"&amp;$C47,"")</f>
        <v/>
      </c>
      <c r="AL47" s="62">
        <f>""</f>
        <v/>
      </c>
      <c r="AM47" s="62">
        <f>IF(N($AL47)&gt;0,INDEX(rIni_ADM,$AL47),IF(ISNUMBER($E47),$E47,""))</f>
        <v/>
      </c>
      <c r="AN47" s="62">
        <f>IF(N($AL47)&gt;0,INDEX(rLim_ADM,$AL47),IF(ISNUMBER($F47),$F47,""))</f>
        <v/>
      </c>
    </row>
    <row r="48">
      <c r="A48" s="56">
        <f>IF(NOT((COUNTA($B48:$D48)+COUNTA($G48:$L48)+COUNTA($Q48))&gt;0),"",IF($V48="Macro",COUNTIFS($V$5:$V48,"Macro",$S$5:$S48,$S48),IF(N($U48)=0,"?",COUNTIFS(INDEX($V$5:$V$1000,1):INDEX($V$5:$V$1000,$U48-4),"Macro",INDEX($S$5:$S$1000,1):INDEX($S$5:$S$1000,$U48-4),INDEX($S$5:$S$1000,$U48-4))&amp;"."&amp;COUNTIFS($U$5:$U48,$U48,$V$5:$V48,"Sub"))))</f>
        <v/>
      </c>
      <c r="B48" s="57" t="n"/>
      <c r="C48" s="58" t="n"/>
      <c r="D48" s="58" t="n"/>
      <c r="E48" s="59" t="n"/>
      <c r="F48" s="59" t="n"/>
      <c r="G48" s="59" t="n"/>
      <c r="H48" s="60" t="n"/>
      <c r="I48" s="60" t="n"/>
      <c r="J48" s="60" t="n"/>
      <c r="K48" s="60" t="n"/>
      <c r="L48" s="60" t="n"/>
      <c r="M48" s="61">
        <f>IF(NOT((COUNTA($B48:$D48)+COUNTA($G48:$L48)+COUNTA($Q48))&gt;0),"",IF(AND($D48&lt;&gt;"",$V48="Macro"),IF(N($AH48)&gt;0,N(CHOOSE(MATCH($D48,ListaPuestos,0),INDEX('Cronograma R. Operacional'!$M$5:$M$1000,$AH48),INDEX('Cronograma R. Normativo'!$M$5:$M$1000,$AH48),INDEX('Cronograma R. Financiero'!$M$5:$M$1000,$AH48),INDEX('Cronograma Asistente Técnico'!$M$5:$M$1000,$AH48))),0),IF(ISNUMBER($G48),1,IF(N($W48)&gt;0,AVERAGEIFS($X$5:$X$1000,$U$5:$U$1000,ROW(),$V$5:$V$1000,"Sub"),$X48))))</f>
        <v/>
      </c>
      <c r="N48" s="56">
        <f>IF($M48="","",IF($M48&gt;=1,"Completado",IF($M48&gt;0,"En curso","Pendiente")))</f>
        <v/>
      </c>
      <c r="O48" s="56">
        <f>IF(NOT((COUNTA($B48:$D48)+COUNTA($G48:$L48)+COUNTA($Q48))&gt;0),"",IF(AND(AND($D48&lt;&gt;"",$V48="Macro"),N($AH48)&gt;0),CHOOSE(MATCH($D48,ListaPuestos,0),INDEX('Cronograma R. Operacional'!$O$5:$O$1000,$AH48),INDEX('Cronograma R. Normativo'!$O$5:$O$1000,$AH48),INDEX('Cronograma R. Financiero'!$O$5:$O$1000,$AH48),INDEX('Cronograma Asistente Técnico'!$O$5:$O$1000,$AH48))&amp;"",IF(ISNUMBER($G48),IF(AND(ISNUMBER($AN48),$G48&gt;$AN48),"Cumplida con "&amp;($G48-$AN48)&amp;IF($G48-$AN48=1," día"," días")&amp;" de retraso","Cumplida"),IF(N($M48)&gt;=1,"Cumplida",IF(NOT(ISNUMBER($AN48)),"Sin fecha límite",IF($AN48&lt;FechaRef,"Vencida hace "&amp;(FechaRef-$AN48)&amp;IF(FechaRef-$AN48=1," día"," días"),IF($AN48=FechaRef,"Vence hoy",IF($AN48-FechaRef&lt;=DiasAlerta,"Vence en "&amp;($AN48-FechaRef)&amp;IF($AN48-FechaRef=1," día"," días"),"En plazo"))))))))</f>
        <v/>
      </c>
      <c r="P48" s="62">
        <f>IF(NOT((COUNTA($B48:$D48)+COUNTA($G48:$L48)+COUNTA($Q48))&gt;0),"",IF($D48="","Propia",IF($V48&lt;&gt;"Macro","Solo se delegan macroactividades",IF(N($AH48)&gt;0,"✔ Recibida por "&amp;$D48,"⚠ "&amp;$D48&amp;" aún no la agrega"))))</f>
        <v/>
      </c>
      <c r="Q48" s="58" t="n"/>
      <c r="R48" s="63">
        <f>IF(NOT((COUNTA($B48:$D48)+COUNTA($G48:$L48)+COUNTA($Q48))&gt;0),"",IF((IF($C48="","Falta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",""))="","✔ OK","⚠ "&amp;LEFT(IF($C48="","Falta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",""),LEN(IF($C48="","Falta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",""))-3)))</f>
        <v/>
      </c>
      <c r="S48" s="64">
        <f>IF(NOT((COUNTA($B48:$D48)+COUNTA($G48:$L48)+COUNTA($Q48))&gt;0),"",IF(AND($V48="Sub",N($U48)&gt;0),IF(ISNUMBER(INDEX($AM$5:$AM$1000,$U48-4)),DATE(YEAR(INDEX($AM$5:$AM$1000,$U48-4)),MONTH(INDEX($AM$5:$AM$1000,$U48-4)),1),IF(ISNUMBER(INDEX($AN$5:$AN$1000,$U48-4)),DATE(YEAR(INDEX($AN$5:$AN$1000,$U48-4)),MONTH(INDEX($AN$5:$AN$1000,$U48-4)),1),MesCiclo)),IF(ISNUMBER($AM48),DATE(YEAR($AM48),MONTH($AM48),1),IF(ISNUMBER($AN48),DATE(YEAR($AN48),MONTH($AN48),1),MesCiclo))))</f>
        <v/>
      </c>
      <c r="T48" s="62">
        <f>IF(OR($S48="",$S48&lt;&gt;MesCiclo),"",COUNTIF($S$5:$S48,MesCiclo))</f>
        <v/>
      </c>
      <c r="U48" s="62">
        <f>IF($V48="","",IF($V48="Macro",ROW(),IFERROR(LOOKUP(2,1/($V$5:$V48="Macro"),ROW($V$5:$V48)),0)))</f>
        <v/>
      </c>
      <c r="V48" s="62">
        <f>IF(NOT((COUNTA($B48:$D48)+COUNTA($G48:$L48)+COUNTA($Q48))&gt;0),"",IF($B48="Subactividad","Sub","Macro"))</f>
        <v/>
      </c>
      <c r="W48" s="62">
        <f>IF($V48="Macro",COUNTIFS($U$5:$U$1000,ROW(),$V$5:$V$1000,"Sub"),"")</f>
        <v/>
      </c>
      <c r="X48" s="62">
        <f>IF($V48="","",IF(ISNUMBER($G48),1,IFERROR(LOOKUP(2,1/($I48:$L48&lt;&gt;""),$I48:$L48),0)))</f>
        <v/>
      </c>
      <c r="Y48" s="62">
        <f>IF($V48="","",IF(AND(ISNUMBER($G48),$G48&lt;=IF($S48=MesCiclo,InicioCiclo,$S48+MOD(2-WEEKDAY($S48),7))+6),1,IF(ISNUMBER($I48),$I48,0)))</f>
        <v/>
      </c>
      <c r="Z48" s="62">
        <f>IF($V48="","",IF(AND(ISNUMBER($G48),$G48&lt;=IF($S48=MesCiclo,InicioCiclo,$S48+MOD(2-WEEKDAY($S48),7))+13),1,IF(ISNUMBER($J48),$J48,$Y48)))</f>
        <v/>
      </c>
      <c r="AA48" s="62">
        <f>IF($V48="","",IF(AND(ISNUMBER($G48),$G48&lt;=IF($S48=MesCiclo,InicioCiclo,$S48+MOD(2-WEEKDAY($S48),7))+20),1,IF(ISNUMBER($K48),$K48,$Z48)))</f>
        <v/>
      </c>
      <c r="AB48" s="62">
        <f>IF($V48="","",IF(AND(ISNUMBER($G48),$G48&lt;=IF($S48=MesCiclo,InicioCiclo,$S48+MOD(2-WEEKDAY($S48),7))+27),1,IF(ISNUMBER($L48),$L48,$AA48)))</f>
        <v/>
      </c>
      <c r="AC48" s="62">
        <f>IF($V48="","",IF(AND(ISNUMBER($G48),$G48&lt;=IF($S48=MesCiclo,InicioCiclo,$S48+MOD(2-WEEKDAY($S48),7))+6),1,IF(N($W48)&gt;0,AVERAGEIFS($Y$5:$Y$1000,$U$5:$U$1000,ROW(),$V$5:$V$1000,"Sub"),$Y48)))</f>
        <v/>
      </c>
      <c r="AD48" s="62">
        <f>IF($V48="","",IF(AND(ISNUMBER($G48),$G48&lt;=IF($S48=MesCiclo,InicioCiclo,$S48+MOD(2-WEEKDAY($S48),7))+13),1,IF(N($W48)&gt;0,AVERAGEIFS($Z$5:$Z$1000,$U$5:$U$1000,ROW(),$V$5:$V$1000,"Sub"),$Z48)))</f>
        <v/>
      </c>
      <c r="AE48" s="62">
        <f>IF($V48="","",IF(AND(ISNUMBER($G48),$G48&lt;=IF($S48=MesCiclo,InicioCiclo,$S48+MOD(2-WEEKDAY($S48),7))+20),1,IF(N($W48)&gt;0,AVERAGEIFS($AA$5:$AA$1000,$U$5:$U$1000,ROW(),$V$5:$V$1000,"Sub"),$AA48)))</f>
        <v/>
      </c>
      <c r="AF48" s="62">
        <f>IF($V48="","",IF(AND(ISNUMBER($G48),$G48&lt;=IF($S48=MesCiclo,InicioCiclo,$S48+MOD(2-WEEKDAY($S48),7))+27),1,IF(N($W48)&gt;0,AVERAGEIFS($AB$5:$AB$1000,$U$5:$U$1000,ROW(),$V$5:$V$1000,"Sub"),$AB48)))</f>
        <v/>
      </c>
      <c r="AG48" s="62">
        <f>IF($V48&lt;&gt;"Macro","",IF(COUNTIFS($S$5:$S$1000,$S48,$V$5:$V$1000,"Macro",$H$5:$H$1000,"&gt;0")=0,1/COUNTIFS($S$5:$S$1000,$S48,$V$5:$V$1000,"Macro"),IF(AND(ISNUMBER($H48),N($H48)&gt;0),$H48,SUMIFS($H$5:$H$1000,$S$5:$S$1000,$S48,$V$5:$V$1000,"Macro")/COUNTIFS($S$5:$S$1000,$S48,$V$5:$V$1000,"Macro",$H$5:$H$1000,"&gt;0"))/(COUNTIFS($S$5:$S$1000,$S48,$V$5:$V$1000,"Macro")*SUMIFS($H$5:$H$1000,$S$5:$S$1000,$S48,$V$5:$V$1000,"Macro")/COUNTIFS($S$5:$S$1000,$S48,$V$5:$V$1000,"Macro",$H$5:$H$1000,"&gt;0"))))</f>
        <v/>
      </c>
      <c r="AH48" s="62">
        <f>IF(NOT(AND($D48&lt;&gt;"",$V48="Macro")),"",IFERROR(CHOOSE(MATCH($D48,ListaPuestos,0),MATCH("[Jefatura] "&amp;$C48,'Cronograma R. Operacional'!$C$5:$C$1000,0),MATCH("[Jefatura] "&amp;$C48,'Cronograma R. Normativo'!$C$5:$C$1000,0),MATCH("[Jefatura] "&amp;$C48,'Cronograma R. Financiero'!$C$5:$C$1000,0),MATCH("[Jefatura] "&amp;$C48,'Cronograma Asistente Técnico'!$C$5:$C$1000,0)),0))</f>
        <v/>
      </c>
      <c r="AI48" s="62">
        <f>IF(AND(AND($D48&lt;&gt;"",$V48="Macro"),$S48=MesCiclo),COUNTIFS($D$5:$D48,$D48,$S$5:$S48,MesCiclo,$V$5:$V48,"Macro"),"")</f>
        <v/>
      </c>
      <c r="AJ48" s="62">
        <f>IF($AI48="","",$D48&amp;"|"&amp;$AI48)</f>
        <v/>
      </c>
      <c r="AK48" s="62">
        <f>IF(AND($D48&lt;&gt;"",$V48="Macro"),$D48&amp;"|"&amp;$C48,"")</f>
        <v/>
      </c>
      <c r="AL48" s="62">
        <f>""</f>
        <v/>
      </c>
      <c r="AM48" s="62">
        <f>IF(N($AL48)&gt;0,INDEX(rIni_ADM,$AL48),IF(ISNUMBER($E48),$E48,""))</f>
        <v/>
      </c>
      <c r="AN48" s="62">
        <f>IF(N($AL48)&gt;0,INDEX(rLim_ADM,$AL48),IF(ISNUMBER($F48),$F48,""))</f>
        <v/>
      </c>
    </row>
    <row r="49">
      <c r="A49" s="56">
        <f>IF(NOT((COUNTA($B49:$D49)+COUNTA($G49:$L49)+COUNTA($Q49))&gt;0),"",IF($V49="Macro",COUNTIFS($V$5:$V49,"Macro",$S$5:$S49,$S49),IF(N($U49)=0,"?",COUNTIFS(INDEX($V$5:$V$1000,1):INDEX($V$5:$V$1000,$U49-4),"Macro",INDEX($S$5:$S$1000,1):INDEX($S$5:$S$1000,$U49-4),INDEX($S$5:$S$1000,$U49-4))&amp;"."&amp;COUNTIFS($U$5:$U49,$U49,$V$5:$V49,"Sub"))))</f>
        <v/>
      </c>
      <c r="B49" s="57" t="n"/>
      <c r="C49" s="58" t="n"/>
      <c r="D49" s="58" t="n"/>
      <c r="E49" s="59" t="n"/>
      <c r="F49" s="59" t="n"/>
      <c r="G49" s="59" t="n"/>
      <c r="H49" s="60" t="n"/>
      <c r="I49" s="60" t="n"/>
      <c r="J49" s="60" t="n"/>
      <c r="K49" s="60" t="n"/>
      <c r="L49" s="60" t="n"/>
      <c r="M49" s="61">
        <f>IF(NOT((COUNTA($B49:$D49)+COUNTA($G49:$L49)+COUNTA($Q49))&gt;0),"",IF(AND($D49&lt;&gt;"",$V49="Macro"),IF(N($AH49)&gt;0,N(CHOOSE(MATCH($D49,ListaPuestos,0),INDEX('Cronograma R. Operacional'!$M$5:$M$1000,$AH49),INDEX('Cronograma R. Normativo'!$M$5:$M$1000,$AH49),INDEX('Cronograma R. Financiero'!$M$5:$M$1000,$AH49),INDEX('Cronograma Asistente Técnico'!$M$5:$M$1000,$AH49))),0),IF(ISNUMBER($G49),1,IF(N($W49)&gt;0,AVERAGEIFS($X$5:$X$1000,$U$5:$U$1000,ROW(),$V$5:$V$1000,"Sub"),$X49))))</f>
        <v/>
      </c>
      <c r="N49" s="56">
        <f>IF($M49="","",IF($M49&gt;=1,"Completado",IF($M49&gt;0,"En curso","Pendiente")))</f>
        <v/>
      </c>
      <c r="O49" s="56">
        <f>IF(NOT((COUNTA($B49:$D49)+COUNTA($G49:$L49)+COUNTA($Q49))&gt;0),"",IF(AND(AND($D49&lt;&gt;"",$V49="Macro"),N($AH49)&gt;0),CHOOSE(MATCH($D49,ListaPuestos,0),INDEX('Cronograma R. Operacional'!$O$5:$O$1000,$AH49),INDEX('Cronograma R. Normativo'!$O$5:$O$1000,$AH49),INDEX('Cronograma R. Financiero'!$O$5:$O$1000,$AH49),INDEX('Cronograma Asistente Técnico'!$O$5:$O$1000,$AH49))&amp;"",IF(ISNUMBER($G49),IF(AND(ISNUMBER($AN49),$G49&gt;$AN49),"Cumplida con "&amp;($G49-$AN49)&amp;IF($G49-$AN49=1," día"," días")&amp;" de retraso","Cumplida"),IF(N($M49)&gt;=1,"Cumplida",IF(NOT(ISNUMBER($AN49)),"Sin fecha límite",IF($AN49&lt;FechaRef,"Vencida hace "&amp;(FechaRef-$AN49)&amp;IF(FechaRef-$AN49=1," día"," días"),IF($AN49=FechaRef,"Vence hoy",IF($AN49-FechaRef&lt;=DiasAlerta,"Vence en "&amp;($AN49-FechaRef)&amp;IF($AN49-FechaRef=1," día"," días"),"En plazo"))))))))</f>
        <v/>
      </c>
      <c r="P49" s="62">
        <f>IF(NOT((COUNTA($B49:$D49)+COUNTA($G49:$L49)+COUNTA($Q49))&gt;0),"",IF($D49="","Propia",IF($V49&lt;&gt;"Macro","Solo se delegan macroactividades",IF(N($AH49)&gt;0,"✔ Recibida por "&amp;$D49,"⚠ "&amp;$D49&amp;" aún no la agrega"))))</f>
        <v/>
      </c>
      <c r="Q49" s="58" t="n"/>
      <c r="R49" s="63">
        <f>IF(NOT((COUNTA($B49:$D49)+COUNTA($G49:$L49)+COUNTA($Q49))&gt;0),"",IF((IF($C49="","Falta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",""))="","✔ OK","⚠ "&amp;LEFT(IF($C49="","Falta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",""),LEN(IF($C49="","Falta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",""))-3)))</f>
        <v/>
      </c>
      <c r="S49" s="64">
        <f>IF(NOT((COUNTA($B49:$D49)+COUNTA($G49:$L49)+COUNTA($Q49))&gt;0),"",IF(AND($V49="Sub",N($U49)&gt;0),IF(ISNUMBER(INDEX($AM$5:$AM$1000,$U49-4)),DATE(YEAR(INDEX($AM$5:$AM$1000,$U49-4)),MONTH(INDEX($AM$5:$AM$1000,$U49-4)),1),IF(ISNUMBER(INDEX($AN$5:$AN$1000,$U49-4)),DATE(YEAR(INDEX($AN$5:$AN$1000,$U49-4)),MONTH(INDEX($AN$5:$AN$1000,$U49-4)),1),MesCiclo)),IF(ISNUMBER($AM49),DATE(YEAR($AM49),MONTH($AM49),1),IF(ISNUMBER($AN49),DATE(YEAR($AN49),MONTH($AN49),1),MesCiclo))))</f>
        <v/>
      </c>
      <c r="T49" s="62">
        <f>IF(OR($S49="",$S49&lt;&gt;MesCiclo),"",COUNTIF($S$5:$S49,MesCiclo))</f>
        <v/>
      </c>
      <c r="U49" s="62">
        <f>IF($V49="","",IF($V49="Macro",ROW(),IFERROR(LOOKUP(2,1/($V$5:$V49="Macro"),ROW($V$5:$V49)),0)))</f>
        <v/>
      </c>
      <c r="V49" s="62">
        <f>IF(NOT((COUNTA($B49:$D49)+COUNTA($G49:$L49)+COUNTA($Q49))&gt;0),"",IF($B49="Subactividad","Sub","Macro"))</f>
        <v/>
      </c>
      <c r="W49" s="62">
        <f>IF($V49="Macro",COUNTIFS($U$5:$U$1000,ROW(),$V$5:$V$1000,"Sub"),"")</f>
        <v/>
      </c>
      <c r="X49" s="62">
        <f>IF($V49="","",IF(ISNUMBER($G49),1,IFERROR(LOOKUP(2,1/($I49:$L49&lt;&gt;""),$I49:$L49),0)))</f>
        <v/>
      </c>
      <c r="Y49" s="62">
        <f>IF($V49="","",IF(AND(ISNUMBER($G49),$G49&lt;=IF($S49=MesCiclo,InicioCiclo,$S49+MOD(2-WEEKDAY($S49),7))+6),1,IF(ISNUMBER($I49),$I49,0)))</f>
        <v/>
      </c>
      <c r="Z49" s="62">
        <f>IF($V49="","",IF(AND(ISNUMBER($G49),$G49&lt;=IF($S49=MesCiclo,InicioCiclo,$S49+MOD(2-WEEKDAY($S49),7))+13),1,IF(ISNUMBER($J49),$J49,$Y49)))</f>
        <v/>
      </c>
      <c r="AA49" s="62">
        <f>IF($V49="","",IF(AND(ISNUMBER($G49),$G49&lt;=IF($S49=MesCiclo,InicioCiclo,$S49+MOD(2-WEEKDAY($S49),7))+20),1,IF(ISNUMBER($K49),$K49,$Z49)))</f>
        <v/>
      </c>
      <c r="AB49" s="62">
        <f>IF($V49="","",IF(AND(ISNUMBER($G49),$G49&lt;=IF($S49=MesCiclo,InicioCiclo,$S49+MOD(2-WEEKDAY($S49),7))+27),1,IF(ISNUMBER($L49),$L49,$AA49)))</f>
        <v/>
      </c>
      <c r="AC49" s="62">
        <f>IF($V49="","",IF(AND(ISNUMBER($G49),$G49&lt;=IF($S49=MesCiclo,InicioCiclo,$S49+MOD(2-WEEKDAY($S49),7))+6),1,IF(N($W49)&gt;0,AVERAGEIFS($Y$5:$Y$1000,$U$5:$U$1000,ROW(),$V$5:$V$1000,"Sub"),$Y49)))</f>
        <v/>
      </c>
      <c r="AD49" s="62">
        <f>IF($V49="","",IF(AND(ISNUMBER($G49),$G49&lt;=IF($S49=MesCiclo,InicioCiclo,$S49+MOD(2-WEEKDAY($S49),7))+13),1,IF(N($W49)&gt;0,AVERAGEIFS($Z$5:$Z$1000,$U$5:$U$1000,ROW(),$V$5:$V$1000,"Sub"),$Z49)))</f>
        <v/>
      </c>
      <c r="AE49" s="62">
        <f>IF($V49="","",IF(AND(ISNUMBER($G49),$G49&lt;=IF($S49=MesCiclo,InicioCiclo,$S49+MOD(2-WEEKDAY($S49),7))+20),1,IF(N($W49)&gt;0,AVERAGEIFS($AA$5:$AA$1000,$U$5:$U$1000,ROW(),$V$5:$V$1000,"Sub"),$AA49)))</f>
        <v/>
      </c>
      <c r="AF49" s="62">
        <f>IF($V49="","",IF(AND(ISNUMBER($G49),$G49&lt;=IF($S49=MesCiclo,InicioCiclo,$S49+MOD(2-WEEKDAY($S49),7))+27),1,IF(N($W49)&gt;0,AVERAGEIFS($AB$5:$AB$1000,$U$5:$U$1000,ROW(),$V$5:$V$1000,"Sub"),$AB49)))</f>
        <v/>
      </c>
      <c r="AG49" s="62">
        <f>IF($V49&lt;&gt;"Macro","",IF(COUNTIFS($S$5:$S$1000,$S49,$V$5:$V$1000,"Macro",$H$5:$H$1000,"&gt;0")=0,1/COUNTIFS($S$5:$S$1000,$S49,$V$5:$V$1000,"Macro"),IF(AND(ISNUMBER($H49),N($H49)&gt;0),$H49,SUMIFS($H$5:$H$1000,$S$5:$S$1000,$S49,$V$5:$V$1000,"Macro")/COUNTIFS($S$5:$S$1000,$S49,$V$5:$V$1000,"Macro",$H$5:$H$1000,"&gt;0"))/(COUNTIFS($S$5:$S$1000,$S49,$V$5:$V$1000,"Macro")*SUMIFS($H$5:$H$1000,$S$5:$S$1000,$S49,$V$5:$V$1000,"Macro")/COUNTIFS($S$5:$S$1000,$S49,$V$5:$V$1000,"Macro",$H$5:$H$1000,"&gt;0"))))</f>
        <v/>
      </c>
      <c r="AH49" s="62">
        <f>IF(NOT(AND($D49&lt;&gt;"",$V49="Macro")),"",IFERROR(CHOOSE(MATCH($D49,ListaPuestos,0),MATCH("[Jefatura] "&amp;$C49,'Cronograma R. Operacional'!$C$5:$C$1000,0),MATCH("[Jefatura] "&amp;$C49,'Cronograma R. Normativo'!$C$5:$C$1000,0),MATCH("[Jefatura] "&amp;$C49,'Cronograma R. Financiero'!$C$5:$C$1000,0),MATCH("[Jefatura] "&amp;$C49,'Cronograma Asistente Técnico'!$C$5:$C$1000,0)),0))</f>
        <v/>
      </c>
      <c r="AI49" s="62">
        <f>IF(AND(AND($D49&lt;&gt;"",$V49="Macro"),$S49=MesCiclo),COUNTIFS($D$5:$D49,$D49,$S$5:$S49,MesCiclo,$V$5:$V49,"Macro"),"")</f>
        <v/>
      </c>
      <c r="AJ49" s="62">
        <f>IF($AI49="","",$D49&amp;"|"&amp;$AI49)</f>
        <v/>
      </c>
      <c r="AK49" s="62">
        <f>IF(AND($D49&lt;&gt;"",$V49="Macro"),$D49&amp;"|"&amp;$C49,"")</f>
        <v/>
      </c>
      <c r="AL49" s="62">
        <f>""</f>
        <v/>
      </c>
      <c r="AM49" s="62">
        <f>IF(N($AL49)&gt;0,INDEX(rIni_ADM,$AL49),IF(ISNUMBER($E49),$E49,""))</f>
        <v/>
      </c>
      <c r="AN49" s="62">
        <f>IF(N($AL49)&gt;0,INDEX(rLim_ADM,$AL49),IF(ISNUMBER($F49),$F49,""))</f>
        <v/>
      </c>
    </row>
    <row r="50">
      <c r="A50" s="56">
        <f>IF(NOT((COUNTA($B50:$D50)+COUNTA($G50:$L50)+COUNTA($Q50))&gt;0),"",IF($V50="Macro",COUNTIFS($V$5:$V50,"Macro",$S$5:$S50,$S50),IF(N($U50)=0,"?",COUNTIFS(INDEX($V$5:$V$1000,1):INDEX($V$5:$V$1000,$U50-4),"Macro",INDEX($S$5:$S$1000,1):INDEX($S$5:$S$1000,$U50-4),INDEX($S$5:$S$1000,$U50-4))&amp;"."&amp;COUNTIFS($U$5:$U50,$U50,$V$5:$V50,"Sub"))))</f>
        <v/>
      </c>
      <c r="B50" s="57" t="n"/>
      <c r="C50" s="58" t="n"/>
      <c r="D50" s="58" t="n"/>
      <c r="E50" s="59" t="n"/>
      <c r="F50" s="59" t="n"/>
      <c r="G50" s="59" t="n"/>
      <c r="H50" s="60" t="n"/>
      <c r="I50" s="60" t="n"/>
      <c r="J50" s="60" t="n"/>
      <c r="K50" s="60" t="n"/>
      <c r="L50" s="60" t="n"/>
      <c r="M50" s="61">
        <f>IF(NOT((COUNTA($B50:$D50)+COUNTA($G50:$L50)+COUNTA($Q50))&gt;0),"",IF(AND($D50&lt;&gt;"",$V50="Macro"),IF(N($AH50)&gt;0,N(CHOOSE(MATCH($D50,ListaPuestos,0),INDEX('Cronograma R. Operacional'!$M$5:$M$1000,$AH50),INDEX('Cronograma R. Normativo'!$M$5:$M$1000,$AH50),INDEX('Cronograma R. Financiero'!$M$5:$M$1000,$AH50),INDEX('Cronograma Asistente Técnico'!$M$5:$M$1000,$AH50))),0),IF(ISNUMBER($G50),1,IF(N($W50)&gt;0,AVERAGEIFS($X$5:$X$1000,$U$5:$U$1000,ROW(),$V$5:$V$1000,"Sub"),$X50))))</f>
        <v/>
      </c>
      <c r="N50" s="56">
        <f>IF($M50="","",IF($M50&gt;=1,"Completado",IF($M50&gt;0,"En curso","Pendiente")))</f>
        <v/>
      </c>
      <c r="O50" s="56">
        <f>IF(NOT((COUNTA($B50:$D50)+COUNTA($G50:$L50)+COUNTA($Q50))&gt;0),"",IF(AND(AND($D50&lt;&gt;"",$V50="Macro"),N($AH50)&gt;0),CHOOSE(MATCH($D50,ListaPuestos,0),INDEX('Cronograma R. Operacional'!$O$5:$O$1000,$AH50),INDEX('Cronograma R. Normativo'!$O$5:$O$1000,$AH50),INDEX('Cronograma R. Financiero'!$O$5:$O$1000,$AH50),INDEX('Cronograma Asistente Técnico'!$O$5:$O$1000,$AH50))&amp;"",IF(ISNUMBER($G50),IF(AND(ISNUMBER($AN50),$G50&gt;$AN50),"Cumplida con "&amp;($G50-$AN50)&amp;IF($G50-$AN50=1," día"," días")&amp;" de retraso","Cumplida"),IF(N($M50)&gt;=1,"Cumplida",IF(NOT(ISNUMBER($AN50)),"Sin fecha límite",IF($AN50&lt;FechaRef,"Vencida hace "&amp;(FechaRef-$AN50)&amp;IF(FechaRef-$AN50=1," día"," días"),IF($AN50=FechaRef,"Vence hoy",IF($AN50-FechaRef&lt;=DiasAlerta,"Vence en "&amp;($AN50-FechaRef)&amp;IF($AN50-FechaRef=1," día"," días"),"En plazo"))))))))</f>
        <v/>
      </c>
      <c r="P50" s="62">
        <f>IF(NOT((COUNTA($B50:$D50)+COUNTA($G50:$L50)+COUNTA($Q50))&gt;0),"",IF($D50="","Propia",IF($V50&lt;&gt;"Macro","Solo se delegan macroactividades",IF(N($AH50)&gt;0,"✔ Recibida por "&amp;$D50,"⚠ "&amp;$D50&amp;" aún no la agrega"))))</f>
        <v/>
      </c>
      <c r="Q50" s="58" t="n"/>
      <c r="R50" s="63">
        <f>IF(NOT((COUNTA($B50:$D50)+COUNTA($G50:$L50)+COUNTA($Q50))&gt;0),"",IF((IF($C50="","Falta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",""))="","✔ OK","⚠ "&amp;LEFT(IF($C50="","Falta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",""),LEN(IF($C50="","Falta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",""))-3)))</f>
        <v/>
      </c>
      <c r="S50" s="64">
        <f>IF(NOT((COUNTA($B50:$D50)+COUNTA($G50:$L50)+COUNTA($Q50))&gt;0),"",IF(AND($V50="Sub",N($U50)&gt;0),IF(ISNUMBER(INDEX($AM$5:$AM$1000,$U50-4)),DATE(YEAR(INDEX($AM$5:$AM$1000,$U50-4)),MONTH(INDEX($AM$5:$AM$1000,$U50-4)),1),IF(ISNUMBER(INDEX($AN$5:$AN$1000,$U50-4)),DATE(YEAR(INDEX($AN$5:$AN$1000,$U50-4)),MONTH(INDEX($AN$5:$AN$1000,$U50-4)),1),MesCiclo)),IF(ISNUMBER($AM50),DATE(YEAR($AM50),MONTH($AM50),1),IF(ISNUMBER($AN50),DATE(YEAR($AN50),MONTH($AN50),1),MesCiclo))))</f>
        <v/>
      </c>
      <c r="T50" s="62">
        <f>IF(OR($S50="",$S50&lt;&gt;MesCiclo),"",COUNTIF($S$5:$S50,MesCiclo))</f>
        <v/>
      </c>
      <c r="U50" s="62">
        <f>IF($V50="","",IF($V50="Macro",ROW(),IFERROR(LOOKUP(2,1/($V$5:$V50="Macro"),ROW($V$5:$V50)),0)))</f>
        <v/>
      </c>
      <c r="V50" s="62">
        <f>IF(NOT((COUNTA($B50:$D50)+COUNTA($G50:$L50)+COUNTA($Q50))&gt;0),"",IF($B50="Subactividad","Sub","Macro"))</f>
        <v/>
      </c>
      <c r="W50" s="62">
        <f>IF($V50="Macro",COUNTIFS($U$5:$U$1000,ROW(),$V$5:$V$1000,"Sub"),"")</f>
        <v/>
      </c>
      <c r="X50" s="62">
        <f>IF($V50="","",IF(ISNUMBER($G50),1,IFERROR(LOOKUP(2,1/($I50:$L50&lt;&gt;""),$I50:$L50),0)))</f>
        <v/>
      </c>
      <c r="Y50" s="62">
        <f>IF($V50="","",IF(AND(ISNUMBER($G50),$G50&lt;=IF($S50=MesCiclo,InicioCiclo,$S50+MOD(2-WEEKDAY($S50),7))+6),1,IF(ISNUMBER($I50),$I50,0)))</f>
        <v/>
      </c>
      <c r="Z50" s="62">
        <f>IF($V50="","",IF(AND(ISNUMBER($G50),$G50&lt;=IF($S50=MesCiclo,InicioCiclo,$S50+MOD(2-WEEKDAY($S50),7))+13),1,IF(ISNUMBER($J50),$J50,$Y50)))</f>
        <v/>
      </c>
      <c r="AA50" s="62">
        <f>IF($V50="","",IF(AND(ISNUMBER($G50),$G50&lt;=IF($S50=MesCiclo,InicioCiclo,$S50+MOD(2-WEEKDAY($S50),7))+20),1,IF(ISNUMBER($K50),$K50,$Z50)))</f>
        <v/>
      </c>
      <c r="AB50" s="62">
        <f>IF($V50="","",IF(AND(ISNUMBER($G50),$G50&lt;=IF($S50=MesCiclo,InicioCiclo,$S50+MOD(2-WEEKDAY($S50),7))+27),1,IF(ISNUMBER($L50),$L50,$AA50)))</f>
        <v/>
      </c>
      <c r="AC50" s="62">
        <f>IF($V50="","",IF(AND(ISNUMBER($G50),$G50&lt;=IF($S50=MesCiclo,InicioCiclo,$S50+MOD(2-WEEKDAY($S50),7))+6),1,IF(N($W50)&gt;0,AVERAGEIFS($Y$5:$Y$1000,$U$5:$U$1000,ROW(),$V$5:$V$1000,"Sub"),$Y50)))</f>
        <v/>
      </c>
      <c r="AD50" s="62">
        <f>IF($V50="","",IF(AND(ISNUMBER($G50),$G50&lt;=IF($S50=MesCiclo,InicioCiclo,$S50+MOD(2-WEEKDAY($S50),7))+13),1,IF(N($W50)&gt;0,AVERAGEIFS($Z$5:$Z$1000,$U$5:$U$1000,ROW(),$V$5:$V$1000,"Sub"),$Z50)))</f>
        <v/>
      </c>
      <c r="AE50" s="62">
        <f>IF($V50="","",IF(AND(ISNUMBER($G50),$G50&lt;=IF($S50=MesCiclo,InicioCiclo,$S50+MOD(2-WEEKDAY($S50),7))+20),1,IF(N($W50)&gt;0,AVERAGEIFS($AA$5:$AA$1000,$U$5:$U$1000,ROW(),$V$5:$V$1000,"Sub"),$AA50)))</f>
        <v/>
      </c>
      <c r="AF50" s="62">
        <f>IF($V50="","",IF(AND(ISNUMBER($G50),$G50&lt;=IF($S50=MesCiclo,InicioCiclo,$S50+MOD(2-WEEKDAY($S50),7))+27),1,IF(N($W50)&gt;0,AVERAGEIFS($AB$5:$AB$1000,$U$5:$U$1000,ROW(),$V$5:$V$1000,"Sub"),$AB50)))</f>
        <v/>
      </c>
      <c r="AG50" s="62">
        <f>IF($V50&lt;&gt;"Macro","",IF(COUNTIFS($S$5:$S$1000,$S50,$V$5:$V$1000,"Macro",$H$5:$H$1000,"&gt;0")=0,1/COUNTIFS($S$5:$S$1000,$S50,$V$5:$V$1000,"Macro"),IF(AND(ISNUMBER($H50),N($H50)&gt;0),$H50,SUMIFS($H$5:$H$1000,$S$5:$S$1000,$S50,$V$5:$V$1000,"Macro")/COUNTIFS($S$5:$S$1000,$S50,$V$5:$V$1000,"Macro",$H$5:$H$1000,"&gt;0"))/(COUNTIFS($S$5:$S$1000,$S50,$V$5:$V$1000,"Macro")*SUMIFS($H$5:$H$1000,$S$5:$S$1000,$S50,$V$5:$V$1000,"Macro")/COUNTIFS($S$5:$S$1000,$S50,$V$5:$V$1000,"Macro",$H$5:$H$1000,"&gt;0"))))</f>
        <v/>
      </c>
      <c r="AH50" s="62">
        <f>IF(NOT(AND($D50&lt;&gt;"",$V50="Macro")),"",IFERROR(CHOOSE(MATCH($D50,ListaPuestos,0),MATCH("[Jefatura] "&amp;$C50,'Cronograma R. Operacional'!$C$5:$C$1000,0),MATCH("[Jefatura] "&amp;$C50,'Cronograma R. Normativo'!$C$5:$C$1000,0),MATCH("[Jefatura] "&amp;$C50,'Cronograma R. Financiero'!$C$5:$C$1000,0),MATCH("[Jefatura] "&amp;$C50,'Cronograma Asistente Técnico'!$C$5:$C$1000,0)),0))</f>
        <v/>
      </c>
      <c r="AI50" s="62">
        <f>IF(AND(AND($D50&lt;&gt;"",$V50="Macro"),$S50=MesCiclo),COUNTIFS($D$5:$D50,$D50,$S$5:$S50,MesCiclo,$V$5:$V50,"Macro"),"")</f>
        <v/>
      </c>
      <c r="AJ50" s="62">
        <f>IF($AI50="","",$D50&amp;"|"&amp;$AI50)</f>
        <v/>
      </c>
      <c r="AK50" s="62">
        <f>IF(AND($D50&lt;&gt;"",$V50="Macro"),$D50&amp;"|"&amp;$C50,"")</f>
        <v/>
      </c>
      <c r="AL50" s="62">
        <f>""</f>
        <v/>
      </c>
      <c r="AM50" s="62">
        <f>IF(N($AL50)&gt;0,INDEX(rIni_ADM,$AL50),IF(ISNUMBER($E50),$E50,""))</f>
        <v/>
      </c>
      <c r="AN50" s="62">
        <f>IF(N($AL50)&gt;0,INDEX(rLim_ADM,$AL50),IF(ISNUMBER($F50),$F50,""))</f>
        <v/>
      </c>
    </row>
    <row r="51">
      <c r="A51" s="56">
        <f>IF(NOT((COUNTA($B51:$D51)+COUNTA($G51:$L51)+COUNTA($Q51))&gt;0),"",IF($V51="Macro",COUNTIFS($V$5:$V51,"Macro",$S$5:$S51,$S51),IF(N($U51)=0,"?",COUNTIFS(INDEX($V$5:$V$1000,1):INDEX($V$5:$V$1000,$U51-4),"Macro",INDEX($S$5:$S$1000,1):INDEX($S$5:$S$1000,$U51-4),INDEX($S$5:$S$1000,$U51-4))&amp;"."&amp;COUNTIFS($U$5:$U51,$U51,$V$5:$V51,"Sub"))))</f>
        <v/>
      </c>
      <c r="B51" s="57" t="n"/>
      <c r="C51" s="58" t="n"/>
      <c r="D51" s="58" t="n"/>
      <c r="E51" s="59" t="n"/>
      <c r="F51" s="59" t="n"/>
      <c r="G51" s="59" t="n"/>
      <c r="H51" s="60" t="n"/>
      <c r="I51" s="60" t="n"/>
      <c r="J51" s="60" t="n"/>
      <c r="K51" s="60" t="n"/>
      <c r="L51" s="60" t="n"/>
      <c r="M51" s="61">
        <f>IF(NOT((COUNTA($B51:$D51)+COUNTA($G51:$L51)+COUNTA($Q51))&gt;0),"",IF(AND($D51&lt;&gt;"",$V51="Macro"),IF(N($AH51)&gt;0,N(CHOOSE(MATCH($D51,ListaPuestos,0),INDEX('Cronograma R. Operacional'!$M$5:$M$1000,$AH51),INDEX('Cronograma R. Normativo'!$M$5:$M$1000,$AH51),INDEX('Cronograma R. Financiero'!$M$5:$M$1000,$AH51),INDEX('Cronograma Asistente Técnico'!$M$5:$M$1000,$AH51))),0),IF(ISNUMBER($G51),1,IF(N($W51)&gt;0,AVERAGEIFS($X$5:$X$1000,$U$5:$U$1000,ROW(),$V$5:$V$1000,"Sub"),$X51))))</f>
        <v/>
      </c>
      <c r="N51" s="56">
        <f>IF($M51="","",IF($M51&gt;=1,"Completado",IF($M51&gt;0,"En curso","Pendiente")))</f>
        <v/>
      </c>
      <c r="O51" s="56">
        <f>IF(NOT((COUNTA($B51:$D51)+COUNTA($G51:$L51)+COUNTA($Q51))&gt;0),"",IF(AND(AND($D51&lt;&gt;"",$V51="Macro"),N($AH51)&gt;0),CHOOSE(MATCH($D51,ListaPuestos,0),INDEX('Cronograma R. Operacional'!$O$5:$O$1000,$AH51),INDEX('Cronograma R. Normativo'!$O$5:$O$1000,$AH51),INDEX('Cronograma R. Financiero'!$O$5:$O$1000,$AH51),INDEX('Cronograma Asistente Técnico'!$O$5:$O$1000,$AH51))&amp;"",IF(ISNUMBER($G51),IF(AND(ISNUMBER($AN51),$G51&gt;$AN51),"Cumplida con "&amp;($G51-$AN51)&amp;IF($G51-$AN51=1," día"," días")&amp;" de retraso","Cumplida"),IF(N($M51)&gt;=1,"Cumplida",IF(NOT(ISNUMBER($AN51)),"Sin fecha límite",IF($AN51&lt;FechaRef,"Vencida hace "&amp;(FechaRef-$AN51)&amp;IF(FechaRef-$AN51=1," día"," días"),IF($AN51=FechaRef,"Vence hoy",IF($AN51-FechaRef&lt;=DiasAlerta,"Vence en "&amp;($AN51-FechaRef)&amp;IF($AN51-FechaRef=1," día"," días"),"En plazo"))))))))</f>
        <v/>
      </c>
      <c r="P51" s="62">
        <f>IF(NOT((COUNTA($B51:$D51)+COUNTA($G51:$L51)+COUNTA($Q51))&gt;0),"",IF($D51="","Propia",IF($V51&lt;&gt;"Macro","Solo se delegan macroactividades",IF(N($AH51)&gt;0,"✔ Recibida por "&amp;$D51,"⚠ "&amp;$D51&amp;" aún no la agrega"))))</f>
        <v/>
      </c>
      <c r="Q51" s="58" t="n"/>
      <c r="R51" s="63">
        <f>IF(NOT((COUNTA($B51:$D51)+COUNTA($G51:$L51)+COUNTA($Q51))&gt;0),"",IF((IF($C51="","Falta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",""))="","✔ OK","⚠ "&amp;LEFT(IF($C51="","Falta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",""),LEN(IF($C51="","Falta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",""))-3)))</f>
        <v/>
      </c>
      <c r="S51" s="64">
        <f>IF(NOT((COUNTA($B51:$D51)+COUNTA($G51:$L51)+COUNTA($Q51))&gt;0),"",IF(AND($V51="Sub",N($U51)&gt;0),IF(ISNUMBER(INDEX($AM$5:$AM$1000,$U51-4)),DATE(YEAR(INDEX($AM$5:$AM$1000,$U51-4)),MONTH(INDEX($AM$5:$AM$1000,$U51-4)),1),IF(ISNUMBER(INDEX($AN$5:$AN$1000,$U51-4)),DATE(YEAR(INDEX($AN$5:$AN$1000,$U51-4)),MONTH(INDEX($AN$5:$AN$1000,$U51-4)),1),MesCiclo)),IF(ISNUMBER($AM51),DATE(YEAR($AM51),MONTH($AM51),1),IF(ISNUMBER($AN51),DATE(YEAR($AN51),MONTH($AN51),1),MesCiclo))))</f>
        <v/>
      </c>
      <c r="T51" s="62">
        <f>IF(OR($S51="",$S51&lt;&gt;MesCiclo),"",COUNTIF($S$5:$S51,MesCiclo))</f>
        <v/>
      </c>
      <c r="U51" s="62">
        <f>IF($V51="","",IF($V51="Macro",ROW(),IFERROR(LOOKUP(2,1/($V$5:$V51="Macro"),ROW($V$5:$V51)),0)))</f>
        <v/>
      </c>
      <c r="V51" s="62">
        <f>IF(NOT((COUNTA($B51:$D51)+COUNTA($G51:$L51)+COUNTA($Q51))&gt;0),"",IF($B51="Subactividad","Sub","Macro"))</f>
        <v/>
      </c>
      <c r="W51" s="62">
        <f>IF($V51="Macro",COUNTIFS($U$5:$U$1000,ROW(),$V$5:$V$1000,"Sub"),"")</f>
        <v/>
      </c>
      <c r="X51" s="62">
        <f>IF($V51="","",IF(ISNUMBER($G51),1,IFERROR(LOOKUP(2,1/($I51:$L51&lt;&gt;""),$I51:$L51),0)))</f>
        <v/>
      </c>
      <c r="Y51" s="62">
        <f>IF($V51="","",IF(AND(ISNUMBER($G51),$G51&lt;=IF($S51=MesCiclo,InicioCiclo,$S51+MOD(2-WEEKDAY($S51),7))+6),1,IF(ISNUMBER($I51),$I51,0)))</f>
        <v/>
      </c>
      <c r="Z51" s="62">
        <f>IF($V51="","",IF(AND(ISNUMBER($G51),$G51&lt;=IF($S51=MesCiclo,InicioCiclo,$S51+MOD(2-WEEKDAY($S51),7))+13),1,IF(ISNUMBER($J51),$J51,$Y51)))</f>
        <v/>
      </c>
      <c r="AA51" s="62">
        <f>IF($V51="","",IF(AND(ISNUMBER($G51),$G51&lt;=IF($S51=MesCiclo,InicioCiclo,$S51+MOD(2-WEEKDAY($S51),7))+20),1,IF(ISNUMBER($K51),$K51,$Z51)))</f>
        <v/>
      </c>
      <c r="AB51" s="62">
        <f>IF($V51="","",IF(AND(ISNUMBER($G51),$G51&lt;=IF($S51=MesCiclo,InicioCiclo,$S51+MOD(2-WEEKDAY($S51),7))+27),1,IF(ISNUMBER($L51),$L51,$AA51)))</f>
        <v/>
      </c>
      <c r="AC51" s="62">
        <f>IF($V51="","",IF(AND(ISNUMBER($G51),$G51&lt;=IF($S51=MesCiclo,InicioCiclo,$S51+MOD(2-WEEKDAY($S51),7))+6),1,IF(N($W51)&gt;0,AVERAGEIFS($Y$5:$Y$1000,$U$5:$U$1000,ROW(),$V$5:$V$1000,"Sub"),$Y51)))</f>
        <v/>
      </c>
      <c r="AD51" s="62">
        <f>IF($V51="","",IF(AND(ISNUMBER($G51),$G51&lt;=IF($S51=MesCiclo,InicioCiclo,$S51+MOD(2-WEEKDAY($S51),7))+13),1,IF(N($W51)&gt;0,AVERAGEIFS($Z$5:$Z$1000,$U$5:$U$1000,ROW(),$V$5:$V$1000,"Sub"),$Z51)))</f>
        <v/>
      </c>
      <c r="AE51" s="62">
        <f>IF($V51="","",IF(AND(ISNUMBER($G51),$G51&lt;=IF($S51=MesCiclo,InicioCiclo,$S51+MOD(2-WEEKDAY($S51),7))+20),1,IF(N($W51)&gt;0,AVERAGEIFS($AA$5:$AA$1000,$U$5:$U$1000,ROW(),$V$5:$V$1000,"Sub"),$AA51)))</f>
        <v/>
      </c>
      <c r="AF51" s="62">
        <f>IF($V51="","",IF(AND(ISNUMBER($G51),$G51&lt;=IF($S51=MesCiclo,InicioCiclo,$S51+MOD(2-WEEKDAY($S51),7))+27),1,IF(N($W51)&gt;0,AVERAGEIFS($AB$5:$AB$1000,$U$5:$U$1000,ROW(),$V$5:$V$1000,"Sub"),$AB51)))</f>
        <v/>
      </c>
      <c r="AG51" s="62">
        <f>IF($V51&lt;&gt;"Macro","",IF(COUNTIFS($S$5:$S$1000,$S51,$V$5:$V$1000,"Macro",$H$5:$H$1000,"&gt;0")=0,1/COUNTIFS($S$5:$S$1000,$S51,$V$5:$V$1000,"Macro"),IF(AND(ISNUMBER($H51),N($H51)&gt;0),$H51,SUMIFS($H$5:$H$1000,$S$5:$S$1000,$S51,$V$5:$V$1000,"Macro")/COUNTIFS($S$5:$S$1000,$S51,$V$5:$V$1000,"Macro",$H$5:$H$1000,"&gt;0"))/(COUNTIFS($S$5:$S$1000,$S51,$V$5:$V$1000,"Macro")*SUMIFS($H$5:$H$1000,$S$5:$S$1000,$S51,$V$5:$V$1000,"Macro")/COUNTIFS($S$5:$S$1000,$S51,$V$5:$V$1000,"Macro",$H$5:$H$1000,"&gt;0"))))</f>
        <v/>
      </c>
      <c r="AH51" s="62">
        <f>IF(NOT(AND($D51&lt;&gt;"",$V51="Macro")),"",IFERROR(CHOOSE(MATCH($D51,ListaPuestos,0),MATCH("[Jefatura] "&amp;$C51,'Cronograma R. Operacional'!$C$5:$C$1000,0),MATCH("[Jefatura] "&amp;$C51,'Cronograma R. Normativo'!$C$5:$C$1000,0),MATCH("[Jefatura] "&amp;$C51,'Cronograma R. Financiero'!$C$5:$C$1000,0),MATCH("[Jefatura] "&amp;$C51,'Cronograma Asistente Técnico'!$C$5:$C$1000,0)),0))</f>
        <v/>
      </c>
      <c r="AI51" s="62">
        <f>IF(AND(AND($D51&lt;&gt;"",$V51="Macro"),$S51=MesCiclo),COUNTIFS($D$5:$D51,$D51,$S$5:$S51,MesCiclo,$V$5:$V51,"Macro"),"")</f>
        <v/>
      </c>
      <c r="AJ51" s="62">
        <f>IF($AI51="","",$D51&amp;"|"&amp;$AI51)</f>
        <v/>
      </c>
      <c r="AK51" s="62">
        <f>IF(AND($D51&lt;&gt;"",$V51="Macro"),$D51&amp;"|"&amp;$C51,"")</f>
        <v/>
      </c>
      <c r="AL51" s="62">
        <f>""</f>
        <v/>
      </c>
      <c r="AM51" s="62">
        <f>IF(N($AL51)&gt;0,INDEX(rIni_ADM,$AL51),IF(ISNUMBER($E51),$E51,""))</f>
        <v/>
      </c>
      <c r="AN51" s="62">
        <f>IF(N($AL51)&gt;0,INDEX(rLim_ADM,$AL51),IF(ISNUMBER($F51),$F51,""))</f>
        <v/>
      </c>
    </row>
    <row r="52">
      <c r="A52" s="56">
        <f>IF(NOT((COUNTA($B52:$D52)+COUNTA($G52:$L52)+COUNTA($Q52))&gt;0),"",IF($V52="Macro",COUNTIFS($V$5:$V52,"Macro",$S$5:$S52,$S52),IF(N($U52)=0,"?",COUNTIFS(INDEX($V$5:$V$1000,1):INDEX($V$5:$V$1000,$U52-4),"Macro",INDEX($S$5:$S$1000,1):INDEX($S$5:$S$1000,$U52-4),INDEX($S$5:$S$1000,$U52-4))&amp;"."&amp;COUNTIFS($U$5:$U52,$U52,$V$5:$V52,"Sub"))))</f>
        <v/>
      </c>
      <c r="B52" s="57" t="n"/>
      <c r="C52" s="58" t="n"/>
      <c r="D52" s="58" t="n"/>
      <c r="E52" s="59" t="n"/>
      <c r="F52" s="59" t="n"/>
      <c r="G52" s="59" t="n"/>
      <c r="H52" s="60" t="n"/>
      <c r="I52" s="60" t="n"/>
      <c r="J52" s="60" t="n"/>
      <c r="K52" s="60" t="n"/>
      <c r="L52" s="60" t="n"/>
      <c r="M52" s="61">
        <f>IF(NOT((COUNTA($B52:$D52)+COUNTA($G52:$L52)+COUNTA($Q52))&gt;0),"",IF(AND($D52&lt;&gt;"",$V52="Macro"),IF(N($AH52)&gt;0,N(CHOOSE(MATCH($D52,ListaPuestos,0),INDEX('Cronograma R. Operacional'!$M$5:$M$1000,$AH52),INDEX('Cronograma R. Normativo'!$M$5:$M$1000,$AH52),INDEX('Cronograma R. Financiero'!$M$5:$M$1000,$AH52),INDEX('Cronograma Asistente Técnico'!$M$5:$M$1000,$AH52))),0),IF(ISNUMBER($G52),1,IF(N($W52)&gt;0,AVERAGEIFS($X$5:$X$1000,$U$5:$U$1000,ROW(),$V$5:$V$1000,"Sub"),$X52))))</f>
        <v/>
      </c>
      <c r="N52" s="56">
        <f>IF($M52="","",IF($M52&gt;=1,"Completado",IF($M52&gt;0,"En curso","Pendiente")))</f>
        <v/>
      </c>
      <c r="O52" s="56">
        <f>IF(NOT((COUNTA($B52:$D52)+COUNTA($G52:$L52)+COUNTA($Q52))&gt;0),"",IF(AND(AND($D52&lt;&gt;"",$V52="Macro"),N($AH52)&gt;0),CHOOSE(MATCH($D52,ListaPuestos,0),INDEX('Cronograma R. Operacional'!$O$5:$O$1000,$AH52),INDEX('Cronograma R. Normativo'!$O$5:$O$1000,$AH52),INDEX('Cronograma R. Financiero'!$O$5:$O$1000,$AH52),INDEX('Cronograma Asistente Técnico'!$O$5:$O$1000,$AH52))&amp;"",IF(ISNUMBER($G52),IF(AND(ISNUMBER($AN52),$G52&gt;$AN52),"Cumplida con "&amp;($G52-$AN52)&amp;IF($G52-$AN52=1," día"," días")&amp;" de retraso","Cumplida"),IF(N($M52)&gt;=1,"Cumplida",IF(NOT(ISNUMBER($AN52)),"Sin fecha límite",IF($AN52&lt;FechaRef,"Vencida hace "&amp;(FechaRef-$AN52)&amp;IF(FechaRef-$AN52=1," día"," días"),IF($AN52=FechaRef,"Vence hoy",IF($AN52-FechaRef&lt;=DiasAlerta,"Vence en "&amp;($AN52-FechaRef)&amp;IF($AN52-FechaRef=1," día"," días"),"En plazo"))))))))</f>
        <v/>
      </c>
      <c r="P52" s="62">
        <f>IF(NOT((COUNTA($B52:$D52)+COUNTA($G52:$L52)+COUNTA($Q52))&gt;0),"",IF($D52="","Propia",IF($V52&lt;&gt;"Macro","Solo se delegan macroactividades",IF(N($AH52)&gt;0,"✔ Recibida por "&amp;$D52,"⚠ "&amp;$D52&amp;" aún no la agrega"))))</f>
        <v/>
      </c>
      <c r="Q52" s="58" t="n"/>
      <c r="R52" s="63">
        <f>IF(NOT((COUNTA($B52:$D52)+COUNTA($G52:$L52)+COUNTA($Q52))&gt;0),"",IF((IF($C52="","Falta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",""))="","✔ OK","⚠ "&amp;LEFT(IF($C52="","Falta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",""),LEN(IF($C52="","Falta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",""))-3)))</f>
        <v/>
      </c>
      <c r="S52" s="64">
        <f>IF(NOT((COUNTA($B52:$D52)+COUNTA($G52:$L52)+COUNTA($Q52))&gt;0),"",IF(AND($V52="Sub",N($U52)&gt;0),IF(ISNUMBER(INDEX($AM$5:$AM$1000,$U52-4)),DATE(YEAR(INDEX($AM$5:$AM$1000,$U52-4)),MONTH(INDEX($AM$5:$AM$1000,$U52-4)),1),IF(ISNUMBER(INDEX($AN$5:$AN$1000,$U52-4)),DATE(YEAR(INDEX($AN$5:$AN$1000,$U52-4)),MONTH(INDEX($AN$5:$AN$1000,$U52-4)),1),MesCiclo)),IF(ISNUMBER($AM52),DATE(YEAR($AM52),MONTH($AM52),1),IF(ISNUMBER($AN52),DATE(YEAR($AN52),MONTH($AN52),1),MesCiclo))))</f>
        <v/>
      </c>
      <c r="T52" s="62">
        <f>IF(OR($S52="",$S52&lt;&gt;MesCiclo),"",COUNTIF($S$5:$S52,MesCiclo))</f>
        <v/>
      </c>
      <c r="U52" s="62">
        <f>IF($V52="","",IF($V52="Macro",ROW(),IFERROR(LOOKUP(2,1/($V$5:$V52="Macro"),ROW($V$5:$V52)),0)))</f>
        <v/>
      </c>
      <c r="V52" s="62">
        <f>IF(NOT((COUNTA($B52:$D52)+COUNTA($G52:$L52)+COUNTA($Q52))&gt;0),"",IF($B52="Subactividad","Sub","Macro"))</f>
        <v/>
      </c>
      <c r="W52" s="62">
        <f>IF($V52="Macro",COUNTIFS($U$5:$U$1000,ROW(),$V$5:$V$1000,"Sub"),"")</f>
        <v/>
      </c>
      <c r="X52" s="62">
        <f>IF($V52="","",IF(ISNUMBER($G52),1,IFERROR(LOOKUP(2,1/($I52:$L52&lt;&gt;""),$I52:$L52),0)))</f>
        <v/>
      </c>
      <c r="Y52" s="62">
        <f>IF($V52="","",IF(AND(ISNUMBER($G52),$G52&lt;=IF($S52=MesCiclo,InicioCiclo,$S52+MOD(2-WEEKDAY($S52),7))+6),1,IF(ISNUMBER($I52),$I52,0)))</f>
        <v/>
      </c>
      <c r="Z52" s="62">
        <f>IF($V52="","",IF(AND(ISNUMBER($G52),$G52&lt;=IF($S52=MesCiclo,InicioCiclo,$S52+MOD(2-WEEKDAY($S52),7))+13),1,IF(ISNUMBER($J52),$J52,$Y52)))</f>
        <v/>
      </c>
      <c r="AA52" s="62">
        <f>IF($V52="","",IF(AND(ISNUMBER($G52),$G52&lt;=IF($S52=MesCiclo,InicioCiclo,$S52+MOD(2-WEEKDAY($S52),7))+20),1,IF(ISNUMBER($K52),$K52,$Z52)))</f>
        <v/>
      </c>
      <c r="AB52" s="62">
        <f>IF($V52="","",IF(AND(ISNUMBER($G52),$G52&lt;=IF($S52=MesCiclo,InicioCiclo,$S52+MOD(2-WEEKDAY($S52),7))+27),1,IF(ISNUMBER($L52),$L52,$AA52)))</f>
        <v/>
      </c>
      <c r="AC52" s="62">
        <f>IF($V52="","",IF(AND(ISNUMBER($G52),$G52&lt;=IF($S52=MesCiclo,InicioCiclo,$S52+MOD(2-WEEKDAY($S52),7))+6),1,IF(N($W52)&gt;0,AVERAGEIFS($Y$5:$Y$1000,$U$5:$U$1000,ROW(),$V$5:$V$1000,"Sub"),$Y52)))</f>
        <v/>
      </c>
      <c r="AD52" s="62">
        <f>IF($V52="","",IF(AND(ISNUMBER($G52),$G52&lt;=IF($S52=MesCiclo,InicioCiclo,$S52+MOD(2-WEEKDAY($S52),7))+13),1,IF(N($W52)&gt;0,AVERAGEIFS($Z$5:$Z$1000,$U$5:$U$1000,ROW(),$V$5:$V$1000,"Sub"),$Z52)))</f>
        <v/>
      </c>
      <c r="AE52" s="62">
        <f>IF($V52="","",IF(AND(ISNUMBER($G52),$G52&lt;=IF($S52=MesCiclo,InicioCiclo,$S52+MOD(2-WEEKDAY($S52),7))+20),1,IF(N($W52)&gt;0,AVERAGEIFS($AA$5:$AA$1000,$U$5:$U$1000,ROW(),$V$5:$V$1000,"Sub"),$AA52)))</f>
        <v/>
      </c>
      <c r="AF52" s="62">
        <f>IF($V52="","",IF(AND(ISNUMBER($G52),$G52&lt;=IF($S52=MesCiclo,InicioCiclo,$S52+MOD(2-WEEKDAY($S52),7))+27),1,IF(N($W52)&gt;0,AVERAGEIFS($AB$5:$AB$1000,$U$5:$U$1000,ROW(),$V$5:$V$1000,"Sub"),$AB52)))</f>
        <v/>
      </c>
      <c r="AG52" s="62">
        <f>IF($V52&lt;&gt;"Macro","",IF(COUNTIFS($S$5:$S$1000,$S52,$V$5:$V$1000,"Macro",$H$5:$H$1000,"&gt;0")=0,1/COUNTIFS($S$5:$S$1000,$S52,$V$5:$V$1000,"Macro"),IF(AND(ISNUMBER($H52),N($H52)&gt;0),$H52,SUMIFS($H$5:$H$1000,$S$5:$S$1000,$S52,$V$5:$V$1000,"Macro")/COUNTIFS($S$5:$S$1000,$S52,$V$5:$V$1000,"Macro",$H$5:$H$1000,"&gt;0"))/(COUNTIFS($S$5:$S$1000,$S52,$V$5:$V$1000,"Macro")*SUMIFS($H$5:$H$1000,$S$5:$S$1000,$S52,$V$5:$V$1000,"Macro")/COUNTIFS($S$5:$S$1000,$S52,$V$5:$V$1000,"Macro",$H$5:$H$1000,"&gt;0"))))</f>
        <v/>
      </c>
      <c r="AH52" s="62">
        <f>IF(NOT(AND($D52&lt;&gt;"",$V52="Macro")),"",IFERROR(CHOOSE(MATCH($D52,ListaPuestos,0),MATCH("[Jefatura] "&amp;$C52,'Cronograma R. Operacional'!$C$5:$C$1000,0),MATCH("[Jefatura] "&amp;$C52,'Cronograma R. Normativo'!$C$5:$C$1000,0),MATCH("[Jefatura] "&amp;$C52,'Cronograma R. Financiero'!$C$5:$C$1000,0),MATCH("[Jefatura] "&amp;$C52,'Cronograma Asistente Técnico'!$C$5:$C$1000,0)),0))</f>
        <v/>
      </c>
      <c r="AI52" s="62">
        <f>IF(AND(AND($D52&lt;&gt;"",$V52="Macro"),$S52=MesCiclo),COUNTIFS($D$5:$D52,$D52,$S$5:$S52,MesCiclo,$V$5:$V52,"Macro"),"")</f>
        <v/>
      </c>
      <c r="AJ52" s="62">
        <f>IF($AI52="","",$D52&amp;"|"&amp;$AI52)</f>
        <v/>
      </c>
      <c r="AK52" s="62">
        <f>IF(AND($D52&lt;&gt;"",$V52="Macro"),$D52&amp;"|"&amp;$C52,"")</f>
        <v/>
      </c>
      <c r="AL52" s="62">
        <f>""</f>
        <v/>
      </c>
      <c r="AM52" s="62">
        <f>IF(N($AL52)&gt;0,INDEX(rIni_ADM,$AL52),IF(ISNUMBER($E52),$E52,""))</f>
        <v/>
      </c>
      <c r="AN52" s="62">
        <f>IF(N($AL52)&gt;0,INDEX(rLim_ADM,$AL52),IF(ISNUMBER($F52),$F52,""))</f>
        <v/>
      </c>
    </row>
    <row r="53">
      <c r="A53" s="56">
        <f>IF(NOT((COUNTA($B53:$D53)+COUNTA($G53:$L53)+COUNTA($Q53))&gt;0),"",IF($V53="Macro",COUNTIFS($V$5:$V53,"Macro",$S$5:$S53,$S53),IF(N($U53)=0,"?",COUNTIFS(INDEX($V$5:$V$1000,1):INDEX($V$5:$V$1000,$U53-4),"Macro",INDEX($S$5:$S$1000,1):INDEX($S$5:$S$1000,$U53-4),INDEX($S$5:$S$1000,$U53-4))&amp;"."&amp;COUNTIFS($U$5:$U53,$U53,$V$5:$V53,"Sub"))))</f>
        <v/>
      </c>
      <c r="B53" s="57" t="n"/>
      <c r="C53" s="58" t="n"/>
      <c r="D53" s="58" t="n"/>
      <c r="E53" s="59" t="n"/>
      <c r="F53" s="59" t="n"/>
      <c r="G53" s="59" t="n"/>
      <c r="H53" s="60" t="n"/>
      <c r="I53" s="60" t="n"/>
      <c r="J53" s="60" t="n"/>
      <c r="K53" s="60" t="n"/>
      <c r="L53" s="60" t="n"/>
      <c r="M53" s="61">
        <f>IF(NOT((COUNTA($B53:$D53)+COUNTA($G53:$L53)+COUNTA($Q53))&gt;0),"",IF(AND($D53&lt;&gt;"",$V53="Macro"),IF(N($AH53)&gt;0,N(CHOOSE(MATCH($D53,ListaPuestos,0),INDEX('Cronograma R. Operacional'!$M$5:$M$1000,$AH53),INDEX('Cronograma R. Normativo'!$M$5:$M$1000,$AH53),INDEX('Cronograma R. Financiero'!$M$5:$M$1000,$AH53),INDEX('Cronograma Asistente Técnico'!$M$5:$M$1000,$AH53))),0),IF(ISNUMBER($G53),1,IF(N($W53)&gt;0,AVERAGEIFS($X$5:$X$1000,$U$5:$U$1000,ROW(),$V$5:$V$1000,"Sub"),$X53))))</f>
        <v/>
      </c>
      <c r="N53" s="56">
        <f>IF($M53="","",IF($M53&gt;=1,"Completado",IF($M53&gt;0,"En curso","Pendiente")))</f>
        <v/>
      </c>
      <c r="O53" s="56">
        <f>IF(NOT((COUNTA($B53:$D53)+COUNTA($G53:$L53)+COUNTA($Q53))&gt;0),"",IF(AND(AND($D53&lt;&gt;"",$V53="Macro"),N($AH53)&gt;0),CHOOSE(MATCH($D53,ListaPuestos,0),INDEX('Cronograma R. Operacional'!$O$5:$O$1000,$AH53),INDEX('Cronograma R. Normativo'!$O$5:$O$1000,$AH53),INDEX('Cronograma R. Financiero'!$O$5:$O$1000,$AH53),INDEX('Cronograma Asistente Técnico'!$O$5:$O$1000,$AH53))&amp;"",IF(ISNUMBER($G53),IF(AND(ISNUMBER($AN53),$G53&gt;$AN53),"Cumplida con "&amp;($G53-$AN53)&amp;IF($G53-$AN53=1," día"," días")&amp;" de retraso","Cumplida"),IF(N($M53)&gt;=1,"Cumplida",IF(NOT(ISNUMBER($AN53)),"Sin fecha límite",IF($AN53&lt;FechaRef,"Vencida hace "&amp;(FechaRef-$AN53)&amp;IF(FechaRef-$AN53=1," día"," días"),IF($AN53=FechaRef,"Vence hoy",IF($AN53-FechaRef&lt;=DiasAlerta,"Vence en "&amp;($AN53-FechaRef)&amp;IF($AN53-FechaRef=1," día"," días"),"En plazo"))))))))</f>
        <v/>
      </c>
      <c r="P53" s="62">
        <f>IF(NOT((COUNTA($B53:$D53)+COUNTA($G53:$L53)+COUNTA($Q53))&gt;0),"",IF($D53="","Propia",IF($V53&lt;&gt;"Macro","Solo se delegan macroactividades",IF(N($AH53)&gt;0,"✔ Recibida por "&amp;$D53,"⚠ "&amp;$D53&amp;" aún no la agrega"))))</f>
        <v/>
      </c>
      <c r="Q53" s="58" t="n"/>
      <c r="R53" s="63">
        <f>IF(NOT((COUNTA($B53:$D53)+COUNTA($G53:$L53)+COUNTA($Q53))&gt;0),"",IF((IF($C53="","Falta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",""))="","✔ OK","⚠ "&amp;LEFT(IF($C53="","Falta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",""),LEN(IF($C53="","Falta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",""))-3)))</f>
        <v/>
      </c>
      <c r="S53" s="64">
        <f>IF(NOT((COUNTA($B53:$D53)+COUNTA($G53:$L53)+COUNTA($Q53))&gt;0),"",IF(AND($V53="Sub",N($U53)&gt;0),IF(ISNUMBER(INDEX($AM$5:$AM$1000,$U53-4)),DATE(YEAR(INDEX($AM$5:$AM$1000,$U53-4)),MONTH(INDEX($AM$5:$AM$1000,$U53-4)),1),IF(ISNUMBER(INDEX($AN$5:$AN$1000,$U53-4)),DATE(YEAR(INDEX($AN$5:$AN$1000,$U53-4)),MONTH(INDEX($AN$5:$AN$1000,$U53-4)),1),MesCiclo)),IF(ISNUMBER($AM53),DATE(YEAR($AM53),MONTH($AM53),1),IF(ISNUMBER($AN53),DATE(YEAR($AN53),MONTH($AN53),1),MesCiclo))))</f>
        <v/>
      </c>
      <c r="T53" s="62">
        <f>IF(OR($S53="",$S53&lt;&gt;MesCiclo),"",COUNTIF($S$5:$S53,MesCiclo))</f>
        <v/>
      </c>
      <c r="U53" s="62">
        <f>IF($V53="","",IF($V53="Macro",ROW(),IFERROR(LOOKUP(2,1/($V$5:$V53="Macro"),ROW($V$5:$V53)),0)))</f>
        <v/>
      </c>
      <c r="V53" s="62">
        <f>IF(NOT((COUNTA($B53:$D53)+COUNTA($G53:$L53)+COUNTA($Q53))&gt;0),"",IF($B53="Subactividad","Sub","Macro"))</f>
        <v/>
      </c>
      <c r="W53" s="62">
        <f>IF($V53="Macro",COUNTIFS($U$5:$U$1000,ROW(),$V$5:$V$1000,"Sub"),"")</f>
        <v/>
      </c>
      <c r="X53" s="62">
        <f>IF($V53="","",IF(ISNUMBER($G53),1,IFERROR(LOOKUP(2,1/($I53:$L53&lt;&gt;""),$I53:$L53),0)))</f>
        <v/>
      </c>
      <c r="Y53" s="62">
        <f>IF($V53="","",IF(AND(ISNUMBER($G53),$G53&lt;=IF($S53=MesCiclo,InicioCiclo,$S53+MOD(2-WEEKDAY($S53),7))+6),1,IF(ISNUMBER($I53),$I53,0)))</f>
        <v/>
      </c>
      <c r="Z53" s="62">
        <f>IF($V53="","",IF(AND(ISNUMBER($G53),$G53&lt;=IF($S53=MesCiclo,InicioCiclo,$S53+MOD(2-WEEKDAY($S53),7))+13),1,IF(ISNUMBER($J53),$J53,$Y53)))</f>
        <v/>
      </c>
      <c r="AA53" s="62">
        <f>IF($V53="","",IF(AND(ISNUMBER($G53),$G53&lt;=IF($S53=MesCiclo,InicioCiclo,$S53+MOD(2-WEEKDAY($S53),7))+20),1,IF(ISNUMBER($K53),$K53,$Z53)))</f>
        <v/>
      </c>
      <c r="AB53" s="62">
        <f>IF($V53="","",IF(AND(ISNUMBER($G53),$G53&lt;=IF($S53=MesCiclo,InicioCiclo,$S53+MOD(2-WEEKDAY($S53),7))+27),1,IF(ISNUMBER($L53),$L53,$AA53)))</f>
        <v/>
      </c>
      <c r="AC53" s="62">
        <f>IF($V53="","",IF(AND(ISNUMBER($G53),$G53&lt;=IF($S53=MesCiclo,InicioCiclo,$S53+MOD(2-WEEKDAY($S53),7))+6),1,IF(N($W53)&gt;0,AVERAGEIFS($Y$5:$Y$1000,$U$5:$U$1000,ROW(),$V$5:$V$1000,"Sub"),$Y53)))</f>
        <v/>
      </c>
      <c r="AD53" s="62">
        <f>IF($V53="","",IF(AND(ISNUMBER($G53),$G53&lt;=IF($S53=MesCiclo,InicioCiclo,$S53+MOD(2-WEEKDAY($S53),7))+13),1,IF(N($W53)&gt;0,AVERAGEIFS($Z$5:$Z$1000,$U$5:$U$1000,ROW(),$V$5:$V$1000,"Sub"),$Z53)))</f>
        <v/>
      </c>
      <c r="AE53" s="62">
        <f>IF($V53="","",IF(AND(ISNUMBER($G53),$G53&lt;=IF($S53=MesCiclo,InicioCiclo,$S53+MOD(2-WEEKDAY($S53),7))+20),1,IF(N($W53)&gt;0,AVERAGEIFS($AA$5:$AA$1000,$U$5:$U$1000,ROW(),$V$5:$V$1000,"Sub"),$AA53)))</f>
        <v/>
      </c>
      <c r="AF53" s="62">
        <f>IF($V53="","",IF(AND(ISNUMBER($G53),$G53&lt;=IF($S53=MesCiclo,InicioCiclo,$S53+MOD(2-WEEKDAY($S53),7))+27),1,IF(N($W53)&gt;0,AVERAGEIFS($AB$5:$AB$1000,$U$5:$U$1000,ROW(),$V$5:$V$1000,"Sub"),$AB53)))</f>
        <v/>
      </c>
      <c r="AG53" s="62">
        <f>IF($V53&lt;&gt;"Macro","",IF(COUNTIFS($S$5:$S$1000,$S53,$V$5:$V$1000,"Macro",$H$5:$H$1000,"&gt;0")=0,1/COUNTIFS($S$5:$S$1000,$S53,$V$5:$V$1000,"Macro"),IF(AND(ISNUMBER($H53),N($H53)&gt;0),$H53,SUMIFS($H$5:$H$1000,$S$5:$S$1000,$S53,$V$5:$V$1000,"Macro")/COUNTIFS($S$5:$S$1000,$S53,$V$5:$V$1000,"Macro",$H$5:$H$1000,"&gt;0"))/(COUNTIFS($S$5:$S$1000,$S53,$V$5:$V$1000,"Macro")*SUMIFS($H$5:$H$1000,$S$5:$S$1000,$S53,$V$5:$V$1000,"Macro")/COUNTIFS($S$5:$S$1000,$S53,$V$5:$V$1000,"Macro",$H$5:$H$1000,"&gt;0"))))</f>
        <v/>
      </c>
      <c r="AH53" s="62">
        <f>IF(NOT(AND($D53&lt;&gt;"",$V53="Macro")),"",IFERROR(CHOOSE(MATCH($D53,ListaPuestos,0),MATCH("[Jefatura] "&amp;$C53,'Cronograma R. Operacional'!$C$5:$C$1000,0),MATCH("[Jefatura] "&amp;$C53,'Cronograma R. Normativo'!$C$5:$C$1000,0),MATCH("[Jefatura] "&amp;$C53,'Cronograma R. Financiero'!$C$5:$C$1000,0),MATCH("[Jefatura] "&amp;$C53,'Cronograma Asistente Técnico'!$C$5:$C$1000,0)),0))</f>
        <v/>
      </c>
      <c r="AI53" s="62">
        <f>IF(AND(AND($D53&lt;&gt;"",$V53="Macro"),$S53=MesCiclo),COUNTIFS($D$5:$D53,$D53,$S$5:$S53,MesCiclo,$V$5:$V53,"Macro"),"")</f>
        <v/>
      </c>
      <c r="AJ53" s="62">
        <f>IF($AI53="","",$D53&amp;"|"&amp;$AI53)</f>
        <v/>
      </c>
      <c r="AK53" s="62">
        <f>IF(AND($D53&lt;&gt;"",$V53="Macro"),$D53&amp;"|"&amp;$C53,"")</f>
        <v/>
      </c>
      <c r="AL53" s="62">
        <f>""</f>
        <v/>
      </c>
      <c r="AM53" s="62">
        <f>IF(N($AL53)&gt;0,INDEX(rIni_ADM,$AL53),IF(ISNUMBER($E53),$E53,""))</f>
        <v/>
      </c>
      <c r="AN53" s="62">
        <f>IF(N($AL53)&gt;0,INDEX(rLim_ADM,$AL53),IF(ISNUMBER($F53),$F53,""))</f>
        <v/>
      </c>
    </row>
    <row r="54">
      <c r="A54" s="56">
        <f>IF(NOT((COUNTA($B54:$D54)+COUNTA($G54:$L54)+COUNTA($Q54))&gt;0),"",IF($V54="Macro",COUNTIFS($V$5:$V54,"Macro",$S$5:$S54,$S54),IF(N($U54)=0,"?",COUNTIFS(INDEX($V$5:$V$1000,1):INDEX($V$5:$V$1000,$U54-4),"Macro",INDEX($S$5:$S$1000,1):INDEX($S$5:$S$1000,$U54-4),INDEX($S$5:$S$1000,$U54-4))&amp;"."&amp;COUNTIFS($U$5:$U54,$U54,$V$5:$V54,"Sub"))))</f>
        <v/>
      </c>
      <c r="B54" s="57" t="n"/>
      <c r="C54" s="58" t="n"/>
      <c r="D54" s="58" t="n"/>
      <c r="E54" s="59" t="n"/>
      <c r="F54" s="59" t="n"/>
      <c r="G54" s="59" t="n"/>
      <c r="H54" s="60" t="n"/>
      <c r="I54" s="60" t="n"/>
      <c r="J54" s="60" t="n"/>
      <c r="K54" s="60" t="n"/>
      <c r="L54" s="60" t="n"/>
      <c r="M54" s="61">
        <f>IF(NOT((COUNTA($B54:$D54)+COUNTA($G54:$L54)+COUNTA($Q54))&gt;0),"",IF(AND($D54&lt;&gt;"",$V54="Macro"),IF(N($AH54)&gt;0,N(CHOOSE(MATCH($D54,ListaPuestos,0),INDEX('Cronograma R. Operacional'!$M$5:$M$1000,$AH54),INDEX('Cronograma R. Normativo'!$M$5:$M$1000,$AH54),INDEX('Cronograma R. Financiero'!$M$5:$M$1000,$AH54),INDEX('Cronograma Asistente Técnico'!$M$5:$M$1000,$AH54))),0),IF(ISNUMBER($G54),1,IF(N($W54)&gt;0,AVERAGEIFS($X$5:$X$1000,$U$5:$U$1000,ROW(),$V$5:$V$1000,"Sub"),$X54))))</f>
        <v/>
      </c>
      <c r="N54" s="56">
        <f>IF($M54="","",IF($M54&gt;=1,"Completado",IF($M54&gt;0,"En curso","Pendiente")))</f>
        <v/>
      </c>
      <c r="O54" s="56">
        <f>IF(NOT((COUNTA($B54:$D54)+COUNTA($G54:$L54)+COUNTA($Q54))&gt;0),"",IF(AND(AND($D54&lt;&gt;"",$V54="Macro"),N($AH54)&gt;0),CHOOSE(MATCH($D54,ListaPuestos,0),INDEX('Cronograma R. Operacional'!$O$5:$O$1000,$AH54),INDEX('Cronograma R. Normativo'!$O$5:$O$1000,$AH54),INDEX('Cronograma R. Financiero'!$O$5:$O$1000,$AH54),INDEX('Cronograma Asistente Técnico'!$O$5:$O$1000,$AH54))&amp;"",IF(ISNUMBER($G54),IF(AND(ISNUMBER($AN54),$G54&gt;$AN54),"Cumplida con "&amp;($G54-$AN54)&amp;IF($G54-$AN54=1," día"," días")&amp;" de retraso","Cumplida"),IF(N($M54)&gt;=1,"Cumplida",IF(NOT(ISNUMBER($AN54)),"Sin fecha límite",IF($AN54&lt;FechaRef,"Vencida hace "&amp;(FechaRef-$AN54)&amp;IF(FechaRef-$AN54=1," día"," días"),IF($AN54=FechaRef,"Vence hoy",IF($AN54-FechaRef&lt;=DiasAlerta,"Vence en "&amp;($AN54-FechaRef)&amp;IF($AN54-FechaRef=1," día"," días"),"En plazo"))))))))</f>
        <v/>
      </c>
      <c r="P54" s="62">
        <f>IF(NOT((COUNTA($B54:$D54)+COUNTA($G54:$L54)+COUNTA($Q54))&gt;0),"",IF($D54="","Propia",IF($V54&lt;&gt;"Macro","Solo se delegan macroactividades",IF(N($AH54)&gt;0,"✔ Recibida por "&amp;$D54,"⚠ "&amp;$D54&amp;" aún no la agrega"))))</f>
        <v/>
      </c>
      <c r="Q54" s="58" t="n"/>
      <c r="R54" s="63">
        <f>IF(NOT((COUNTA($B54:$D54)+COUNTA($G54:$L54)+COUNTA($Q54))&gt;0),"",IF((IF($C54="","Falta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",""))="","✔ OK","⚠ "&amp;LEFT(IF($C54="","Falta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",""),LEN(IF($C54="","Falta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",""))-3)))</f>
        <v/>
      </c>
      <c r="S54" s="64">
        <f>IF(NOT((COUNTA($B54:$D54)+COUNTA($G54:$L54)+COUNTA($Q54))&gt;0),"",IF(AND($V54="Sub",N($U54)&gt;0),IF(ISNUMBER(INDEX($AM$5:$AM$1000,$U54-4)),DATE(YEAR(INDEX($AM$5:$AM$1000,$U54-4)),MONTH(INDEX($AM$5:$AM$1000,$U54-4)),1),IF(ISNUMBER(INDEX($AN$5:$AN$1000,$U54-4)),DATE(YEAR(INDEX($AN$5:$AN$1000,$U54-4)),MONTH(INDEX($AN$5:$AN$1000,$U54-4)),1),MesCiclo)),IF(ISNUMBER($AM54),DATE(YEAR($AM54),MONTH($AM54),1),IF(ISNUMBER($AN54),DATE(YEAR($AN54),MONTH($AN54),1),MesCiclo))))</f>
        <v/>
      </c>
      <c r="T54" s="62">
        <f>IF(OR($S54="",$S54&lt;&gt;MesCiclo),"",COUNTIF($S$5:$S54,MesCiclo))</f>
        <v/>
      </c>
      <c r="U54" s="62">
        <f>IF($V54="","",IF($V54="Macro",ROW(),IFERROR(LOOKUP(2,1/($V$5:$V54="Macro"),ROW($V$5:$V54)),0)))</f>
        <v/>
      </c>
      <c r="V54" s="62">
        <f>IF(NOT((COUNTA($B54:$D54)+COUNTA($G54:$L54)+COUNTA($Q54))&gt;0),"",IF($B54="Subactividad","Sub","Macro"))</f>
        <v/>
      </c>
      <c r="W54" s="62">
        <f>IF($V54="Macro",COUNTIFS($U$5:$U$1000,ROW(),$V$5:$V$1000,"Sub"),"")</f>
        <v/>
      </c>
      <c r="X54" s="62">
        <f>IF($V54="","",IF(ISNUMBER($G54),1,IFERROR(LOOKUP(2,1/($I54:$L54&lt;&gt;""),$I54:$L54),0)))</f>
        <v/>
      </c>
      <c r="Y54" s="62">
        <f>IF($V54="","",IF(AND(ISNUMBER($G54),$G54&lt;=IF($S54=MesCiclo,InicioCiclo,$S54+MOD(2-WEEKDAY($S54),7))+6),1,IF(ISNUMBER($I54),$I54,0)))</f>
        <v/>
      </c>
      <c r="Z54" s="62">
        <f>IF($V54="","",IF(AND(ISNUMBER($G54),$G54&lt;=IF($S54=MesCiclo,InicioCiclo,$S54+MOD(2-WEEKDAY($S54),7))+13),1,IF(ISNUMBER($J54),$J54,$Y54)))</f>
        <v/>
      </c>
      <c r="AA54" s="62">
        <f>IF($V54="","",IF(AND(ISNUMBER($G54),$G54&lt;=IF($S54=MesCiclo,InicioCiclo,$S54+MOD(2-WEEKDAY($S54),7))+20),1,IF(ISNUMBER($K54),$K54,$Z54)))</f>
        <v/>
      </c>
      <c r="AB54" s="62">
        <f>IF($V54="","",IF(AND(ISNUMBER($G54),$G54&lt;=IF($S54=MesCiclo,InicioCiclo,$S54+MOD(2-WEEKDAY($S54),7))+27),1,IF(ISNUMBER($L54),$L54,$AA54)))</f>
        <v/>
      </c>
      <c r="AC54" s="62">
        <f>IF($V54="","",IF(AND(ISNUMBER($G54),$G54&lt;=IF($S54=MesCiclo,InicioCiclo,$S54+MOD(2-WEEKDAY($S54),7))+6),1,IF(N($W54)&gt;0,AVERAGEIFS($Y$5:$Y$1000,$U$5:$U$1000,ROW(),$V$5:$V$1000,"Sub"),$Y54)))</f>
        <v/>
      </c>
      <c r="AD54" s="62">
        <f>IF($V54="","",IF(AND(ISNUMBER($G54),$G54&lt;=IF($S54=MesCiclo,InicioCiclo,$S54+MOD(2-WEEKDAY($S54),7))+13),1,IF(N($W54)&gt;0,AVERAGEIFS($Z$5:$Z$1000,$U$5:$U$1000,ROW(),$V$5:$V$1000,"Sub"),$Z54)))</f>
        <v/>
      </c>
      <c r="AE54" s="62">
        <f>IF($V54="","",IF(AND(ISNUMBER($G54),$G54&lt;=IF($S54=MesCiclo,InicioCiclo,$S54+MOD(2-WEEKDAY($S54),7))+20),1,IF(N($W54)&gt;0,AVERAGEIFS($AA$5:$AA$1000,$U$5:$U$1000,ROW(),$V$5:$V$1000,"Sub"),$AA54)))</f>
        <v/>
      </c>
      <c r="AF54" s="62">
        <f>IF($V54="","",IF(AND(ISNUMBER($G54),$G54&lt;=IF($S54=MesCiclo,InicioCiclo,$S54+MOD(2-WEEKDAY($S54),7))+27),1,IF(N($W54)&gt;0,AVERAGEIFS($AB$5:$AB$1000,$U$5:$U$1000,ROW(),$V$5:$V$1000,"Sub"),$AB54)))</f>
        <v/>
      </c>
      <c r="AG54" s="62">
        <f>IF($V54&lt;&gt;"Macro","",IF(COUNTIFS($S$5:$S$1000,$S54,$V$5:$V$1000,"Macro",$H$5:$H$1000,"&gt;0")=0,1/COUNTIFS($S$5:$S$1000,$S54,$V$5:$V$1000,"Macro"),IF(AND(ISNUMBER($H54),N($H54)&gt;0),$H54,SUMIFS($H$5:$H$1000,$S$5:$S$1000,$S54,$V$5:$V$1000,"Macro")/COUNTIFS($S$5:$S$1000,$S54,$V$5:$V$1000,"Macro",$H$5:$H$1000,"&gt;0"))/(COUNTIFS($S$5:$S$1000,$S54,$V$5:$V$1000,"Macro")*SUMIFS($H$5:$H$1000,$S$5:$S$1000,$S54,$V$5:$V$1000,"Macro")/COUNTIFS($S$5:$S$1000,$S54,$V$5:$V$1000,"Macro",$H$5:$H$1000,"&gt;0"))))</f>
        <v/>
      </c>
      <c r="AH54" s="62">
        <f>IF(NOT(AND($D54&lt;&gt;"",$V54="Macro")),"",IFERROR(CHOOSE(MATCH($D54,ListaPuestos,0),MATCH("[Jefatura] "&amp;$C54,'Cronograma R. Operacional'!$C$5:$C$1000,0),MATCH("[Jefatura] "&amp;$C54,'Cronograma R. Normativo'!$C$5:$C$1000,0),MATCH("[Jefatura] "&amp;$C54,'Cronograma R. Financiero'!$C$5:$C$1000,0),MATCH("[Jefatura] "&amp;$C54,'Cronograma Asistente Técnico'!$C$5:$C$1000,0)),0))</f>
        <v/>
      </c>
      <c r="AI54" s="62">
        <f>IF(AND(AND($D54&lt;&gt;"",$V54="Macro"),$S54=MesCiclo),COUNTIFS($D$5:$D54,$D54,$S$5:$S54,MesCiclo,$V$5:$V54,"Macro"),"")</f>
        <v/>
      </c>
      <c r="AJ54" s="62">
        <f>IF($AI54="","",$D54&amp;"|"&amp;$AI54)</f>
        <v/>
      </c>
      <c r="AK54" s="62">
        <f>IF(AND($D54&lt;&gt;"",$V54="Macro"),$D54&amp;"|"&amp;$C54,"")</f>
        <v/>
      </c>
      <c r="AL54" s="62">
        <f>""</f>
        <v/>
      </c>
      <c r="AM54" s="62">
        <f>IF(N($AL54)&gt;0,INDEX(rIni_ADM,$AL54),IF(ISNUMBER($E54),$E54,""))</f>
        <v/>
      </c>
      <c r="AN54" s="62">
        <f>IF(N($AL54)&gt;0,INDEX(rLim_ADM,$AL54),IF(ISNUMBER($F54),$F54,""))</f>
        <v/>
      </c>
    </row>
    <row r="55">
      <c r="A55" s="56">
        <f>IF(NOT((COUNTA($B55:$D55)+COUNTA($G55:$L55)+COUNTA($Q55))&gt;0),"",IF($V55="Macro",COUNTIFS($V$5:$V55,"Macro",$S$5:$S55,$S55),IF(N($U55)=0,"?",COUNTIFS(INDEX($V$5:$V$1000,1):INDEX($V$5:$V$1000,$U55-4),"Macro",INDEX($S$5:$S$1000,1):INDEX($S$5:$S$1000,$U55-4),INDEX($S$5:$S$1000,$U55-4))&amp;"."&amp;COUNTIFS($U$5:$U55,$U55,$V$5:$V55,"Sub"))))</f>
        <v/>
      </c>
      <c r="B55" s="57" t="n"/>
      <c r="C55" s="58" t="n"/>
      <c r="D55" s="58" t="n"/>
      <c r="E55" s="59" t="n"/>
      <c r="F55" s="59" t="n"/>
      <c r="G55" s="59" t="n"/>
      <c r="H55" s="60" t="n"/>
      <c r="I55" s="60" t="n"/>
      <c r="J55" s="60" t="n"/>
      <c r="K55" s="60" t="n"/>
      <c r="L55" s="60" t="n"/>
      <c r="M55" s="61">
        <f>IF(NOT((COUNTA($B55:$D55)+COUNTA($G55:$L55)+COUNTA($Q55))&gt;0),"",IF(AND($D55&lt;&gt;"",$V55="Macro"),IF(N($AH55)&gt;0,N(CHOOSE(MATCH($D55,ListaPuestos,0),INDEX('Cronograma R. Operacional'!$M$5:$M$1000,$AH55),INDEX('Cronograma R. Normativo'!$M$5:$M$1000,$AH55),INDEX('Cronograma R. Financiero'!$M$5:$M$1000,$AH55),INDEX('Cronograma Asistente Técnico'!$M$5:$M$1000,$AH55))),0),IF(ISNUMBER($G55),1,IF(N($W55)&gt;0,AVERAGEIFS($X$5:$X$1000,$U$5:$U$1000,ROW(),$V$5:$V$1000,"Sub"),$X55))))</f>
        <v/>
      </c>
      <c r="N55" s="56">
        <f>IF($M55="","",IF($M55&gt;=1,"Completado",IF($M55&gt;0,"En curso","Pendiente")))</f>
        <v/>
      </c>
      <c r="O55" s="56">
        <f>IF(NOT((COUNTA($B55:$D55)+COUNTA($G55:$L55)+COUNTA($Q55))&gt;0),"",IF(AND(AND($D55&lt;&gt;"",$V55="Macro"),N($AH55)&gt;0),CHOOSE(MATCH($D55,ListaPuestos,0),INDEX('Cronograma R. Operacional'!$O$5:$O$1000,$AH55),INDEX('Cronograma R. Normativo'!$O$5:$O$1000,$AH55),INDEX('Cronograma R. Financiero'!$O$5:$O$1000,$AH55),INDEX('Cronograma Asistente Técnico'!$O$5:$O$1000,$AH55))&amp;"",IF(ISNUMBER($G55),IF(AND(ISNUMBER($AN55),$G55&gt;$AN55),"Cumplida con "&amp;($G55-$AN55)&amp;IF($G55-$AN55=1," día"," días")&amp;" de retraso","Cumplida"),IF(N($M55)&gt;=1,"Cumplida",IF(NOT(ISNUMBER($AN55)),"Sin fecha límite",IF($AN55&lt;FechaRef,"Vencida hace "&amp;(FechaRef-$AN55)&amp;IF(FechaRef-$AN55=1," día"," días"),IF($AN55=FechaRef,"Vence hoy",IF($AN55-FechaRef&lt;=DiasAlerta,"Vence en "&amp;($AN55-FechaRef)&amp;IF($AN55-FechaRef=1," día"," días"),"En plazo"))))))))</f>
        <v/>
      </c>
      <c r="P55" s="62">
        <f>IF(NOT((COUNTA($B55:$D55)+COUNTA($G55:$L55)+COUNTA($Q55))&gt;0),"",IF($D55="","Propia",IF($V55&lt;&gt;"Macro","Solo se delegan macroactividades",IF(N($AH55)&gt;0,"✔ Recibida por "&amp;$D55,"⚠ "&amp;$D55&amp;" aún no la agrega"))))</f>
        <v/>
      </c>
      <c r="Q55" s="58" t="n"/>
      <c r="R55" s="63">
        <f>IF(NOT((COUNTA($B55:$D55)+COUNTA($G55:$L55)+COUNTA($Q55))&gt;0),"",IF((IF($C55="","Falta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",""))="","✔ OK","⚠ "&amp;LEFT(IF($C55="","Falta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",""),LEN(IF($C55="","Falta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",""))-3)))</f>
        <v/>
      </c>
      <c r="S55" s="64">
        <f>IF(NOT((COUNTA($B55:$D55)+COUNTA($G55:$L55)+COUNTA($Q55))&gt;0),"",IF(AND($V55="Sub",N($U55)&gt;0),IF(ISNUMBER(INDEX($AM$5:$AM$1000,$U55-4)),DATE(YEAR(INDEX($AM$5:$AM$1000,$U55-4)),MONTH(INDEX($AM$5:$AM$1000,$U55-4)),1),IF(ISNUMBER(INDEX($AN$5:$AN$1000,$U55-4)),DATE(YEAR(INDEX($AN$5:$AN$1000,$U55-4)),MONTH(INDEX($AN$5:$AN$1000,$U55-4)),1),MesCiclo)),IF(ISNUMBER($AM55),DATE(YEAR($AM55),MONTH($AM55),1),IF(ISNUMBER($AN55),DATE(YEAR($AN55),MONTH($AN55),1),MesCiclo))))</f>
        <v/>
      </c>
      <c r="T55" s="62">
        <f>IF(OR($S55="",$S55&lt;&gt;MesCiclo),"",COUNTIF($S$5:$S55,MesCiclo))</f>
        <v/>
      </c>
      <c r="U55" s="62">
        <f>IF($V55="","",IF($V55="Macro",ROW(),IFERROR(LOOKUP(2,1/($V$5:$V55="Macro"),ROW($V$5:$V55)),0)))</f>
        <v/>
      </c>
      <c r="V55" s="62">
        <f>IF(NOT((COUNTA($B55:$D55)+COUNTA($G55:$L55)+COUNTA($Q55))&gt;0),"",IF($B55="Subactividad","Sub","Macro"))</f>
        <v/>
      </c>
      <c r="W55" s="62">
        <f>IF($V55="Macro",COUNTIFS($U$5:$U$1000,ROW(),$V$5:$V$1000,"Sub"),"")</f>
        <v/>
      </c>
      <c r="X55" s="62">
        <f>IF($V55="","",IF(ISNUMBER($G55),1,IFERROR(LOOKUP(2,1/($I55:$L55&lt;&gt;""),$I55:$L55),0)))</f>
        <v/>
      </c>
      <c r="Y55" s="62">
        <f>IF($V55="","",IF(AND(ISNUMBER($G55),$G55&lt;=IF($S55=MesCiclo,InicioCiclo,$S55+MOD(2-WEEKDAY($S55),7))+6),1,IF(ISNUMBER($I55),$I55,0)))</f>
        <v/>
      </c>
      <c r="Z55" s="62">
        <f>IF($V55="","",IF(AND(ISNUMBER($G55),$G55&lt;=IF($S55=MesCiclo,InicioCiclo,$S55+MOD(2-WEEKDAY($S55),7))+13),1,IF(ISNUMBER($J55),$J55,$Y55)))</f>
        <v/>
      </c>
      <c r="AA55" s="62">
        <f>IF($V55="","",IF(AND(ISNUMBER($G55),$G55&lt;=IF($S55=MesCiclo,InicioCiclo,$S55+MOD(2-WEEKDAY($S55),7))+20),1,IF(ISNUMBER($K55),$K55,$Z55)))</f>
        <v/>
      </c>
      <c r="AB55" s="62">
        <f>IF($V55="","",IF(AND(ISNUMBER($G55),$G55&lt;=IF($S55=MesCiclo,InicioCiclo,$S55+MOD(2-WEEKDAY($S55),7))+27),1,IF(ISNUMBER($L55),$L55,$AA55)))</f>
        <v/>
      </c>
      <c r="AC55" s="62">
        <f>IF($V55="","",IF(AND(ISNUMBER($G55),$G55&lt;=IF($S55=MesCiclo,InicioCiclo,$S55+MOD(2-WEEKDAY($S55),7))+6),1,IF(N($W55)&gt;0,AVERAGEIFS($Y$5:$Y$1000,$U$5:$U$1000,ROW(),$V$5:$V$1000,"Sub"),$Y55)))</f>
        <v/>
      </c>
      <c r="AD55" s="62">
        <f>IF($V55="","",IF(AND(ISNUMBER($G55),$G55&lt;=IF($S55=MesCiclo,InicioCiclo,$S55+MOD(2-WEEKDAY($S55),7))+13),1,IF(N($W55)&gt;0,AVERAGEIFS($Z$5:$Z$1000,$U$5:$U$1000,ROW(),$V$5:$V$1000,"Sub"),$Z55)))</f>
        <v/>
      </c>
      <c r="AE55" s="62">
        <f>IF($V55="","",IF(AND(ISNUMBER($G55),$G55&lt;=IF($S55=MesCiclo,InicioCiclo,$S55+MOD(2-WEEKDAY($S55),7))+20),1,IF(N($W55)&gt;0,AVERAGEIFS($AA$5:$AA$1000,$U$5:$U$1000,ROW(),$V$5:$V$1000,"Sub"),$AA55)))</f>
        <v/>
      </c>
      <c r="AF55" s="62">
        <f>IF($V55="","",IF(AND(ISNUMBER($G55),$G55&lt;=IF($S55=MesCiclo,InicioCiclo,$S55+MOD(2-WEEKDAY($S55),7))+27),1,IF(N($W55)&gt;0,AVERAGEIFS($AB$5:$AB$1000,$U$5:$U$1000,ROW(),$V$5:$V$1000,"Sub"),$AB55)))</f>
        <v/>
      </c>
      <c r="AG55" s="62">
        <f>IF($V55&lt;&gt;"Macro","",IF(COUNTIFS($S$5:$S$1000,$S55,$V$5:$V$1000,"Macro",$H$5:$H$1000,"&gt;0")=0,1/COUNTIFS($S$5:$S$1000,$S55,$V$5:$V$1000,"Macro"),IF(AND(ISNUMBER($H55),N($H55)&gt;0),$H55,SUMIFS($H$5:$H$1000,$S$5:$S$1000,$S55,$V$5:$V$1000,"Macro")/COUNTIFS($S$5:$S$1000,$S55,$V$5:$V$1000,"Macro",$H$5:$H$1000,"&gt;0"))/(COUNTIFS($S$5:$S$1000,$S55,$V$5:$V$1000,"Macro")*SUMIFS($H$5:$H$1000,$S$5:$S$1000,$S55,$V$5:$V$1000,"Macro")/COUNTIFS($S$5:$S$1000,$S55,$V$5:$V$1000,"Macro",$H$5:$H$1000,"&gt;0"))))</f>
        <v/>
      </c>
      <c r="AH55" s="62">
        <f>IF(NOT(AND($D55&lt;&gt;"",$V55="Macro")),"",IFERROR(CHOOSE(MATCH($D55,ListaPuestos,0),MATCH("[Jefatura] "&amp;$C55,'Cronograma R. Operacional'!$C$5:$C$1000,0),MATCH("[Jefatura] "&amp;$C55,'Cronograma R. Normativo'!$C$5:$C$1000,0),MATCH("[Jefatura] "&amp;$C55,'Cronograma R. Financiero'!$C$5:$C$1000,0),MATCH("[Jefatura] "&amp;$C55,'Cronograma Asistente Técnico'!$C$5:$C$1000,0)),0))</f>
        <v/>
      </c>
      <c r="AI55" s="62">
        <f>IF(AND(AND($D55&lt;&gt;"",$V55="Macro"),$S55=MesCiclo),COUNTIFS($D$5:$D55,$D55,$S$5:$S55,MesCiclo,$V$5:$V55,"Macro"),"")</f>
        <v/>
      </c>
      <c r="AJ55" s="62">
        <f>IF($AI55="","",$D55&amp;"|"&amp;$AI55)</f>
        <v/>
      </c>
      <c r="AK55" s="62">
        <f>IF(AND($D55&lt;&gt;"",$V55="Macro"),$D55&amp;"|"&amp;$C55,"")</f>
        <v/>
      </c>
      <c r="AL55" s="62">
        <f>""</f>
        <v/>
      </c>
      <c r="AM55" s="62">
        <f>IF(N($AL55)&gt;0,INDEX(rIni_ADM,$AL55),IF(ISNUMBER($E55),$E55,""))</f>
        <v/>
      </c>
      <c r="AN55" s="62">
        <f>IF(N($AL55)&gt;0,INDEX(rLim_ADM,$AL55),IF(ISNUMBER($F55),$F55,""))</f>
        <v/>
      </c>
    </row>
    <row r="56">
      <c r="A56" s="56">
        <f>IF(NOT((COUNTA($B56:$D56)+COUNTA($G56:$L56)+COUNTA($Q56))&gt;0),"",IF($V56="Macro",COUNTIFS($V$5:$V56,"Macro",$S$5:$S56,$S56),IF(N($U56)=0,"?",COUNTIFS(INDEX($V$5:$V$1000,1):INDEX($V$5:$V$1000,$U56-4),"Macro",INDEX($S$5:$S$1000,1):INDEX($S$5:$S$1000,$U56-4),INDEX($S$5:$S$1000,$U56-4))&amp;"."&amp;COUNTIFS($U$5:$U56,$U56,$V$5:$V56,"Sub"))))</f>
        <v/>
      </c>
      <c r="B56" s="57" t="n"/>
      <c r="C56" s="58" t="n"/>
      <c r="D56" s="58" t="n"/>
      <c r="E56" s="59" t="n"/>
      <c r="F56" s="59" t="n"/>
      <c r="G56" s="59" t="n"/>
      <c r="H56" s="60" t="n"/>
      <c r="I56" s="60" t="n"/>
      <c r="J56" s="60" t="n"/>
      <c r="K56" s="60" t="n"/>
      <c r="L56" s="60" t="n"/>
      <c r="M56" s="61">
        <f>IF(NOT((COUNTA($B56:$D56)+COUNTA($G56:$L56)+COUNTA($Q56))&gt;0),"",IF(AND($D56&lt;&gt;"",$V56="Macro"),IF(N($AH56)&gt;0,N(CHOOSE(MATCH($D56,ListaPuestos,0),INDEX('Cronograma R. Operacional'!$M$5:$M$1000,$AH56),INDEX('Cronograma R. Normativo'!$M$5:$M$1000,$AH56),INDEX('Cronograma R. Financiero'!$M$5:$M$1000,$AH56),INDEX('Cronograma Asistente Técnico'!$M$5:$M$1000,$AH56))),0),IF(ISNUMBER($G56),1,IF(N($W56)&gt;0,AVERAGEIFS($X$5:$X$1000,$U$5:$U$1000,ROW(),$V$5:$V$1000,"Sub"),$X56))))</f>
        <v/>
      </c>
      <c r="N56" s="56">
        <f>IF($M56="","",IF($M56&gt;=1,"Completado",IF($M56&gt;0,"En curso","Pendiente")))</f>
        <v/>
      </c>
      <c r="O56" s="56">
        <f>IF(NOT((COUNTA($B56:$D56)+COUNTA($G56:$L56)+COUNTA($Q56))&gt;0),"",IF(AND(AND($D56&lt;&gt;"",$V56="Macro"),N($AH56)&gt;0),CHOOSE(MATCH($D56,ListaPuestos,0),INDEX('Cronograma R. Operacional'!$O$5:$O$1000,$AH56),INDEX('Cronograma R. Normativo'!$O$5:$O$1000,$AH56),INDEX('Cronograma R. Financiero'!$O$5:$O$1000,$AH56),INDEX('Cronograma Asistente Técnico'!$O$5:$O$1000,$AH56))&amp;"",IF(ISNUMBER($G56),IF(AND(ISNUMBER($AN56),$G56&gt;$AN56),"Cumplida con "&amp;($G56-$AN56)&amp;IF($G56-$AN56=1," día"," días")&amp;" de retraso","Cumplida"),IF(N($M56)&gt;=1,"Cumplida",IF(NOT(ISNUMBER($AN56)),"Sin fecha límite",IF($AN56&lt;FechaRef,"Vencida hace "&amp;(FechaRef-$AN56)&amp;IF(FechaRef-$AN56=1," día"," días"),IF($AN56=FechaRef,"Vence hoy",IF($AN56-FechaRef&lt;=DiasAlerta,"Vence en "&amp;($AN56-FechaRef)&amp;IF($AN56-FechaRef=1," día"," días"),"En plazo"))))))))</f>
        <v/>
      </c>
      <c r="P56" s="62">
        <f>IF(NOT((COUNTA($B56:$D56)+COUNTA($G56:$L56)+COUNTA($Q56))&gt;0),"",IF($D56="","Propia",IF($V56&lt;&gt;"Macro","Solo se delegan macroactividades",IF(N($AH56)&gt;0,"✔ Recibida por "&amp;$D56,"⚠ "&amp;$D56&amp;" aún no la agrega"))))</f>
        <v/>
      </c>
      <c r="Q56" s="58" t="n"/>
      <c r="R56" s="63">
        <f>IF(NOT((COUNTA($B56:$D56)+COUNTA($G56:$L56)+COUNTA($Q56))&gt;0),"",IF((IF($C56="","Falta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",""))="","✔ OK","⚠ "&amp;LEFT(IF($C56="","Falta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",""),LEN(IF($C56="","Falta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",""))-3)))</f>
        <v/>
      </c>
      <c r="S56" s="64">
        <f>IF(NOT((COUNTA($B56:$D56)+COUNTA($G56:$L56)+COUNTA($Q56))&gt;0),"",IF(AND($V56="Sub",N($U56)&gt;0),IF(ISNUMBER(INDEX($AM$5:$AM$1000,$U56-4)),DATE(YEAR(INDEX($AM$5:$AM$1000,$U56-4)),MONTH(INDEX($AM$5:$AM$1000,$U56-4)),1),IF(ISNUMBER(INDEX($AN$5:$AN$1000,$U56-4)),DATE(YEAR(INDEX($AN$5:$AN$1000,$U56-4)),MONTH(INDEX($AN$5:$AN$1000,$U56-4)),1),MesCiclo)),IF(ISNUMBER($AM56),DATE(YEAR($AM56),MONTH($AM56),1),IF(ISNUMBER($AN56),DATE(YEAR($AN56),MONTH($AN56),1),MesCiclo))))</f>
        <v/>
      </c>
      <c r="T56" s="62">
        <f>IF(OR($S56="",$S56&lt;&gt;MesCiclo),"",COUNTIF($S$5:$S56,MesCiclo))</f>
        <v/>
      </c>
      <c r="U56" s="62">
        <f>IF($V56="","",IF($V56="Macro",ROW(),IFERROR(LOOKUP(2,1/($V$5:$V56="Macro"),ROW($V$5:$V56)),0)))</f>
        <v/>
      </c>
      <c r="V56" s="62">
        <f>IF(NOT((COUNTA($B56:$D56)+COUNTA($G56:$L56)+COUNTA($Q56))&gt;0),"",IF($B56="Subactividad","Sub","Macro"))</f>
        <v/>
      </c>
      <c r="W56" s="62">
        <f>IF($V56="Macro",COUNTIFS($U$5:$U$1000,ROW(),$V$5:$V$1000,"Sub"),"")</f>
        <v/>
      </c>
      <c r="X56" s="62">
        <f>IF($V56="","",IF(ISNUMBER($G56),1,IFERROR(LOOKUP(2,1/($I56:$L56&lt;&gt;""),$I56:$L56),0)))</f>
        <v/>
      </c>
      <c r="Y56" s="62">
        <f>IF($V56="","",IF(AND(ISNUMBER($G56),$G56&lt;=IF($S56=MesCiclo,InicioCiclo,$S56+MOD(2-WEEKDAY($S56),7))+6),1,IF(ISNUMBER($I56),$I56,0)))</f>
        <v/>
      </c>
      <c r="Z56" s="62">
        <f>IF($V56="","",IF(AND(ISNUMBER($G56),$G56&lt;=IF($S56=MesCiclo,InicioCiclo,$S56+MOD(2-WEEKDAY($S56),7))+13),1,IF(ISNUMBER($J56),$J56,$Y56)))</f>
        <v/>
      </c>
      <c r="AA56" s="62">
        <f>IF($V56="","",IF(AND(ISNUMBER($G56),$G56&lt;=IF($S56=MesCiclo,InicioCiclo,$S56+MOD(2-WEEKDAY($S56),7))+20),1,IF(ISNUMBER($K56),$K56,$Z56)))</f>
        <v/>
      </c>
      <c r="AB56" s="62">
        <f>IF($V56="","",IF(AND(ISNUMBER($G56),$G56&lt;=IF($S56=MesCiclo,InicioCiclo,$S56+MOD(2-WEEKDAY($S56),7))+27),1,IF(ISNUMBER($L56),$L56,$AA56)))</f>
        <v/>
      </c>
      <c r="AC56" s="62">
        <f>IF($V56="","",IF(AND(ISNUMBER($G56),$G56&lt;=IF($S56=MesCiclo,InicioCiclo,$S56+MOD(2-WEEKDAY($S56),7))+6),1,IF(N($W56)&gt;0,AVERAGEIFS($Y$5:$Y$1000,$U$5:$U$1000,ROW(),$V$5:$V$1000,"Sub"),$Y56)))</f>
        <v/>
      </c>
      <c r="AD56" s="62">
        <f>IF($V56="","",IF(AND(ISNUMBER($G56),$G56&lt;=IF($S56=MesCiclo,InicioCiclo,$S56+MOD(2-WEEKDAY($S56),7))+13),1,IF(N($W56)&gt;0,AVERAGEIFS($Z$5:$Z$1000,$U$5:$U$1000,ROW(),$V$5:$V$1000,"Sub"),$Z56)))</f>
        <v/>
      </c>
      <c r="AE56" s="62">
        <f>IF($V56="","",IF(AND(ISNUMBER($G56),$G56&lt;=IF($S56=MesCiclo,InicioCiclo,$S56+MOD(2-WEEKDAY($S56),7))+20),1,IF(N($W56)&gt;0,AVERAGEIFS($AA$5:$AA$1000,$U$5:$U$1000,ROW(),$V$5:$V$1000,"Sub"),$AA56)))</f>
        <v/>
      </c>
      <c r="AF56" s="62">
        <f>IF($V56="","",IF(AND(ISNUMBER($G56),$G56&lt;=IF($S56=MesCiclo,InicioCiclo,$S56+MOD(2-WEEKDAY($S56),7))+27),1,IF(N($W56)&gt;0,AVERAGEIFS($AB$5:$AB$1000,$U$5:$U$1000,ROW(),$V$5:$V$1000,"Sub"),$AB56)))</f>
        <v/>
      </c>
      <c r="AG56" s="62">
        <f>IF($V56&lt;&gt;"Macro","",IF(COUNTIFS($S$5:$S$1000,$S56,$V$5:$V$1000,"Macro",$H$5:$H$1000,"&gt;0")=0,1/COUNTIFS($S$5:$S$1000,$S56,$V$5:$V$1000,"Macro"),IF(AND(ISNUMBER($H56),N($H56)&gt;0),$H56,SUMIFS($H$5:$H$1000,$S$5:$S$1000,$S56,$V$5:$V$1000,"Macro")/COUNTIFS($S$5:$S$1000,$S56,$V$5:$V$1000,"Macro",$H$5:$H$1000,"&gt;0"))/(COUNTIFS($S$5:$S$1000,$S56,$V$5:$V$1000,"Macro")*SUMIFS($H$5:$H$1000,$S$5:$S$1000,$S56,$V$5:$V$1000,"Macro")/COUNTIFS($S$5:$S$1000,$S56,$V$5:$V$1000,"Macro",$H$5:$H$1000,"&gt;0"))))</f>
        <v/>
      </c>
      <c r="AH56" s="62">
        <f>IF(NOT(AND($D56&lt;&gt;"",$V56="Macro")),"",IFERROR(CHOOSE(MATCH($D56,ListaPuestos,0),MATCH("[Jefatura] "&amp;$C56,'Cronograma R. Operacional'!$C$5:$C$1000,0),MATCH("[Jefatura] "&amp;$C56,'Cronograma R. Normativo'!$C$5:$C$1000,0),MATCH("[Jefatura] "&amp;$C56,'Cronograma R. Financiero'!$C$5:$C$1000,0),MATCH("[Jefatura] "&amp;$C56,'Cronograma Asistente Técnico'!$C$5:$C$1000,0)),0))</f>
        <v/>
      </c>
      <c r="AI56" s="62">
        <f>IF(AND(AND($D56&lt;&gt;"",$V56="Macro"),$S56=MesCiclo),COUNTIFS($D$5:$D56,$D56,$S$5:$S56,MesCiclo,$V$5:$V56,"Macro"),"")</f>
        <v/>
      </c>
      <c r="AJ56" s="62">
        <f>IF($AI56="","",$D56&amp;"|"&amp;$AI56)</f>
        <v/>
      </c>
      <c r="AK56" s="62">
        <f>IF(AND($D56&lt;&gt;"",$V56="Macro"),$D56&amp;"|"&amp;$C56,"")</f>
        <v/>
      </c>
      <c r="AL56" s="62">
        <f>""</f>
        <v/>
      </c>
      <c r="AM56" s="62">
        <f>IF(N($AL56)&gt;0,INDEX(rIni_ADM,$AL56),IF(ISNUMBER($E56),$E56,""))</f>
        <v/>
      </c>
      <c r="AN56" s="62">
        <f>IF(N($AL56)&gt;0,INDEX(rLim_ADM,$AL56),IF(ISNUMBER($F56),$F56,""))</f>
        <v/>
      </c>
    </row>
    <row r="57">
      <c r="A57" s="56">
        <f>IF(NOT((COUNTA($B57:$D57)+COUNTA($G57:$L57)+COUNTA($Q57))&gt;0),"",IF($V57="Macro",COUNTIFS($V$5:$V57,"Macro",$S$5:$S57,$S57),IF(N($U57)=0,"?",COUNTIFS(INDEX($V$5:$V$1000,1):INDEX($V$5:$V$1000,$U57-4),"Macro",INDEX($S$5:$S$1000,1):INDEX($S$5:$S$1000,$U57-4),INDEX($S$5:$S$1000,$U57-4))&amp;"."&amp;COUNTIFS($U$5:$U57,$U57,$V$5:$V57,"Sub"))))</f>
        <v/>
      </c>
      <c r="B57" s="57" t="n"/>
      <c r="C57" s="58" t="n"/>
      <c r="D57" s="58" t="n"/>
      <c r="E57" s="59" t="n"/>
      <c r="F57" s="59" t="n"/>
      <c r="G57" s="59" t="n"/>
      <c r="H57" s="60" t="n"/>
      <c r="I57" s="60" t="n"/>
      <c r="J57" s="60" t="n"/>
      <c r="K57" s="60" t="n"/>
      <c r="L57" s="60" t="n"/>
      <c r="M57" s="61">
        <f>IF(NOT((COUNTA($B57:$D57)+COUNTA($G57:$L57)+COUNTA($Q57))&gt;0),"",IF(AND($D57&lt;&gt;"",$V57="Macro"),IF(N($AH57)&gt;0,N(CHOOSE(MATCH($D57,ListaPuestos,0),INDEX('Cronograma R. Operacional'!$M$5:$M$1000,$AH57),INDEX('Cronograma R. Normativo'!$M$5:$M$1000,$AH57),INDEX('Cronograma R. Financiero'!$M$5:$M$1000,$AH57),INDEX('Cronograma Asistente Técnico'!$M$5:$M$1000,$AH57))),0),IF(ISNUMBER($G57),1,IF(N($W57)&gt;0,AVERAGEIFS($X$5:$X$1000,$U$5:$U$1000,ROW(),$V$5:$V$1000,"Sub"),$X57))))</f>
        <v/>
      </c>
      <c r="N57" s="56">
        <f>IF($M57="","",IF($M57&gt;=1,"Completado",IF($M57&gt;0,"En curso","Pendiente")))</f>
        <v/>
      </c>
      <c r="O57" s="56">
        <f>IF(NOT((COUNTA($B57:$D57)+COUNTA($G57:$L57)+COUNTA($Q57))&gt;0),"",IF(AND(AND($D57&lt;&gt;"",$V57="Macro"),N($AH57)&gt;0),CHOOSE(MATCH($D57,ListaPuestos,0),INDEX('Cronograma R. Operacional'!$O$5:$O$1000,$AH57),INDEX('Cronograma R. Normativo'!$O$5:$O$1000,$AH57),INDEX('Cronograma R. Financiero'!$O$5:$O$1000,$AH57),INDEX('Cronograma Asistente Técnico'!$O$5:$O$1000,$AH57))&amp;"",IF(ISNUMBER($G57),IF(AND(ISNUMBER($AN57),$G57&gt;$AN57),"Cumplida con "&amp;($G57-$AN57)&amp;IF($G57-$AN57=1," día"," días")&amp;" de retraso","Cumplida"),IF(N($M57)&gt;=1,"Cumplida",IF(NOT(ISNUMBER($AN57)),"Sin fecha límite",IF($AN57&lt;FechaRef,"Vencida hace "&amp;(FechaRef-$AN57)&amp;IF(FechaRef-$AN57=1," día"," días"),IF($AN57=FechaRef,"Vence hoy",IF($AN57-FechaRef&lt;=DiasAlerta,"Vence en "&amp;($AN57-FechaRef)&amp;IF($AN57-FechaRef=1," día"," días"),"En plazo"))))))))</f>
        <v/>
      </c>
      <c r="P57" s="62">
        <f>IF(NOT((COUNTA($B57:$D57)+COUNTA($G57:$L57)+COUNTA($Q57))&gt;0),"",IF($D57="","Propia",IF($V57&lt;&gt;"Macro","Solo se delegan macroactividades",IF(N($AH57)&gt;0,"✔ Recibida por "&amp;$D57,"⚠ "&amp;$D57&amp;" aún no la agrega"))))</f>
        <v/>
      </c>
      <c r="Q57" s="58" t="n"/>
      <c r="R57" s="63">
        <f>IF(NOT((COUNTA($B57:$D57)+COUNTA($G57:$L57)+COUNTA($Q57))&gt;0),"",IF((IF($C57="","Falta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",""))="","✔ OK","⚠ "&amp;LEFT(IF($C57="","Falta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",""),LEN(IF($C57="","Falta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",""))-3)))</f>
        <v/>
      </c>
      <c r="S57" s="64">
        <f>IF(NOT((COUNTA($B57:$D57)+COUNTA($G57:$L57)+COUNTA($Q57))&gt;0),"",IF(AND($V57="Sub",N($U57)&gt;0),IF(ISNUMBER(INDEX($AM$5:$AM$1000,$U57-4)),DATE(YEAR(INDEX($AM$5:$AM$1000,$U57-4)),MONTH(INDEX($AM$5:$AM$1000,$U57-4)),1),IF(ISNUMBER(INDEX($AN$5:$AN$1000,$U57-4)),DATE(YEAR(INDEX($AN$5:$AN$1000,$U57-4)),MONTH(INDEX($AN$5:$AN$1000,$U57-4)),1),MesCiclo)),IF(ISNUMBER($AM57),DATE(YEAR($AM57),MONTH($AM57),1),IF(ISNUMBER($AN57),DATE(YEAR($AN57),MONTH($AN57),1),MesCiclo))))</f>
        <v/>
      </c>
      <c r="T57" s="62">
        <f>IF(OR($S57="",$S57&lt;&gt;MesCiclo),"",COUNTIF($S$5:$S57,MesCiclo))</f>
        <v/>
      </c>
      <c r="U57" s="62">
        <f>IF($V57="","",IF($V57="Macro",ROW(),IFERROR(LOOKUP(2,1/($V$5:$V57="Macro"),ROW($V$5:$V57)),0)))</f>
        <v/>
      </c>
      <c r="V57" s="62">
        <f>IF(NOT((COUNTA($B57:$D57)+COUNTA($G57:$L57)+COUNTA($Q57))&gt;0),"",IF($B57="Subactividad","Sub","Macro"))</f>
        <v/>
      </c>
      <c r="W57" s="62">
        <f>IF($V57="Macro",COUNTIFS($U$5:$U$1000,ROW(),$V$5:$V$1000,"Sub"),"")</f>
        <v/>
      </c>
      <c r="X57" s="62">
        <f>IF($V57="","",IF(ISNUMBER($G57),1,IFERROR(LOOKUP(2,1/($I57:$L57&lt;&gt;""),$I57:$L57),0)))</f>
        <v/>
      </c>
      <c r="Y57" s="62">
        <f>IF($V57="","",IF(AND(ISNUMBER($G57),$G57&lt;=IF($S57=MesCiclo,InicioCiclo,$S57+MOD(2-WEEKDAY($S57),7))+6),1,IF(ISNUMBER($I57),$I57,0)))</f>
        <v/>
      </c>
      <c r="Z57" s="62">
        <f>IF($V57="","",IF(AND(ISNUMBER($G57),$G57&lt;=IF($S57=MesCiclo,InicioCiclo,$S57+MOD(2-WEEKDAY($S57),7))+13),1,IF(ISNUMBER($J57),$J57,$Y57)))</f>
        <v/>
      </c>
      <c r="AA57" s="62">
        <f>IF($V57="","",IF(AND(ISNUMBER($G57),$G57&lt;=IF($S57=MesCiclo,InicioCiclo,$S57+MOD(2-WEEKDAY($S57),7))+20),1,IF(ISNUMBER($K57),$K57,$Z57)))</f>
        <v/>
      </c>
      <c r="AB57" s="62">
        <f>IF($V57="","",IF(AND(ISNUMBER($G57),$G57&lt;=IF($S57=MesCiclo,InicioCiclo,$S57+MOD(2-WEEKDAY($S57),7))+27),1,IF(ISNUMBER($L57),$L57,$AA57)))</f>
        <v/>
      </c>
      <c r="AC57" s="62">
        <f>IF($V57="","",IF(AND(ISNUMBER($G57),$G57&lt;=IF($S57=MesCiclo,InicioCiclo,$S57+MOD(2-WEEKDAY($S57),7))+6),1,IF(N($W57)&gt;0,AVERAGEIFS($Y$5:$Y$1000,$U$5:$U$1000,ROW(),$V$5:$V$1000,"Sub"),$Y57)))</f>
        <v/>
      </c>
      <c r="AD57" s="62">
        <f>IF($V57="","",IF(AND(ISNUMBER($G57),$G57&lt;=IF($S57=MesCiclo,InicioCiclo,$S57+MOD(2-WEEKDAY($S57),7))+13),1,IF(N($W57)&gt;0,AVERAGEIFS($Z$5:$Z$1000,$U$5:$U$1000,ROW(),$V$5:$V$1000,"Sub"),$Z57)))</f>
        <v/>
      </c>
      <c r="AE57" s="62">
        <f>IF($V57="","",IF(AND(ISNUMBER($G57),$G57&lt;=IF($S57=MesCiclo,InicioCiclo,$S57+MOD(2-WEEKDAY($S57),7))+20),1,IF(N($W57)&gt;0,AVERAGEIFS($AA$5:$AA$1000,$U$5:$U$1000,ROW(),$V$5:$V$1000,"Sub"),$AA57)))</f>
        <v/>
      </c>
      <c r="AF57" s="62">
        <f>IF($V57="","",IF(AND(ISNUMBER($G57),$G57&lt;=IF($S57=MesCiclo,InicioCiclo,$S57+MOD(2-WEEKDAY($S57),7))+27),1,IF(N($W57)&gt;0,AVERAGEIFS($AB$5:$AB$1000,$U$5:$U$1000,ROW(),$V$5:$V$1000,"Sub"),$AB57)))</f>
        <v/>
      </c>
      <c r="AG57" s="62">
        <f>IF($V57&lt;&gt;"Macro","",IF(COUNTIFS($S$5:$S$1000,$S57,$V$5:$V$1000,"Macro",$H$5:$H$1000,"&gt;0")=0,1/COUNTIFS($S$5:$S$1000,$S57,$V$5:$V$1000,"Macro"),IF(AND(ISNUMBER($H57),N($H57)&gt;0),$H57,SUMIFS($H$5:$H$1000,$S$5:$S$1000,$S57,$V$5:$V$1000,"Macro")/COUNTIFS($S$5:$S$1000,$S57,$V$5:$V$1000,"Macro",$H$5:$H$1000,"&gt;0"))/(COUNTIFS($S$5:$S$1000,$S57,$V$5:$V$1000,"Macro")*SUMIFS($H$5:$H$1000,$S$5:$S$1000,$S57,$V$5:$V$1000,"Macro")/COUNTIFS($S$5:$S$1000,$S57,$V$5:$V$1000,"Macro",$H$5:$H$1000,"&gt;0"))))</f>
        <v/>
      </c>
      <c r="AH57" s="62">
        <f>IF(NOT(AND($D57&lt;&gt;"",$V57="Macro")),"",IFERROR(CHOOSE(MATCH($D57,ListaPuestos,0),MATCH("[Jefatura] "&amp;$C57,'Cronograma R. Operacional'!$C$5:$C$1000,0),MATCH("[Jefatura] "&amp;$C57,'Cronograma R. Normativo'!$C$5:$C$1000,0),MATCH("[Jefatura] "&amp;$C57,'Cronograma R. Financiero'!$C$5:$C$1000,0),MATCH("[Jefatura] "&amp;$C57,'Cronograma Asistente Técnico'!$C$5:$C$1000,0)),0))</f>
        <v/>
      </c>
      <c r="AI57" s="62">
        <f>IF(AND(AND($D57&lt;&gt;"",$V57="Macro"),$S57=MesCiclo),COUNTIFS($D$5:$D57,$D57,$S$5:$S57,MesCiclo,$V$5:$V57,"Macro"),"")</f>
        <v/>
      </c>
      <c r="AJ57" s="62">
        <f>IF($AI57="","",$D57&amp;"|"&amp;$AI57)</f>
        <v/>
      </c>
      <c r="AK57" s="62">
        <f>IF(AND($D57&lt;&gt;"",$V57="Macro"),$D57&amp;"|"&amp;$C57,"")</f>
        <v/>
      </c>
      <c r="AL57" s="62">
        <f>""</f>
        <v/>
      </c>
      <c r="AM57" s="62">
        <f>IF(N($AL57)&gt;0,INDEX(rIni_ADM,$AL57),IF(ISNUMBER($E57),$E57,""))</f>
        <v/>
      </c>
      <c r="AN57" s="62">
        <f>IF(N($AL57)&gt;0,INDEX(rLim_ADM,$AL57),IF(ISNUMBER($F57),$F57,""))</f>
        <v/>
      </c>
    </row>
    <row r="58">
      <c r="A58" s="56">
        <f>IF(NOT((COUNTA($B58:$D58)+COUNTA($G58:$L58)+COUNTA($Q58))&gt;0),"",IF($V58="Macro",COUNTIFS($V$5:$V58,"Macro",$S$5:$S58,$S58),IF(N($U58)=0,"?",COUNTIFS(INDEX($V$5:$V$1000,1):INDEX($V$5:$V$1000,$U58-4),"Macro",INDEX($S$5:$S$1000,1):INDEX($S$5:$S$1000,$U58-4),INDEX($S$5:$S$1000,$U58-4))&amp;"."&amp;COUNTIFS($U$5:$U58,$U58,$V$5:$V58,"Sub"))))</f>
        <v/>
      </c>
      <c r="B58" s="57" t="n"/>
      <c r="C58" s="58" t="n"/>
      <c r="D58" s="58" t="n"/>
      <c r="E58" s="59" t="n"/>
      <c r="F58" s="59" t="n"/>
      <c r="G58" s="59" t="n"/>
      <c r="H58" s="60" t="n"/>
      <c r="I58" s="60" t="n"/>
      <c r="J58" s="60" t="n"/>
      <c r="K58" s="60" t="n"/>
      <c r="L58" s="60" t="n"/>
      <c r="M58" s="61">
        <f>IF(NOT((COUNTA($B58:$D58)+COUNTA($G58:$L58)+COUNTA($Q58))&gt;0),"",IF(AND($D58&lt;&gt;"",$V58="Macro"),IF(N($AH58)&gt;0,N(CHOOSE(MATCH($D58,ListaPuestos,0),INDEX('Cronograma R. Operacional'!$M$5:$M$1000,$AH58),INDEX('Cronograma R. Normativo'!$M$5:$M$1000,$AH58),INDEX('Cronograma R. Financiero'!$M$5:$M$1000,$AH58),INDEX('Cronograma Asistente Técnico'!$M$5:$M$1000,$AH58))),0),IF(ISNUMBER($G58),1,IF(N($W58)&gt;0,AVERAGEIFS($X$5:$X$1000,$U$5:$U$1000,ROW(),$V$5:$V$1000,"Sub"),$X58))))</f>
        <v/>
      </c>
      <c r="N58" s="56">
        <f>IF($M58="","",IF($M58&gt;=1,"Completado",IF($M58&gt;0,"En curso","Pendiente")))</f>
        <v/>
      </c>
      <c r="O58" s="56">
        <f>IF(NOT((COUNTA($B58:$D58)+COUNTA($G58:$L58)+COUNTA($Q58))&gt;0),"",IF(AND(AND($D58&lt;&gt;"",$V58="Macro"),N($AH58)&gt;0),CHOOSE(MATCH($D58,ListaPuestos,0),INDEX('Cronograma R. Operacional'!$O$5:$O$1000,$AH58),INDEX('Cronograma R. Normativo'!$O$5:$O$1000,$AH58),INDEX('Cronograma R. Financiero'!$O$5:$O$1000,$AH58),INDEX('Cronograma Asistente Técnico'!$O$5:$O$1000,$AH58))&amp;"",IF(ISNUMBER($G58),IF(AND(ISNUMBER($AN58),$G58&gt;$AN58),"Cumplida con "&amp;($G58-$AN58)&amp;IF($G58-$AN58=1," día"," días")&amp;" de retraso","Cumplida"),IF(N($M58)&gt;=1,"Cumplida",IF(NOT(ISNUMBER($AN58)),"Sin fecha límite",IF($AN58&lt;FechaRef,"Vencida hace "&amp;(FechaRef-$AN58)&amp;IF(FechaRef-$AN58=1," día"," días"),IF($AN58=FechaRef,"Vence hoy",IF($AN58-FechaRef&lt;=DiasAlerta,"Vence en "&amp;($AN58-FechaRef)&amp;IF($AN58-FechaRef=1," día"," días"),"En plazo"))))))))</f>
        <v/>
      </c>
      <c r="P58" s="62">
        <f>IF(NOT((COUNTA($B58:$D58)+COUNTA($G58:$L58)+COUNTA($Q58))&gt;0),"",IF($D58="","Propia",IF($V58&lt;&gt;"Macro","Solo se delegan macroactividades",IF(N($AH58)&gt;0,"✔ Recibida por "&amp;$D58,"⚠ "&amp;$D58&amp;" aún no la agrega"))))</f>
        <v/>
      </c>
      <c r="Q58" s="58" t="n"/>
      <c r="R58" s="63">
        <f>IF(NOT((COUNTA($B58:$D58)+COUNTA($G58:$L58)+COUNTA($Q58))&gt;0),"",IF((IF($C58="","Falta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",""))="","✔ OK","⚠ "&amp;LEFT(IF($C58="","Falta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",""),LEN(IF($C58="","Falta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",""))-3)))</f>
        <v/>
      </c>
      <c r="S58" s="64">
        <f>IF(NOT((COUNTA($B58:$D58)+COUNTA($G58:$L58)+COUNTA($Q58))&gt;0),"",IF(AND($V58="Sub",N($U58)&gt;0),IF(ISNUMBER(INDEX($AM$5:$AM$1000,$U58-4)),DATE(YEAR(INDEX($AM$5:$AM$1000,$U58-4)),MONTH(INDEX($AM$5:$AM$1000,$U58-4)),1),IF(ISNUMBER(INDEX($AN$5:$AN$1000,$U58-4)),DATE(YEAR(INDEX($AN$5:$AN$1000,$U58-4)),MONTH(INDEX($AN$5:$AN$1000,$U58-4)),1),MesCiclo)),IF(ISNUMBER($AM58),DATE(YEAR($AM58),MONTH($AM58),1),IF(ISNUMBER($AN58),DATE(YEAR($AN58),MONTH($AN58),1),MesCiclo))))</f>
        <v/>
      </c>
      <c r="T58" s="62">
        <f>IF(OR($S58="",$S58&lt;&gt;MesCiclo),"",COUNTIF($S$5:$S58,MesCiclo))</f>
        <v/>
      </c>
      <c r="U58" s="62">
        <f>IF($V58="","",IF($V58="Macro",ROW(),IFERROR(LOOKUP(2,1/($V$5:$V58="Macro"),ROW($V$5:$V58)),0)))</f>
        <v/>
      </c>
      <c r="V58" s="62">
        <f>IF(NOT((COUNTA($B58:$D58)+COUNTA($G58:$L58)+COUNTA($Q58))&gt;0),"",IF($B58="Subactividad","Sub","Macro"))</f>
        <v/>
      </c>
      <c r="W58" s="62">
        <f>IF($V58="Macro",COUNTIFS($U$5:$U$1000,ROW(),$V$5:$V$1000,"Sub"),"")</f>
        <v/>
      </c>
      <c r="X58" s="62">
        <f>IF($V58="","",IF(ISNUMBER($G58),1,IFERROR(LOOKUP(2,1/($I58:$L58&lt;&gt;""),$I58:$L58),0)))</f>
        <v/>
      </c>
      <c r="Y58" s="62">
        <f>IF($V58="","",IF(AND(ISNUMBER($G58),$G58&lt;=IF($S58=MesCiclo,InicioCiclo,$S58+MOD(2-WEEKDAY($S58),7))+6),1,IF(ISNUMBER($I58),$I58,0)))</f>
        <v/>
      </c>
      <c r="Z58" s="62">
        <f>IF($V58="","",IF(AND(ISNUMBER($G58),$G58&lt;=IF($S58=MesCiclo,InicioCiclo,$S58+MOD(2-WEEKDAY($S58),7))+13),1,IF(ISNUMBER($J58),$J58,$Y58)))</f>
        <v/>
      </c>
      <c r="AA58" s="62">
        <f>IF($V58="","",IF(AND(ISNUMBER($G58),$G58&lt;=IF($S58=MesCiclo,InicioCiclo,$S58+MOD(2-WEEKDAY($S58),7))+20),1,IF(ISNUMBER($K58),$K58,$Z58)))</f>
        <v/>
      </c>
      <c r="AB58" s="62">
        <f>IF($V58="","",IF(AND(ISNUMBER($G58),$G58&lt;=IF($S58=MesCiclo,InicioCiclo,$S58+MOD(2-WEEKDAY($S58),7))+27),1,IF(ISNUMBER($L58),$L58,$AA58)))</f>
        <v/>
      </c>
      <c r="AC58" s="62">
        <f>IF($V58="","",IF(AND(ISNUMBER($G58),$G58&lt;=IF($S58=MesCiclo,InicioCiclo,$S58+MOD(2-WEEKDAY($S58),7))+6),1,IF(N($W58)&gt;0,AVERAGEIFS($Y$5:$Y$1000,$U$5:$U$1000,ROW(),$V$5:$V$1000,"Sub"),$Y58)))</f>
        <v/>
      </c>
      <c r="AD58" s="62">
        <f>IF($V58="","",IF(AND(ISNUMBER($G58),$G58&lt;=IF($S58=MesCiclo,InicioCiclo,$S58+MOD(2-WEEKDAY($S58),7))+13),1,IF(N($W58)&gt;0,AVERAGEIFS($Z$5:$Z$1000,$U$5:$U$1000,ROW(),$V$5:$V$1000,"Sub"),$Z58)))</f>
        <v/>
      </c>
      <c r="AE58" s="62">
        <f>IF($V58="","",IF(AND(ISNUMBER($G58),$G58&lt;=IF($S58=MesCiclo,InicioCiclo,$S58+MOD(2-WEEKDAY($S58),7))+20),1,IF(N($W58)&gt;0,AVERAGEIFS($AA$5:$AA$1000,$U$5:$U$1000,ROW(),$V$5:$V$1000,"Sub"),$AA58)))</f>
        <v/>
      </c>
      <c r="AF58" s="62">
        <f>IF($V58="","",IF(AND(ISNUMBER($G58),$G58&lt;=IF($S58=MesCiclo,InicioCiclo,$S58+MOD(2-WEEKDAY($S58),7))+27),1,IF(N($W58)&gt;0,AVERAGEIFS($AB$5:$AB$1000,$U$5:$U$1000,ROW(),$V$5:$V$1000,"Sub"),$AB58)))</f>
        <v/>
      </c>
      <c r="AG58" s="62">
        <f>IF($V58&lt;&gt;"Macro","",IF(COUNTIFS($S$5:$S$1000,$S58,$V$5:$V$1000,"Macro",$H$5:$H$1000,"&gt;0")=0,1/COUNTIFS($S$5:$S$1000,$S58,$V$5:$V$1000,"Macro"),IF(AND(ISNUMBER($H58),N($H58)&gt;0),$H58,SUMIFS($H$5:$H$1000,$S$5:$S$1000,$S58,$V$5:$V$1000,"Macro")/COUNTIFS($S$5:$S$1000,$S58,$V$5:$V$1000,"Macro",$H$5:$H$1000,"&gt;0"))/(COUNTIFS($S$5:$S$1000,$S58,$V$5:$V$1000,"Macro")*SUMIFS($H$5:$H$1000,$S$5:$S$1000,$S58,$V$5:$V$1000,"Macro")/COUNTIFS($S$5:$S$1000,$S58,$V$5:$V$1000,"Macro",$H$5:$H$1000,"&gt;0"))))</f>
        <v/>
      </c>
      <c r="AH58" s="62">
        <f>IF(NOT(AND($D58&lt;&gt;"",$V58="Macro")),"",IFERROR(CHOOSE(MATCH($D58,ListaPuestos,0),MATCH("[Jefatura] "&amp;$C58,'Cronograma R. Operacional'!$C$5:$C$1000,0),MATCH("[Jefatura] "&amp;$C58,'Cronograma R. Normativo'!$C$5:$C$1000,0),MATCH("[Jefatura] "&amp;$C58,'Cronograma R. Financiero'!$C$5:$C$1000,0),MATCH("[Jefatura] "&amp;$C58,'Cronograma Asistente Técnico'!$C$5:$C$1000,0)),0))</f>
        <v/>
      </c>
      <c r="AI58" s="62">
        <f>IF(AND(AND($D58&lt;&gt;"",$V58="Macro"),$S58=MesCiclo),COUNTIFS($D$5:$D58,$D58,$S$5:$S58,MesCiclo,$V$5:$V58,"Macro"),"")</f>
        <v/>
      </c>
      <c r="AJ58" s="62">
        <f>IF($AI58="","",$D58&amp;"|"&amp;$AI58)</f>
        <v/>
      </c>
      <c r="AK58" s="62">
        <f>IF(AND($D58&lt;&gt;"",$V58="Macro"),$D58&amp;"|"&amp;$C58,"")</f>
        <v/>
      </c>
      <c r="AL58" s="62">
        <f>""</f>
        <v/>
      </c>
      <c r="AM58" s="62">
        <f>IF(N($AL58)&gt;0,INDEX(rIni_ADM,$AL58),IF(ISNUMBER($E58),$E58,""))</f>
        <v/>
      </c>
      <c r="AN58" s="62">
        <f>IF(N($AL58)&gt;0,INDEX(rLim_ADM,$AL58),IF(ISNUMBER($F58),$F58,""))</f>
        <v/>
      </c>
    </row>
    <row r="59">
      <c r="A59" s="56">
        <f>IF(NOT((COUNTA($B59:$D59)+COUNTA($G59:$L59)+COUNTA($Q59))&gt;0),"",IF($V59="Macro",COUNTIFS($V$5:$V59,"Macro",$S$5:$S59,$S59),IF(N($U59)=0,"?",COUNTIFS(INDEX($V$5:$V$1000,1):INDEX($V$5:$V$1000,$U59-4),"Macro",INDEX($S$5:$S$1000,1):INDEX($S$5:$S$1000,$U59-4),INDEX($S$5:$S$1000,$U59-4))&amp;"."&amp;COUNTIFS($U$5:$U59,$U59,$V$5:$V59,"Sub"))))</f>
        <v/>
      </c>
      <c r="B59" s="57" t="n"/>
      <c r="C59" s="58" t="n"/>
      <c r="D59" s="58" t="n"/>
      <c r="E59" s="59" t="n"/>
      <c r="F59" s="59" t="n"/>
      <c r="G59" s="59" t="n"/>
      <c r="H59" s="60" t="n"/>
      <c r="I59" s="60" t="n"/>
      <c r="J59" s="60" t="n"/>
      <c r="K59" s="60" t="n"/>
      <c r="L59" s="60" t="n"/>
      <c r="M59" s="61">
        <f>IF(NOT((COUNTA($B59:$D59)+COUNTA($G59:$L59)+COUNTA($Q59))&gt;0),"",IF(AND($D59&lt;&gt;"",$V59="Macro"),IF(N($AH59)&gt;0,N(CHOOSE(MATCH($D59,ListaPuestos,0),INDEX('Cronograma R. Operacional'!$M$5:$M$1000,$AH59),INDEX('Cronograma R. Normativo'!$M$5:$M$1000,$AH59),INDEX('Cronograma R. Financiero'!$M$5:$M$1000,$AH59),INDEX('Cronograma Asistente Técnico'!$M$5:$M$1000,$AH59))),0),IF(ISNUMBER($G59),1,IF(N($W59)&gt;0,AVERAGEIFS($X$5:$X$1000,$U$5:$U$1000,ROW(),$V$5:$V$1000,"Sub"),$X59))))</f>
        <v/>
      </c>
      <c r="N59" s="56">
        <f>IF($M59="","",IF($M59&gt;=1,"Completado",IF($M59&gt;0,"En curso","Pendiente")))</f>
        <v/>
      </c>
      <c r="O59" s="56">
        <f>IF(NOT((COUNTA($B59:$D59)+COUNTA($G59:$L59)+COUNTA($Q59))&gt;0),"",IF(AND(AND($D59&lt;&gt;"",$V59="Macro"),N($AH59)&gt;0),CHOOSE(MATCH($D59,ListaPuestos,0),INDEX('Cronograma R. Operacional'!$O$5:$O$1000,$AH59),INDEX('Cronograma R. Normativo'!$O$5:$O$1000,$AH59),INDEX('Cronograma R. Financiero'!$O$5:$O$1000,$AH59),INDEX('Cronograma Asistente Técnico'!$O$5:$O$1000,$AH59))&amp;"",IF(ISNUMBER($G59),IF(AND(ISNUMBER($AN59),$G59&gt;$AN59),"Cumplida con "&amp;($G59-$AN59)&amp;IF($G59-$AN59=1," día"," días")&amp;" de retraso","Cumplida"),IF(N($M59)&gt;=1,"Cumplida",IF(NOT(ISNUMBER($AN59)),"Sin fecha límite",IF($AN59&lt;FechaRef,"Vencida hace "&amp;(FechaRef-$AN59)&amp;IF(FechaRef-$AN59=1," día"," días"),IF($AN59=FechaRef,"Vence hoy",IF($AN59-FechaRef&lt;=DiasAlerta,"Vence en "&amp;($AN59-FechaRef)&amp;IF($AN59-FechaRef=1," día"," días"),"En plazo"))))))))</f>
        <v/>
      </c>
      <c r="P59" s="62">
        <f>IF(NOT((COUNTA($B59:$D59)+COUNTA($G59:$L59)+COUNTA($Q59))&gt;0),"",IF($D59="","Propia",IF($V59&lt;&gt;"Macro","Solo se delegan macroactividades",IF(N($AH59)&gt;0,"✔ Recibida por "&amp;$D59,"⚠ "&amp;$D59&amp;" aún no la agrega"))))</f>
        <v/>
      </c>
      <c r="Q59" s="58" t="n"/>
      <c r="R59" s="63">
        <f>IF(NOT((COUNTA($B59:$D59)+COUNTA($G59:$L59)+COUNTA($Q59))&gt;0),"",IF((IF($C59="","Falta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",""))="","✔ OK","⚠ "&amp;LEFT(IF($C59="","Falta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",""),LEN(IF($C59="","Falta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",""))-3)))</f>
        <v/>
      </c>
      <c r="S59" s="64">
        <f>IF(NOT((COUNTA($B59:$D59)+COUNTA($G59:$L59)+COUNTA($Q59))&gt;0),"",IF(AND($V59="Sub",N($U59)&gt;0),IF(ISNUMBER(INDEX($AM$5:$AM$1000,$U59-4)),DATE(YEAR(INDEX($AM$5:$AM$1000,$U59-4)),MONTH(INDEX($AM$5:$AM$1000,$U59-4)),1),IF(ISNUMBER(INDEX($AN$5:$AN$1000,$U59-4)),DATE(YEAR(INDEX($AN$5:$AN$1000,$U59-4)),MONTH(INDEX($AN$5:$AN$1000,$U59-4)),1),MesCiclo)),IF(ISNUMBER($AM59),DATE(YEAR($AM59),MONTH($AM59),1),IF(ISNUMBER($AN59),DATE(YEAR($AN59),MONTH($AN59),1),MesCiclo))))</f>
        <v/>
      </c>
      <c r="T59" s="62">
        <f>IF(OR($S59="",$S59&lt;&gt;MesCiclo),"",COUNTIF($S$5:$S59,MesCiclo))</f>
        <v/>
      </c>
      <c r="U59" s="62">
        <f>IF($V59="","",IF($V59="Macro",ROW(),IFERROR(LOOKUP(2,1/($V$5:$V59="Macro"),ROW($V$5:$V59)),0)))</f>
        <v/>
      </c>
      <c r="V59" s="62">
        <f>IF(NOT((COUNTA($B59:$D59)+COUNTA($G59:$L59)+COUNTA($Q59))&gt;0),"",IF($B59="Subactividad","Sub","Macro"))</f>
        <v/>
      </c>
      <c r="W59" s="62">
        <f>IF($V59="Macro",COUNTIFS($U$5:$U$1000,ROW(),$V$5:$V$1000,"Sub"),"")</f>
        <v/>
      </c>
      <c r="X59" s="62">
        <f>IF($V59="","",IF(ISNUMBER($G59),1,IFERROR(LOOKUP(2,1/($I59:$L59&lt;&gt;""),$I59:$L59),0)))</f>
        <v/>
      </c>
      <c r="Y59" s="62">
        <f>IF($V59="","",IF(AND(ISNUMBER($G59),$G59&lt;=IF($S59=MesCiclo,InicioCiclo,$S59+MOD(2-WEEKDAY($S59),7))+6),1,IF(ISNUMBER($I59),$I59,0)))</f>
        <v/>
      </c>
      <c r="Z59" s="62">
        <f>IF($V59="","",IF(AND(ISNUMBER($G59),$G59&lt;=IF($S59=MesCiclo,InicioCiclo,$S59+MOD(2-WEEKDAY($S59),7))+13),1,IF(ISNUMBER($J59),$J59,$Y59)))</f>
        <v/>
      </c>
      <c r="AA59" s="62">
        <f>IF($V59="","",IF(AND(ISNUMBER($G59),$G59&lt;=IF($S59=MesCiclo,InicioCiclo,$S59+MOD(2-WEEKDAY($S59),7))+20),1,IF(ISNUMBER($K59),$K59,$Z59)))</f>
        <v/>
      </c>
      <c r="AB59" s="62">
        <f>IF($V59="","",IF(AND(ISNUMBER($G59),$G59&lt;=IF($S59=MesCiclo,InicioCiclo,$S59+MOD(2-WEEKDAY($S59),7))+27),1,IF(ISNUMBER($L59),$L59,$AA59)))</f>
        <v/>
      </c>
      <c r="AC59" s="62">
        <f>IF($V59="","",IF(AND(ISNUMBER($G59),$G59&lt;=IF($S59=MesCiclo,InicioCiclo,$S59+MOD(2-WEEKDAY($S59),7))+6),1,IF(N($W59)&gt;0,AVERAGEIFS($Y$5:$Y$1000,$U$5:$U$1000,ROW(),$V$5:$V$1000,"Sub"),$Y59)))</f>
        <v/>
      </c>
      <c r="AD59" s="62">
        <f>IF($V59="","",IF(AND(ISNUMBER($G59),$G59&lt;=IF($S59=MesCiclo,InicioCiclo,$S59+MOD(2-WEEKDAY($S59),7))+13),1,IF(N($W59)&gt;0,AVERAGEIFS($Z$5:$Z$1000,$U$5:$U$1000,ROW(),$V$5:$V$1000,"Sub"),$Z59)))</f>
        <v/>
      </c>
      <c r="AE59" s="62">
        <f>IF($V59="","",IF(AND(ISNUMBER($G59),$G59&lt;=IF($S59=MesCiclo,InicioCiclo,$S59+MOD(2-WEEKDAY($S59),7))+20),1,IF(N($W59)&gt;0,AVERAGEIFS($AA$5:$AA$1000,$U$5:$U$1000,ROW(),$V$5:$V$1000,"Sub"),$AA59)))</f>
        <v/>
      </c>
      <c r="AF59" s="62">
        <f>IF($V59="","",IF(AND(ISNUMBER($G59),$G59&lt;=IF($S59=MesCiclo,InicioCiclo,$S59+MOD(2-WEEKDAY($S59),7))+27),1,IF(N($W59)&gt;0,AVERAGEIFS($AB$5:$AB$1000,$U$5:$U$1000,ROW(),$V$5:$V$1000,"Sub"),$AB59)))</f>
        <v/>
      </c>
      <c r="AG59" s="62">
        <f>IF($V59&lt;&gt;"Macro","",IF(COUNTIFS($S$5:$S$1000,$S59,$V$5:$V$1000,"Macro",$H$5:$H$1000,"&gt;0")=0,1/COUNTIFS($S$5:$S$1000,$S59,$V$5:$V$1000,"Macro"),IF(AND(ISNUMBER($H59),N($H59)&gt;0),$H59,SUMIFS($H$5:$H$1000,$S$5:$S$1000,$S59,$V$5:$V$1000,"Macro")/COUNTIFS($S$5:$S$1000,$S59,$V$5:$V$1000,"Macro",$H$5:$H$1000,"&gt;0"))/(COUNTIFS($S$5:$S$1000,$S59,$V$5:$V$1000,"Macro")*SUMIFS($H$5:$H$1000,$S$5:$S$1000,$S59,$V$5:$V$1000,"Macro")/COUNTIFS($S$5:$S$1000,$S59,$V$5:$V$1000,"Macro",$H$5:$H$1000,"&gt;0"))))</f>
        <v/>
      </c>
      <c r="AH59" s="62">
        <f>IF(NOT(AND($D59&lt;&gt;"",$V59="Macro")),"",IFERROR(CHOOSE(MATCH($D59,ListaPuestos,0),MATCH("[Jefatura] "&amp;$C59,'Cronograma R. Operacional'!$C$5:$C$1000,0),MATCH("[Jefatura] "&amp;$C59,'Cronograma R. Normativo'!$C$5:$C$1000,0),MATCH("[Jefatura] "&amp;$C59,'Cronograma R. Financiero'!$C$5:$C$1000,0),MATCH("[Jefatura] "&amp;$C59,'Cronograma Asistente Técnico'!$C$5:$C$1000,0)),0))</f>
        <v/>
      </c>
      <c r="AI59" s="62">
        <f>IF(AND(AND($D59&lt;&gt;"",$V59="Macro"),$S59=MesCiclo),COUNTIFS($D$5:$D59,$D59,$S$5:$S59,MesCiclo,$V$5:$V59,"Macro"),"")</f>
        <v/>
      </c>
      <c r="AJ59" s="62">
        <f>IF($AI59="","",$D59&amp;"|"&amp;$AI59)</f>
        <v/>
      </c>
      <c r="AK59" s="62">
        <f>IF(AND($D59&lt;&gt;"",$V59="Macro"),$D59&amp;"|"&amp;$C59,"")</f>
        <v/>
      </c>
      <c r="AL59" s="62">
        <f>""</f>
        <v/>
      </c>
      <c r="AM59" s="62">
        <f>IF(N($AL59)&gt;0,INDEX(rIni_ADM,$AL59),IF(ISNUMBER($E59),$E59,""))</f>
        <v/>
      </c>
      <c r="AN59" s="62">
        <f>IF(N($AL59)&gt;0,INDEX(rLim_ADM,$AL59),IF(ISNUMBER($F59),$F59,""))</f>
        <v/>
      </c>
    </row>
    <row r="60">
      <c r="A60" s="56">
        <f>IF(NOT((COUNTA($B60:$D60)+COUNTA($G60:$L60)+COUNTA($Q60))&gt;0),"",IF($V60="Macro",COUNTIFS($V$5:$V60,"Macro",$S$5:$S60,$S60),IF(N($U60)=0,"?",COUNTIFS(INDEX($V$5:$V$1000,1):INDEX($V$5:$V$1000,$U60-4),"Macro",INDEX($S$5:$S$1000,1):INDEX($S$5:$S$1000,$U60-4),INDEX($S$5:$S$1000,$U60-4))&amp;"."&amp;COUNTIFS($U$5:$U60,$U60,$V$5:$V60,"Sub"))))</f>
        <v/>
      </c>
      <c r="B60" s="57" t="n"/>
      <c r="C60" s="58" t="n"/>
      <c r="D60" s="58" t="n"/>
      <c r="E60" s="59" t="n"/>
      <c r="F60" s="59" t="n"/>
      <c r="G60" s="59" t="n"/>
      <c r="H60" s="60" t="n"/>
      <c r="I60" s="60" t="n"/>
      <c r="J60" s="60" t="n"/>
      <c r="K60" s="60" t="n"/>
      <c r="L60" s="60" t="n"/>
      <c r="M60" s="61">
        <f>IF(NOT((COUNTA($B60:$D60)+COUNTA($G60:$L60)+COUNTA($Q60))&gt;0),"",IF(AND($D60&lt;&gt;"",$V60="Macro"),IF(N($AH60)&gt;0,N(CHOOSE(MATCH($D60,ListaPuestos,0),INDEX('Cronograma R. Operacional'!$M$5:$M$1000,$AH60),INDEX('Cronograma R. Normativo'!$M$5:$M$1000,$AH60),INDEX('Cronograma R. Financiero'!$M$5:$M$1000,$AH60),INDEX('Cronograma Asistente Técnico'!$M$5:$M$1000,$AH60))),0),IF(ISNUMBER($G60),1,IF(N($W60)&gt;0,AVERAGEIFS($X$5:$X$1000,$U$5:$U$1000,ROW(),$V$5:$V$1000,"Sub"),$X60))))</f>
        <v/>
      </c>
      <c r="N60" s="56">
        <f>IF($M60="","",IF($M60&gt;=1,"Completado",IF($M60&gt;0,"En curso","Pendiente")))</f>
        <v/>
      </c>
      <c r="O60" s="56">
        <f>IF(NOT((COUNTA($B60:$D60)+COUNTA($G60:$L60)+COUNTA($Q60))&gt;0),"",IF(AND(AND($D60&lt;&gt;"",$V60="Macro"),N($AH60)&gt;0),CHOOSE(MATCH($D60,ListaPuestos,0),INDEX('Cronograma R. Operacional'!$O$5:$O$1000,$AH60),INDEX('Cronograma R. Normativo'!$O$5:$O$1000,$AH60),INDEX('Cronograma R. Financiero'!$O$5:$O$1000,$AH60),INDEX('Cronograma Asistente Técnico'!$O$5:$O$1000,$AH60))&amp;"",IF(ISNUMBER($G60),IF(AND(ISNUMBER($AN60),$G60&gt;$AN60),"Cumplida con "&amp;($G60-$AN60)&amp;IF($G60-$AN60=1," día"," días")&amp;" de retraso","Cumplida"),IF(N($M60)&gt;=1,"Cumplida",IF(NOT(ISNUMBER($AN60)),"Sin fecha límite",IF($AN60&lt;FechaRef,"Vencida hace "&amp;(FechaRef-$AN60)&amp;IF(FechaRef-$AN60=1," día"," días"),IF($AN60=FechaRef,"Vence hoy",IF($AN60-FechaRef&lt;=DiasAlerta,"Vence en "&amp;($AN60-FechaRef)&amp;IF($AN60-FechaRef=1," día"," días"),"En plazo"))))))))</f>
        <v/>
      </c>
      <c r="P60" s="62">
        <f>IF(NOT((COUNTA($B60:$D60)+COUNTA($G60:$L60)+COUNTA($Q60))&gt;0),"",IF($D60="","Propia",IF($V60&lt;&gt;"Macro","Solo se delegan macroactividades",IF(N($AH60)&gt;0,"✔ Recibida por "&amp;$D60,"⚠ "&amp;$D60&amp;" aún no la agrega"))))</f>
        <v/>
      </c>
      <c r="Q60" s="58" t="n"/>
      <c r="R60" s="63">
        <f>IF(NOT((COUNTA($B60:$D60)+COUNTA($G60:$L60)+COUNTA($Q60))&gt;0),"",IF((IF($C60="","Falta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",""))="","✔ OK","⚠ "&amp;LEFT(IF($C60="","Falta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",""),LEN(IF($C60="","Falta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",""))-3)))</f>
        <v/>
      </c>
      <c r="S60" s="64">
        <f>IF(NOT((COUNTA($B60:$D60)+COUNTA($G60:$L60)+COUNTA($Q60))&gt;0),"",IF(AND($V60="Sub",N($U60)&gt;0),IF(ISNUMBER(INDEX($AM$5:$AM$1000,$U60-4)),DATE(YEAR(INDEX($AM$5:$AM$1000,$U60-4)),MONTH(INDEX($AM$5:$AM$1000,$U60-4)),1),IF(ISNUMBER(INDEX($AN$5:$AN$1000,$U60-4)),DATE(YEAR(INDEX($AN$5:$AN$1000,$U60-4)),MONTH(INDEX($AN$5:$AN$1000,$U60-4)),1),MesCiclo)),IF(ISNUMBER($AM60),DATE(YEAR($AM60),MONTH($AM60),1),IF(ISNUMBER($AN60),DATE(YEAR($AN60),MONTH($AN60),1),MesCiclo))))</f>
        <v/>
      </c>
      <c r="T60" s="62">
        <f>IF(OR($S60="",$S60&lt;&gt;MesCiclo),"",COUNTIF($S$5:$S60,MesCiclo))</f>
        <v/>
      </c>
      <c r="U60" s="62">
        <f>IF($V60="","",IF($V60="Macro",ROW(),IFERROR(LOOKUP(2,1/($V$5:$V60="Macro"),ROW($V$5:$V60)),0)))</f>
        <v/>
      </c>
      <c r="V60" s="62">
        <f>IF(NOT((COUNTA($B60:$D60)+COUNTA($G60:$L60)+COUNTA($Q60))&gt;0),"",IF($B60="Subactividad","Sub","Macro"))</f>
        <v/>
      </c>
      <c r="W60" s="62">
        <f>IF($V60="Macro",COUNTIFS($U$5:$U$1000,ROW(),$V$5:$V$1000,"Sub"),"")</f>
        <v/>
      </c>
      <c r="X60" s="62">
        <f>IF($V60="","",IF(ISNUMBER($G60),1,IFERROR(LOOKUP(2,1/($I60:$L60&lt;&gt;""),$I60:$L60),0)))</f>
        <v/>
      </c>
      <c r="Y60" s="62">
        <f>IF($V60="","",IF(AND(ISNUMBER($G60),$G60&lt;=IF($S60=MesCiclo,InicioCiclo,$S60+MOD(2-WEEKDAY($S60),7))+6),1,IF(ISNUMBER($I60),$I60,0)))</f>
        <v/>
      </c>
      <c r="Z60" s="62">
        <f>IF($V60="","",IF(AND(ISNUMBER($G60),$G60&lt;=IF($S60=MesCiclo,InicioCiclo,$S60+MOD(2-WEEKDAY($S60),7))+13),1,IF(ISNUMBER($J60),$J60,$Y60)))</f>
        <v/>
      </c>
      <c r="AA60" s="62">
        <f>IF($V60="","",IF(AND(ISNUMBER($G60),$G60&lt;=IF($S60=MesCiclo,InicioCiclo,$S60+MOD(2-WEEKDAY($S60),7))+20),1,IF(ISNUMBER($K60),$K60,$Z60)))</f>
        <v/>
      </c>
      <c r="AB60" s="62">
        <f>IF($V60="","",IF(AND(ISNUMBER($G60),$G60&lt;=IF($S60=MesCiclo,InicioCiclo,$S60+MOD(2-WEEKDAY($S60),7))+27),1,IF(ISNUMBER($L60),$L60,$AA60)))</f>
        <v/>
      </c>
      <c r="AC60" s="62">
        <f>IF($V60="","",IF(AND(ISNUMBER($G60),$G60&lt;=IF($S60=MesCiclo,InicioCiclo,$S60+MOD(2-WEEKDAY($S60),7))+6),1,IF(N($W60)&gt;0,AVERAGEIFS($Y$5:$Y$1000,$U$5:$U$1000,ROW(),$V$5:$V$1000,"Sub"),$Y60)))</f>
        <v/>
      </c>
      <c r="AD60" s="62">
        <f>IF($V60="","",IF(AND(ISNUMBER($G60),$G60&lt;=IF($S60=MesCiclo,InicioCiclo,$S60+MOD(2-WEEKDAY($S60),7))+13),1,IF(N($W60)&gt;0,AVERAGEIFS($Z$5:$Z$1000,$U$5:$U$1000,ROW(),$V$5:$V$1000,"Sub"),$Z60)))</f>
        <v/>
      </c>
      <c r="AE60" s="62">
        <f>IF($V60="","",IF(AND(ISNUMBER($G60),$G60&lt;=IF($S60=MesCiclo,InicioCiclo,$S60+MOD(2-WEEKDAY($S60),7))+20),1,IF(N($W60)&gt;0,AVERAGEIFS($AA$5:$AA$1000,$U$5:$U$1000,ROW(),$V$5:$V$1000,"Sub"),$AA60)))</f>
        <v/>
      </c>
      <c r="AF60" s="62">
        <f>IF($V60="","",IF(AND(ISNUMBER($G60),$G60&lt;=IF($S60=MesCiclo,InicioCiclo,$S60+MOD(2-WEEKDAY($S60),7))+27),1,IF(N($W60)&gt;0,AVERAGEIFS($AB$5:$AB$1000,$U$5:$U$1000,ROW(),$V$5:$V$1000,"Sub"),$AB60)))</f>
        <v/>
      </c>
      <c r="AG60" s="62">
        <f>IF($V60&lt;&gt;"Macro","",IF(COUNTIFS($S$5:$S$1000,$S60,$V$5:$V$1000,"Macro",$H$5:$H$1000,"&gt;0")=0,1/COUNTIFS($S$5:$S$1000,$S60,$V$5:$V$1000,"Macro"),IF(AND(ISNUMBER($H60),N($H60)&gt;0),$H60,SUMIFS($H$5:$H$1000,$S$5:$S$1000,$S60,$V$5:$V$1000,"Macro")/COUNTIFS($S$5:$S$1000,$S60,$V$5:$V$1000,"Macro",$H$5:$H$1000,"&gt;0"))/(COUNTIFS($S$5:$S$1000,$S60,$V$5:$V$1000,"Macro")*SUMIFS($H$5:$H$1000,$S$5:$S$1000,$S60,$V$5:$V$1000,"Macro")/COUNTIFS($S$5:$S$1000,$S60,$V$5:$V$1000,"Macro",$H$5:$H$1000,"&gt;0"))))</f>
        <v/>
      </c>
      <c r="AH60" s="62">
        <f>IF(NOT(AND($D60&lt;&gt;"",$V60="Macro")),"",IFERROR(CHOOSE(MATCH($D60,ListaPuestos,0),MATCH("[Jefatura] "&amp;$C60,'Cronograma R. Operacional'!$C$5:$C$1000,0),MATCH("[Jefatura] "&amp;$C60,'Cronograma R. Normativo'!$C$5:$C$1000,0),MATCH("[Jefatura] "&amp;$C60,'Cronograma R. Financiero'!$C$5:$C$1000,0),MATCH("[Jefatura] "&amp;$C60,'Cronograma Asistente Técnico'!$C$5:$C$1000,0)),0))</f>
        <v/>
      </c>
      <c r="AI60" s="62">
        <f>IF(AND(AND($D60&lt;&gt;"",$V60="Macro"),$S60=MesCiclo),COUNTIFS($D$5:$D60,$D60,$S$5:$S60,MesCiclo,$V$5:$V60,"Macro"),"")</f>
        <v/>
      </c>
      <c r="AJ60" s="62">
        <f>IF($AI60="","",$D60&amp;"|"&amp;$AI60)</f>
        <v/>
      </c>
      <c r="AK60" s="62">
        <f>IF(AND($D60&lt;&gt;"",$V60="Macro"),$D60&amp;"|"&amp;$C60,"")</f>
        <v/>
      </c>
      <c r="AL60" s="62">
        <f>""</f>
        <v/>
      </c>
      <c r="AM60" s="62">
        <f>IF(N($AL60)&gt;0,INDEX(rIni_ADM,$AL60),IF(ISNUMBER($E60),$E60,""))</f>
        <v/>
      </c>
      <c r="AN60" s="62">
        <f>IF(N($AL60)&gt;0,INDEX(rLim_ADM,$AL60),IF(ISNUMBER($F60),$F60,""))</f>
        <v/>
      </c>
    </row>
    <row r="61">
      <c r="A61" s="56">
        <f>IF(NOT((COUNTA($B61:$D61)+COUNTA($G61:$L61)+COUNTA($Q61))&gt;0),"",IF($V61="Macro",COUNTIFS($V$5:$V61,"Macro",$S$5:$S61,$S61),IF(N($U61)=0,"?",COUNTIFS(INDEX($V$5:$V$1000,1):INDEX($V$5:$V$1000,$U61-4),"Macro",INDEX($S$5:$S$1000,1):INDEX($S$5:$S$1000,$U61-4),INDEX($S$5:$S$1000,$U61-4))&amp;"."&amp;COUNTIFS($U$5:$U61,$U61,$V$5:$V61,"Sub"))))</f>
        <v/>
      </c>
      <c r="B61" s="57" t="n"/>
      <c r="C61" s="58" t="n"/>
      <c r="D61" s="58" t="n"/>
      <c r="E61" s="59" t="n"/>
      <c r="F61" s="59" t="n"/>
      <c r="G61" s="59" t="n"/>
      <c r="H61" s="60" t="n"/>
      <c r="I61" s="60" t="n"/>
      <c r="J61" s="60" t="n"/>
      <c r="K61" s="60" t="n"/>
      <c r="L61" s="60" t="n"/>
      <c r="M61" s="61">
        <f>IF(NOT((COUNTA($B61:$D61)+COUNTA($G61:$L61)+COUNTA($Q61))&gt;0),"",IF(AND($D61&lt;&gt;"",$V61="Macro"),IF(N($AH61)&gt;0,N(CHOOSE(MATCH($D61,ListaPuestos,0),INDEX('Cronograma R. Operacional'!$M$5:$M$1000,$AH61),INDEX('Cronograma R. Normativo'!$M$5:$M$1000,$AH61),INDEX('Cronograma R. Financiero'!$M$5:$M$1000,$AH61),INDEX('Cronograma Asistente Técnico'!$M$5:$M$1000,$AH61))),0),IF(ISNUMBER($G61),1,IF(N($W61)&gt;0,AVERAGEIFS($X$5:$X$1000,$U$5:$U$1000,ROW(),$V$5:$V$1000,"Sub"),$X61))))</f>
        <v/>
      </c>
      <c r="N61" s="56">
        <f>IF($M61="","",IF($M61&gt;=1,"Completado",IF($M61&gt;0,"En curso","Pendiente")))</f>
        <v/>
      </c>
      <c r="O61" s="56">
        <f>IF(NOT((COUNTA($B61:$D61)+COUNTA($G61:$L61)+COUNTA($Q61))&gt;0),"",IF(AND(AND($D61&lt;&gt;"",$V61="Macro"),N($AH61)&gt;0),CHOOSE(MATCH($D61,ListaPuestos,0),INDEX('Cronograma R. Operacional'!$O$5:$O$1000,$AH61),INDEX('Cronograma R. Normativo'!$O$5:$O$1000,$AH61),INDEX('Cronograma R. Financiero'!$O$5:$O$1000,$AH61),INDEX('Cronograma Asistente Técnico'!$O$5:$O$1000,$AH61))&amp;"",IF(ISNUMBER($G61),IF(AND(ISNUMBER($AN61),$G61&gt;$AN61),"Cumplida con "&amp;($G61-$AN61)&amp;IF($G61-$AN61=1," día"," días")&amp;" de retraso","Cumplida"),IF(N($M61)&gt;=1,"Cumplida",IF(NOT(ISNUMBER($AN61)),"Sin fecha límite",IF($AN61&lt;FechaRef,"Vencida hace "&amp;(FechaRef-$AN61)&amp;IF(FechaRef-$AN61=1," día"," días"),IF($AN61=FechaRef,"Vence hoy",IF($AN61-FechaRef&lt;=DiasAlerta,"Vence en "&amp;($AN61-FechaRef)&amp;IF($AN61-FechaRef=1," día"," días"),"En plazo"))))))))</f>
        <v/>
      </c>
      <c r="P61" s="62">
        <f>IF(NOT((COUNTA($B61:$D61)+COUNTA($G61:$L61)+COUNTA($Q61))&gt;0),"",IF($D61="","Propia",IF($V61&lt;&gt;"Macro","Solo se delegan macroactividades",IF(N($AH61)&gt;0,"✔ Recibida por "&amp;$D61,"⚠ "&amp;$D61&amp;" aún no la agrega"))))</f>
        <v/>
      </c>
      <c r="Q61" s="58" t="n"/>
      <c r="R61" s="63">
        <f>IF(NOT((COUNTA($B61:$D61)+COUNTA($G61:$L61)+COUNTA($Q61))&gt;0),"",IF((IF($C61="","Falta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",""))="","✔ OK","⚠ "&amp;LEFT(IF($C61="","Falta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",""),LEN(IF($C61="","Falta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",""))-3)))</f>
        <v/>
      </c>
      <c r="S61" s="64">
        <f>IF(NOT((COUNTA($B61:$D61)+COUNTA($G61:$L61)+COUNTA($Q61))&gt;0),"",IF(AND($V61="Sub",N($U61)&gt;0),IF(ISNUMBER(INDEX($AM$5:$AM$1000,$U61-4)),DATE(YEAR(INDEX($AM$5:$AM$1000,$U61-4)),MONTH(INDEX($AM$5:$AM$1000,$U61-4)),1),IF(ISNUMBER(INDEX($AN$5:$AN$1000,$U61-4)),DATE(YEAR(INDEX($AN$5:$AN$1000,$U61-4)),MONTH(INDEX($AN$5:$AN$1000,$U61-4)),1),MesCiclo)),IF(ISNUMBER($AM61),DATE(YEAR($AM61),MONTH($AM61),1),IF(ISNUMBER($AN61),DATE(YEAR($AN61),MONTH($AN61),1),MesCiclo))))</f>
        <v/>
      </c>
      <c r="T61" s="62">
        <f>IF(OR($S61="",$S61&lt;&gt;MesCiclo),"",COUNTIF($S$5:$S61,MesCiclo))</f>
        <v/>
      </c>
      <c r="U61" s="62">
        <f>IF($V61="","",IF($V61="Macro",ROW(),IFERROR(LOOKUP(2,1/($V$5:$V61="Macro"),ROW($V$5:$V61)),0)))</f>
        <v/>
      </c>
      <c r="V61" s="62">
        <f>IF(NOT((COUNTA($B61:$D61)+COUNTA($G61:$L61)+COUNTA($Q61))&gt;0),"",IF($B61="Subactividad","Sub","Macro"))</f>
        <v/>
      </c>
      <c r="W61" s="62">
        <f>IF($V61="Macro",COUNTIFS($U$5:$U$1000,ROW(),$V$5:$V$1000,"Sub"),"")</f>
        <v/>
      </c>
      <c r="X61" s="62">
        <f>IF($V61="","",IF(ISNUMBER($G61),1,IFERROR(LOOKUP(2,1/($I61:$L61&lt;&gt;""),$I61:$L61),0)))</f>
        <v/>
      </c>
      <c r="Y61" s="62">
        <f>IF($V61="","",IF(AND(ISNUMBER($G61),$G61&lt;=IF($S61=MesCiclo,InicioCiclo,$S61+MOD(2-WEEKDAY($S61),7))+6),1,IF(ISNUMBER($I61),$I61,0)))</f>
        <v/>
      </c>
      <c r="Z61" s="62">
        <f>IF($V61="","",IF(AND(ISNUMBER($G61),$G61&lt;=IF($S61=MesCiclo,InicioCiclo,$S61+MOD(2-WEEKDAY($S61),7))+13),1,IF(ISNUMBER($J61),$J61,$Y61)))</f>
        <v/>
      </c>
      <c r="AA61" s="62">
        <f>IF($V61="","",IF(AND(ISNUMBER($G61),$G61&lt;=IF($S61=MesCiclo,InicioCiclo,$S61+MOD(2-WEEKDAY($S61),7))+20),1,IF(ISNUMBER($K61),$K61,$Z61)))</f>
        <v/>
      </c>
      <c r="AB61" s="62">
        <f>IF($V61="","",IF(AND(ISNUMBER($G61),$G61&lt;=IF($S61=MesCiclo,InicioCiclo,$S61+MOD(2-WEEKDAY($S61),7))+27),1,IF(ISNUMBER($L61),$L61,$AA61)))</f>
        <v/>
      </c>
      <c r="AC61" s="62">
        <f>IF($V61="","",IF(AND(ISNUMBER($G61),$G61&lt;=IF($S61=MesCiclo,InicioCiclo,$S61+MOD(2-WEEKDAY($S61),7))+6),1,IF(N($W61)&gt;0,AVERAGEIFS($Y$5:$Y$1000,$U$5:$U$1000,ROW(),$V$5:$V$1000,"Sub"),$Y61)))</f>
        <v/>
      </c>
      <c r="AD61" s="62">
        <f>IF($V61="","",IF(AND(ISNUMBER($G61),$G61&lt;=IF($S61=MesCiclo,InicioCiclo,$S61+MOD(2-WEEKDAY($S61),7))+13),1,IF(N($W61)&gt;0,AVERAGEIFS($Z$5:$Z$1000,$U$5:$U$1000,ROW(),$V$5:$V$1000,"Sub"),$Z61)))</f>
        <v/>
      </c>
      <c r="AE61" s="62">
        <f>IF($V61="","",IF(AND(ISNUMBER($G61),$G61&lt;=IF($S61=MesCiclo,InicioCiclo,$S61+MOD(2-WEEKDAY($S61),7))+20),1,IF(N($W61)&gt;0,AVERAGEIFS($AA$5:$AA$1000,$U$5:$U$1000,ROW(),$V$5:$V$1000,"Sub"),$AA61)))</f>
        <v/>
      </c>
      <c r="AF61" s="62">
        <f>IF($V61="","",IF(AND(ISNUMBER($G61),$G61&lt;=IF($S61=MesCiclo,InicioCiclo,$S61+MOD(2-WEEKDAY($S61),7))+27),1,IF(N($W61)&gt;0,AVERAGEIFS($AB$5:$AB$1000,$U$5:$U$1000,ROW(),$V$5:$V$1000,"Sub"),$AB61)))</f>
        <v/>
      </c>
      <c r="AG61" s="62">
        <f>IF($V61&lt;&gt;"Macro","",IF(COUNTIFS($S$5:$S$1000,$S61,$V$5:$V$1000,"Macro",$H$5:$H$1000,"&gt;0")=0,1/COUNTIFS($S$5:$S$1000,$S61,$V$5:$V$1000,"Macro"),IF(AND(ISNUMBER($H61),N($H61)&gt;0),$H61,SUMIFS($H$5:$H$1000,$S$5:$S$1000,$S61,$V$5:$V$1000,"Macro")/COUNTIFS($S$5:$S$1000,$S61,$V$5:$V$1000,"Macro",$H$5:$H$1000,"&gt;0"))/(COUNTIFS($S$5:$S$1000,$S61,$V$5:$V$1000,"Macro")*SUMIFS($H$5:$H$1000,$S$5:$S$1000,$S61,$V$5:$V$1000,"Macro")/COUNTIFS($S$5:$S$1000,$S61,$V$5:$V$1000,"Macro",$H$5:$H$1000,"&gt;0"))))</f>
        <v/>
      </c>
      <c r="AH61" s="62">
        <f>IF(NOT(AND($D61&lt;&gt;"",$V61="Macro")),"",IFERROR(CHOOSE(MATCH($D61,ListaPuestos,0),MATCH("[Jefatura] "&amp;$C61,'Cronograma R. Operacional'!$C$5:$C$1000,0),MATCH("[Jefatura] "&amp;$C61,'Cronograma R. Normativo'!$C$5:$C$1000,0),MATCH("[Jefatura] "&amp;$C61,'Cronograma R. Financiero'!$C$5:$C$1000,0),MATCH("[Jefatura] "&amp;$C61,'Cronograma Asistente Técnico'!$C$5:$C$1000,0)),0))</f>
        <v/>
      </c>
      <c r="AI61" s="62">
        <f>IF(AND(AND($D61&lt;&gt;"",$V61="Macro"),$S61=MesCiclo),COUNTIFS($D$5:$D61,$D61,$S$5:$S61,MesCiclo,$V$5:$V61,"Macro"),"")</f>
        <v/>
      </c>
      <c r="AJ61" s="62">
        <f>IF($AI61="","",$D61&amp;"|"&amp;$AI61)</f>
        <v/>
      </c>
      <c r="AK61" s="62">
        <f>IF(AND($D61&lt;&gt;"",$V61="Macro"),$D61&amp;"|"&amp;$C61,"")</f>
        <v/>
      </c>
      <c r="AL61" s="62">
        <f>""</f>
        <v/>
      </c>
      <c r="AM61" s="62">
        <f>IF(N($AL61)&gt;0,INDEX(rIni_ADM,$AL61),IF(ISNUMBER($E61),$E61,""))</f>
        <v/>
      </c>
      <c r="AN61" s="62">
        <f>IF(N($AL61)&gt;0,INDEX(rLim_ADM,$AL61),IF(ISNUMBER($F61),$F61,""))</f>
        <v/>
      </c>
    </row>
    <row r="62">
      <c r="A62" s="56">
        <f>IF(NOT((COUNTA($B62:$D62)+COUNTA($G62:$L62)+COUNTA($Q62))&gt;0),"",IF($V62="Macro",COUNTIFS($V$5:$V62,"Macro",$S$5:$S62,$S62),IF(N($U62)=0,"?",COUNTIFS(INDEX($V$5:$V$1000,1):INDEX($V$5:$V$1000,$U62-4),"Macro",INDEX($S$5:$S$1000,1):INDEX($S$5:$S$1000,$U62-4),INDEX($S$5:$S$1000,$U62-4))&amp;"."&amp;COUNTIFS($U$5:$U62,$U62,$V$5:$V62,"Sub"))))</f>
        <v/>
      </c>
      <c r="B62" s="57" t="n"/>
      <c r="C62" s="58" t="n"/>
      <c r="D62" s="58" t="n"/>
      <c r="E62" s="59" t="n"/>
      <c r="F62" s="59" t="n"/>
      <c r="G62" s="59" t="n"/>
      <c r="H62" s="60" t="n"/>
      <c r="I62" s="60" t="n"/>
      <c r="J62" s="60" t="n"/>
      <c r="K62" s="60" t="n"/>
      <c r="L62" s="60" t="n"/>
      <c r="M62" s="61">
        <f>IF(NOT((COUNTA($B62:$D62)+COUNTA($G62:$L62)+COUNTA($Q62))&gt;0),"",IF(AND($D62&lt;&gt;"",$V62="Macro"),IF(N($AH62)&gt;0,N(CHOOSE(MATCH($D62,ListaPuestos,0),INDEX('Cronograma R. Operacional'!$M$5:$M$1000,$AH62),INDEX('Cronograma R. Normativo'!$M$5:$M$1000,$AH62),INDEX('Cronograma R. Financiero'!$M$5:$M$1000,$AH62),INDEX('Cronograma Asistente Técnico'!$M$5:$M$1000,$AH62))),0),IF(ISNUMBER($G62),1,IF(N($W62)&gt;0,AVERAGEIFS($X$5:$X$1000,$U$5:$U$1000,ROW(),$V$5:$V$1000,"Sub"),$X62))))</f>
        <v/>
      </c>
      <c r="N62" s="56">
        <f>IF($M62="","",IF($M62&gt;=1,"Completado",IF($M62&gt;0,"En curso","Pendiente")))</f>
        <v/>
      </c>
      <c r="O62" s="56">
        <f>IF(NOT((COUNTA($B62:$D62)+COUNTA($G62:$L62)+COUNTA($Q62))&gt;0),"",IF(AND(AND($D62&lt;&gt;"",$V62="Macro"),N($AH62)&gt;0),CHOOSE(MATCH($D62,ListaPuestos,0),INDEX('Cronograma R. Operacional'!$O$5:$O$1000,$AH62),INDEX('Cronograma R. Normativo'!$O$5:$O$1000,$AH62),INDEX('Cronograma R. Financiero'!$O$5:$O$1000,$AH62),INDEX('Cronograma Asistente Técnico'!$O$5:$O$1000,$AH62))&amp;"",IF(ISNUMBER($G62),IF(AND(ISNUMBER($AN62),$G62&gt;$AN62),"Cumplida con "&amp;($G62-$AN62)&amp;IF($G62-$AN62=1," día"," días")&amp;" de retraso","Cumplida"),IF(N($M62)&gt;=1,"Cumplida",IF(NOT(ISNUMBER($AN62)),"Sin fecha límite",IF($AN62&lt;FechaRef,"Vencida hace "&amp;(FechaRef-$AN62)&amp;IF(FechaRef-$AN62=1," día"," días"),IF($AN62=FechaRef,"Vence hoy",IF($AN62-FechaRef&lt;=DiasAlerta,"Vence en "&amp;($AN62-FechaRef)&amp;IF($AN62-FechaRef=1," día"," días"),"En plazo"))))))))</f>
        <v/>
      </c>
      <c r="P62" s="62">
        <f>IF(NOT((COUNTA($B62:$D62)+COUNTA($G62:$L62)+COUNTA($Q62))&gt;0),"",IF($D62="","Propia",IF($V62&lt;&gt;"Macro","Solo se delegan macroactividades",IF(N($AH62)&gt;0,"✔ Recibida por "&amp;$D62,"⚠ "&amp;$D62&amp;" aún no la agrega"))))</f>
        <v/>
      </c>
      <c r="Q62" s="58" t="n"/>
      <c r="R62" s="63">
        <f>IF(NOT((COUNTA($B62:$D62)+COUNTA($G62:$L62)+COUNTA($Q62))&gt;0),"",IF((IF($C62="","Falta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",""))="","✔ OK","⚠ "&amp;LEFT(IF($C62="","Falta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",""),LEN(IF($C62="","Falta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",""))-3)))</f>
        <v/>
      </c>
      <c r="S62" s="64">
        <f>IF(NOT((COUNTA($B62:$D62)+COUNTA($G62:$L62)+COUNTA($Q62))&gt;0),"",IF(AND($V62="Sub",N($U62)&gt;0),IF(ISNUMBER(INDEX($AM$5:$AM$1000,$U62-4)),DATE(YEAR(INDEX($AM$5:$AM$1000,$U62-4)),MONTH(INDEX($AM$5:$AM$1000,$U62-4)),1),IF(ISNUMBER(INDEX($AN$5:$AN$1000,$U62-4)),DATE(YEAR(INDEX($AN$5:$AN$1000,$U62-4)),MONTH(INDEX($AN$5:$AN$1000,$U62-4)),1),MesCiclo)),IF(ISNUMBER($AM62),DATE(YEAR($AM62),MONTH($AM62),1),IF(ISNUMBER($AN62),DATE(YEAR($AN62),MONTH($AN62),1),MesCiclo))))</f>
        <v/>
      </c>
      <c r="T62" s="62">
        <f>IF(OR($S62="",$S62&lt;&gt;MesCiclo),"",COUNTIF($S$5:$S62,MesCiclo))</f>
        <v/>
      </c>
      <c r="U62" s="62">
        <f>IF($V62="","",IF($V62="Macro",ROW(),IFERROR(LOOKUP(2,1/($V$5:$V62="Macro"),ROW($V$5:$V62)),0)))</f>
        <v/>
      </c>
      <c r="V62" s="62">
        <f>IF(NOT((COUNTA($B62:$D62)+COUNTA($G62:$L62)+COUNTA($Q62))&gt;0),"",IF($B62="Subactividad","Sub","Macro"))</f>
        <v/>
      </c>
      <c r="W62" s="62">
        <f>IF($V62="Macro",COUNTIFS($U$5:$U$1000,ROW(),$V$5:$V$1000,"Sub"),"")</f>
        <v/>
      </c>
      <c r="X62" s="62">
        <f>IF($V62="","",IF(ISNUMBER($G62),1,IFERROR(LOOKUP(2,1/($I62:$L62&lt;&gt;""),$I62:$L62),0)))</f>
        <v/>
      </c>
      <c r="Y62" s="62">
        <f>IF($V62="","",IF(AND(ISNUMBER($G62),$G62&lt;=IF($S62=MesCiclo,InicioCiclo,$S62+MOD(2-WEEKDAY($S62),7))+6),1,IF(ISNUMBER($I62),$I62,0)))</f>
        <v/>
      </c>
      <c r="Z62" s="62">
        <f>IF($V62="","",IF(AND(ISNUMBER($G62),$G62&lt;=IF($S62=MesCiclo,InicioCiclo,$S62+MOD(2-WEEKDAY($S62),7))+13),1,IF(ISNUMBER($J62),$J62,$Y62)))</f>
        <v/>
      </c>
      <c r="AA62" s="62">
        <f>IF($V62="","",IF(AND(ISNUMBER($G62),$G62&lt;=IF($S62=MesCiclo,InicioCiclo,$S62+MOD(2-WEEKDAY($S62),7))+20),1,IF(ISNUMBER($K62),$K62,$Z62)))</f>
        <v/>
      </c>
      <c r="AB62" s="62">
        <f>IF($V62="","",IF(AND(ISNUMBER($G62),$G62&lt;=IF($S62=MesCiclo,InicioCiclo,$S62+MOD(2-WEEKDAY($S62),7))+27),1,IF(ISNUMBER($L62),$L62,$AA62)))</f>
        <v/>
      </c>
      <c r="AC62" s="62">
        <f>IF($V62="","",IF(AND(ISNUMBER($G62),$G62&lt;=IF($S62=MesCiclo,InicioCiclo,$S62+MOD(2-WEEKDAY($S62),7))+6),1,IF(N($W62)&gt;0,AVERAGEIFS($Y$5:$Y$1000,$U$5:$U$1000,ROW(),$V$5:$V$1000,"Sub"),$Y62)))</f>
        <v/>
      </c>
      <c r="AD62" s="62">
        <f>IF($V62="","",IF(AND(ISNUMBER($G62),$G62&lt;=IF($S62=MesCiclo,InicioCiclo,$S62+MOD(2-WEEKDAY($S62),7))+13),1,IF(N($W62)&gt;0,AVERAGEIFS($Z$5:$Z$1000,$U$5:$U$1000,ROW(),$V$5:$V$1000,"Sub"),$Z62)))</f>
        <v/>
      </c>
      <c r="AE62" s="62">
        <f>IF($V62="","",IF(AND(ISNUMBER($G62),$G62&lt;=IF($S62=MesCiclo,InicioCiclo,$S62+MOD(2-WEEKDAY($S62),7))+20),1,IF(N($W62)&gt;0,AVERAGEIFS($AA$5:$AA$1000,$U$5:$U$1000,ROW(),$V$5:$V$1000,"Sub"),$AA62)))</f>
        <v/>
      </c>
      <c r="AF62" s="62">
        <f>IF($V62="","",IF(AND(ISNUMBER($G62),$G62&lt;=IF($S62=MesCiclo,InicioCiclo,$S62+MOD(2-WEEKDAY($S62),7))+27),1,IF(N($W62)&gt;0,AVERAGEIFS($AB$5:$AB$1000,$U$5:$U$1000,ROW(),$V$5:$V$1000,"Sub"),$AB62)))</f>
        <v/>
      </c>
      <c r="AG62" s="62">
        <f>IF($V62&lt;&gt;"Macro","",IF(COUNTIFS($S$5:$S$1000,$S62,$V$5:$V$1000,"Macro",$H$5:$H$1000,"&gt;0")=0,1/COUNTIFS($S$5:$S$1000,$S62,$V$5:$V$1000,"Macro"),IF(AND(ISNUMBER($H62),N($H62)&gt;0),$H62,SUMIFS($H$5:$H$1000,$S$5:$S$1000,$S62,$V$5:$V$1000,"Macro")/COUNTIFS($S$5:$S$1000,$S62,$V$5:$V$1000,"Macro",$H$5:$H$1000,"&gt;0"))/(COUNTIFS($S$5:$S$1000,$S62,$V$5:$V$1000,"Macro")*SUMIFS($H$5:$H$1000,$S$5:$S$1000,$S62,$V$5:$V$1000,"Macro")/COUNTIFS($S$5:$S$1000,$S62,$V$5:$V$1000,"Macro",$H$5:$H$1000,"&gt;0"))))</f>
        <v/>
      </c>
      <c r="AH62" s="62">
        <f>IF(NOT(AND($D62&lt;&gt;"",$V62="Macro")),"",IFERROR(CHOOSE(MATCH($D62,ListaPuestos,0),MATCH("[Jefatura] "&amp;$C62,'Cronograma R. Operacional'!$C$5:$C$1000,0),MATCH("[Jefatura] "&amp;$C62,'Cronograma R. Normativo'!$C$5:$C$1000,0),MATCH("[Jefatura] "&amp;$C62,'Cronograma R. Financiero'!$C$5:$C$1000,0),MATCH("[Jefatura] "&amp;$C62,'Cronograma Asistente Técnico'!$C$5:$C$1000,0)),0))</f>
        <v/>
      </c>
      <c r="AI62" s="62">
        <f>IF(AND(AND($D62&lt;&gt;"",$V62="Macro"),$S62=MesCiclo),COUNTIFS($D$5:$D62,$D62,$S$5:$S62,MesCiclo,$V$5:$V62,"Macro"),"")</f>
        <v/>
      </c>
      <c r="AJ62" s="62">
        <f>IF($AI62="","",$D62&amp;"|"&amp;$AI62)</f>
        <v/>
      </c>
      <c r="AK62" s="62">
        <f>IF(AND($D62&lt;&gt;"",$V62="Macro"),$D62&amp;"|"&amp;$C62,"")</f>
        <v/>
      </c>
      <c r="AL62" s="62">
        <f>""</f>
        <v/>
      </c>
      <c r="AM62" s="62">
        <f>IF(N($AL62)&gt;0,INDEX(rIni_ADM,$AL62),IF(ISNUMBER($E62),$E62,""))</f>
        <v/>
      </c>
      <c r="AN62" s="62">
        <f>IF(N($AL62)&gt;0,INDEX(rLim_ADM,$AL62),IF(ISNUMBER($F62),$F62,""))</f>
        <v/>
      </c>
    </row>
    <row r="63">
      <c r="A63" s="56">
        <f>IF(NOT((COUNTA($B63:$D63)+COUNTA($G63:$L63)+COUNTA($Q63))&gt;0),"",IF($V63="Macro",COUNTIFS($V$5:$V63,"Macro",$S$5:$S63,$S63),IF(N($U63)=0,"?",COUNTIFS(INDEX($V$5:$V$1000,1):INDEX($V$5:$V$1000,$U63-4),"Macro",INDEX($S$5:$S$1000,1):INDEX($S$5:$S$1000,$U63-4),INDEX($S$5:$S$1000,$U63-4))&amp;"."&amp;COUNTIFS($U$5:$U63,$U63,$V$5:$V63,"Sub"))))</f>
        <v/>
      </c>
      <c r="B63" s="57" t="n"/>
      <c r="C63" s="58" t="n"/>
      <c r="D63" s="58" t="n"/>
      <c r="E63" s="59" t="n"/>
      <c r="F63" s="59" t="n"/>
      <c r="G63" s="59" t="n"/>
      <c r="H63" s="60" t="n"/>
      <c r="I63" s="60" t="n"/>
      <c r="J63" s="60" t="n"/>
      <c r="K63" s="60" t="n"/>
      <c r="L63" s="60" t="n"/>
      <c r="M63" s="61">
        <f>IF(NOT((COUNTA($B63:$D63)+COUNTA($G63:$L63)+COUNTA($Q63))&gt;0),"",IF(AND($D63&lt;&gt;"",$V63="Macro"),IF(N($AH63)&gt;0,N(CHOOSE(MATCH($D63,ListaPuestos,0),INDEX('Cronograma R. Operacional'!$M$5:$M$1000,$AH63),INDEX('Cronograma R. Normativo'!$M$5:$M$1000,$AH63),INDEX('Cronograma R. Financiero'!$M$5:$M$1000,$AH63),INDEX('Cronograma Asistente Técnico'!$M$5:$M$1000,$AH63))),0),IF(ISNUMBER($G63),1,IF(N($W63)&gt;0,AVERAGEIFS($X$5:$X$1000,$U$5:$U$1000,ROW(),$V$5:$V$1000,"Sub"),$X63))))</f>
        <v/>
      </c>
      <c r="N63" s="56">
        <f>IF($M63="","",IF($M63&gt;=1,"Completado",IF($M63&gt;0,"En curso","Pendiente")))</f>
        <v/>
      </c>
      <c r="O63" s="56">
        <f>IF(NOT((COUNTA($B63:$D63)+COUNTA($G63:$L63)+COUNTA($Q63))&gt;0),"",IF(AND(AND($D63&lt;&gt;"",$V63="Macro"),N($AH63)&gt;0),CHOOSE(MATCH($D63,ListaPuestos,0),INDEX('Cronograma R. Operacional'!$O$5:$O$1000,$AH63),INDEX('Cronograma R. Normativo'!$O$5:$O$1000,$AH63),INDEX('Cronograma R. Financiero'!$O$5:$O$1000,$AH63),INDEX('Cronograma Asistente Técnico'!$O$5:$O$1000,$AH63))&amp;"",IF(ISNUMBER($G63),IF(AND(ISNUMBER($AN63),$G63&gt;$AN63),"Cumplida con "&amp;($G63-$AN63)&amp;IF($G63-$AN63=1," día"," días")&amp;" de retraso","Cumplida"),IF(N($M63)&gt;=1,"Cumplida",IF(NOT(ISNUMBER($AN63)),"Sin fecha límite",IF($AN63&lt;FechaRef,"Vencida hace "&amp;(FechaRef-$AN63)&amp;IF(FechaRef-$AN63=1," día"," días"),IF($AN63=FechaRef,"Vence hoy",IF($AN63-FechaRef&lt;=DiasAlerta,"Vence en "&amp;($AN63-FechaRef)&amp;IF($AN63-FechaRef=1," día"," días"),"En plazo"))))))))</f>
        <v/>
      </c>
      <c r="P63" s="62">
        <f>IF(NOT((COUNTA($B63:$D63)+COUNTA($G63:$L63)+COUNTA($Q63))&gt;0),"",IF($D63="","Propia",IF($V63&lt;&gt;"Macro","Solo se delegan macroactividades",IF(N($AH63)&gt;0,"✔ Recibida por "&amp;$D63,"⚠ "&amp;$D63&amp;" aún no la agrega"))))</f>
        <v/>
      </c>
      <c r="Q63" s="58" t="n"/>
      <c r="R63" s="63">
        <f>IF(NOT((COUNTA($B63:$D63)+COUNTA($G63:$L63)+COUNTA($Q63))&gt;0),"",IF((IF($C63="","Falta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",""))="","✔ OK","⚠ "&amp;LEFT(IF($C63="","Falta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",""),LEN(IF($C63="","Falta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",""))-3)))</f>
        <v/>
      </c>
      <c r="S63" s="64">
        <f>IF(NOT((COUNTA($B63:$D63)+COUNTA($G63:$L63)+COUNTA($Q63))&gt;0),"",IF(AND($V63="Sub",N($U63)&gt;0),IF(ISNUMBER(INDEX($AM$5:$AM$1000,$U63-4)),DATE(YEAR(INDEX($AM$5:$AM$1000,$U63-4)),MONTH(INDEX($AM$5:$AM$1000,$U63-4)),1),IF(ISNUMBER(INDEX($AN$5:$AN$1000,$U63-4)),DATE(YEAR(INDEX($AN$5:$AN$1000,$U63-4)),MONTH(INDEX($AN$5:$AN$1000,$U63-4)),1),MesCiclo)),IF(ISNUMBER($AM63),DATE(YEAR($AM63),MONTH($AM63),1),IF(ISNUMBER($AN63),DATE(YEAR($AN63),MONTH($AN63),1),MesCiclo))))</f>
        <v/>
      </c>
      <c r="T63" s="62">
        <f>IF(OR($S63="",$S63&lt;&gt;MesCiclo),"",COUNTIF($S$5:$S63,MesCiclo))</f>
        <v/>
      </c>
      <c r="U63" s="62">
        <f>IF($V63="","",IF($V63="Macro",ROW(),IFERROR(LOOKUP(2,1/($V$5:$V63="Macro"),ROW($V$5:$V63)),0)))</f>
        <v/>
      </c>
      <c r="V63" s="62">
        <f>IF(NOT((COUNTA($B63:$D63)+COUNTA($G63:$L63)+COUNTA($Q63))&gt;0),"",IF($B63="Subactividad","Sub","Macro"))</f>
        <v/>
      </c>
      <c r="W63" s="62">
        <f>IF($V63="Macro",COUNTIFS($U$5:$U$1000,ROW(),$V$5:$V$1000,"Sub"),"")</f>
        <v/>
      </c>
      <c r="X63" s="62">
        <f>IF($V63="","",IF(ISNUMBER($G63),1,IFERROR(LOOKUP(2,1/($I63:$L63&lt;&gt;""),$I63:$L63),0)))</f>
        <v/>
      </c>
      <c r="Y63" s="62">
        <f>IF($V63="","",IF(AND(ISNUMBER($G63),$G63&lt;=IF($S63=MesCiclo,InicioCiclo,$S63+MOD(2-WEEKDAY($S63),7))+6),1,IF(ISNUMBER($I63),$I63,0)))</f>
        <v/>
      </c>
      <c r="Z63" s="62">
        <f>IF($V63="","",IF(AND(ISNUMBER($G63),$G63&lt;=IF($S63=MesCiclo,InicioCiclo,$S63+MOD(2-WEEKDAY($S63),7))+13),1,IF(ISNUMBER($J63),$J63,$Y63)))</f>
        <v/>
      </c>
      <c r="AA63" s="62">
        <f>IF($V63="","",IF(AND(ISNUMBER($G63),$G63&lt;=IF($S63=MesCiclo,InicioCiclo,$S63+MOD(2-WEEKDAY($S63),7))+20),1,IF(ISNUMBER($K63),$K63,$Z63)))</f>
        <v/>
      </c>
      <c r="AB63" s="62">
        <f>IF($V63="","",IF(AND(ISNUMBER($G63),$G63&lt;=IF($S63=MesCiclo,InicioCiclo,$S63+MOD(2-WEEKDAY($S63),7))+27),1,IF(ISNUMBER($L63),$L63,$AA63)))</f>
        <v/>
      </c>
      <c r="AC63" s="62">
        <f>IF($V63="","",IF(AND(ISNUMBER($G63),$G63&lt;=IF($S63=MesCiclo,InicioCiclo,$S63+MOD(2-WEEKDAY($S63),7))+6),1,IF(N($W63)&gt;0,AVERAGEIFS($Y$5:$Y$1000,$U$5:$U$1000,ROW(),$V$5:$V$1000,"Sub"),$Y63)))</f>
        <v/>
      </c>
      <c r="AD63" s="62">
        <f>IF($V63="","",IF(AND(ISNUMBER($G63),$G63&lt;=IF($S63=MesCiclo,InicioCiclo,$S63+MOD(2-WEEKDAY($S63),7))+13),1,IF(N($W63)&gt;0,AVERAGEIFS($Z$5:$Z$1000,$U$5:$U$1000,ROW(),$V$5:$V$1000,"Sub"),$Z63)))</f>
        <v/>
      </c>
      <c r="AE63" s="62">
        <f>IF($V63="","",IF(AND(ISNUMBER($G63),$G63&lt;=IF($S63=MesCiclo,InicioCiclo,$S63+MOD(2-WEEKDAY($S63),7))+20),1,IF(N($W63)&gt;0,AVERAGEIFS($AA$5:$AA$1000,$U$5:$U$1000,ROW(),$V$5:$V$1000,"Sub"),$AA63)))</f>
        <v/>
      </c>
      <c r="AF63" s="62">
        <f>IF($V63="","",IF(AND(ISNUMBER($G63),$G63&lt;=IF($S63=MesCiclo,InicioCiclo,$S63+MOD(2-WEEKDAY($S63),7))+27),1,IF(N($W63)&gt;0,AVERAGEIFS($AB$5:$AB$1000,$U$5:$U$1000,ROW(),$V$5:$V$1000,"Sub"),$AB63)))</f>
        <v/>
      </c>
      <c r="AG63" s="62">
        <f>IF($V63&lt;&gt;"Macro","",IF(COUNTIFS($S$5:$S$1000,$S63,$V$5:$V$1000,"Macro",$H$5:$H$1000,"&gt;0")=0,1/COUNTIFS($S$5:$S$1000,$S63,$V$5:$V$1000,"Macro"),IF(AND(ISNUMBER($H63),N($H63)&gt;0),$H63,SUMIFS($H$5:$H$1000,$S$5:$S$1000,$S63,$V$5:$V$1000,"Macro")/COUNTIFS($S$5:$S$1000,$S63,$V$5:$V$1000,"Macro",$H$5:$H$1000,"&gt;0"))/(COUNTIFS($S$5:$S$1000,$S63,$V$5:$V$1000,"Macro")*SUMIFS($H$5:$H$1000,$S$5:$S$1000,$S63,$V$5:$V$1000,"Macro")/COUNTIFS($S$5:$S$1000,$S63,$V$5:$V$1000,"Macro",$H$5:$H$1000,"&gt;0"))))</f>
        <v/>
      </c>
      <c r="AH63" s="62">
        <f>IF(NOT(AND($D63&lt;&gt;"",$V63="Macro")),"",IFERROR(CHOOSE(MATCH($D63,ListaPuestos,0),MATCH("[Jefatura] "&amp;$C63,'Cronograma R. Operacional'!$C$5:$C$1000,0),MATCH("[Jefatura] "&amp;$C63,'Cronograma R. Normativo'!$C$5:$C$1000,0),MATCH("[Jefatura] "&amp;$C63,'Cronograma R. Financiero'!$C$5:$C$1000,0),MATCH("[Jefatura] "&amp;$C63,'Cronograma Asistente Técnico'!$C$5:$C$1000,0)),0))</f>
        <v/>
      </c>
      <c r="AI63" s="62">
        <f>IF(AND(AND($D63&lt;&gt;"",$V63="Macro"),$S63=MesCiclo),COUNTIFS($D$5:$D63,$D63,$S$5:$S63,MesCiclo,$V$5:$V63,"Macro"),"")</f>
        <v/>
      </c>
      <c r="AJ63" s="62">
        <f>IF($AI63="","",$D63&amp;"|"&amp;$AI63)</f>
        <v/>
      </c>
      <c r="AK63" s="62">
        <f>IF(AND($D63&lt;&gt;"",$V63="Macro"),$D63&amp;"|"&amp;$C63,"")</f>
        <v/>
      </c>
      <c r="AL63" s="62">
        <f>""</f>
        <v/>
      </c>
      <c r="AM63" s="62">
        <f>IF(N($AL63)&gt;0,INDEX(rIni_ADM,$AL63),IF(ISNUMBER($E63),$E63,""))</f>
        <v/>
      </c>
      <c r="AN63" s="62">
        <f>IF(N($AL63)&gt;0,INDEX(rLim_ADM,$AL63),IF(ISNUMBER($F63),$F63,""))</f>
        <v/>
      </c>
    </row>
    <row r="64">
      <c r="A64" s="56">
        <f>IF(NOT((COUNTA($B64:$D64)+COUNTA($G64:$L64)+COUNTA($Q64))&gt;0),"",IF($V64="Macro",COUNTIFS($V$5:$V64,"Macro",$S$5:$S64,$S64),IF(N($U64)=0,"?",COUNTIFS(INDEX($V$5:$V$1000,1):INDEX($V$5:$V$1000,$U64-4),"Macro",INDEX($S$5:$S$1000,1):INDEX($S$5:$S$1000,$U64-4),INDEX($S$5:$S$1000,$U64-4))&amp;"."&amp;COUNTIFS($U$5:$U64,$U64,$V$5:$V64,"Sub"))))</f>
        <v/>
      </c>
      <c r="B64" s="57" t="n"/>
      <c r="C64" s="58" t="n"/>
      <c r="D64" s="58" t="n"/>
      <c r="E64" s="59" t="n"/>
      <c r="F64" s="59" t="n"/>
      <c r="G64" s="59" t="n"/>
      <c r="H64" s="60" t="n"/>
      <c r="I64" s="60" t="n"/>
      <c r="J64" s="60" t="n"/>
      <c r="K64" s="60" t="n"/>
      <c r="L64" s="60" t="n"/>
      <c r="M64" s="61">
        <f>IF(NOT((COUNTA($B64:$D64)+COUNTA($G64:$L64)+COUNTA($Q64))&gt;0),"",IF(AND($D64&lt;&gt;"",$V64="Macro"),IF(N($AH64)&gt;0,N(CHOOSE(MATCH($D64,ListaPuestos,0),INDEX('Cronograma R. Operacional'!$M$5:$M$1000,$AH64),INDEX('Cronograma R. Normativo'!$M$5:$M$1000,$AH64),INDEX('Cronograma R. Financiero'!$M$5:$M$1000,$AH64),INDEX('Cronograma Asistente Técnico'!$M$5:$M$1000,$AH64))),0),IF(ISNUMBER($G64),1,IF(N($W64)&gt;0,AVERAGEIFS($X$5:$X$1000,$U$5:$U$1000,ROW(),$V$5:$V$1000,"Sub"),$X64))))</f>
        <v/>
      </c>
      <c r="N64" s="56">
        <f>IF($M64="","",IF($M64&gt;=1,"Completado",IF($M64&gt;0,"En curso","Pendiente")))</f>
        <v/>
      </c>
      <c r="O64" s="56">
        <f>IF(NOT((COUNTA($B64:$D64)+COUNTA($G64:$L64)+COUNTA($Q64))&gt;0),"",IF(AND(AND($D64&lt;&gt;"",$V64="Macro"),N($AH64)&gt;0),CHOOSE(MATCH($D64,ListaPuestos,0),INDEX('Cronograma R. Operacional'!$O$5:$O$1000,$AH64),INDEX('Cronograma R. Normativo'!$O$5:$O$1000,$AH64),INDEX('Cronograma R. Financiero'!$O$5:$O$1000,$AH64),INDEX('Cronograma Asistente Técnico'!$O$5:$O$1000,$AH64))&amp;"",IF(ISNUMBER($G64),IF(AND(ISNUMBER($AN64),$G64&gt;$AN64),"Cumplida con "&amp;($G64-$AN64)&amp;IF($G64-$AN64=1," día"," días")&amp;" de retraso","Cumplida"),IF(N($M64)&gt;=1,"Cumplida",IF(NOT(ISNUMBER($AN64)),"Sin fecha límite",IF($AN64&lt;FechaRef,"Vencida hace "&amp;(FechaRef-$AN64)&amp;IF(FechaRef-$AN64=1," día"," días"),IF($AN64=FechaRef,"Vence hoy",IF($AN64-FechaRef&lt;=DiasAlerta,"Vence en "&amp;($AN64-FechaRef)&amp;IF($AN64-FechaRef=1," día"," días"),"En plazo"))))))))</f>
        <v/>
      </c>
      <c r="P64" s="62">
        <f>IF(NOT((COUNTA($B64:$D64)+COUNTA($G64:$L64)+COUNTA($Q64))&gt;0),"",IF($D64="","Propia",IF($V64&lt;&gt;"Macro","Solo se delegan macroactividades",IF(N($AH64)&gt;0,"✔ Recibida por "&amp;$D64,"⚠ "&amp;$D64&amp;" aún no la agrega"))))</f>
        <v/>
      </c>
      <c r="Q64" s="58" t="n"/>
      <c r="R64" s="63">
        <f>IF(NOT((COUNTA($B64:$D64)+COUNTA($G64:$L64)+COUNTA($Q64))&gt;0),"",IF((IF($C64="","Falta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",""))="","✔ OK","⚠ "&amp;LEFT(IF($C64="","Falta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",""),LEN(IF($C64="","Falta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",""))-3)))</f>
        <v/>
      </c>
      <c r="S64" s="64">
        <f>IF(NOT((COUNTA($B64:$D64)+COUNTA($G64:$L64)+COUNTA($Q64))&gt;0),"",IF(AND($V64="Sub",N($U64)&gt;0),IF(ISNUMBER(INDEX($AM$5:$AM$1000,$U64-4)),DATE(YEAR(INDEX($AM$5:$AM$1000,$U64-4)),MONTH(INDEX($AM$5:$AM$1000,$U64-4)),1),IF(ISNUMBER(INDEX($AN$5:$AN$1000,$U64-4)),DATE(YEAR(INDEX($AN$5:$AN$1000,$U64-4)),MONTH(INDEX($AN$5:$AN$1000,$U64-4)),1),MesCiclo)),IF(ISNUMBER($AM64),DATE(YEAR($AM64),MONTH($AM64),1),IF(ISNUMBER($AN64),DATE(YEAR($AN64),MONTH($AN64),1),MesCiclo))))</f>
        <v/>
      </c>
      <c r="T64" s="62">
        <f>IF(OR($S64="",$S64&lt;&gt;MesCiclo),"",COUNTIF($S$5:$S64,MesCiclo))</f>
        <v/>
      </c>
      <c r="U64" s="62">
        <f>IF($V64="","",IF($V64="Macro",ROW(),IFERROR(LOOKUP(2,1/($V$5:$V64="Macro"),ROW($V$5:$V64)),0)))</f>
        <v/>
      </c>
      <c r="V64" s="62">
        <f>IF(NOT((COUNTA($B64:$D64)+COUNTA($G64:$L64)+COUNTA($Q64))&gt;0),"",IF($B64="Subactividad","Sub","Macro"))</f>
        <v/>
      </c>
      <c r="W64" s="62">
        <f>IF($V64="Macro",COUNTIFS($U$5:$U$1000,ROW(),$V$5:$V$1000,"Sub"),"")</f>
        <v/>
      </c>
      <c r="X64" s="62">
        <f>IF($V64="","",IF(ISNUMBER($G64),1,IFERROR(LOOKUP(2,1/($I64:$L64&lt;&gt;""),$I64:$L64),0)))</f>
        <v/>
      </c>
      <c r="Y64" s="62">
        <f>IF($V64="","",IF(AND(ISNUMBER($G64),$G64&lt;=IF($S64=MesCiclo,InicioCiclo,$S64+MOD(2-WEEKDAY($S64),7))+6),1,IF(ISNUMBER($I64),$I64,0)))</f>
        <v/>
      </c>
      <c r="Z64" s="62">
        <f>IF($V64="","",IF(AND(ISNUMBER($G64),$G64&lt;=IF($S64=MesCiclo,InicioCiclo,$S64+MOD(2-WEEKDAY($S64),7))+13),1,IF(ISNUMBER($J64),$J64,$Y64)))</f>
        <v/>
      </c>
      <c r="AA64" s="62">
        <f>IF($V64="","",IF(AND(ISNUMBER($G64),$G64&lt;=IF($S64=MesCiclo,InicioCiclo,$S64+MOD(2-WEEKDAY($S64),7))+20),1,IF(ISNUMBER($K64),$K64,$Z64)))</f>
        <v/>
      </c>
      <c r="AB64" s="62">
        <f>IF($V64="","",IF(AND(ISNUMBER($G64),$G64&lt;=IF($S64=MesCiclo,InicioCiclo,$S64+MOD(2-WEEKDAY($S64),7))+27),1,IF(ISNUMBER($L64),$L64,$AA64)))</f>
        <v/>
      </c>
      <c r="AC64" s="62">
        <f>IF($V64="","",IF(AND(ISNUMBER($G64),$G64&lt;=IF($S64=MesCiclo,InicioCiclo,$S64+MOD(2-WEEKDAY($S64),7))+6),1,IF(N($W64)&gt;0,AVERAGEIFS($Y$5:$Y$1000,$U$5:$U$1000,ROW(),$V$5:$V$1000,"Sub"),$Y64)))</f>
        <v/>
      </c>
      <c r="AD64" s="62">
        <f>IF($V64="","",IF(AND(ISNUMBER($G64),$G64&lt;=IF($S64=MesCiclo,InicioCiclo,$S64+MOD(2-WEEKDAY($S64),7))+13),1,IF(N($W64)&gt;0,AVERAGEIFS($Z$5:$Z$1000,$U$5:$U$1000,ROW(),$V$5:$V$1000,"Sub"),$Z64)))</f>
        <v/>
      </c>
      <c r="AE64" s="62">
        <f>IF($V64="","",IF(AND(ISNUMBER($G64),$G64&lt;=IF($S64=MesCiclo,InicioCiclo,$S64+MOD(2-WEEKDAY($S64),7))+20),1,IF(N($W64)&gt;0,AVERAGEIFS($AA$5:$AA$1000,$U$5:$U$1000,ROW(),$V$5:$V$1000,"Sub"),$AA64)))</f>
        <v/>
      </c>
      <c r="AF64" s="62">
        <f>IF($V64="","",IF(AND(ISNUMBER($G64),$G64&lt;=IF($S64=MesCiclo,InicioCiclo,$S64+MOD(2-WEEKDAY($S64),7))+27),1,IF(N($W64)&gt;0,AVERAGEIFS($AB$5:$AB$1000,$U$5:$U$1000,ROW(),$V$5:$V$1000,"Sub"),$AB64)))</f>
        <v/>
      </c>
      <c r="AG64" s="62">
        <f>IF($V64&lt;&gt;"Macro","",IF(COUNTIFS($S$5:$S$1000,$S64,$V$5:$V$1000,"Macro",$H$5:$H$1000,"&gt;0")=0,1/COUNTIFS($S$5:$S$1000,$S64,$V$5:$V$1000,"Macro"),IF(AND(ISNUMBER($H64),N($H64)&gt;0),$H64,SUMIFS($H$5:$H$1000,$S$5:$S$1000,$S64,$V$5:$V$1000,"Macro")/COUNTIFS($S$5:$S$1000,$S64,$V$5:$V$1000,"Macro",$H$5:$H$1000,"&gt;0"))/(COUNTIFS($S$5:$S$1000,$S64,$V$5:$V$1000,"Macro")*SUMIFS($H$5:$H$1000,$S$5:$S$1000,$S64,$V$5:$V$1000,"Macro")/COUNTIFS($S$5:$S$1000,$S64,$V$5:$V$1000,"Macro",$H$5:$H$1000,"&gt;0"))))</f>
        <v/>
      </c>
      <c r="AH64" s="62">
        <f>IF(NOT(AND($D64&lt;&gt;"",$V64="Macro")),"",IFERROR(CHOOSE(MATCH($D64,ListaPuestos,0),MATCH("[Jefatura] "&amp;$C64,'Cronograma R. Operacional'!$C$5:$C$1000,0),MATCH("[Jefatura] "&amp;$C64,'Cronograma R. Normativo'!$C$5:$C$1000,0),MATCH("[Jefatura] "&amp;$C64,'Cronograma R. Financiero'!$C$5:$C$1000,0),MATCH("[Jefatura] "&amp;$C64,'Cronograma Asistente Técnico'!$C$5:$C$1000,0)),0))</f>
        <v/>
      </c>
      <c r="AI64" s="62">
        <f>IF(AND(AND($D64&lt;&gt;"",$V64="Macro"),$S64=MesCiclo),COUNTIFS($D$5:$D64,$D64,$S$5:$S64,MesCiclo,$V$5:$V64,"Macro"),"")</f>
        <v/>
      </c>
      <c r="AJ64" s="62">
        <f>IF($AI64="","",$D64&amp;"|"&amp;$AI64)</f>
        <v/>
      </c>
      <c r="AK64" s="62">
        <f>IF(AND($D64&lt;&gt;"",$V64="Macro"),$D64&amp;"|"&amp;$C64,"")</f>
        <v/>
      </c>
      <c r="AL64" s="62">
        <f>""</f>
        <v/>
      </c>
      <c r="AM64" s="62">
        <f>IF(N($AL64)&gt;0,INDEX(rIni_ADM,$AL64),IF(ISNUMBER($E64),$E64,""))</f>
        <v/>
      </c>
      <c r="AN64" s="62">
        <f>IF(N($AL64)&gt;0,INDEX(rLim_ADM,$AL64),IF(ISNUMBER($F64),$F64,""))</f>
        <v/>
      </c>
    </row>
    <row r="65">
      <c r="A65" s="56">
        <f>IF(NOT((COUNTA($B65:$D65)+COUNTA($G65:$L65)+COUNTA($Q65))&gt;0),"",IF($V65="Macro",COUNTIFS($V$5:$V65,"Macro",$S$5:$S65,$S65),IF(N($U65)=0,"?",COUNTIFS(INDEX($V$5:$V$1000,1):INDEX($V$5:$V$1000,$U65-4),"Macro",INDEX($S$5:$S$1000,1):INDEX($S$5:$S$1000,$U65-4),INDEX($S$5:$S$1000,$U65-4))&amp;"."&amp;COUNTIFS($U$5:$U65,$U65,$V$5:$V65,"Sub"))))</f>
        <v/>
      </c>
      <c r="B65" s="57" t="n"/>
      <c r="C65" s="58" t="n"/>
      <c r="D65" s="58" t="n"/>
      <c r="E65" s="59" t="n"/>
      <c r="F65" s="59" t="n"/>
      <c r="G65" s="59" t="n"/>
      <c r="H65" s="60" t="n"/>
      <c r="I65" s="60" t="n"/>
      <c r="J65" s="60" t="n"/>
      <c r="K65" s="60" t="n"/>
      <c r="L65" s="60" t="n"/>
      <c r="M65" s="61">
        <f>IF(NOT((COUNTA($B65:$D65)+COUNTA($G65:$L65)+COUNTA($Q65))&gt;0),"",IF(AND($D65&lt;&gt;"",$V65="Macro"),IF(N($AH65)&gt;0,N(CHOOSE(MATCH($D65,ListaPuestos,0),INDEX('Cronograma R. Operacional'!$M$5:$M$1000,$AH65),INDEX('Cronograma R. Normativo'!$M$5:$M$1000,$AH65),INDEX('Cronograma R. Financiero'!$M$5:$M$1000,$AH65),INDEX('Cronograma Asistente Técnico'!$M$5:$M$1000,$AH65))),0),IF(ISNUMBER($G65),1,IF(N($W65)&gt;0,AVERAGEIFS($X$5:$X$1000,$U$5:$U$1000,ROW(),$V$5:$V$1000,"Sub"),$X65))))</f>
        <v/>
      </c>
      <c r="N65" s="56">
        <f>IF($M65="","",IF($M65&gt;=1,"Completado",IF($M65&gt;0,"En curso","Pendiente")))</f>
        <v/>
      </c>
      <c r="O65" s="56">
        <f>IF(NOT((COUNTA($B65:$D65)+COUNTA($G65:$L65)+COUNTA($Q65))&gt;0),"",IF(AND(AND($D65&lt;&gt;"",$V65="Macro"),N($AH65)&gt;0),CHOOSE(MATCH($D65,ListaPuestos,0),INDEX('Cronograma R. Operacional'!$O$5:$O$1000,$AH65),INDEX('Cronograma R. Normativo'!$O$5:$O$1000,$AH65),INDEX('Cronograma R. Financiero'!$O$5:$O$1000,$AH65),INDEX('Cronograma Asistente Técnico'!$O$5:$O$1000,$AH65))&amp;"",IF(ISNUMBER($G65),IF(AND(ISNUMBER($AN65),$G65&gt;$AN65),"Cumplida con "&amp;($G65-$AN65)&amp;IF($G65-$AN65=1," día"," días")&amp;" de retraso","Cumplida"),IF(N($M65)&gt;=1,"Cumplida",IF(NOT(ISNUMBER($AN65)),"Sin fecha límite",IF($AN65&lt;FechaRef,"Vencida hace "&amp;(FechaRef-$AN65)&amp;IF(FechaRef-$AN65=1," día"," días"),IF($AN65=FechaRef,"Vence hoy",IF($AN65-FechaRef&lt;=DiasAlerta,"Vence en "&amp;($AN65-FechaRef)&amp;IF($AN65-FechaRef=1," día"," días"),"En plazo"))))))))</f>
        <v/>
      </c>
      <c r="P65" s="62">
        <f>IF(NOT((COUNTA($B65:$D65)+COUNTA($G65:$L65)+COUNTA($Q65))&gt;0),"",IF($D65="","Propia",IF($V65&lt;&gt;"Macro","Solo se delegan macroactividades",IF(N($AH65)&gt;0,"✔ Recibida por "&amp;$D65,"⚠ "&amp;$D65&amp;" aún no la agrega"))))</f>
        <v/>
      </c>
      <c r="Q65" s="58" t="n"/>
      <c r="R65" s="63">
        <f>IF(NOT((COUNTA($B65:$D65)+COUNTA($G65:$L65)+COUNTA($Q65))&gt;0),"",IF((IF($C65="","Falta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",""))="","✔ OK","⚠ "&amp;LEFT(IF($C65="","Falta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",""),LEN(IF($C65="","Falta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",""))-3)))</f>
        <v/>
      </c>
      <c r="S65" s="64">
        <f>IF(NOT((COUNTA($B65:$D65)+COUNTA($G65:$L65)+COUNTA($Q65))&gt;0),"",IF(AND($V65="Sub",N($U65)&gt;0),IF(ISNUMBER(INDEX($AM$5:$AM$1000,$U65-4)),DATE(YEAR(INDEX($AM$5:$AM$1000,$U65-4)),MONTH(INDEX($AM$5:$AM$1000,$U65-4)),1),IF(ISNUMBER(INDEX($AN$5:$AN$1000,$U65-4)),DATE(YEAR(INDEX($AN$5:$AN$1000,$U65-4)),MONTH(INDEX($AN$5:$AN$1000,$U65-4)),1),MesCiclo)),IF(ISNUMBER($AM65),DATE(YEAR($AM65),MONTH($AM65),1),IF(ISNUMBER($AN65),DATE(YEAR($AN65),MONTH($AN65),1),MesCiclo))))</f>
        <v/>
      </c>
      <c r="T65" s="62">
        <f>IF(OR($S65="",$S65&lt;&gt;MesCiclo),"",COUNTIF($S$5:$S65,MesCiclo))</f>
        <v/>
      </c>
      <c r="U65" s="62">
        <f>IF($V65="","",IF($V65="Macro",ROW(),IFERROR(LOOKUP(2,1/($V$5:$V65="Macro"),ROW($V$5:$V65)),0)))</f>
        <v/>
      </c>
      <c r="V65" s="62">
        <f>IF(NOT((COUNTA($B65:$D65)+COUNTA($G65:$L65)+COUNTA($Q65))&gt;0),"",IF($B65="Subactividad","Sub","Macro"))</f>
        <v/>
      </c>
      <c r="W65" s="62">
        <f>IF($V65="Macro",COUNTIFS($U$5:$U$1000,ROW(),$V$5:$V$1000,"Sub"),"")</f>
        <v/>
      </c>
      <c r="X65" s="62">
        <f>IF($V65="","",IF(ISNUMBER($G65),1,IFERROR(LOOKUP(2,1/($I65:$L65&lt;&gt;""),$I65:$L65),0)))</f>
        <v/>
      </c>
      <c r="Y65" s="62">
        <f>IF($V65="","",IF(AND(ISNUMBER($G65),$G65&lt;=IF($S65=MesCiclo,InicioCiclo,$S65+MOD(2-WEEKDAY($S65),7))+6),1,IF(ISNUMBER($I65),$I65,0)))</f>
        <v/>
      </c>
      <c r="Z65" s="62">
        <f>IF($V65="","",IF(AND(ISNUMBER($G65),$G65&lt;=IF($S65=MesCiclo,InicioCiclo,$S65+MOD(2-WEEKDAY($S65),7))+13),1,IF(ISNUMBER($J65),$J65,$Y65)))</f>
        <v/>
      </c>
      <c r="AA65" s="62">
        <f>IF($V65="","",IF(AND(ISNUMBER($G65),$G65&lt;=IF($S65=MesCiclo,InicioCiclo,$S65+MOD(2-WEEKDAY($S65),7))+20),1,IF(ISNUMBER($K65),$K65,$Z65)))</f>
        <v/>
      </c>
      <c r="AB65" s="62">
        <f>IF($V65="","",IF(AND(ISNUMBER($G65),$G65&lt;=IF($S65=MesCiclo,InicioCiclo,$S65+MOD(2-WEEKDAY($S65),7))+27),1,IF(ISNUMBER($L65),$L65,$AA65)))</f>
        <v/>
      </c>
      <c r="AC65" s="62">
        <f>IF($V65="","",IF(AND(ISNUMBER($G65),$G65&lt;=IF($S65=MesCiclo,InicioCiclo,$S65+MOD(2-WEEKDAY($S65),7))+6),1,IF(N($W65)&gt;0,AVERAGEIFS($Y$5:$Y$1000,$U$5:$U$1000,ROW(),$V$5:$V$1000,"Sub"),$Y65)))</f>
        <v/>
      </c>
      <c r="AD65" s="62">
        <f>IF($V65="","",IF(AND(ISNUMBER($G65),$G65&lt;=IF($S65=MesCiclo,InicioCiclo,$S65+MOD(2-WEEKDAY($S65),7))+13),1,IF(N($W65)&gt;0,AVERAGEIFS($Z$5:$Z$1000,$U$5:$U$1000,ROW(),$V$5:$V$1000,"Sub"),$Z65)))</f>
        <v/>
      </c>
      <c r="AE65" s="62">
        <f>IF($V65="","",IF(AND(ISNUMBER($G65),$G65&lt;=IF($S65=MesCiclo,InicioCiclo,$S65+MOD(2-WEEKDAY($S65),7))+20),1,IF(N($W65)&gt;0,AVERAGEIFS($AA$5:$AA$1000,$U$5:$U$1000,ROW(),$V$5:$V$1000,"Sub"),$AA65)))</f>
        <v/>
      </c>
      <c r="AF65" s="62">
        <f>IF($V65="","",IF(AND(ISNUMBER($G65),$G65&lt;=IF($S65=MesCiclo,InicioCiclo,$S65+MOD(2-WEEKDAY($S65),7))+27),1,IF(N($W65)&gt;0,AVERAGEIFS($AB$5:$AB$1000,$U$5:$U$1000,ROW(),$V$5:$V$1000,"Sub"),$AB65)))</f>
        <v/>
      </c>
      <c r="AG65" s="62">
        <f>IF($V65&lt;&gt;"Macro","",IF(COUNTIFS($S$5:$S$1000,$S65,$V$5:$V$1000,"Macro",$H$5:$H$1000,"&gt;0")=0,1/COUNTIFS($S$5:$S$1000,$S65,$V$5:$V$1000,"Macro"),IF(AND(ISNUMBER($H65),N($H65)&gt;0),$H65,SUMIFS($H$5:$H$1000,$S$5:$S$1000,$S65,$V$5:$V$1000,"Macro")/COUNTIFS($S$5:$S$1000,$S65,$V$5:$V$1000,"Macro",$H$5:$H$1000,"&gt;0"))/(COUNTIFS($S$5:$S$1000,$S65,$V$5:$V$1000,"Macro")*SUMIFS($H$5:$H$1000,$S$5:$S$1000,$S65,$V$5:$V$1000,"Macro")/COUNTIFS($S$5:$S$1000,$S65,$V$5:$V$1000,"Macro",$H$5:$H$1000,"&gt;0"))))</f>
        <v/>
      </c>
      <c r="AH65" s="62">
        <f>IF(NOT(AND($D65&lt;&gt;"",$V65="Macro")),"",IFERROR(CHOOSE(MATCH($D65,ListaPuestos,0),MATCH("[Jefatura] "&amp;$C65,'Cronograma R. Operacional'!$C$5:$C$1000,0),MATCH("[Jefatura] "&amp;$C65,'Cronograma R. Normativo'!$C$5:$C$1000,0),MATCH("[Jefatura] "&amp;$C65,'Cronograma R. Financiero'!$C$5:$C$1000,0),MATCH("[Jefatura] "&amp;$C65,'Cronograma Asistente Técnico'!$C$5:$C$1000,0)),0))</f>
        <v/>
      </c>
      <c r="AI65" s="62">
        <f>IF(AND(AND($D65&lt;&gt;"",$V65="Macro"),$S65=MesCiclo),COUNTIFS($D$5:$D65,$D65,$S$5:$S65,MesCiclo,$V$5:$V65,"Macro"),"")</f>
        <v/>
      </c>
      <c r="AJ65" s="62">
        <f>IF($AI65="","",$D65&amp;"|"&amp;$AI65)</f>
        <v/>
      </c>
      <c r="AK65" s="62">
        <f>IF(AND($D65&lt;&gt;"",$V65="Macro"),$D65&amp;"|"&amp;$C65,"")</f>
        <v/>
      </c>
      <c r="AL65" s="62">
        <f>""</f>
        <v/>
      </c>
      <c r="AM65" s="62">
        <f>IF(N($AL65)&gt;0,INDEX(rIni_ADM,$AL65),IF(ISNUMBER($E65),$E65,""))</f>
        <v/>
      </c>
      <c r="AN65" s="62">
        <f>IF(N($AL65)&gt;0,INDEX(rLim_ADM,$AL65),IF(ISNUMBER($F65),$F65,""))</f>
        <v/>
      </c>
    </row>
    <row r="66">
      <c r="A66" s="56">
        <f>IF(NOT((COUNTA($B66:$D66)+COUNTA($G66:$L66)+COUNTA($Q66))&gt;0),"",IF($V66="Macro",COUNTIFS($V$5:$V66,"Macro",$S$5:$S66,$S66),IF(N($U66)=0,"?",COUNTIFS(INDEX($V$5:$V$1000,1):INDEX($V$5:$V$1000,$U66-4),"Macro",INDEX($S$5:$S$1000,1):INDEX($S$5:$S$1000,$U66-4),INDEX($S$5:$S$1000,$U66-4))&amp;"."&amp;COUNTIFS($U$5:$U66,$U66,$V$5:$V66,"Sub"))))</f>
        <v/>
      </c>
      <c r="B66" s="57" t="n"/>
      <c r="C66" s="58" t="n"/>
      <c r="D66" s="58" t="n"/>
      <c r="E66" s="59" t="n"/>
      <c r="F66" s="59" t="n"/>
      <c r="G66" s="59" t="n"/>
      <c r="H66" s="60" t="n"/>
      <c r="I66" s="60" t="n"/>
      <c r="J66" s="60" t="n"/>
      <c r="K66" s="60" t="n"/>
      <c r="L66" s="60" t="n"/>
      <c r="M66" s="61">
        <f>IF(NOT((COUNTA($B66:$D66)+COUNTA($G66:$L66)+COUNTA($Q66))&gt;0),"",IF(AND($D66&lt;&gt;"",$V66="Macro"),IF(N($AH66)&gt;0,N(CHOOSE(MATCH($D66,ListaPuestos,0),INDEX('Cronograma R. Operacional'!$M$5:$M$1000,$AH66),INDEX('Cronograma R. Normativo'!$M$5:$M$1000,$AH66),INDEX('Cronograma R. Financiero'!$M$5:$M$1000,$AH66),INDEX('Cronograma Asistente Técnico'!$M$5:$M$1000,$AH66))),0),IF(ISNUMBER($G66),1,IF(N($W66)&gt;0,AVERAGEIFS($X$5:$X$1000,$U$5:$U$1000,ROW(),$V$5:$V$1000,"Sub"),$X66))))</f>
        <v/>
      </c>
      <c r="N66" s="56">
        <f>IF($M66="","",IF($M66&gt;=1,"Completado",IF($M66&gt;0,"En curso","Pendiente")))</f>
        <v/>
      </c>
      <c r="O66" s="56">
        <f>IF(NOT((COUNTA($B66:$D66)+COUNTA($G66:$L66)+COUNTA($Q66))&gt;0),"",IF(AND(AND($D66&lt;&gt;"",$V66="Macro"),N($AH66)&gt;0),CHOOSE(MATCH($D66,ListaPuestos,0),INDEX('Cronograma R. Operacional'!$O$5:$O$1000,$AH66),INDEX('Cronograma R. Normativo'!$O$5:$O$1000,$AH66),INDEX('Cronograma R. Financiero'!$O$5:$O$1000,$AH66),INDEX('Cronograma Asistente Técnico'!$O$5:$O$1000,$AH66))&amp;"",IF(ISNUMBER($G66),IF(AND(ISNUMBER($AN66),$G66&gt;$AN66),"Cumplida con "&amp;($G66-$AN66)&amp;IF($G66-$AN66=1," día"," días")&amp;" de retraso","Cumplida"),IF(N($M66)&gt;=1,"Cumplida",IF(NOT(ISNUMBER($AN66)),"Sin fecha límite",IF($AN66&lt;FechaRef,"Vencida hace "&amp;(FechaRef-$AN66)&amp;IF(FechaRef-$AN66=1," día"," días"),IF($AN66=FechaRef,"Vence hoy",IF($AN66-FechaRef&lt;=DiasAlerta,"Vence en "&amp;($AN66-FechaRef)&amp;IF($AN66-FechaRef=1," día"," días"),"En plazo"))))))))</f>
        <v/>
      </c>
      <c r="P66" s="62">
        <f>IF(NOT((COUNTA($B66:$D66)+COUNTA($G66:$L66)+COUNTA($Q66))&gt;0),"",IF($D66="","Propia",IF($V66&lt;&gt;"Macro","Solo se delegan macroactividades",IF(N($AH66)&gt;0,"✔ Recibida por "&amp;$D66,"⚠ "&amp;$D66&amp;" aún no la agrega"))))</f>
        <v/>
      </c>
      <c r="Q66" s="58" t="n"/>
      <c r="R66" s="63">
        <f>IF(NOT((COUNTA($B66:$D66)+COUNTA($G66:$L66)+COUNTA($Q66))&gt;0),"",IF((IF($C66="","Falta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",""))="","✔ OK","⚠ "&amp;LEFT(IF($C66="","Falta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",""),LEN(IF($C66="","Falta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",""))-3)))</f>
        <v/>
      </c>
      <c r="S66" s="64">
        <f>IF(NOT((COUNTA($B66:$D66)+COUNTA($G66:$L66)+COUNTA($Q66))&gt;0),"",IF(AND($V66="Sub",N($U66)&gt;0),IF(ISNUMBER(INDEX($AM$5:$AM$1000,$U66-4)),DATE(YEAR(INDEX($AM$5:$AM$1000,$U66-4)),MONTH(INDEX($AM$5:$AM$1000,$U66-4)),1),IF(ISNUMBER(INDEX($AN$5:$AN$1000,$U66-4)),DATE(YEAR(INDEX($AN$5:$AN$1000,$U66-4)),MONTH(INDEX($AN$5:$AN$1000,$U66-4)),1),MesCiclo)),IF(ISNUMBER($AM66),DATE(YEAR($AM66),MONTH($AM66),1),IF(ISNUMBER($AN66),DATE(YEAR($AN66),MONTH($AN66),1),MesCiclo))))</f>
        <v/>
      </c>
      <c r="T66" s="62">
        <f>IF(OR($S66="",$S66&lt;&gt;MesCiclo),"",COUNTIF($S$5:$S66,MesCiclo))</f>
        <v/>
      </c>
      <c r="U66" s="62">
        <f>IF($V66="","",IF($V66="Macro",ROW(),IFERROR(LOOKUP(2,1/($V$5:$V66="Macro"),ROW($V$5:$V66)),0)))</f>
        <v/>
      </c>
      <c r="V66" s="62">
        <f>IF(NOT((COUNTA($B66:$D66)+COUNTA($G66:$L66)+COUNTA($Q66))&gt;0),"",IF($B66="Subactividad","Sub","Macro"))</f>
        <v/>
      </c>
      <c r="W66" s="62">
        <f>IF($V66="Macro",COUNTIFS($U$5:$U$1000,ROW(),$V$5:$V$1000,"Sub"),"")</f>
        <v/>
      </c>
      <c r="X66" s="62">
        <f>IF($V66="","",IF(ISNUMBER($G66),1,IFERROR(LOOKUP(2,1/($I66:$L66&lt;&gt;""),$I66:$L66),0)))</f>
        <v/>
      </c>
      <c r="Y66" s="62">
        <f>IF($V66="","",IF(AND(ISNUMBER($G66),$G66&lt;=IF($S66=MesCiclo,InicioCiclo,$S66+MOD(2-WEEKDAY($S66),7))+6),1,IF(ISNUMBER($I66),$I66,0)))</f>
        <v/>
      </c>
      <c r="Z66" s="62">
        <f>IF($V66="","",IF(AND(ISNUMBER($G66),$G66&lt;=IF($S66=MesCiclo,InicioCiclo,$S66+MOD(2-WEEKDAY($S66),7))+13),1,IF(ISNUMBER($J66),$J66,$Y66)))</f>
        <v/>
      </c>
      <c r="AA66" s="62">
        <f>IF($V66="","",IF(AND(ISNUMBER($G66),$G66&lt;=IF($S66=MesCiclo,InicioCiclo,$S66+MOD(2-WEEKDAY($S66),7))+20),1,IF(ISNUMBER($K66),$K66,$Z66)))</f>
        <v/>
      </c>
      <c r="AB66" s="62">
        <f>IF($V66="","",IF(AND(ISNUMBER($G66),$G66&lt;=IF($S66=MesCiclo,InicioCiclo,$S66+MOD(2-WEEKDAY($S66),7))+27),1,IF(ISNUMBER($L66),$L66,$AA66)))</f>
        <v/>
      </c>
      <c r="AC66" s="62">
        <f>IF($V66="","",IF(AND(ISNUMBER($G66),$G66&lt;=IF($S66=MesCiclo,InicioCiclo,$S66+MOD(2-WEEKDAY($S66),7))+6),1,IF(N($W66)&gt;0,AVERAGEIFS($Y$5:$Y$1000,$U$5:$U$1000,ROW(),$V$5:$V$1000,"Sub"),$Y66)))</f>
        <v/>
      </c>
      <c r="AD66" s="62">
        <f>IF($V66="","",IF(AND(ISNUMBER($G66),$G66&lt;=IF($S66=MesCiclo,InicioCiclo,$S66+MOD(2-WEEKDAY($S66),7))+13),1,IF(N($W66)&gt;0,AVERAGEIFS($Z$5:$Z$1000,$U$5:$U$1000,ROW(),$V$5:$V$1000,"Sub"),$Z66)))</f>
        <v/>
      </c>
      <c r="AE66" s="62">
        <f>IF($V66="","",IF(AND(ISNUMBER($G66),$G66&lt;=IF($S66=MesCiclo,InicioCiclo,$S66+MOD(2-WEEKDAY($S66),7))+20),1,IF(N($W66)&gt;0,AVERAGEIFS($AA$5:$AA$1000,$U$5:$U$1000,ROW(),$V$5:$V$1000,"Sub"),$AA66)))</f>
        <v/>
      </c>
      <c r="AF66" s="62">
        <f>IF($V66="","",IF(AND(ISNUMBER($G66),$G66&lt;=IF($S66=MesCiclo,InicioCiclo,$S66+MOD(2-WEEKDAY($S66),7))+27),1,IF(N($W66)&gt;0,AVERAGEIFS($AB$5:$AB$1000,$U$5:$U$1000,ROW(),$V$5:$V$1000,"Sub"),$AB66)))</f>
        <v/>
      </c>
      <c r="AG66" s="62">
        <f>IF($V66&lt;&gt;"Macro","",IF(COUNTIFS($S$5:$S$1000,$S66,$V$5:$V$1000,"Macro",$H$5:$H$1000,"&gt;0")=0,1/COUNTIFS($S$5:$S$1000,$S66,$V$5:$V$1000,"Macro"),IF(AND(ISNUMBER($H66),N($H66)&gt;0),$H66,SUMIFS($H$5:$H$1000,$S$5:$S$1000,$S66,$V$5:$V$1000,"Macro")/COUNTIFS($S$5:$S$1000,$S66,$V$5:$V$1000,"Macro",$H$5:$H$1000,"&gt;0"))/(COUNTIFS($S$5:$S$1000,$S66,$V$5:$V$1000,"Macro")*SUMIFS($H$5:$H$1000,$S$5:$S$1000,$S66,$V$5:$V$1000,"Macro")/COUNTIFS($S$5:$S$1000,$S66,$V$5:$V$1000,"Macro",$H$5:$H$1000,"&gt;0"))))</f>
        <v/>
      </c>
      <c r="AH66" s="62">
        <f>IF(NOT(AND($D66&lt;&gt;"",$V66="Macro")),"",IFERROR(CHOOSE(MATCH($D66,ListaPuestos,0),MATCH("[Jefatura] "&amp;$C66,'Cronograma R. Operacional'!$C$5:$C$1000,0),MATCH("[Jefatura] "&amp;$C66,'Cronograma R. Normativo'!$C$5:$C$1000,0),MATCH("[Jefatura] "&amp;$C66,'Cronograma R. Financiero'!$C$5:$C$1000,0),MATCH("[Jefatura] "&amp;$C66,'Cronograma Asistente Técnico'!$C$5:$C$1000,0)),0))</f>
        <v/>
      </c>
      <c r="AI66" s="62">
        <f>IF(AND(AND($D66&lt;&gt;"",$V66="Macro"),$S66=MesCiclo),COUNTIFS($D$5:$D66,$D66,$S$5:$S66,MesCiclo,$V$5:$V66,"Macro"),"")</f>
        <v/>
      </c>
      <c r="AJ66" s="62">
        <f>IF($AI66="","",$D66&amp;"|"&amp;$AI66)</f>
        <v/>
      </c>
      <c r="AK66" s="62">
        <f>IF(AND($D66&lt;&gt;"",$V66="Macro"),$D66&amp;"|"&amp;$C66,"")</f>
        <v/>
      </c>
      <c r="AL66" s="62">
        <f>""</f>
        <v/>
      </c>
      <c r="AM66" s="62">
        <f>IF(N($AL66)&gt;0,INDEX(rIni_ADM,$AL66),IF(ISNUMBER($E66),$E66,""))</f>
        <v/>
      </c>
      <c r="AN66" s="62">
        <f>IF(N($AL66)&gt;0,INDEX(rLim_ADM,$AL66),IF(ISNUMBER($F66),$F66,""))</f>
        <v/>
      </c>
    </row>
    <row r="67">
      <c r="A67" s="56">
        <f>IF(NOT((COUNTA($B67:$D67)+COUNTA($G67:$L67)+COUNTA($Q67))&gt;0),"",IF($V67="Macro",COUNTIFS($V$5:$V67,"Macro",$S$5:$S67,$S67),IF(N($U67)=0,"?",COUNTIFS(INDEX($V$5:$V$1000,1):INDEX($V$5:$V$1000,$U67-4),"Macro",INDEX($S$5:$S$1000,1):INDEX($S$5:$S$1000,$U67-4),INDEX($S$5:$S$1000,$U67-4))&amp;"."&amp;COUNTIFS($U$5:$U67,$U67,$V$5:$V67,"Sub"))))</f>
        <v/>
      </c>
      <c r="B67" s="57" t="n"/>
      <c r="C67" s="58" t="n"/>
      <c r="D67" s="58" t="n"/>
      <c r="E67" s="59" t="n"/>
      <c r="F67" s="59" t="n"/>
      <c r="G67" s="59" t="n"/>
      <c r="H67" s="60" t="n"/>
      <c r="I67" s="60" t="n"/>
      <c r="J67" s="60" t="n"/>
      <c r="K67" s="60" t="n"/>
      <c r="L67" s="60" t="n"/>
      <c r="M67" s="61">
        <f>IF(NOT((COUNTA($B67:$D67)+COUNTA($G67:$L67)+COUNTA($Q67))&gt;0),"",IF(AND($D67&lt;&gt;"",$V67="Macro"),IF(N($AH67)&gt;0,N(CHOOSE(MATCH($D67,ListaPuestos,0),INDEX('Cronograma R. Operacional'!$M$5:$M$1000,$AH67),INDEX('Cronograma R. Normativo'!$M$5:$M$1000,$AH67),INDEX('Cronograma R. Financiero'!$M$5:$M$1000,$AH67),INDEX('Cronograma Asistente Técnico'!$M$5:$M$1000,$AH67))),0),IF(ISNUMBER($G67),1,IF(N($W67)&gt;0,AVERAGEIFS($X$5:$X$1000,$U$5:$U$1000,ROW(),$V$5:$V$1000,"Sub"),$X67))))</f>
        <v/>
      </c>
      <c r="N67" s="56">
        <f>IF($M67="","",IF($M67&gt;=1,"Completado",IF($M67&gt;0,"En curso","Pendiente")))</f>
        <v/>
      </c>
      <c r="O67" s="56">
        <f>IF(NOT((COUNTA($B67:$D67)+COUNTA($G67:$L67)+COUNTA($Q67))&gt;0),"",IF(AND(AND($D67&lt;&gt;"",$V67="Macro"),N($AH67)&gt;0),CHOOSE(MATCH($D67,ListaPuestos,0),INDEX('Cronograma R. Operacional'!$O$5:$O$1000,$AH67),INDEX('Cronograma R. Normativo'!$O$5:$O$1000,$AH67),INDEX('Cronograma R. Financiero'!$O$5:$O$1000,$AH67),INDEX('Cronograma Asistente Técnico'!$O$5:$O$1000,$AH67))&amp;"",IF(ISNUMBER($G67),IF(AND(ISNUMBER($AN67),$G67&gt;$AN67),"Cumplida con "&amp;($G67-$AN67)&amp;IF($G67-$AN67=1," día"," días")&amp;" de retraso","Cumplida"),IF(N($M67)&gt;=1,"Cumplida",IF(NOT(ISNUMBER($AN67)),"Sin fecha límite",IF($AN67&lt;FechaRef,"Vencida hace "&amp;(FechaRef-$AN67)&amp;IF(FechaRef-$AN67=1," día"," días"),IF($AN67=FechaRef,"Vence hoy",IF($AN67-FechaRef&lt;=DiasAlerta,"Vence en "&amp;($AN67-FechaRef)&amp;IF($AN67-FechaRef=1," día"," días"),"En plazo"))))))))</f>
        <v/>
      </c>
      <c r="P67" s="62">
        <f>IF(NOT((COUNTA($B67:$D67)+COUNTA($G67:$L67)+COUNTA($Q67))&gt;0),"",IF($D67="","Propia",IF($V67&lt;&gt;"Macro","Solo se delegan macroactividades",IF(N($AH67)&gt;0,"✔ Recibida por "&amp;$D67,"⚠ "&amp;$D67&amp;" aún no la agrega"))))</f>
        <v/>
      </c>
      <c r="Q67" s="58" t="n"/>
      <c r="R67" s="63">
        <f>IF(NOT((COUNTA($B67:$D67)+COUNTA($G67:$L67)+COUNTA($Q67))&gt;0),"",IF((IF($C67="","Falta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",""))="","✔ OK","⚠ "&amp;LEFT(IF($C67="","Falta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",""),LEN(IF($C67="","Falta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",""))-3)))</f>
        <v/>
      </c>
      <c r="S67" s="64">
        <f>IF(NOT((COUNTA($B67:$D67)+COUNTA($G67:$L67)+COUNTA($Q67))&gt;0),"",IF(AND($V67="Sub",N($U67)&gt;0),IF(ISNUMBER(INDEX($AM$5:$AM$1000,$U67-4)),DATE(YEAR(INDEX($AM$5:$AM$1000,$U67-4)),MONTH(INDEX($AM$5:$AM$1000,$U67-4)),1),IF(ISNUMBER(INDEX($AN$5:$AN$1000,$U67-4)),DATE(YEAR(INDEX($AN$5:$AN$1000,$U67-4)),MONTH(INDEX($AN$5:$AN$1000,$U67-4)),1),MesCiclo)),IF(ISNUMBER($AM67),DATE(YEAR($AM67),MONTH($AM67),1),IF(ISNUMBER($AN67),DATE(YEAR($AN67),MONTH($AN67),1),MesCiclo))))</f>
        <v/>
      </c>
      <c r="T67" s="62">
        <f>IF(OR($S67="",$S67&lt;&gt;MesCiclo),"",COUNTIF($S$5:$S67,MesCiclo))</f>
        <v/>
      </c>
      <c r="U67" s="62">
        <f>IF($V67="","",IF($V67="Macro",ROW(),IFERROR(LOOKUP(2,1/($V$5:$V67="Macro"),ROW($V$5:$V67)),0)))</f>
        <v/>
      </c>
      <c r="V67" s="62">
        <f>IF(NOT((COUNTA($B67:$D67)+COUNTA($G67:$L67)+COUNTA($Q67))&gt;0),"",IF($B67="Subactividad","Sub","Macro"))</f>
        <v/>
      </c>
      <c r="W67" s="62">
        <f>IF($V67="Macro",COUNTIFS($U$5:$U$1000,ROW(),$V$5:$V$1000,"Sub"),"")</f>
        <v/>
      </c>
      <c r="X67" s="62">
        <f>IF($V67="","",IF(ISNUMBER($G67),1,IFERROR(LOOKUP(2,1/($I67:$L67&lt;&gt;""),$I67:$L67),0)))</f>
        <v/>
      </c>
      <c r="Y67" s="62">
        <f>IF($V67="","",IF(AND(ISNUMBER($G67),$G67&lt;=IF($S67=MesCiclo,InicioCiclo,$S67+MOD(2-WEEKDAY($S67),7))+6),1,IF(ISNUMBER($I67),$I67,0)))</f>
        <v/>
      </c>
      <c r="Z67" s="62">
        <f>IF($V67="","",IF(AND(ISNUMBER($G67),$G67&lt;=IF($S67=MesCiclo,InicioCiclo,$S67+MOD(2-WEEKDAY($S67),7))+13),1,IF(ISNUMBER($J67),$J67,$Y67)))</f>
        <v/>
      </c>
      <c r="AA67" s="62">
        <f>IF($V67="","",IF(AND(ISNUMBER($G67),$G67&lt;=IF($S67=MesCiclo,InicioCiclo,$S67+MOD(2-WEEKDAY($S67),7))+20),1,IF(ISNUMBER($K67),$K67,$Z67)))</f>
        <v/>
      </c>
      <c r="AB67" s="62">
        <f>IF($V67="","",IF(AND(ISNUMBER($G67),$G67&lt;=IF($S67=MesCiclo,InicioCiclo,$S67+MOD(2-WEEKDAY($S67),7))+27),1,IF(ISNUMBER($L67),$L67,$AA67)))</f>
        <v/>
      </c>
      <c r="AC67" s="62">
        <f>IF($V67="","",IF(AND(ISNUMBER($G67),$G67&lt;=IF($S67=MesCiclo,InicioCiclo,$S67+MOD(2-WEEKDAY($S67),7))+6),1,IF(N($W67)&gt;0,AVERAGEIFS($Y$5:$Y$1000,$U$5:$U$1000,ROW(),$V$5:$V$1000,"Sub"),$Y67)))</f>
        <v/>
      </c>
      <c r="AD67" s="62">
        <f>IF($V67="","",IF(AND(ISNUMBER($G67),$G67&lt;=IF($S67=MesCiclo,InicioCiclo,$S67+MOD(2-WEEKDAY($S67),7))+13),1,IF(N($W67)&gt;0,AVERAGEIFS($Z$5:$Z$1000,$U$5:$U$1000,ROW(),$V$5:$V$1000,"Sub"),$Z67)))</f>
        <v/>
      </c>
      <c r="AE67" s="62">
        <f>IF($V67="","",IF(AND(ISNUMBER($G67),$G67&lt;=IF($S67=MesCiclo,InicioCiclo,$S67+MOD(2-WEEKDAY($S67),7))+20),1,IF(N($W67)&gt;0,AVERAGEIFS($AA$5:$AA$1000,$U$5:$U$1000,ROW(),$V$5:$V$1000,"Sub"),$AA67)))</f>
        <v/>
      </c>
      <c r="AF67" s="62">
        <f>IF($V67="","",IF(AND(ISNUMBER($G67),$G67&lt;=IF($S67=MesCiclo,InicioCiclo,$S67+MOD(2-WEEKDAY($S67),7))+27),1,IF(N($W67)&gt;0,AVERAGEIFS($AB$5:$AB$1000,$U$5:$U$1000,ROW(),$V$5:$V$1000,"Sub"),$AB67)))</f>
        <v/>
      </c>
      <c r="AG67" s="62">
        <f>IF($V67&lt;&gt;"Macro","",IF(COUNTIFS($S$5:$S$1000,$S67,$V$5:$V$1000,"Macro",$H$5:$H$1000,"&gt;0")=0,1/COUNTIFS($S$5:$S$1000,$S67,$V$5:$V$1000,"Macro"),IF(AND(ISNUMBER($H67),N($H67)&gt;0),$H67,SUMIFS($H$5:$H$1000,$S$5:$S$1000,$S67,$V$5:$V$1000,"Macro")/COUNTIFS($S$5:$S$1000,$S67,$V$5:$V$1000,"Macro",$H$5:$H$1000,"&gt;0"))/(COUNTIFS($S$5:$S$1000,$S67,$V$5:$V$1000,"Macro")*SUMIFS($H$5:$H$1000,$S$5:$S$1000,$S67,$V$5:$V$1000,"Macro")/COUNTIFS($S$5:$S$1000,$S67,$V$5:$V$1000,"Macro",$H$5:$H$1000,"&gt;0"))))</f>
        <v/>
      </c>
      <c r="AH67" s="62">
        <f>IF(NOT(AND($D67&lt;&gt;"",$V67="Macro")),"",IFERROR(CHOOSE(MATCH($D67,ListaPuestos,0),MATCH("[Jefatura] "&amp;$C67,'Cronograma R. Operacional'!$C$5:$C$1000,0),MATCH("[Jefatura] "&amp;$C67,'Cronograma R. Normativo'!$C$5:$C$1000,0),MATCH("[Jefatura] "&amp;$C67,'Cronograma R. Financiero'!$C$5:$C$1000,0),MATCH("[Jefatura] "&amp;$C67,'Cronograma Asistente Técnico'!$C$5:$C$1000,0)),0))</f>
        <v/>
      </c>
      <c r="AI67" s="62">
        <f>IF(AND(AND($D67&lt;&gt;"",$V67="Macro"),$S67=MesCiclo),COUNTIFS($D$5:$D67,$D67,$S$5:$S67,MesCiclo,$V$5:$V67,"Macro"),"")</f>
        <v/>
      </c>
      <c r="AJ67" s="62">
        <f>IF($AI67="","",$D67&amp;"|"&amp;$AI67)</f>
        <v/>
      </c>
      <c r="AK67" s="62">
        <f>IF(AND($D67&lt;&gt;"",$V67="Macro"),$D67&amp;"|"&amp;$C67,"")</f>
        <v/>
      </c>
      <c r="AL67" s="62">
        <f>""</f>
        <v/>
      </c>
      <c r="AM67" s="62">
        <f>IF(N($AL67)&gt;0,INDEX(rIni_ADM,$AL67),IF(ISNUMBER($E67),$E67,""))</f>
        <v/>
      </c>
      <c r="AN67" s="62">
        <f>IF(N($AL67)&gt;0,INDEX(rLim_ADM,$AL67),IF(ISNUMBER($F67),$F67,""))</f>
        <v/>
      </c>
    </row>
    <row r="68">
      <c r="A68" s="56">
        <f>IF(NOT((COUNTA($B68:$D68)+COUNTA($G68:$L68)+COUNTA($Q68))&gt;0),"",IF($V68="Macro",COUNTIFS($V$5:$V68,"Macro",$S$5:$S68,$S68),IF(N($U68)=0,"?",COUNTIFS(INDEX($V$5:$V$1000,1):INDEX($V$5:$V$1000,$U68-4),"Macro",INDEX($S$5:$S$1000,1):INDEX($S$5:$S$1000,$U68-4),INDEX($S$5:$S$1000,$U68-4))&amp;"."&amp;COUNTIFS($U$5:$U68,$U68,$V$5:$V68,"Sub"))))</f>
        <v/>
      </c>
      <c r="B68" s="57" t="n"/>
      <c r="C68" s="58" t="n"/>
      <c r="D68" s="58" t="n"/>
      <c r="E68" s="59" t="n"/>
      <c r="F68" s="59" t="n"/>
      <c r="G68" s="59" t="n"/>
      <c r="H68" s="60" t="n"/>
      <c r="I68" s="60" t="n"/>
      <c r="J68" s="60" t="n"/>
      <c r="K68" s="60" t="n"/>
      <c r="L68" s="60" t="n"/>
      <c r="M68" s="61">
        <f>IF(NOT((COUNTA($B68:$D68)+COUNTA($G68:$L68)+COUNTA($Q68))&gt;0),"",IF(AND($D68&lt;&gt;"",$V68="Macro"),IF(N($AH68)&gt;0,N(CHOOSE(MATCH($D68,ListaPuestos,0),INDEX('Cronograma R. Operacional'!$M$5:$M$1000,$AH68),INDEX('Cronograma R. Normativo'!$M$5:$M$1000,$AH68),INDEX('Cronograma R. Financiero'!$M$5:$M$1000,$AH68),INDEX('Cronograma Asistente Técnico'!$M$5:$M$1000,$AH68))),0),IF(ISNUMBER($G68),1,IF(N($W68)&gt;0,AVERAGEIFS($X$5:$X$1000,$U$5:$U$1000,ROW(),$V$5:$V$1000,"Sub"),$X68))))</f>
        <v/>
      </c>
      <c r="N68" s="56">
        <f>IF($M68="","",IF($M68&gt;=1,"Completado",IF($M68&gt;0,"En curso","Pendiente")))</f>
        <v/>
      </c>
      <c r="O68" s="56">
        <f>IF(NOT((COUNTA($B68:$D68)+COUNTA($G68:$L68)+COUNTA($Q68))&gt;0),"",IF(AND(AND($D68&lt;&gt;"",$V68="Macro"),N($AH68)&gt;0),CHOOSE(MATCH($D68,ListaPuestos,0),INDEX('Cronograma R. Operacional'!$O$5:$O$1000,$AH68),INDEX('Cronograma R. Normativo'!$O$5:$O$1000,$AH68),INDEX('Cronograma R. Financiero'!$O$5:$O$1000,$AH68),INDEX('Cronograma Asistente Técnico'!$O$5:$O$1000,$AH68))&amp;"",IF(ISNUMBER($G68),IF(AND(ISNUMBER($AN68),$G68&gt;$AN68),"Cumplida con "&amp;($G68-$AN68)&amp;IF($G68-$AN68=1," día"," días")&amp;" de retraso","Cumplida"),IF(N($M68)&gt;=1,"Cumplida",IF(NOT(ISNUMBER($AN68)),"Sin fecha límite",IF($AN68&lt;FechaRef,"Vencida hace "&amp;(FechaRef-$AN68)&amp;IF(FechaRef-$AN68=1," día"," días"),IF($AN68=FechaRef,"Vence hoy",IF($AN68-FechaRef&lt;=DiasAlerta,"Vence en "&amp;($AN68-FechaRef)&amp;IF($AN68-FechaRef=1," día"," días"),"En plazo"))))))))</f>
        <v/>
      </c>
      <c r="P68" s="62">
        <f>IF(NOT((COUNTA($B68:$D68)+COUNTA($G68:$L68)+COUNTA($Q68))&gt;0),"",IF($D68="","Propia",IF($V68&lt;&gt;"Macro","Solo se delegan macroactividades",IF(N($AH68)&gt;0,"✔ Recibida por "&amp;$D68,"⚠ "&amp;$D68&amp;" aún no la agrega"))))</f>
        <v/>
      </c>
      <c r="Q68" s="58" t="n"/>
      <c r="R68" s="63">
        <f>IF(NOT((COUNTA($B68:$D68)+COUNTA($G68:$L68)+COUNTA($Q68))&gt;0),"",IF((IF($C68="","Falta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",""))="","✔ OK","⚠ "&amp;LEFT(IF($C68="","Falta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",""),LEN(IF($C68="","Falta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",""))-3)))</f>
        <v/>
      </c>
      <c r="S68" s="64">
        <f>IF(NOT((COUNTA($B68:$D68)+COUNTA($G68:$L68)+COUNTA($Q68))&gt;0),"",IF(AND($V68="Sub",N($U68)&gt;0),IF(ISNUMBER(INDEX($AM$5:$AM$1000,$U68-4)),DATE(YEAR(INDEX($AM$5:$AM$1000,$U68-4)),MONTH(INDEX($AM$5:$AM$1000,$U68-4)),1),IF(ISNUMBER(INDEX($AN$5:$AN$1000,$U68-4)),DATE(YEAR(INDEX($AN$5:$AN$1000,$U68-4)),MONTH(INDEX($AN$5:$AN$1000,$U68-4)),1),MesCiclo)),IF(ISNUMBER($AM68),DATE(YEAR($AM68),MONTH($AM68),1),IF(ISNUMBER($AN68),DATE(YEAR($AN68),MONTH($AN68),1),MesCiclo))))</f>
        <v/>
      </c>
      <c r="T68" s="62">
        <f>IF(OR($S68="",$S68&lt;&gt;MesCiclo),"",COUNTIF($S$5:$S68,MesCiclo))</f>
        <v/>
      </c>
      <c r="U68" s="62">
        <f>IF($V68="","",IF($V68="Macro",ROW(),IFERROR(LOOKUP(2,1/($V$5:$V68="Macro"),ROW($V$5:$V68)),0)))</f>
        <v/>
      </c>
      <c r="V68" s="62">
        <f>IF(NOT((COUNTA($B68:$D68)+COUNTA($G68:$L68)+COUNTA($Q68))&gt;0),"",IF($B68="Subactividad","Sub","Macro"))</f>
        <v/>
      </c>
      <c r="W68" s="62">
        <f>IF($V68="Macro",COUNTIFS($U$5:$U$1000,ROW(),$V$5:$V$1000,"Sub"),"")</f>
        <v/>
      </c>
      <c r="X68" s="62">
        <f>IF($V68="","",IF(ISNUMBER($G68),1,IFERROR(LOOKUP(2,1/($I68:$L68&lt;&gt;""),$I68:$L68),0)))</f>
        <v/>
      </c>
      <c r="Y68" s="62">
        <f>IF($V68="","",IF(AND(ISNUMBER($G68),$G68&lt;=IF($S68=MesCiclo,InicioCiclo,$S68+MOD(2-WEEKDAY($S68),7))+6),1,IF(ISNUMBER($I68),$I68,0)))</f>
        <v/>
      </c>
      <c r="Z68" s="62">
        <f>IF($V68="","",IF(AND(ISNUMBER($G68),$G68&lt;=IF($S68=MesCiclo,InicioCiclo,$S68+MOD(2-WEEKDAY($S68),7))+13),1,IF(ISNUMBER($J68),$J68,$Y68)))</f>
        <v/>
      </c>
      <c r="AA68" s="62">
        <f>IF($V68="","",IF(AND(ISNUMBER($G68),$G68&lt;=IF($S68=MesCiclo,InicioCiclo,$S68+MOD(2-WEEKDAY($S68),7))+20),1,IF(ISNUMBER($K68),$K68,$Z68)))</f>
        <v/>
      </c>
      <c r="AB68" s="62">
        <f>IF($V68="","",IF(AND(ISNUMBER($G68),$G68&lt;=IF($S68=MesCiclo,InicioCiclo,$S68+MOD(2-WEEKDAY($S68),7))+27),1,IF(ISNUMBER($L68),$L68,$AA68)))</f>
        <v/>
      </c>
      <c r="AC68" s="62">
        <f>IF($V68="","",IF(AND(ISNUMBER($G68),$G68&lt;=IF($S68=MesCiclo,InicioCiclo,$S68+MOD(2-WEEKDAY($S68),7))+6),1,IF(N($W68)&gt;0,AVERAGEIFS($Y$5:$Y$1000,$U$5:$U$1000,ROW(),$V$5:$V$1000,"Sub"),$Y68)))</f>
        <v/>
      </c>
      <c r="AD68" s="62">
        <f>IF($V68="","",IF(AND(ISNUMBER($G68),$G68&lt;=IF($S68=MesCiclo,InicioCiclo,$S68+MOD(2-WEEKDAY($S68),7))+13),1,IF(N($W68)&gt;0,AVERAGEIFS($Z$5:$Z$1000,$U$5:$U$1000,ROW(),$V$5:$V$1000,"Sub"),$Z68)))</f>
        <v/>
      </c>
      <c r="AE68" s="62">
        <f>IF($V68="","",IF(AND(ISNUMBER($G68),$G68&lt;=IF($S68=MesCiclo,InicioCiclo,$S68+MOD(2-WEEKDAY($S68),7))+20),1,IF(N($W68)&gt;0,AVERAGEIFS($AA$5:$AA$1000,$U$5:$U$1000,ROW(),$V$5:$V$1000,"Sub"),$AA68)))</f>
        <v/>
      </c>
      <c r="AF68" s="62">
        <f>IF($V68="","",IF(AND(ISNUMBER($G68),$G68&lt;=IF($S68=MesCiclo,InicioCiclo,$S68+MOD(2-WEEKDAY($S68),7))+27),1,IF(N($W68)&gt;0,AVERAGEIFS($AB$5:$AB$1000,$U$5:$U$1000,ROW(),$V$5:$V$1000,"Sub"),$AB68)))</f>
        <v/>
      </c>
      <c r="AG68" s="62">
        <f>IF($V68&lt;&gt;"Macro","",IF(COUNTIFS($S$5:$S$1000,$S68,$V$5:$V$1000,"Macro",$H$5:$H$1000,"&gt;0")=0,1/COUNTIFS($S$5:$S$1000,$S68,$V$5:$V$1000,"Macro"),IF(AND(ISNUMBER($H68),N($H68)&gt;0),$H68,SUMIFS($H$5:$H$1000,$S$5:$S$1000,$S68,$V$5:$V$1000,"Macro")/COUNTIFS($S$5:$S$1000,$S68,$V$5:$V$1000,"Macro",$H$5:$H$1000,"&gt;0"))/(COUNTIFS($S$5:$S$1000,$S68,$V$5:$V$1000,"Macro")*SUMIFS($H$5:$H$1000,$S$5:$S$1000,$S68,$V$5:$V$1000,"Macro")/COUNTIFS($S$5:$S$1000,$S68,$V$5:$V$1000,"Macro",$H$5:$H$1000,"&gt;0"))))</f>
        <v/>
      </c>
      <c r="AH68" s="62">
        <f>IF(NOT(AND($D68&lt;&gt;"",$V68="Macro")),"",IFERROR(CHOOSE(MATCH($D68,ListaPuestos,0),MATCH("[Jefatura] "&amp;$C68,'Cronograma R. Operacional'!$C$5:$C$1000,0),MATCH("[Jefatura] "&amp;$C68,'Cronograma R. Normativo'!$C$5:$C$1000,0),MATCH("[Jefatura] "&amp;$C68,'Cronograma R. Financiero'!$C$5:$C$1000,0),MATCH("[Jefatura] "&amp;$C68,'Cronograma Asistente Técnico'!$C$5:$C$1000,0)),0))</f>
        <v/>
      </c>
      <c r="AI68" s="62">
        <f>IF(AND(AND($D68&lt;&gt;"",$V68="Macro"),$S68=MesCiclo),COUNTIFS($D$5:$D68,$D68,$S$5:$S68,MesCiclo,$V$5:$V68,"Macro"),"")</f>
        <v/>
      </c>
      <c r="AJ68" s="62">
        <f>IF($AI68="","",$D68&amp;"|"&amp;$AI68)</f>
        <v/>
      </c>
      <c r="AK68" s="62">
        <f>IF(AND($D68&lt;&gt;"",$V68="Macro"),$D68&amp;"|"&amp;$C68,"")</f>
        <v/>
      </c>
      <c r="AL68" s="62">
        <f>""</f>
        <v/>
      </c>
      <c r="AM68" s="62">
        <f>IF(N($AL68)&gt;0,INDEX(rIni_ADM,$AL68),IF(ISNUMBER($E68),$E68,""))</f>
        <v/>
      </c>
      <c r="AN68" s="62">
        <f>IF(N($AL68)&gt;0,INDEX(rLim_ADM,$AL68),IF(ISNUMBER($F68),$F68,""))</f>
        <v/>
      </c>
    </row>
    <row r="69">
      <c r="A69" s="56">
        <f>IF(NOT((COUNTA($B69:$D69)+COUNTA($G69:$L69)+COUNTA($Q69))&gt;0),"",IF($V69="Macro",COUNTIFS($V$5:$V69,"Macro",$S$5:$S69,$S69),IF(N($U69)=0,"?",COUNTIFS(INDEX($V$5:$V$1000,1):INDEX($V$5:$V$1000,$U69-4),"Macro",INDEX($S$5:$S$1000,1):INDEX($S$5:$S$1000,$U69-4),INDEX($S$5:$S$1000,$U69-4))&amp;"."&amp;COUNTIFS($U$5:$U69,$U69,$V$5:$V69,"Sub"))))</f>
        <v/>
      </c>
      <c r="B69" s="57" t="n"/>
      <c r="C69" s="58" t="n"/>
      <c r="D69" s="58" t="n"/>
      <c r="E69" s="59" t="n"/>
      <c r="F69" s="59" t="n"/>
      <c r="G69" s="59" t="n"/>
      <c r="H69" s="60" t="n"/>
      <c r="I69" s="60" t="n"/>
      <c r="J69" s="60" t="n"/>
      <c r="K69" s="60" t="n"/>
      <c r="L69" s="60" t="n"/>
      <c r="M69" s="61">
        <f>IF(NOT((COUNTA($B69:$D69)+COUNTA($G69:$L69)+COUNTA($Q69))&gt;0),"",IF(AND($D69&lt;&gt;"",$V69="Macro"),IF(N($AH69)&gt;0,N(CHOOSE(MATCH($D69,ListaPuestos,0),INDEX('Cronograma R. Operacional'!$M$5:$M$1000,$AH69),INDEX('Cronograma R. Normativo'!$M$5:$M$1000,$AH69),INDEX('Cronograma R. Financiero'!$M$5:$M$1000,$AH69),INDEX('Cronograma Asistente Técnico'!$M$5:$M$1000,$AH69))),0),IF(ISNUMBER($G69),1,IF(N($W69)&gt;0,AVERAGEIFS($X$5:$X$1000,$U$5:$U$1000,ROW(),$V$5:$V$1000,"Sub"),$X69))))</f>
        <v/>
      </c>
      <c r="N69" s="56">
        <f>IF($M69="","",IF($M69&gt;=1,"Completado",IF($M69&gt;0,"En curso","Pendiente")))</f>
        <v/>
      </c>
      <c r="O69" s="56">
        <f>IF(NOT((COUNTA($B69:$D69)+COUNTA($G69:$L69)+COUNTA($Q69))&gt;0),"",IF(AND(AND($D69&lt;&gt;"",$V69="Macro"),N($AH69)&gt;0),CHOOSE(MATCH($D69,ListaPuestos,0),INDEX('Cronograma R. Operacional'!$O$5:$O$1000,$AH69),INDEX('Cronograma R. Normativo'!$O$5:$O$1000,$AH69),INDEX('Cronograma R. Financiero'!$O$5:$O$1000,$AH69),INDEX('Cronograma Asistente Técnico'!$O$5:$O$1000,$AH69))&amp;"",IF(ISNUMBER($G69),IF(AND(ISNUMBER($AN69),$G69&gt;$AN69),"Cumplida con "&amp;($G69-$AN69)&amp;IF($G69-$AN69=1," día"," días")&amp;" de retraso","Cumplida"),IF(N($M69)&gt;=1,"Cumplida",IF(NOT(ISNUMBER($AN69)),"Sin fecha límite",IF($AN69&lt;FechaRef,"Vencida hace "&amp;(FechaRef-$AN69)&amp;IF(FechaRef-$AN69=1," día"," días"),IF($AN69=FechaRef,"Vence hoy",IF($AN69-FechaRef&lt;=DiasAlerta,"Vence en "&amp;($AN69-FechaRef)&amp;IF($AN69-FechaRef=1," día"," días"),"En plazo"))))))))</f>
        <v/>
      </c>
      <c r="P69" s="62">
        <f>IF(NOT((COUNTA($B69:$D69)+COUNTA($G69:$L69)+COUNTA($Q69))&gt;0),"",IF($D69="","Propia",IF($V69&lt;&gt;"Macro","Solo se delegan macroactividades",IF(N($AH69)&gt;0,"✔ Recibida por "&amp;$D69,"⚠ "&amp;$D69&amp;" aún no la agrega"))))</f>
        <v/>
      </c>
      <c r="Q69" s="58" t="n"/>
      <c r="R69" s="63">
        <f>IF(NOT((COUNTA($B69:$D69)+COUNTA($G69:$L69)+COUNTA($Q69))&gt;0),"",IF((IF($C69="","Falta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",""))="","✔ OK","⚠ "&amp;LEFT(IF($C69="","Falta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",""),LEN(IF($C69="","Falta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",""))-3)))</f>
        <v/>
      </c>
      <c r="S69" s="64">
        <f>IF(NOT((COUNTA($B69:$D69)+COUNTA($G69:$L69)+COUNTA($Q69))&gt;0),"",IF(AND($V69="Sub",N($U69)&gt;0),IF(ISNUMBER(INDEX($AM$5:$AM$1000,$U69-4)),DATE(YEAR(INDEX($AM$5:$AM$1000,$U69-4)),MONTH(INDEX($AM$5:$AM$1000,$U69-4)),1),IF(ISNUMBER(INDEX($AN$5:$AN$1000,$U69-4)),DATE(YEAR(INDEX($AN$5:$AN$1000,$U69-4)),MONTH(INDEX($AN$5:$AN$1000,$U69-4)),1),MesCiclo)),IF(ISNUMBER($AM69),DATE(YEAR($AM69),MONTH($AM69),1),IF(ISNUMBER($AN69),DATE(YEAR($AN69),MONTH($AN69),1),MesCiclo))))</f>
        <v/>
      </c>
      <c r="T69" s="62">
        <f>IF(OR($S69="",$S69&lt;&gt;MesCiclo),"",COUNTIF($S$5:$S69,MesCiclo))</f>
        <v/>
      </c>
      <c r="U69" s="62">
        <f>IF($V69="","",IF($V69="Macro",ROW(),IFERROR(LOOKUP(2,1/($V$5:$V69="Macro"),ROW($V$5:$V69)),0)))</f>
        <v/>
      </c>
      <c r="V69" s="62">
        <f>IF(NOT((COUNTA($B69:$D69)+COUNTA($G69:$L69)+COUNTA($Q69))&gt;0),"",IF($B69="Subactividad","Sub","Macro"))</f>
        <v/>
      </c>
      <c r="W69" s="62">
        <f>IF($V69="Macro",COUNTIFS($U$5:$U$1000,ROW(),$V$5:$V$1000,"Sub"),"")</f>
        <v/>
      </c>
      <c r="X69" s="62">
        <f>IF($V69="","",IF(ISNUMBER($G69),1,IFERROR(LOOKUP(2,1/($I69:$L69&lt;&gt;""),$I69:$L69),0)))</f>
        <v/>
      </c>
      <c r="Y69" s="62">
        <f>IF($V69="","",IF(AND(ISNUMBER($G69),$G69&lt;=IF($S69=MesCiclo,InicioCiclo,$S69+MOD(2-WEEKDAY($S69),7))+6),1,IF(ISNUMBER($I69),$I69,0)))</f>
        <v/>
      </c>
      <c r="Z69" s="62">
        <f>IF($V69="","",IF(AND(ISNUMBER($G69),$G69&lt;=IF($S69=MesCiclo,InicioCiclo,$S69+MOD(2-WEEKDAY($S69),7))+13),1,IF(ISNUMBER($J69),$J69,$Y69)))</f>
        <v/>
      </c>
      <c r="AA69" s="62">
        <f>IF($V69="","",IF(AND(ISNUMBER($G69),$G69&lt;=IF($S69=MesCiclo,InicioCiclo,$S69+MOD(2-WEEKDAY($S69),7))+20),1,IF(ISNUMBER($K69),$K69,$Z69)))</f>
        <v/>
      </c>
      <c r="AB69" s="62">
        <f>IF($V69="","",IF(AND(ISNUMBER($G69),$G69&lt;=IF($S69=MesCiclo,InicioCiclo,$S69+MOD(2-WEEKDAY($S69),7))+27),1,IF(ISNUMBER($L69),$L69,$AA69)))</f>
        <v/>
      </c>
      <c r="AC69" s="62">
        <f>IF($V69="","",IF(AND(ISNUMBER($G69),$G69&lt;=IF($S69=MesCiclo,InicioCiclo,$S69+MOD(2-WEEKDAY($S69),7))+6),1,IF(N($W69)&gt;0,AVERAGEIFS($Y$5:$Y$1000,$U$5:$U$1000,ROW(),$V$5:$V$1000,"Sub"),$Y69)))</f>
        <v/>
      </c>
      <c r="AD69" s="62">
        <f>IF($V69="","",IF(AND(ISNUMBER($G69),$G69&lt;=IF($S69=MesCiclo,InicioCiclo,$S69+MOD(2-WEEKDAY($S69),7))+13),1,IF(N($W69)&gt;0,AVERAGEIFS($Z$5:$Z$1000,$U$5:$U$1000,ROW(),$V$5:$V$1000,"Sub"),$Z69)))</f>
        <v/>
      </c>
      <c r="AE69" s="62">
        <f>IF($V69="","",IF(AND(ISNUMBER($G69),$G69&lt;=IF($S69=MesCiclo,InicioCiclo,$S69+MOD(2-WEEKDAY($S69),7))+20),1,IF(N($W69)&gt;0,AVERAGEIFS($AA$5:$AA$1000,$U$5:$U$1000,ROW(),$V$5:$V$1000,"Sub"),$AA69)))</f>
        <v/>
      </c>
      <c r="AF69" s="62">
        <f>IF($V69="","",IF(AND(ISNUMBER($G69),$G69&lt;=IF($S69=MesCiclo,InicioCiclo,$S69+MOD(2-WEEKDAY($S69),7))+27),1,IF(N($W69)&gt;0,AVERAGEIFS($AB$5:$AB$1000,$U$5:$U$1000,ROW(),$V$5:$V$1000,"Sub"),$AB69)))</f>
        <v/>
      </c>
      <c r="AG69" s="62">
        <f>IF($V69&lt;&gt;"Macro","",IF(COUNTIFS($S$5:$S$1000,$S69,$V$5:$V$1000,"Macro",$H$5:$H$1000,"&gt;0")=0,1/COUNTIFS($S$5:$S$1000,$S69,$V$5:$V$1000,"Macro"),IF(AND(ISNUMBER($H69),N($H69)&gt;0),$H69,SUMIFS($H$5:$H$1000,$S$5:$S$1000,$S69,$V$5:$V$1000,"Macro")/COUNTIFS($S$5:$S$1000,$S69,$V$5:$V$1000,"Macro",$H$5:$H$1000,"&gt;0"))/(COUNTIFS($S$5:$S$1000,$S69,$V$5:$V$1000,"Macro")*SUMIFS($H$5:$H$1000,$S$5:$S$1000,$S69,$V$5:$V$1000,"Macro")/COUNTIFS($S$5:$S$1000,$S69,$V$5:$V$1000,"Macro",$H$5:$H$1000,"&gt;0"))))</f>
        <v/>
      </c>
      <c r="AH69" s="62">
        <f>IF(NOT(AND($D69&lt;&gt;"",$V69="Macro")),"",IFERROR(CHOOSE(MATCH($D69,ListaPuestos,0),MATCH("[Jefatura] "&amp;$C69,'Cronograma R. Operacional'!$C$5:$C$1000,0),MATCH("[Jefatura] "&amp;$C69,'Cronograma R. Normativo'!$C$5:$C$1000,0),MATCH("[Jefatura] "&amp;$C69,'Cronograma R. Financiero'!$C$5:$C$1000,0),MATCH("[Jefatura] "&amp;$C69,'Cronograma Asistente Técnico'!$C$5:$C$1000,0)),0))</f>
        <v/>
      </c>
      <c r="AI69" s="62">
        <f>IF(AND(AND($D69&lt;&gt;"",$V69="Macro"),$S69=MesCiclo),COUNTIFS($D$5:$D69,$D69,$S$5:$S69,MesCiclo,$V$5:$V69,"Macro"),"")</f>
        <v/>
      </c>
      <c r="AJ69" s="62">
        <f>IF($AI69="","",$D69&amp;"|"&amp;$AI69)</f>
        <v/>
      </c>
      <c r="AK69" s="62">
        <f>IF(AND($D69&lt;&gt;"",$V69="Macro"),$D69&amp;"|"&amp;$C69,"")</f>
        <v/>
      </c>
      <c r="AL69" s="62">
        <f>""</f>
        <v/>
      </c>
      <c r="AM69" s="62">
        <f>IF(N($AL69)&gt;0,INDEX(rIni_ADM,$AL69),IF(ISNUMBER($E69),$E69,""))</f>
        <v/>
      </c>
      <c r="AN69" s="62">
        <f>IF(N($AL69)&gt;0,INDEX(rLim_ADM,$AL69),IF(ISNUMBER($F69),$F69,""))</f>
        <v/>
      </c>
    </row>
    <row r="70">
      <c r="A70" s="56">
        <f>IF(NOT((COUNTA($B70:$D70)+COUNTA($G70:$L70)+COUNTA($Q70))&gt;0),"",IF($V70="Macro",COUNTIFS($V$5:$V70,"Macro",$S$5:$S70,$S70),IF(N($U70)=0,"?",COUNTIFS(INDEX($V$5:$V$1000,1):INDEX($V$5:$V$1000,$U70-4),"Macro",INDEX($S$5:$S$1000,1):INDEX($S$5:$S$1000,$U70-4),INDEX($S$5:$S$1000,$U70-4))&amp;"."&amp;COUNTIFS($U$5:$U70,$U70,$V$5:$V70,"Sub"))))</f>
        <v/>
      </c>
      <c r="B70" s="57" t="n"/>
      <c r="C70" s="58" t="n"/>
      <c r="D70" s="58" t="n"/>
      <c r="E70" s="59" t="n"/>
      <c r="F70" s="59" t="n"/>
      <c r="G70" s="59" t="n"/>
      <c r="H70" s="60" t="n"/>
      <c r="I70" s="60" t="n"/>
      <c r="J70" s="60" t="n"/>
      <c r="K70" s="60" t="n"/>
      <c r="L70" s="60" t="n"/>
      <c r="M70" s="61">
        <f>IF(NOT((COUNTA($B70:$D70)+COUNTA($G70:$L70)+COUNTA($Q70))&gt;0),"",IF(AND($D70&lt;&gt;"",$V70="Macro"),IF(N($AH70)&gt;0,N(CHOOSE(MATCH($D70,ListaPuestos,0),INDEX('Cronograma R. Operacional'!$M$5:$M$1000,$AH70),INDEX('Cronograma R. Normativo'!$M$5:$M$1000,$AH70),INDEX('Cronograma R. Financiero'!$M$5:$M$1000,$AH70),INDEX('Cronograma Asistente Técnico'!$M$5:$M$1000,$AH70))),0),IF(ISNUMBER($G70),1,IF(N($W70)&gt;0,AVERAGEIFS($X$5:$X$1000,$U$5:$U$1000,ROW(),$V$5:$V$1000,"Sub"),$X70))))</f>
        <v/>
      </c>
      <c r="N70" s="56">
        <f>IF($M70="","",IF($M70&gt;=1,"Completado",IF($M70&gt;0,"En curso","Pendiente")))</f>
        <v/>
      </c>
      <c r="O70" s="56">
        <f>IF(NOT((COUNTA($B70:$D70)+COUNTA($G70:$L70)+COUNTA($Q70))&gt;0),"",IF(AND(AND($D70&lt;&gt;"",$V70="Macro"),N($AH70)&gt;0),CHOOSE(MATCH($D70,ListaPuestos,0),INDEX('Cronograma R. Operacional'!$O$5:$O$1000,$AH70),INDEX('Cronograma R. Normativo'!$O$5:$O$1000,$AH70),INDEX('Cronograma R. Financiero'!$O$5:$O$1000,$AH70),INDEX('Cronograma Asistente Técnico'!$O$5:$O$1000,$AH70))&amp;"",IF(ISNUMBER($G70),IF(AND(ISNUMBER($AN70),$G70&gt;$AN70),"Cumplida con "&amp;($G70-$AN70)&amp;IF($G70-$AN70=1," día"," días")&amp;" de retraso","Cumplida"),IF(N($M70)&gt;=1,"Cumplida",IF(NOT(ISNUMBER($AN70)),"Sin fecha límite",IF($AN70&lt;FechaRef,"Vencida hace "&amp;(FechaRef-$AN70)&amp;IF(FechaRef-$AN70=1," día"," días"),IF($AN70=FechaRef,"Vence hoy",IF($AN70-FechaRef&lt;=DiasAlerta,"Vence en "&amp;($AN70-FechaRef)&amp;IF($AN70-FechaRef=1," día"," días"),"En plazo"))))))))</f>
        <v/>
      </c>
      <c r="P70" s="62">
        <f>IF(NOT((COUNTA($B70:$D70)+COUNTA($G70:$L70)+COUNTA($Q70))&gt;0),"",IF($D70="","Propia",IF($V70&lt;&gt;"Macro","Solo se delegan macroactividades",IF(N($AH70)&gt;0,"✔ Recibida por "&amp;$D70,"⚠ "&amp;$D70&amp;" aún no la agrega"))))</f>
        <v/>
      </c>
      <c r="Q70" s="58" t="n"/>
      <c r="R70" s="63">
        <f>IF(NOT((COUNTA($B70:$D70)+COUNTA($G70:$L70)+COUNTA($Q70))&gt;0),"",IF((IF($C70="","Falta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",""))="","✔ OK","⚠ "&amp;LEFT(IF($C70="","Falta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",""),LEN(IF($C70="","Falta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",""))-3)))</f>
        <v/>
      </c>
      <c r="S70" s="64">
        <f>IF(NOT((COUNTA($B70:$D70)+COUNTA($G70:$L70)+COUNTA($Q70))&gt;0),"",IF(AND($V70="Sub",N($U70)&gt;0),IF(ISNUMBER(INDEX($AM$5:$AM$1000,$U70-4)),DATE(YEAR(INDEX($AM$5:$AM$1000,$U70-4)),MONTH(INDEX($AM$5:$AM$1000,$U70-4)),1),IF(ISNUMBER(INDEX($AN$5:$AN$1000,$U70-4)),DATE(YEAR(INDEX($AN$5:$AN$1000,$U70-4)),MONTH(INDEX($AN$5:$AN$1000,$U70-4)),1),MesCiclo)),IF(ISNUMBER($AM70),DATE(YEAR($AM70),MONTH($AM70),1),IF(ISNUMBER($AN70),DATE(YEAR($AN70),MONTH($AN70),1),MesCiclo))))</f>
        <v/>
      </c>
      <c r="T70" s="62">
        <f>IF(OR($S70="",$S70&lt;&gt;MesCiclo),"",COUNTIF($S$5:$S70,MesCiclo))</f>
        <v/>
      </c>
      <c r="U70" s="62">
        <f>IF($V70="","",IF($V70="Macro",ROW(),IFERROR(LOOKUP(2,1/($V$5:$V70="Macro"),ROW($V$5:$V70)),0)))</f>
        <v/>
      </c>
      <c r="V70" s="62">
        <f>IF(NOT((COUNTA($B70:$D70)+COUNTA($G70:$L70)+COUNTA($Q70))&gt;0),"",IF($B70="Subactividad","Sub","Macro"))</f>
        <v/>
      </c>
      <c r="W70" s="62">
        <f>IF($V70="Macro",COUNTIFS($U$5:$U$1000,ROW(),$V$5:$V$1000,"Sub"),"")</f>
        <v/>
      </c>
      <c r="X70" s="62">
        <f>IF($V70="","",IF(ISNUMBER($G70),1,IFERROR(LOOKUP(2,1/($I70:$L70&lt;&gt;""),$I70:$L70),0)))</f>
        <v/>
      </c>
      <c r="Y70" s="62">
        <f>IF($V70="","",IF(AND(ISNUMBER($G70),$G70&lt;=IF($S70=MesCiclo,InicioCiclo,$S70+MOD(2-WEEKDAY($S70),7))+6),1,IF(ISNUMBER($I70),$I70,0)))</f>
        <v/>
      </c>
      <c r="Z70" s="62">
        <f>IF($V70="","",IF(AND(ISNUMBER($G70),$G70&lt;=IF($S70=MesCiclo,InicioCiclo,$S70+MOD(2-WEEKDAY($S70),7))+13),1,IF(ISNUMBER($J70),$J70,$Y70)))</f>
        <v/>
      </c>
      <c r="AA70" s="62">
        <f>IF($V70="","",IF(AND(ISNUMBER($G70),$G70&lt;=IF($S70=MesCiclo,InicioCiclo,$S70+MOD(2-WEEKDAY($S70),7))+20),1,IF(ISNUMBER($K70),$K70,$Z70)))</f>
        <v/>
      </c>
      <c r="AB70" s="62">
        <f>IF($V70="","",IF(AND(ISNUMBER($G70),$G70&lt;=IF($S70=MesCiclo,InicioCiclo,$S70+MOD(2-WEEKDAY($S70),7))+27),1,IF(ISNUMBER($L70),$L70,$AA70)))</f>
        <v/>
      </c>
      <c r="AC70" s="62">
        <f>IF($V70="","",IF(AND(ISNUMBER($G70),$G70&lt;=IF($S70=MesCiclo,InicioCiclo,$S70+MOD(2-WEEKDAY($S70),7))+6),1,IF(N($W70)&gt;0,AVERAGEIFS($Y$5:$Y$1000,$U$5:$U$1000,ROW(),$V$5:$V$1000,"Sub"),$Y70)))</f>
        <v/>
      </c>
      <c r="AD70" s="62">
        <f>IF($V70="","",IF(AND(ISNUMBER($G70),$G70&lt;=IF($S70=MesCiclo,InicioCiclo,$S70+MOD(2-WEEKDAY($S70),7))+13),1,IF(N($W70)&gt;0,AVERAGEIFS($Z$5:$Z$1000,$U$5:$U$1000,ROW(),$V$5:$V$1000,"Sub"),$Z70)))</f>
        <v/>
      </c>
      <c r="AE70" s="62">
        <f>IF($V70="","",IF(AND(ISNUMBER($G70),$G70&lt;=IF($S70=MesCiclo,InicioCiclo,$S70+MOD(2-WEEKDAY($S70),7))+20),1,IF(N($W70)&gt;0,AVERAGEIFS($AA$5:$AA$1000,$U$5:$U$1000,ROW(),$V$5:$V$1000,"Sub"),$AA70)))</f>
        <v/>
      </c>
      <c r="AF70" s="62">
        <f>IF($V70="","",IF(AND(ISNUMBER($G70),$G70&lt;=IF($S70=MesCiclo,InicioCiclo,$S70+MOD(2-WEEKDAY($S70),7))+27),1,IF(N($W70)&gt;0,AVERAGEIFS($AB$5:$AB$1000,$U$5:$U$1000,ROW(),$V$5:$V$1000,"Sub"),$AB70)))</f>
        <v/>
      </c>
      <c r="AG70" s="62">
        <f>IF($V70&lt;&gt;"Macro","",IF(COUNTIFS($S$5:$S$1000,$S70,$V$5:$V$1000,"Macro",$H$5:$H$1000,"&gt;0")=0,1/COUNTIFS($S$5:$S$1000,$S70,$V$5:$V$1000,"Macro"),IF(AND(ISNUMBER($H70),N($H70)&gt;0),$H70,SUMIFS($H$5:$H$1000,$S$5:$S$1000,$S70,$V$5:$V$1000,"Macro")/COUNTIFS($S$5:$S$1000,$S70,$V$5:$V$1000,"Macro",$H$5:$H$1000,"&gt;0"))/(COUNTIFS($S$5:$S$1000,$S70,$V$5:$V$1000,"Macro")*SUMIFS($H$5:$H$1000,$S$5:$S$1000,$S70,$V$5:$V$1000,"Macro")/COUNTIFS($S$5:$S$1000,$S70,$V$5:$V$1000,"Macro",$H$5:$H$1000,"&gt;0"))))</f>
        <v/>
      </c>
      <c r="AH70" s="62">
        <f>IF(NOT(AND($D70&lt;&gt;"",$V70="Macro")),"",IFERROR(CHOOSE(MATCH($D70,ListaPuestos,0),MATCH("[Jefatura] "&amp;$C70,'Cronograma R. Operacional'!$C$5:$C$1000,0),MATCH("[Jefatura] "&amp;$C70,'Cronograma R. Normativo'!$C$5:$C$1000,0),MATCH("[Jefatura] "&amp;$C70,'Cronograma R. Financiero'!$C$5:$C$1000,0),MATCH("[Jefatura] "&amp;$C70,'Cronograma Asistente Técnico'!$C$5:$C$1000,0)),0))</f>
        <v/>
      </c>
      <c r="AI70" s="62">
        <f>IF(AND(AND($D70&lt;&gt;"",$V70="Macro"),$S70=MesCiclo),COUNTIFS($D$5:$D70,$D70,$S$5:$S70,MesCiclo,$V$5:$V70,"Macro"),"")</f>
        <v/>
      </c>
      <c r="AJ70" s="62">
        <f>IF($AI70="","",$D70&amp;"|"&amp;$AI70)</f>
        <v/>
      </c>
      <c r="AK70" s="62">
        <f>IF(AND($D70&lt;&gt;"",$V70="Macro"),$D70&amp;"|"&amp;$C70,"")</f>
        <v/>
      </c>
      <c r="AL70" s="62">
        <f>""</f>
        <v/>
      </c>
      <c r="AM70" s="62">
        <f>IF(N($AL70)&gt;0,INDEX(rIni_ADM,$AL70),IF(ISNUMBER($E70),$E70,""))</f>
        <v/>
      </c>
      <c r="AN70" s="62">
        <f>IF(N($AL70)&gt;0,INDEX(rLim_ADM,$AL70),IF(ISNUMBER($F70),$F70,""))</f>
        <v/>
      </c>
    </row>
    <row r="71">
      <c r="A71" s="56">
        <f>IF(NOT((COUNTA($B71:$D71)+COUNTA($G71:$L71)+COUNTA($Q71))&gt;0),"",IF($V71="Macro",COUNTIFS($V$5:$V71,"Macro",$S$5:$S71,$S71),IF(N($U71)=0,"?",COUNTIFS(INDEX($V$5:$V$1000,1):INDEX($V$5:$V$1000,$U71-4),"Macro",INDEX($S$5:$S$1000,1):INDEX($S$5:$S$1000,$U71-4),INDEX($S$5:$S$1000,$U71-4))&amp;"."&amp;COUNTIFS($U$5:$U71,$U71,$V$5:$V71,"Sub"))))</f>
        <v/>
      </c>
      <c r="B71" s="57" t="n"/>
      <c r="C71" s="58" t="n"/>
      <c r="D71" s="58" t="n"/>
      <c r="E71" s="59" t="n"/>
      <c r="F71" s="59" t="n"/>
      <c r="G71" s="59" t="n"/>
      <c r="H71" s="60" t="n"/>
      <c r="I71" s="60" t="n"/>
      <c r="J71" s="60" t="n"/>
      <c r="K71" s="60" t="n"/>
      <c r="L71" s="60" t="n"/>
      <c r="M71" s="61">
        <f>IF(NOT((COUNTA($B71:$D71)+COUNTA($G71:$L71)+COUNTA($Q71))&gt;0),"",IF(AND($D71&lt;&gt;"",$V71="Macro"),IF(N($AH71)&gt;0,N(CHOOSE(MATCH($D71,ListaPuestos,0),INDEX('Cronograma R. Operacional'!$M$5:$M$1000,$AH71),INDEX('Cronograma R. Normativo'!$M$5:$M$1000,$AH71),INDEX('Cronograma R. Financiero'!$M$5:$M$1000,$AH71),INDEX('Cronograma Asistente Técnico'!$M$5:$M$1000,$AH71))),0),IF(ISNUMBER($G71),1,IF(N($W71)&gt;0,AVERAGEIFS($X$5:$X$1000,$U$5:$U$1000,ROW(),$V$5:$V$1000,"Sub"),$X71))))</f>
        <v/>
      </c>
      <c r="N71" s="56">
        <f>IF($M71="","",IF($M71&gt;=1,"Completado",IF($M71&gt;0,"En curso","Pendiente")))</f>
        <v/>
      </c>
      <c r="O71" s="56">
        <f>IF(NOT((COUNTA($B71:$D71)+COUNTA($G71:$L71)+COUNTA($Q71))&gt;0),"",IF(AND(AND($D71&lt;&gt;"",$V71="Macro"),N($AH71)&gt;0),CHOOSE(MATCH($D71,ListaPuestos,0),INDEX('Cronograma R. Operacional'!$O$5:$O$1000,$AH71),INDEX('Cronograma R. Normativo'!$O$5:$O$1000,$AH71),INDEX('Cronograma R. Financiero'!$O$5:$O$1000,$AH71),INDEX('Cronograma Asistente Técnico'!$O$5:$O$1000,$AH71))&amp;"",IF(ISNUMBER($G71),IF(AND(ISNUMBER($AN71),$G71&gt;$AN71),"Cumplida con "&amp;($G71-$AN71)&amp;IF($G71-$AN71=1," día"," días")&amp;" de retraso","Cumplida"),IF(N($M71)&gt;=1,"Cumplida",IF(NOT(ISNUMBER($AN71)),"Sin fecha límite",IF($AN71&lt;FechaRef,"Vencida hace "&amp;(FechaRef-$AN71)&amp;IF(FechaRef-$AN71=1," día"," días"),IF($AN71=FechaRef,"Vence hoy",IF($AN71-FechaRef&lt;=DiasAlerta,"Vence en "&amp;($AN71-FechaRef)&amp;IF($AN71-FechaRef=1," día"," días"),"En plazo"))))))))</f>
        <v/>
      </c>
      <c r="P71" s="62">
        <f>IF(NOT((COUNTA($B71:$D71)+COUNTA($G71:$L71)+COUNTA($Q71))&gt;0),"",IF($D71="","Propia",IF($V71&lt;&gt;"Macro","Solo se delegan macroactividades",IF(N($AH71)&gt;0,"✔ Recibida por "&amp;$D71,"⚠ "&amp;$D71&amp;" aún no la agrega"))))</f>
        <v/>
      </c>
      <c r="Q71" s="58" t="n"/>
      <c r="R71" s="63">
        <f>IF(NOT((COUNTA($B71:$D71)+COUNTA($G71:$L71)+COUNTA($Q71))&gt;0),"",IF((IF($C71="","Falta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",""))="","✔ OK","⚠ "&amp;LEFT(IF($C71="","Falta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",""),LEN(IF($C71="","Falta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",""))-3)))</f>
        <v/>
      </c>
      <c r="S71" s="64">
        <f>IF(NOT((COUNTA($B71:$D71)+COUNTA($G71:$L71)+COUNTA($Q71))&gt;0),"",IF(AND($V71="Sub",N($U71)&gt;0),IF(ISNUMBER(INDEX($AM$5:$AM$1000,$U71-4)),DATE(YEAR(INDEX($AM$5:$AM$1000,$U71-4)),MONTH(INDEX($AM$5:$AM$1000,$U71-4)),1),IF(ISNUMBER(INDEX($AN$5:$AN$1000,$U71-4)),DATE(YEAR(INDEX($AN$5:$AN$1000,$U71-4)),MONTH(INDEX($AN$5:$AN$1000,$U71-4)),1),MesCiclo)),IF(ISNUMBER($AM71),DATE(YEAR($AM71),MONTH($AM71),1),IF(ISNUMBER($AN71),DATE(YEAR($AN71),MONTH($AN71),1),MesCiclo))))</f>
        <v/>
      </c>
      <c r="T71" s="62">
        <f>IF(OR($S71="",$S71&lt;&gt;MesCiclo),"",COUNTIF($S$5:$S71,MesCiclo))</f>
        <v/>
      </c>
      <c r="U71" s="62">
        <f>IF($V71="","",IF($V71="Macro",ROW(),IFERROR(LOOKUP(2,1/($V$5:$V71="Macro"),ROW($V$5:$V71)),0)))</f>
        <v/>
      </c>
      <c r="V71" s="62">
        <f>IF(NOT((COUNTA($B71:$D71)+COUNTA($G71:$L71)+COUNTA($Q71))&gt;0),"",IF($B71="Subactividad","Sub","Macro"))</f>
        <v/>
      </c>
      <c r="W71" s="62">
        <f>IF($V71="Macro",COUNTIFS($U$5:$U$1000,ROW(),$V$5:$V$1000,"Sub"),"")</f>
        <v/>
      </c>
      <c r="X71" s="62">
        <f>IF($V71="","",IF(ISNUMBER($G71),1,IFERROR(LOOKUP(2,1/($I71:$L71&lt;&gt;""),$I71:$L71),0)))</f>
        <v/>
      </c>
      <c r="Y71" s="62">
        <f>IF($V71="","",IF(AND(ISNUMBER($G71),$G71&lt;=IF($S71=MesCiclo,InicioCiclo,$S71+MOD(2-WEEKDAY($S71),7))+6),1,IF(ISNUMBER($I71),$I71,0)))</f>
        <v/>
      </c>
      <c r="Z71" s="62">
        <f>IF($V71="","",IF(AND(ISNUMBER($G71),$G71&lt;=IF($S71=MesCiclo,InicioCiclo,$S71+MOD(2-WEEKDAY($S71),7))+13),1,IF(ISNUMBER($J71),$J71,$Y71)))</f>
        <v/>
      </c>
      <c r="AA71" s="62">
        <f>IF($V71="","",IF(AND(ISNUMBER($G71),$G71&lt;=IF($S71=MesCiclo,InicioCiclo,$S71+MOD(2-WEEKDAY($S71),7))+20),1,IF(ISNUMBER($K71),$K71,$Z71)))</f>
        <v/>
      </c>
      <c r="AB71" s="62">
        <f>IF($V71="","",IF(AND(ISNUMBER($G71),$G71&lt;=IF($S71=MesCiclo,InicioCiclo,$S71+MOD(2-WEEKDAY($S71),7))+27),1,IF(ISNUMBER($L71),$L71,$AA71)))</f>
        <v/>
      </c>
      <c r="AC71" s="62">
        <f>IF($V71="","",IF(AND(ISNUMBER($G71),$G71&lt;=IF($S71=MesCiclo,InicioCiclo,$S71+MOD(2-WEEKDAY($S71),7))+6),1,IF(N($W71)&gt;0,AVERAGEIFS($Y$5:$Y$1000,$U$5:$U$1000,ROW(),$V$5:$V$1000,"Sub"),$Y71)))</f>
        <v/>
      </c>
      <c r="AD71" s="62">
        <f>IF($V71="","",IF(AND(ISNUMBER($G71),$G71&lt;=IF($S71=MesCiclo,InicioCiclo,$S71+MOD(2-WEEKDAY($S71),7))+13),1,IF(N($W71)&gt;0,AVERAGEIFS($Z$5:$Z$1000,$U$5:$U$1000,ROW(),$V$5:$V$1000,"Sub"),$Z71)))</f>
        <v/>
      </c>
      <c r="AE71" s="62">
        <f>IF($V71="","",IF(AND(ISNUMBER($G71),$G71&lt;=IF($S71=MesCiclo,InicioCiclo,$S71+MOD(2-WEEKDAY($S71),7))+20),1,IF(N($W71)&gt;0,AVERAGEIFS($AA$5:$AA$1000,$U$5:$U$1000,ROW(),$V$5:$V$1000,"Sub"),$AA71)))</f>
        <v/>
      </c>
      <c r="AF71" s="62">
        <f>IF($V71="","",IF(AND(ISNUMBER($G71),$G71&lt;=IF($S71=MesCiclo,InicioCiclo,$S71+MOD(2-WEEKDAY($S71),7))+27),1,IF(N($W71)&gt;0,AVERAGEIFS($AB$5:$AB$1000,$U$5:$U$1000,ROW(),$V$5:$V$1000,"Sub"),$AB71)))</f>
        <v/>
      </c>
      <c r="AG71" s="62">
        <f>IF($V71&lt;&gt;"Macro","",IF(COUNTIFS($S$5:$S$1000,$S71,$V$5:$V$1000,"Macro",$H$5:$H$1000,"&gt;0")=0,1/COUNTIFS($S$5:$S$1000,$S71,$V$5:$V$1000,"Macro"),IF(AND(ISNUMBER($H71),N($H71)&gt;0),$H71,SUMIFS($H$5:$H$1000,$S$5:$S$1000,$S71,$V$5:$V$1000,"Macro")/COUNTIFS($S$5:$S$1000,$S71,$V$5:$V$1000,"Macro",$H$5:$H$1000,"&gt;0"))/(COUNTIFS($S$5:$S$1000,$S71,$V$5:$V$1000,"Macro")*SUMIFS($H$5:$H$1000,$S$5:$S$1000,$S71,$V$5:$V$1000,"Macro")/COUNTIFS($S$5:$S$1000,$S71,$V$5:$V$1000,"Macro",$H$5:$H$1000,"&gt;0"))))</f>
        <v/>
      </c>
      <c r="AH71" s="62">
        <f>IF(NOT(AND($D71&lt;&gt;"",$V71="Macro")),"",IFERROR(CHOOSE(MATCH($D71,ListaPuestos,0),MATCH("[Jefatura] "&amp;$C71,'Cronograma R. Operacional'!$C$5:$C$1000,0),MATCH("[Jefatura] "&amp;$C71,'Cronograma R. Normativo'!$C$5:$C$1000,0),MATCH("[Jefatura] "&amp;$C71,'Cronograma R. Financiero'!$C$5:$C$1000,0),MATCH("[Jefatura] "&amp;$C71,'Cronograma Asistente Técnico'!$C$5:$C$1000,0)),0))</f>
        <v/>
      </c>
      <c r="AI71" s="62">
        <f>IF(AND(AND($D71&lt;&gt;"",$V71="Macro"),$S71=MesCiclo),COUNTIFS($D$5:$D71,$D71,$S$5:$S71,MesCiclo,$V$5:$V71,"Macro"),"")</f>
        <v/>
      </c>
      <c r="AJ71" s="62">
        <f>IF($AI71="","",$D71&amp;"|"&amp;$AI71)</f>
        <v/>
      </c>
      <c r="AK71" s="62">
        <f>IF(AND($D71&lt;&gt;"",$V71="Macro"),$D71&amp;"|"&amp;$C71,"")</f>
        <v/>
      </c>
      <c r="AL71" s="62">
        <f>""</f>
        <v/>
      </c>
      <c r="AM71" s="62">
        <f>IF(N($AL71)&gt;0,INDEX(rIni_ADM,$AL71),IF(ISNUMBER($E71),$E71,""))</f>
        <v/>
      </c>
      <c r="AN71" s="62">
        <f>IF(N($AL71)&gt;0,INDEX(rLim_ADM,$AL71),IF(ISNUMBER($F71),$F71,""))</f>
        <v/>
      </c>
    </row>
    <row r="72">
      <c r="A72" s="56">
        <f>IF(NOT((COUNTA($B72:$D72)+COUNTA($G72:$L72)+COUNTA($Q72))&gt;0),"",IF($V72="Macro",COUNTIFS($V$5:$V72,"Macro",$S$5:$S72,$S72),IF(N($U72)=0,"?",COUNTIFS(INDEX($V$5:$V$1000,1):INDEX($V$5:$V$1000,$U72-4),"Macro",INDEX($S$5:$S$1000,1):INDEX($S$5:$S$1000,$U72-4),INDEX($S$5:$S$1000,$U72-4))&amp;"."&amp;COUNTIFS($U$5:$U72,$U72,$V$5:$V72,"Sub"))))</f>
        <v/>
      </c>
      <c r="B72" s="57" t="n"/>
      <c r="C72" s="58" t="n"/>
      <c r="D72" s="58" t="n"/>
      <c r="E72" s="59" t="n"/>
      <c r="F72" s="59" t="n"/>
      <c r="G72" s="59" t="n"/>
      <c r="H72" s="60" t="n"/>
      <c r="I72" s="60" t="n"/>
      <c r="J72" s="60" t="n"/>
      <c r="K72" s="60" t="n"/>
      <c r="L72" s="60" t="n"/>
      <c r="M72" s="61">
        <f>IF(NOT((COUNTA($B72:$D72)+COUNTA($G72:$L72)+COUNTA($Q72))&gt;0),"",IF(AND($D72&lt;&gt;"",$V72="Macro"),IF(N($AH72)&gt;0,N(CHOOSE(MATCH($D72,ListaPuestos,0),INDEX('Cronograma R. Operacional'!$M$5:$M$1000,$AH72),INDEX('Cronograma R. Normativo'!$M$5:$M$1000,$AH72),INDEX('Cronograma R. Financiero'!$M$5:$M$1000,$AH72),INDEX('Cronograma Asistente Técnico'!$M$5:$M$1000,$AH72))),0),IF(ISNUMBER($G72),1,IF(N($W72)&gt;0,AVERAGEIFS($X$5:$X$1000,$U$5:$U$1000,ROW(),$V$5:$V$1000,"Sub"),$X72))))</f>
        <v/>
      </c>
      <c r="N72" s="56">
        <f>IF($M72="","",IF($M72&gt;=1,"Completado",IF($M72&gt;0,"En curso","Pendiente")))</f>
        <v/>
      </c>
      <c r="O72" s="56">
        <f>IF(NOT((COUNTA($B72:$D72)+COUNTA($G72:$L72)+COUNTA($Q72))&gt;0),"",IF(AND(AND($D72&lt;&gt;"",$V72="Macro"),N($AH72)&gt;0),CHOOSE(MATCH($D72,ListaPuestos,0),INDEX('Cronograma R. Operacional'!$O$5:$O$1000,$AH72),INDEX('Cronograma R. Normativo'!$O$5:$O$1000,$AH72),INDEX('Cronograma R. Financiero'!$O$5:$O$1000,$AH72),INDEX('Cronograma Asistente Técnico'!$O$5:$O$1000,$AH72))&amp;"",IF(ISNUMBER($G72),IF(AND(ISNUMBER($AN72),$G72&gt;$AN72),"Cumplida con "&amp;($G72-$AN72)&amp;IF($G72-$AN72=1," día"," días")&amp;" de retraso","Cumplida"),IF(N($M72)&gt;=1,"Cumplida",IF(NOT(ISNUMBER($AN72)),"Sin fecha límite",IF($AN72&lt;FechaRef,"Vencida hace "&amp;(FechaRef-$AN72)&amp;IF(FechaRef-$AN72=1," día"," días"),IF($AN72=FechaRef,"Vence hoy",IF($AN72-FechaRef&lt;=DiasAlerta,"Vence en "&amp;($AN72-FechaRef)&amp;IF($AN72-FechaRef=1," día"," días"),"En plazo"))))))))</f>
        <v/>
      </c>
      <c r="P72" s="62">
        <f>IF(NOT((COUNTA($B72:$D72)+COUNTA($G72:$L72)+COUNTA($Q72))&gt;0),"",IF($D72="","Propia",IF($V72&lt;&gt;"Macro","Solo se delegan macroactividades",IF(N($AH72)&gt;0,"✔ Recibida por "&amp;$D72,"⚠ "&amp;$D72&amp;" aún no la agrega"))))</f>
        <v/>
      </c>
      <c r="Q72" s="58" t="n"/>
      <c r="R72" s="63">
        <f>IF(NOT((COUNTA($B72:$D72)+COUNTA($G72:$L72)+COUNTA($Q72))&gt;0),"",IF((IF($C72="","Falta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",""))="","✔ OK","⚠ "&amp;LEFT(IF($C72="","Falta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",""),LEN(IF($C72="","Falta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",""))-3)))</f>
        <v/>
      </c>
      <c r="S72" s="64">
        <f>IF(NOT((COUNTA($B72:$D72)+COUNTA($G72:$L72)+COUNTA($Q72))&gt;0),"",IF(AND($V72="Sub",N($U72)&gt;0),IF(ISNUMBER(INDEX($AM$5:$AM$1000,$U72-4)),DATE(YEAR(INDEX($AM$5:$AM$1000,$U72-4)),MONTH(INDEX($AM$5:$AM$1000,$U72-4)),1),IF(ISNUMBER(INDEX($AN$5:$AN$1000,$U72-4)),DATE(YEAR(INDEX($AN$5:$AN$1000,$U72-4)),MONTH(INDEX($AN$5:$AN$1000,$U72-4)),1),MesCiclo)),IF(ISNUMBER($AM72),DATE(YEAR($AM72),MONTH($AM72),1),IF(ISNUMBER($AN72),DATE(YEAR($AN72),MONTH($AN72),1),MesCiclo))))</f>
        <v/>
      </c>
      <c r="T72" s="62">
        <f>IF(OR($S72="",$S72&lt;&gt;MesCiclo),"",COUNTIF($S$5:$S72,MesCiclo))</f>
        <v/>
      </c>
      <c r="U72" s="62">
        <f>IF($V72="","",IF($V72="Macro",ROW(),IFERROR(LOOKUP(2,1/($V$5:$V72="Macro"),ROW($V$5:$V72)),0)))</f>
        <v/>
      </c>
      <c r="V72" s="62">
        <f>IF(NOT((COUNTA($B72:$D72)+COUNTA($G72:$L72)+COUNTA($Q72))&gt;0),"",IF($B72="Subactividad","Sub","Macro"))</f>
        <v/>
      </c>
      <c r="W72" s="62">
        <f>IF($V72="Macro",COUNTIFS($U$5:$U$1000,ROW(),$V$5:$V$1000,"Sub"),"")</f>
        <v/>
      </c>
      <c r="X72" s="62">
        <f>IF($V72="","",IF(ISNUMBER($G72),1,IFERROR(LOOKUP(2,1/($I72:$L72&lt;&gt;""),$I72:$L72),0)))</f>
        <v/>
      </c>
      <c r="Y72" s="62">
        <f>IF($V72="","",IF(AND(ISNUMBER($G72),$G72&lt;=IF($S72=MesCiclo,InicioCiclo,$S72+MOD(2-WEEKDAY($S72),7))+6),1,IF(ISNUMBER($I72),$I72,0)))</f>
        <v/>
      </c>
      <c r="Z72" s="62">
        <f>IF($V72="","",IF(AND(ISNUMBER($G72),$G72&lt;=IF($S72=MesCiclo,InicioCiclo,$S72+MOD(2-WEEKDAY($S72),7))+13),1,IF(ISNUMBER($J72),$J72,$Y72)))</f>
        <v/>
      </c>
      <c r="AA72" s="62">
        <f>IF($V72="","",IF(AND(ISNUMBER($G72),$G72&lt;=IF($S72=MesCiclo,InicioCiclo,$S72+MOD(2-WEEKDAY($S72),7))+20),1,IF(ISNUMBER($K72),$K72,$Z72)))</f>
        <v/>
      </c>
      <c r="AB72" s="62">
        <f>IF($V72="","",IF(AND(ISNUMBER($G72),$G72&lt;=IF($S72=MesCiclo,InicioCiclo,$S72+MOD(2-WEEKDAY($S72),7))+27),1,IF(ISNUMBER($L72),$L72,$AA72)))</f>
        <v/>
      </c>
      <c r="AC72" s="62">
        <f>IF($V72="","",IF(AND(ISNUMBER($G72),$G72&lt;=IF($S72=MesCiclo,InicioCiclo,$S72+MOD(2-WEEKDAY($S72),7))+6),1,IF(N($W72)&gt;0,AVERAGEIFS($Y$5:$Y$1000,$U$5:$U$1000,ROW(),$V$5:$V$1000,"Sub"),$Y72)))</f>
        <v/>
      </c>
      <c r="AD72" s="62">
        <f>IF($V72="","",IF(AND(ISNUMBER($G72),$G72&lt;=IF($S72=MesCiclo,InicioCiclo,$S72+MOD(2-WEEKDAY($S72),7))+13),1,IF(N($W72)&gt;0,AVERAGEIFS($Z$5:$Z$1000,$U$5:$U$1000,ROW(),$V$5:$V$1000,"Sub"),$Z72)))</f>
        <v/>
      </c>
      <c r="AE72" s="62">
        <f>IF($V72="","",IF(AND(ISNUMBER($G72),$G72&lt;=IF($S72=MesCiclo,InicioCiclo,$S72+MOD(2-WEEKDAY($S72),7))+20),1,IF(N($W72)&gt;0,AVERAGEIFS($AA$5:$AA$1000,$U$5:$U$1000,ROW(),$V$5:$V$1000,"Sub"),$AA72)))</f>
        <v/>
      </c>
      <c r="AF72" s="62">
        <f>IF($V72="","",IF(AND(ISNUMBER($G72),$G72&lt;=IF($S72=MesCiclo,InicioCiclo,$S72+MOD(2-WEEKDAY($S72),7))+27),1,IF(N($W72)&gt;0,AVERAGEIFS($AB$5:$AB$1000,$U$5:$U$1000,ROW(),$V$5:$V$1000,"Sub"),$AB72)))</f>
        <v/>
      </c>
      <c r="AG72" s="62">
        <f>IF($V72&lt;&gt;"Macro","",IF(COUNTIFS($S$5:$S$1000,$S72,$V$5:$V$1000,"Macro",$H$5:$H$1000,"&gt;0")=0,1/COUNTIFS($S$5:$S$1000,$S72,$V$5:$V$1000,"Macro"),IF(AND(ISNUMBER($H72),N($H72)&gt;0),$H72,SUMIFS($H$5:$H$1000,$S$5:$S$1000,$S72,$V$5:$V$1000,"Macro")/COUNTIFS($S$5:$S$1000,$S72,$V$5:$V$1000,"Macro",$H$5:$H$1000,"&gt;0"))/(COUNTIFS($S$5:$S$1000,$S72,$V$5:$V$1000,"Macro")*SUMIFS($H$5:$H$1000,$S$5:$S$1000,$S72,$V$5:$V$1000,"Macro")/COUNTIFS($S$5:$S$1000,$S72,$V$5:$V$1000,"Macro",$H$5:$H$1000,"&gt;0"))))</f>
        <v/>
      </c>
      <c r="AH72" s="62">
        <f>IF(NOT(AND($D72&lt;&gt;"",$V72="Macro")),"",IFERROR(CHOOSE(MATCH($D72,ListaPuestos,0),MATCH("[Jefatura] "&amp;$C72,'Cronograma R. Operacional'!$C$5:$C$1000,0),MATCH("[Jefatura] "&amp;$C72,'Cronograma R. Normativo'!$C$5:$C$1000,0),MATCH("[Jefatura] "&amp;$C72,'Cronograma R. Financiero'!$C$5:$C$1000,0),MATCH("[Jefatura] "&amp;$C72,'Cronograma Asistente Técnico'!$C$5:$C$1000,0)),0))</f>
        <v/>
      </c>
      <c r="AI72" s="62">
        <f>IF(AND(AND($D72&lt;&gt;"",$V72="Macro"),$S72=MesCiclo),COUNTIFS($D$5:$D72,$D72,$S$5:$S72,MesCiclo,$V$5:$V72,"Macro"),"")</f>
        <v/>
      </c>
      <c r="AJ72" s="62">
        <f>IF($AI72="","",$D72&amp;"|"&amp;$AI72)</f>
        <v/>
      </c>
      <c r="AK72" s="62">
        <f>IF(AND($D72&lt;&gt;"",$V72="Macro"),$D72&amp;"|"&amp;$C72,"")</f>
        <v/>
      </c>
      <c r="AL72" s="62">
        <f>""</f>
        <v/>
      </c>
      <c r="AM72" s="62">
        <f>IF(N($AL72)&gt;0,INDEX(rIni_ADM,$AL72),IF(ISNUMBER($E72),$E72,""))</f>
        <v/>
      </c>
      <c r="AN72" s="62">
        <f>IF(N($AL72)&gt;0,INDEX(rLim_ADM,$AL72),IF(ISNUMBER($F72),$F72,""))</f>
        <v/>
      </c>
    </row>
    <row r="73">
      <c r="A73" s="56">
        <f>IF(NOT((COUNTA($B73:$D73)+COUNTA($G73:$L73)+COUNTA($Q73))&gt;0),"",IF($V73="Macro",COUNTIFS($V$5:$V73,"Macro",$S$5:$S73,$S73),IF(N($U73)=0,"?",COUNTIFS(INDEX($V$5:$V$1000,1):INDEX($V$5:$V$1000,$U73-4),"Macro",INDEX($S$5:$S$1000,1):INDEX($S$5:$S$1000,$U73-4),INDEX($S$5:$S$1000,$U73-4))&amp;"."&amp;COUNTIFS($U$5:$U73,$U73,$V$5:$V73,"Sub"))))</f>
        <v/>
      </c>
      <c r="B73" s="57" t="n"/>
      <c r="C73" s="58" t="n"/>
      <c r="D73" s="58" t="n"/>
      <c r="E73" s="59" t="n"/>
      <c r="F73" s="59" t="n"/>
      <c r="G73" s="59" t="n"/>
      <c r="H73" s="60" t="n"/>
      <c r="I73" s="60" t="n"/>
      <c r="J73" s="60" t="n"/>
      <c r="K73" s="60" t="n"/>
      <c r="L73" s="60" t="n"/>
      <c r="M73" s="61">
        <f>IF(NOT((COUNTA($B73:$D73)+COUNTA($G73:$L73)+COUNTA($Q73))&gt;0),"",IF(AND($D73&lt;&gt;"",$V73="Macro"),IF(N($AH73)&gt;0,N(CHOOSE(MATCH($D73,ListaPuestos,0),INDEX('Cronograma R. Operacional'!$M$5:$M$1000,$AH73),INDEX('Cronograma R. Normativo'!$M$5:$M$1000,$AH73),INDEX('Cronograma R. Financiero'!$M$5:$M$1000,$AH73),INDEX('Cronograma Asistente Técnico'!$M$5:$M$1000,$AH73))),0),IF(ISNUMBER($G73),1,IF(N($W73)&gt;0,AVERAGEIFS($X$5:$X$1000,$U$5:$U$1000,ROW(),$V$5:$V$1000,"Sub"),$X73))))</f>
        <v/>
      </c>
      <c r="N73" s="56">
        <f>IF($M73="","",IF($M73&gt;=1,"Completado",IF($M73&gt;0,"En curso","Pendiente")))</f>
        <v/>
      </c>
      <c r="O73" s="56">
        <f>IF(NOT((COUNTA($B73:$D73)+COUNTA($G73:$L73)+COUNTA($Q73))&gt;0),"",IF(AND(AND($D73&lt;&gt;"",$V73="Macro"),N($AH73)&gt;0),CHOOSE(MATCH($D73,ListaPuestos,0),INDEX('Cronograma R. Operacional'!$O$5:$O$1000,$AH73),INDEX('Cronograma R. Normativo'!$O$5:$O$1000,$AH73),INDEX('Cronograma R. Financiero'!$O$5:$O$1000,$AH73),INDEX('Cronograma Asistente Técnico'!$O$5:$O$1000,$AH73))&amp;"",IF(ISNUMBER($G73),IF(AND(ISNUMBER($AN73),$G73&gt;$AN73),"Cumplida con "&amp;($G73-$AN73)&amp;IF($G73-$AN73=1," día"," días")&amp;" de retraso","Cumplida"),IF(N($M73)&gt;=1,"Cumplida",IF(NOT(ISNUMBER($AN73)),"Sin fecha límite",IF($AN73&lt;FechaRef,"Vencida hace "&amp;(FechaRef-$AN73)&amp;IF(FechaRef-$AN73=1," día"," días"),IF($AN73=FechaRef,"Vence hoy",IF($AN73-FechaRef&lt;=DiasAlerta,"Vence en "&amp;($AN73-FechaRef)&amp;IF($AN73-FechaRef=1," día"," días"),"En plazo"))))))))</f>
        <v/>
      </c>
      <c r="P73" s="62">
        <f>IF(NOT((COUNTA($B73:$D73)+COUNTA($G73:$L73)+COUNTA($Q73))&gt;0),"",IF($D73="","Propia",IF($V73&lt;&gt;"Macro","Solo se delegan macroactividades",IF(N($AH73)&gt;0,"✔ Recibida por "&amp;$D73,"⚠ "&amp;$D73&amp;" aún no la agrega"))))</f>
        <v/>
      </c>
      <c r="Q73" s="58" t="n"/>
      <c r="R73" s="63">
        <f>IF(NOT((COUNTA($B73:$D73)+COUNTA($G73:$L73)+COUNTA($Q73))&gt;0),"",IF((IF($C73="","Falta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",""))="","✔ OK","⚠ "&amp;LEFT(IF($C73="","Falta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",""),LEN(IF($C73="","Falta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",""))-3)))</f>
        <v/>
      </c>
      <c r="S73" s="64">
        <f>IF(NOT((COUNTA($B73:$D73)+COUNTA($G73:$L73)+COUNTA($Q73))&gt;0),"",IF(AND($V73="Sub",N($U73)&gt;0),IF(ISNUMBER(INDEX($AM$5:$AM$1000,$U73-4)),DATE(YEAR(INDEX($AM$5:$AM$1000,$U73-4)),MONTH(INDEX($AM$5:$AM$1000,$U73-4)),1),IF(ISNUMBER(INDEX($AN$5:$AN$1000,$U73-4)),DATE(YEAR(INDEX($AN$5:$AN$1000,$U73-4)),MONTH(INDEX($AN$5:$AN$1000,$U73-4)),1),MesCiclo)),IF(ISNUMBER($AM73),DATE(YEAR($AM73),MONTH($AM73),1),IF(ISNUMBER($AN73),DATE(YEAR($AN73),MONTH($AN73),1),MesCiclo))))</f>
        <v/>
      </c>
      <c r="T73" s="62">
        <f>IF(OR($S73="",$S73&lt;&gt;MesCiclo),"",COUNTIF($S$5:$S73,MesCiclo))</f>
        <v/>
      </c>
      <c r="U73" s="62">
        <f>IF($V73="","",IF($V73="Macro",ROW(),IFERROR(LOOKUP(2,1/($V$5:$V73="Macro"),ROW($V$5:$V73)),0)))</f>
        <v/>
      </c>
      <c r="V73" s="62">
        <f>IF(NOT((COUNTA($B73:$D73)+COUNTA($G73:$L73)+COUNTA($Q73))&gt;0),"",IF($B73="Subactividad","Sub","Macro"))</f>
        <v/>
      </c>
      <c r="W73" s="62">
        <f>IF($V73="Macro",COUNTIFS($U$5:$U$1000,ROW(),$V$5:$V$1000,"Sub"),"")</f>
        <v/>
      </c>
      <c r="X73" s="62">
        <f>IF($V73="","",IF(ISNUMBER($G73),1,IFERROR(LOOKUP(2,1/($I73:$L73&lt;&gt;""),$I73:$L73),0)))</f>
        <v/>
      </c>
      <c r="Y73" s="62">
        <f>IF($V73="","",IF(AND(ISNUMBER($G73),$G73&lt;=IF($S73=MesCiclo,InicioCiclo,$S73+MOD(2-WEEKDAY($S73),7))+6),1,IF(ISNUMBER($I73),$I73,0)))</f>
        <v/>
      </c>
      <c r="Z73" s="62">
        <f>IF($V73="","",IF(AND(ISNUMBER($G73),$G73&lt;=IF($S73=MesCiclo,InicioCiclo,$S73+MOD(2-WEEKDAY($S73),7))+13),1,IF(ISNUMBER($J73),$J73,$Y73)))</f>
        <v/>
      </c>
      <c r="AA73" s="62">
        <f>IF($V73="","",IF(AND(ISNUMBER($G73),$G73&lt;=IF($S73=MesCiclo,InicioCiclo,$S73+MOD(2-WEEKDAY($S73),7))+20),1,IF(ISNUMBER($K73),$K73,$Z73)))</f>
        <v/>
      </c>
      <c r="AB73" s="62">
        <f>IF($V73="","",IF(AND(ISNUMBER($G73),$G73&lt;=IF($S73=MesCiclo,InicioCiclo,$S73+MOD(2-WEEKDAY($S73),7))+27),1,IF(ISNUMBER($L73),$L73,$AA73)))</f>
        <v/>
      </c>
      <c r="AC73" s="62">
        <f>IF($V73="","",IF(AND(ISNUMBER($G73),$G73&lt;=IF($S73=MesCiclo,InicioCiclo,$S73+MOD(2-WEEKDAY($S73),7))+6),1,IF(N($W73)&gt;0,AVERAGEIFS($Y$5:$Y$1000,$U$5:$U$1000,ROW(),$V$5:$V$1000,"Sub"),$Y73)))</f>
        <v/>
      </c>
      <c r="AD73" s="62">
        <f>IF($V73="","",IF(AND(ISNUMBER($G73),$G73&lt;=IF($S73=MesCiclo,InicioCiclo,$S73+MOD(2-WEEKDAY($S73),7))+13),1,IF(N($W73)&gt;0,AVERAGEIFS($Z$5:$Z$1000,$U$5:$U$1000,ROW(),$V$5:$V$1000,"Sub"),$Z73)))</f>
        <v/>
      </c>
      <c r="AE73" s="62">
        <f>IF($V73="","",IF(AND(ISNUMBER($G73),$G73&lt;=IF($S73=MesCiclo,InicioCiclo,$S73+MOD(2-WEEKDAY($S73),7))+20),1,IF(N($W73)&gt;0,AVERAGEIFS($AA$5:$AA$1000,$U$5:$U$1000,ROW(),$V$5:$V$1000,"Sub"),$AA73)))</f>
        <v/>
      </c>
      <c r="AF73" s="62">
        <f>IF($V73="","",IF(AND(ISNUMBER($G73),$G73&lt;=IF($S73=MesCiclo,InicioCiclo,$S73+MOD(2-WEEKDAY($S73),7))+27),1,IF(N($W73)&gt;0,AVERAGEIFS($AB$5:$AB$1000,$U$5:$U$1000,ROW(),$V$5:$V$1000,"Sub"),$AB73)))</f>
        <v/>
      </c>
      <c r="AG73" s="62">
        <f>IF($V73&lt;&gt;"Macro","",IF(COUNTIFS($S$5:$S$1000,$S73,$V$5:$V$1000,"Macro",$H$5:$H$1000,"&gt;0")=0,1/COUNTIFS($S$5:$S$1000,$S73,$V$5:$V$1000,"Macro"),IF(AND(ISNUMBER($H73),N($H73)&gt;0),$H73,SUMIFS($H$5:$H$1000,$S$5:$S$1000,$S73,$V$5:$V$1000,"Macro")/COUNTIFS($S$5:$S$1000,$S73,$V$5:$V$1000,"Macro",$H$5:$H$1000,"&gt;0"))/(COUNTIFS($S$5:$S$1000,$S73,$V$5:$V$1000,"Macro")*SUMIFS($H$5:$H$1000,$S$5:$S$1000,$S73,$V$5:$V$1000,"Macro")/COUNTIFS($S$5:$S$1000,$S73,$V$5:$V$1000,"Macro",$H$5:$H$1000,"&gt;0"))))</f>
        <v/>
      </c>
      <c r="AH73" s="62">
        <f>IF(NOT(AND($D73&lt;&gt;"",$V73="Macro")),"",IFERROR(CHOOSE(MATCH($D73,ListaPuestos,0),MATCH("[Jefatura] "&amp;$C73,'Cronograma R. Operacional'!$C$5:$C$1000,0),MATCH("[Jefatura] "&amp;$C73,'Cronograma R. Normativo'!$C$5:$C$1000,0),MATCH("[Jefatura] "&amp;$C73,'Cronograma R. Financiero'!$C$5:$C$1000,0),MATCH("[Jefatura] "&amp;$C73,'Cronograma Asistente Técnico'!$C$5:$C$1000,0)),0))</f>
        <v/>
      </c>
      <c r="AI73" s="62">
        <f>IF(AND(AND($D73&lt;&gt;"",$V73="Macro"),$S73=MesCiclo),COUNTIFS($D$5:$D73,$D73,$S$5:$S73,MesCiclo,$V$5:$V73,"Macro"),"")</f>
        <v/>
      </c>
      <c r="AJ73" s="62">
        <f>IF($AI73="","",$D73&amp;"|"&amp;$AI73)</f>
        <v/>
      </c>
      <c r="AK73" s="62">
        <f>IF(AND($D73&lt;&gt;"",$V73="Macro"),$D73&amp;"|"&amp;$C73,"")</f>
        <v/>
      </c>
      <c r="AL73" s="62">
        <f>""</f>
        <v/>
      </c>
      <c r="AM73" s="62">
        <f>IF(N($AL73)&gt;0,INDEX(rIni_ADM,$AL73),IF(ISNUMBER($E73),$E73,""))</f>
        <v/>
      </c>
      <c r="AN73" s="62">
        <f>IF(N($AL73)&gt;0,INDEX(rLim_ADM,$AL73),IF(ISNUMBER($F73),$F73,""))</f>
        <v/>
      </c>
    </row>
    <row r="74">
      <c r="A74" s="56">
        <f>IF(NOT((COUNTA($B74:$D74)+COUNTA($G74:$L74)+COUNTA($Q74))&gt;0),"",IF($V74="Macro",COUNTIFS($V$5:$V74,"Macro",$S$5:$S74,$S74),IF(N($U74)=0,"?",COUNTIFS(INDEX($V$5:$V$1000,1):INDEX($V$5:$V$1000,$U74-4),"Macro",INDEX($S$5:$S$1000,1):INDEX($S$5:$S$1000,$U74-4),INDEX($S$5:$S$1000,$U74-4))&amp;"."&amp;COUNTIFS($U$5:$U74,$U74,$V$5:$V74,"Sub"))))</f>
        <v/>
      </c>
      <c r="B74" s="57" t="n"/>
      <c r="C74" s="58" t="n"/>
      <c r="D74" s="58" t="n"/>
      <c r="E74" s="59" t="n"/>
      <c r="F74" s="59" t="n"/>
      <c r="G74" s="59" t="n"/>
      <c r="H74" s="60" t="n"/>
      <c r="I74" s="60" t="n"/>
      <c r="J74" s="60" t="n"/>
      <c r="K74" s="60" t="n"/>
      <c r="L74" s="60" t="n"/>
      <c r="M74" s="61">
        <f>IF(NOT((COUNTA($B74:$D74)+COUNTA($G74:$L74)+COUNTA($Q74))&gt;0),"",IF(AND($D74&lt;&gt;"",$V74="Macro"),IF(N($AH74)&gt;0,N(CHOOSE(MATCH($D74,ListaPuestos,0),INDEX('Cronograma R. Operacional'!$M$5:$M$1000,$AH74),INDEX('Cronograma R. Normativo'!$M$5:$M$1000,$AH74),INDEX('Cronograma R. Financiero'!$M$5:$M$1000,$AH74),INDEX('Cronograma Asistente Técnico'!$M$5:$M$1000,$AH74))),0),IF(ISNUMBER($G74),1,IF(N($W74)&gt;0,AVERAGEIFS($X$5:$X$1000,$U$5:$U$1000,ROW(),$V$5:$V$1000,"Sub"),$X74))))</f>
        <v/>
      </c>
      <c r="N74" s="56">
        <f>IF($M74="","",IF($M74&gt;=1,"Completado",IF($M74&gt;0,"En curso","Pendiente")))</f>
        <v/>
      </c>
      <c r="O74" s="56">
        <f>IF(NOT((COUNTA($B74:$D74)+COUNTA($G74:$L74)+COUNTA($Q74))&gt;0),"",IF(AND(AND($D74&lt;&gt;"",$V74="Macro"),N($AH74)&gt;0),CHOOSE(MATCH($D74,ListaPuestos,0),INDEX('Cronograma R. Operacional'!$O$5:$O$1000,$AH74),INDEX('Cronograma R. Normativo'!$O$5:$O$1000,$AH74),INDEX('Cronograma R. Financiero'!$O$5:$O$1000,$AH74),INDEX('Cronograma Asistente Técnico'!$O$5:$O$1000,$AH74))&amp;"",IF(ISNUMBER($G74),IF(AND(ISNUMBER($AN74),$G74&gt;$AN74),"Cumplida con "&amp;($G74-$AN74)&amp;IF($G74-$AN74=1," día"," días")&amp;" de retraso","Cumplida"),IF(N($M74)&gt;=1,"Cumplida",IF(NOT(ISNUMBER($AN74)),"Sin fecha límite",IF($AN74&lt;FechaRef,"Vencida hace "&amp;(FechaRef-$AN74)&amp;IF(FechaRef-$AN74=1," día"," días"),IF($AN74=FechaRef,"Vence hoy",IF($AN74-FechaRef&lt;=DiasAlerta,"Vence en "&amp;($AN74-FechaRef)&amp;IF($AN74-FechaRef=1," día"," días"),"En plazo"))))))))</f>
        <v/>
      </c>
      <c r="P74" s="62">
        <f>IF(NOT((COUNTA($B74:$D74)+COUNTA($G74:$L74)+COUNTA($Q74))&gt;0),"",IF($D74="","Propia",IF($V74&lt;&gt;"Macro","Solo se delegan macroactividades",IF(N($AH74)&gt;0,"✔ Recibida por "&amp;$D74,"⚠ "&amp;$D74&amp;" aún no la agrega"))))</f>
        <v/>
      </c>
      <c r="Q74" s="58" t="n"/>
      <c r="R74" s="63">
        <f>IF(NOT((COUNTA($B74:$D74)+COUNTA($G74:$L74)+COUNTA($Q74))&gt;0),"",IF((IF($C74="","Falta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",""))="","✔ OK","⚠ "&amp;LEFT(IF($C74="","Falta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",""),LEN(IF($C74="","Falta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",""))-3)))</f>
        <v/>
      </c>
      <c r="S74" s="64">
        <f>IF(NOT((COUNTA($B74:$D74)+COUNTA($G74:$L74)+COUNTA($Q74))&gt;0),"",IF(AND($V74="Sub",N($U74)&gt;0),IF(ISNUMBER(INDEX($AM$5:$AM$1000,$U74-4)),DATE(YEAR(INDEX($AM$5:$AM$1000,$U74-4)),MONTH(INDEX($AM$5:$AM$1000,$U74-4)),1),IF(ISNUMBER(INDEX($AN$5:$AN$1000,$U74-4)),DATE(YEAR(INDEX($AN$5:$AN$1000,$U74-4)),MONTH(INDEX($AN$5:$AN$1000,$U74-4)),1),MesCiclo)),IF(ISNUMBER($AM74),DATE(YEAR($AM74),MONTH($AM74),1),IF(ISNUMBER($AN74),DATE(YEAR($AN74),MONTH($AN74),1),MesCiclo))))</f>
        <v/>
      </c>
      <c r="T74" s="62">
        <f>IF(OR($S74="",$S74&lt;&gt;MesCiclo),"",COUNTIF($S$5:$S74,MesCiclo))</f>
        <v/>
      </c>
      <c r="U74" s="62">
        <f>IF($V74="","",IF($V74="Macro",ROW(),IFERROR(LOOKUP(2,1/($V$5:$V74="Macro"),ROW($V$5:$V74)),0)))</f>
        <v/>
      </c>
      <c r="V74" s="62">
        <f>IF(NOT((COUNTA($B74:$D74)+COUNTA($G74:$L74)+COUNTA($Q74))&gt;0),"",IF($B74="Subactividad","Sub","Macro"))</f>
        <v/>
      </c>
      <c r="W74" s="62">
        <f>IF($V74="Macro",COUNTIFS($U$5:$U$1000,ROW(),$V$5:$V$1000,"Sub"),"")</f>
        <v/>
      </c>
      <c r="X74" s="62">
        <f>IF($V74="","",IF(ISNUMBER($G74),1,IFERROR(LOOKUP(2,1/($I74:$L74&lt;&gt;""),$I74:$L74),0)))</f>
        <v/>
      </c>
      <c r="Y74" s="62">
        <f>IF($V74="","",IF(AND(ISNUMBER($G74),$G74&lt;=IF($S74=MesCiclo,InicioCiclo,$S74+MOD(2-WEEKDAY($S74),7))+6),1,IF(ISNUMBER($I74),$I74,0)))</f>
        <v/>
      </c>
      <c r="Z74" s="62">
        <f>IF($V74="","",IF(AND(ISNUMBER($G74),$G74&lt;=IF($S74=MesCiclo,InicioCiclo,$S74+MOD(2-WEEKDAY($S74),7))+13),1,IF(ISNUMBER($J74),$J74,$Y74)))</f>
        <v/>
      </c>
      <c r="AA74" s="62">
        <f>IF($V74="","",IF(AND(ISNUMBER($G74),$G74&lt;=IF($S74=MesCiclo,InicioCiclo,$S74+MOD(2-WEEKDAY($S74),7))+20),1,IF(ISNUMBER($K74),$K74,$Z74)))</f>
        <v/>
      </c>
      <c r="AB74" s="62">
        <f>IF($V74="","",IF(AND(ISNUMBER($G74),$G74&lt;=IF($S74=MesCiclo,InicioCiclo,$S74+MOD(2-WEEKDAY($S74),7))+27),1,IF(ISNUMBER($L74),$L74,$AA74)))</f>
        <v/>
      </c>
      <c r="AC74" s="62">
        <f>IF($V74="","",IF(AND(ISNUMBER($G74),$G74&lt;=IF($S74=MesCiclo,InicioCiclo,$S74+MOD(2-WEEKDAY($S74),7))+6),1,IF(N($W74)&gt;0,AVERAGEIFS($Y$5:$Y$1000,$U$5:$U$1000,ROW(),$V$5:$V$1000,"Sub"),$Y74)))</f>
        <v/>
      </c>
      <c r="AD74" s="62">
        <f>IF($V74="","",IF(AND(ISNUMBER($G74),$G74&lt;=IF($S74=MesCiclo,InicioCiclo,$S74+MOD(2-WEEKDAY($S74),7))+13),1,IF(N($W74)&gt;0,AVERAGEIFS($Z$5:$Z$1000,$U$5:$U$1000,ROW(),$V$5:$V$1000,"Sub"),$Z74)))</f>
        <v/>
      </c>
      <c r="AE74" s="62">
        <f>IF($V74="","",IF(AND(ISNUMBER($G74),$G74&lt;=IF($S74=MesCiclo,InicioCiclo,$S74+MOD(2-WEEKDAY($S74),7))+20),1,IF(N($W74)&gt;0,AVERAGEIFS($AA$5:$AA$1000,$U$5:$U$1000,ROW(),$V$5:$V$1000,"Sub"),$AA74)))</f>
        <v/>
      </c>
      <c r="AF74" s="62">
        <f>IF($V74="","",IF(AND(ISNUMBER($G74),$G74&lt;=IF($S74=MesCiclo,InicioCiclo,$S74+MOD(2-WEEKDAY($S74),7))+27),1,IF(N($W74)&gt;0,AVERAGEIFS($AB$5:$AB$1000,$U$5:$U$1000,ROW(),$V$5:$V$1000,"Sub"),$AB74)))</f>
        <v/>
      </c>
      <c r="AG74" s="62">
        <f>IF($V74&lt;&gt;"Macro","",IF(COUNTIFS($S$5:$S$1000,$S74,$V$5:$V$1000,"Macro",$H$5:$H$1000,"&gt;0")=0,1/COUNTIFS($S$5:$S$1000,$S74,$V$5:$V$1000,"Macro"),IF(AND(ISNUMBER($H74),N($H74)&gt;0),$H74,SUMIFS($H$5:$H$1000,$S$5:$S$1000,$S74,$V$5:$V$1000,"Macro")/COUNTIFS($S$5:$S$1000,$S74,$V$5:$V$1000,"Macro",$H$5:$H$1000,"&gt;0"))/(COUNTIFS($S$5:$S$1000,$S74,$V$5:$V$1000,"Macro")*SUMIFS($H$5:$H$1000,$S$5:$S$1000,$S74,$V$5:$V$1000,"Macro")/COUNTIFS($S$5:$S$1000,$S74,$V$5:$V$1000,"Macro",$H$5:$H$1000,"&gt;0"))))</f>
        <v/>
      </c>
      <c r="AH74" s="62">
        <f>IF(NOT(AND($D74&lt;&gt;"",$V74="Macro")),"",IFERROR(CHOOSE(MATCH($D74,ListaPuestos,0),MATCH("[Jefatura] "&amp;$C74,'Cronograma R. Operacional'!$C$5:$C$1000,0),MATCH("[Jefatura] "&amp;$C74,'Cronograma R. Normativo'!$C$5:$C$1000,0),MATCH("[Jefatura] "&amp;$C74,'Cronograma R. Financiero'!$C$5:$C$1000,0),MATCH("[Jefatura] "&amp;$C74,'Cronograma Asistente Técnico'!$C$5:$C$1000,0)),0))</f>
        <v/>
      </c>
      <c r="AI74" s="62">
        <f>IF(AND(AND($D74&lt;&gt;"",$V74="Macro"),$S74=MesCiclo),COUNTIFS($D$5:$D74,$D74,$S$5:$S74,MesCiclo,$V$5:$V74,"Macro"),"")</f>
        <v/>
      </c>
      <c r="AJ74" s="62">
        <f>IF($AI74="","",$D74&amp;"|"&amp;$AI74)</f>
        <v/>
      </c>
      <c r="AK74" s="62">
        <f>IF(AND($D74&lt;&gt;"",$V74="Macro"),$D74&amp;"|"&amp;$C74,"")</f>
        <v/>
      </c>
      <c r="AL74" s="62">
        <f>""</f>
        <v/>
      </c>
      <c r="AM74" s="62">
        <f>IF(N($AL74)&gt;0,INDEX(rIni_ADM,$AL74),IF(ISNUMBER($E74),$E74,""))</f>
        <v/>
      </c>
      <c r="AN74" s="62">
        <f>IF(N($AL74)&gt;0,INDEX(rLim_ADM,$AL74),IF(ISNUMBER($F74),$F74,""))</f>
        <v/>
      </c>
    </row>
    <row r="75">
      <c r="A75" s="56">
        <f>IF(NOT((COUNTA($B75:$D75)+COUNTA($G75:$L75)+COUNTA($Q75))&gt;0),"",IF($V75="Macro",COUNTIFS($V$5:$V75,"Macro",$S$5:$S75,$S75),IF(N($U75)=0,"?",COUNTIFS(INDEX($V$5:$V$1000,1):INDEX($V$5:$V$1000,$U75-4),"Macro",INDEX($S$5:$S$1000,1):INDEX($S$5:$S$1000,$U75-4),INDEX($S$5:$S$1000,$U75-4))&amp;"."&amp;COUNTIFS($U$5:$U75,$U75,$V$5:$V75,"Sub"))))</f>
        <v/>
      </c>
      <c r="B75" s="57" t="n"/>
      <c r="C75" s="58" t="n"/>
      <c r="D75" s="58" t="n"/>
      <c r="E75" s="59" t="n"/>
      <c r="F75" s="59" t="n"/>
      <c r="G75" s="59" t="n"/>
      <c r="H75" s="60" t="n"/>
      <c r="I75" s="60" t="n"/>
      <c r="J75" s="60" t="n"/>
      <c r="K75" s="60" t="n"/>
      <c r="L75" s="60" t="n"/>
      <c r="M75" s="61">
        <f>IF(NOT((COUNTA($B75:$D75)+COUNTA($G75:$L75)+COUNTA($Q75))&gt;0),"",IF(AND($D75&lt;&gt;"",$V75="Macro"),IF(N($AH75)&gt;0,N(CHOOSE(MATCH($D75,ListaPuestos,0),INDEX('Cronograma R. Operacional'!$M$5:$M$1000,$AH75),INDEX('Cronograma R. Normativo'!$M$5:$M$1000,$AH75),INDEX('Cronograma R. Financiero'!$M$5:$M$1000,$AH75),INDEX('Cronograma Asistente Técnico'!$M$5:$M$1000,$AH75))),0),IF(ISNUMBER($G75),1,IF(N($W75)&gt;0,AVERAGEIFS($X$5:$X$1000,$U$5:$U$1000,ROW(),$V$5:$V$1000,"Sub"),$X75))))</f>
        <v/>
      </c>
      <c r="N75" s="56">
        <f>IF($M75="","",IF($M75&gt;=1,"Completado",IF($M75&gt;0,"En curso","Pendiente")))</f>
        <v/>
      </c>
      <c r="O75" s="56">
        <f>IF(NOT((COUNTA($B75:$D75)+COUNTA($G75:$L75)+COUNTA($Q75))&gt;0),"",IF(AND(AND($D75&lt;&gt;"",$V75="Macro"),N($AH75)&gt;0),CHOOSE(MATCH($D75,ListaPuestos,0),INDEX('Cronograma R. Operacional'!$O$5:$O$1000,$AH75),INDEX('Cronograma R. Normativo'!$O$5:$O$1000,$AH75),INDEX('Cronograma R. Financiero'!$O$5:$O$1000,$AH75),INDEX('Cronograma Asistente Técnico'!$O$5:$O$1000,$AH75))&amp;"",IF(ISNUMBER($G75),IF(AND(ISNUMBER($AN75),$G75&gt;$AN75),"Cumplida con "&amp;($G75-$AN75)&amp;IF($G75-$AN75=1," día"," días")&amp;" de retraso","Cumplida"),IF(N($M75)&gt;=1,"Cumplida",IF(NOT(ISNUMBER($AN75)),"Sin fecha límite",IF($AN75&lt;FechaRef,"Vencida hace "&amp;(FechaRef-$AN75)&amp;IF(FechaRef-$AN75=1," día"," días"),IF($AN75=FechaRef,"Vence hoy",IF($AN75-FechaRef&lt;=DiasAlerta,"Vence en "&amp;($AN75-FechaRef)&amp;IF($AN75-FechaRef=1," día"," días"),"En plazo"))))))))</f>
        <v/>
      </c>
      <c r="P75" s="62">
        <f>IF(NOT((COUNTA($B75:$D75)+COUNTA($G75:$L75)+COUNTA($Q75))&gt;0),"",IF($D75="","Propia",IF($V75&lt;&gt;"Macro","Solo se delegan macroactividades",IF(N($AH75)&gt;0,"✔ Recibida por "&amp;$D75,"⚠ "&amp;$D75&amp;" aún no la agrega"))))</f>
        <v/>
      </c>
      <c r="Q75" s="58" t="n"/>
      <c r="R75" s="63">
        <f>IF(NOT((COUNTA($B75:$D75)+COUNTA($G75:$L75)+COUNTA($Q75))&gt;0),"",IF((IF($C75="","Falta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",""))="","✔ OK","⚠ "&amp;LEFT(IF($C75="","Falta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",""),LEN(IF($C75="","Falta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",""))-3)))</f>
        <v/>
      </c>
      <c r="S75" s="64">
        <f>IF(NOT((COUNTA($B75:$D75)+COUNTA($G75:$L75)+COUNTA($Q75))&gt;0),"",IF(AND($V75="Sub",N($U75)&gt;0),IF(ISNUMBER(INDEX($AM$5:$AM$1000,$U75-4)),DATE(YEAR(INDEX($AM$5:$AM$1000,$U75-4)),MONTH(INDEX($AM$5:$AM$1000,$U75-4)),1),IF(ISNUMBER(INDEX($AN$5:$AN$1000,$U75-4)),DATE(YEAR(INDEX($AN$5:$AN$1000,$U75-4)),MONTH(INDEX($AN$5:$AN$1000,$U75-4)),1),MesCiclo)),IF(ISNUMBER($AM75),DATE(YEAR($AM75),MONTH($AM75),1),IF(ISNUMBER($AN75),DATE(YEAR($AN75),MONTH($AN75),1),MesCiclo))))</f>
        <v/>
      </c>
      <c r="T75" s="62">
        <f>IF(OR($S75="",$S75&lt;&gt;MesCiclo),"",COUNTIF($S$5:$S75,MesCiclo))</f>
        <v/>
      </c>
      <c r="U75" s="62">
        <f>IF($V75="","",IF($V75="Macro",ROW(),IFERROR(LOOKUP(2,1/($V$5:$V75="Macro"),ROW($V$5:$V75)),0)))</f>
        <v/>
      </c>
      <c r="V75" s="62">
        <f>IF(NOT((COUNTA($B75:$D75)+COUNTA($G75:$L75)+COUNTA($Q75))&gt;0),"",IF($B75="Subactividad","Sub","Macro"))</f>
        <v/>
      </c>
      <c r="W75" s="62">
        <f>IF($V75="Macro",COUNTIFS($U$5:$U$1000,ROW(),$V$5:$V$1000,"Sub"),"")</f>
        <v/>
      </c>
      <c r="X75" s="62">
        <f>IF($V75="","",IF(ISNUMBER($G75),1,IFERROR(LOOKUP(2,1/($I75:$L75&lt;&gt;""),$I75:$L75),0)))</f>
        <v/>
      </c>
      <c r="Y75" s="62">
        <f>IF($V75="","",IF(AND(ISNUMBER($G75),$G75&lt;=IF($S75=MesCiclo,InicioCiclo,$S75+MOD(2-WEEKDAY($S75),7))+6),1,IF(ISNUMBER($I75),$I75,0)))</f>
        <v/>
      </c>
      <c r="Z75" s="62">
        <f>IF($V75="","",IF(AND(ISNUMBER($G75),$G75&lt;=IF($S75=MesCiclo,InicioCiclo,$S75+MOD(2-WEEKDAY($S75),7))+13),1,IF(ISNUMBER($J75),$J75,$Y75)))</f>
        <v/>
      </c>
      <c r="AA75" s="62">
        <f>IF($V75="","",IF(AND(ISNUMBER($G75),$G75&lt;=IF($S75=MesCiclo,InicioCiclo,$S75+MOD(2-WEEKDAY($S75),7))+20),1,IF(ISNUMBER($K75),$K75,$Z75)))</f>
        <v/>
      </c>
      <c r="AB75" s="62">
        <f>IF($V75="","",IF(AND(ISNUMBER($G75),$G75&lt;=IF($S75=MesCiclo,InicioCiclo,$S75+MOD(2-WEEKDAY($S75),7))+27),1,IF(ISNUMBER($L75),$L75,$AA75)))</f>
        <v/>
      </c>
      <c r="AC75" s="62">
        <f>IF($V75="","",IF(AND(ISNUMBER($G75),$G75&lt;=IF($S75=MesCiclo,InicioCiclo,$S75+MOD(2-WEEKDAY($S75),7))+6),1,IF(N($W75)&gt;0,AVERAGEIFS($Y$5:$Y$1000,$U$5:$U$1000,ROW(),$V$5:$V$1000,"Sub"),$Y75)))</f>
        <v/>
      </c>
      <c r="AD75" s="62">
        <f>IF($V75="","",IF(AND(ISNUMBER($G75),$G75&lt;=IF($S75=MesCiclo,InicioCiclo,$S75+MOD(2-WEEKDAY($S75),7))+13),1,IF(N($W75)&gt;0,AVERAGEIFS($Z$5:$Z$1000,$U$5:$U$1000,ROW(),$V$5:$V$1000,"Sub"),$Z75)))</f>
        <v/>
      </c>
      <c r="AE75" s="62">
        <f>IF($V75="","",IF(AND(ISNUMBER($G75),$G75&lt;=IF($S75=MesCiclo,InicioCiclo,$S75+MOD(2-WEEKDAY($S75),7))+20),1,IF(N($W75)&gt;0,AVERAGEIFS($AA$5:$AA$1000,$U$5:$U$1000,ROW(),$V$5:$V$1000,"Sub"),$AA75)))</f>
        <v/>
      </c>
      <c r="AF75" s="62">
        <f>IF($V75="","",IF(AND(ISNUMBER($G75),$G75&lt;=IF($S75=MesCiclo,InicioCiclo,$S75+MOD(2-WEEKDAY($S75),7))+27),1,IF(N($W75)&gt;0,AVERAGEIFS($AB$5:$AB$1000,$U$5:$U$1000,ROW(),$V$5:$V$1000,"Sub"),$AB75)))</f>
        <v/>
      </c>
      <c r="AG75" s="62">
        <f>IF($V75&lt;&gt;"Macro","",IF(COUNTIFS($S$5:$S$1000,$S75,$V$5:$V$1000,"Macro",$H$5:$H$1000,"&gt;0")=0,1/COUNTIFS($S$5:$S$1000,$S75,$V$5:$V$1000,"Macro"),IF(AND(ISNUMBER($H75),N($H75)&gt;0),$H75,SUMIFS($H$5:$H$1000,$S$5:$S$1000,$S75,$V$5:$V$1000,"Macro")/COUNTIFS($S$5:$S$1000,$S75,$V$5:$V$1000,"Macro",$H$5:$H$1000,"&gt;0"))/(COUNTIFS($S$5:$S$1000,$S75,$V$5:$V$1000,"Macro")*SUMIFS($H$5:$H$1000,$S$5:$S$1000,$S75,$V$5:$V$1000,"Macro")/COUNTIFS($S$5:$S$1000,$S75,$V$5:$V$1000,"Macro",$H$5:$H$1000,"&gt;0"))))</f>
        <v/>
      </c>
      <c r="AH75" s="62">
        <f>IF(NOT(AND($D75&lt;&gt;"",$V75="Macro")),"",IFERROR(CHOOSE(MATCH($D75,ListaPuestos,0),MATCH("[Jefatura] "&amp;$C75,'Cronograma R. Operacional'!$C$5:$C$1000,0),MATCH("[Jefatura] "&amp;$C75,'Cronograma R. Normativo'!$C$5:$C$1000,0),MATCH("[Jefatura] "&amp;$C75,'Cronograma R. Financiero'!$C$5:$C$1000,0),MATCH("[Jefatura] "&amp;$C75,'Cronograma Asistente Técnico'!$C$5:$C$1000,0)),0))</f>
        <v/>
      </c>
      <c r="AI75" s="62">
        <f>IF(AND(AND($D75&lt;&gt;"",$V75="Macro"),$S75=MesCiclo),COUNTIFS($D$5:$D75,$D75,$S$5:$S75,MesCiclo,$V$5:$V75,"Macro"),"")</f>
        <v/>
      </c>
      <c r="AJ75" s="62">
        <f>IF($AI75="","",$D75&amp;"|"&amp;$AI75)</f>
        <v/>
      </c>
      <c r="AK75" s="62">
        <f>IF(AND($D75&lt;&gt;"",$V75="Macro"),$D75&amp;"|"&amp;$C75,"")</f>
        <v/>
      </c>
      <c r="AL75" s="62">
        <f>""</f>
        <v/>
      </c>
      <c r="AM75" s="62">
        <f>IF(N($AL75)&gt;0,INDEX(rIni_ADM,$AL75),IF(ISNUMBER($E75),$E75,""))</f>
        <v/>
      </c>
      <c r="AN75" s="62">
        <f>IF(N($AL75)&gt;0,INDEX(rLim_ADM,$AL75),IF(ISNUMBER($F75),$F75,""))</f>
        <v/>
      </c>
    </row>
    <row r="76">
      <c r="A76" s="56">
        <f>IF(NOT((COUNTA($B76:$D76)+COUNTA($G76:$L76)+COUNTA($Q76))&gt;0),"",IF($V76="Macro",COUNTIFS($V$5:$V76,"Macro",$S$5:$S76,$S76),IF(N($U76)=0,"?",COUNTIFS(INDEX($V$5:$V$1000,1):INDEX($V$5:$V$1000,$U76-4),"Macro",INDEX($S$5:$S$1000,1):INDEX($S$5:$S$1000,$U76-4),INDEX($S$5:$S$1000,$U76-4))&amp;"."&amp;COUNTIFS($U$5:$U76,$U76,$V$5:$V76,"Sub"))))</f>
        <v/>
      </c>
      <c r="B76" s="57" t="n"/>
      <c r="C76" s="58" t="n"/>
      <c r="D76" s="58" t="n"/>
      <c r="E76" s="59" t="n"/>
      <c r="F76" s="59" t="n"/>
      <c r="G76" s="59" t="n"/>
      <c r="H76" s="60" t="n"/>
      <c r="I76" s="60" t="n"/>
      <c r="J76" s="60" t="n"/>
      <c r="K76" s="60" t="n"/>
      <c r="L76" s="60" t="n"/>
      <c r="M76" s="61">
        <f>IF(NOT((COUNTA($B76:$D76)+COUNTA($G76:$L76)+COUNTA($Q76))&gt;0),"",IF(AND($D76&lt;&gt;"",$V76="Macro"),IF(N($AH76)&gt;0,N(CHOOSE(MATCH($D76,ListaPuestos,0),INDEX('Cronograma R. Operacional'!$M$5:$M$1000,$AH76),INDEX('Cronograma R. Normativo'!$M$5:$M$1000,$AH76),INDEX('Cronograma R. Financiero'!$M$5:$M$1000,$AH76),INDEX('Cronograma Asistente Técnico'!$M$5:$M$1000,$AH76))),0),IF(ISNUMBER($G76),1,IF(N($W76)&gt;0,AVERAGEIFS($X$5:$X$1000,$U$5:$U$1000,ROW(),$V$5:$V$1000,"Sub"),$X76))))</f>
        <v/>
      </c>
      <c r="N76" s="56">
        <f>IF($M76="","",IF($M76&gt;=1,"Completado",IF($M76&gt;0,"En curso","Pendiente")))</f>
        <v/>
      </c>
      <c r="O76" s="56">
        <f>IF(NOT((COUNTA($B76:$D76)+COUNTA($G76:$L76)+COUNTA($Q76))&gt;0),"",IF(AND(AND($D76&lt;&gt;"",$V76="Macro"),N($AH76)&gt;0),CHOOSE(MATCH($D76,ListaPuestos,0),INDEX('Cronograma R. Operacional'!$O$5:$O$1000,$AH76),INDEX('Cronograma R. Normativo'!$O$5:$O$1000,$AH76),INDEX('Cronograma R. Financiero'!$O$5:$O$1000,$AH76),INDEX('Cronograma Asistente Técnico'!$O$5:$O$1000,$AH76))&amp;"",IF(ISNUMBER($G76),IF(AND(ISNUMBER($AN76),$G76&gt;$AN76),"Cumplida con "&amp;($G76-$AN76)&amp;IF($G76-$AN76=1," día"," días")&amp;" de retraso","Cumplida"),IF(N($M76)&gt;=1,"Cumplida",IF(NOT(ISNUMBER($AN76)),"Sin fecha límite",IF($AN76&lt;FechaRef,"Vencida hace "&amp;(FechaRef-$AN76)&amp;IF(FechaRef-$AN76=1," día"," días"),IF($AN76=FechaRef,"Vence hoy",IF($AN76-FechaRef&lt;=DiasAlerta,"Vence en "&amp;($AN76-FechaRef)&amp;IF($AN76-FechaRef=1," día"," días"),"En plazo"))))))))</f>
        <v/>
      </c>
      <c r="P76" s="62">
        <f>IF(NOT((COUNTA($B76:$D76)+COUNTA($G76:$L76)+COUNTA($Q76))&gt;0),"",IF($D76="","Propia",IF($V76&lt;&gt;"Macro","Solo se delegan macroactividades",IF(N($AH76)&gt;0,"✔ Recibida por "&amp;$D76,"⚠ "&amp;$D76&amp;" aún no la agrega"))))</f>
        <v/>
      </c>
      <c r="Q76" s="58" t="n"/>
      <c r="R76" s="63">
        <f>IF(NOT((COUNTA($B76:$D76)+COUNTA($G76:$L76)+COUNTA($Q76))&gt;0),"",IF((IF($C76="","Falta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",""))="","✔ OK","⚠ "&amp;LEFT(IF($C76="","Falta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",""),LEN(IF($C76="","Falta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",""))-3)))</f>
        <v/>
      </c>
      <c r="S76" s="64">
        <f>IF(NOT((COUNTA($B76:$D76)+COUNTA($G76:$L76)+COUNTA($Q76))&gt;0),"",IF(AND($V76="Sub",N($U76)&gt;0),IF(ISNUMBER(INDEX($AM$5:$AM$1000,$U76-4)),DATE(YEAR(INDEX($AM$5:$AM$1000,$U76-4)),MONTH(INDEX($AM$5:$AM$1000,$U76-4)),1),IF(ISNUMBER(INDEX($AN$5:$AN$1000,$U76-4)),DATE(YEAR(INDEX($AN$5:$AN$1000,$U76-4)),MONTH(INDEX($AN$5:$AN$1000,$U76-4)),1),MesCiclo)),IF(ISNUMBER($AM76),DATE(YEAR($AM76),MONTH($AM76),1),IF(ISNUMBER($AN76),DATE(YEAR($AN76),MONTH($AN76),1),MesCiclo))))</f>
        <v/>
      </c>
      <c r="T76" s="62">
        <f>IF(OR($S76="",$S76&lt;&gt;MesCiclo),"",COUNTIF($S$5:$S76,MesCiclo))</f>
        <v/>
      </c>
      <c r="U76" s="62">
        <f>IF($V76="","",IF($V76="Macro",ROW(),IFERROR(LOOKUP(2,1/($V$5:$V76="Macro"),ROW($V$5:$V76)),0)))</f>
        <v/>
      </c>
      <c r="V76" s="62">
        <f>IF(NOT((COUNTA($B76:$D76)+COUNTA($G76:$L76)+COUNTA($Q76))&gt;0),"",IF($B76="Subactividad","Sub","Macro"))</f>
        <v/>
      </c>
      <c r="W76" s="62">
        <f>IF($V76="Macro",COUNTIFS($U$5:$U$1000,ROW(),$V$5:$V$1000,"Sub"),"")</f>
        <v/>
      </c>
      <c r="X76" s="62">
        <f>IF($V76="","",IF(ISNUMBER($G76),1,IFERROR(LOOKUP(2,1/($I76:$L76&lt;&gt;""),$I76:$L76),0)))</f>
        <v/>
      </c>
      <c r="Y76" s="62">
        <f>IF($V76="","",IF(AND(ISNUMBER($G76),$G76&lt;=IF($S76=MesCiclo,InicioCiclo,$S76+MOD(2-WEEKDAY($S76),7))+6),1,IF(ISNUMBER($I76),$I76,0)))</f>
        <v/>
      </c>
      <c r="Z76" s="62">
        <f>IF($V76="","",IF(AND(ISNUMBER($G76),$G76&lt;=IF($S76=MesCiclo,InicioCiclo,$S76+MOD(2-WEEKDAY($S76),7))+13),1,IF(ISNUMBER($J76),$J76,$Y76)))</f>
        <v/>
      </c>
      <c r="AA76" s="62">
        <f>IF($V76="","",IF(AND(ISNUMBER($G76),$G76&lt;=IF($S76=MesCiclo,InicioCiclo,$S76+MOD(2-WEEKDAY($S76),7))+20),1,IF(ISNUMBER($K76),$K76,$Z76)))</f>
        <v/>
      </c>
      <c r="AB76" s="62">
        <f>IF($V76="","",IF(AND(ISNUMBER($G76),$G76&lt;=IF($S76=MesCiclo,InicioCiclo,$S76+MOD(2-WEEKDAY($S76),7))+27),1,IF(ISNUMBER($L76),$L76,$AA76)))</f>
        <v/>
      </c>
      <c r="AC76" s="62">
        <f>IF($V76="","",IF(AND(ISNUMBER($G76),$G76&lt;=IF($S76=MesCiclo,InicioCiclo,$S76+MOD(2-WEEKDAY($S76),7))+6),1,IF(N($W76)&gt;0,AVERAGEIFS($Y$5:$Y$1000,$U$5:$U$1000,ROW(),$V$5:$V$1000,"Sub"),$Y76)))</f>
        <v/>
      </c>
      <c r="AD76" s="62">
        <f>IF($V76="","",IF(AND(ISNUMBER($G76),$G76&lt;=IF($S76=MesCiclo,InicioCiclo,$S76+MOD(2-WEEKDAY($S76),7))+13),1,IF(N($W76)&gt;0,AVERAGEIFS($Z$5:$Z$1000,$U$5:$U$1000,ROW(),$V$5:$V$1000,"Sub"),$Z76)))</f>
        <v/>
      </c>
      <c r="AE76" s="62">
        <f>IF($V76="","",IF(AND(ISNUMBER($G76),$G76&lt;=IF($S76=MesCiclo,InicioCiclo,$S76+MOD(2-WEEKDAY($S76),7))+20),1,IF(N($W76)&gt;0,AVERAGEIFS($AA$5:$AA$1000,$U$5:$U$1000,ROW(),$V$5:$V$1000,"Sub"),$AA76)))</f>
        <v/>
      </c>
      <c r="AF76" s="62">
        <f>IF($V76="","",IF(AND(ISNUMBER($G76),$G76&lt;=IF($S76=MesCiclo,InicioCiclo,$S76+MOD(2-WEEKDAY($S76),7))+27),1,IF(N($W76)&gt;0,AVERAGEIFS($AB$5:$AB$1000,$U$5:$U$1000,ROW(),$V$5:$V$1000,"Sub"),$AB76)))</f>
        <v/>
      </c>
      <c r="AG76" s="62">
        <f>IF($V76&lt;&gt;"Macro","",IF(COUNTIFS($S$5:$S$1000,$S76,$V$5:$V$1000,"Macro",$H$5:$H$1000,"&gt;0")=0,1/COUNTIFS($S$5:$S$1000,$S76,$V$5:$V$1000,"Macro"),IF(AND(ISNUMBER($H76),N($H76)&gt;0),$H76,SUMIFS($H$5:$H$1000,$S$5:$S$1000,$S76,$V$5:$V$1000,"Macro")/COUNTIFS($S$5:$S$1000,$S76,$V$5:$V$1000,"Macro",$H$5:$H$1000,"&gt;0"))/(COUNTIFS($S$5:$S$1000,$S76,$V$5:$V$1000,"Macro")*SUMIFS($H$5:$H$1000,$S$5:$S$1000,$S76,$V$5:$V$1000,"Macro")/COUNTIFS($S$5:$S$1000,$S76,$V$5:$V$1000,"Macro",$H$5:$H$1000,"&gt;0"))))</f>
        <v/>
      </c>
      <c r="AH76" s="62">
        <f>IF(NOT(AND($D76&lt;&gt;"",$V76="Macro")),"",IFERROR(CHOOSE(MATCH($D76,ListaPuestos,0),MATCH("[Jefatura] "&amp;$C76,'Cronograma R. Operacional'!$C$5:$C$1000,0),MATCH("[Jefatura] "&amp;$C76,'Cronograma R. Normativo'!$C$5:$C$1000,0),MATCH("[Jefatura] "&amp;$C76,'Cronograma R. Financiero'!$C$5:$C$1000,0),MATCH("[Jefatura] "&amp;$C76,'Cronograma Asistente Técnico'!$C$5:$C$1000,0)),0))</f>
        <v/>
      </c>
      <c r="AI76" s="62">
        <f>IF(AND(AND($D76&lt;&gt;"",$V76="Macro"),$S76=MesCiclo),COUNTIFS($D$5:$D76,$D76,$S$5:$S76,MesCiclo,$V$5:$V76,"Macro"),"")</f>
        <v/>
      </c>
      <c r="AJ76" s="62">
        <f>IF($AI76="","",$D76&amp;"|"&amp;$AI76)</f>
        <v/>
      </c>
      <c r="AK76" s="62">
        <f>IF(AND($D76&lt;&gt;"",$V76="Macro"),$D76&amp;"|"&amp;$C76,"")</f>
        <v/>
      </c>
      <c r="AL76" s="62">
        <f>""</f>
        <v/>
      </c>
      <c r="AM76" s="62">
        <f>IF(N($AL76)&gt;0,INDEX(rIni_ADM,$AL76),IF(ISNUMBER($E76),$E76,""))</f>
        <v/>
      </c>
      <c r="AN76" s="62">
        <f>IF(N($AL76)&gt;0,INDEX(rLim_ADM,$AL76),IF(ISNUMBER($F76),$F76,""))</f>
        <v/>
      </c>
    </row>
    <row r="77">
      <c r="A77" s="56">
        <f>IF(NOT((COUNTA($B77:$D77)+COUNTA($G77:$L77)+COUNTA($Q77))&gt;0),"",IF($V77="Macro",COUNTIFS($V$5:$V77,"Macro",$S$5:$S77,$S77),IF(N($U77)=0,"?",COUNTIFS(INDEX($V$5:$V$1000,1):INDEX($V$5:$V$1000,$U77-4),"Macro",INDEX($S$5:$S$1000,1):INDEX($S$5:$S$1000,$U77-4),INDEX($S$5:$S$1000,$U77-4))&amp;"."&amp;COUNTIFS($U$5:$U77,$U77,$V$5:$V77,"Sub"))))</f>
        <v/>
      </c>
      <c r="B77" s="57" t="n"/>
      <c r="C77" s="58" t="n"/>
      <c r="D77" s="58" t="n"/>
      <c r="E77" s="59" t="n"/>
      <c r="F77" s="59" t="n"/>
      <c r="G77" s="59" t="n"/>
      <c r="H77" s="60" t="n"/>
      <c r="I77" s="60" t="n"/>
      <c r="J77" s="60" t="n"/>
      <c r="K77" s="60" t="n"/>
      <c r="L77" s="60" t="n"/>
      <c r="M77" s="61">
        <f>IF(NOT((COUNTA($B77:$D77)+COUNTA($G77:$L77)+COUNTA($Q77))&gt;0),"",IF(AND($D77&lt;&gt;"",$V77="Macro"),IF(N($AH77)&gt;0,N(CHOOSE(MATCH($D77,ListaPuestos,0),INDEX('Cronograma R. Operacional'!$M$5:$M$1000,$AH77),INDEX('Cronograma R. Normativo'!$M$5:$M$1000,$AH77),INDEX('Cronograma R. Financiero'!$M$5:$M$1000,$AH77),INDEX('Cronograma Asistente Técnico'!$M$5:$M$1000,$AH77))),0),IF(ISNUMBER($G77),1,IF(N($W77)&gt;0,AVERAGEIFS($X$5:$X$1000,$U$5:$U$1000,ROW(),$V$5:$V$1000,"Sub"),$X77))))</f>
        <v/>
      </c>
      <c r="N77" s="56">
        <f>IF($M77="","",IF($M77&gt;=1,"Completado",IF($M77&gt;0,"En curso","Pendiente")))</f>
        <v/>
      </c>
      <c r="O77" s="56">
        <f>IF(NOT((COUNTA($B77:$D77)+COUNTA($G77:$L77)+COUNTA($Q77))&gt;0),"",IF(AND(AND($D77&lt;&gt;"",$V77="Macro"),N($AH77)&gt;0),CHOOSE(MATCH($D77,ListaPuestos,0),INDEX('Cronograma R. Operacional'!$O$5:$O$1000,$AH77),INDEX('Cronograma R. Normativo'!$O$5:$O$1000,$AH77),INDEX('Cronograma R. Financiero'!$O$5:$O$1000,$AH77),INDEX('Cronograma Asistente Técnico'!$O$5:$O$1000,$AH77))&amp;"",IF(ISNUMBER($G77),IF(AND(ISNUMBER($AN77),$G77&gt;$AN77),"Cumplida con "&amp;($G77-$AN77)&amp;IF($G77-$AN77=1," día"," días")&amp;" de retraso","Cumplida"),IF(N($M77)&gt;=1,"Cumplida",IF(NOT(ISNUMBER($AN77)),"Sin fecha límite",IF($AN77&lt;FechaRef,"Vencida hace "&amp;(FechaRef-$AN77)&amp;IF(FechaRef-$AN77=1," día"," días"),IF($AN77=FechaRef,"Vence hoy",IF($AN77-FechaRef&lt;=DiasAlerta,"Vence en "&amp;($AN77-FechaRef)&amp;IF($AN77-FechaRef=1," día"," días"),"En plazo"))))))))</f>
        <v/>
      </c>
      <c r="P77" s="62">
        <f>IF(NOT((COUNTA($B77:$D77)+COUNTA($G77:$L77)+COUNTA($Q77))&gt;0),"",IF($D77="","Propia",IF($V77&lt;&gt;"Macro","Solo se delegan macroactividades",IF(N($AH77)&gt;0,"✔ Recibida por "&amp;$D77,"⚠ "&amp;$D77&amp;" aún no la agrega"))))</f>
        <v/>
      </c>
      <c r="Q77" s="58" t="n"/>
      <c r="R77" s="63">
        <f>IF(NOT((COUNTA($B77:$D77)+COUNTA($G77:$L77)+COUNTA($Q77))&gt;0),"",IF((IF($C77="","Falta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",""))="","✔ OK","⚠ "&amp;LEFT(IF($C77="","Falta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",""),LEN(IF($C77="","Falta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",""))-3)))</f>
        <v/>
      </c>
      <c r="S77" s="64">
        <f>IF(NOT((COUNTA($B77:$D77)+COUNTA($G77:$L77)+COUNTA($Q77))&gt;0),"",IF(AND($V77="Sub",N($U77)&gt;0),IF(ISNUMBER(INDEX($AM$5:$AM$1000,$U77-4)),DATE(YEAR(INDEX($AM$5:$AM$1000,$U77-4)),MONTH(INDEX($AM$5:$AM$1000,$U77-4)),1),IF(ISNUMBER(INDEX($AN$5:$AN$1000,$U77-4)),DATE(YEAR(INDEX($AN$5:$AN$1000,$U77-4)),MONTH(INDEX($AN$5:$AN$1000,$U77-4)),1),MesCiclo)),IF(ISNUMBER($AM77),DATE(YEAR($AM77),MONTH($AM77),1),IF(ISNUMBER($AN77),DATE(YEAR($AN77),MONTH($AN77),1),MesCiclo))))</f>
        <v/>
      </c>
      <c r="T77" s="62">
        <f>IF(OR($S77="",$S77&lt;&gt;MesCiclo),"",COUNTIF($S$5:$S77,MesCiclo))</f>
        <v/>
      </c>
      <c r="U77" s="62">
        <f>IF($V77="","",IF($V77="Macro",ROW(),IFERROR(LOOKUP(2,1/($V$5:$V77="Macro"),ROW($V$5:$V77)),0)))</f>
        <v/>
      </c>
      <c r="V77" s="62">
        <f>IF(NOT((COUNTA($B77:$D77)+COUNTA($G77:$L77)+COUNTA($Q77))&gt;0),"",IF($B77="Subactividad","Sub","Macro"))</f>
        <v/>
      </c>
      <c r="W77" s="62">
        <f>IF($V77="Macro",COUNTIFS($U$5:$U$1000,ROW(),$V$5:$V$1000,"Sub"),"")</f>
        <v/>
      </c>
      <c r="X77" s="62">
        <f>IF($V77="","",IF(ISNUMBER($G77),1,IFERROR(LOOKUP(2,1/($I77:$L77&lt;&gt;""),$I77:$L77),0)))</f>
        <v/>
      </c>
      <c r="Y77" s="62">
        <f>IF($V77="","",IF(AND(ISNUMBER($G77),$G77&lt;=IF($S77=MesCiclo,InicioCiclo,$S77+MOD(2-WEEKDAY($S77),7))+6),1,IF(ISNUMBER($I77),$I77,0)))</f>
        <v/>
      </c>
      <c r="Z77" s="62">
        <f>IF($V77="","",IF(AND(ISNUMBER($G77),$G77&lt;=IF($S77=MesCiclo,InicioCiclo,$S77+MOD(2-WEEKDAY($S77),7))+13),1,IF(ISNUMBER($J77),$J77,$Y77)))</f>
        <v/>
      </c>
      <c r="AA77" s="62">
        <f>IF($V77="","",IF(AND(ISNUMBER($G77),$G77&lt;=IF($S77=MesCiclo,InicioCiclo,$S77+MOD(2-WEEKDAY($S77),7))+20),1,IF(ISNUMBER($K77),$K77,$Z77)))</f>
        <v/>
      </c>
      <c r="AB77" s="62">
        <f>IF($V77="","",IF(AND(ISNUMBER($G77),$G77&lt;=IF($S77=MesCiclo,InicioCiclo,$S77+MOD(2-WEEKDAY($S77),7))+27),1,IF(ISNUMBER($L77),$L77,$AA77)))</f>
        <v/>
      </c>
      <c r="AC77" s="62">
        <f>IF($V77="","",IF(AND(ISNUMBER($G77),$G77&lt;=IF($S77=MesCiclo,InicioCiclo,$S77+MOD(2-WEEKDAY($S77),7))+6),1,IF(N($W77)&gt;0,AVERAGEIFS($Y$5:$Y$1000,$U$5:$U$1000,ROW(),$V$5:$V$1000,"Sub"),$Y77)))</f>
        <v/>
      </c>
      <c r="AD77" s="62">
        <f>IF($V77="","",IF(AND(ISNUMBER($G77),$G77&lt;=IF($S77=MesCiclo,InicioCiclo,$S77+MOD(2-WEEKDAY($S77),7))+13),1,IF(N($W77)&gt;0,AVERAGEIFS($Z$5:$Z$1000,$U$5:$U$1000,ROW(),$V$5:$V$1000,"Sub"),$Z77)))</f>
        <v/>
      </c>
      <c r="AE77" s="62">
        <f>IF($V77="","",IF(AND(ISNUMBER($G77),$G77&lt;=IF($S77=MesCiclo,InicioCiclo,$S77+MOD(2-WEEKDAY($S77),7))+20),1,IF(N($W77)&gt;0,AVERAGEIFS($AA$5:$AA$1000,$U$5:$U$1000,ROW(),$V$5:$V$1000,"Sub"),$AA77)))</f>
        <v/>
      </c>
      <c r="AF77" s="62">
        <f>IF($V77="","",IF(AND(ISNUMBER($G77),$G77&lt;=IF($S77=MesCiclo,InicioCiclo,$S77+MOD(2-WEEKDAY($S77),7))+27),1,IF(N($W77)&gt;0,AVERAGEIFS($AB$5:$AB$1000,$U$5:$U$1000,ROW(),$V$5:$V$1000,"Sub"),$AB77)))</f>
        <v/>
      </c>
      <c r="AG77" s="62">
        <f>IF($V77&lt;&gt;"Macro","",IF(COUNTIFS($S$5:$S$1000,$S77,$V$5:$V$1000,"Macro",$H$5:$H$1000,"&gt;0")=0,1/COUNTIFS($S$5:$S$1000,$S77,$V$5:$V$1000,"Macro"),IF(AND(ISNUMBER($H77),N($H77)&gt;0),$H77,SUMIFS($H$5:$H$1000,$S$5:$S$1000,$S77,$V$5:$V$1000,"Macro")/COUNTIFS($S$5:$S$1000,$S77,$V$5:$V$1000,"Macro",$H$5:$H$1000,"&gt;0"))/(COUNTIFS($S$5:$S$1000,$S77,$V$5:$V$1000,"Macro")*SUMIFS($H$5:$H$1000,$S$5:$S$1000,$S77,$V$5:$V$1000,"Macro")/COUNTIFS($S$5:$S$1000,$S77,$V$5:$V$1000,"Macro",$H$5:$H$1000,"&gt;0"))))</f>
        <v/>
      </c>
      <c r="AH77" s="62">
        <f>IF(NOT(AND($D77&lt;&gt;"",$V77="Macro")),"",IFERROR(CHOOSE(MATCH($D77,ListaPuestos,0),MATCH("[Jefatura] "&amp;$C77,'Cronograma R. Operacional'!$C$5:$C$1000,0),MATCH("[Jefatura] "&amp;$C77,'Cronograma R. Normativo'!$C$5:$C$1000,0),MATCH("[Jefatura] "&amp;$C77,'Cronograma R. Financiero'!$C$5:$C$1000,0),MATCH("[Jefatura] "&amp;$C77,'Cronograma Asistente Técnico'!$C$5:$C$1000,0)),0))</f>
        <v/>
      </c>
      <c r="AI77" s="62">
        <f>IF(AND(AND($D77&lt;&gt;"",$V77="Macro"),$S77=MesCiclo),COUNTIFS($D$5:$D77,$D77,$S$5:$S77,MesCiclo,$V$5:$V77,"Macro"),"")</f>
        <v/>
      </c>
      <c r="AJ77" s="62">
        <f>IF($AI77="","",$D77&amp;"|"&amp;$AI77)</f>
        <v/>
      </c>
      <c r="AK77" s="62">
        <f>IF(AND($D77&lt;&gt;"",$V77="Macro"),$D77&amp;"|"&amp;$C77,"")</f>
        <v/>
      </c>
      <c r="AL77" s="62">
        <f>""</f>
        <v/>
      </c>
      <c r="AM77" s="62">
        <f>IF(N($AL77)&gt;0,INDEX(rIni_ADM,$AL77),IF(ISNUMBER($E77),$E77,""))</f>
        <v/>
      </c>
      <c r="AN77" s="62">
        <f>IF(N($AL77)&gt;0,INDEX(rLim_ADM,$AL77),IF(ISNUMBER($F77),$F77,""))</f>
        <v/>
      </c>
    </row>
    <row r="78">
      <c r="A78" s="56">
        <f>IF(NOT((COUNTA($B78:$D78)+COUNTA($G78:$L78)+COUNTA($Q78))&gt;0),"",IF($V78="Macro",COUNTIFS($V$5:$V78,"Macro",$S$5:$S78,$S78),IF(N($U78)=0,"?",COUNTIFS(INDEX($V$5:$V$1000,1):INDEX($V$5:$V$1000,$U78-4),"Macro",INDEX($S$5:$S$1000,1):INDEX($S$5:$S$1000,$U78-4),INDEX($S$5:$S$1000,$U78-4))&amp;"."&amp;COUNTIFS($U$5:$U78,$U78,$V$5:$V78,"Sub"))))</f>
        <v/>
      </c>
      <c r="B78" s="57" t="n"/>
      <c r="C78" s="58" t="n"/>
      <c r="D78" s="58" t="n"/>
      <c r="E78" s="59" t="n"/>
      <c r="F78" s="59" t="n"/>
      <c r="G78" s="59" t="n"/>
      <c r="H78" s="60" t="n"/>
      <c r="I78" s="60" t="n"/>
      <c r="J78" s="60" t="n"/>
      <c r="K78" s="60" t="n"/>
      <c r="L78" s="60" t="n"/>
      <c r="M78" s="61">
        <f>IF(NOT((COUNTA($B78:$D78)+COUNTA($G78:$L78)+COUNTA($Q78))&gt;0),"",IF(AND($D78&lt;&gt;"",$V78="Macro"),IF(N($AH78)&gt;0,N(CHOOSE(MATCH($D78,ListaPuestos,0),INDEX('Cronograma R. Operacional'!$M$5:$M$1000,$AH78),INDEX('Cronograma R. Normativo'!$M$5:$M$1000,$AH78),INDEX('Cronograma R. Financiero'!$M$5:$M$1000,$AH78),INDEX('Cronograma Asistente Técnico'!$M$5:$M$1000,$AH78))),0),IF(ISNUMBER($G78),1,IF(N($W78)&gt;0,AVERAGEIFS($X$5:$X$1000,$U$5:$U$1000,ROW(),$V$5:$V$1000,"Sub"),$X78))))</f>
        <v/>
      </c>
      <c r="N78" s="56">
        <f>IF($M78="","",IF($M78&gt;=1,"Completado",IF($M78&gt;0,"En curso","Pendiente")))</f>
        <v/>
      </c>
      <c r="O78" s="56">
        <f>IF(NOT((COUNTA($B78:$D78)+COUNTA($G78:$L78)+COUNTA($Q78))&gt;0),"",IF(AND(AND($D78&lt;&gt;"",$V78="Macro"),N($AH78)&gt;0),CHOOSE(MATCH($D78,ListaPuestos,0),INDEX('Cronograma R. Operacional'!$O$5:$O$1000,$AH78),INDEX('Cronograma R. Normativo'!$O$5:$O$1000,$AH78),INDEX('Cronograma R. Financiero'!$O$5:$O$1000,$AH78),INDEX('Cronograma Asistente Técnico'!$O$5:$O$1000,$AH78))&amp;"",IF(ISNUMBER($G78),IF(AND(ISNUMBER($AN78),$G78&gt;$AN78),"Cumplida con "&amp;($G78-$AN78)&amp;IF($G78-$AN78=1," día"," días")&amp;" de retraso","Cumplida"),IF(N($M78)&gt;=1,"Cumplida",IF(NOT(ISNUMBER($AN78)),"Sin fecha límite",IF($AN78&lt;FechaRef,"Vencida hace "&amp;(FechaRef-$AN78)&amp;IF(FechaRef-$AN78=1," día"," días"),IF($AN78=FechaRef,"Vence hoy",IF($AN78-FechaRef&lt;=DiasAlerta,"Vence en "&amp;($AN78-FechaRef)&amp;IF($AN78-FechaRef=1," día"," días"),"En plazo"))))))))</f>
        <v/>
      </c>
      <c r="P78" s="62">
        <f>IF(NOT((COUNTA($B78:$D78)+COUNTA($G78:$L78)+COUNTA($Q78))&gt;0),"",IF($D78="","Propia",IF($V78&lt;&gt;"Macro","Solo se delegan macroactividades",IF(N($AH78)&gt;0,"✔ Recibida por "&amp;$D78,"⚠ "&amp;$D78&amp;" aún no la agrega"))))</f>
        <v/>
      </c>
      <c r="Q78" s="58" t="n"/>
      <c r="R78" s="63">
        <f>IF(NOT((COUNTA($B78:$D78)+COUNTA($G78:$L78)+COUNTA($Q78))&gt;0),"",IF((IF($C78="","Falta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",""))="","✔ OK","⚠ "&amp;LEFT(IF($C78="","Falta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",""),LEN(IF($C78="","Falta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",""))-3)))</f>
        <v/>
      </c>
      <c r="S78" s="64">
        <f>IF(NOT((COUNTA($B78:$D78)+COUNTA($G78:$L78)+COUNTA($Q78))&gt;0),"",IF(AND($V78="Sub",N($U78)&gt;0),IF(ISNUMBER(INDEX($AM$5:$AM$1000,$U78-4)),DATE(YEAR(INDEX($AM$5:$AM$1000,$U78-4)),MONTH(INDEX($AM$5:$AM$1000,$U78-4)),1),IF(ISNUMBER(INDEX($AN$5:$AN$1000,$U78-4)),DATE(YEAR(INDEX($AN$5:$AN$1000,$U78-4)),MONTH(INDEX($AN$5:$AN$1000,$U78-4)),1),MesCiclo)),IF(ISNUMBER($AM78),DATE(YEAR($AM78),MONTH($AM78),1),IF(ISNUMBER($AN78),DATE(YEAR($AN78),MONTH($AN78),1),MesCiclo))))</f>
        <v/>
      </c>
      <c r="T78" s="62">
        <f>IF(OR($S78="",$S78&lt;&gt;MesCiclo),"",COUNTIF($S$5:$S78,MesCiclo))</f>
        <v/>
      </c>
      <c r="U78" s="62">
        <f>IF($V78="","",IF($V78="Macro",ROW(),IFERROR(LOOKUP(2,1/($V$5:$V78="Macro"),ROW($V$5:$V78)),0)))</f>
        <v/>
      </c>
      <c r="V78" s="62">
        <f>IF(NOT((COUNTA($B78:$D78)+COUNTA($G78:$L78)+COUNTA($Q78))&gt;0),"",IF($B78="Subactividad","Sub","Macro"))</f>
        <v/>
      </c>
      <c r="W78" s="62">
        <f>IF($V78="Macro",COUNTIFS($U$5:$U$1000,ROW(),$V$5:$V$1000,"Sub"),"")</f>
        <v/>
      </c>
      <c r="X78" s="62">
        <f>IF($V78="","",IF(ISNUMBER($G78),1,IFERROR(LOOKUP(2,1/($I78:$L78&lt;&gt;""),$I78:$L78),0)))</f>
        <v/>
      </c>
      <c r="Y78" s="62">
        <f>IF($V78="","",IF(AND(ISNUMBER($G78),$G78&lt;=IF($S78=MesCiclo,InicioCiclo,$S78+MOD(2-WEEKDAY($S78),7))+6),1,IF(ISNUMBER($I78),$I78,0)))</f>
        <v/>
      </c>
      <c r="Z78" s="62">
        <f>IF($V78="","",IF(AND(ISNUMBER($G78),$G78&lt;=IF($S78=MesCiclo,InicioCiclo,$S78+MOD(2-WEEKDAY($S78),7))+13),1,IF(ISNUMBER($J78),$J78,$Y78)))</f>
        <v/>
      </c>
      <c r="AA78" s="62">
        <f>IF($V78="","",IF(AND(ISNUMBER($G78),$G78&lt;=IF($S78=MesCiclo,InicioCiclo,$S78+MOD(2-WEEKDAY($S78),7))+20),1,IF(ISNUMBER($K78),$K78,$Z78)))</f>
        <v/>
      </c>
      <c r="AB78" s="62">
        <f>IF($V78="","",IF(AND(ISNUMBER($G78),$G78&lt;=IF($S78=MesCiclo,InicioCiclo,$S78+MOD(2-WEEKDAY($S78),7))+27),1,IF(ISNUMBER($L78),$L78,$AA78)))</f>
        <v/>
      </c>
      <c r="AC78" s="62">
        <f>IF($V78="","",IF(AND(ISNUMBER($G78),$G78&lt;=IF($S78=MesCiclo,InicioCiclo,$S78+MOD(2-WEEKDAY($S78),7))+6),1,IF(N($W78)&gt;0,AVERAGEIFS($Y$5:$Y$1000,$U$5:$U$1000,ROW(),$V$5:$V$1000,"Sub"),$Y78)))</f>
        <v/>
      </c>
      <c r="AD78" s="62">
        <f>IF($V78="","",IF(AND(ISNUMBER($G78),$G78&lt;=IF($S78=MesCiclo,InicioCiclo,$S78+MOD(2-WEEKDAY($S78),7))+13),1,IF(N($W78)&gt;0,AVERAGEIFS($Z$5:$Z$1000,$U$5:$U$1000,ROW(),$V$5:$V$1000,"Sub"),$Z78)))</f>
        <v/>
      </c>
      <c r="AE78" s="62">
        <f>IF($V78="","",IF(AND(ISNUMBER($G78),$G78&lt;=IF($S78=MesCiclo,InicioCiclo,$S78+MOD(2-WEEKDAY($S78),7))+20),1,IF(N($W78)&gt;0,AVERAGEIFS($AA$5:$AA$1000,$U$5:$U$1000,ROW(),$V$5:$V$1000,"Sub"),$AA78)))</f>
        <v/>
      </c>
      <c r="AF78" s="62">
        <f>IF($V78="","",IF(AND(ISNUMBER($G78),$G78&lt;=IF($S78=MesCiclo,InicioCiclo,$S78+MOD(2-WEEKDAY($S78),7))+27),1,IF(N($W78)&gt;0,AVERAGEIFS($AB$5:$AB$1000,$U$5:$U$1000,ROW(),$V$5:$V$1000,"Sub"),$AB78)))</f>
        <v/>
      </c>
      <c r="AG78" s="62">
        <f>IF($V78&lt;&gt;"Macro","",IF(COUNTIFS($S$5:$S$1000,$S78,$V$5:$V$1000,"Macro",$H$5:$H$1000,"&gt;0")=0,1/COUNTIFS($S$5:$S$1000,$S78,$V$5:$V$1000,"Macro"),IF(AND(ISNUMBER($H78),N($H78)&gt;0),$H78,SUMIFS($H$5:$H$1000,$S$5:$S$1000,$S78,$V$5:$V$1000,"Macro")/COUNTIFS($S$5:$S$1000,$S78,$V$5:$V$1000,"Macro",$H$5:$H$1000,"&gt;0"))/(COUNTIFS($S$5:$S$1000,$S78,$V$5:$V$1000,"Macro")*SUMIFS($H$5:$H$1000,$S$5:$S$1000,$S78,$V$5:$V$1000,"Macro")/COUNTIFS($S$5:$S$1000,$S78,$V$5:$V$1000,"Macro",$H$5:$H$1000,"&gt;0"))))</f>
        <v/>
      </c>
      <c r="AH78" s="62">
        <f>IF(NOT(AND($D78&lt;&gt;"",$V78="Macro")),"",IFERROR(CHOOSE(MATCH($D78,ListaPuestos,0),MATCH("[Jefatura] "&amp;$C78,'Cronograma R. Operacional'!$C$5:$C$1000,0),MATCH("[Jefatura] "&amp;$C78,'Cronograma R. Normativo'!$C$5:$C$1000,0),MATCH("[Jefatura] "&amp;$C78,'Cronograma R. Financiero'!$C$5:$C$1000,0),MATCH("[Jefatura] "&amp;$C78,'Cronograma Asistente Técnico'!$C$5:$C$1000,0)),0))</f>
        <v/>
      </c>
      <c r="AI78" s="62">
        <f>IF(AND(AND($D78&lt;&gt;"",$V78="Macro"),$S78=MesCiclo),COUNTIFS($D$5:$D78,$D78,$S$5:$S78,MesCiclo,$V$5:$V78,"Macro"),"")</f>
        <v/>
      </c>
      <c r="AJ78" s="62">
        <f>IF($AI78="","",$D78&amp;"|"&amp;$AI78)</f>
        <v/>
      </c>
      <c r="AK78" s="62">
        <f>IF(AND($D78&lt;&gt;"",$V78="Macro"),$D78&amp;"|"&amp;$C78,"")</f>
        <v/>
      </c>
      <c r="AL78" s="62">
        <f>""</f>
        <v/>
      </c>
      <c r="AM78" s="62">
        <f>IF(N($AL78)&gt;0,INDEX(rIni_ADM,$AL78),IF(ISNUMBER($E78),$E78,""))</f>
        <v/>
      </c>
      <c r="AN78" s="62">
        <f>IF(N($AL78)&gt;0,INDEX(rLim_ADM,$AL78),IF(ISNUMBER($F78),$F78,""))</f>
        <v/>
      </c>
    </row>
    <row r="79">
      <c r="A79" s="56">
        <f>IF(NOT((COUNTA($B79:$D79)+COUNTA($G79:$L79)+COUNTA($Q79))&gt;0),"",IF($V79="Macro",COUNTIFS($V$5:$V79,"Macro",$S$5:$S79,$S79),IF(N($U79)=0,"?",COUNTIFS(INDEX($V$5:$V$1000,1):INDEX($V$5:$V$1000,$U79-4),"Macro",INDEX($S$5:$S$1000,1):INDEX($S$5:$S$1000,$U79-4),INDEX($S$5:$S$1000,$U79-4))&amp;"."&amp;COUNTIFS($U$5:$U79,$U79,$V$5:$V79,"Sub"))))</f>
        <v/>
      </c>
      <c r="B79" s="57" t="n"/>
      <c r="C79" s="58" t="n"/>
      <c r="D79" s="58" t="n"/>
      <c r="E79" s="59" t="n"/>
      <c r="F79" s="59" t="n"/>
      <c r="G79" s="59" t="n"/>
      <c r="H79" s="60" t="n"/>
      <c r="I79" s="60" t="n"/>
      <c r="J79" s="60" t="n"/>
      <c r="K79" s="60" t="n"/>
      <c r="L79" s="60" t="n"/>
      <c r="M79" s="61">
        <f>IF(NOT((COUNTA($B79:$D79)+COUNTA($G79:$L79)+COUNTA($Q79))&gt;0),"",IF(AND($D79&lt;&gt;"",$V79="Macro"),IF(N($AH79)&gt;0,N(CHOOSE(MATCH($D79,ListaPuestos,0),INDEX('Cronograma R. Operacional'!$M$5:$M$1000,$AH79),INDEX('Cronograma R. Normativo'!$M$5:$M$1000,$AH79),INDEX('Cronograma R. Financiero'!$M$5:$M$1000,$AH79),INDEX('Cronograma Asistente Técnico'!$M$5:$M$1000,$AH79))),0),IF(ISNUMBER($G79),1,IF(N($W79)&gt;0,AVERAGEIFS($X$5:$X$1000,$U$5:$U$1000,ROW(),$V$5:$V$1000,"Sub"),$X79))))</f>
        <v/>
      </c>
      <c r="N79" s="56">
        <f>IF($M79="","",IF($M79&gt;=1,"Completado",IF($M79&gt;0,"En curso","Pendiente")))</f>
        <v/>
      </c>
      <c r="O79" s="56">
        <f>IF(NOT((COUNTA($B79:$D79)+COUNTA($G79:$L79)+COUNTA($Q79))&gt;0),"",IF(AND(AND($D79&lt;&gt;"",$V79="Macro"),N($AH79)&gt;0),CHOOSE(MATCH($D79,ListaPuestos,0),INDEX('Cronograma R. Operacional'!$O$5:$O$1000,$AH79),INDEX('Cronograma R. Normativo'!$O$5:$O$1000,$AH79),INDEX('Cronograma R. Financiero'!$O$5:$O$1000,$AH79),INDEX('Cronograma Asistente Técnico'!$O$5:$O$1000,$AH79))&amp;"",IF(ISNUMBER($G79),IF(AND(ISNUMBER($AN79),$G79&gt;$AN79),"Cumplida con "&amp;($G79-$AN79)&amp;IF($G79-$AN79=1," día"," días")&amp;" de retraso","Cumplida"),IF(N($M79)&gt;=1,"Cumplida",IF(NOT(ISNUMBER($AN79)),"Sin fecha límite",IF($AN79&lt;FechaRef,"Vencida hace "&amp;(FechaRef-$AN79)&amp;IF(FechaRef-$AN79=1," día"," días"),IF($AN79=FechaRef,"Vence hoy",IF($AN79-FechaRef&lt;=DiasAlerta,"Vence en "&amp;($AN79-FechaRef)&amp;IF($AN79-FechaRef=1," día"," días"),"En plazo"))))))))</f>
        <v/>
      </c>
      <c r="P79" s="62">
        <f>IF(NOT((COUNTA($B79:$D79)+COUNTA($G79:$L79)+COUNTA($Q79))&gt;0),"",IF($D79="","Propia",IF($V79&lt;&gt;"Macro","Solo se delegan macroactividades",IF(N($AH79)&gt;0,"✔ Recibida por "&amp;$D79,"⚠ "&amp;$D79&amp;" aún no la agrega"))))</f>
        <v/>
      </c>
      <c r="Q79" s="58" t="n"/>
      <c r="R79" s="63">
        <f>IF(NOT((COUNTA($B79:$D79)+COUNTA($G79:$L79)+COUNTA($Q79))&gt;0),"",IF((IF($C79="","Falta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",""))="","✔ OK","⚠ "&amp;LEFT(IF($C79="","Falta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",""),LEN(IF($C79="","Falta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",""))-3)))</f>
        <v/>
      </c>
      <c r="S79" s="64">
        <f>IF(NOT((COUNTA($B79:$D79)+COUNTA($G79:$L79)+COUNTA($Q79))&gt;0),"",IF(AND($V79="Sub",N($U79)&gt;0),IF(ISNUMBER(INDEX($AM$5:$AM$1000,$U79-4)),DATE(YEAR(INDEX($AM$5:$AM$1000,$U79-4)),MONTH(INDEX($AM$5:$AM$1000,$U79-4)),1),IF(ISNUMBER(INDEX($AN$5:$AN$1000,$U79-4)),DATE(YEAR(INDEX($AN$5:$AN$1000,$U79-4)),MONTH(INDEX($AN$5:$AN$1000,$U79-4)),1),MesCiclo)),IF(ISNUMBER($AM79),DATE(YEAR($AM79),MONTH($AM79),1),IF(ISNUMBER($AN79),DATE(YEAR($AN79),MONTH($AN79),1),MesCiclo))))</f>
        <v/>
      </c>
      <c r="T79" s="62">
        <f>IF(OR($S79="",$S79&lt;&gt;MesCiclo),"",COUNTIF($S$5:$S79,MesCiclo))</f>
        <v/>
      </c>
      <c r="U79" s="62">
        <f>IF($V79="","",IF($V79="Macro",ROW(),IFERROR(LOOKUP(2,1/($V$5:$V79="Macro"),ROW($V$5:$V79)),0)))</f>
        <v/>
      </c>
      <c r="V79" s="62">
        <f>IF(NOT((COUNTA($B79:$D79)+COUNTA($G79:$L79)+COUNTA($Q79))&gt;0),"",IF($B79="Subactividad","Sub","Macro"))</f>
        <v/>
      </c>
      <c r="W79" s="62">
        <f>IF($V79="Macro",COUNTIFS($U$5:$U$1000,ROW(),$V$5:$V$1000,"Sub"),"")</f>
        <v/>
      </c>
      <c r="X79" s="62">
        <f>IF($V79="","",IF(ISNUMBER($G79),1,IFERROR(LOOKUP(2,1/($I79:$L79&lt;&gt;""),$I79:$L79),0)))</f>
        <v/>
      </c>
      <c r="Y79" s="62">
        <f>IF($V79="","",IF(AND(ISNUMBER($G79),$G79&lt;=IF($S79=MesCiclo,InicioCiclo,$S79+MOD(2-WEEKDAY($S79),7))+6),1,IF(ISNUMBER($I79),$I79,0)))</f>
        <v/>
      </c>
      <c r="Z79" s="62">
        <f>IF($V79="","",IF(AND(ISNUMBER($G79),$G79&lt;=IF($S79=MesCiclo,InicioCiclo,$S79+MOD(2-WEEKDAY($S79),7))+13),1,IF(ISNUMBER($J79),$J79,$Y79)))</f>
        <v/>
      </c>
      <c r="AA79" s="62">
        <f>IF($V79="","",IF(AND(ISNUMBER($G79),$G79&lt;=IF($S79=MesCiclo,InicioCiclo,$S79+MOD(2-WEEKDAY($S79),7))+20),1,IF(ISNUMBER($K79),$K79,$Z79)))</f>
        <v/>
      </c>
      <c r="AB79" s="62">
        <f>IF($V79="","",IF(AND(ISNUMBER($G79),$G79&lt;=IF($S79=MesCiclo,InicioCiclo,$S79+MOD(2-WEEKDAY($S79),7))+27),1,IF(ISNUMBER($L79),$L79,$AA79)))</f>
        <v/>
      </c>
      <c r="AC79" s="62">
        <f>IF($V79="","",IF(AND(ISNUMBER($G79),$G79&lt;=IF($S79=MesCiclo,InicioCiclo,$S79+MOD(2-WEEKDAY($S79),7))+6),1,IF(N($W79)&gt;0,AVERAGEIFS($Y$5:$Y$1000,$U$5:$U$1000,ROW(),$V$5:$V$1000,"Sub"),$Y79)))</f>
        <v/>
      </c>
      <c r="AD79" s="62">
        <f>IF($V79="","",IF(AND(ISNUMBER($G79),$G79&lt;=IF($S79=MesCiclo,InicioCiclo,$S79+MOD(2-WEEKDAY($S79),7))+13),1,IF(N($W79)&gt;0,AVERAGEIFS($Z$5:$Z$1000,$U$5:$U$1000,ROW(),$V$5:$V$1000,"Sub"),$Z79)))</f>
        <v/>
      </c>
      <c r="AE79" s="62">
        <f>IF($V79="","",IF(AND(ISNUMBER($G79),$G79&lt;=IF($S79=MesCiclo,InicioCiclo,$S79+MOD(2-WEEKDAY($S79),7))+20),1,IF(N($W79)&gt;0,AVERAGEIFS($AA$5:$AA$1000,$U$5:$U$1000,ROW(),$V$5:$V$1000,"Sub"),$AA79)))</f>
        <v/>
      </c>
      <c r="AF79" s="62">
        <f>IF($V79="","",IF(AND(ISNUMBER($G79),$G79&lt;=IF($S79=MesCiclo,InicioCiclo,$S79+MOD(2-WEEKDAY($S79),7))+27),1,IF(N($W79)&gt;0,AVERAGEIFS($AB$5:$AB$1000,$U$5:$U$1000,ROW(),$V$5:$V$1000,"Sub"),$AB79)))</f>
        <v/>
      </c>
      <c r="AG79" s="62">
        <f>IF($V79&lt;&gt;"Macro","",IF(COUNTIFS($S$5:$S$1000,$S79,$V$5:$V$1000,"Macro",$H$5:$H$1000,"&gt;0")=0,1/COUNTIFS($S$5:$S$1000,$S79,$V$5:$V$1000,"Macro"),IF(AND(ISNUMBER($H79),N($H79)&gt;0),$H79,SUMIFS($H$5:$H$1000,$S$5:$S$1000,$S79,$V$5:$V$1000,"Macro")/COUNTIFS($S$5:$S$1000,$S79,$V$5:$V$1000,"Macro",$H$5:$H$1000,"&gt;0"))/(COUNTIFS($S$5:$S$1000,$S79,$V$5:$V$1000,"Macro")*SUMIFS($H$5:$H$1000,$S$5:$S$1000,$S79,$V$5:$V$1000,"Macro")/COUNTIFS($S$5:$S$1000,$S79,$V$5:$V$1000,"Macro",$H$5:$H$1000,"&gt;0"))))</f>
        <v/>
      </c>
      <c r="AH79" s="62">
        <f>IF(NOT(AND($D79&lt;&gt;"",$V79="Macro")),"",IFERROR(CHOOSE(MATCH($D79,ListaPuestos,0),MATCH("[Jefatura] "&amp;$C79,'Cronograma R. Operacional'!$C$5:$C$1000,0),MATCH("[Jefatura] "&amp;$C79,'Cronograma R. Normativo'!$C$5:$C$1000,0),MATCH("[Jefatura] "&amp;$C79,'Cronograma R. Financiero'!$C$5:$C$1000,0),MATCH("[Jefatura] "&amp;$C79,'Cronograma Asistente Técnico'!$C$5:$C$1000,0)),0))</f>
        <v/>
      </c>
      <c r="AI79" s="62">
        <f>IF(AND(AND($D79&lt;&gt;"",$V79="Macro"),$S79=MesCiclo),COUNTIFS($D$5:$D79,$D79,$S$5:$S79,MesCiclo,$V$5:$V79,"Macro"),"")</f>
        <v/>
      </c>
      <c r="AJ79" s="62">
        <f>IF($AI79="","",$D79&amp;"|"&amp;$AI79)</f>
        <v/>
      </c>
      <c r="AK79" s="62">
        <f>IF(AND($D79&lt;&gt;"",$V79="Macro"),$D79&amp;"|"&amp;$C79,"")</f>
        <v/>
      </c>
      <c r="AL79" s="62">
        <f>""</f>
        <v/>
      </c>
      <c r="AM79" s="62">
        <f>IF(N($AL79)&gt;0,INDEX(rIni_ADM,$AL79),IF(ISNUMBER($E79),$E79,""))</f>
        <v/>
      </c>
      <c r="AN79" s="62">
        <f>IF(N($AL79)&gt;0,INDEX(rLim_ADM,$AL79),IF(ISNUMBER($F79),$F79,""))</f>
        <v/>
      </c>
    </row>
    <row r="80">
      <c r="A80" s="56">
        <f>IF(NOT((COUNTA($B80:$D80)+COUNTA($G80:$L80)+COUNTA($Q80))&gt;0),"",IF($V80="Macro",COUNTIFS($V$5:$V80,"Macro",$S$5:$S80,$S80),IF(N($U80)=0,"?",COUNTIFS(INDEX($V$5:$V$1000,1):INDEX($V$5:$V$1000,$U80-4),"Macro",INDEX($S$5:$S$1000,1):INDEX($S$5:$S$1000,$U80-4),INDEX($S$5:$S$1000,$U80-4))&amp;"."&amp;COUNTIFS($U$5:$U80,$U80,$V$5:$V80,"Sub"))))</f>
        <v/>
      </c>
      <c r="B80" s="57" t="n"/>
      <c r="C80" s="58" t="n"/>
      <c r="D80" s="58" t="n"/>
      <c r="E80" s="59" t="n"/>
      <c r="F80" s="59" t="n"/>
      <c r="G80" s="59" t="n"/>
      <c r="H80" s="60" t="n"/>
      <c r="I80" s="60" t="n"/>
      <c r="J80" s="60" t="n"/>
      <c r="K80" s="60" t="n"/>
      <c r="L80" s="60" t="n"/>
      <c r="M80" s="61">
        <f>IF(NOT((COUNTA($B80:$D80)+COUNTA($G80:$L80)+COUNTA($Q80))&gt;0),"",IF(AND($D80&lt;&gt;"",$V80="Macro"),IF(N($AH80)&gt;0,N(CHOOSE(MATCH($D80,ListaPuestos,0),INDEX('Cronograma R. Operacional'!$M$5:$M$1000,$AH80),INDEX('Cronograma R. Normativo'!$M$5:$M$1000,$AH80),INDEX('Cronograma R. Financiero'!$M$5:$M$1000,$AH80),INDEX('Cronograma Asistente Técnico'!$M$5:$M$1000,$AH80))),0),IF(ISNUMBER($G80),1,IF(N($W80)&gt;0,AVERAGEIFS($X$5:$X$1000,$U$5:$U$1000,ROW(),$V$5:$V$1000,"Sub"),$X80))))</f>
        <v/>
      </c>
      <c r="N80" s="56">
        <f>IF($M80="","",IF($M80&gt;=1,"Completado",IF($M80&gt;0,"En curso","Pendiente")))</f>
        <v/>
      </c>
      <c r="O80" s="56">
        <f>IF(NOT((COUNTA($B80:$D80)+COUNTA($G80:$L80)+COUNTA($Q80))&gt;0),"",IF(AND(AND($D80&lt;&gt;"",$V80="Macro"),N($AH80)&gt;0),CHOOSE(MATCH($D80,ListaPuestos,0),INDEX('Cronograma R. Operacional'!$O$5:$O$1000,$AH80),INDEX('Cronograma R. Normativo'!$O$5:$O$1000,$AH80),INDEX('Cronograma R. Financiero'!$O$5:$O$1000,$AH80),INDEX('Cronograma Asistente Técnico'!$O$5:$O$1000,$AH80))&amp;"",IF(ISNUMBER($G80),IF(AND(ISNUMBER($AN80),$G80&gt;$AN80),"Cumplida con "&amp;($G80-$AN80)&amp;IF($G80-$AN80=1," día"," días")&amp;" de retraso","Cumplida"),IF(N($M80)&gt;=1,"Cumplida",IF(NOT(ISNUMBER($AN80)),"Sin fecha límite",IF($AN80&lt;FechaRef,"Vencida hace "&amp;(FechaRef-$AN80)&amp;IF(FechaRef-$AN80=1," día"," días"),IF($AN80=FechaRef,"Vence hoy",IF($AN80-FechaRef&lt;=DiasAlerta,"Vence en "&amp;($AN80-FechaRef)&amp;IF($AN80-FechaRef=1," día"," días"),"En plazo"))))))))</f>
        <v/>
      </c>
      <c r="P80" s="62">
        <f>IF(NOT((COUNTA($B80:$D80)+COUNTA($G80:$L80)+COUNTA($Q80))&gt;0),"",IF($D80="","Propia",IF($V80&lt;&gt;"Macro","Solo se delegan macroactividades",IF(N($AH80)&gt;0,"✔ Recibida por "&amp;$D80,"⚠ "&amp;$D80&amp;" aún no la agrega"))))</f>
        <v/>
      </c>
      <c r="Q80" s="58" t="n"/>
      <c r="R80" s="63">
        <f>IF(NOT((COUNTA($B80:$D80)+COUNTA($G80:$L80)+COUNTA($Q80))&gt;0),"",IF((IF($C80="","Falta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",""))="","✔ OK","⚠ "&amp;LEFT(IF($C80="","Falta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",""),LEN(IF($C80="","Falta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",""))-3)))</f>
        <v/>
      </c>
      <c r="S80" s="64">
        <f>IF(NOT((COUNTA($B80:$D80)+COUNTA($G80:$L80)+COUNTA($Q80))&gt;0),"",IF(AND($V80="Sub",N($U80)&gt;0),IF(ISNUMBER(INDEX($AM$5:$AM$1000,$U80-4)),DATE(YEAR(INDEX($AM$5:$AM$1000,$U80-4)),MONTH(INDEX($AM$5:$AM$1000,$U80-4)),1),IF(ISNUMBER(INDEX($AN$5:$AN$1000,$U80-4)),DATE(YEAR(INDEX($AN$5:$AN$1000,$U80-4)),MONTH(INDEX($AN$5:$AN$1000,$U80-4)),1),MesCiclo)),IF(ISNUMBER($AM80),DATE(YEAR($AM80),MONTH($AM80),1),IF(ISNUMBER($AN80),DATE(YEAR($AN80),MONTH($AN80),1),MesCiclo))))</f>
        <v/>
      </c>
      <c r="T80" s="62">
        <f>IF(OR($S80="",$S80&lt;&gt;MesCiclo),"",COUNTIF($S$5:$S80,MesCiclo))</f>
        <v/>
      </c>
      <c r="U80" s="62">
        <f>IF($V80="","",IF($V80="Macro",ROW(),IFERROR(LOOKUP(2,1/($V$5:$V80="Macro"),ROW($V$5:$V80)),0)))</f>
        <v/>
      </c>
      <c r="V80" s="62">
        <f>IF(NOT((COUNTA($B80:$D80)+COUNTA($G80:$L80)+COUNTA($Q80))&gt;0),"",IF($B80="Subactividad","Sub","Macro"))</f>
        <v/>
      </c>
      <c r="W80" s="62">
        <f>IF($V80="Macro",COUNTIFS($U$5:$U$1000,ROW(),$V$5:$V$1000,"Sub"),"")</f>
        <v/>
      </c>
      <c r="X80" s="62">
        <f>IF($V80="","",IF(ISNUMBER($G80),1,IFERROR(LOOKUP(2,1/($I80:$L80&lt;&gt;""),$I80:$L80),0)))</f>
        <v/>
      </c>
      <c r="Y80" s="62">
        <f>IF($V80="","",IF(AND(ISNUMBER($G80),$G80&lt;=IF($S80=MesCiclo,InicioCiclo,$S80+MOD(2-WEEKDAY($S80),7))+6),1,IF(ISNUMBER($I80),$I80,0)))</f>
        <v/>
      </c>
      <c r="Z80" s="62">
        <f>IF($V80="","",IF(AND(ISNUMBER($G80),$G80&lt;=IF($S80=MesCiclo,InicioCiclo,$S80+MOD(2-WEEKDAY($S80),7))+13),1,IF(ISNUMBER($J80),$J80,$Y80)))</f>
        <v/>
      </c>
      <c r="AA80" s="62">
        <f>IF($V80="","",IF(AND(ISNUMBER($G80),$G80&lt;=IF($S80=MesCiclo,InicioCiclo,$S80+MOD(2-WEEKDAY($S80),7))+20),1,IF(ISNUMBER($K80),$K80,$Z80)))</f>
        <v/>
      </c>
      <c r="AB80" s="62">
        <f>IF($V80="","",IF(AND(ISNUMBER($G80),$G80&lt;=IF($S80=MesCiclo,InicioCiclo,$S80+MOD(2-WEEKDAY($S80),7))+27),1,IF(ISNUMBER($L80),$L80,$AA80)))</f>
        <v/>
      </c>
      <c r="AC80" s="62">
        <f>IF($V80="","",IF(AND(ISNUMBER($G80),$G80&lt;=IF($S80=MesCiclo,InicioCiclo,$S80+MOD(2-WEEKDAY($S80),7))+6),1,IF(N($W80)&gt;0,AVERAGEIFS($Y$5:$Y$1000,$U$5:$U$1000,ROW(),$V$5:$V$1000,"Sub"),$Y80)))</f>
        <v/>
      </c>
      <c r="AD80" s="62">
        <f>IF($V80="","",IF(AND(ISNUMBER($G80),$G80&lt;=IF($S80=MesCiclo,InicioCiclo,$S80+MOD(2-WEEKDAY($S80),7))+13),1,IF(N($W80)&gt;0,AVERAGEIFS($Z$5:$Z$1000,$U$5:$U$1000,ROW(),$V$5:$V$1000,"Sub"),$Z80)))</f>
        <v/>
      </c>
      <c r="AE80" s="62">
        <f>IF($V80="","",IF(AND(ISNUMBER($G80),$G80&lt;=IF($S80=MesCiclo,InicioCiclo,$S80+MOD(2-WEEKDAY($S80),7))+20),1,IF(N($W80)&gt;0,AVERAGEIFS($AA$5:$AA$1000,$U$5:$U$1000,ROW(),$V$5:$V$1000,"Sub"),$AA80)))</f>
        <v/>
      </c>
      <c r="AF80" s="62">
        <f>IF($V80="","",IF(AND(ISNUMBER($G80),$G80&lt;=IF($S80=MesCiclo,InicioCiclo,$S80+MOD(2-WEEKDAY($S80),7))+27),1,IF(N($W80)&gt;0,AVERAGEIFS($AB$5:$AB$1000,$U$5:$U$1000,ROW(),$V$5:$V$1000,"Sub"),$AB80)))</f>
        <v/>
      </c>
      <c r="AG80" s="62">
        <f>IF($V80&lt;&gt;"Macro","",IF(COUNTIFS($S$5:$S$1000,$S80,$V$5:$V$1000,"Macro",$H$5:$H$1000,"&gt;0")=0,1/COUNTIFS($S$5:$S$1000,$S80,$V$5:$V$1000,"Macro"),IF(AND(ISNUMBER($H80),N($H80)&gt;0),$H80,SUMIFS($H$5:$H$1000,$S$5:$S$1000,$S80,$V$5:$V$1000,"Macro")/COUNTIFS($S$5:$S$1000,$S80,$V$5:$V$1000,"Macro",$H$5:$H$1000,"&gt;0"))/(COUNTIFS($S$5:$S$1000,$S80,$V$5:$V$1000,"Macro")*SUMIFS($H$5:$H$1000,$S$5:$S$1000,$S80,$V$5:$V$1000,"Macro")/COUNTIFS($S$5:$S$1000,$S80,$V$5:$V$1000,"Macro",$H$5:$H$1000,"&gt;0"))))</f>
        <v/>
      </c>
      <c r="AH80" s="62">
        <f>IF(NOT(AND($D80&lt;&gt;"",$V80="Macro")),"",IFERROR(CHOOSE(MATCH($D80,ListaPuestos,0),MATCH("[Jefatura] "&amp;$C80,'Cronograma R. Operacional'!$C$5:$C$1000,0),MATCH("[Jefatura] "&amp;$C80,'Cronograma R. Normativo'!$C$5:$C$1000,0),MATCH("[Jefatura] "&amp;$C80,'Cronograma R. Financiero'!$C$5:$C$1000,0),MATCH("[Jefatura] "&amp;$C80,'Cronograma Asistente Técnico'!$C$5:$C$1000,0)),0))</f>
        <v/>
      </c>
      <c r="AI80" s="62">
        <f>IF(AND(AND($D80&lt;&gt;"",$V80="Macro"),$S80=MesCiclo),COUNTIFS($D$5:$D80,$D80,$S$5:$S80,MesCiclo,$V$5:$V80,"Macro"),"")</f>
        <v/>
      </c>
      <c r="AJ80" s="62">
        <f>IF($AI80="","",$D80&amp;"|"&amp;$AI80)</f>
        <v/>
      </c>
      <c r="AK80" s="62">
        <f>IF(AND($D80&lt;&gt;"",$V80="Macro"),$D80&amp;"|"&amp;$C80,"")</f>
        <v/>
      </c>
      <c r="AL80" s="62">
        <f>""</f>
        <v/>
      </c>
      <c r="AM80" s="62">
        <f>IF(N($AL80)&gt;0,INDEX(rIni_ADM,$AL80),IF(ISNUMBER($E80),$E80,""))</f>
        <v/>
      </c>
      <c r="AN80" s="62">
        <f>IF(N($AL80)&gt;0,INDEX(rLim_ADM,$AL80),IF(ISNUMBER($F80),$F80,""))</f>
        <v/>
      </c>
    </row>
    <row r="81">
      <c r="A81" s="56">
        <f>IF(NOT((COUNTA($B81:$D81)+COUNTA($G81:$L81)+COUNTA($Q81))&gt;0),"",IF($V81="Macro",COUNTIFS($V$5:$V81,"Macro",$S$5:$S81,$S81),IF(N($U81)=0,"?",COUNTIFS(INDEX($V$5:$V$1000,1):INDEX($V$5:$V$1000,$U81-4),"Macro",INDEX($S$5:$S$1000,1):INDEX($S$5:$S$1000,$U81-4),INDEX($S$5:$S$1000,$U81-4))&amp;"."&amp;COUNTIFS($U$5:$U81,$U81,$V$5:$V81,"Sub"))))</f>
        <v/>
      </c>
      <c r="B81" s="57" t="n"/>
      <c r="C81" s="58" t="n"/>
      <c r="D81" s="58" t="n"/>
      <c r="E81" s="59" t="n"/>
      <c r="F81" s="59" t="n"/>
      <c r="G81" s="59" t="n"/>
      <c r="H81" s="60" t="n"/>
      <c r="I81" s="60" t="n"/>
      <c r="J81" s="60" t="n"/>
      <c r="K81" s="60" t="n"/>
      <c r="L81" s="60" t="n"/>
      <c r="M81" s="61">
        <f>IF(NOT((COUNTA($B81:$D81)+COUNTA($G81:$L81)+COUNTA($Q81))&gt;0),"",IF(AND($D81&lt;&gt;"",$V81="Macro"),IF(N($AH81)&gt;0,N(CHOOSE(MATCH($D81,ListaPuestos,0),INDEX('Cronograma R. Operacional'!$M$5:$M$1000,$AH81),INDEX('Cronograma R. Normativo'!$M$5:$M$1000,$AH81),INDEX('Cronograma R. Financiero'!$M$5:$M$1000,$AH81),INDEX('Cronograma Asistente Técnico'!$M$5:$M$1000,$AH81))),0),IF(ISNUMBER($G81),1,IF(N($W81)&gt;0,AVERAGEIFS($X$5:$X$1000,$U$5:$U$1000,ROW(),$V$5:$V$1000,"Sub"),$X81))))</f>
        <v/>
      </c>
      <c r="N81" s="56">
        <f>IF($M81="","",IF($M81&gt;=1,"Completado",IF($M81&gt;0,"En curso","Pendiente")))</f>
        <v/>
      </c>
      <c r="O81" s="56">
        <f>IF(NOT((COUNTA($B81:$D81)+COUNTA($G81:$L81)+COUNTA($Q81))&gt;0),"",IF(AND(AND($D81&lt;&gt;"",$V81="Macro"),N($AH81)&gt;0),CHOOSE(MATCH($D81,ListaPuestos,0),INDEX('Cronograma R. Operacional'!$O$5:$O$1000,$AH81),INDEX('Cronograma R. Normativo'!$O$5:$O$1000,$AH81),INDEX('Cronograma R. Financiero'!$O$5:$O$1000,$AH81),INDEX('Cronograma Asistente Técnico'!$O$5:$O$1000,$AH81))&amp;"",IF(ISNUMBER($G81),IF(AND(ISNUMBER($AN81),$G81&gt;$AN81),"Cumplida con "&amp;($G81-$AN81)&amp;IF($G81-$AN81=1," día"," días")&amp;" de retraso","Cumplida"),IF(N($M81)&gt;=1,"Cumplida",IF(NOT(ISNUMBER($AN81)),"Sin fecha límite",IF($AN81&lt;FechaRef,"Vencida hace "&amp;(FechaRef-$AN81)&amp;IF(FechaRef-$AN81=1," día"," días"),IF($AN81=FechaRef,"Vence hoy",IF($AN81-FechaRef&lt;=DiasAlerta,"Vence en "&amp;($AN81-FechaRef)&amp;IF($AN81-FechaRef=1," día"," días"),"En plazo"))))))))</f>
        <v/>
      </c>
      <c r="P81" s="62">
        <f>IF(NOT((COUNTA($B81:$D81)+COUNTA($G81:$L81)+COUNTA($Q81))&gt;0),"",IF($D81="","Propia",IF($V81&lt;&gt;"Macro","Solo se delegan macroactividades",IF(N($AH81)&gt;0,"✔ Recibida por "&amp;$D81,"⚠ "&amp;$D81&amp;" aún no la agrega"))))</f>
        <v/>
      </c>
      <c r="Q81" s="58" t="n"/>
      <c r="R81" s="63">
        <f>IF(NOT((COUNTA($B81:$D81)+COUNTA($G81:$L81)+COUNTA($Q81))&gt;0),"",IF((IF($C81="","Falta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",""))="","✔ OK","⚠ "&amp;LEFT(IF($C81="","Falta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",""),LEN(IF($C81="","Falta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",""))-3)))</f>
        <v/>
      </c>
      <c r="S81" s="64">
        <f>IF(NOT((COUNTA($B81:$D81)+COUNTA($G81:$L81)+COUNTA($Q81))&gt;0),"",IF(AND($V81="Sub",N($U81)&gt;0),IF(ISNUMBER(INDEX($AM$5:$AM$1000,$U81-4)),DATE(YEAR(INDEX($AM$5:$AM$1000,$U81-4)),MONTH(INDEX($AM$5:$AM$1000,$U81-4)),1),IF(ISNUMBER(INDEX($AN$5:$AN$1000,$U81-4)),DATE(YEAR(INDEX($AN$5:$AN$1000,$U81-4)),MONTH(INDEX($AN$5:$AN$1000,$U81-4)),1),MesCiclo)),IF(ISNUMBER($AM81),DATE(YEAR($AM81),MONTH($AM81),1),IF(ISNUMBER($AN81),DATE(YEAR($AN81),MONTH($AN81),1),MesCiclo))))</f>
        <v/>
      </c>
      <c r="T81" s="62">
        <f>IF(OR($S81="",$S81&lt;&gt;MesCiclo),"",COUNTIF($S$5:$S81,MesCiclo))</f>
        <v/>
      </c>
      <c r="U81" s="62">
        <f>IF($V81="","",IF($V81="Macro",ROW(),IFERROR(LOOKUP(2,1/($V$5:$V81="Macro"),ROW($V$5:$V81)),0)))</f>
        <v/>
      </c>
      <c r="V81" s="62">
        <f>IF(NOT((COUNTA($B81:$D81)+COUNTA($G81:$L81)+COUNTA($Q81))&gt;0),"",IF($B81="Subactividad","Sub","Macro"))</f>
        <v/>
      </c>
      <c r="W81" s="62">
        <f>IF($V81="Macro",COUNTIFS($U$5:$U$1000,ROW(),$V$5:$V$1000,"Sub"),"")</f>
        <v/>
      </c>
      <c r="X81" s="62">
        <f>IF($V81="","",IF(ISNUMBER($G81),1,IFERROR(LOOKUP(2,1/($I81:$L81&lt;&gt;""),$I81:$L81),0)))</f>
        <v/>
      </c>
      <c r="Y81" s="62">
        <f>IF($V81="","",IF(AND(ISNUMBER($G81),$G81&lt;=IF($S81=MesCiclo,InicioCiclo,$S81+MOD(2-WEEKDAY($S81),7))+6),1,IF(ISNUMBER($I81),$I81,0)))</f>
        <v/>
      </c>
      <c r="Z81" s="62">
        <f>IF($V81="","",IF(AND(ISNUMBER($G81),$G81&lt;=IF($S81=MesCiclo,InicioCiclo,$S81+MOD(2-WEEKDAY($S81),7))+13),1,IF(ISNUMBER($J81),$J81,$Y81)))</f>
        <v/>
      </c>
      <c r="AA81" s="62">
        <f>IF($V81="","",IF(AND(ISNUMBER($G81),$G81&lt;=IF($S81=MesCiclo,InicioCiclo,$S81+MOD(2-WEEKDAY($S81),7))+20),1,IF(ISNUMBER($K81),$K81,$Z81)))</f>
        <v/>
      </c>
      <c r="AB81" s="62">
        <f>IF($V81="","",IF(AND(ISNUMBER($G81),$G81&lt;=IF($S81=MesCiclo,InicioCiclo,$S81+MOD(2-WEEKDAY($S81),7))+27),1,IF(ISNUMBER($L81),$L81,$AA81)))</f>
        <v/>
      </c>
      <c r="AC81" s="62">
        <f>IF($V81="","",IF(AND(ISNUMBER($G81),$G81&lt;=IF($S81=MesCiclo,InicioCiclo,$S81+MOD(2-WEEKDAY($S81),7))+6),1,IF(N($W81)&gt;0,AVERAGEIFS($Y$5:$Y$1000,$U$5:$U$1000,ROW(),$V$5:$V$1000,"Sub"),$Y81)))</f>
        <v/>
      </c>
      <c r="AD81" s="62">
        <f>IF($V81="","",IF(AND(ISNUMBER($G81),$G81&lt;=IF($S81=MesCiclo,InicioCiclo,$S81+MOD(2-WEEKDAY($S81),7))+13),1,IF(N($W81)&gt;0,AVERAGEIFS($Z$5:$Z$1000,$U$5:$U$1000,ROW(),$V$5:$V$1000,"Sub"),$Z81)))</f>
        <v/>
      </c>
      <c r="AE81" s="62">
        <f>IF($V81="","",IF(AND(ISNUMBER($G81),$G81&lt;=IF($S81=MesCiclo,InicioCiclo,$S81+MOD(2-WEEKDAY($S81),7))+20),1,IF(N($W81)&gt;0,AVERAGEIFS($AA$5:$AA$1000,$U$5:$U$1000,ROW(),$V$5:$V$1000,"Sub"),$AA81)))</f>
        <v/>
      </c>
      <c r="AF81" s="62">
        <f>IF($V81="","",IF(AND(ISNUMBER($G81),$G81&lt;=IF($S81=MesCiclo,InicioCiclo,$S81+MOD(2-WEEKDAY($S81),7))+27),1,IF(N($W81)&gt;0,AVERAGEIFS($AB$5:$AB$1000,$U$5:$U$1000,ROW(),$V$5:$V$1000,"Sub"),$AB81)))</f>
        <v/>
      </c>
      <c r="AG81" s="62">
        <f>IF($V81&lt;&gt;"Macro","",IF(COUNTIFS($S$5:$S$1000,$S81,$V$5:$V$1000,"Macro",$H$5:$H$1000,"&gt;0")=0,1/COUNTIFS($S$5:$S$1000,$S81,$V$5:$V$1000,"Macro"),IF(AND(ISNUMBER($H81),N($H81)&gt;0),$H81,SUMIFS($H$5:$H$1000,$S$5:$S$1000,$S81,$V$5:$V$1000,"Macro")/COUNTIFS($S$5:$S$1000,$S81,$V$5:$V$1000,"Macro",$H$5:$H$1000,"&gt;0"))/(COUNTIFS($S$5:$S$1000,$S81,$V$5:$V$1000,"Macro")*SUMIFS($H$5:$H$1000,$S$5:$S$1000,$S81,$V$5:$V$1000,"Macro")/COUNTIFS($S$5:$S$1000,$S81,$V$5:$V$1000,"Macro",$H$5:$H$1000,"&gt;0"))))</f>
        <v/>
      </c>
      <c r="AH81" s="62">
        <f>IF(NOT(AND($D81&lt;&gt;"",$V81="Macro")),"",IFERROR(CHOOSE(MATCH($D81,ListaPuestos,0),MATCH("[Jefatura] "&amp;$C81,'Cronograma R. Operacional'!$C$5:$C$1000,0),MATCH("[Jefatura] "&amp;$C81,'Cronograma R. Normativo'!$C$5:$C$1000,0),MATCH("[Jefatura] "&amp;$C81,'Cronograma R. Financiero'!$C$5:$C$1000,0),MATCH("[Jefatura] "&amp;$C81,'Cronograma Asistente Técnico'!$C$5:$C$1000,0)),0))</f>
        <v/>
      </c>
      <c r="AI81" s="62">
        <f>IF(AND(AND($D81&lt;&gt;"",$V81="Macro"),$S81=MesCiclo),COUNTIFS($D$5:$D81,$D81,$S$5:$S81,MesCiclo,$V$5:$V81,"Macro"),"")</f>
        <v/>
      </c>
      <c r="AJ81" s="62">
        <f>IF($AI81="","",$D81&amp;"|"&amp;$AI81)</f>
        <v/>
      </c>
      <c r="AK81" s="62">
        <f>IF(AND($D81&lt;&gt;"",$V81="Macro"),$D81&amp;"|"&amp;$C81,"")</f>
        <v/>
      </c>
      <c r="AL81" s="62">
        <f>""</f>
        <v/>
      </c>
      <c r="AM81" s="62">
        <f>IF(N($AL81)&gt;0,INDEX(rIni_ADM,$AL81),IF(ISNUMBER($E81),$E81,""))</f>
        <v/>
      </c>
      <c r="AN81" s="62">
        <f>IF(N($AL81)&gt;0,INDEX(rLim_ADM,$AL81),IF(ISNUMBER($F81),$F81,""))</f>
        <v/>
      </c>
    </row>
    <row r="82">
      <c r="A82" s="56">
        <f>IF(NOT((COUNTA($B82:$D82)+COUNTA($G82:$L82)+COUNTA($Q82))&gt;0),"",IF($V82="Macro",COUNTIFS($V$5:$V82,"Macro",$S$5:$S82,$S82),IF(N($U82)=0,"?",COUNTIFS(INDEX($V$5:$V$1000,1):INDEX($V$5:$V$1000,$U82-4),"Macro",INDEX($S$5:$S$1000,1):INDEX($S$5:$S$1000,$U82-4),INDEX($S$5:$S$1000,$U82-4))&amp;"."&amp;COUNTIFS($U$5:$U82,$U82,$V$5:$V82,"Sub"))))</f>
        <v/>
      </c>
      <c r="B82" s="57" t="n"/>
      <c r="C82" s="58" t="n"/>
      <c r="D82" s="58" t="n"/>
      <c r="E82" s="59" t="n"/>
      <c r="F82" s="59" t="n"/>
      <c r="G82" s="59" t="n"/>
      <c r="H82" s="60" t="n"/>
      <c r="I82" s="60" t="n"/>
      <c r="J82" s="60" t="n"/>
      <c r="K82" s="60" t="n"/>
      <c r="L82" s="60" t="n"/>
      <c r="M82" s="61">
        <f>IF(NOT((COUNTA($B82:$D82)+COUNTA($G82:$L82)+COUNTA($Q82))&gt;0),"",IF(AND($D82&lt;&gt;"",$V82="Macro"),IF(N($AH82)&gt;0,N(CHOOSE(MATCH($D82,ListaPuestos,0),INDEX('Cronograma R. Operacional'!$M$5:$M$1000,$AH82),INDEX('Cronograma R. Normativo'!$M$5:$M$1000,$AH82),INDEX('Cronograma R. Financiero'!$M$5:$M$1000,$AH82),INDEX('Cronograma Asistente Técnico'!$M$5:$M$1000,$AH82))),0),IF(ISNUMBER($G82),1,IF(N($W82)&gt;0,AVERAGEIFS($X$5:$X$1000,$U$5:$U$1000,ROW(),$V$5:$V$1000,"Sub"),$X82))))</f>
        <v/>
      </c>
      <c r="N82" s="56">
        <f>IF($M82="","",IF($M82&gt;=1,"Completado",IF($M82&gt;0,"En curso","Pendiente")))</f>
        <v/>
      </c>
      <c r="O82" s="56">
        <f>IF(NOT((COUNTA($B82:$D82)+COUNTA($G82:$L82)+COUNTA($Q82))&gt;0),"",IF(AND(AND($D82&lt;&gt;"",$V82="Macro"),N($AH82)&gt;0),CHOOSE(MATCH($D82,ListaPuestos,0),INDEX('Cronograma R. Operacional'!$O$5:$O$1000,$AH82),INDEX('Cronograma R. Normativo'!$O$5:$O$1000,$AH82),INDEX('Cronograma R. Financiero'!$O$5:$O$1000,$AH82),INDEX('Cronograma Asistente Técnico'!$O$5:$O$1000,$AH82))&amp;"",IF(ISNUMBER($G82),IF(AND(ISNUMBER($AN82),$G82&gt;$AN82),"Cumplida con "&amp;($G82-$AN82)&amp;IF($G82-$AN82=1," día"," días")&amp;" de retraso","Cumplida"),IF(N($M82)&gt;=1,"Cumplida",IF(NOT(ISNUMBER($AN82)),"Sin fecha límite",IF($AN82&lt;FechaRef,"Vencida hace "&amp;(FechaRef-$AN82)&amp;IF(FechaRef-$AN82=1," día"," días"),IF($AN82=FechaRef,"Vence hoy",IF($AN82-FechaRef&lt;=DiasAlerta,"Vence en "&amp;($AN82-FechaRef)&amp;IF($AN82-FechaRef=1," día"," días"),"En plazo"))))))))</f>
        <v/>
      </c>
      <c r="P82" s="62">
        <f>IF(NOT((COUNTA($B82:$D82)+COUNTA($G82:$L82)+COUNTA($Q82))&gt;0),"",IF($D82="","Propia",IF($V82&lt;&gt;"Macro","Solo se delegan macroactividades",IF(N($AH82)&gt;0,"✔ Recibida por "&amp;$D82,"⚠ "&amp;$D82&amp;" aún no la agrega"))))</f>
        <v/>
      </c>
      <c r="Q82" s="58" t="n"/>
      <c r="R82" s="63">
        <f>IF(NOT((COUNTA($B82:$D82)+COUNTA($G82:$L82)+COUNTA($Q82))&gt;0),"",IF((IF($C82="","Falta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",""))="","✔ OK","⚠ "&amp;LEFT(IF($C82="","Falta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",""),LEN(IF($C82="","Falta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",""))-3)))</f>
        <v/>
      </c>
      <c r="S82" s="64">
        <f>IF(NOT((COUNTA($B82:$D82)+COUNTA($G82:$L82)+COUNTA($Q82))&gt;0),"",IF(AND($V82="Sub",N($U82)&gt;0),IF(ISNUMBER(INDEX($AM$5:$AM$1000,$U82-4)),DATE(YEAR(INDEX($AM$5:$AM$1000,$U82-4)),MONTH(INDEX($AM$5:$AM$1000,$U82-4)),1),IF(ISNUMBER(INDEX($AN$5:$AN$1000,$U82-4)),DATE(YEAR(INDEX($AN$5:$AN$1000,$U82-4)),MONTH(INDEX($AN$5:$AN$1000,$U82-4)),1),MesCiclo)),IF(ISNUMBER($AM82),DATE(YEAR($AM82),MONTH($AM82),1),IF(ISNUMBER($AN82),DATE(YEAR($AN82),MONTH($AN82),1),MesCiclo))))</f>
        <v/>
      </c>
      <c r="T82" s="62">
        <f>IF(OR($S82="",$S82&lt;&gt;MesCiclo),"",COUNTIF($S$5:$S82,MesCiclo))</f>
        <v/>
      </c>
      <c r="U82" s="62">
        <f>IF($V82="","",IF($V82="Macro",ROW(),IFERROR(LOOKUP(2,1/($V$5:$V82="Macro"),ROW($V$5:$V82)),0)))</f>
        <v/>
      </c>
      <c r="V82" s="62">
        <f>IF(NOT((COUNTA($B82:$D82)+COUNTA($G82:$L82)+COUNTA($Q82))&gt;0),"",IF($B82="Subactividad","Sub","Macro"))</f>
        <v/>
      </c>
      <c r="W82" s="62">
        <f>IF($V82="Macro",COUNTIFS($U$5:$U$1000,ROW(),$V$5:$V$1000,"Sub"),"")</f>
        <v/>
      </c>
      <c r="X82" s="62">
        <f>IF($V82="","",IF(ISNUMBER($G82),1,IFERROR(LOOKUP(2,1/($I82:$L82&lt;&gt;""),$I82:$L82),0)))</f>
        <v/>
      </c>
      <c r="Y82" s="62">
        <f>IF($V82="","",IF(AND(ISNUMBER($G82),$G82&lt;=IF($S82=MesCiclo,InicioCiclo,$S82+MOD(2-WEEKDAY($S82),7))+6),1,IF(ISNUMBER($I82),$I82,0)))</f>
        <v/>
      </c>
      <c r="Z82" s="62">
        <f>IF($V82="","",IF(AND(ISNUMBER($G82),$G82&lt;=IF($S82=MesCiclo,InicioCiclo,$S82+MOD(2-WEEKDAY($S82),7))+13),1,IF(ISNUMBER($J82),$J82,$Y82)))</f>
        <v/>
      </c>
      <c r="AA82" s="62">
        <f>IF($V82="","",IF(AND(ISNUMBER($G82),$G82&lt;=IF($S82=MesCiclo,InicioCiclo,$S82+MOD(2-WEEKDAY($S82),7))+20),1,IF(ISNUMBER($K82),$K82,$Z82)))</f>
        <v/>
      </c>
      <c r="AB82" s="62">
        <f>IF($V82="","",IF(AND(ISNUMBER($G82),$G82&lt;=IF($S82=MesCiclo,InicioCiclo,$S82+MOD(2-WEEKDAY($S82),7))+27),1,IF(ISNUMBER($L82),$L82,$AA82)))</f>
        <v/>
      </c>
      <c r="AC82" s="62">
        <f>IF($V82="","",IF(AND(ISNUMBER($G82),$G82&lt;=IF($S82=MesCiclo,InicioCiclo,$S82+MOD(2-WEEKDAY($S82),7))+6),1,IF(N($W82)&gt;0,AVERAGEIFS($Y$5:$Y$1000,$U$5:$U$1000,ROW(),$V$5:$V$1000,"Sub"),$Y82)))</f>
        <v/>
      </c>
      <c r="AD82" s="62">
        <f>IF($V82="","",IF(AND(ISNUMBER($G82),$G82&lt;=IF($S82=MesCiclo,InicioCiclo,$S82+MOD(2-WEEKDAY($S82),7))+13),1,IF(N($W82)&gt;0,AVERAGEIFS($Z$5:$Z$1000,$U$5:$U$1000,ROW(),$V$5:$V$1000,"Sub"),$Z82)))</f>
        <v/>
      </c>
      <c r="AE82" s="62">
        <f>IF($V82="","",IF(AND(ISNUMBER($G82),$G82&lt;=IF($S82=MesCiclo,InicioCiclo,$S82+MOD(2-WEEKDAY($S82),7))+20),1,IF(N($W82)&gt;0,AVERAGEIFS($AA$5:$AA$1000,$U$5:$U$1000,ROW(),$V$5:$V$1000,"Sub"),$AA82)))</f>
        <v/>
      </c>
      <c r="AF82" s="62">
        <f>IF($V82="","",IF(AND(ISNUMBER($G82),$G82&lt;=IF($S82=MesCiclo,InicioCiclo,$S82+MOD(2-WEEKDAY($S82),7))+27),1,IF(N($W82)&gt;0,AVERAGEIFS($AB$5:$AB$1000,$U$5:$U$1000,ROW(),$V$5:$V$1000,"Sub"),$AB82)))</f>
        <v/>
      </c>
      <c r="AG82" s="62">
        <f>IF($V82&lt;&gt;"Macro","",IF(COUNTIFS($S$5:$S$1000,$S82,$V$5:$V$1000,"Macro",$H$5:$H$1000,"&gt;0")=0,1/COUNTIFS($S$5:$S$1000,$S82,$V$5:$V$1000,"Macro"),IF(AND(ISNUMBER($H82),N($H82)&gt;0),$H82,SUMIFS($H$5:$H$1000,$S$5:$S$1000,$S82,$V$5:$V$1000,"Macro")/COUNTIFS($S$5:$S$1000,$S82,$V$5:$V$1000,"Macro",$H$5:$H$1000,"&gt;0"))/(COUNTIFS($S$5:$S$1000,$S82,$V$5:$V$1000,"Macro")*SUMIFS($H$5:$H$1000,$S$5:$S$1000,$S82,$V$5:$V$1000,"Macro")/COUNTIFS($S$5:$S$1000,$S82,$V$5:$V$1000,"Macro",$H$5:$H$1000,"&gt;0"))))</f>
        <v/>
      </c>
      <c r="AH82" s="62">
        <f>IF(NOT(AND($D82&lt;&gt;"",$V82="Macro")),"",IFERROR(CHOOSE(MATCH($D82,ListaPuestos,0),MATCH("[Jefatura] "&amp;$C82,'Cronograma R. Operacional'!$C$5:$C$1000,0),MATCH("[Jefatura] "&amp;$C82,'Cronograma R. Normativo'!$C$5:$C$1000,0),MATCH("[Jefatura] "&amp;$C82,'Cronograma R. Financiero'!$C$5:$C$1000,0),MATCH("[Jefatura] "&amp;$C82,'Cronograma Asistente Técnico'!$C$5:$C$1000,0)),0))</f>
        <v/>
      </c>
      <c r="AI82" s="62">
        <f>IF(AND(AND($D82&lt;&gt;"",$V82="Macro"),$S82=MesCiclo),COUNTIFS($D$5:$D82,$D82,$S$5:$S82,MesCiclo,$V$5:$V82,"Macro"),"")</f>
        <v/>
      </c>
      <c r="AJ82" s="62">
        <f>IF($AI82="","",$D82&amp;"|"&amp;$AI82)</f>
        <v/>
      </c>
      <c r="AK82" s="62">
        <f>IF(AND($D82&lt;&gt;"",$V82="Macro"),$D82&amp;"|"&amp;$C82,"")</f>
        <v/>
      </c>
      <c r="AL82" s="62">
        <f>""</f>
        <v/>
      </c>
      <c r="AM82" s="62">
        <f>IF(N($AL82)&gt;0,INDEX(rIni_ADM,$AL82),IF(ISNUMBER($E82),$E82,""))</f>
        <v/>
      </c>
      <c r="AN82" s="62">
        <f>IF(N($AL82)&gt;0,INDEX(rLim_ADM,$AL82),IF(ISNUMBER($F82),$F82,""))</f>
        <v/>
      </c>
    </row>
    <row r="83">
      <c r="A83" s="56">
        <f>IF(NOT((COUNTA($B83:$D83)+COUNTA($G83:$L83)+COUNTA($Q83))&gt;0),"",IF($V83="Macro",COUNTIFS($V$5:$V83,"Macro",$S$5:$S83,$S83),IF(N($U83)=0,"?",COUNTIFS(INDEX($V$5:$V$1000,1):INDEX($V$5:$V$1000,$U83-4),"Macro",INDEX($S$5:$S$1000,1):INDEX($S$5:$S$1000,$U83-4),INDEX($S$5:$S$1000,$U83-4))&amp;"."&amp;COUNTIFS($U$5:$U83,$U83,$V$5:$V83,"Sub"))))</f>
        <v/>
      </c>
      <c r="B83" s="57" t="n"/>
      <c r="C83" s="58" t="n"/>
      <c r="D83" s="58" t="n"/>
      <c r="E83" s="59" t="n"/>
      <c r="F83" s="59" t="n"/>
      <c r="G83" s="59" t="n"/>
      <c r="H83" s="60" t="n"/>
      <c r="I83" s="60" t="n"/>
      <c r="J83" s="60" t="n"/>
      <c r="K83" s="60" t="n"/>
      <c r="L83" s="60" t="n"/>
      <c r="M83" s="61">
        <f>IF(NOT((COUNTA($B83:$D83)+COUNTA($G83:$L83)+COUNTA($Q83))&gt;0),"",IF(AND($D83&lt;&gt;"",$V83="Macro"),IF(N($AH83)&gt;0,N(CHOOSE(MATCH($D83,ListaPuestos,0),INDEX('Cronograma R. Operacional'!$M$5:$M$1000,$AH83),INDEX('Cronograma R. Normativo'!$M$5:$M$1000,$AH83),INDEX('Cronograma R. Financiero'!$M$5:$M$1000,$AH83),INDEX('Cronograma Asistente Técnico'!$M$5:$M$1000,$AH83))),0),IF(ISNUMBER($G83),1,IF(N($W83)&gt;0,AVERAGEIFS($X$5:$X$1000,$U$5:$U$1000,ROW(),$V$5:$V$1000,"Sub"),$X83))))</f>
        <v/>
      </c>
      <c r="N83" s="56">
        <f>IF($M83="","",IF($M83&gt;=1,"Completado",IF($M83&gt;0,"En curso","Pendiente")))</f>
        <v/>
      </c>
      <c r="O83" s="56">
        <f>IF(NOT((COUNTA($B83:$D83)+COUNTA($G83:$L83)+COUNTA($Q83))&gt;0),"",IF(AND(AND($D83&lt;&gt;"",$V83="Macro"),N($AH83)&gt;0),CHOOSE(MATCH($D83,ListaPuestos,0),INDEX('Cronograma R. Operacional'!$O$5:$O$1000,$AH83),INDEX('Cronograma R. Normativo'!$O$5:$O$1000,$AH83),INDEX('Cronograma R. Financiero'!$O$5:$O$1000,$AH83),INDEX('Cronograma Asistente Técnico'!$O$5:$O$1000,$AH83))&amp;"",IF(ISNUMBER($G83),IF(AND(ISNUMBER($AN83),$G83&gt;$AN83),"Cumplida con "&amp;($G83-$AN83)&amp;IF($G83-$AN83=1," día"," días")&amp;" de retraso","Cumplida"),IF(N($M83)&gt;=1,"Cumplida",IF(NOT(ISNUMBER($AN83)),"Sin fecha límite",IF($AN83&lt;FechaRef,"Vencida hace "&amp;(FechaRef-$AN83)&amp;IF(FechaRef-$AN83=1," día"," días"),IF($AN83=FechaRef,"Vence hoy",IF($AN83-FechaRef&lt;=DiasAlerta,"Vence en "&amp;($AN83-FechaRef)&amp;IF($AN83-FechaRef=1," día"," días"),"En plazo"))))))))</f>
        <v/>
      </c>
      <c r="P83" s="62">
        <f>IF(NOT((COUNTA($B83:$D83)+COUNTA($G83:$L83)+COUNTA($Q83))&gt;0),"",IF($D83="","Propia",IF($V83&lt;&gt;"Macro","Solo se delegan macroactividades",IF(N($AH83)&gt;0,"✔ Recibida por "&amp;$D83,"⚠ "&amp;$D83&amp;" aún no la agrega"))))</f>
        <v/>
      </c>
      <c r="Q83" s="58" t="n"/>
      <c r="R83" s="63">
        <f>IF(NOT((COUNTA($B83:$D83)+COUNTA($G83:$L83)+COUNTA($Q83))&gt;0),"",IF((IF($C83="","Falta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",""))="","✔ OK","⚠ "&amp;LEFT(IF($C83="","Falta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",""),LEN(IF($C83="","Falta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",""))-3)))</f>
        <v/>
      </c>
      <c r="S83" s="64">
        <f>IF(NOT((COUNTA($B83:$D83)+COUNTA($G83:$L83)+COUNTA($Q83))&gt;0),"",IF(AND($V83="Sub",N($U83)&gt;0),IF(ISNUMBER(INDEX($AM$5:$AM$1000,$U83-4)),DATE(YEAR(INDEX($AM$5:$AM$1000,$U83-4)),MONTH(INDEX($AM$5:$AM$1000,$U83-4)),1),IF(ISNUMBER(INDEX($AN$5:$AN$1000,$U83-4)),DATE(YEAR(INDEX($AN$5:$AN$1000,$U83-4)),MONTH(INDEX($AN$5:$AN$1000,$U83-4)),1),MesCiclo)),IF(ISNUMBER($AM83),DATE(YEAR($AM83),MONTH($AM83),1),IF(ISNUMBER($AN83),DATE(YEAR($AN83),MONTH($AN83),1),MesCiclo))))</f>
        <v/>
      </c>
      <c r="T83" s="62">
        <f>IF(OR($S83="",$S83&lt;&gt;MesCiclo),"",COUNTIF($S$5:$S83,MesCiclo))</f>
        <v/>
      </c>
      <c r="U83" s="62">
        <f>IF($V83="","",IF($V83="Macro",ROW(),IFERROR(LOOKUP(2,1/($V$5:$V83="Macro"),ROW($V$5:$V83)),0)))</f>
        <v/>
      </c>
      <c r="V83" s="62">
        <f>IF(NOT((COUNTA($B83:$D83)+COUNTA($G83:$L83)+COUNTA($Q83))&gt;0),"",IF($B83="Subactividad","Sub","Macro"))</f>
        <v/>
      </c>
      <c r="W83" s="62">
        <f>IF($V83="Macro",COUNTIFS($U$5:$U$1000,ROW(),$V$5:$V$1000,"Sub"),"")</f>
        <v/>
      </c>
      <c r="X83" s="62">
        <f>IF($V83="","",IF(ISNUMBER($G83),1,IFERROR(LOOKUP(2,1/($I83:$L83&lt;&gt;""),$I83:$L83),0)))</f>
        <v/>
      </c>
      <c r="Y83" s="62">
        <f>IF($V83="","",IF(AND(ISNUMBER($G83),$G83&lt;=IF($S83=MesCiclo,InicioCiclo,$S83+MOD(2-WEEKDAY($S83),7))+6),1,IF(ISNUMBER($I83),$I83,0)))</f>
        <v/>
      </c>
      <c r="Z83" s="62">
        <f>IF($V83="","",IF(AND(ISNUMBER($G83),$G83&lt;=IF($S83=MesCiclo,InicioCiclo,$S83+MOD(2-WEEKDAY($S83),7))+13),1,IF(ISNUMBER($J83),$J83,$Y83)))</f>
        <v/>
      </c>
      <c r="AA83" s="62">
        <f>IF($V83="","",IF(AND(ISNUMBER($G83),$G83&lt;=IF($S83=MesCiclo,InicioCiclo,$S83+MOD(2-WEEKDAY($S83),7))+20),1,IF(ISNUMBER($K83),$K83,$Z83)))</f>
        <v/>
      </c>
      <c r="AB83" s="62">
        <f>IF($V83="","",IF(AND(ISNUMBER($G83),$G83&lt;=IF($S83=MesCiclo,InicioCiclo,$S83+MOD(2-WEEKDAY($S83),7))+27),1,IF(ISNUMBER($L83),$L83,$AA83)))</f>
        <v/>
      </c>
      <c r="AC83" s="62">
        <f>IF($V83="","",IF(AND(ISNUMBER($G83),$G83&lt;=IF($S83=MesCiclo,InicioCiclo,$S83+MOD(2-WEEKDAY($S83),7))+6),1,IF(N($W83)&gt;0,AVERAGEIFS($Y$5:$Y$1000,$U$5:$U$1000,ROW(),$V$5:$V$1000,"Sub"),$Y83)))</f>
        <v/>
      </c>
      <c r="AD83" s="62">
        <f>IF($V83="","",IF(AND(ISNUMBER($G83),$G83&lt;=IF($S83=MesCiclo,InicioCiclo,$S83+MOD(2-WEEKDAY($S83),7))+13),1,IF(N($W83)&gt;0,AVERAGEIFS($Z$5:$Z$1000,$U$5:$U$1000,ROW(),$V$5:$V$1000,"Sub"),$Z83)))</f>
        <v/>
      </c>
      <c r="AE83" s="62">
        <f>IF($V83="","",IF(AND(ISNUMBER($G83),$G83&lt;=IF($S83=MesCiclo,InicioCiclo,$S83+MOD(2-WEEKDAY($S83),7))+20),1,IF(N($W83)&gt;0,AVERAGEIFS($AA$5:$AA$1000,$U$5:$U$1000,ROW(),$V$5:$V$1000,"Sub"),$AA83)))</f>
        <v/>
      </c>
      <c r="AF83" s="62">
        <f>IF($V83="","",IF(AND(ISNUMBER($G83),$G83&lt;=IF($S83=MesCiclo,InicioCiclo,$S83+MOD(2-WEEKDAY($S83),7))+27),1,IF(N($W83)&gt;0,AVERAGEIFS($AB$5:$AB$1000,$U$5:$U$1000,ROW(),$V$5:$V$1000,"Sub"),$AB83)))</f>
        <v/>
      </c>
      <c r="AG83" s="62">
        <f>IF($V83&lt;&gt;"Macro","",IF(COUNTIFS($S$5:$S$1000,$S83,$V$5:$V$1000,"Macro",$H$5:$H$1000,"&gt;0")=0,1/COUNTIFS($S$5:$S$1000,$S83,$V$5:$V$1000,"Macro"),IF(AND(ISNUMBER($H83),N($H83)&gt;0),$H83,SUMIFS($H$5:$H$1000,$S$5:$S$1000,$S83,$V$5:$V$1000,"Macro")/COUNTIFS($S$5:$S$1000,$S83,$V$5:$V$1000,"Macro",$H$5:$H$1000,"&gt;0"))/(COUNTIFS($S$5:$S$1000,$S83,$V$5:$V$1000,"Macro")*SUMIFS($H$5:$H$1000,$S$5:$S$1000,$S83,$V$5:$V$1000,"Macro")/COUNTIFS($S$5:$S$1000,$S83,$V$5:$V$1000,"Macro",$H$5:$H$1000,"&gt;0"))))</f>
        <v/>
      </c>
      <c r="AH83" s="62">
        <f>IF(NOT(AND($D83&lt;&gt;"",$V83="Macro")),"",IFERROR(CHOOSE(MATCH($D83,ListaPuestos,0),MATCH("[Jefatura] "&amp;$C83,'Cronograma R. Operacional'!$C$5:$C$1000,0),MATCH("[Jefatura] "&amp;$C83,'Cronograma R. Normativo'!$C$5:$C$1000,0),MATCH("[Jefatura] "&amp;$C83,'Cronograma R. Financiero'!$C$5:$C$1000,0),MATCH("[Jefatura] "&amp;$C83,'Cronograma Asistente Técnico'!$C$5:$C$1000,0)),0))</f>
        <v/>
      </c>
      <c r="AI83" s="62">
        <f>IF(AND(AND($D83&lt;&gt;"",$V83="Macro"),$S83=MesCiclo),COUNTIFS($D$5:$D83,$D83,$S$5:$S83,MesCiclo,$V$5:$V83,"Macro"),"")</f>
        <v/>
      </c>
      <c r="AJ83" s="62">
        <f>IF($AI83="","",$D83&amp;"|"&amp;$AI83)</f>
        <v/>
      </c>
      <c r="AK83" s="62">
        <f>IF(AND($D83&lt;&gt;"",$V83="Macro"),$D83&amp;"|"&amp;$C83,"")</f>
        <v/>
      </c>
      <c r="AL83" s="62">
        <f>""</f>
        <v/>
      </c>
      <c r="AM83" s="62">
        <f>IF(N($AL83)&gt;0,INDEX(rIni_ADM,$AL83),IF(ISNUMBER($E83),$E83,""))</f>
        <v/>
      </c>
      <c r="AN83" s="62">
        <f>IF(N($AL83)&gt;0,INDEX(rLim_ADM,$AL83),IF(ISNUMBER($F83),$F83,""))</f>
        <v/>
      </c>
    </row>
    <row r="84">
      <c r="A84" s="56">
        <f>IF(NOT((COUNTA($B84:$D84)+COUNTA($G84:$L84)+COUNTA($Q84))&gt;0),"",IF($V84="Macro",COUNTIFS($V$5:$V84,"Macro",$S$5:$S84,$S84),IF(N($U84)=0,"?",COUNTIFS(INDEX($V$5:$V$1000,1):INDEX($V$5:$V$1000,$U84-4),"Macro",INDEX($S$5:$S$1000,1):INDEX($S$5:$S$1000,$U84-4),INDEX($S$5:$S$1000,$U84-4))&amp;"."&amp;COUNTIFS($U$5:$U84,$U84,$V$5:$V84,"Sub"))))</f>
        <v/>
      </c>
      <c r="B84" s="57" t="n"/>
      <c r="C84" s="58" t="n"/>
      <c r="D84" s="58" t="n"/>
      <c r="E84" s="59" t="n"/>
      <c r="F84" s="59" t="n"/>
      <c r="G84" s="59" t="n"/>
      <c r="H84" s="60" t="n"/>
      <c r="I84" s="60" t="n"/>
      <c r="J84" s="60" t="n"/>
      <c r="K84" s="60" t="n"/>
      <c r="L84" s="60" t="n"/>
      <c r="M84" s="61">
        <f>IF(NOT((COUNTA($B84:$D84)+COUNTA($G84:$L84)+COUNTA($Q84))&gt;0),"",IF(AND($D84&lt;&gt;"",$V84="Macro"),IF(N($AH84)&gt;0,N(CHOOSE(MATCH($D84,ListaPuestos,0),INDEX('Cronograma R. Operacional'!$M$5:$M$1000,$AH84),INDEX('Cronograma R. Normativo'!$M$5:$M$1000,$AH84),INDEX('Cronograma R. Financiero'!$M$5:$M$1000,$AH84),INDEX('Cronograma Asistente Técnico'!$M$5:$M$1000,$AH84))),0),IF(ISNUMBER($G84),1,IF(N($W84)&gt;0,AVERAGEIFS($X$5:$X$1000,$U$5:$U$1000,ROW(),$V$5:$V$1000,"Sub"),$X84))))</f>
        <v/>
      </c>
      <c r="N84" s="56">
        <f>IF($M84="","",IF($M84&gt;=1,"Completado",IF($M84&gt;0,"En curso","Pendiente")))</f>
        <v/>
      </c>
      <c r="O84" s="56">
        <f>IF(NOT((COUNTA($B84:$D84)+COUNTA($G84:$L84)+COUNTA($Q84))&gt;0),"",IF(AND(AND($D84&lt;&gt;"",$V84="Macro"),N($AH84)&gt;0),CHOOSE(MATCH($D84,ListaPuestos,0),INDEX('Cronograma R. Operacional'!$O$5:$O$1000,$AH84),INDEX('Cronograma R. Normativo'!$O$5:$O$1000,$AH84),INDEX('Cronograma R. Financiero'!$O$5:$O$1000,$AH84),INDEX('Cronograma Asistente Técnico'!$O$5:$O$1000,$AH84))&amp;"",IF(ISNUMBER($G84),IF(AND(ISNUMBER($AN84),$G84&gt;$AN84),"Cumplida con "&amp;($G84-$AN84)&amp;IF($G84-$AN84=1," día"," días")&amp;" de retraso","Cumplida"),IF(N($M84)&gt;=1,"Cumplida",IF(NOT(ISNUMBER($AN84)),"Sin fecha límite",IF($AN84&lt;FechaRef,"Vencida hace "&amp;(FechaRef-$AN84)&amp;IF(FechaRef-$AN84=1," día"," días"),IF($AN84=FechaRef,"Vence hoy",IF($AN84-FechaRef&lt;=DiasAlerta,"Vence en "&amp;($AN84-FechaRef)&amp;IF($AN84-FechaRef=1," día"," días"),"En plazo"))))))))</f>
        <v/>
      </c>
      <c r="P84" s="62">
        <f>IF(NOT((COUNTA($B84:$D84)+COUNTA($G84:$L84)+COUNTA($Q84))&gt;0),"",IF($D84="","Propia",IF($V84&lt;&gt;"Macro","Solo se delegan macroactividades",IF(N($AH84)&gt;0,"✔ Recibida por "&amp;$D84,"⚠ "&amp;$D84&amp;" aún no la agrega"))))</f>
        <v/>
      </c>
      <c r="Q84" s="58" t="n"/>
      <c r="R84" s="63">
        <f>IF(NOT((COUNTA($B84:$D84)+COUNTA($G84:$L84)+COUNTA($Q84))&gt;0),"",IF((IF($C84="","Falta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",""))="","✔ OK","⚠ "&amp;LEFT(IF($C84="","Falta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",""),LEN(IF($C84="","Falta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",""))-3)))</f>
        <v/>
      </c>
      <c r="S84" s="64">
        <f>IF(NOT((COUNTA($B84:$D84)+COUNTA($G84:$L84)+COUNTA($Q84))&gt;0),"",IF(AND($V84="Sub",N($U84)&gt;0),IF(ISNUMBER(INDEX($AM$5:$AM$1000,$U84-4)),DATE(YEAR(INDEX($AM$5:$AM$1000,$U84-4)),MONTH(INDEX($AM$5:$AM$1000,$U84-4)),1),IF(ISNUMBER(INDEX($AN$5:$AN$1000,$U84-4)),DATE(YEAR(INDEX($AN$5:$AN$1000,$U84-4)),MONTH(INDEX($AN$5:$AN$1000,$U84-4)),1),MesCiclo)),IF(ISNUMBER($AM84),DATE(YEAR($AM84),MONTH($AM84),1),IF(ISNUMBER($AN84),DATE(YEAR($AN84),MONTH($AN84),1),MesCiclo))))</f>
        <v/>
      </c>
      <c r="T84" s="62">
        <f>IF(OR($S84="",$S84&lt;&gt;MesCiclo),"",COUNTIF($S$5:$S84,MesCiclo))</f>
        <v/>
      </c>
      <c r="U84" s="62">
        <f>IF($V84="","",IF($V84="Macro",ROW(),IFERROR(LOOKUP(2,1/($V$5:$V84="Macro"),ROW($V$5:$V84)),0)))</f>
        <v/>
      </c>
      <c r="V84" s="62">
        <f>IF(NOT((COUNTA($B84:$D84)+COUNTA($G84:$L84)+COUNTA($Q84))&gt;0),"",IF($B84="Subactividad","Sub","Macro"))</f>
        <v/>
      </c>
      <c r="W84" s="62">
        <f>IF($V84="Macro",COUNTIFS($U$5:$U$1000,ROW(),$V$5:$V$1000,"Sub"),"")</f>
        <v/>
      </c>
      <c r="X84" s="62">
        <f>IF($V84="","",IF(ISNUMBER($G84),1,IFERROR(LOOKUP(2,1/($I84:$L84&lt;&gt;""),$I84:$L84),0)))</f>
        <v/>
      </c>
      <c r="Y84" s="62">
        <f>IF($V84="","",IF(AND(ISNUMBER($G84),$G84&lt;=IF($S84=MesCiclo,InicioCiclo,$S84+MOD(2-WEEKDAY($S84),7))+6),1,IF(ISNUMBER($I84),$I84,0)))</f>
        <v/>
      </c>
      <c r="Z84" s="62">
        <f>IF($V84="","",IF(AND(ISNUMBER($G84),$G84&lt;=IF($S84=MesCiclo,InicioCiclo,$S84+MOD(2-WEEKDAY($S84),7))+13),1,IF(ISNUMBER($J84),$J84,$Y84)))</f>
        <v/>
      </c>
      <c r="AA84" s="62">
        <f>IF($V84="","",IF(AND(ISNUMBER($G84),$G84&lt;=IF($S84=MesCiclo,InicioCiclo,$S84+MOD(2-WEEKDAY($S84),7))+20),1,IF(ISNUMBER($K84),$K84,$Z84)))</f>
        <v/>
      </c>
      <c r="AB84" s="62">
        <f>IF($V84="","",IF(AND(ISNUMBER($G84),$G84&lt;=IF($S84=MesCiclo,InicioCiclo,$S84+MOD(2-WEEKDAY($S84),7))+27),1,IF(ISNUMBER($L84),$L84,$AA84)))</f>
        <v/>
      </c>
      <c r="AC84" s="62">
        <f>IF($V84="","",IF(AND(ISNUMBER($G84),$G84&lt;=IF($S84=MesCiclo,InicioCiclo,$S84+MOD(2-WEEKDAY($S84),7))+6),1,IF(N($W84)&gt;0,AVERAGEIFS($Y$5:$Y$1000,$U$5:$U$1000,ROW(),$V$5:$V$1000,"Sub"),$Y84)))</f>
        <v/>
      </c>
      <c r="AD84" s="62">
        <f>IF($V84="","",IF(AND(ISNUMBER($G84),$G84&lt;=IF($S84=MesCiclo,InicioCiclo,$S84+MOD(2-WEEKDAY($S84),7))+13),1,IF(N($W84)&gt;0,AVERAGEIFS($Z$5:$Z$1000,$U$5:$U$1000,ROW(),$V$5:$V$1000,"Sub"),$Z84)))</f>
        <v/>
      </c>
      <c r="AE84" s="62">
        <f>IF($V84="","",IF(AND(ISNUMBER($G84),$G84&lt;=IF($S84=MesCiclo,InicioCiclo,$S84+MOD(2-WEEKDAY($S84),7))+20),1,IF(N($W84)&gt;0,AVERAGEIFS($AA$5:$AA$1000,$U$5:$U$1000,ROW(),$V$5:$V$1000,"Sub"),$AA84)))</f>
        <v/>
      </c>
      <c r="AF84" s="62">
        <f>IF($V84="","",IF(AND(ISNUMBER($G84),$G84&lt;=IF($S84=MesCiclo,InicioCiclo,$S84+MOD(2-WEEKDAY($S84),7))+27),1,IF(N($W84)&gt;0,AVERAGEIFS($AB$5:$AB$1000,$U$5:$U$1000,ROW(),$V$5:$V$1000,"Sub"),$AB84)))</f>
        <v/>
      </c>
      <c r="AG84" s="62">
        <f>IF($V84&lt;&gt;"Macro","",IF(COUNTIFS($S$5:$S$1000,$S84,$V$5:$V$1000,"Macro",$H$5:$H$1000,"&gt;0")=0,1/COUNTIFS($S$5:$S$1000,$S84,$V$5:$V$1000,"Macro"),IF(AND(ISNUMBER($H84),N($H84)&gt;0),$H84,SUMIFS($H$5:$H$1000,$S$5:$S$1000,$S84,$V$5:$V$1000,"Macro")/COUNTIFS($S$5:$S$1000,$S84,$V$5:$V$1000,"Macro",$H$5:$H$1000,"&gt;0"))/(COUNTIFS($S$5:$S$1000,$S84,$V$5:$V$1000,"Macro")*SUMIFS($H$5:$H$1000,$S$5:$S$1000,$S84,$V$5:$V$1000,"Macro")/COUNTIFS($S$5:$S$1000,$S84,$V$5:$V$1000,"Macro",$H$5:$H$1000,"&gt;0"))))</f>
        <v/>
      </c>
      <c r="AH84" s="62">
        <f>IF(NOT(AND($D84&lt;&gt;"",$V84="Macro")),"",IFERROR(CHOOSE(MATCH($D84,ListaPuestos,0),MATCH("[Jefatura] "&amp;$C84,'Cronograma R. Operacional'!$C$5:$C$1000,0),MATCH("[Jefatura] "&amp;$C84,'Cronograma R. Normativo'!$C$5:$C$1000,0),MATCH("[Jefatura] "&amp;$C84,'Cronograma R. Financiero'!$C$5:$C$1000,0),MATCH("[Jefatura] "&amp;$C84,'Cronograma Asistente Técnico'!$C$5:$C$1000,0)),0))</f>
        <v/>
      </c>
      <c r="AI84" s="62">
        <f>IF(AND(AND($D84&lt;&gt;"",$V84="Macro"),$S84=MesCiclo),COUNTIFS($D$5:$D84,$D84,$S$5:$S84,MesCiclo,$V$5:$V84,"Macro"),"")</f>
        <v/>
      </c>
      <c r="AJ84" s="62">
        <f>IF($AI84="","",$D84&amp;"|"&amp;$AI84)</f>
        <v/>
      </c>
      <c r="AK84" s="62">
        <f>IF(AND($D84&lt;&gt;"",$V84="Macro"),$D84&amp;"|"&amp;$C84,"")</f>
        <v/>
      </c>
      <c r="AL84" s="62">
        <f>""</f>
        <v/>
      </c>
      <c r="AM84" s="62">
        <f>IF(N($AL84)&gt;0,INDEX(rIni_ADM,$AL84),IF(ISNUMBER($E84),$E84,""))</f>
        <v/>
      </c>
      <c r="AN84" s="62">
        <f>IF(N($AL84)&gt;0,INDEX(rLim_ADM,$AL84),IF(ISNUMBER($F84),$F84,""))</f>
        <v/>
      </c>
    </row>
    <row r="85">
      <c r="A85" s="56">
        <f>IF(NOT((COUNTA($B85:$D85)+COUNTA($G85:$L85)+COUNTA($Q85))&gt;0),"",IF($V85="Macro",COUNTIFS($V$5:$V85,"Macro",$S$5:$S85,$S85),IF(N($U85)=0,"?",COUNTIFS(INDEX($V$5:$V$1000,1):INDEX($V$5:$V$1000,$U85-4),"Macro",INDEX($S$5:$S$1000,1):INDEX($S$5:$S$1000,$U85-4),INDEX($S$5:$S$1000,$U85-4))&amp;"."&amp;COUNTIFS($U$5:$U85,$U85,$V$5:$V85,"Sub"))))</f>
        <v/>
      </c>
      <c r="B85" s="57" t="n"/>
      <c r="C85" s="58" t="n"/>
      <c r="D85" s="58" t="n"/>
      <c r="E85" s="59" t="n"/>
      <c r="F85" s="59" t="n"/>
      <c r="G85" s="59" t="n"/>
      <c r="H85" s="60" t="n"/>
      <c r="I85" s="60" t="n"/>
      <c r="J85" s="60" t="n"/>
      <c r="K85" s="60" t="n"/>
      <c r="L85" s="60" t="n"/>
      <c r="M85" s="61">
        <f>IF(NOT((COUNTA($B85:$D85)+COUNTA($G85:$L85)+COUNTA($Q85))&gt;0),"",IF(AND($D85&lt;&gt;"",$V85="Macro"),IF(N($AH85)&gt;0,N(CHOOSE(MATCH($D85,ListaPuestos,0),INDEX('Cronograma R. Operacional'!$M$5:$M$1000,$AH85),INDEX('Cronograma R. Normativo'!$M$5:$M$1000,$AH85),INDEX('Cronograma R. Financiero'!$M$5:$M$1000,$AH85),INDEX('Cronograma Asistente Técnico'!$M$5:$M$1000,$AH85))),0),IF(ISNUMBER($G85),1,IF(N($W85)&gt;0,AVERAGEIFS($X$5:$X$1000,$U$5:$U$1000,ROW(),$V$5:$V$1000,"Sub"),$X85))))</f>
        <v/>
      </c>
      <c r="N85" s="56">
        <f>IF($M85="","",IF($M85&gt;=1,"Completado",IF($M85&gt;0,"En curso","Pendiente")))</f>
        <v/>
      </c>
      <c r="O85" s="56">
        <f>IF(NOT((COUNTA($B85:$D85)+COUNTA($G85:$L85)+COUNTA($Q85))&gt;0),"",IF(AND(AND($D85&lt;&gt;"",$V85="Macro"),N($AH85)&gt;0),CHOOSE(MATCH($D85,ListaPuestos,0),INDEX('Cronograma R. Operacional'!$O$5:$O$1000,$AH85),INDEX('Cronograma R. Normativo'!$O$5:$O$1000,$AH85),INDEX('Cronograma R. Financiero'!$O$5:$O$1000,$AH85),INDEX('Cronograma Asistente Técnico'!$O$5:$O$1000,$AH85))&amp;"",IF(ISNUMBER($G85),IF(AND(ISNUMBER($AN85),$G85&gt;$AN85),"Cumplida con "&amp;($G85-$AN85)&amp;IF($G85-$AN85=1," día"," días")&amp;" de retraso","Cumplida"),IF(N($M85)&gt;=1,"Cumplida",IF(NOT(ISNUMBER($AN85)),"Sin fecha límite",IF($AN85&lt;FechaRef,"Vencida hace "&amp;(FechaRef-$AN85)&amp;IF(FechaRef-$AN85=1," día"," días"),IF($AN85=FechaRef,"Vence hoy",IF($AN85-FechaRef&lt;=DiasAlerta,"Vence en "&amp;($AN85-FechaRef)&amp;IF($AN85-FechaRef=1," día"," días"),"En plazo"))))))))</f>
        <v/>
      </c>
      <c r="P85" s="62">
        <f>IF(NOT((COUNTA($B85:$D85)+COUNTA($G85:$L85)+COUNTA($Q85))&gt;0),"",IF($D85="","Propia",IF($V85&lt;&gt;"Macro","Solo se delegan macroactividades",IF(N($AH85)&gt;0,"✔ Recibida por "&amp;$D85,"⚠ "&amp;$D85&amp;" aún no la agrega"))))</f>
        <v/>
      </c>
      <c r="Q85" s="58" t="n"/>
      <c r="R85" s="63">
        <f>IF(NOT((COUNTA($B85:$D85)+COUNTA($G85:$L85)+COUNTA($Q85))&gt;0),"",IF((IF($C85="","Falta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",""))="","✔ OK","⚠ "&amp;LEFT(IF($C85="","Falta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",""),LEN(IF($C85="","Falta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",""))-3)))</f>
        <v/>
      </c>
      <c r="S85" s="64">
        <f>IF(NOT((COUNTA($B85:$D85)+COUNTA($G85:$L85)+COUNTA($Q85))&gt;0),"",IF(AND($V85="Sub",N($U85)&gt;0),IF(ISNUMBER(INDEX($AM$5:$AM$1000,$U85-4)),DATE(YEAR(INDEX($AM$5:$AM$1000,$U85-4)),MONTH(INDEX($AM$5:$AM$1000,$U85-4)),1),IF(ISNUMBER(INDEX($AN$5:$AN$1000,$U85-4)),DATE(YEAR(INDEX($AN$5:$AN$1000,$U85-4)),MONTH(INDEX($AN$5:$AN$1000,$U85-4)),1),MesCiclo)),IF(ISNUMBER($AM85),DATE(YEAR($AM85),MONTH($AM85),1),IF(ISNUMBER($AN85),DATE(YEAR($AN85),MONTH($AN85),1),MesCiclo))))</f>
        <v/>
      </c>
      <c r="T85" s="62">
        <f>IF(OR($S85="",$S85&lt;&gt;MesCiclo),"",COUNTIF($S$5:$S85,MesCiclo))</f>
        <v/>
      </c>
      <c r="U85" s="62">
        <f>IF($V85="","",IF($V85="Macro",ROW(),IFERROR(LOOKUP(2,1/($V$5:$V85="Macro"),ROW($V$5:$V85)),0)))</f>
        <v/>
      </c>
      <c r="V85" s="62">
        <f>IF(NOT((COUNTA($B85:$D85)+COUNTA($G85:$L85)+COUNTA($Q85))&gt;0),"",IF($B85="Subactividad","Sub","Macro"))</f>
        <v/>
      </c>
      <c r="W85" s="62">
        <f>IF($V85="Macro",COUNTIFS($U$5:$U$1000,ROW(),$V$5:$V$1000,"Sub"),"")</f>
        <v/>
      </c>
      <c r="X85" s="62">
        <f>IF($V85="","",IF(ISNUMBER($G85),1,IFERROR(LOOKUP(2,1/($I85:$L85&lt;&gt;""),$I85:$L85),0)))</f>
        <v/>
      </c>
      <c r="Y85" s="62">
        <f>IF($V85="","",IF(AND(ISNUMBER($G85),$G85&lt;=IF($S85=MesCiclo,InicioCiclo,$S85+MOD(2-WEEKDAY($S85),7))+6),1,IF(ISNUMBER($I85),$I85,0)))</f>
        <v/>
      </c>
      <c r="Z85" s="62">
        <f>IF($V85="","",IF(AND(ISNUMBER($G85),$G85&lt;=IF($S85=MesCiclo,InicioCiclo,$S85+MOD(2-WEEKDAY($S85),7))+13),1,IF(ISNUMBER($J85),$J85,$Y85)))</f>
        <v/>
      </c>
      <c r="AA85" s="62">
        <f>IF($V85="","",IF(AND(ISNUMBER($G85),$G85&lt;=IF($S85=MesCiclo,InicioCiclo,$S85+MOD(2-WEEKDAY($S85),7))+20),1,IF(ISNUMBER($K85),$K85,$Z85)))</f>
        <v/>
      </c>
      <c r="AB85" s="62">
        <f>IF($V85="","",IF(AND(ISNUMBER($G85),$G85&lt;=IF($S85=MesCiclo,InicioCiclo,$S85+MOD(2-WEEKDAY($S85),7))+27),1,IF(ISNUMBER($L85),$L85,$AA85)))</f>
        <v/>
      </c>
      <c r="AC85" s="62">
        <f>IF($V85="","",IF(AND(ISNUMBER($G85),$G85&lt;=IF($S85=MesCiclo,InicioCiclo,$S85+MOD(2-WEEKDAY($S85),7))+6),1,IF(N($W85)&gt;0,AVERAGEIFS($Y$5:$Y$1000,$U$5:$U$1000,ROW(),$V$5:$V$1000,"Sub"),$Y85)))</f>
        <v/>
      </c>
      <c r="AD85" s="62">
        <f>IF($V85="","",IF(AND(ISNUMBER($G85),$G85&lt;=IF($S85=MesCiclo,InicioCiclo,$S85+MOD(2-WEEKDAY($S85),7))+13),1,IF(N($W85)&gt;0,AVERAGEIFS($Z$5:$Z$1000,$U$5:$U$1000,ROW(),$V$5:$V$1000,"Sub"),$Z85)))</f>
        <v/>
      </c>
      <c r="AE85" s="62">
        <f>IF($V85="","",IF(AND(ISNUMBER($G85),$G85&lt;=IF($S85=MesCiclo,InicioCiclo,$S85+MOD(2-WEEKDAY($S85),7))+20),1,IF(N($W85)&gt;0,AVERAGEIFS($AA$5:$AA$1000,$U$5:$U$1000,ROW(),$V$5:$V$1000,"Sub"),$AA85)))</f>
        <v/>
      </c>
      <c r="AF85" s="62">
        <f>IF($V85="","",IF(AND(ISNUMBER($G85),$G85&lt;=IF($S85=MesCiclo,InicioCiclo,$S85+MOD(2-WEEKDAY($S85),7))+27),1,IF(N($W85)&gt;0,AVERAGEIFS($AB$5:$AB$1000,$U$5:$U$1000,ROW(),$V$5:$V$1000,"Sub"),$AB85)))</f>
        <v/>
      </c>
      <c r="AG85" s="62">
        <f>IF($V85&lt;&gt;"Macro","",IF(COUNTIFS($S$5:$S$1000,$S85,$V$5:$V$1000,"Macro",$H$5:$H$1000,"&gt;0")=0,1/COUNTIFS($S$5:$S$1000,$S85,$V$5:$V$1000,"Macro"),IF(AND(ISNUMBER($H85),N($H85)&gt;0),$H85,SUMIFS($H$5:$H$1000,$S$5:$S$1000,$S85,$V$5:$V$1000,"Macro")/COUNTIFS($S$5:$S$1000,$S85,$V$5:$V$1000,"Macro",$H$5:$H$1000,"&gt;0"))/(COUNTIFS($S$5:$S$1000,$S85,$V$5:$V$1000,"Macro")*SUMIFS($H$5:$H$1000,$S$5:$S$1000,$S85,$V$5:$V$1000,"Macro")/COUNTIFS($S$5:$S$1000,$S85,$V$5:$V$1000,"Macro",$H$5:$H$1000,"&gt;0"))))</f>
        <v/>
      </c>
      <c r="AH85" s="62">
        <f>IF(NOT(AND($D85&lt;&gt;"",$V85="Macro")),"",IFERROR(CHOOSE(MATCH($D85,ListaPuestos,0),MATCH("[Jefatura] "&amp;$C85,'Cronograma R. Operacional'!$C$5:$C$1000,0),MATCH("[Jefatura] "&amp;$C85,'Cronograma R. Normativo'!$C$5:$C$1000,0),MATCH("[Jefatura] "&amp;$C85,'Cronograma R. Financiero'!$C$5:$C$1000,0),MATCH("[Jefatura] "&amp;$C85,'Cronograma Asistente Técnico'!$C$5:$C$1000,0)),0))</f>
        <v/>
      </c>
      <c r="AI85" s="62">
        <f>IF(AND(AND($D85&lt;&gt;"",$V85="Macro"),$S85=MesCiclo),COUNTIFS($D$5:$D85,$D85,$S$5:$S85,MesCiclo,$V$5:$V85,"Macro"),"")</f>
        <v/>
      </c>
      <c r="AJ85" s="62">
        <f>IF($AI85="","",$D85&amp;"|"&amp;$AI85)</f>
        <v/>
      </c>
      <c r="AK85" s="62">
        <f>IF(AND($D85&lt;&gt;"",$V85="Macro"),$D85&amp;"|"&amp;$C85,"")</f>
        <v/>
      </c>
      <c r="AL85" s="62">
        <f>""</f>
        <v/>
      </c>
      <c r="AM85" s="62">
        <f>IF(N($AL85)&gt;0,INDEX(rIni_ADM,$AL85),IF(ISNUMBER($E85),$E85,""))</f>
        <v/>
      </c>
      <c r="AN85" s="62">
        <f>IF(N($AL85)&gt;0,INDEX(rLim_ADM,$AL85),IF(ISNUMBER($F85),$F85,""))</f>
        <v/>
      </c>
    </row>
    <row r="86">
      <c r="A86" s="56">
        <f>IF(NOT((COUNTA($B86:$D86)+COUNTA($G86:$L86)+COUNTA($Q86))&gt;0),"",IF($V86="Macro",COUNTIFS($V$5:$V86,"Macro",$S$5:$S86,$S86),IF(N($U86)=0,"?",COUNTIFS(INDEX($V$5:$V$1000,1):INDEX($V$5:$V$1000,$U86-4),"Macro",INDEX($S$5:$S$1000,1):INDEX($S$5:$S$1000,$U86-4),INDEX($S$5:$S$1000,$U86-4))&amp;"."&amp;COUNTIFS($U$5:$U86,$U86,$V$5:$V86,"Sub"))))</f>
        <v/>
      </c>
      <c r="B86" s="57" t="n"/>
      <c r="C86" s="58" t="n"/>
      <c r="D86" s="58" t="n"/>
      <c r="E86" s="59" t="n"/>
      <c r="F86" s="59" t="n"/>
      <c r="G86" s="59" t="n"/>
      <c r="H86" s="60" t="n"/>
      <c r="I86" s="60" t="n"/>
      <c r="J86" s="60" t="n"/>
      <c r="K86" s="60" t="n"/>
      <c r="L86" s="60" t="n"/>
      <c r="M86" s="61">
        <f>IF(NOT((COUNTA($B86:$D86)+COUNTA($G86:$L86)+COUNTA($Q86))&gt;0),"",IF(AND($D86&lt;&gt;"",$V86="Macro"),IF(N($AH86)&gt;0,N(CHOOSE(MATCH($D86,ListaPuestos,0),INDEX('Cronograma R. Operacional'!$M$5:$M$1000,$AH86),INDEX('Cronograma R. Normativo'!$M$5:$M$1000,$AH86),INDEX('Cronograma R. Financiero'!$M$5:$M$1000,$AH86),INDEX('Cronograma Asistente Técnico'!$M$5:$M$1000,$AH86))),0),IF(ISNUMBER($G86),1,IF(N($W86)&gt;0,AVERAGEIFS($X$5:$X$1000,$U$5:$U$1000,ROW(),$V$5:$V$1000,"Sub"),$X86))))</f>
        <v/>
      </c>
      <c r="N86" s="56">
        <f>IF($M86="","",IF($M86&gt;=1,"Completado",IF($M86&gt;0,"En curso","Pendiente")))</f>
        <v/>
      </c>
      <c r="O86" s="56">
        <f>IF(NOT((COUNTA($B86:$D86)+COUNTA($G86:$L86)+COUNTA($Q86))&gt;0),"",IF(AND(AND($D86&lt;&gt;"",$V86="Macro"),N($AH86)&gt;0),CHOOSE(MATCH($D86,ListaPuestos,0),INDEX('Cronograma R. Operacional'!$O$5:$O$1000,$AH86),INDEX('Cronograma R. Normativo'!$O$5:$O$1000,$AH86),INDEX('Cronograma R. Financiero'!$O$5:$O$1000,$AH86),INDEX('Cronograma Asistente Técnico'!$O$5:$O$1000,$AH86))&amp;"",IF(ISNUMBER($G86),IF(AND(ISNUMBER($AN86),$G86&gt;$AN86),"Cumplida con "&amp;($G86-$AN86)&amp;IF($G86-$AN86=1," día"," días")&amp;" de retraso","Cumplida"),IF(N($M86)&gt;=1,"Cumplida",IF(NOT(ISNUMBER($AN86)),"Sin fecha límite",IF($AN86&lt;FechaRef,"Vencida hace "&amp;(FechaRef-$AN86)&amp;IF(FechaRef-$AN86=1," día"," días"),IF($AN86=FechaRef,"Vence hoy",IF($AN86-FechaRef&lt;=DiasAlerta,"Vence en "&amp;($AN86-FechaRef)&amp;IF($AN86-FechaRef=1," día"," días"),"En plazo"))))))))</f>
        <v/>
      </c>
      <c r="P86" s="62">
        <f>IF(NOT((COUNTA($B86:$D86)+COUNTA($G86:$L86)+COUNTA($Q86))&gt;0),"",IF($D86="","Propia",IF($V86&lt;&gt;"Macro","Solo se delegan macroactividades",IF(N($AH86)&gt;0,"✔ Recibida por "&amp;$D86,"⚠ "&amp;$D86&amp;" aún no la agrega"))))</f>
        <v/>
      </c>
      <c r="Q86" s="58" t="n"/>
      <c r="R86" s="63">
        <f>IF(NOT((COUNTA($B86:$D86)+COUNTA($G86:$L86)+COUNTA($Q86))&gt;0),"",IF((IF($C86="","Falta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",""))="","✔ OK","⚠ "&amp;LEFT(IF($C86="","Falta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",""),LEN(IF($C86="","Falta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",""))-3)))</f>
        <v/>
      </c>
      <c r="S86" s="64">
        <f>IF(NOT((COUNTA($B86:$D86)+COUNTA($G86:$L86)+COUNTA($Q86))&gt;0),"",IF(AND($V86="Sub",N($U86)&gt;0),IF(ISNUMBER(INDEX($AM$5:$AM$1000,$U86-4)),DATE(YEAR(INDEX($AM$5:$AM$1000,$U86-4)),MONTH(INDEX($AM$5:$AM$1000,$U86-4)),1),IF(ISNUMBER(INDEX($AN$5:$AN$1000,$U86-4)),DATE(YEAR(INDEX($AN$5:$AN$1000,$U86-4)),MONTH(INDEX($AN$5:$AN$1000,$U86-4)),1),MesCiclo)),IF(ISNUMBER($AM86),DATE(YEAR($AM86),MONTH($AM86),1),IF(ISNUMBER($AN86),DATE(YEAR($AN86),MONTH($AN86),1),MesCiclo))))</f>
        <v/>
      </c>
      <c r="T86" s="62">
        <f>IF(OR($S86="",$S86&lt;&gt;MesCiclo),"",COUNTIF($S$5:$S86,MesCiclo))</f>
        <v/>
      </c>
      <c r="U86" s="62">
        <f>IF($V86="","",IF($V86="Macro",ROW(),IFERROR(LOOKUP(2,1/($V$5:$V86="Macro"),ROW($V$5:$V86)),0)))</f>
        <v/>
      </c>
      <c r="V86" s="62">
        <f>IF(NOT((COUNTA($B86:$D86)+COUNTA($G86:$L86)+COUNTA($Q86))&gt;0),"",IF($B86="Subactividad","Sub","Macro"))</f>
        <v/>
      </c>
      <c r="W86" s="62">
        <f>IF($V86="Macro",COUNTIFS($U$5:$U$1000,ROW(),$V$5:$V$1000,"Sub"),"")</f>
        <v/>
      </c>
      <c r="X86" s="62">
        <f>IF($V86="","",IF(ISNUMBER($G86),1,IFERROR(LOOKUP(2,1/($I86:$L86&lt;&gt;""),$I86:$L86),0)))</f>
        <v/>
      </c>
      <c r="Y86" s="62">
        <f>IF($V86="","",IF(AND(ISNUMBER($G86),$G86&lt;=IF($S86=MesCiclo,InicioCiclo,$S86+MOD(2-WEEKDAY($S86),7))+6),1,IF(ISNUMBER($I86),$I86,0)))</f>
        <v/>
      </c>
      <c r="Z86" s="62">
        <f>IF($V86="","",IF(AND(ISNUMBER($G86),$G86&lt;=IF($S86=MesCiclo,InicioCiclo,$S86+MOD(2-WEEKDAY($S86),7))+13),1,IF(ISNUMBER($J86),$J86,$Y86)))</f>
        <v/>
      </c>
      <c r="AA86" s="62">
        <f>IF($V86="","",IF(AND(ISNUMBER($G86),$G86&lt;=IF($S86=MesCiclo,InicioCiclo,$S86+MOD(2-WEEKDAY($S86),7))+20),1,IF(ISNUMBER($K86),$K86,$Z86)))</f>
        <v/>
      </c>
      <c r="AB86" s="62">
        <f>IF($V86="","",IF(AND(ISNUMBER($G86),$G86&lt;=IF($S86=MesCiclo,InicioCiclo,$S86+MOD(2-WEEKDAY($S86),7))+27),1,IF(ISNUMBER($L86),$L86,$AA86)))</f>
        <v/>
      </c>
      <c r="AC86" s="62">
        <f>IF($V86="","",IF(AND(ISNUMBER($G86),$G86&lt;=IF($S86=MesCiclo,InicioCiclo,$S86+MOD(2-WEEKDAY($S86),7))+6),1,IF(N($W86)&gt;0,AVERAGEIFS($Y$5:$Y$1000,$U$5:$U$1000,ROW(),$V$5:$V$1000,"Sub"),$Y86)))</f>
        <v/>
      </c>
      <c r="AD86" s="62">
        <f>IF($V86="","",IF(AND(ISNUMBER($G86),$G86&lt;=IF($S86=MesCiclo,InicioCiclo,$S86+MOD(2-WEEKDAY($S86),7))+13),1,IF(N($W86)&gt;0,AVERAGEIFS($Z$5:$Z$1000,$U$5:$U$1000,ROW(),$V$5:$V$1000,"Sub"),$Z86)))</f>
        <v/>
      </c>
      <c r="AE86" s="62">
        <f>IF($V86="","",IF(AND(ISNUMBER($G86),$G86&lt;=IF($S86=MesCiclo,InicioCiclo,$S86+MOD(2-WEEKDAY($S86),7))+20),1,IF(N($W86)&gt;0,AVERAGEIFS($AA$5:$AA$1000,$U$5:$U$1000,ROW(),$V$5:$V$1000,"Sub"),$AA86)))</f>
        <v/>
      </c>
      <c r="AF86" s="62">
        <f>IF($V86="","",IF(AND(ISNUMBER($G86),$G86&lt;=IF($S86=MesCiclo,InicioCiclo,$S86+MOD(2-WEEKDAY($S86),7))+27),1,IF(N($W86)&gt;0,AVERAGEIFS($AB$5:$AB$1000,$U$5:$U$1000,ROW(),$V$5:$V$1000,"Sub"),$AB86)))</f>
        <v/>
      </c>
      <c r="AG86" s="62">
        <f>IF($V86&lt;&gt;"Macro","",IF(COUNTIFS($S$5:$S$1000,$S86,$V$5:$V$1000,"Macro",$H$5:$H$1000,"&gt;0")=0,1/COUNTIFS($S$5:$S$1000,$S86,$V$5:$V$1000,"Macro"),IF(AND(ISNUMBER($H86),N($H86)&gt;0),$H86,SUMIFS($H$5:$H$1000,$S$5:$S$1000,$S86,$V$5:$V$1000,"Macro")/COUNTIFS($S$5:$S$1000,$S86,$V$5:$V$1000,"Macro",$H$5:$H$1000,"&gt;0"))/(COUNTIFS($S$5:$S$1000,$S86,$V$5:$V$1000,"Macro")*SUMIFS($H$5:$H$1000,$S$5:$S$1000,$S86,$V$5:$V$1000,"Macro")/COUNTIFS($S$5:$S$1000,$S86,$V$5:$V$1000,"Macro",$H$5:$H$1000,"&gt;0"))))</f>
        <v/>
      </c>
      <c r="AH86" s="62">
        <f>IF(NOT(AND($D86&lt;&gt;"",$V86="Macro")),"",IFERROR(CHOOSE(MATCH($D86,ListaPuestos,0),MATCH("[Jefatura] "&amp;$C86,'Cronograma R. Operacional'!$C$5:$C$1000,0),MATCH("[Jefatura] "&amp;$C86,'Cronograma R. Normativo'!$C$5:$C$1000,0),MATCH("[Jefatura] "&amp;$C86,'Cronograma R. Financiero'!$C$5:$C$1000,0),MATCH("[Jefatura] "&amp;$C86,'Cronograma Asistente Técnico'!$C$5:$C$1000,0)),0))</f>
        <v/>
      </c>
      <c r="AI86" s="62">
        <f>IF(AND(AND($D86&lt;&gt;"",$V86="Macro"),$S86=MesCiclo),COUNTIFS($D$5:$D86,$D86,$S$5:$S86,MesCiclo,$V$5:$V86,"Macro"),"")</f>
        <v/>
      </c>
      <c r="AJ86" s="62">
        <f>IF($AI86="","",$D86&amp;"|"&amp;$AI86)</f>
        <v/>
      </c>
      <c r="AK86" s="62">
        <f>IF(AND($D86&lt;&gt;"",$V86="Macro"),$D86&amp;"|"&amp;$C86,"")</f>
        <v/>
      </c>
      <c r="AL86" s="62">
        <f>""</f>
        <v/>
      </c>
      <c r="AM86" s="62">
        <f>IF(N($AL86)&gt;0,INDEX(rIni_ADM,$AL86),IF(ISNUMBER($E86),$E86,""))</f>
        <v/>
      </c>
      <c r="AN86" s="62">
        <f>IF(N($AL86)&gt;0,INDEX(rLim_ADM,$AL86),IF(ISNUMBER($F86),$F86,""))</f>
        <v/>
      </c>
    </row>
    <row r="87">
      <c r="A87" s="56">
        <f>IF(NOT((COUNTA($B87:$D87)+COUNTA($G87:$L87)+COUNTA($Q87))&gt;0),"",IF($V87="Macro",COUNTIFS($V$5:$V87,"Macro",$S$5:$S87,$S87),IF(N($U87)=0,"?",COUNTIFS(INDEX($V$5:$V$1000,1):INDEX($V$5:$V$1000,$U87-4),"Macro",INDEX($S$5:$S$1000,1):INDEX($S$5:$S$1000,$U87-4),INDEX($S$5:$S$1000,$U87-4))&amp;"."&amp;COUNTIFS($U$5:$U87,$U87,$V$5:$V87,"Sub"))))</f>
        <v/>
      </c>
      <c r="B87" s="57" t="n"/>
      <c r="C87" s="58" t="n"/>
      <c r="D87" s="58" t="n"/>
      <c r="E87" s="59" t="n"/>
      <c r="F87" s="59" t="n"/>
      <c r="G87" s="59" t="n"/>
      <c r="H87" s="60" t="n"/>
      <c r="I87" s="60" t="n"/>
      <c r="J87" s="60" t="n"/>
      <c r="K87" s="60" t="n"/>
      <c r="L87" s="60" t="n"/>
      <c r="M87" s="61">
        <f>IF(NOT((COUNTA($B87:$D87)+COUNTA($G87:$L87)+COUNTA($Q87))&gt;0),"",IF(AND($D87&lt;&gt;"",$V87="Macro"),IF(N($AH87)&gt;0,N(CHOOSE(MATCH($D87,ListaPuestos,0),INDEX('Cronograma R. Operacional'!$M$5:$M$1000,$AH87),INDEX('Cronograma R. Normativo'!$M$5:$M$1000,$AH87),INDEX('Cronograma R. Financiero'!$M$5:$M$1000,$AH87),INDEX('Cronograma Asistente Técnico'!$M$5:$M$1000,$AH87))),0),IF(ISNUMBER($G87),1,IF(N($W87)&gt;0,AVERAGEIFS($X$5:$X$1000,$U$5:$U$1000,ROW(),$V$5:$V$1000,"Sub"),$X87))))</f>
        <v/>
      </c>
      <c r="N87" s="56">
        <f>IF($M87="","",IF($M87&gt;=1,"Completado",IF($M87&gt;0,"En curso","Pendiente")))</f>
        <v/>
      </c>
      <c r="O87" s="56">
        <f>IF(NOT((COUNTA($B87:$D87)+COUNTA($G87:$L87)+COUNTA($Q87))&gt;0),"",IF(AND(AND($D87&lt;&gt;"",$V87="Macro"),N($AH87)&gt;0),CHOOSE(MATCH($D87,ListaPuestos,0),INDEX('Cronograma R. Operacional'!$O$5:$O$1000,$AH87),INDEX('Cronograma R. Normativo'!$O$5:$O$1000,$AH87),INDEX('Cronograma R. Financiero'!$O$5:$O$1000,$AH87),INDEX('Cronograma Asistente Técnico'!$O$5:$O$1000,$AH87))&amp;"",IF(ISNUMBER($G87),IF(AND(ISNUMBER($AN87),$G87&gt;$AN87),"Cumplida con "&amp;($G87-$AN87)&amp;IF($G87-$AN87=1," día"," días")&amp;" de retraso","Cumplida"),IF(N($M87)&gt;=1,"Cumplida",IF(NOT(ISNUMBER($AN87)),"Sin fecha límite",IF($AN87&lt;FechaRef,"Vencida hace "&amp;(FechaRef-$AN87)&amp;IF(FechaRef-$AN87=1," día"," días"),IF($AN87=FechaRef,"Vence hoy",IF($AN87-FechaRef&lt;=DiasAlerta,"Vence en "&amp;($AN87-FechaRef)&amp;IF($AN87-FechaRef=1," día"," días"),"En plazo"))))))))</f>
        <v/>
      </c>
      <c r="P87" s="62">
        <f>IF(NOT((COUNTA($B87:$D87)+COUNTA($G87:$L87)+COUNTA($Q87))&gt;0),"",IF($D87="","Propia",IF($V87&lt;&gt;"Macro","Solo se delegan macroactividades",IF(N($AH87)&gt;0,"✔ Recibida por "&amp;$D87,"⚠ "&amp;$D87&amp;" aún no la agrega"))))</f>
        <v/>
      </c>
      <c r="Q87" s="58" t="n"/>
      <c r="R87" s="63">
        <f>IF(NOT((COUNTA($B87:$D87)+COUNTA($G87:$L87)+COUNTA($Q87))&gt;0),"",IF((IF($C87="","Falta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",""))="","✔ OK","⚠ "&amp;LEFT(IF($C87="","Falta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",""),LEN(IF($C87="","Falta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",""))-3)))</f>
        <v/>
      </c>
      <c r="S87" s="64">
        <f>IF(NOT((COUNTA($B87:$D87)+COUNTA($G87:$L87)+COUNTA($Q87))&gt;0),"",IF(AND($V87="Sub",N($U87)&gt;0),IF(ISNUMBER(INDEX($AM$5:$AM$1000,$U87-4)),DATE(YEAR(INDEX($AM$5:$AM$1000,$U87-4)),MONTH(INDEX($AM$5:$AM$1000,$U87-4)),1),IF(ISNUMBER(INDEX($AN$5:$AN$1000,$U87-4)),DATE(YEAR(INDEX($AN$5:$AN$1000,$U87-4)),MONTH(INDEX($AN$5:$AN$1000,$U87-4)),1),MesCiclo)),IF(ISNUMBER($AM87),DATE(YEAR($AM87),MONTH($AM87),1),IF(ISNUMBER($AN87),DATE(YEAR($AN87),MONTH($AN87),1),MesCiclo))))</f>
        <v/>
      </c>
      <c r="T87" s="62">
        <f>IF(OR($S87="",$S87&lt;&gt;MesCiclo),"",COUNTIF($S$5:$S87,MesCiclo))</f>
        <v/>
      </c>
      <c r="U87" s="62">
        <f>IF($V87="","",IF($V87="Macro",ROW(),IFERROR(LOOKUP(2,1/($V$5:$V87="Macro"),ROW($V$5:$V87)),0)))</f>
        <v/>
      </c>
      <c r="V87" s="62">
        <f>IF(NOT((COUNTA($B87:$D87)+COUNTA($G87:$L87)+COUNTA($Q87))&gt;0),"",IF($B87="Subactividad","Sub","Macro"))</f>
        <v/>
      </c>
      <c r="W87" s="62">
        <f>IF($V87="Macro",COUNTIFS($U$5:$U$1000,ROW(),$V$5:$V$1000,"Sub"),"")</f>
        <v/>
      </c>
      <c r="X87" s="62">
        <f>IF($V87="","",IF(ISNUMBER($G87),1,IFERROR(LOOKUP(2,1/($I87:$L87&lt;&gt;""),$I87:$L87),0)))</f>
        <v/>
      </c>
      <c r="Y87" s="62">
        <f>IF($V87="","",IF(AND(ISNUMBER($G87),$G87&lt;=IF($S87=MesCiclo,InicioCiclo,$S87+MOD(2-WEEKDAY($S87),7))+6),1,IF(ISNUMBER($I87),$I87,0)))</f>
        <v/>
      </c>
      <c r="Z87" s="62">
        <f>IF($V87="","",IF(AND(ISNUMBER($G87),$G87&lt;=IF($S87=MesCiclo,InicioCiclo,$S87+MOD(2-WEEKDAY($S87),7))+13),1,IF(ISNUMBER($J87),$J87,$Y87)))</f>
        <v/>
      </c>
      <c r="AA87" s="62">
        <f>IF($V87="","",IF(AND(ISNUMBER($G87),$G87&lt;=IF($S87=MesCiclo,InicioCiclo,$S87+MOD(2-WEEKDAY($S87),7))+20),1,IF(ISNUMBER($K87),$K87,$Z87)))</f>
        <v/>
      </c>
      <c r="AB87" s="62">
        <f>IF($V87="","",IF(AND(ISNUMBER($G87),$G87&lt;=IF($S87=MesCiclo,InicioCiclo,$S87+MOD(2-WEEKDAY($S87),7))+27),1,IF(ISNUMBER($L87),$L87,$AA87)))</f>
        <v/>
      </c>
      <c r="AC87" s="62">
        <f>IF($V87="","",IF(AND(ISNUMBER($G87),$G87&lt;=IF($S87=MesCiclo,InicioCiclo,$S87+MOD(2-WEEKDAY($S87),7))+6),1,IF(N($W87)&gt;0,AVERAGEIFS($Y$5:$Y$1000,$U$5:$U$1000,ROW(),$V$5:$V$1000,"Sub"),$Y87)))</f>
        <v/>
      </c>
      <c r="AD87" s="62">
        <f>IF($V87="","",IF(AND(ISNUMBER($G87),$G87&lt;=IF($S87=MesCiclo,InicioCiclo,$S87+MOD(2-WEEKDAY($S87),7))+13),1,IF(N($W87)&gt;0,AVERAGEIFS($Z$5:$Z$1000,$U$5:$U$1000,ROW(),$V$5:$V$1000,"Sub"),$Z87)))</f>
        <v/>
      </c>
      <c r="AE87" s="62">
        <f>IF($V87="","",IF(AND(ISNUMBER($G87),$G87&lt;=IF($S87=MesCiclo,InicioCiclo,$S87+MOD(2-WEEKDAY($S87),7))+20),1,IF(N($W87)&gt;0,AVERAGEIFS($AA$5:$AA$1000,$U$5:$U$1000,ROW(),$V$5:$V$1000,"Sub"),$AA87)))</f>
        <v/>
      </c>
      <c r="AF87" s="62">
        <f>IF($V87="","",IF(AND(ISNUMBER($G87),$G87&lt;=IF($S87=MesCiclo,InicioCiclo,$S87+MOD(2-WEEKDAY($S87),7))+27),1,IF(N($W87)&gt;0,AVERAGEIFS($AB$5:$AB$1000,$U$5:$U$1000,ROW(),$V$5:$V$1000,"Sub"),$AB87)))</f>
        <v/>
      </c>
      <c r="AG87" s="62">
        <f>IF($V87&lt;&gt;"Macro","",IF(COUNTIFS($S$5:$S$1000,$S87,$V$5:$V$1000,"Macro",$H$5:$H$1000,"&gt;0")=0,1/COUNTIFS($S$5:$S$1000,$S87,$V$5:$V$1000,"Macro"),IF(AND(ISNUMBER($H87),N($H87)&gt;0),$H87,SUMIFS($H$5:$H$1000,$S$5:$S$1000,$S87,$V$5:$V$1000,"Macro")/COUNTIFS($S$5:$S$1000,$S87,$V$5:$V$1000,"Macro",$H$5:$H$1000,"&gt;0"))/(COUNTIFS($S$5:$S$1000,$S87,$V$5:$V$1000,"Macro")*SUMIFS($H$5:$H$1000,$S$5:$S$1000,$S87,$V$5:$V$1000,"Macro")/COUNTIFS($S$5:$S$1000,$S87,$V$5:$V$1000,"Macro",$H$5:$H$1000,"&gt;0"))))</f>
        <v/>
      </c>
      <c r="AH87" s="62">
        <f>IF(NOT(AND($D87&lt;&gt;"",$V87="Macro")),"",IFERROR(CHOOSE(MATCH($D87,ListaPuestos,0),MATCH("[Jefatura] "&amp;$C87,'Cronograma R. Operacional'!$C$5:$C$1000,0),MATCH("[Jefatura] "&amp;$C87,'Cronograma R. Normativo'!$C$5:$C$1000,0),MATCH("[Jefatura] "&amp;$C87,'Cronograma R. Financiero'!$C$5:$C$1000,0),MATCH("[Jefatura] "&amp;$C87,'Cronograma Asistente Técnico'!$C$5:$C$1000,0)),0))</f>
        <v/>
      </c>
      <c r="AI87" s="62">
        <f>IF(AND(AND($D87&lt;&gt;"",$V87="Macro"),$S87=MesCiclo),COUNTIFS($D$5:$D87,$D87,$S$5:$S87,MesCiclo,$V$5:$V87,"Macro"),"")</f>
        <v/>
      </c>
      <c r="AJ87" s="62">
        <f>IF($AI87="","",$D87&amp;"|"&amp;$AI87)</f>
        <v/>
      </c>
      <c r="AK87" s="62">
        <f>IF(AND($D87&lt;&gt;"",$V87="Macro"),$D87&amp;"|"&amp;$C87,"")</f>
        <v/>
      </c>
      <c r="AL87" s="62">
        <f>""</f>
        <v/>
      </c>
      <c r="AM87" s="62">
        <f>IF(N($AL87)&gt;0,INDEX(rIni_ADM,$AL87),IF(ISNUMBER($E87),$E87,""))</f>
        <v/>
      </c>
      <c r="AN87" s="62">
        <f>IF(N($AL87)&gt;0,INDEX(rLim_ADM,$AL87),IF(ISNUMBER($F87),$F87,""))</f>
        <v/>
      </c>
    </row>
    <row r="88">
      <c r="A88" s="56">
        <f>IF(NOT((COUNTA($B88:$D88)+COUNTA($G88:$L88)+COUNTA($Q88))&gt;0),"",IF($V88="Macro",COUNTIFS($V$5:$V88,"Macro",$S$5:$S88,$S88),IF(N($U88)=0,"?",COUNTIFS(INDEX($V$5:$V$1000,1):INDEX($V$5:$V$1000,$U88-4),"Macro",INDEX($S$5:$S$1000,1):INDEX($S$5:$S$1000,$U88-4),INDEX($S$5:$S$1000,$U88-4))&amp;"."&amp;COUNTIFS($U$5:$U88,$U88,$V$5:$V88,"Sub"))))</f>
        <v/>
      </c>
      <c r="B88" s="57" t="n"/>
      <c r="C88" s="58" t="n"/>
      <c r="D88" s="58" t="n"/>
      <c r="E88" s="59" t="n"/>
      <c r="F88" s="59" t="n"/>
      <c r="G88" s="59" t="n"/>
      <c r="H88" s="60" t="n"/>
      <c r="I88" s="60" t="n"/>
      <c r="J88" s="60" t="n"/>
      <c r="K88" s="60" t="n"/>
      <c r="L88" s="60" t="n"/>
      <c r="M88" s="61">
        <f>IF(NOT((COUNTA($B88:$D88)+COUNTA($G88:$L88)+COUNTA($Q88))&gt;0),"",IF(AND($D88&lt;&gt;"",$V88="Macro"),IF(N($AH88)&gt;0,N(CHOOSE(MATCH($D88,ListaPuestos,0),INDEX('Cronograma R. Operacional'!$M$5:$M$1000,$AH88),INDEX('Cronograma R. Normativo'!$M$5:$M$1000,$AH88),INDEX('Cronograma R. Financiero'!$M$5:$M$1000,$AH88),INDEX('Cronograma Asistente Técnico'!$M$5:$M$1000,$AH88))),0),IF(ISNUMBER($G88),1,IF(N($W88)&gt;0,AVERAGEIFS($X$5:$X$1000,$U$5:$U$1000,ROW(),$V$5:$V$1000,"Sub"),$X88))))</f>
        <v/>
      </c>
      <c r="N88" s="56">
        <f>IF($M88="","",IF($M88&gt;=1,"Completado",IF($M88&gt;0,"En curso","Pendiente")))</f>
        <v/>
      </c>
      <c r="O88" s="56">
        <f>IF(NOT((COUNTA($B88:$D88)+COUNTA($G88:$L88)+COUNTA($Q88))&gt;0),"",IF(AND(AND($D88&lt;&gt;"",$V88="Macro"),N($AH88)&gt;0),CHOOSE(MATCH($D88,ListaPuestos,0),INDEX('Cronograma R. Operacional'!$O$5:$O$1000,$AH88),INDEX('Cronograma R. Normativo'!$O$5:$O$1000,$AH88),INDEX('Cronograma R. Financiero'!$O$5:$O$1000,$AH88),INDEX('Cronograma Asistente Técnico'!$O$5:$O$1000,$AH88))&amp;"",IF(ISNUMBER($G88),IF(AND(ISNUMBER($AN88),$G88&gt;$AN88),"Cumplida con "&amp;($G88-$AN88)&amp;IF($G88-$AN88=1," día"," días")&amp;" de retraso","Cumplida"),IF(N($M88)&gt;=1,"Cumplida",IF(NOT(ISNUMBER($AN88)),"Sin fecha límite",IF($AN88&lt;FechaRef,"Vencida hace "&amp;(FechaRef-$AN88)&amp;IF(FechaRef-$AN88=1," día"," días"),IF($AN88=FechaRef,"Vence hoy",IF($AN88-FechaRef&lt;=DiasAlerta,"Vence en "&amp;($AN88-FechaRef)&amp;IF($AN88-FechaRef=1," día"," días"),"En plazo"))))))))</f>
        <v/>
      </c>
      <c r="P88" s="62">
        <f>IF(NOT((COUNTA($B88:$D88)+COUNTA($G88:$L88)+COUNTA($Q88))&gt;0),"",IF($D88="","Propia",IF($V88&lt;&gt;"Macro","Solo se delegan macroactividades",IF(N($AH88)&gt;0,"✔ Recibida por "&amp;$D88,"⚠ "&amp;$D88&amp;" aún no la agrega"))))</f>
        <v/>
      </c>
      <c r="Q88" s="58" t="n"/>
      <c r="R88" s="63">
        <f>IF(NOT((COUNTA($B88:$D88)+COUNTA($G88:$L88)+COUNTA($Q88))&gt;0),"",IF((IF($C88="","Falta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",""))="","✔ OK","⚠ "&amp;LEFT(IF($C88="","Falta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",""),LEN(IF($C88="","Falta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",""))-3)))</f>
        <v/>
      </c>
      <c r="S88" s="64">
        <f>IF(NOT((COUNTA($B88:$D88)+COUNTA($G88:$L88)+COUNTA($Q88))&gt;0),"",IF(AND($V88="Sub",N($U88)&gt;0),IF(ISNUMBER(INDEX($AM$5:$AM$1000,$U88-4)),DATE(YEAR(INDEX($AM$5:$AM$1000,$U88-4)),MONTH(INDEX($AM$5:$AM$1000,$U88-4)),1),IF(ISNUMBER(INDEX($AN$5:$AN$1000,$U88-4)),DATE(YEAR(INDEX($AN$5:$AN$1000,$U88-4)),MONTH(INDEX($AN$5:$AN$1000,$U88-4)),1),MesCiclo)),IF(ISNUMBER($AM88),DATE(YEAR($AM88),MONTH($AM88),1),IF(ISNUMBER($AN88),DATE(YEAR($AN88),MONTH($AN88),1),MesCiclo))))</f>
        <v/>
      </c>
      <c r="T88" s="62">
        <f>IF(OR($S88="",$S88&lt;&gt;MesCiclo),"",COUNTIF($S$5:$S88,MesCiclo))</f>
        <v/>
      </c>
      <c r="U88" s="62">
        <f>IF($V88="","",IF($V88="Macro",ROW(),IFERROR(LOOKUP(2,1/($V$5:$V88="Macro"),ROW($V$5:$V88)),0)))</f>
        <v/>
      </c>
      <c r="V88" s="62">
        <f>IF(NOT((COUNTA($B88:$D88)+COUNTA($G88:$L88)+COUNTA($Q88))&gt;0),"",IF($B88="Subactividad","Sub","Macro"))</f>
        <v/>
      </c>
      <c r="W88" s="62">
        <f>IF($V88="Macro",COUNTIFS($U$5:$U$1000,ROW(),$V$5:$V$1000,"Sub"),"")</f>
        <v/>
      </c>
      <c r="X88" s="62">
        <f>IF($V88="","",IF(ISNUMBER($G88),1,IFERROR(LOOKUP(2,1/($I88:$L88&lt;&gt;""),$I88:$L88),0)))</f>
        <v/>
      </c>
      <c r="Y88" s="62">
        <f>IF($V88="","",IF(AND(ISNUMBER($G88),$G88&lt;=IF($S88=MesCiclo,InicioCiclo,$S88+MOD(2-WEEKDAY($S88),7))+6),1,IF(ISNUMBER($I88),$I88,0)))</f>
        <v/>
      </c>
      <c r="Z88" s="62">
        <f>IF($V88="","",IF(AND(ISNUMBER($G88),$G88&lt;=IF($S88=MesCiclo,InicioCiclo,$S88+MOD(2-WEEKDAY($S88),7))+13),1,IF(ISNUMBER($J88),$J88,$Y88)))</f>
        <v/>
      </c>
      <c r="AA88" s="62">
        <f>IF($V88="","",IF(AND(ISNUMBER($G88),$G88&lt;=IF($S88=MesCiclo,InicioCiclo,$S88+MOD(2-WEEKDAY($S88),7))+20),1,IF(ISNUMBER($K88),$K88,$Z88)))</f>
        <v/>
      </c>
      <c r="AB88" s="62">
        <f>IF($V88="","",IF(AND(ISNUMBER($G88),$G88&lt;=IF($S88=MesCiclo,InicioCiclo,$S88+MOD(2-WEEKDAY($S88),7))+27),1,IF(ISNUMBER($L88),$L88,$AA88)))</f>
        <v/>
      </c>
      <c r="AC88" s="62">
        <f>IF($V88="","",IF(AND(ISNUMBER($G88),$G88&lt;=IF($S88=MesCiclo,InicioCiclo,$S88+MOD(2-WEEKDAY($S88),7))+6),1,IF(N($W88)&gt;0,AVERAGEIFS($Y$5:$Y$1000,$U$5:$U$1000,ROW(),$V$5:$V$1000,"Sub"),$Y88)))</f>
        <v/>
      </c>
      <c r="AD88" s="62">
        <f>IF($V88="","",IF(AND(ISNUMBER($G88),$G88&lt;=IF($S88=MesCiclo,InicioCiclo,$S88+MOD(2-WEEKDAY($S88),7))+13),1,IF(N($W88)&gt;0,AVERAGEIFS($Z$5:$Z$1000,$U$5:$U$1000,ROW(),$V$5:$V$1000,"Sub"),$Z88)))</f>
        <v/>
      </c>
      <c r="AE88" s="62">
        <f>IF($V88="","",IF(AND(ISNUMBER($G88),$G88&lt;=IF($S88=MesCiclo,InicioCiclo,$S88+MOD(2-WEEKDAY($S88),7))+20),1,IF(N($W88)&gt;0,AVERAGEIFS($AA$5:$AA$1000,$U$5:$U$1000,ROW(),$V$5:$V$1000,"Sub"),$AA88)))</f>
        <v/>
      </c>
      <c r="AF88" s="62">
        <f>IF($V88="","",IF(AND(ISNUMBER($G88),$G88&lt;=IF($S88=MesCiclo,InicioCiclo,$S88+MOD(2-WEEKDAY($S88),7))+27),1,IF(N($W88)&gt;0,AVERAGEIFS($AB$5:$AB$1000,$U$5:$U$1000,ROW(),$V$5:$V$1000,"Sub"),$AB88)))</f>
        <v/>
      </c>
      <c r="AG88" s="62">
        <f>IF($V88&lt;&gt;"Macro","",IF(COUNTIFS($S$5:$S$1000,$S88,$V$5:$V$1000,"Macro",$H$5:$H$1000,"&gt;0")=0,1/COUNTIFS($S$5:$S$1000,$S88,$V$5:$V$1000,"Macro"),IF(AND(ISNUMBER($H88),N($H88)&gt;0),$H88,SUMIFS($H$5:$H$1000,$S$5:$S$1000,$S88,$V$5:$V$1000,"Macro")/COUNTIFS($S$5:$S$1000,$S88,$V$5:$V$1000,"Macro",$H$5:$H$1000,"&gt;0"))/(COUNTIFS($S$5:$S$1000,$S88,$V$5:$V$1000,"Macro")*SUMIFS($H$5:$H$1000,$S$5:$S$1000,$S88,$V$5:$V$1000,"Macro")/COUNTIFS($S$5:$S$1000,$S88,$V$5:$V$1000,"Macro",$H$5:$H$1000,"&gt;0"))))</f>
        <v/>
      </c>
      <c r="AH88" s="62">
        <f>IF(NOT(AND($D88&lt;&gt;"",$V88="Macro")),"",IFERROR(CHOOSE(MATCH($D88,ListaPuestos,0),MATCH("[Jefatura] "&amp;$C88,'Cronograma R. Operacional'!$C$5:$C$1000,0),MATCH("[Jefatura] "&amp;$C88,'Cronograma R. Normativo'!$C$5:$C$1000,0),MATCH("[Jefatura] "&amp;$C88,'Cronograma R. Financiero'!$C$5:$C$1000,0),MATCH("[Jefatura] "&amp;$C88,'Cronograma Asistente Técnico'!$C$5:$C$1000,0)),0))</f>
        <v/>
      </c>
      <c r="AI88" s="62">
        <f>IF(AND(AND($D88&lt;&gt;"",$V88="Macro"),$S88=MesCiclo),COUNTIFS($D$5:$D88,$D88,$S$5:$S88,MesCiclo,$V$5:$V88,"Macro"),"")</f>
        <v/>
      </c>
      <c r="AJ88" s="62">
        <f>IF($AI88="","",$D88&amp;"|"&amp;$AI88)</f>
        <v/>
      </c>
      <c r="AK88" s="62">
        <f>IF(AND($D88&lt;&gt;"",$V88="Macro"),$D88&amp;"|"&amp;$C88,"")</f>
        <v/>
      </c>
      <c r="AL88" s="62">
        <f>""</f>
        <v/>
      </c>
      <c r="AM88" s="62">
        <f>IF(N($AL88)&gt;0,INDEX(rIni_ADM,$AL88),IF(ISNUMBER($E88),$E88,""))</f>
        <v/>
      </c>
      <c r="AN88" s="62">
        <f>IF(N($AL88)&gt;0,INDEX(rLim_ADM,$AL88),IF(ISNUMBER($F88),$F88,""))</f>
        <v/>
      </c>
    </row>
    <row r="89">
      <c r="A89" s="56">
        <f>IF(NOT((COUNTA($B89:$D89)+COUNTA($G89:$L89)+COUNTA($Q89))&gt;0),"",IF($V89="Macro",COUNTIFS($V$5:$V89,"Macro",$S$5:$S89,$S89),IF(N($U89)=0,"?",COUNTIFS(INDEX($V$5:$V$1000,1):INDEX($V$5:$V$1000,$U89-4),"Macro",INDEX($S$5:$S$1000,1):INDEX($S$5:$S$1000,$U89-4),INDEX($S$5:$S$1000,$U89-4))&amp;"."&amp;COUNTIFS($U$5:$U89,$U89,$V$5:$V89,"Sub"))))</f>
        <v/>
      </c>
      <c r="B89" s="57" t="n"/>
      <c r="C89" s="58" t="n"/>
      <c r="D89" s="58" t="n"/>
      <c r="E89" s="59" t="n"/>
      <c r="F89" s="59" t="n"/>
      <c r="G89" s="59" t="n"/>
      <c r="H89" s="60" t="n"/>
      <c r="I89" s="60" t="n"/>
      <c r="J89" s="60" t="n"/>
      <c r="K89" s="60" t="n"/>
      <c r="L89" s="60" t="n"/>
      <c r="M89" s="61">
        <f>IF(NOT((COUNTA($B89:$D89)+COUNTA($G89:$L89)+COUNTA($Q89))&gt;0),"",IF(AND($D89&lt;&gt;"",$V89="Macro"),IF(N($AH89)&gt;0,N(CHOOSE(MATCH($D89,ListaPuestos,0),INDEX('Cronograma R. Operacional'!$M$5:$M$1000,$AH89),INDEX('Cronograma R. Normativo'!$M$5:$M$1000,$AH89),INDEX('Cronograma R. Financiero'!$M$5:$M$1000,$AH89),INDEX('Cronograma Asistente Técnico'!$M$5:$M$1000,$AH89))),0),IF(ISNUMBER($G89),1,IF(N($W89)&gt;0,AVERAGEIFS($X$5:$X$1000,$U$5:$U$1000,ROW(),$V$5:$V$1000,"Sub"),$X89))))</f>
        <v/>
      </c>
      <c r="N89" s="56">
        <f>IF($M89="","",IF($M89&gt;=1,"Completado",IF($M89&gt;0,"En curso","Pendiente")))</f>
        <v/>
      </c>
      <c r="O89" s="56">
        <f>IF(NOT((COUNTA($B89:$D89)+COUNTA($G89:$L89)+COUNTA($Q89))&gt;0),"",IF(AND(AND($D89&lt;&gt;"",$V89="Macro"),N($AH89)&gt;0),CHOOSE(MATCH($D89,ListaPuestos,0),INDEX('Cronograma R. Operacional'!$O$5:$O$1000,$AH89),INDEX('Cronograma R. Normativo'!$O$5:$O$1000,$AH89),INDEX('Cronograma R. Financiero'!$O$5:$O$1000,$AH89),INDEX('Cronograma Asistente Técnico'!$O$5:$O$1000,$AH89))&amp;"",IF(ISNUMBER($G89),IF(AND(ISNUMBER($AN89),$G89&gt;$AN89),"Cumplida con "&amp;($G89-$AN89)&amp;IF($G89-$AN89=1," día"," días")&amp;" de retraso","Cumplida"),IF(N($M89)&gt;=1,"Cumplida",IF(NOT(ISNUMBER($AN89)),"Sin fecha límite",IF($AN89&lt;FechaRef,"Vencida hace "&amp;(FechaRef-$AN89)&amp;IF(FechaRef-$AN89=1," día"," días"),IF($AN89=FechaRef,"Vence hoy",IF($AN89-FechaRef&lt;=DiasAlerta,"Vence en "&amp;($AN89-FechaRef)&amp;IF($AN89-FechaRef=1," día"," días"),"En plazo"))))))))</f>
        <v/>
      </c>
      <c r="P89" s="62">
        <f>IF(NOT((COUNTA($B89:$D89)+COUNTA($G89:$L89)+COUNTA($Q89))&gt;0),"",IF($D89="","Propia",IF($V89&lt;&gt;"Macro","Solo se delegan macroactividades",IF(N($AH89)&gt;0,"✔ Recibida por "&amp;$D89,"⚠ "&amp;$D89&amp;" aún no la agrega"))))</f>
        <v/>
      </c>
      <c r="Q89" s="58" t="n"/>
      <c r="R89" s="63">
        <f>IF(NOT((COUNTA($B89:$D89)+COUNTA($G89:$L89)+COUNTA($Q89))&gt;0),"",IF((IF($C89="","Falta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",""))="","✔ OK","⚠ "&amp;LEFT(IF($C89="","Falta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",""),LEN(IF($C89="","Falta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",""))-3)))</f>
        <v/>
      </c>
      <c r="S89" s="64">
        <f>IF(NOT((COUNTA($B89:$D89)+COUNTA($G89:$L89)+COUNTA($Q89))&gt;0),"",IF(AND($V89="Sub",N($U89)&gt;0),IF(ISNUMBER(INDEX($AM$5:$AM$1000,$U89-4)),DATE(YEAR(INDEX($AM$5:$AM$1000,$U89-4)),MONTH(INDEX($AM$5:$AM$1000,$U89-4)),1),IF(ISNUMBER(INDEX($AN$5:$AN$1000,$U89-4)),DATE(YEAR(INDEX($AN$5:$AN$1000,$U89-4)),MONTH(INDEX($AN$5:$AN$1000,$U89-4)),1),MesCiclo)),IF(ISNUMBER($AM89),DATE(YEAR($AM89),MONTH($AM89),1),IF(ISNUMBER($AN89),DATE(YEAR($AN89),MONTH($AN89),1),MesCiclo))))</f>
        <v/>
      </c>
      <c r="T89" s="62">
        <f>IF(OR($S89="",$S89&lt;&gt;MesCiclo),"",COUNTIF($S$5:$S89,MesCiclo))</f>
        <v/>
      </c>
      <c r="U89" s="62">
        <f>IF($V89="","",IF($V89="Macro",ROW(),IFERROR(LOOKUP(2,1/($V$5:$V89="Macro"),ROW($V$5:$V89)),0)))</f>
        <v/>
      </c>
      <c r="V89" s="62">
        <f>IF(NOT((COUNTA($B89:$D89)+COUNTA($G89:$L89)+COUNTA($Q89))&gt;0),"",IF($B89="Subactividad","Sub","Macro"))</f>
        <v/>
      </c>
      <c r="W89" s="62">
        <f>IF($V89="Macro",COUNTIFS($U$5:$U$1000,ROW(),$V$5:$V$1000,"Sub"),"")</f>
        <v/>
      </c>
      <c r="X89" s="62">
        <f>IF($V89="","",IF(ISNUMBER($G89),1,IFERROR(LOOKUP(2,1/($I89:$L89&lt;&gt;""),$I89:$L89),0)))</f>
        <v/>
      </c>
      <c r="Y89" s="62">
        <f>IF($V89="","",IF(AND(ISNUMBER($G89),$G89&lt;=IF($S89=MesCiclo,InicioCiclo,$S89+MOD(2-WEEKDAY($S89),7))+6),1,IF(ISNUMBER($I89),$I89,0)))</f>
        <v/>
      </c>
      <c r="Z89" s="62">
        <f>IF($V89="","",IF(AND(ISNUMBER($G89),$G89&lt;=IF($S89=MesCiclo,InicioCiclo,$S89+MOD(2-WEEKDAY($S89),7))+13),1,IF(ISNUMBER($J89),$J89,$Y89)))</f>
        <v/>
      </c>
      <c r="AA89" s="62">
        <f>IF($V89="","",IF(AND(ISNUMBER($G89),$G89&lt;=IF($S89=MesCiclo,InicioCiclo,$S89+MOD(2-WEEKDAY($S89),7))+20),1,IF(ISNUMBER($K89),$K89,$Z89)))</f>
        <v/>
      </c>
      <c r="AB89" s="62">
        <f>IF($V89="","",IF(AND(ISNUMBER($G89),$G89&lt;=IF($S89=MesCiclo,InicioCiclo,$S89+MOD(2-WEEKDAY($S89),7))+27),1,IF(ISNUMBER($L89),$L89,$AA89)))</f>
        <v/>
      </c>
      <c r="AC89" s="62">
        <f>IF($V89="","",IF(AND(ISNUMBER($G89),$G89&lt;=IF($S89=MesCiclo,InicioCiclo,$S89+MOD(2-WEEKDAY($S89),7))+6),1,IF(N($W89)&gt;0,AVERAGEIFS($Y$5:$Y$1000,$U$5:$U$1000,ROW(),$V$5:$V$1000,"Sub"),$Y89)))</f>
        <v/>
      </c>
      <c r="AD89" s="62">
        <f>IF($V89="","",IF(AND(ISNUMBER($G89),$G89&lt;=IF($S89=MesCiclo,InicioCiclo,$S89+MOD(2-WEEKDAY($S89),7))+13),1,IF(N($W89)&gt;0,AVERAGEIFS($Z$5:$Z$1000,$U$5:$U$1000,ROW(),$V$5:$V$1000,"Sub"),$Z89)))</f>
        <v/>
      </c>
      <c r="AE89" s="62">
        <f>IF($V89="","",IF(AND(ISNUMBER($G89),$G89&lt;=IF($S89=MesCiclo,InicioCiclo,$S89+MOD(2-WEEKDAY($S89),7))+20),1,IF(N($W89)&gt;0,AVERAGEIFS($AA$5:$AA$1000,$U$5:$U$1000,ROW(),$V$5:$V$1000,"Sub"),$AA89)))</f>
        <v/>
      </c>
      <c r="AF89" s="62">
        <f>IF($V89="","",IF(AND(ISNUMBER($G89),$G89&lt;=IF($S89=MesCiclo,InicioCiclo,$S89+MOD(2-WEEKDAY($S89),7))+27),1,IF(N($W89)&gt;0,AVERAGEIFS($AB$5:$AB$1000,$U$5:$U$1000,ROW(),$V$5:$V$1000,"Sub"),$AB89)))</f>
        <v/>
      </c>
      <c r="AG89" s="62">
        <f>IF($V89&lt;&gt;"Macro","",IF(COUNTIFS($S$5:$S$1000,$S89,$V$5:$V$1000,"Macro",$H$5:$H$1000,"&gt;0")=0,1/COUNTIFS($S$5:$S$1000,$S89,$V$5:$V$1000,"Macro"),IF(AND(ISNUMBER($H89),N($H89)&gt;0),$H89,SUMIFS($H$5:$H$1000,$S$5:$S$1000,$S89,$V$5:$V$1000,"Macro")/COUNTIFS($S$5:$S$1000,$S89,$V$5:$V$1000,"Macro",$H$5:$H$1000,"&gt;0"))/(COUNTIFS($S$5:$S$1000,$S89,$V$5:$V$1000,"Macro")*SUMIFS($H$5:$H$1000,$S$5:$S$1000,$S89,$V$5:$V$1000,"Macro")/COUNTIFS($S$5:$S$1000,$S89,$V$5:$V$1000,"Macro",$H$5:$H$1000,"&gt;0"))))</f>
        <v/>
      </c>
      <c r="AH89" s="62">
        <f>IF(NOT(AND($D89&lt;&gt;"",$V89="Macro")),"",IFERROR(CHOOSE(MATCH($D89,ListaPuestos,0),MATCH("[Jefatura] "&amp;$C89,'Cronograma R. Operacional'!$C$5:$C$1000,0),MATCH("[Jefatura] "&amp;$C89,'Cronograma R. Normativo'!$C$5:$C$1000,0),MATCH("[Jefatura] "&amp;$C89,'Cronograma R. Financiero'!$C$5:$C$1000,0),MATCH("[Jefatura] "&amp;$C89,'Cronograma Asistente Técnico'!$C$5:$C$1000,0)),0))</f>
        <v/>
      </c>
      <c r="AI89" s="62">
        <f>IF(AND(AND($D89&lt;&gt;"",$V89="Macro"),$S89=MesCiclo),COUNTIFS($D$5:$D89,$D89,$S$5:$S89,MesCiclo,$V$5:$V89,"Macro"),"")</f>
        <v/>
      </c>
      <c r="AJ89" s="62">
        <f>IF($AI89="","",$D89&amp;"|"&amp;$AI89)</f>
        <v/>
      </c>
      <c r="AK89" s="62">
        <f>IF(AND($D89&lt;&gt;"",$V89="Macro"),$D89&amp;"|"&amp;$C89,"")</f>
        <v/>
      </c>
      <c r="AL89" s="62">
        <f>""</f>
        <v/>
      </c>
      <c r="AM89" s="62">
        <f>IF(N($AL89)&gt;0,INDEX(rIni_ADM,$AL89),IF(ISNUMBER($E89),$E89,""))</f>
        <v/>
      </c>
      <c r="AN89" s="62">
        <f>IF(N($AL89)&gt;0,INDEX(rLim_ADM,$AL89),IF(ISNUMBER($F89),$F89,""))</f>
        <v/>
      </c>
    </row>
    <row r="90">
      <c r="A90" s="56">
        <f>IF(NOT((COUNTA($B90:$D90)+COUNTA($G90:$L90)+COUNTA($Q90))&gt;0),"",IF($V90="Macro",COUNTIFS($V$5:$V90,"Macro",$S$5:$S90,$S90),IF(N($U90)=0,"?",COUNTIFS(INDEX($V$5:$V$1000,1):INDEX($V$5:$V$1000,$U90-4),"Macro",INDEX($S$5:$S$1000,1):INDEX($S$5:$S$1000,$U90-4),INDEX($S$5:$S$1000,$U90-4))&amp;"."&amp;COUNTIFS($U$5:$U90,$U90,$V$5:$V90,"Sub"))))</f>
        <v/>
      </c>
      <c r="B90" s="57" t="n"/>
      <c r="C90" s="58" t="n"/>
      <c r="D90" s="58" t="n"/>
      <c r="E90" s="59" t="n"/>
      <c r="F90" s="59" t="n"/>
      <c r="G90" s="59" t="n"/>
      <c r="H90" s="60" t="n"/>
      <c r="I90" s="60" t="n"/>
      <c r="J90" s="60" t="n"/>
      <c r="K90" s="60" t="n"/>
      <c r="L90" s="60" t="n"/>
      <c r="M90" s="61">
        <f>IF(NOT((COUNTA($B90:$D90)+COUNTA($G90:$L90)+COUNTA($Q90))&gt;0),"",IF(AND($D90&lt;&gt;"",$V90="Macro"),IF(N($AH90)&gt;0,N(CHOOSE(MATCH($D90,ListaPuestos,0),INDEX('Cronograma R. Operacional'!$M$5:$M$1000,$AH90),INDEX('Cronograma R. Normativo'!$M$5:$M$1000,$AH90),INDEX('Cronograma R. Financiero'!$M$5:$M$1000,$AH90),INDEX('Cronograma Asistente Técnico'!$M$5:$M$1000,$AH90))),0),IF(ISNUMBER($G90),1,IF(N($W90)&gt;0,AVERAGEIFS($X$5:$X$1000,$U$5:$U$1000,ROW(),$V$5:$V$1000,"Sub"),$X90))))</f>
        <v/>
      </c>
      <c r="N90" s="56">
        <f>IF($M90="","",IF($M90&gt;=1,"Completado",IF($M90&gt;0,"En curso","Pendiente")))</f>
        <v/>
      </c>
      <c r="O90" s="56">
        <f>IF(NOT((COUNTA($B90:$D90)+COUNTA($G90:$L90)+COUNTA($Q90))&gt;0),"",IF(AND(AND($D90&lt;&gt;"",$V90="Macro"),N($AH90)&gt;0),CHOOSE(MATCH($D90,ListaPuestos,0),INDEX('Cronograma R. Operacional'!$O$5:$O$1000,$AH90),INDEX('Cronograma R. Normativo'!$O$5:$O$1000,$AH90),INDEX('Cronograma R. Financiero'!$O$5:$O$1000,$AH90),INDEX('Cronograma Asistente Técnico'!$O$5:$O$1000,$AH90))&amp;"",IF(ISNUMBER($G90),IF(AND(ISNUMBER($AN90),$G90&gt;$AN90),"Cumplida con "&amp;($G90-$AN90)&amp;IF($G90-$AN90=1," día"," días")&amp;" de retraso","Cumplida"),IF(N($M90)&gt;=1,"Cumplida",IF(NOT(ISNUMBER($AN90)),"Sin fecha límite",IF($AN90&lt;FechaRef,"Vencida hace "&amp;(FechaRef-$AN90)&amp;IF(FechaRef-$AN90=1," día"," días"),IF($AN90=FechaRef,"Vence hoy",IF($AN90-FechaRef&lt;=DiasAlerta,"Vence en "&amp;($AN90-FechaRef)&amp;IF($AN90-FechaRef=1," día"," días"),"En plazo"))))))))</f>
        <v/>
      </c>
      <c r="P90" s="62">
        <f>IF(NOT((COUNTA($B90:$D90)+COUNTA($G90:$L90)+COUNTA($Q90))&gt;0),"",IF($D90="","Propia",IF($V90&lt;&gt;"Macro","Solo se delegan macroactividades",IF(N($AH90)&gt;0,"✔ Recibida por "&amp;$D90,"⚠ "&amp;$D90&amp;" aún no la agrega"))))</f>
        <v/>
      </c>
      <c r="Q90" s="58" t="n"/>
      <c r="R90" s="63">
        <f>IF(NOT((COUNTA($B90:$D90)+COUNTA($G90:$L90)+COUNTA($Q90))&gt;0),"",IF((IF($C90="","Falta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",""))="","✔ OK","⚠ "&amp;LEFT(IF($C90="","Falta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",""),LEN(IF($C90="","Falta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",""))-3)))</f>
        <v/>
      </c>
      <c r="S90" s="64">
        <f>IF(NOT((COUNTA($B90:$D90)+COUNTA($G90:$L90)+COUNTA($Q90))&gt;0),"",IF(AND($V90="Sub",N($U90)&gt;0),IF(ISNUMBER(INDEX($AM$5:$AM$1000,$U90-4)),DATE(YEAR(INDEX($AM$5:$AM$1000,$U90-4)),MONTH(INDEX($AM$5:$AM$1000,$U90-4)),1),IF(ISNUMBER(INDEX($AN$5:$AN$1000,$U90-4)),DATE(YEAR(INDEX($AN$5:$AN$1000,$U90-4)),MONTH(INDEX($AN$5:$AN$1000,$U90-4)),1),MesCiclo)),IF(ISNUMBER($AM90),DATE(YEAR($AM90),MONTH($AM90),1),IF(ISNUMBER($AN90),DATE(YEAR($AN90),MONTH($AN90),1),MesCiclo))))</f>
        <v/>
      </c>
      <c r="T90" s="62">
        <f>IF(OR($S90="",$S90&lt;&gt;MesCiclo),"",COUNTIF($S$5:$S90,MesCiclo))</f>
        <v/>
      </c>
      <c r="U90" s="62">
        <f>IF($V90="","",IF($V90="Macro",ROW(),IFERROR(LOOKUP(2,1/($V$5:$V90="Macro"),ROW($V$5:$V90)),0)))</f>
        <v/>
      </c>
      <c r="V90" s="62">
        <f>IF(NOT((COUNTA($B90:$D90)+COUNTA($G90:$L90)+COUNTA($Q90))&gt;0),"",IF($B90="Subactividad","Sub","Macro"))</f>
        <v/>
      </c>
      <c r="W90" s="62">
        <f>IF($V90="Macro",COUNTIFS($U$5:$U$1000,ROW(),$V$5:$V$1000,"Sub"),"")</f>
        <v/>
      </c>
      <c r="X90" s="62">
        <f>IF($V90="","",IF(ISNUMBER($G90),1,IFERROR(LOOKUP(2,1/($I90:$L90&lt;&gt;""),$I90:$L90),0)))</f>
        <v/>
      </c>
      <c r="Y90" s="62">
        <f>IF($V90="","",IF(AND(ISNUMBER($G90),$G90&lt;=IF($S90=MesCiclo,InicioCiclo,$S90+MOD(2-WEEKDAY($S90),7))+6),1,IF(ISNUMBER($I90),$I90,0)))</f>
        <v/>
      </c>
      <c r="Z90" s="62">
        <f>IF($V90="","",IF(AND(ISNUMBER($G90),$G90&lt;=IF($S90=MesCiclo,InicioCiclo,$S90+MOD(2-WEEKDAY($S90),7))+13),1,IF(ISNUMBER($J90),$J90,$Y90)))</f>
        <v/>
      </c>
      <c r="AA90" s="62">
        <f>IF($V90="","",IF(AND(ISNUMBER($G90),$G90&lt;=IF($S90=MesCiclo,InicioCiclo,$S90+MOD(2-WEEKDAY($S90),7))+20),1,IF(ISNUMBER($K90),$K90,$Z90)))</f>
        <v/>
      </c>
      <c r="AB90" s="62">
        <f>IF($V90="","",IF(AND(ISNUMBER($G90),$G90&lt;=IF($S90=MesCiclo,InicioCiclo,$S90+MOD(2-WEEKDAY($S90),7))+27),1,IF(ISNUMBER($L90),$L90,$AA90)))</f>
        <v/>
      </c>
      <c r="AC90" s="62">
        <f>IF($V90="","",IF(AND(ISNUMBER($G90),$G90&lt;=IF($S90=MesCiclo,InicioCiclo,$S90+MOD(2-WEEKDAY($S90),7))+6),1,IF(N($W90)&gt;0,AVERAGEIFS($Y$5:$Y$1000,$U$5:$U$1000,ROW(),$V$5:$V$1000,"Sub"),$Y90)))</f>
        <v/>
      </c>
      <c r="AD90" s="62">
        <f>IF($V90="","",IF(AND(ISNUMBER($G90),$G90&lt;=IF($S90=MesCiclo,InicioCiclo,$S90+MOD(2-WEEKDAY($S90),7))+13),1,IF(N($W90)&gt;0,AVERAGEIFS($Z$5:$Z$1000,$U$5:$U$1000,ROW(),$V$5:$V$1000,"Sub"),$Z90)))</f>
        <v/>
      </c>
      <c r="AE90" s="62">
        <f>IF($V90="","",IF(AND(ISNUMBER($G90),$G90&lt;=IF($S90=MesCiclo,InicioCiclo,$S90+MOD(2-WEEKDAY($S90),7))+20),1,IF(N($W90)&gt;0,AVERAGEIFS($AA$5:$AA$1000,$U$5:$U$1000,ROW(),$V$5:$V$1000,"Sub"),$AA90)))</f>
        <v/>
      </c>
      <c r="AF90" s="62">
        <f>IF($V90="","",IF(AND(ISNUMBER($G90),$G90&lt;=IF($S90=MesCiclo,InicioCiclo,$S90+MOD(2-WEEKDAY($S90),7))+27),1,IF(N($W90)&gt;0,AVERAGEIFS($AB$5:$AB$1000,$U$5:$U$1000,ROW(),$V$5:$V$1000,"Sub"),$AB90)))</f>
        <v/>
      </c>
      <c r="AG90" s="62">
        <f>IF($V90&lt;&gt;"Macro","",IF(COUNTIFS($S$5:$S$1000,$S90,$V$5:$V$1000,"Macro",$H$5:$H$1000,"&gt;0")=0,1/COUNTIFS($S$5:$S$1000,$S90,$V$5:$V$1000,"Macro"),IF(AND(ISNUMBER($H90),N($H90)&gt;0),$H90,SUMIFS($H$5:$H$1000,$S$5:$S$1000,$S90,$V$5:$V$1000,"Macro")/COUNTIFS($S$5:$S$1000,$S90,$V$5:$V$1000,"Macro",$H$5:$H$1000,"&gt;0"))/(COUNTIFS($S$5:$S$1000,$S90,$V$5:$V$1000,"Macro")*SUMIFS($H$5:$H$1000,$S$5:$S$1000,$S90,$V$5:$V$1000,"Macro")/COUNTIFS($S$5:$S$1000,$S90,$V$5:$V$1000,"Macro",$H$5:$H$1000,"&gt;0"))))</f>
        <v/>
      </c>
      <c r="AH90" s="62">
        <f>IF(NOT(AND($D90&lt;&gt;"",$V90="Macro")),"",IFERROR(CHOOSE(MATCH($D90,ListaPuestos,0),MATCH("[Jefatura] "&amp;$C90,'Cronograma R. Operacional'!$C$5:$C$1000,0),MATCH("[Jefatura] "&amp;$C90,'Cronograma R. Normativo'!$C$5:$C$1000,0),MATCH("[Jefatura] "&amp;$C90,'Cronograma R. Financiero'!$C$5:$C$1000,0),MATCH("[Jefatura] "&amp;$C90,'Cronograma Asistente Técnico'!$C$5:$C$1000,0)),0))</f>
        <v/>
      </c>
      <c r="AI90" s="62">
        <f>IF(AND(AND($D90&lt;&gt;"",$V90="Macro"),$S90=MesCiclo),COUNTIFS($D$5:$D90,$D90,$S$5:$S90,MesCiclo,$V$5:$V90,"Macro"),"")</f>
        <v/>
      </c>
      <c r="AJ90" s="62">
        <f>IF($AI90="","",$D90&amp;"|"&amp;$AI90)</f>
        <v/>
      </c>
      <c r="AK90" s="62">
        <f>IF(AND($D90&lt;&gt;"",$V90="Macro"),$D90&amp;"|"&amp;$C90,"")</f>
        <v/>
      </c>
      <c r="AL90" s="62">
        <f>""</f>
        <v/>
      </c>
      <c r="AM90" s="62">
        <f>IF(N($AL90)&gt;0,INDEX(rIni_ADM,$AL90),IF(ISNUMBER($E90),$E90,""))</f>
        <v/>
      </c>
      <c r="AN90" s="62">
        <f>IF(N($AL90)&gt;0,INDEX(rLim_ADM,$AL90),IF(ISNUMBER($F90),$F90,""))</f>
        <v/>
      </c>
    </row>
    <row r="91">
      <c r="A91" s="56">
        <f>IF(NOT((COUNTA($B91:$D91)+COUNTA($G91:$L91)+COUNTA($Q91))&gt;0),"",IF($V91="Macro",COUNTIFS($V$5:$V91,"Macro",$S$5:$S91,$S91),IF(N($U91)=0,"?",COUNTIFS(INDEX($V$5:$V$1000,1):INDEX($V$5:$V$1000,$U91-4),"Macro",INDEX($S$5:$S$1000,1):INDEX($S$5:$S$1000,$U91-4),INDEX($S$5:$S$1000,$U91-4))&amp;"."&amp;COUNTIFS($U$5:$U91,$U91,$V$5:$V91,"Sub"))))</f>
        <v/>
      </c>
      <c r="B91" s="57" t="n"/>
      <c r="C91" s="58" t="n"/>
      <c r="D91" s="58" t="n"/>
      <c r="E91" s="59" t="n"/>
      <c r="F91" s="59" t="n"/>
      <c r="G91" s="59" t="n"/>
      <c r="H91" s="60" t="n"/>
      <c r="I91" s="60" t="n"/>
      <c r="J91" s="60" t="n"/>
      <c r="K91" s="60" t="n"/>
      <c r="L91" s="60" t="n"/>
      <c r="M91" s="61">
        <f>IF(NOT((COUNTA($B91:$D91)+COUNTA($G91:$L91)+COUNTA($Q91))&gt;0),"",IF(AND($D91&lt;&gt;"",$V91="Macro"),IF(N($AH91)&gt;0,N(CHOOSE(MATCH($D91,ListaPuestos,0),INDEX('Cronograma R. Operacional'!$M$5:$M$1000,$AH91),INDEX('Cronograma R. Normativo'!$M$5:$M$1000,$AH91),INDEX('Cronograma R. Financiero'!$M$5:$M$1000,$AH91),INDEX('Cronograma Asistente Técnico'!$M$5:$M$1000,$AH91))),0),IF(ISNUMBER($G91),1,IF(N($W91)&gt;0,AVERAGEIFS($X$5:$X$1000,$U$5:$U$1000,ROW(),$V$5:$V$1000,"Sub"),$X91))))</f>
        <v/>
      </c>
      <c r="N91" s="56">
        <f>IF($M91="","",IF($M91&gt;=1,"Completado",IF($M91&gt;0,"En curso","Pendiente")))</f>
        <v/>
      </c>
      <c r="O91" s="56">
        <f>IF(NOT((COUNTA($B91:$D91)+COUNTA($G91:$L91)+COUNTA($Q91))&gt;0),"",IF(AND(AND($D91&lt;&gt;"",$V91="Macro"),N($AH91)&gt;0),CHOOSE(MATCH($D91,ListaPuestos,0),INDEX('Cronograma R. Operacional'!$O$5:$O$1000,$AH91),INDEX('Cronograma R. Normativo'!$O$5:$O$1000,$AH91),INDEX('Cronograma R. Financiero'!$O$5:$O$1000,$AH91),INDEX('Cronograma Asistente Técnico'!$O$5:$O$1000,$AH91))&amp;"",IF(ISNUMBER($G91),IF(AND(ISNUMBER($AN91),$G91&gt;$AN91),"Cumplida con "&amp;($G91-$AN91)&amp;IF($G91-$AN91=1," día"," días")&amp;" de retraso","Cumplida"),IF(N($M91)&gt;=1,"Cumplida",IF(NOT(ISNUMBER($AN91)),"Sin fecha límite",IF($AN91&lt;FechaRef,"Vencida hace "&amp;(FechaRef-$AN91)&amp;IF(FechaRef-$AN91=1," día"," días"),IF($AN91=FechaRef,"Vence hoy",IF($AN91-FechaRef&lt;=DiasAlerta,"Vence en "&amp;($AN91-FechaRef)&amp;IF($AN91-FechaRef=1," día"," días"),"En plazo"))))))))</f>
        <v/>
      </c>
      <c r="P91" s="62">
        <f>IF(NOT((COUNTA($B91:$D91)+COUNTA($G91:$L91)+COUNTA($Q91))&gt;0),"",IF($D91="","Propia",IF($V91&lt;&gt;"Macro","Solo se delegan macroactividades",IF(N($AH91)&gt;0,"✔ Recibida por "&amp;$D91,"⚠ "&amp;$D91&amp;" aún no la agrega"))))</f>
        <v/>
      </c>
      <c r="Q91" s="58" t="n"/>
      <c r="R91" s="63">
        <f>IF(NOT((COUNTA($B91:$D91)+COUNTA($G91:$L91)+COUNTA($Q91))&gt;0),"",IF((IF($C91="","Falta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",""))="","✔ OK","⚠ "&amp;LEFT(IF($C91="","Falta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",""),LEN(IF($C91="","Falta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",""))-3)))</f>
        <v/>
      </c>
      <c r="S91" s="64">
        <f>IF(NOT((COUNTA($B91:$D91)+COUNTA($G91:$L91)+COUNTA($Q91))&gt;0),"",IF(AND($V91="Sub",N($U91)&gt;0),IF(ISNUMBER(INDEX($AM$5:$AM$1000,$U91-4)),DATE(YEAR(INDEX($AM$5:$AM$1000,$U91-4)),MONTH(INDEX($AM$5:$AM$1000,$U91-4)),1),IF(ISNUMBER(INDEX($AN$5:$AN$1000,$U91-4)),DATE(YEAR(INDEX($AN$5:$AN$1000,$U91-4)),MONTH(INDEX($AN$5:$AN$1000,$U91-4)),1),MesCiclo)),IF(ISNUMBER($AM91),DATE(YEAR($AM91),MONTH($AM91),1),IF(ISNUMBER($AN91),DATE(YEAR($AN91),MONTH($AN91),1),MesCiclo))))</f>
        <v/>
      </c>
      <c r="T91" s="62">
        <f>IF(OR($S91="",$S91&lt;&gt;MesCiclo),"",COUNTIF($S$5:$S91,MesCiclo))</f>
        <v/>
      </c>
      <c r="U91" s="62">
        <f>IF($V91="","",IF($V91="Macro",ROW(),IFERROR(LOOKUP(2,1/($V$5:$V91="Macro"),ROW($V$5:$V91)),0)))</f>
        <v/>
      </c>
      <c r="V91" s="62">
        <f>IF(NOT((COUNTA($B91:$D91)+COUNTA($G91:$L91)+COUNTA($Q91))&gt;0),"",IF($B91="Subactividad","Sub","Macro"))</f>
        <v/>
      </c>
      <c r="W91" s="62">
        <f>IF($V91="Macro",COUNTIFS($U$5:$U$1000,ROW(),$V$5:$V$1000,"Sub"),"")</f>
        <v/>
      </c>
      <c r="X91" s="62">
        <f>IF($V91="","",IF(ISNUMBER($G91),1,IFERROR(LOOKUP(2,1/($I91:$L91&lt;&gt;""),$I91:$L91),0)))</f>
        <v/>
      </c>
      <c r="Y91" s="62">
        <f>IF($V91="","",IF(AND(ISNUMBER($G91),$G91&lt;=IF($S91=MesCiclo,InicioCiclo,$S91+MOD(2-WEEKDAY($S91),7))+6),1,IF(ISNUMBER($I91),$I91,0)))</f>
        <v/>
      </c>
      <c r="Z91" s="62">
        <f>IF($V91="","",IF(AND(ISNUMBER($G91),$G91&lt;=IF($S91=MesCiclo,InicioCiclo,$S91+MOD(2-WEEKDAY($S91),7))+13),1,IF(ISNUMBER($J91),$J91,$Y91)))</f>
        <v/>
      </c>
      <c r="AA91" s="62">
        <f>IF($V91="","",IF(AND(ISNUMBER($G91),$G91&lt;=IF($S91=MesCiclo,InicioCiclo,$S91+MOD(2-WEEKDAY($S91),7))+20),1,IF(ISNUMBER($K91),$K91,$Z91)))</f>
        <v/>
      </c>
      <c r="AB91" s="62">
        <f>IF($V91="","",IF(AND(ISNUMBER($G91),$G91&lt;=IF($S91=MesCiclo,InicioCiclo,$S91+MOD(2-WEEKDAY($S91),7))+27),1,IF(ISNUMBER($L91),$L91,$AA91)))</f>
        <v/>
      </c>
      <c r="AC91" s="62">
        <f>IF($V91="","",IF(AND(ISNUMBER($G91),$G91&lt;=IF($S91=MesCiclo,InicioCiclo,$S91+MOD(2-WEEKDAY($S91),7))+6),1,IF(N($W91)&gt;0,AVERAGEIFS($Y$5:$Y$1000,$U$5:$U$1000,ROW(),$V$5:$V$1000,"Sub"),$Y91)))</f>
        <v/>
      </c>
      <c r="AD91" s="62">
        <f>IF($V91="","",IF(AND(ISNUMBER($G91),$G91&lt;=IF($S91=MesCiclo,InicioCiclo,$S91+MOD(2-WEEKDAY($S91),7))+13),1,IF(N($W91)&gt;0,AVERAGEIFS($Z$5:$Z$1000,$U$5:$U$1000,ROW(),$V$5:$V$1000,"Sub"),$Z91)))</f>
        <v/>
      </c>
      <c r="AE91" s="62">
        <f>IF($V91="","",IF(AND(ISNUMBER($G91),$G91&lt;=IF($S91=MesCiclo,InicioCiclo,$S91+MOD(2-WEEKDAY($S91),7))+20),1,IF(N($W91)&gt;0,AVERAGEIFS($AA$5:$AA$1000,$U$5:$U$1000,ROW(),$V$5:$V$1000,"Sub"),$AA91)))</f>
        <v/>
      </c>
      <c r="AF91" s="62">
        <f>IF($V91="","",IF(AND(ISNUMBER($G91),$G91&lt;=IF($S91=MesCiclo,InicioCiclo,$S91+MOD(2-WEEKDAY($S91),7))+27),1,IF(N($W91)&gt;0,AVERAGEIFS($AB$5:$AB$1000,$U$5:$U$1000,ROW(),$V$5:$V$1000,"Sub"),$AB91)))</f>
        <v/>
      </c>
      <c r="AG91" s="62">
        <f>IF($V91&lt;&gt;"Macro","",IF(COUNTIFS($S$5:$S$1000,$S91,$V$5:$V$1000,"Macro",$H$5:$H$1000,"&gt;0")=0,1/COUNTIFS($S$5:$S$1000,$S91,$V$5:$V$1000,"Macro"),IF(AND(ISNUMBER($H91),N($H91)&gt;0),$H91,SUMIFS($H$5:$H$1000,$S$5:$S$1000,$S91,$V$5:$V$1000,"Macro")/COUNTIFS($S$5:$S$1000,$S91,$V$5:$V$1000,"Macro",$H$5:$H$1000,"&gt;0"))/(COUNTIFS($S$5:$S$1000,$S91,$V$5:$V$1000,"Macro")*SUMIFS($H$5:$H$1000,$S$5:$S$1000,$S91,$V$5:$V$1000,"Macro")/COUNTIFS($S$5:$S$1000,$S91,$V$5:$V$1000,"Macro",$H$5:$H$1000,"&gt;0"))))</f>
        <v/>
      </c>
      <c r="AH91" s="62">
        <f>IF(NOT(AND($D91&lt;&gt;"",$V91="Macro")),"",IFERROR(CHOOSE(MATCH($D91,ListaPuestos,0),MATCH("[Jefatura] "&amp;$C91,'Cronograma R. Operacional'!$C$5:$C$1000,0),MATCH("[Jefatura] "&amp;$C91,'Cronograma R. Normativo'!$C$5:$C$1000,0),MATCH("[Jefatura] "&amp;$C91,'Cronograma R. Financiero'!$C$5:$C$1000,0),MATCH("[Jefatura] "&amp;$C91,'Cronograma Asistente Técnico'!$C$5:$C$1000,0)),0))</f>
        <v/>
      </c>
      <c r="AI91" s="62">
        <f>IF(AND(AND($D91&lt;&gt;"",$V91="Macro"),$S91=MesCiclo),COUNTIFS($D$5:$D91,$D91,$S$5:$S91,MesCiclo,$V$5:$V91,"Macro"),"")</f>
        <v/>
      </c>
      <c r="AJ91" s="62">
        <f>IF($AI91="","",$D91&amp;"|"&amp;$AI91)</f>
        <v/>
      </c>
      <c r="AK91" s="62">
        <f>IF(AND($D91&lt;&gt;"",$V91="Macro"),$D91&amp;"|"&amp;$C91,"")</f>
        <v/>
      </c>
      <c r="AL91" s="62">
        <f>""</f>
        <v/>
      </c>
      <c r="AM91" s="62">
        <f>IF(N($AL91)&gt;0,INDEX(rIni_ADM,$AL91),IF(ISNUMBER($E91),$E91,""))</f>
        <v/>
      </c>
      <c r="AN91" s="62">
        <f>IF(N($AL91)&gt;0,INDEX(rLim_ADM,$AL91),IF(ISNUMBER($F91),$F91,""))</f>
        <v/>
      </c>
    </row>
    <row r="92">
      <c r="A92" s="56">
        <f>IF(NOT((COUNTA($B92:$D92)+COUNTA($G92:$L92)+COUNTA($Q92))&gt;0),"",IF($V92="Macro",COUNTIFS($V$5:$V92,"Macro",$S$5:$S92,$S92),IF(N($U92)=0,"?",COUNTIFS(INDEX($V$5:$V$1000,1):INDEX($V$5:$V$1000,$U92-4),"Macro",INDEX($S$5:$S$1000,1):INDEX($S$5:$S$1000,$U92-4),INDEX($S$5:$S$1000,$U92-4))&amp;"."&amp;COUNTIFS($U$5:$U92,$U92,$V$5:$V92,"Sub"))))</f>
        <v/>
      </c>
      <c r="B92" s="57" t="n"/>
      <c r="C92" s="58" t="n"/>
      <c r="D92" s="58" t="n"/>
      <c r="E92" s="59" t="n"/>
      <c r="F92" s="59" t="n"/>
      <c r="G92" s="59" t="n"/>
      <c r="H92" s="60" t="n"/>
      <c r="I92" s="60" t="n"/>
      <c r="J92" s="60" t="n"/>
      <c r="K92" s="60" t="n"/>
      <c r="L92" s="60" t="n"/>
      <c r="M92" s="61">
        <f>IF(NOT((COUNTA($B92:$D92)+COUNTA($G92:$L92)+COUNTA($Q92))&gt;0),"",IF(AND($D92&lt;&gt;"",$V92="Macro"),IF(N($AH92)&gt;0,N(CHOOSE(MATCH($D92,ListaPuestos,0),INDEX('Cronograma R. Operacional'!$M$5:$M$1000,$AH92),INDEX('Cronograma R. Normativo'!$M$5:$M$1000,$AH92),INDEX('Cronograma R. Financiero'!$M$5:$M$1000,$AH92),INDEX('Cronograma Asistente Técnico'!$M$5:$M$1000,$AH92))),0),IF(ISNUMBER($G92),1,IF(N($W92)&gt;0,AVERAGEIFS($X$5:$X$1000,$U$5:$U$1000,ROW(),$V$5:$V$1000,"Sub"),$X92))))</f>
        <v/>
      </c>
      <c r="N92" s="56">
        <f>IF($M92="","",IF($M92&gt;=1,"Completado",IF($M92&gt;0,"En curso","Pendiente")))</f>
        <v/>
      </c>
      <c r="O92" s="56">
        <f>IF(NOT((COUNTA($B92:$D92)+COUNTA($G92:$L92)+COUNTA($Q92))&gt;0),"",IF(AND(AND($D92&lt;&gt;"",$V92="Macro"),N($AH92)&gt;0),CHOOSE(MATCH($D92,ListaPuestos,0),INDEX('Cronograma R. Operacional'!$O$5:$O$1000,$AH92),INDEX('Cronograma R. Normativo'!$O$5:$O$1000,$AH92),INDEX('Cronograma R. Financiero'!$O$5:$O$1000,$AH92),INDEX('Cronograma Asistente Técnico'!$O$5:$O$1000,$AH92))&amp;"",IF(ISNUMBER($G92),IF(AND(ISNUMBER($AN92),$G92&gt;$AN92),"Cumplida con "&amp;($G92-$AN92)&amp;IF($G92-$AN92=1," día"," días")&amp;" de retraso","Cumplida"),IF(N($M92)&gt;=1,"Cumplida",IF(NOT(ISNUMBER($AN92)),"Sin fecha límite",IF($AN92&lt;FechaRef,"Vencida hace "&amp;(FechaRef-$AN92)&amp;IF(FechaRef-$AN92=1," día"," días"),IF($AN92=FechaRef,"Vence hoy",IF($AN92-FechaRef&lt;=DiasAlerta,"Vence en "&amp;($AN92-FechaRef)&amp;IF($AN92-FechaRef=1," día"," días"),"En plazo"))))))))</f>
        <v/>
      </c>
      <c r="P92" s="62">
        <f>IF(NOT((COUNTA($B92:$D92)+COUNTA($G92:$L92)+COUNTA($Q92))&gt;0),"",IF($D92="","Propia",IF($V92&lt;&gt;"Macro","Solo se delegan macroactividades",IF(N($AH92)&gt;0,"✔ Recibida por "&amp;$D92,"⚠ "&amp;$D92&amp;" aún no la agrega"))))</f>
        <v/>
      </c>
      <c r="Q92" s="58" t="n"/>
      <c r="R92" s="63">
        <f>IF(NOT((COUNTA($B92:$D92)+COUNTA($G92:$L92)+COUNTA($Q92))&gt;0),"",IF((IF($C92="","Falta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",""))="","✔ OK","⚠ "&amp;LEFT(IF($C92="","Falta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",""),LEN(IF($C92="","Falta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",""))-3)))</f>
        <v/>
      </c>
      <c r="S92" s="64">
        <f>IF(NOT((COUNTA($B92:$D92)+COUNTA($G92:$L92)+COUNTA($Q92))&gt;0),"",IF(AND($V92="Sub",N($U92)&gt;0),IF(ISNUMBER(INDEX($AM$5:$AM$1000,$U92-4)),DATE(YEAR(INDEX($AM$5:$AM$1000,$U92-4)),MONTH(INDEX($AM$5:$AM$1000,$U92-4)),1),IF(ISNUMBER(INDEX($AN$5:$AN$1000,$U92-4)),DATE(YEAR(INDEX($AN$5:$AN$1000,$U92-4)),MONTH(INDEX($AN$5:$AN$1000,$U92-4)),1),MesCiclo)),IF(ISNUMBER($AM92),DATE(YEAR($AM92),MONTH($AM92),1),IF(ISNUMBER($AN92),DATE(YEAR($AN92),MONTH($AN92),1),MesCiclo))))</f>
        <v/>
      </c>
      <c r="T92" s="62">
        <f>IF(OR($S92="",$S92&lt;&gt;MesCiclo),"",COUNTIF($S$5:$S92,MesCiclo))</f>
        <v/>
      </c>
      <c r="U92" s="62">
        <f>IF($V92="","",IF($V92="Macro",ROW(),IFERROR(LOOKUP(2,1/($V$5:$V92="Macro"),ROW($V$5:$V92)),0)))</f>
        <v/>
      </c>
      <c r="V92" s="62">
        <f>IF(NOT((COUNTA($B92:$D92)+COUNTA($G92:$L92)+COUNTA($Q92))&gt;0),"",IF($B92="Subactividad","Sub","Macro"))</f>
        <v/>
      </c>
      <c r="W92" s="62">
        <f>IF($V92="Macro",COUNTIFS($U$5:$U$1000,ROW(),$V$5:$V$1000,"Sub"),"")</f>
        <v/>
      </c>
      <c r="X92" s="62">
        <f>IF($V92="","",IF(ISNUMBER($G92),1,IFERROR(LOOKUP(2,1/($I92:$L92&lt;&gt;""),$I92:$L92),0)))</f>
        <v/>
      </c>
      <c r="Y92" s="62">
        <f>IF($V92="","",IF(AND(ISNUMBER($G92),$G92&lt;=IF($S92=MesCiclo,InicioCiclo,$S92+MOD(2-WEEKDAY($S92),7))+6),1,IF(ISNUMBER($I92),$I92,0)))</f>
        <v/>
      </c>
      <c r="Z92" s="62">
        <f>IF($V92="","",IF(AND(ISNUMBER($G92),$G92&lt;=IF($S92=MesCiclo,InicioCiclo,$S92+MOD(2-WEEKDAY($S92),7))+13),1,IF(ISNUMBER($J92),$J92,$Y92)))</f>
        <v/>
      </c>
      <c r="AA92" s="62">
        <f>IF($V92="","",IF(AND(ISNUMBER($G92),$G92&lt;=IF($S92=MesCiclo,InicioCiclo,$S92+MOD(2-WEEKDAY($S92),7))+20),1,IF(ISNUMBER($K92),$K92,$Z92)))</f>
        <v/>
      </c>
      <c r="AB92" s="62">
        <f>IF($V92="","",IF(AND(ISNUMBER($G92),$G92&lt;=IF($S92=MesCiclo,InicioCiclo,$S92+MOD(2-WEEKDAY($S92),7))+27),1,IF(ISNUMBER($L92),$L92,$AA92)))</f>
        <v/>
      </c>
      <c r="AC92" s="62">
        <f>IF($V92="","",IF(AND(ISNUMBER($G92),$G92&lt;=IF($S92=MesCiclo,InicioCiclo,$S92+MOD(2-WEEKDAY($S92),7))+6),1,IF(N($W92)&gt;0,AVERAGEIFS($Y$5:$Y$1000,$U$5:$U$1000,ROW(),$V$5:$V$1000,"Sub"),$Y92)))</f>
        <v/>
      </c>
      <c r="AD92" s="62">
        <f>IF($V92="","",IF(AND(ISNUMBER($G92),$G92&lt;=IF($S92=MesCiclo,InicioCiclo,$S92+MOD(2-WEEKDAY($S92),7))+13),1,IF(N($W92)&gt;0,AVERAGEIFS($Z$5:$Z$1000,$U$5:$U$1000,ROW(),$V$5:$V$1000,"Sub"),$Z92)))</f>
        <v/>
      </c>
      <c r="AE92" s="62">
        <f>IF($V92="","",IF(AND(ISNUMBER($G92),$G92&lt;=IF($S92=MesCiclo,InicioCiclo,$S92+MOD(2-WEEKDAY($S92),7))+20),1,IF(N($W92)&gt;0,AVERAGEIFS($AA$5:$AA$1000,$U$5:$U$1000,ROW(),$V$5:$V$1000,"Sub"),$AA92)))</f>
        <v/>
      </c>
      <c r="AF92" s="62">
        <f>IF($V92="","",IF(AND(ISNUMBER($G92),$G92&lt;=IF($S92=MesCiclo,InicioCiclo,$S92+MOD(2-WEEKDAY($S92),7))+27),1,IF(N($W92)&gt;0,AVERAGEIFS($AB$5:$AB$1000,$U$5:$U$1000,ROW(),$V$5:$V$1000,"Sub"),$AB92)))</f>
        <v/>
      </c>
      <c r="AG92" s="62">
        <f>IF($V92&lt;&gt;"Macro","",IF(COUNTIFS($S$5:$S$1000,$S92,$V$5:$V$1000,"Macro",$H$5:$H$1000,"&gt;0")=0,1/COUNTIFS($S$5:$S$1000,$S92,$V$5:$V$1000,"Macro"),IF(AND(ISNUMBER($H92),N($H92)&gt;0),$H92,SUMIFS($H$5:$H$1000,$S$5:$S$1000,$S92,$V$5:$V$1000,"Macro")/COUNTIFS($S$5:$S$1000,$S92,$V$5:$V$1000,"Macro",$H$5:$H$1000,"&gt;0"))/(COUNTIFS($S$5:$S$1000,$S92,$V$5:$V$1000,"Macro")*SUMIFS($H$5:$H$1000,$S$5:$S$1000,$S92,$V$5:$V$1000,"Macro")/COUNTIFS($S$5:$S$1000,$S92,$V$5:$V$1000,"Macro",$H$5:$H$1000,"&gt;0"))))</f>
        <v/>
      </c>
      <c r="AH92" s="62">
        <f>IF(NOT(AND($D92&lt;&gt;"",$V92="Macro")),"",IFERROR(CHOOSE(MATCH($D92,ListaPuestos,0),MATCH("[Jefatura] "&amp;$C92,'Cronograma R. Operacional'!$C$5:$C$1000,0),MATCH("[Jefatura] "&amp;$C92,'Cronograma R. Normativo'!$C$5:$C$1000,0),MATCH("[Jefatura] "&amp;$C92,'Cronograma R. Financiero'!$C$5:$C$1000,0),MATCH("[Jefatura] "&amp;$C92,'Cronograma Asistente Técnico'!$C$5:$C$1000,0)),0))</f>
        <v/>
      </c>
      <c r="AI92" s="62">
        <f>IF(AND(AND($D92&lt;&gt;"",$V92="Macro"),$S92=MesCiclo),COUNTIFS($D$5:$D92,$D92,$S$5:$S92,MesCiclo,$V$5:$V92,"Macro"),"")</f>
        <v/>
      </c>
      <c r="AJ92" s="62">
        <f>IF($AI92="","",$D92&amp;"|"&amp;$AI92)</f>
        <v/>
      </c>
      <c r="AK92" s="62">
        <f>IF(AND($D92&lt;&gt;"",$V92="Macro"),$D92&amp;"|"&amp;$C92,"")</f>
        <v/>
      </c>
      <c r="AL92" s="62">
        <f>""</f>
        <v/>
      </c>
      <c r="AM92" s="62">
        <f>IF(N($AL92)&gt;0,INDEX(rIni_ADM,$AL92),IF(ISNUMBER($E92),$E92,""))</f>
        <v/>
      </c>
      <c r="AN92" s="62">
        <f>IF(N($AL92)&gt;0,INDEX(rLim_ADM,$AL92),IF(ISNUMBER($F92),$F92,""))</f>
        <v/>
      </c>
    </row>
    <row r="93">
      <c r="A93" s="56">
        <f>IF(NOT((COUNTA($B93:$D93)+COUNTA($G93:$L93)+COUNTA($Q93))&gt;0),"",IF($V93="Macro",COUNTIFS($V$5:$V93,"Macro",$S$5:$S93,$S93),IF(N($U93)=0,"?",COUNTIFS(INDEX($V$5:$V$1000,1):INDEX($V$5:$V$1000,$U93-4),"Macro",INDEX($S$5:$S$1000,1):INDEX($S$5:$S$1000,$U93-4),INDEX($S$5:$S$1000,$U93-4))&amp;"."&amp;COUNTIFS($U$5:$U93,$U93,$V$5:$V93,"Sub"))))</f>
        <v/>
      </c>
      <c r="B93" s="57" t="n"/>
      <c r="C93" s="58" t="n"/>
      <c r="D93" s="58" t="n"/>
      <c r="E93" s="59" t="n"/>
      <c r="F93" s="59" t="n"/>
      <c r="G93" s="59" t="n"/>
      <c r="H93" s="60" t="n"/>
      <c r="I93" s="60" t="n"/>
      <c r="J93" s="60" t="n"/>
      <c r="K93" s="60" t="n"/>
      <c r="L93" s="60" t="n"/>
      <c r="M93" s="61">
        <f>IF(NOT((COUNTA($B93:$D93)+COUNTA($G93:$L93)+COUNTA($Q93))&gt;0),"",IF(AND($D93&lt;&gt;"",$V93="Macro"),IF(N($AH93)&gt;0,N(CHOOSE(MATCH($D93,ListaPuestos,0),INDEX('Cronograma R. Operacional'!$M$5:$M$1000,$AH93),INDEX('Cronograma R. Normativo'!$M$5:$M$1000,$AH93),INDEX('Cronograma R. Financiero'!$M$5:$M$1000,$AH93),INDEX('Cronograma Asistente Técnico'!$M$5:$M$1000,$AH93))),0),IF(ISNUMBER($G93),1,IF(N($W93)&gt;0,AVERAGEIFS($X$5:$X$1000,$U$5:$U$1000,ROW(),$V$5:$V$1000,"Sub"),$X93))))</f>
        <v/>
      </c>
      <c r="N93" s="56">
        <f>IF($M93="","",IF($M93&gt;=1,"Completado",IF($M93&gt;0,"En curso","Pendiente")))</f>
        <v/>
      </c>
      <c r="O93" s="56">
        <f>IF(NOT((COUNTA($B93:$D93)+COUNTA($G93:$L93)+COUNTA($Q93))&gt;0),"",IF(AND(AND($D93&lt;&gt;"",$V93="Macro"),N($AH93)&gt;0),CHOOSE(MATCH($D93,ListaPuestos,0),INDEX('Cronograma R. Operacional'!$O$5:$O$1000,$AH93),INDEX('Cronograma R. Normativo'!$O$5:$O$1000,$AH93),INDEX('Cronograma R. Financiero'!$O$5:$O$1000,$AH93),INDEX('Cronograma Asistente Técnico'!$O$5:$O$1000,$AH93))&amp;"",IF(ISNUMBER($G93),IF(AND(ISNUMBER($AN93),$G93&gt;$AN93),"Cumplida con "&amp;($G93-$AN93)&amp;IF($G93-$AN93=1," día"," días")&amp;" de retraso","Cumplida"),IF(N($M93)&gt;=1,"Cumplida",IF(NOT(ISNUMBER($AN93)),"Sin fecha límite",IF($AN93&lt;FechaRef,"Vencida hace "&amp;(FechaRef-$AN93)&amp;IF(FechaRef-$AN93=1," día"," días"),IF($AN93=FechaRef,"Vence hoy",IF($AN93-FechaRef&lt;=DiasAlerta,"Vence en "&amp;($AN93-FechaRef)&amp;IF($AN93-FechaRef=1," día"," días"),"En plazo"))))))))</f>
        <v/>
      </c>
      <c r="P93" s="62">
        <f>IF(NOT((COUNTA($B93:$D93)+COUNTA($G93:$L93)+COUNTA($Q93))&gt;0),"",IF($D93="","Propia",IF($V93&lt;&gt;"Macro","Solo se delegan macroactividades",IF(N($AH93)&gt;0,"✔ Recibida por "&amp;$D93,"⚠ "&amp;$D93&amp;" aún no la agrega"))))</f>
        <v/>
      </c>
      <c r="Q93" s="58" t="n"/>
      <c r="R93" s="63">
        <f>IF(NOT((COUNTA($B93:$D93)+COUNTA($G93:$L93)+COUNTA($Q93))&gt;0),"",IF((IF($C93="","Falta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",""))="","✔ OK","⚠ "&amp;LEFT(IF($C93="","Falta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",""),LEN(IF($C93="","Falta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",""))-3)))</f>
        <v/>
      </c>
      <c r="S93" s="64">
        <f>IF(NOT((COUNTA($B93:$D93)+COUNTA($G93:$L93)+COUNTA($Q93))&gt;0),"",IF(AND($V93="Sub",N($U93)&gt;0),IF(ISNUMBER(INDEX($AM$5:$AM$1000,$U93-4)),DATE(YEAR(INDEX($AM$5:$AM$1000,$U93-4)),MONTH(INDEX($AM$5:$AM$1000,$U93-4)),1),IF(ISNUMBER(INDEX($AN$5:$AN$1000,$U93-4)),DATE(YEAR(INDEX($AN$5:$AN$1000,$U93-4)),MONTH(INDEX($AN$5:$AN$1000,$U93-4)),1),MesCiclo)),IF(ISNUMBER($AM93),DATE(YEAR($AM93),MONTH($AM93),1),IF(ISNUMBER($AN93),DATE(YEAR($AN93),MONTH($AN93),1),MesCiclo))))</f>
        <v/>
      </c>
      <c r="T93" s="62">
        <f>IF(OR($S93="",$S93&lt;&gt;MesCiclo),"",COUNTIF($S$5:$S93,MesCiclo))</f>
        <v/>
      </c>
      <c r="U93" s="62">
        <f>IF($V93="","",IF($V93="Macro",ROW(),IFERROR(LOOKUP(2,1/($V$5:$V93="Macro"),ROW($V$5:$V93)),0)))</f>
        <v/>
      </c>
      <c r="V93" s="62">
        <f>IF(NOT((COUNTA($B93:$D93)+COUNTA($G93:$L93)+COUNTA($Q93))&gt;0),"",IF($B93="Subactividad","Sub","Macro"))</f>
        <v/>
      </c>
      <c r="W93" s="62">
        <f>IF($V93="Macro",COUNTIFS($U$5:$U$1000,ROW(),$V$5:$V$1000,"Sub"),"")</f>
        <v/>
      </c>
      <c r="X93" s="62">
        <f>IF($V93="","",IF(ISNUMBER($G93),1,IFERROR(LOOKUP(2,1/($I93:$L93&lt;&gt;""),$I93:$L93),0)))</f>
        <v/>
      </c>
      <c r="Y93" s="62">
        <f>IF($V93="","",IF(AND(ISNUMBER($G93),$G93&lt;=IF($S93=MesCiclo,InicioCiclo,$S93+MOD(2-WEEKDAY($S93),7))+6),1,IF(ISNUMBER($I93),$I93,0)))</f>
        <v/>
      </c>
      <c r="Z93" s="62">
        <f>IF($V93="","",IF(AND(ISNUMBER($G93),$G93&lt;=IF($S93=MesCiclo,InicioCiclo,$S93+MOD(2-WEEKDAY($S93),7))+13),1,IF(ISNUMBER($J93),$J93,$Y93)))</f>
        <v/>
      </c>
      <c r="AA93" s="62">
        <f>IF($V93="","",IF(AND(ISNUMBER($G93),$G93&lt;=IF($S93=MesCiclo,InicioCiclo,$S93+MOD(2-WEEKDAY($S93),7))+20),1,IF(ISNUMBER($K93),$K93,$Z93)))</f>
        <v/>
      </c>
      <c r="AB93" s="62">
        <f>IF($V93="","",IF(AND(ISNUMBER($G93),$G93&lt;=IF($S93=MesCiclo,InicioCiclo,$S93+MOD(2-WEEKDAY($S93),7))+27),1,IF(ISNUMBER($L93),$L93,$AA93)))</f>
        <v/>
      </c>
      <c r="AC93" s="62">
        <f>IF($V93="","",IF(AND(ISNUMBER($G93),$G93&lt;=IF($S93=MesCiclo,InicioCiclo,$S93+MOD(2-WEEKDAY($S93),7))+6),1,IF(N($W93)&gt;0,AVERAGEIFS($Y$5:$Y$1000,$U$5:$U$1000,ROW(),$V$5:$V$1000,"Sub"),$Y93)))</f>
        <v/>
      </c>
      <c r="AD93" s="62">
        <f>IF($V93="","",IF(AND(ISNUMBER($G93),$G93&lt;=IF($S93=MesCiclo,InicioCiclo,$S93+MOD(2-WEEKDAY($S93),7))+13),1,IF(N($W93)&gt;0,AVERAGEIFS($Z$5:$Z$1000,$U$5:$U$1000,ROW(),$V$5:$V$1000,"Sub"),$Z93)))</f>
        <v/>
      </c>
      <c r="AE93" s="62">
        <f>IF($V93="","",IF(AND(ISNUMBER($G93),$G93&lt;=IF($S93=MesCiclo,InicioCiclo,$S93+MOD(2-WEEKDAY($S93),7))+20),1,IF(N($W93)&gt;0,AVERAGEIFS($AA$5:$AA$1000,$U$5:$U$1000,ROW(),$V$5:$V$1000,"Sub"),$AA93)))</f>
        <v/>
      </c>
      <c r="AF93" s="62">
        <f>IF($V93="","",IF(AND(ISNUMBER($G93),$G93&lt;=IF($S93=MesCiclo,InicioCiclo,$S93+MOD(2-WEEKDAY($S93),7))+27),1,IF(N($W93)&gt;0,AVERAGEIFS($AB$5:$AB$1000,$U$5:$U$1000,ROW(),$V$5:$V$1000,"Sub"),$AB93)))</f>
        <v/>
      </c>
      <c r="AG93" s="62">
        <f>IF($V93&lt;&gt;"Macro","",IF(COUNTIFS($S$5:$S$1000,$S93,$V$5:$V$1000,"Macro",$H$5:$H$1000,"&gt;0")=0,1/COUNTIFS($S$5:$S$1000,$S93,$V$5:$V$1000,"Macro"),IF(AND(ISNUMBER($H93),N($H93)&gt;0),$H93,SUMIFS($H$5:$H$1000,$S$5:$S$1000,$S93,$V$5:$V$1000,"Macro")/COUNTIFS($S$5:$S$1000,$S93,$V$5:$V$1000,"Macro",$H$5:$H$1000,"&gt;0"))/(COUNTIFS($S$5:$S$1000,$S93,$V$5:$V$1000,"Macro")*SUMIFS($H$5:$H$1000,$S$5:$S$1000,$S93,$V$5:$V$1000,"Macro")/COUNTIFS($S$5:$S$1000,$S93,$V$5:$V$1000,"Macro",$H$5:$H$1000,"&gt;0"))))</f>
        <v/>
      </c>
      <c r="AH93" s="62">
        <f>IF(NOT(AND($D93&lt;&gt;"",$V93="Macro")),"",IFERROR(CHOOSE(MATCH($D93,ListaPuestos,0),MATCH("[Jefatura] "&amp;$C93,'Cronograma R. Operacional'!$C$5:$C$1000,0),MATCH("[Jefatura] "&amp;$C93,'Cronograma R. Normativo'!$C$5:$C$1000,0),MATCH("[Jefatura] "&amp;$C93,'Cronograma R. Financiero'!$C$5:$C$1000,0),MATCH("[Jefatura] "&amp;$C93,'Cronograma Asistente Técnico'!$C$5:$C$1000,0)),0))</f>
        <v/>
      </c>
      <c r="AI93" s="62">
        <f>IF(AND(AND($D93&lt;&gt;"",$V93="Macro"),$S93=MesCiclo),COUNTIFS($D$5:$D93,$D93,$S$5:$S93,MesCiclo,$V$5:$V93,"Macro"),"")</f>
        <v/>
      </c>
      <c r="AJ93" s="62">
        <f>IF($AI93="","",$D93&amp;"|"&amp;$AI93)</f>
        <v/>
      </c>
      <c r="AK93" s="62">
        <f>IF(AND($D93&lt;&gt;"",$V93="Macro"),$D93&amp;"|"&amp;$C93,"")</f>
        <v/>
      </c>
      <c r="AL93" s="62">
        <f>""</f>
        <v/>
      </c>
      <c r="AM93" s="62">
        <f>IF(N($AL93)&gt;0,INDEX(rIni_ADM,$AL93),IF(ISNUMBER($E93),$E93,""))</f>
        <v/>
      </c>
      <c r="AN93" s="62">
        <f>IF(N($AL93)&gt;0,INDEX(rLim_ADM,$AL93),IF(ISNUMBER($F93),$F93,""))</f>
        <v/>
      </c>
    </row>
    <row r="94">
      <c r="A94" s="56">
        <f>IF(NOT((COUNTA($B94:$D94)+COUNTA($G94:$L94)+COUNTA($Q94))&gt;0),"",IF($V94="Macro",COUNTIFS($V$5:$V94,"Macro",$S$5:$S94,$S94),IF(N($U94)=0,"?",COUNTIFS(INDEX($V$5:$V$1000,1):INDEX($V$5:$V$1000,$U94-4),"Macro",INDEX($S$5:$S$1000,1):INDEX($S$5:$S$1000,$U94-4),INDEX($S$5:$S$1000,$U94-4))&amp;"."&amp;COUNTIFS($U$5:$U94,$U94,$V$5:$V94,"Sub"))))</f>
        <v/>
      </c>
      <c r="B94" s="57" t="n"/>
      <c r="C94" s="58" t="n"/>
      <c r="D94" s="58" t="n"/>
      <c r="E94" s="59" t="n"/>
      <c r="F94" s="59" t="n"/>
      <c r="G94" s="59" t="n"/>
      <c r="H94" s="60" t="n"/>
      <c r="I94" s="60" t="n"/>
      <c r="J94" s="60" t="n"/>
      <c r="K94" s="60" t="n"/>
      <c r="L94" s="60" t="n"/>
      <c r="M94" s="61">
        <f>IF(NOT((COUNTA($B94:$D94)+COUNTA($G94:$L94)+COUNTA($Q94))&gt;0),"",IF(AND($D94&lt;&gt;"",$V94="Macro"),IF(N($AH94)&gt;0,N(CHOOSE(MATCH($D94,ListaPuestos,0),INDEX('Cronograma R. Operacional'!$M$5:$M$1000,$AH94),INDEX('Cronograma R. Normativo'!$M$5:$M$1000,$AH94),INDEX('Cronograma R. Financiero'!$M$5:$M$1000,$AH94),INDEX('Cronograma Asistente Técnico'!$M$5:$M$1000,$AH94))),0),IF(ISNUMBER($G94),1,IF(N($W94)&gt;0,AVERAGEIFS($X$5:$X$1000,$U$5:$U$1000,ROW(),$V$5:$V$1000,"Sub"),$X94))))</f>
        <v/>
      </c>
      <c r="N94" s="56">
        <f>IF($M94="","",IF($M94&gt;=1,"Completado",IF($M94&gt;0,"En curso","Pendiente")))</f>
        <v/>
      </c>
      <c r="O94" s="56">
        <f>IF(NOT((COUNTA($B94:$D94)+COUNTA($G94:$L94)+COUNTA($Q94))&gt;0),"",IF(AND(AND($D94&lt;&gt;"",$V94="Macro"),N($AH94)&gt;0),CHOOSE(MATCH($D94,ListaPuestos,0),INDEX('Cronograma R. Operacional'!$O$5:$O$1000,$AH94),INDEX('Cronograma R. Normativo'!$O$5:$O$1000,$AH94),INDEX('Cronograma R. Financiero'!$O$5:$O$1000,$AH94),INDEX('Cronograma Asistente Técnico'!$O$5:$O$1000,$AH94))&amp;"",IF(ISNUMBER($G94),IF(AND(ISNUMBER($AN94),$G94&gt;$AN94),"Cumplida con "&amp;($G94-$AN94)&amp;IF($G94-$AN94=1," día"," días")&amp;" de retraso","Cumplida"),IF(N($M94)&gt;=1,"Cumplida",IF(NOT(ISNUMBER($AN94)),"Sin fecha límite",IF($AN94&lt;FechaRef,"Vencida hace "&amp;(FechaRef-$AN94)&amp;IF(FechaRef-$AN94=1," día"," días"),IF($AN94=FechaRef,"Vence hoy",IF($AN94-FechaRef&lt;=DiasAlerta,"Vence en "&amp;($AN94-FechaRef)&amp;IF($AN94-FechaRef=1," día"," días"),"En plazo"))))))))</f>
        <v/>
      </c>
      <c r="P94" s="62">
        <f>IF(NOT((COUNTA($B94:$D94)+COUNTA($G94:$L94)+COUNTA($Q94))&gt;0),"",IF($D94="","Propia",IF($V94&lt;&gt;"Macro","Solo se delegan macroactividades",IF(N($AH94)&gt;0,"✔ Recibida por "&amp;$D94,"⚠ "&amp;$D94&amp;" aún no la agrega"))))</f>
        <v/>
      </c>
      <c r="Q94" s="58" t="n"/>
      <c r="R94" s="63">
        <f>IF(NOT((COUNTA($B94:$D94)+COUNTA($G94:$L94)+COUNTA($Q94))&gt;0),"",IF((IF($C94="","Falta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",""))="","✔ OK","⚠ "&amp;LEFT(IF($C94="","Falta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",""),LEN(IF($C94="","Falta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",""))-3)))</f>
        <v/>
      </c>
      <c r="S94" s="64">
        <f>IF(NOT((COUNTA($B94:$D94)+COUNTA($G94:$L94)+COUNTA($Q94))&gt;0),"",IF(AND($V94="Sub",N($U94)&gt;0),IF(ISNUMBER(INDEX($AM$5:$AM$1000,$U94-4)),DATE(YEAR(INDEX($AM$5:$AM$1000,$U94-4)),MONTH(INDEX($AM$5:$AM$1000,$U94-4)),1),IF(ISNUMBER(INDEX($AN$5:$AN$1000,$U94-4)),DATE(YEAR(INDEX($AN$5:$AN$1000,$U94-4)),MONTH(INDEX($AN$5:$AN$1000,$U94-4)),1),MesCiclo)),IF(ISNUMBER($AM94),DATE(YEAR($AM94),MONTH($AM94),1),IF(ISNUMBER($AN94),DATE(YEAR($AN94),MONTH($AN94),1),MesCiclo))))</f>
        <v/>
      </c>
      <c r="T94" s="62">
        <f>IF(OR($S94="",$S94&lt;&gt;MesCiclo),"",COUNTIF($S$5:$S94,MesCiclo))</f>
        <v/>
      </c>
      <c r="U94" s="62">
        <f>IF($V94="","",IF($V94="Macro",ROW(),IFERROR(LOOKUP(2,1/($V$5:$V94="Macro"),ROW($V$5:$V94)),0)))</f>
        <v/>
      </c>
      <c r="V94" s="62">
        <f>IF(NOT((COUNTA($B94:$D94)+COUNTA($G94:$L94)+COUNTA($Q94))&gt;0),"",IF($B94="Subactividad","Sub","Macro"))</f>
        <v/>
      </c>
      <c r="W94" s="62">
        <f>IF($V94="Macro",COUNTIFS($U$5:$U$1000,ROW(),$V$5:$V$1000,"Sub"),"")</f>
        <v/>
      </c>
      <c r="X94" s="62">
        <f>IF($V94="","",IF(ISNUMBER($G94),1,IFERROR(LOOKUP(2,1/($I94:$L94&lt;&gt;""),$I94:$L94),0)))</f>
        <v/>
      </c>
      <c r="Y94" s="62">
        <f>IF($V94="","",IF(AND(ISNUMBER($G94),$G94&lt;=IF($S94=MesCiclo,InicioCiclo,$S94+MOD(2-WEEKDAY($S94),7))+6),1,IF(ISNUMBER($I94),$I94,0)))</f>
        <v/>
      </c>
      <c r="Z94" s="62">
        <f>IF($V94="","",IF(AND(ISNUMBER($G94),$G94&lt;=IF($S94=MesCiclo,InicioCiclo,$S94+MOD(2-WEEKDAY($S94),7))+13),1,IF(ISNUMBER($J94),$J94,$Y94)))</f>
        <v/>
      </c>
      <c r="AA94" s="62">
        <f>IF($V94="","",IF(AND(ISNUMBER($G94),$G94&lt;=IF($S94=MesCiclo,InicioCiclo,$S94+MOD(2-WEEKDAY($S94),7))+20),1,IF(ISNUMBER($K94),$K94,$Z94)))</f>
        <v/>
      </c>
      <c r="AB94" s="62">
        <f>IF($V94="","",IF(AND(ISNUMBER($G94),$G94&lt;=IF($S94=MesCiclo,InicioCiclo,$S94+MOD(2-WEEKDAY($S94),7))+27),1,IF(ISNUMBER($L94),$L94,$AA94)))</f>
        <v/>
      </c>
      <c r="AC94" s="62">
        <f>IF($V94="","",IF(AND(ISNUMBER($G94),$G94&lt;=IF($S94=MesCiclo,InicioCiclo,$S94+MOD(2-WEEKDAY($S94),7))+6),1,IF(N($W94)&gt;0,AVERAGEIFS($Y$5:$Y$1000,$U$5:$U$1000,ROW(),$V$5:$V$1000,"Sub"),$Y94)))</f>
        <v/>
      </c>
      <c r="AD94" s="62">
        <f>IF($V94="","",IF(AND(ISNUMBER($G94),$G94&lt;=IF($S94=MesCiclo,InicioCiclo,$S94+MOD(2-WEEKDAY($S94),7))+13),1,IF(N($W94)&gt;0,AVERAGEIFS($Z$5:$Z$1000,$U$5:$U$1000,ROW(),$V$5:$V$1000,"Sub"),$Z94)))</f>
        <v/>
      </c>
      <c r="AE94" s="62">
        <f>IF($V94="","",IF(AND(ISNUMBER($G94),$G94&lt;=IF($S94=MesCiclo,InicioCiclo,$S94+MOD(2-WEEKDAY($S94),7))+20),1,IF(N($W94)&gt;0,AVERAGEIFS($AA$5:$AA$1000,$U$5:$U$1000,ROW(),$V$5:$V$1000,"Sub"),$AA94)))</f>
        <v/>
      </c>
      <c r="AF94" s="62">
        <f>IF($V94="","",IF(AND(ISNUMBER($G94),$G94&lt;=IF($S94=MesCiclo,InicioCiclo,$S94+MOD(2-WEEKDAY($S94),7))+27),1,IF(N($W94)&gt;0,AVERAGEIFS($AB$5:$AB$1000,$U$5:$U$1000,ROW(),$V$5:$V$1000,"Sub"),$AB94)))</f>
        <v/>
      </c>
      <c r="AG94" s="62">
        <f>IF($V94&lt;&gt;"Macro","",IF(COUNTIFS($S$5:$S$1000,$S94,$V$5:$V$1000,"Macro",$H$5:$H$1000,"&gt;0")=0,1/COUNTIFS($S$5:$S$1000,$S94,$V$5:$V$1000,"Macro"),IF(AND(ISNUMBER($H94),N($H94)&gt;0),$H94,SUMIFS($H$5:$H$1000,$S$5:$S$1000,$S94,$V$5:$V$1000,"Macro")/COUNTIFS($S$5:$S$1000,$S94,$V$5:$V$1000,"Macro",$H$5:$H$1000,"&gt;0"))/(COUNTIFS($S$5:$S$1000,$S94,$V$5:$V$1000,"Macro")*SUMIFS($H$5:$H$1000,$S$5:$S$1000,$S94,$V$5:$V$1000,"Macro")/COUNTIFS($S$5:$S$1000,$S94,$V$5:$V$1000,"Macro",$H$5:$H$1000,"&gt;0"))))</f>
        <v/>
      </c>
      <c r="AH94" s="62">
        <f>IF(NOT(AND($D94&lt;&gt;"",$V94="Macro")),"",IFERROR(CHOOSE(MATCH($D94,ListaPuestos,0),MATCH("[Jefatura] "&amp;$C94,'Cronograma R. Operacional'!$C$5:$C$1000,0),MATCH("[Jefatura] "&amp;$C94,'Cronograma R. Normativo'!$C$5:$C$1000,0),MATCH("[Jefatura] "&amp;$C94,'Cronograma R. Financiero'!$C$5:$C$1000,0),MATCH("[Jefatura] "&amp;$C94,'Cronograma Asistente Técnico'!$C$5:$C$1000,0)),0))</f>
        <v/>
      </c>
      <c r="AI94" s="62">
        <f>IF(AND(AND($D94&lt;&gt;"",$V94="Macro"),$S94=MesCiclo),COUNTIFS($D$5:$D94,$D94,$S$5:$S94,MesCiclo,$V$5:$V94,"Macro"),"")</f>
        <v/>
      </c>
      <c r="AJ94" s="62">
        <f>IF($AI94="","",$D94&amp;"|"&amp;$AI94)</f>
        <v/>
      </c>
      <c r="AK94" s="62">
        <f>IF(AND($D94&lt;&gt;"",$V94="Macro"),$D94&amp;"|"&amp;$C94,"")</f>
        <v/>
      </c>
      <c r="AL94" s="62">
        <f>""</f>
        <v/>
      </c>
      <c r="AM94" s="62">
        <f>IF(N($AL94)&gt;0,INDEX(rIni_ADM,$AL94),IF(ISNUMBER($E94),$E94,""))</f>
        <v/>
      </c>
      <c r="AN94" s="62">
        <f>IF(N($AL94)&gt;0,INDEX(rLim_ADM,$AL94),IF(ISNUMBER($F94),$F94,""))</f>
        <v/>
      </c>
    </row>
    <row r="95">
      <c r="A95" s="56">
        <f>IF(NOT((COUNTA($B95:$D95)+COUNTA($G95:$L95)+COUNTA($Q95))&gt;0),"",IF($V95="Macro",COUNTIFS($V$5:$V95,"Macro",$S$5:$S95,$S95),IF(N($U95)=0,"?",COUNTIFS(INDEX($V$5:$V$1000,1):INDEX($V$5:$V$1000,$U95-4),"Macro",INDEX($S$5:$S$1000,1):INDEX($S$5:$S$1000,$U95-4),INDEX($S$5:$S$1000,$U95-4))&amp;"."&amp;COUNTIFS($U$5:$U95,$U95,$V$5:$V95,"Sub"))))</f>
        <v/>
      </c>
      <c r="B95" s="57" t="n"/>
      <c r="C95" s="58" t="n"/>
      <c r="D95" s="58" t="n"/>
      <c r="E95" s="59" t="n"/>
      <c r="F95" s="59" t="n"/>
      <c r="G95" s="59" t="n"/>
      <c r="H95" s="60" t="n"/>
      <c r="I95" s="60" t="n"/>
      <c r="J95" s="60" t="n"/>
      <c r="K95" s="60" t="n"/>
      <c r="L95" s="60" t="n"/>
      <c r="M95" s="61">
        <f>IF(NOT((COUNTA($B95:$D95)+COUNTA($G95:$L95)+COUNTA($Q95))&gt;0),"",IF(AND($D95&lt;&gt;"",$V95="Macro"),IF(N($AH95)&gt;0,N(CHOOSE(MATCH($D95,ListaPuestos,0),INDEX('Cronograma R. Operacional'!$M$5:$M$1000,$AH95),INDEX('Cronograma R. Normativo'!$M$5:$M$1000,$AH95),INDEX('Cronograma R. Financiero'!$M$5:$M$1000,$AH95),INDEX('Cronograma Asistente Técnico'!$M$5:$M$1000,$AH95))),0),IF(ISNUMBER($G95),1,IF(N($W95)&gt;0,AVERAGEIFS($X$5:$X$1000,$U$5:$U$1000,ROW(),$V$5:$V$1000,"Sub"),$X95))))</f>
        <v/>
      </c>
      <c r="N95" s="56">
        <f>IF($M95="","",IF($M95&gt;=1,"Completado",IF($M95&gt;0,"En curso","Pendiente")))</f>
        <v/>
      </c>
      <c r="O95" s="56">
        <f>IF(NOT((COUNTA($B95:$D95)+COUNTA($G95:$L95)+COUNTA($Q95))&gt;0),"",IF(AND(AND($D95&lt;&gt;"",$V95="Macro"),N($AH95)&gt;0),CHOOSE(MATCH($D95,ListaPuestos,0),INDEX('Cronograma R. Operacional'!$O$5:$O$1000,$AH95),INDEX('Cronograma R. Normativo'!$O$5:$O$1000,$AH95),INDEX('Cronograma R. Financiero'!$O$5:$O$1000,$AH95),INDEX('Cronograma Asistente Técnico'!$O$5:$O$1000,$AH95))&amp;"",IF(ISNUMBER($G95),IF(AND(ISNUMBER($AN95),$G95&gt;$AN95),"Cumplida con "&amp;($G95-$AN95)&amp;IF($G95-$AN95=1," día"," días")&amp;" de retraso","Cumplida"),IF(N($M95)&gt;=1,"Cumplida",IF(NOT(ISNUMBER($AN95)),"Sin fecha límite",IF($AN95&lt;FechaRef,"Vencida hace "&amp;(FechaRef-$AN95)&amp;IF(FechaRef-$AN95=1," día"," días"),IF($AN95=FechaRef,"Vence hoy",IF($AN95-FechaRef&lt;=DiasAlerta,"Vence en "&amp;($AN95-FechaRef)&amp;IF($AN95-FechaRef=1," día"," días"),"En plazo"))))))))</f>
        <v/>
      </c>
      <c r="P95" s="62">
        <f>IF(NOT((COUNTA($B95:$D95)+COUNTA($G95:$L95)+COUNTA($Q95))&gt;0),"",IF($D95="","Propia",IF($V95&lt;&gt;"Macro","Solo se delegan macroactividades",IF(N($AH95)&gt;0,"✔ Recibida por "&amp;$D95,"⚠ "&amp;$D95&amp;" aún no la agrega"))))</f>
        <v/>
      </c>
      <c r="Q95" s="58" t="n"/>
      <c r="R95" s="63">
        <f>IF(NOT((COUNTA($B95:$D95)+COUNTA($G95:$L95)+COUNTA($Q95))&gt;0),"",IF((IF($C95="","Falta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",""))="","✔ OK","⚠ "&amp;LEFT(IF($C95="","Falta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",""),LEN(IF($C95="","Falta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",""))-3)))</f>
        <v/>
      </c>
      <c r="S95" s="64">
        <f>IF(NOT((COUNTA($B95:$D95)+COUNTA($G95:$L95)+COUNTA($Q95))&gt;0),"",IF(AND($V95="Sub",N($U95)&gt;0),IF(ISNUMBER(INDEX($AM$5:$AM$1000,$U95-4)),DATE(YEAR(INDEX($AM$5:$AM$1000,$U95-4)),MONTH(INDEX($AM$5:$AM$1000,$U95-4)),1),IF(ISNUMBER(INDEX($AN$5:$AN$1000,$U95-4)),DATE(YEAR(INDEX($AN$5:$AN$1000,$U95-4)),MONTH(INDEX($AN$5:$AN$1000,$U95-4)),1),MesCiclo)),IF(ISNUMBER($AM95),DATE(YEAR($AM95),MONTH($AM95),1),IF(ISNUMBER($AN95),DATE(YEAR($AN95),MONTH($AN95),1),MesCiclo))))</f>
        <v/>
      </c>
      <c r="T95" s="62">
        <f>IF(OR($S95="",$S95&lt;&gt;MesCiclo),"",COUNTIF($S$5:$S95,MesCiclo))</f>
        <v/>
      </c>
      <c r="U95" s="62">
        <f>IF($V95="","",IF($V95="Macro",ROW(),IFERROR(LOOKUP(2,1/($V$5:$V95="Macro"),ROW($V$5:$V95)),0)))</f>
        <v/>
      </c>
      <c r="V95" s="62">
        <f>IF(NOT((COUNTA($B95:$D95)+COUNTA($G95:$L95)+COUNTA($Q95))&gt;0),"",IF($B95="Subactividad","Sub","Macro"))</f>
        <v/>
      </c>
      <c r="W95" s="62">
        <f>IF($V95="Macro",COUNTIFS($U$5:$U$1000,ROW(),$V$5:$V$1000,"Sub"),"")</f>
        <v/>
      </c>
      <c r="X95" s="62">
        <f>IF($V95="","",IF(ISNUMBER($G95),1,IFERROR(LOOKUP(2,1/($I95:$L95&lt;&gt;""),$I95:$L95),0)))</f>
        <v/>
      </c>
      <c r="Y95" s="62">
        <f>IF($V95="","",IF(AND(ISNUMBER($G95),$G95&lt;=IF($S95=MesCiclo,InicioCiclo,$S95+MOD(2-WEEKDAY($S95),7))+6),1,IF(ISNUMBER($I95),$I95,0)))</f>
        <v/>
      </c>
      <c r="Z95" s="62">
        <f>IF($V95="","",IF(AND(ISNUMBER($G95),$G95&lt;=IF($S95=MesCiclo,InicioCiclo,$S95+MOD(2-WEEKDAY($S95),7))+13),1,IF(ISNUMBER($J95),$J95,$Y95)))</f>
        <v/>
      </c>
      <c r="AA95" s="62">
        <f>IF($V95="","",IF(AND(ISNUMBER($G95),$G95&lt;=IF($S95=MesCiclo,InicioCiclo,$S95+MOD(2-WEEKDAY($S95),7))+20),1,IF(ISNUMBER($K95),$K95,$Z95)))</f>
        <v/>
      </c>
      <c r="AB95" s="62">
        <f>IF($V95="","",IF(AND(ISNUMBER($G95),$G95&lt;=IF($S95=MesCiclo,InicioCiclo,$S95+MOD(2-WEEKDAY($S95),7))+27),1,IF(ISNUMBER($L95),$L95,$AA95)))</f>
        <v/>
      </c>
      <c r="AC95" s="62">
        <f>IF($V95="","",IF(AND(ISNUMBER($G95),$G95&lt;=IF($S95=MesCiclo,InicioCiclo,$S95+MOD(2-WEEKDAY($S95),7))+6),1,IF(N($W95)&gt;0,AVERAGEIFS($Y$5:$Y$1000,$U$5:$U$1000,ROW(),$V$5:$V$1000,"Sub"),$Y95)))</f>
        <v/>
      </c>
      <c r="AD95" s="62">
        <f>IF($V95="","",IF(AND(ISNUMBER($G95),$G95&lt;=IF($S95=MesCiclo,InicioCiclo,$S95+MOD(2-WEEKDAY($S95),7))+13),1,IF(N($W95)&gt;0,AVERAGEIFS($Z$5:$Z$1000,$U$5:$U$1000,ROW(),$V$5:$V$1000,"Sub"),$Z95)))</f>
        <v/>
      </c>
      <c r="AE95" s="62">
        <f>IF($V95="","",IF(AND(ISNUMBER($G95),$G95&lt;=IF($S95=MesCiclo,InicioCiclo,$S95+MOD(2-WEEKDAY($S95),7))+20),1,IF(N($W95)&gt;0,AVERAGEIFS($AA$5:$AA$1000,$U$5:$U$1000,ROW(),$V$5:$V$1000,"Sub"),$AA95)))</f>
        <v/>
      </c>
      <c r="AF95" s="62">
        <f>IF($V95="","",IF(AND(ISNUMBER($G95),$G95&lt;=IF($S95=MesCiclo,InicioCiclo,$S95+MOD(2-WEEKDAY($S95),7))+27),1,IF(N($W95)&gt;0,AVERAGEIFS($AB$5:$AB$1000,$U$5:$U$1000,ROW(),$V$5:$V$1000,"Sub"),$AB95)))</f>
        <v/>
      </c>
      <c r="AG95" s="62">
        <f>IF($V95&lt;&gt;"Macro","",IF(COUNTIFS($S$5:$S$1000,$S95,$V$5:$V$1000,"Macro",$H$5:$H$1000,"&gt;0")=0,1/COUNTIFS($S$5:$S$1000,$S95,$V$5:$V$1000,"Macro"),IF(AND(ISNUMBER($H95),N($H95)&gt;0),$H95,SUMIFS($H$5:$H$1000,$S$5:$S$1000,$S95,$V$5:$V$1000,"Macro")/COUNTIFS($S$5:$S$1000,$S95,$V$5:$V$1000,"Macro",$H$5:$H$1000,"&gt;0"))/(COUNTIFS($S$5:$S$1000,$S95,$V$5:$V$1000,"Macro")*SUMIFS($H$5:$H$1000,$S$5:$S$1000,$S95,$V$5:$V$1000,"Macro")/COUNTIFS($S$5:$S$1000,$S95,$V$5:$V$1000,"Macro",$H$5:$H$1000,"&gt;0"))))</f>
        <v/>
      </c>
      <c r="AH95" s="62">
        <f>IF(NOT(AND($D95&lt;&gt;"",$V95="Macro")),"",IFERROR(CHOOSE(MATCH($D95,ListaPuestos,0),MATCH("[Jefatura] "&amp;$C95,'Cronograma R. Operacional'!$C$5:$C$1000,0),MATCH("[Jefatura] "&amp;$C95,'Cronograma R. Normativo'!$C$5:$C$1000,0),MATCH("[Jefatura] "&amp;$C95,'Cronograma R. Financiero'!$C$5:$C$1000,0),MATCH("[Jefatura] "&amp;$C95,'Cronograma Asistente Técnico'!$C$5:$C$1000,0)),0))</f>
        <v/>
      </c>
      <c r="AI95" s="62">
        <f>IF(AND(AND($D95&lt;&gt;"",$V95="Macro"),$S95=MesCiclo),COUNTIFS($D$5:$D95,$D95,$S$5:$S95,MesCiclo,$V$5:$V95,"Macro"),"")</f>
        <v/>
      </c>
      <c r="AJ95" s="62">
        <f>IF($AI95="","",$D95&amp;"|"&amp;$AI95)</f>
        <v/>
      </c>
      <c r="AK95" s="62">
        <f>IF(AND($D95&lt;&gt;"",$V95="Macro"),$D95&amp;"|"&amp;$C95,"")</f>
        <v/>
      </c>
      <c r="AL95" s="62">
        <f>""</f>
        <v/>
      </c>
      <c r="AM95" s="62">
        <f>IF(N($AL95)&gt;0,INDEX(rIni_ADM,$AL95),IF(ISNUMBER($E95),$E95,""))</f>
        <v/>
      </c>
      <c r="AN95" s="62">
        <f>IF(N($AL95)&gt;0,INDEX(rLim_ADM,$AL95),IF(ISNUMBER($F95),$F95,""))</f>
        <v/>
      </c>
    </row>
    <row r="96">
      <c r="A96" s="56">
        <f>IF(NOT((COUNTA($B96:$D96)+COUNTA($G96:$L96)+COUNTA($Q96))&gt;0),"",IF($V96="Macro",COUNTIFS($V$5:$V96,"Macro",$S$5:$S96,$S96),IF(N($U96)=0,"?",COUNTIFS(INDEX($V$5:$V$1000,1):INDEX($V$5:$V$1000,$U96-4),"Macro",INDEX($S$5:$S$1000,1):INDEX($S$5:$S$1000,$U96-4),INDEX($S$5:$S$1000,$U96-4))&amp;"."&amp;COUNTIFS($U$5:$U96,$U96,$V$5:$V96,"Sub"))))</f>
        <v/>
      </c>
      <c r="B96" s="57" t="n"/>
      <c r="C96" s="58" t="n"/>
      <c r="D96" s="58" t="n"/>
      <c r="E96" s="59" t="n"/>
      <c r="F96" s="59" t="n"/>
      <c r="G96" s="59" t="n"/>
      <c r="H96" s="60" t="n"/>
      <c r="I96" s="60" t="n"/>
      <c r="J96" s="60" t="n"/>
      <c r="K96" s="60" t="n"/>
      <c r="L96" s="60" t="n"/>
      <c r="M96" s="61">
        <f>IF(NOT((COUNTA($B96:$D96)+COUNTA($G96:$L96)+COUNTA($Q96))&gt;0),"",IF(AND($D96&lt;&gt;"",$V96="Macro"),IF(N($AH96)&gt;0,N(CHOOSE(MATCH($D96,ListaPuestos,0),INDEX('Cronograma R. Operacional'!$M$5:$M$1000,$AH96),INDEX('Cronograma R. Normativo'!$M$5:$M$1000,$AH96),INDEX('Cronograma R. Financiero'!$M$5:$M$1000,$AH96),INDEX('Cronograma Asistente Técnico'!$M$5:$M$1000,$AH96))),0),IF(ISNUMBER($G96),1,IF(N($W96)&gt;0,AVERAGEIFS($X$5:$X$1000,$U$5:$U$1000,ROW(),$V$5:$V$1000,"Sub"),$X96))))</f>
        <v/>
      </c>
      <c r="N96" s="56">
        <f>IF($M96="","",IF($M96&gt;=1,"Completado",IF($M96&gt;0,"En curso","Pendiente")))</f>
        <v/>
      </c>
      <c r="O96" s="56">
        <f>IF(NOT((COUNTA($B96:$D96)+COUNTA($G96:$L96)+COUNTA($Q96))&gt;0),"",IF(AND(AND($D96&lt;&gt;"",$V96="Macro"),N($AH96)&gt;0),CHOOSE(MATCH($D96,ListaPuestos,0),INDEX('Cronograma R. Operacional'!$O$5:$O$1000,$AH96),INDEX('Cronograma R. Normativo'!$O$5:$O$1000,$AH96),INDEX('Cronograma R. Financiero'!$O$5:$O$1000,$AH96),INDEX('Cronograma Asistente Técnico'!$O$5:$O$1000,$AH96))&amp;"",IF(ISNUMBER($G96),IF(AND(ISNUMBER($AN96),$G96&gt;$AN96),"Cumplida con "&amp;($G96-$AN96)&amp;IF($G96-$AN96=1," día"," días")&amp;" de retraso","Cumplida"),IF(N($M96)&gt;=1,"Cumplida",IF(NOT(ISNUMBER($AN96)),"Sin fecha límite",IF($AN96&lt;FechaRef,"Vencida hace "&amp;(FechaRef-$AN96)&amp;IF(FechaRef-$AN96=1," día"," días"),IF($AN96=FechaRef,"Vence hoy",IF($AN96-FechaRef&lt;=DiasAlerta,"Vence en "&amp;($AN96-FechaRef)&amp;IF($AN96-FechaRef=1," día"," días"),"En plazo"))))))))</f>
        <v/>
      </c>
      <c r="P96" s="62">
        <f>IF(NOT((COUNTA($B96:$D96)+COUNTA($G96:$L96)+COUNTA($Q96))&gt;0),"",IF($D96="","Propia",IF($V96&lt;&gt;"Macro","Solo se delegan macroactividades",IF(N($AH96)&gt;0,"✔ Recibida por "&amp;$D96,"⚠ "&amp;$D96&amp;" aún no la agrega"))))</f>
        <v/>
      </c>
      <c r="Q96" s="58" t="n"/>
      <c r="R96" s="63">
        <f>IF(NOT((COUNTA($B96:$D96)+COUNTA($G96:$L96)+COUNTA($Q96))&gt;0),"",IF((IF($C96="","Falta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",""))="","✔ OK","⚠ "&amp;LEFT(IF($C96="","Falta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",""),LEN(IF($C96="","Falta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",""))-3)))</f>
        <v/>
      </c>
      <c r="S96" s="64">
        <f>IF(NOT((COUNTA($B96:$D96)+COUNTA($G96:$L96)+COUNTA($Q96))&gt;0),"",IF(AND($V96="Sub",N($U96)&gt;0),IF(ISNUMBER(INDEX($AM$5:$AM$1000,$U96-4)),DATE(YEAR(INDEX($AM$5:$AM$1000,$U96-4)),MONTH(INDEX($AM$5:$AM$1000,$U96-4)),1),IF(ISNUMBER(INDEX($AN$5:$AN$1000,$U96-4)),DATE(YEAR(INDEX($AN$5:$AN$1000,$U96-4)),MONTH(INDEX($AN$5:$AN$1000,$U96-4)),1),MesCiclo)),IF(ISNUMBER($AM96),DATE(YEAR($AM96),MONTH($AM96),1),IF(ISNUMBER($AN96),DATE(YEAR($AN96),MONTH($AN96),1),MesCiclo))))</f>
        <v/>
      </c>
      <c r="T96" s="62">
        <f>IF(OR($S96="",$S96&lt;&gt;MesCiclo),"",COUNTIF($S$5:$S96,MesCiclo))</f>
        <v/>
      </c>
      <c r="U96" s="62">
        <f>IF($V96="","",IF($V96="Macro",ROW(),IFERROR(LOOKUP(2,1/($V$5:$V96="Macro"),ROW($V$5:$V96)),0)))</f>
        <v/>
      </c>
      <c r="V96" s="62">
        <f>IF(NOT((COUNTA($B96:$D96)+COUNTA($G96:$L96)+COUNTA($Q96))&gt;0),"",IF($B96="Subactividad","Sub","Macro"))</f>
        <v/>
      </c>
      <c r="W96" s="62">
        <f>IF($V96="Macro",COUNTIFS($U$5:$U$1000,ROW(),$V$5:$V$1000,"Sub"),"")</f>
        <v/>
      </c>
      <c r="X96" s="62">
        <f>IF($V96="","",IF(ISNUMBER($G96),1,IFERROR(LOOKUP(2,1/($I96:$L96&lt;&gt;""),$I96:$L96),0)))</f>
        <v/>
      </c>
      <c r="Y96" s="62">
        <f>IF($V96="","",IF(AND(ISNUMBER($G96),$G96&lt;=IF($S96=MesCiclo,InicioCiclo,$S96+MOD(2-WEEKDAY($S96),7))+6),1,IF(ISNUMBER($I96),$I96,0)))</f>
        <v/>
      </c>
      <c r="Z96" s="62">
        <f>IF($V96="","",IF(AND(ISNUMBER($G96),$G96&lt;=IF($S96=MesCiclo,InicioCiclo,$S96+MOD(2-WEEKDAY($S96),7))+13),1,IF(ISNUMBER($J96),$J96,$Y96)))</f>
        <v/>
      </c>
      <c r="AA96" s="62">
        <f>IF($V96="","",IF(AND(ISNUMBER($G96),$G96&lt;=IF($S96=MesCiclo,InicioCiclo,$S96+MOD(2-WEEKDAY($S96),7))+20),1,IF(ISNUMBER($K96),$K96,$Z96)))</f>
        <v/>
      </c>
      <c r="AB96" s="62">
        <f>IF($V96="","",IF(AND(ISNUMBER($G96),$G96&lt;=IF($S96=MesCiclo,InicioCiclo,$S96+MOD(2-WEEKDAY($S96),7))+27),1,IF(ISNUMBER($L96),$L96,$AA96)))</f>
        <v/>
      </c>
      <c r="AC96" s="62">
        <f>IF($V96="","",IF(AND(ISNUMBER($G96),$G96&lt;=IF($S96=MesCiclo,InicioCiclo,$S96+MOD(2-WEEKDAY($S96),7))+6),1,IF(N($W96)&gt;0,AVERAGEIFS($Y$5:$Y$1000,$U$5:$U$1000,ROW(),$V$5:$V$1000,"Sub"),$Y96)))</f>
        <v/>
      </c>
      <c r="AD96" s="62">
        <f>IF($V96="","",IF(AND(ISNUMBER($G96),$G96&lt;=IF($S96=MesCiclo,InicioCiclo,$S96+MOD(2-WEEKDAY($S96),7))+13),1,IF(N($W96)&gt;0,AVERAGEIFS($Z$5:$Z$1000,$U$5:$U$1000,ROW(),$V$5:$V$1000,"Sub"),$Z96)))</f>
        <v/>
      </c>
      <c r="AE96" s="62">
        <f>IF($V96="","",IF(AND(ISNUMBER($G96),$G96&lt;=IF($S96=MesCiclo,InicioCiclo,$S96+MOD(2-WEEKDAY($S96),7))+20),1,IF(N($W96)&gt;0,AVERAGEIFS($AA$5:$AA$1000,$U$5:$U$1000,ROW(),$V$5:$V$1000,"Sub"),$AA96)))</f>
        <v/>
      </c>
      <c r="AF96" s="62">
        <f>IF($V96="","",IF(AND(ISNUMBER($G96),$G96&lt;=IF($S96=MesCiclo,InicioCiclo,$S96+MOD(2-WEEKDAY($S96),7))+27),1,IF(N($W96)&gt;0,AVERAGEIFS($AB$5:$AB$1000,$U$5:$U$1000,ROW(),$V$5:$V$1000,"Sub"),$AB96)))</f>
        <v/>
      </c>
      <c r="AG96" s="62">
        <f>IF($V96&lt;&gt;"Macro","",IF(COUNTIFS($S$5:$S$1000,$S96,$V$5:$V$1000,"Macro",$H$5:$H$1000,"&gt;0")=0,1/COUNTIFS($S$5:$S$1000,$S96,$V$5:$V$1000,"Macro"),IF(AND(ISNUMBER($H96),N($H96)&gt;0),$H96,SUMIFS($H$5:$H$1000,$S$5:$S$1000,$S96,$V$5:$V$1000,"Macro")/COUNTIFS($S$5:$S$1000,$S96,$V$5:$V$1000,"Macro",$H$5:$H$1000,"&gt;0"))/(COUNTIFS($S$5:$S$1000,$S96,$V$5:$V$1000,"Macro")*SUMIFS($H$5:$H$1000,$S$5:$S$1000,$S96,$V$5:$V$1000,"Macro")/COUNTIFS($S$5:$S$1000,$S96,$V$5:$V$1000,"Macro",$H$5:$H$1000,"&gt;0"))))</f>
        <v/>
      </c>
      <c r="AH96" s="62">
        <f>IF(NOT(AND($D96&lt;&gt;"",$V96="Macro")),"",IFERROR(CHOOSE(MATCH($D96,ListaPuestos,0),MATCH("[Jefatura] "&amp;$C96,'Cronograma R. Operacional'!$C$5:$C$1000,0),MATCH("[Jefatura] "&amp;$C96,'Cronograma R. Normativo'!$C$5:$C$1000,0),MATCH("[Jefatura] "&amp;$C96,'Cronograma R. Financiero'!$C$5:$C$1000,0),MATCH("[Jefatura] "&amp;$C96,'Cronograma Asistente Técnico'!$C$5:$C$1000,0)),0))</f>
        <v/>
      </c>
      <c r="AI96" s="62">
        <f>IF(AND(AND($D96&lt;&gt;"",$V96="Macro"),$S96=MesCiclo),COUNTIFS($D$5:$D96,$D96,$S$5:$S96,MesCiclo,$V$5:$V96,"Macro"),"")</f>
        <v/>
      </c>
      <c r="AJ96" s="62">
        <f>IF($AI96="","",$D96&amp;"|"&amp;$AI96)</f>
        <v/>
      </c>
      <c r="AK96" s="62">
        <f>IF(AND($D96&lt;&gt;"",$V96="Macro"),$D96&amp;"|"&amp;$C96,"")</f>
        <v/>
      </c>
      <c r="AL96" s="62">
        <f>""</f>
        <v/>
      </c>
      <c r="AM96" s="62">
        <f>IF(N($AL96)&gt;0,INDEX(rIni_ADM,$AL96),IF(ISNUMBER($E96),$E96,""))</f>
        <v/>
      </c>
      <c r="AN96" s="62">
        <f>IF(N($AL96)&gt;0,INDEX(rLim_ADM,$AL96),IF(ISNUMBER($F96),$F96,""))</f>
        <v/>
      </c>
    </row>
    <row r="97">
      <c r="A97" s="56">
        <f>IF(NOT((COUNTA($B97:$D97)+COUNTA($G97:$L97)+COUNTA($Q97))&gt;0),"",IF($V97="Macro",COUNTIFS($V$5:$V97,"Macro",$S$5:$S97,$S97),IF(N($U97)=0,"?",COUNTIFS(INDEX($V$5:$V$1000,1):INDEX($V$5:$V$1000,$U97-4),"Macro",INDEX($S$5:$S$1000,1):INDEX($S$5:$S$1000,$U97-4),INDEX($S$5:$S$1000,$U97-4))&amp;"."&amp;COUNTIFS($U$5:$U97,$U97,$V$5:$V97,"Sub"))))</f>
        <v/>
      </c>
      <c r="B97" s="57" t="n"/>
      <c r="C97" s="58" t="n"/>
      <c r="D97" s="58" t="n"/>
      <c r="E97" s="59" t="n"/>
      <c r="F97" s="59" t="n"/>
      <c r="G97" s="59" t="n"/>
      <c r="H97" s="60" t="n"/>
      <c r="I97" s="60" t="n"/>
      <c r="J97" s="60" t="n"/>
      <c r="K97" s="60" t="n"/>
      <c r="L97" s="60" t="n"/>
      <c r="M97" s="61">
        <f>IF(NOT((COUNTA($B97:$D97)+COUNTA($G97:$L97)+COUNTA($Q97))&gt;0),"",IF(AND($D97&lt;&gt;"",$V97="Macro"),IF(N($AH97)&gt;0,N(CHOOSE(MATCH($D97,ListaPuestos,0),INDEX('Cronograma R. Operacional'!$M$5:$M$1000,$AH97),INDEX('Cronograma R. Normativo'!$M$5:$M$1000,$AH97),INDEX('Cronograma R. Financiero'!$M$5:$M$1000,$AH97),INDEX('Cronograma Asistente Técnico'!$M$5:$M$1000,$AH97))),0),IF(ISNUMBER($G97),1,IF(N($W97)&gt;0,AVERAGEIFS($X$5:$X$1000,$U$5:$U$1000,ROW(),$V$5:$V$1000,"Sub"),$X97))))</f>
        <v/>
      </c>
      <c r="N97" s="56">
        <f>IF($M97="","",IF($M97&gt;=1,"Completado",IF($M97&gt;0,"En curso","Pendiente")))</f>
        <v/>
      </c>
      <c r="O97" s="56">
        <f>IF(NOT((COUNTA($B97:$D97)+COUNTA($G97:$L97)+COUNTA($Q97))&gt;0),"",IF(AND(AND($D97&lt;&gt;"",$V97="Macro"),N($AH97)&gt;0),CHOOSE(MATCH($D97,ListaPuestos,0),INDEX('Cronograma R. Operacional'!$O$5:$O$1000,$AH97),INDEX('Cronograma R. Normativo'!$O$5:$O$1000,$AH97),INDEX('Cronograma R. Financiero'!$O$5:$O$1000,$AH97),INDEX('Cronograma Asistente Técnico'!$O$5:$O$1000,$AH97))&amp;"",IF(ISNUMBER($G97),IF(AND(ISNUMBER($AN97),$G97&gt;$AN97),"Cumplida con "&amp;($G97-$AN97)&amp;IF($G97-$AN97=1," día"," días")&amp;" de retraso","Cumplida"),IF(N($M97)&gt;=1,"Cumplida",IF(NOT(ISNUMBER($AN97)),"Sin fecha límite",IF($AN97&lt;FechaRef,"Vencida hace "&amp;(FechaRef-$AN97)&amp;IF(FechaRef-$AN97=1," día"," días"),IF($AN97=FechaRef,"Vence hoy",IF($AN97-FechaRef&lt;=DiasAlerta,"Vence en "&amp;($AN97-FechaRef)&amp;IF($AN97-FechaRef=1," día"," días"),"En plazo"))))))))</f>
        <v/>
      </c>
      <c r="P97" s="62">
        <f>IF(NOT((COUNTA($B97:$D97)+COUNTA($G97:$L97)+COUNTA($Q97))&gt;0),"",IF($D97="","Propia",IF($V97&lt;&gt;"Macro","Solo se delegan macroactividades",IF(N($AH97)&gt;0,"✔ Recibida por "&amp;$D97,"⚠ "&amp;$D97&amp;" aún no la agrega"))))</f>
        <v/>
      </c>
      <c r="Q97" s="58" t="n"/>
      <c r="R97" s="63">
        <f>IF(NOT((COUNTA($B97:$D97)+COUNTA($G97:$L97)+COUNTA($Q97))&gt;0),"",IF((IF($C97="","Falta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",""))="","✔ OK","⚠ "&amp;LEFT(IF($C97="","Falta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",""),LEN(IF($C97="","Falta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",""))-3)))</f>
        <v/>
      </c>
      <c r="S97" s="64">
        <f>IF(NOT((COUNTA($B97:$D97)+COUNTA($G97:$L97)+COUNTA($Q97))&gt;0),"",IF(AND($V97="Sub",N($U97)&gt;0),IF(ISNUMBER(INDEX($AM$5:$AM$1000,$U97-4)),DATE(YEAR(INDEX($AM$5:$AM$1000,$U97-4)),MONTH(INDEX($AM$5:$AM$1000,$U97-4)),1),IF(ISNUMBER(INDEX($AN$5:$AN$1000,$U97-4)),DATE(YEAR(INDEX($AN$5:$AN$1000,$U97-4)),MONTH(INDEX($AN$5:$AN$1000,$U97-4)),1),MesCiclo)),IF(ISNUMBER($AM97),DATE(YEAR($AM97),MONTH($AM97),1),IF(ISNUMBER($AN97),DATE(YEAR($AN97),MONTH($AN97),1),MesCiclo))))</f>
        <v/>
      </c>
      <c r="T97" s="62">
        <f>IF(OR($S97="",$S97&lt;&gt;MesCiclo),"",COUNTIF($S$5:$S97,MesCiclo))</f>
        <v/>
      </c>
      <c r="U97" s="62">
        <f>IF($V97="","",IF($V97="Macro",ROW(),IFERROR(LOOKUP(2,1/($V$5:$V97="Macro"),ROW($V$5:$V97)),0)))</f>
        <v/>
      </c>
      <c r="V97" s="62">
        <f>IF(NOT((COUNTA($B97:$D97)+COUNTA($G97:$L97)+COUNTA($Q97))&gt;0),"",IF($B97="Subactividad","Sub","Macro"))</f>
        <v/>
      </c>
      <c r="W97" s="62">
        <f>IF($V97="Macro",COUNTIFS($U$5:$U$1000,ROW(),$V$5:$V$1000,"Sub"),"")</f>
        <v/>
      </c>
      <c r="X97" s="62">
        <f>IF($V97="","",IF(ISNUMBER($G97),1,IFERROR(LOOKUP(2,1/($I97:$L97&lt;&gt;""),$I97:$L97),0)))</f>
        <v/>
      </c>
      <c r="Y97" s="62">
        <f>IF($V97="","",IF(AND(ISNUMBER($G97),$G97&lt;=IF($S97=MesCiclo,InicioCiclo,$S97+MOD(2-WEEKDAY($S97),7))+6),1,IF(ISNUMBER($I97),$I97,0)))</f>
        <v/>
      </c>
      <c r="Z97" s="62">
        <f>IF($V97="","",IF(AND(ISNUMBER($G97),$G97&lt;=IF($S97=MesCiclo,InicioCiclo,$S97+MOD(2-WEEKDAY($S97),7))+13),1,IF(ISNUMBER($J97),$J97,$Y97)))</f>
        <v/>
      </c>
      <c r="AA97" s="62">
        <f>IF($V97="","",IF(AND(ISNUMBER($G97),$G97&lt;=IF($S97=MesCiclo,InicioCiclo,$S97+MOD(2-WEEKDAY($S97),7))+20),1,IF(ISNUMBER($K97),$K97,$Z97)))</f>
        <v/>
      </c>
      <c r="AB97" s="62">
        <f>IF($V97="","",IF(AND(ISNUMBER($G97),$G97&lt;=IF($S97=MesCiclo,InicioCiclo,$S97+MOD(2-WEEKDAY($S97),7))+27),1,IF(ISNUMBER($L97),$L97,$AA97)))</f>
        <v/>
      </c>
      <c r="AC97" s="62">
        <f>IF($V97="","",IF(AND(ISNUMBER($G97),$G97&lt;=IF($S97=MesCiclo,InicioCiclo,$S97+MOD(2-WEEKDAY($S97),7))+6),1,IF(N($W97)&gt;0,AVERAGEIFS($Y$5:$Y$1000,$U$5:$U$1000,ROW(),$V$5:$V$1000,"Sub"),$Y97)))</f>
        <v/>
      </c>
      <c r="AD97" s="62">
        <f>IF($V97="","",IF(AND(ISNUMBER($G97),$G97&lt;=IF($S97=MesCiclo,InicioCiclo,$S97+MOD(2-WEEKDAY($S97),7))+13),1,IF(N($W97)&gt;0,AVERAGEIFS($Z$5:$Z$1000,$U$5:$U$1000,ROW(),$V$5:$V$1000,"Sub"),$Z97)))</f>
        <v/>
      </c>
      <c r="AE97" s="62">
        <f>IF($V97="","",IF(AND(ISNUMBER($G97),$G97&lt;=IF($S97=MesCiclo,InicioCiclo,$S97+MOD(2-WEEKDAY($S97),7))+20),1,IF(N($W97)&gt;0,AVERAGEIFS($AA$5:$AA$1000,$U$5:$U$1000,ROW(),$V$5:$V$1000,"Sub"),$AA97)))</f>
        <v/>
      </c>
      <c r="AF97" s="62">
        <f>IF($V97="","",IF(AND(ISNUMBER($G97),$G97&lt;=IF($S97=MesCiclo,InicioCiclo,$S97+MOD(2-WEEKDAY($S97),7))+27),1,IF(N($W97)&gt;0,AVERAGEIFS($AB$5:$AB$1000,$U$5:$U$1000,ROW(),$V$5:$V$1000,"Sub"),$AB97)))</f>
        <v/>
      </c>
      <c r="AG97" s="62">
        <f>IF($V97&lt;&gt;"Macro","",IF(COUNTIFS($S$5:$S$1000,$S97,$V$5:$V$1000,"Macro",$H$5:$H$1000,"&gt;0")=0,1/COUNTIFS($S$5:$S$1000,$S97,$V$5:$V$1000,"Macro"),IF(AND(ISNUMBER($H97),N($H97)&gt;0),$H97,SUMIFS($H$5:$H$1000,$S$5:$S$1000,$S97,$V$5:$V$1000,"Macro")/COUNTIFS($S$5:$S$1000,$S97,$V$5:$V$1000,"Macro",$H$5:$H$1000,"&gt;0"))/(COUNTIFS($S$5:$S$1000,$S97,$V$5:$V$1000,"Macro")*SUMIFS($H$5:$H$1000,$S$5:$S$1000,$S97,$V$5:$V$1000,"Macro")/COUNTIFS($S$5:$S$1000,$S97,$V$5:$V$1000,"Macro",$H$5:$H$1000,"&gt;0"))))</f>
        <v/>
      </c>
      <c r="AH97" s="62">
        <f>IF(NOT(AND($D97&lt;&gt;"",$V97="Macro")),"",IFERROR(CHOOSE(MATCH($D97,ListaPuestos,0),MATCH("[Jefatura] "&amp;$C97,'Cronograma R. Operacional'!$C$5:$C$1000,0),MATCH("[Jefatura] "&amp;$C97,'Cronograma R. Normativo'!$C$5:$C$1000,0),MATCH("[Jefatura] "&amp;$C97,'Cronograma R. Financiero'!$C$5:$C$1000,0),MATCH("[Jefatura] "&amp;$C97,'Cronograma Asistente Técnico'!$C$5:$C$1000,0)),0))</f>
        <v/>
      </c>
      <c r="AI97" s="62">
        <f>IF(AND(AND($D97&lt;&gt;"",$V97="Macro"),$S97=MesCiclo),COUNTIFS($D$5:$D97,$D97,$S$5:$S97,MesCiclo,$V$5:$V97,"Macro"),"")</f>
        <v/>
      </c>
      <c r="AJ97" s="62">
        <f>IF($AI97="","",$D97&amp;"|"&amp;$AI97)</f>
        <v/>
      </c>
      <c r="AK97" s="62">
        <f>IF(AND($D97&lt;&gt;"",$V97="Macro"),$D97&amp;"|"&amp;$C97,"")</f>
        <v/>
      </c>
      <c r="AL97" s="62">
        <f>""</f>
        <v/>
      </c>
      <c r="AM97" s="62">
        <f>IF(N($AL97)&gt;0,INDEX(rIni_ADM,$AL97),IF(ISNUMBER($E97),$E97,""))</f>
        <v/>
      </c>
      <c r="AN97" s="62">
        <f>IF(N($AL97)&gt;0,INDEX(rLim_ADM,$AL97),IF(ISNUMBER($F97),$F97,""))</f>
        <v/>
      </c>
    </row>
    <row r="98">
      <c r="A98" s="56">
        <f>IF(NOT((COUNTA($B98:$D98)+COUNTA($G98:$L98)+COUNTA($Q98))&gt;0),"",IF($V98="Macro",COUNTIFS($V$5:$V98,"Macro",$S$5:$S98,$S98),IF(N($U98)=0,"?",COUNTIFS(INDEX($V$5:$V$1000,1):INDEX($V$5:$V$1000,$U98-4),"Macro",INDEX($S$5:$S$1000,1):INDEX($S$5:$S$1000,$U98-4),INDEX($S$5:$S$1000,$U98-4))&amp;"."&amp;COUNTIFS($U$5:$U98,$U98,$V$5:$V98,"Sub"))))</f>
        <v/>
      </c>
      <c r="B98" s="57" t="n"/>
      <c r="C98" s="58" t="n"/>
      <c r="D98" s="58" t="n"/>
      <c r="E98" s="59" t="n"/>
      <c r="F98" s="59" t="n"/>
      <c r="G98" s="59" t="n"/>
      <c r="H98" s="60" t="n"/>
      <c r="I98" s="60" t="n"/>
      <c r="J98" s="60" t="n"/>
      <c r="K98" s="60" t="n"/>
      <c r="L98" s="60" t="n"/>
      <c r="M98" s="61">
        <f>IF(NOT((COUNTA($B98:$D98)+COUNTA($G98:$L98)+COUNTA($Q98))&gt;0),"",IF(AND($D98&lt;&gt;"",$V98="Macro"),IF(N($AH98)&gt;0,N(CHOOSE(MATCH($D98,ListaPuestos,0),INDEX('Cronograma R. Operacional'!$M$5:$M$1000,$AH98),INDEX('Cronograma R. Normativo'!$M$5:$M$1000,$AH98),INDEX('Cronograma R. Financiero'!$M$5:$M$1000,$AH98),INDEX('Cronograma Asistente Técnico'!$M$5:$M$1000,$AH98))),0),IF(ISNUMBER($G98),1,IF(N($W98)&gt;0,AVERAGEIFS($X$5:$X$1000,$U$5:$U$1000,ROW(),$V$5:$V$1000,"Sub"),$X98))))</f>
        <v/>
      </c>
      <c r="N98" s="56">
        <f>IF($M98="","",IF($M98&gt;=1,"Completado",IF($M98&gt;0,"En curso","Pendiente")))</f>
        <v/>
      </c>
      <c r="O98" s="56">
        <f>IF(NOT((COUNTA($B98:$D98)+COUNTA($G98:$L98)+COUNTA($Q98))&gt;0),"",IF(AND(AND($D98&lt;&gt;"",$V98="Macro"),N($AH98)&gt;0),CHOOSE(MATCH($D98,ListaPuestos,0),INDEX('Cronograma R. Operacional'!$O$5:$O$1000,$AH98),INDEX('Cronograma R. Normativo'!$O$5:$O$1000,$AH98),INDEX('Cronograma R. Financiero'!$O$5:$O$1000,$AH98),INDEX('Cronograma Asistente Técnico'!$O$5:$O$1000,$AH98))&amp;"",IF(ISNUMBER($G98),IF(AND(ISNUMBER($AN98),$G98&gt;$AN98),"Cumplida con "&amp;($G98-$AN98)&amp;IF($G98-$AN98=1," día"," días")&amp;" de retraso","Cumplida"),IF(N($M98)&gt;=1,"Cumplida",IF(NOT(ISNUMBER($AN98)),"Sin fecha límite",IF($AN98&lt;FechaRef,"Vencida hace "&amp;(FechaRef-$AN98)&amp;IF(FechaRef-$AN98=1," día"," días"),IF($AN98=FechaRef,"Vence hoy",IF($AN98-FechaRef&lt;=DiasAlerta,"Vence en "&amp;($AN98-FechaRef)&amp;IF($AN98-FechaRef=1," día"," días"),"En plazo"))))))))</f>
        <v/>
      </c>
      <c r="P98" s="62">
        <f>IF(NOT((COUNTA($B98:$D98)+COUNTA($G98:$L98)+COUNTA($Q98))&gt;0),"",IF($D98="","Propia",IF($V98&lt;&gt;"Macro","Solo se delegan macroactividades",IF(N($AH98)&gt;0,"✔ Recibida por "&amp;$D98,"⚠ "&amp;$D98&amp;" aún no la agrega"))))</f>
        <v/>
      </c>
      <c r="Q98" s="58" t="n"/>
      <c r="R98" s="63">
        <f>IF(NOT((COUNTA($B98:$D98)+COUNTA($G98:$L98)+COUNTA($Q98))&gt;0),"",IF((IF($C98="","Falta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",""))="","✔ OK","⚠ "&amp;LEFT(IF($C98="","Falta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",""),LEN(IF($C98="","Falta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",""))-3)))</f>
        <v/>
      </c>
      <c r="S98" s="64">
        <f>IF(NOT((COUNTA($B98:$D98)+COUNTA($G98:$L98)+COUNTA($Q98))&gt;0),"",IF(AND($V98="Sub",N($U98)&gt;0),IF(ISNUMBER(INDEX($AM$5:$AM$1000,$U98-4)),DATE(YEAR(INDEX($AM$5:$AM$1000,$U98-4)),MONTH(INDEX($AM$5:$AM$1000,$U98-4)),1),IF(ISNUMBER(INDEX($AN$5:$AN$1000,$U98-4)),DATE(YEAR(INDEX($AN$5:$AN$1000,$U98-4)),MONTH(INDEX($AN$5:$AN$1000,$U98-4)),1),MesCiclo)),IF(ISNUMBER($AM98),DATE(YEAR($AM98),MONTH($AM98),1),IF(ISNUMBER($AN98),DATE(YEAR($AN98),MONTH($AN98),1),MesCiclo))))</f>
        <v/>
      </c>
      <c r="T98" s="62">
        <f>IF(OR($S98="",$S98&lt;&gt;MesCiclo),"",COUNTIF($S$5:$S98,MesCiclo))</f>
        <v/>
      </c>
      <c r="U98" s="62">
        <f>IF($V98="","",IF($V98="Macro",ROW(),IFERROR(LOOKUP(2,1/($V$5:$V98="Macro"),ROW($V$5:$V98)),0)))</f>
        <v/>
      </c>
      <c r="V98" s="62">
        <f>IF(NOT((COUNTA($B98:$D98)+COUNTA($G98:$L98)+COUNTA($Q98))&gt;0),"",IF($B98="Subactividad","Sub","Macro"))</f>
        <v/>
      </c>
      <c r="W98" s="62">
        <f>IF($V98="Macro",COUNTIFS($U$5:$U$1000,ROW(),$V$5:$V$1000,"Sub"),"")</f>
        <v/>
      </c>
      <c r="X98" s="62">
        <f>IF($V98="","",IF(ISNUMBER($G98),1,IFERROR(LOOKUP(2,1/($I98:$L98&lt;&gt;""),$I98:$L98),0)))</f>
        <v/>
      </c>
      <c r="Y98" s="62">
        <f>IF($V98="","",IF(AND(ISNUMBER($G98),$G98&lt;=IF($S98=MesCiclo,InicioCiclo,$S98+MOD(2-WEEKDAY($S98),7))+6),1,IF(ISNUMBER($I98),$I98,0)))</f>
        <v/>
      </c>
      <c r="Z98" s="62">
        <f>IF($V98="","",IF(AND(ISNUMBER($G98),$G98&lt;=IF($S98=MesCiclo,InicioCiclo,$S98+MOD(2-WEEKDAY($S98),7))+13),1,IF(ISNUMBER($J98),$J98,$Y98)))</f>
        <v/>
      </c>
      <c r="AA98" s="62">
        <f>IF($V98="","",IF(AND(ISNUMBER($G98),$G98&lt;=IF($S98=MesCiclo,InicioCiclo,$S98+MOD(2-WEEKDAY($S98),7))+20),1,IF(ISNUMBER($K98),$K98,$Z98)))</f>
        <v/>
      </c>
      <c r="AB98" s="62">
        <f>IF($V98="","",IF(AND(ISNUMBER($G98),$G98&lt;=IF($S98=MesCiclo,InicioCiclo,$S98+MOD(2-WEEKDAY($S98),7))+27),1,IF(ISNUMBER($L98),$L98,$AA98)))</f>
        <v/>
      </c>
      <c r="AC98" s="62">
        <f>IF($V98="","",IF(AND(ISNUMBER($G98),$G98&lt;=IF($S98=MesCiclo,InicioCiclo,$S98+MOD(2-WEEKDAY($S98),7))+6),1,IF(N($W98)&gt;0,AVERAGEIFS($Y$5:$Y$1000,$U$5:$U$1000,ROW(),$V$5:$V$1000,"Sub"),$Y98)))</f>
        <v/>
      </c>
      <c r="AD98" s="62">
        <f>IF($V98="","",IF(AND(ISNUMBER($G98),$G98&lt;=IF($S98=MesCiclo,InicioCiclo,$S98+MOD(2-WEEKDAY($S98),7))+13),1,IF(N($W98)&gt;0,AVERAGEIFS($Z$5:$Z$1000,$U$5:$U$1000,ROW(),$V$5:$V$1000,"Sub"),$Z98)))</f>
        <v/>
      </c>
      <c r="AE98" s="62">
        <f>IF($V98="","",IF(AND(ISNUMBER($G98),$G98&lt;=IF($S98=MesCiclo,InicioCiclo,$S98+MOD(2-WEEKDAY($S98),7))+20),1,IF(N($W98)&gt;0,AVERAGEIFS($AA$5:$AA$1000,$U$5:$U$1000,ROW(),$V$5:$V$1000,"Sub"),$AA98)))</f>
        <v/>
      </c>
      <c r="AF98" s="62">
        <f>IF($V98="","",IF(AND(ISNUMBER($G98),$G98&lt;=IF($S98=MesCiclo,InicioCiclo,$S98+MOD(2-WEEKDAY($S98),7))+27),1,IF(N($W98)&gt;0,AVERAGEIFS($AB$5:$AB$1000,$U$5:$U$1000,ROW(),$V$5:$V$1000,"Sub"),$AB98)))</f>
        <v/>
      </c>
      <c r="AG98" s="62">
        <f>IF($V98&lt;&gt;"Macro","",IF(COUNTIFS($S$5:$S$1000,$S98,$V$5:$V$1000,"Macro",$H$5:$H$1000,"&gt;0")=0,1/COUNTIFS($S$5:$S$1000,$S98,$V$5:$V$1000,"Macro"),IF(AND(ISNUMBER($H98),N($H98)&gt;0),$H98,SUMIFS($H$5:$H$1000,$S$5:$S$1000,$S98,$V$5:$V$1000,"Macro")/COUNTIFS($S$5:$S$1000,$S98,$V$5:$V$1000,"Macro",$H$5:$H$1000,"&gt;0"))/(COUNTIFS($S$5:$S$1000,$S98,$V$5:$V$1000,"Macro")*SUMIFS($H$5:$H$1000,$S$5:$S$1000,$S98,$V$5:$V$1000,"Macro")/COUNTIFS($S$5:$S$1000,$S98,$V$5:$V$1000,"Macro",$H$5:$H$1000,"&gt;0"))))</f>
        <v/>
      </c>
      <c r="AH98" s="62">
        <f>IF(NOT(AND($D98&lt;&gt;"",$V98="Macro")),"",IFERROR(CHOOSE(MATCH($D98,ListaPuestos,0),MATCH("[Jefatura] "&amp;$C98,'Cronograma R. Operacional'!$C$5:$C$1000,0),MATCH("[Jefatura] "&amp;$C98,'Cronograma R. Normativo'!$C$5:$C$1000,0),MATCH("[Jefatura] "&amp;$C98,'Cronograma R. Financiero'!$C$5:$C$1000,0),MATCH("[Jefatura] "&amp;$C98,'Cronograma Asistente Técnico'!$C$5:$C$1000,0)),0))</f>
        <v/>
      </c>
      <c r="AI98" s="62">
        <f>IF(AND(AND($D98&lt;&gt;"",$V98="Macro"),$S98=MesCiclo),COUNTIFS($D$5:$D98,$D98,$S$5:$S98,MesCiclo,$V$5:$V98,"Macro"),"")</f>
        <v/>
      </c>
      <c r="AJ98" s="62">
        <f>IF($AI98="","",$D98&amp;"|"&amp;$AI98)</f>
        <v/>
      </c>
      <c r="AK98" s="62">
        <f>IF(AND($D98&lt;&gt;"",$V98="Macro"),$D98&amp;"|"&amp;$C98,"")</f>
        <v/>
      </c>
      <c r="AL98" s="62">
        <f>""</f>
        <v/>
      </c>
      <c r="AM98" s="62">
        <f>IF(N($AL98)&gt;0,INDEX(rIni_ADM,$AL98),IF(ISNUMBER($E98),$E98,""))</f>
        <v/>
      </c>
      <c r="AN98" s="62">
        <f>IF(N($AL98)&gt;0,INDEX(rLim_ADM,$AL98),IF(ISNUMBER($F98),$F98,""))</f>
        <v/>
      </c>
    </row>
    <row r="99">
      <c r="A99" s="56">
        <f>IF(NOT((COUNTA($B99:$D99)+COUNTA($G99:$L99)+COUNTA($Q99))&gt;0),"",IF($V99="Macro",COUNTIFS($V$5:$V99,"Macro",$S$5:$S99,$S99),IF(N($U99)=0,"?",COUNTIFS(INDEX($V$5:$V$1000,1):INDEX($V$5:$V$1000,$U99-4),"Macro",INDEX($S$5:$S$1000,1):INDEX($S$5:$S$1000,$U99-4),INDEX($S$5:$S$1000,$U99-4))&amp;"."&amp;COUNTIFS($U$5:$U99,$U99,$V$5:$V99,"Sub"))))</f>
        <v/>
      </c>
      <c r="B99" s="57" t="n"/>
      <c r="C99" s="58" t="n"/>
      <c r="D99" s="58" t="n"/>
      <c r="E99" s="59" t="n"/>
      <c r="F99" s="59" t="n"/>
      <c r="G99" s="59" t="n"/>
      <c r="H99" s="60" t="n"/>
      <c r="I99" s="60" t="n"/>
      <c r="J99" s="60" t="n"/>
      <c r="K99" s="60" t="n"/>
      <c r="L99" s="60" t="n"/>
      <c r="M99" s="61">
        <f>IF(NOT((COUNTA($B99:$D99)+COUNTA($G99:$L99)+COUNTA($Q99))&gt;0),"",IF(AND($D99&lt;&gt;"",$V99="Macro"),IF(N($AH99)&gt;0,N(CHOOSE(MATCH($D99,ListaPuestos,0),INDEX('Cronograma R. Operacional'!$M$5:$M$1000,$AH99),INDEX('Cronograma R. Normativo'!$M$5:$M$1000,$AH99),INDEX('Cronograma R. Financiero'!$M$5:$M$1000,$AH99),INDEX('Cronograma Asistente Técnico'!$M$5:$M$1000,$AH99))),0),IF(ISNUMBER($G99),1,IF(N($W99)&gt;0,AVERAGEIFS($X$5:$X$1000,$U$5:$U$1000,ROW(),$V$5:$V$1000,"Sub"),$X99))))</f>
        <v/>
      </c>
      <c r="N99" s="56">
        <f>IF($M99="","",IF($M99&gt;=1,"Completado",IF($M99&gt;0,"En curso","Pendiente")))</f>
        <v/>
      </c>
      <c r="O99" s="56">
        <f>IF(NOT((COUNTA($B99:$D99)+COUNTA($G99:$L99)+COUNTA($Q99))&gt;0),"",IF(AND(AND($D99&lt;&gt;"",$V99="Macro"),N($AH99)&gt;0),CHOOSE(MATCH($D99,ListaPuestos,0),INDEX('Cronograma R. Operacional'!$O$5:$O$1000,$AH99),INDEX('Cronograma R. Normativo'!$O$5:$O$1000,$AH99),INDEX('Cronograma R. Financiero'!$O$5:$O$1000,$AH99),INDEX('Cronograma Asistente Técnico'!$O$5:$O$1000,$AH99))&amp;"",IF(ISNUMBER($G99),IF(AND(ISNUMBER($AN99),$G99&gt;$AN99),"Cumplida con "&amp;($G99-$AN99)&amp;IF($G99-$AN99=1," día"," días")&amp;" de retraso","Cumplida"),IF(N($M99)&gt;=1,"Cumplida",IF(NOT(ISNUMBER($AN99)),"Sin fecha límite",IF($AN99&lt;FechaRef,"Vencida hace "&amp;(FechaRef-$AN99)&amp;IF(FechaRef-$AN99=1," día"," días"),IF($AN99=FechaRef,"Vence hoy",IF($AN99-FechaRef&lt;=DiasAlerta,"Vence en "&amp;($AN99-FechaRef)&amp;IF($AN99-FechaRef=1," día"," días"),"En plazo"))))))))</f>
        <v/>
      </c>
      <c r="P99" s="62">
        <f>IF(NOT((COUNTA($B99:$D99)+COUNTA($G99:$L99)+COUNTA($Q99))&gt;0),"",IF($D99="","Propia",IF($V99&lt;&gt;"Macro","Solo se delegan macroactividades",IF(N($AH99)&gt;0,"✔ Recibida por "&amp;$D99,"⚠ "&amp;$D99&amp;" aún no la agrega"))))</f>
        <v/>
      </c>
      <c r="Q99" s="58" t="n"/>
      <c r="R99" s="63">
        <f>IF(NOT((COUNTA($B99:$D99)+COUNTA($G99:$L99)+COUNTA($Q99))&gt;0),"",IF((IF($C99="","Falta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",""))="","✔ OK","⚠ "&amp;LEFT(IF($C99="","Falta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",""),LEN(IF($C99="","Falta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",""))-3)))</f>
        <v/>
      </c>
      <c r="S99" s="64">
        <f>IF(NOT((COUNTA($B99:$D99)+COUNTA($G99:$L99)+COUNTA($Q99))&gt;0),"",IF(AND($V99="Sub",N($U99)&gt;0),IF(ISNUMBER(INDEX($AM$5:$AM$1000,$U99-4)),DATE(YEAR(INDEX($AM$5:$AM$1000,$U99-4)),MONTH(INDEX($AM$5:$AM$1000,$U99-4)),1),IF(ISNUMBER(INDEX($AN$5:$AN$1000,$U99-4)),DATE(YEAR(INDEX($AN$5:$AN$1000,$U99-4)),MONTH(INDEX($AN$5:$AN$1000,$U99-4)),1),MesCiclo)),IF(ISNUMBER($AM99),DATE(YEAR($AM99),MONTH($AM99),1),IF(ISNUMBER($AN99),DATE(YEAR($AN99),MONTH($AN99),1),MesCiclo))))</f>
        <v/>
      </c>
      <c r="T99" s="62">
        <f>IF(OR($S99="",$S99&lt;&gt;MesCiclo),"",COUNTIF($S$5:$S99,MesCiclo))</f>
        <v/>
      </c>
      <c r="U99" s="62">
        <f>IF($V99="","",IF($V99="Macro",ROW(),IFERROR(LOOKUP(2,1/($V$5:$V99="Macro"),ROW($V$5:$V99)),0)))</f>
        <v/>
      </c>
      <c r="V99" s="62">
        <f>IF(NOT((COUNTA($B99:$D99)+COUNTA($G99:$L99)+COUNTA($Q99))&gt;0),"",IF($B99="Subactividad","Sub","Macro"))</f>
        <v/>
      </c>
      <c r="W99" s="62">
        <f>IF($V99="Macro",COUNTIFS($U$5:$U$1000,ROW(),$V$5:$V$1000,"Sub"),"")</f>
        <v/>
      </c>
      <c r="X99" s="62">
        <f>IF($V99="","",IF(ISNUMBER($G99),1,IFERROR(LOOKUP(2,1/($I99:$L99&lt;&gt;""),$I99:$L99),0)))</f>
        <v/>
      </c>
      <c r="Y99" s="62">
        <f>IF($V99="","",IF(AND(ISNUMBER($G99),$G99&lt;=IF($S99=MesCiclo,InicioCiclo,$S99+MOD(2-WEEKDAY($S99),7))+6),1,IF(ISNUMBER($I99),$I99,0)))</f>
        <v/>
      </c>
      <c r="Z99" s="62">
        <f>IF($V99="","",IF(AND(ISNUMBER($G99),$G99&lt;=IF($S99=MesCiclo,InicioCiclo,$S99+MOD(2-WEEKDAY($S99),7))+13),1,IF(ISNUMBER($J99),$J99,$Y99)))</f>
        <v/>
      </c>
      <c r="AA99" s="62">
        <f>IF($V99="","",IF(AND(ISNUMBER($G99),$G99&lt;=IF($S99=MesCiclo,InicioCiclo,$S99+MOD(2-WEEKDAY($S99),7))+20),1,IF(ISNUMBER($K99),$K99,$Z99)))</f>
        <v/>
      </c>
      <c r="AB99" s="62">
        <f>IF($V99="","",IF(AND(ISNUMBER($G99),$G99&lt;=IF($S99=MesCiclo,InicioCiclo,$S99+MOD(2-WEEKDAY($S99),7))+27),1,IF(ISNUMBER($L99),$L99,$AA99)))</f>
        <v/>
      </c>
      <c r="AC99" s="62">
        <f>IF($V99="","",IF(AND(ISNUMBER($G99),$G99&lt;=IF($S99=MesCiclo,InicioCiclo,$S99+MOD(2-WEEKDAY($S99),7))+6),1,IF(N($W99)&gt;0,AVERAGEIFS($Y$5:$Y$1000,$U$5:$U$1000,ROW(),$V$5:$V$1000,"Sub"),$Y99)))</f>
        <v/>
      </c>
      <c r="AD99" s="62">
        <f>IF($V99="","",IF(AND(ISNUMBER($G99),$G99&lt;=IF($S99=MesCiclo,InicioCiclo,$S99+MOD(2-WEEKDAY($S99),7))+13),1,IF(N($W99)&gt;0,AVERAGEIFS($Z$5:$Z$1000,$U$5:$U$1000,ROW(),$V$5:$V$1000,"Sub"),$Z99)))</f>
        <v/>
      </c>
      <c r="AE99" s="62">
        <f>IF($V99="","",IF(AND(ISNUMBER($G99),$G99&lt;=IF($S99=MesCiclo,InicioCiclo,$S99+MOD(2-WEEKDAY($S99),7))+20),1,IF(N($W99)&gt;0,AVERAGEIFS($AA$5:$AA$1000,$U$5:$U$1000,ROW(),$V$5:$V$1000,"Sub"),$AA99)))</f>
        <v/>
      </c>
      <c r="AF99" s="62">
        <f>IF($V99="","",IF(AND(ISNUMBER($G99),$G99&lt;=IF($S99=MesCiclo,InicioCiclo,$S99+MOD(2-WEEKDAY($S99),7))+27),1,IF(N($W99)&gt;0,AVERAGEIFS($AB$5:$AB$1000,$U$5:$U$1000,ROW(),$V$5:$V$1000,"Sub"),$AB99)))</f>
        <v/>
      </c>
      <c r="AG99" s="62">
        <f>IF($V99&lt;&gt;"Macro","",IF(COUNTIFS($S$5:$S$1000,$S99,$V$5:$V$1000,"Macro",$H$5:$H$1000,"&gt;0")=0,1/COUNTIFS($S$5:$S$1000,$S99,$V$5:$V$1000,"Macro"),IF(AND(ISNUMBER($H99),N($H99)&gt;0),$H99,SUMIFS($H$5:$H$1000,$S$5:$S$1000,$S99,$V$5:$V$1000,"Macro")/COUNTIFS($S$5:$S$1000,$S99,$V$5:$V$1000,"Macro",$H$5:$H$1000,"&gt;0"))/(COUNTIFS($S$5:$S$1000,$S99,$V$5:$V$1000,"Macro")*SUMIFS($H$5:$H$1000,$S$5:$S$1000,$S99,$V$5:$V$1000,"Macro")/COUNTIFS($S$5:$S$1000,$S99,$V$5:$V$1000,"Macro",$H$5:$H$1000,"&gt;0"))))</f>
        <v/>
      </c>
      <c r="AH99" s="62">
        <f>IF(NOT(AND($D99&lt;&gt;"",$V99="Macro")),"",IFERROR(CHOOSE(MATCH($D99,ListaPuestos,0),MATCH("[Jefatura] "&amp;$C99,'Cronograma R. Operacional'!$C$5:$C$1000,0),MATCH("[Jefatura] "&amp;$C99,'Cronograma R. Normativo'!$C$5:$C$1000,0),MATCH("[Jefatura] "&amp;$C99,'Cronograma R. Financiero'!$C$5:$C$1000,0),MATCH("[Jefatura] "&amp;$C99,'Cronograma Asistente Técnico'!$C$5:$C$1000,0)),0))</f>
        <v/>
      </c>
      <c r="AI99" s="62">
        <f>IF(AND(AND($D99&lt;&gt;"",$V99="Macro"),$S99=MesCiclo),COUNTIFS($D$5:$D99,$D99,$S$5:$S99,MesCiclo,$V$5:$V99,"Macro"),"")</f>
        <v/>
      </c>
      <c r="AJ99" s="62">
        <f>IF($AI99="","",$D99&amp;"|"&amp;$AI99)</f>
        <v/>
      </c>
      <c r="AK99" s="62">
        <f>IF(AND($D99&lt;&gt;"",$V99="Macro"),$D99&amp;"|"&amp;$C99,"")</f>
        <v/>
      </c>
      <c r="AL99" s="62">
        <f>""</f>
        <v/>
      </c>
      <c r="AM99" s="62">
        <f>IF(N($AL99)&gt;0,INDEX(rIni_ADM,$AL99),IF(ISNUMBER($E99),$E99,""))</f>
        <v/>
      </c>
      <c r="AN99" s="62">
        <f>IF(N($AL99)&gt;0,INDEX(rLim_ADM,$AL99),IF(ISNUMBER($F99),$F99,""))</f>
        <v/>
      </c>
    </row>
    <row r="100">
      <c r="A100" s="56">
        <f>IF(NOT((COUNTA($B100:$D100)+COUNTA($G100:$L100)+COUNTA($Q100))&gt;0),"",IF($V100="Macro",COUNTIFS($V$5:$V100,"Macro",$S$5:$S100,$S100),IF(N($U100)=0,"?",COUNTIFS(INDEX($V$5:$V$1000,1):INDEX($V$5:$V$1000,$U100-4),"Macro",INDEX($S$5:$S$1000,1):INDEX($S$5:$S$1000,$U100-4),INDEX($S$5:$S$1000,$U100-4))&amp;"."&amp;COUNTIFS($U$5:$U100,$U100,$V$5:$V100,"Sub"))))</f>
        <v/>
      </c>
      <c r="B100" s="57" t="n"/>
      <c r="C100" s="58" t="n"/>
      <c r="D100" s="58" t="n"/>
      <c r="E100" s="59" t="n"/>
      <c r="F100" s="59" t="n"/>
      <c r="G100" s="59" t="n"/>
      <c r="H100" s="60" t="n"/>
      <c r="I100" s="60" t="n"/>
      <c r="J100" s="60" t="n"/>
      <c r="K100" s="60" t="n"/>
      <c r="L100" s="60" t="n"/>
      <c r="M100" s="61">
        <f>IF(NOT((COUNTA($B100:$D100)+COUNTA($G100:$L100)+COUNTA($Q100))&gt;0),"",IF(AND($D100&lt;&gt;"",$V100="Macro"),IF(N($AH100)&gt;0,N(CHOOSE(MATCH($D100,ListaPuestos,0),INDEX('Cronograma R. Operacional'!$M$5:$M$1000,$AH100),INDEX('Cronograma R. Normativo'!$M$5:$M$1000,$AH100),INDEX('Cronograma R. Financiero'!$M$5:$M$1000,$AH100),INDEX('Cronograma Asistente Técnico'!$M$5:$M$1000,$AH100))),0),IF(ISNUMBER($G100),1,IF(N($W100)&gt;0,AVERAGEIFS($X$5:$X$1000,$U$5:$U$1000,ROW(),$V$5:$V$1000,"Sub"),$X100))))</f>
        <v/>
      </c>
      <c r="N100" s="56">
        <f>IF($M100="","",IF($M100&gt;=1,"Completado",IF($M100&gt;0,"En curso","Pendiente")))</f>
        <v/>
      </c>
      <c r="O100" s="56">
        <f>IF(NOT((COUNTA($B100:$D100)+COUNTA($G100:$L100)+COUNTA($Q100))&gt;0),"",IF(AND(AND($D100&lt;&gt;"",$V100="Macro"),N($AH100)&gt;0),CHOOSE(MATCH($D100,ListaPuestos,0),INDEX('Cronograma R. Operacional'!$O$5:$O$1000,$AH100),INDEX('Cronograma R. Normativo'!$O$5:$O$1000,$AH100),INDEX('Cronograma R. Financiero'!$O$5:$O$1000,$AH100),INDEX('Cronograma Asistente Técnico'!$O$5:$O$1000,$AH100))&amp;"",IF(ISNUMBER($G100),IF(AND(ISNUMBER($AN100),$G100&gt;$AN100),"Cumplida con "&amp;($G100-$AN100)&amp;IF($G100-$AN100=1," día"," días")&amp;" de retraso","Cumplida"),IF(N($M100)&gt;=1,"Cumplida",IF(NOT(ISNUMBER($AN100)),"Sin fecha límite",IF($AN100&lt;FechaRef,"Vencida hace "&amp;(FechaRef-$AN100)&amp;IF(FechaRef-$AN100=1," día"," días"),IF($AN100=FechaRef,"Vence hoy",IF($AN100-FechaRef&lt;=DiasAlerta,"Vence en "&amp;($AN100-FechaRef)&amp;IF($AN100-FechaRef=1," día"," días"),"En plazo"))))))))</f>
        <v/>
      </c>
      <c r="P100" s="62">
        <f>IF(NOT((COUNTA($B100:$D100)+COUNTA($G100:$L100)+COUNTA($Q100))&gt;0),"",IF($D100="","Propia",IF($V100&lt;&gt;"Macro","Solo se delegan macroactividades",IF(N($AH100)&gt;0,"✔ Recibida por "&amp;$D100,"⚠ "&amp;$D100&amp;" aún no la agrega"))))</f>
        <v/>
      </c>
      <c r="Q100" s="58" t="n"/>
      <c r="R100" s="63">
        <f>IF(NOT((COUNTA($B100:$D100)+COUNTA($G100:$L100)+COUNTA($Q100))&gt;0),"",IF((IF($C100="","Falta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",""))="","✔ OK","⚠ "&amp;LEFT(IF($C100="","Falta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",""),LEN(IF($C100="","Falta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",""))-3)))</f>
        <v/>
      </c>
      <c r="S100" s="64">
        <f>IF(NOT((COUNTA($B100:$D100)+COUNTA($G100:$L100)+COUNTA($Q100))&gt;0),"",IF(AND($V100="Sub",N($U100)&gt;0),IF(ISNUMBER(INDEX($AM$5:$AM$1000,$U100-4)),DATE(YEAR(INDEX($AM$5:$AM$1000,$U100-4)),MONTH(INDEX($AM$5:$AM$1000,$U100-4)),1),IF(ISNUMBER(INDEX($AN$5:$AN$1000,$U100-4)),DATE(YEAR(INDEX($AN$5:$AN$1000,$U100-4)),MONTH(INDEX($AN$5:$AN$1000,$U100-4)),1),MesCiclo)),IF(ISNUMBER($AM100),DATE(YEAR($AM100),MONTH($AM100),1),IF(ISNUMBER($AN100),DATE(YEAR($AN100),MONTH($AN100),1),MesCiclo))))</f>
        <v/>
      </c>
      <c r="T100" s="62">
        <f>IF(OR($S100="",$S100&lt;&gt;MesCiclo),"",COUNTIF($S$5:$S100,MesCiclo))</f>
        <v/>
      </c>
      <c r="U100" s="62">
        <f>IF($V100="","",IF($V100="Macro",ROW(),IFERROR(LOOKUP(2,1/($V$5:$V100="Macro"),ROW($V$5:$V100)),0)))</f>
        <v/>
      </c>
      <c r="V100" s="62">
        <f>IF(NOT((COUNTA($B100:$D100)+COUNTA($G100:$L100)+COUNTA($Q100))&gt;0),"",IF($B100="Subactividad","Sub","Macro"))</f>
        <v/>
      </c>
      <c r="W100" s="62">
        <f>IF($V100="Macro",COUNTIFS($U$5:$U$1000,ROW(),$V$5:$V$1000,"Sub"),"")</f>
        <v/>
      </c>
      <c r="X100" s="62">
        <f>IF($V100="","",IF(ISNUMBER($G100),1,IFERROR(LOOKUP(2,1/($I100:$L100&lt;&gt;""),$I100:$L100),0)))</f>
        <v/>
      </c>
      <c r="Y100" s="62">
        <f>IF($V100="","",IF(AND(ISNUMBER($G100),$G100&lt;=IF($S100=MesCiclo,InicioCiclo,$S100+MOD(2-WEEKDAY($S100),7))+6),1,IF(ISNUMBER($I100),$I100,0)))</f>
        <v/>
      </c>
      <c r="Z100" s="62">
        <f>IF($V100="","",IF(AND(ISNUMBER($G100),$G100&lt;=IF($S100=MesCiclo,InicioCiclo,$S100+MOD(2-WEEKDAY($S100),7))+13),1,IF(ISNUMBER($J100),$J100,$Y100)))</f>
        <v/>
      </c>
      <c r="AA100" s="62">
        <f>IF($V100="","",IF(AND(ISNUMBER($G100),$G100&lt;=IF($S100=MesCiclo,InicioCiclo,$S100+MOD(2-WEEKDAY($S100),7))+20),1,IF(ISNUMBER($K100),$K100,$Z100)))</f>
        <v/>
      </c>
      <c r="AB100" s="62">
        <f>IF($V100="","",IF(AND(ISNUMBER($G100),$G100&lt;=IF($S100=MesCiclo,InicioCiclo,$S100+MOD(2-WEEKDAY($S100),7))+27),1,IF(ISNUMBER($L100),$L100,$AA100)))</f>
        <v/>
      </c>
      <c r="AC100" s="62">
        <f>IF($V100="","",IF(AND(ISNUMBER($G100),$G100&lt;=IF($S100=MesCiclo,InicioCiclo,$S100+MOD(2-WEEKDAY($S100),7))+6),1,IF(N($W100)&gt;0,AVERAGEIFS($Y$5:$Y$1000,$U$5:$U$1000,ROW(),$V$5:$V$1000,"Sub"),$Y100)))</f>
        <v/>
      </c>
      <c r="AD100" s="62">
        <f>IF($V100="","",IF(AND(ISNUMBER($G100),$G100&lt;=IF($S100=MesCiclo,InicioCiclo,$S100+MOD(2-WEEKDAY($S100),7))+13),1,IF(N($W100)&gt;0,AVERAGEIFS($Z$5:$Z$1000,$U$5:$U$1000,ROW(),$V$5:$V$1000,"Sub"),$Z100)))</f>
        <v/>
      </c>
      <c r="AE100" s="62">
        <f>IF($V100="","",IF(AND(ISNUMBER($G100),$G100&lt;=IF($S100=MesCiclo,InicioCiclo,$S100+MOD(2-WEEKDAY($S100),7))+20),1,IF(N($W100)&gt;0,AVERAGEIFS($AA$5:$AA$1000,$U$5:$U$1000,ROW(),$V$5:$V$1000,"Sub"),$AA100)))</f>
        <v/>
      </c>
      <c r="AF100" s="62">
        <f>IF($V100="","",IF(AND(ISNUMBER($G100),$G100&lt;=IF($S100=MesCiclo,InicioCiclo,$S100+MOD(2-WEEKDAY($S100),7))+27),1,IF(N($W100)&gt;0,AVERAGEIFS($AB$5:$AB$1000,$U$5:$U$1000,ROW(),$V$5:$V$1000,"Sub"),$AB100)))</f>
        <v/>
      </c>
      <c r="AG100" s="62">
        <f>IF($V100&lt;&gt;"Macro","",IF(COUNTIFS($S$5:$S$1000,$S100,$V$5:$V$1000,"Macro",$H$5:$H$1000,"&gt;0")=0,1/COUNTIFS($S$5:$S$1000,$S100,$V$5:$V$1000,"Macro"),IF(AND(ISNUMBER($H100),N($H100)&gt;0),$H100,SUMIFS($H$5:$H$1000,$S$5:$S$1000,$S100,$V$5:$V$1000,"Macro")/COUNTIFS($S$5:$S$1000,$S100,$V$5:$V$1000,"Macro",$H$5:$H$1000,"&gt;0"))/(COUNTIFS($S$5:$S$1000,$S100,$V$5:$V$1000,"Macro")*SUMIFS($H$5:$H$1000,$S$5:$S$1000,$S100,$V$5:$V$1000,"Macro")/COUNTIFS($S$5:$S$1000,$S100,$V$5:$V$1000,"Macro",$H$5:$H$1000,"&gt;0"))))</f>
        <v/>
      </c>
      <c r="AH100" s="62">
        <f>IF(NOT(AND($D100&lt;&gt;"",$V100="Macro")),"",IFERROR(CHOOSE(MATCH($D100,ListaPuestos,0),MATCH("[Jefatura] "&amp;$C100,'Cronograma R. Operacional'!$C$5:$C$1000,0),MATCH("[Jefatura] "&amp;$C100,'Cronograma R. Normativo'!$C$5:$C$1000,0),MATCH("[Jefatura] "&amp;$C100,'Cronograma R. Financiero'!$C$5:$C$1000,0),MATCH("[Jefatura] "&amp;$C100,'Cronograma Asistente Técnico'!$C$5:$C$1000,0)),0))</f>
        <v/>
      </c>
      <c r="AI100" s="62">
        <f>IF(AND(AND($D100&lt;&gt;"",$V100="Macro"),$S100=MesCiclo),COUNTIFS($D$5:$D100,$D100,$S$5:$S100,MesCiclo,$V$5:$V100,"Macro"),"")</f>
        <v/>
      </c>
      <c r="AJ100" s="62">
        <f>IF($AI100="","",$D100&amp;"|"&amp;$AI100)</f>
        <v/>
      </c>
      <c r="AK100" s="62">
        <f>IF(AND($D100&lt;&gt;"",$V100="Macro"),$D100&amp;"|"&amp;$C100,"")</f>
        <v/>
      </c>
      <c r="AL100" s="62">
        <f>""</f>
        <v/>
      </c>
      <c r="AM100" s="62">
        <f>IF(N($AL100)&gt;0,INDEX(rIni_ADM,$AL100),IF(ISNUMBER($E100),$E100,""))</f>
        <v/>
      </c>
      <c r="AN100" s="62">
        <f>IF(N($AL100)&gt;0,INDEX(rLim_ADM,$AL100),IF(ISNUMBER($F100),$F100,""))</f>
        <v/>
      </c>
    </row>
    <row r="101">
      <c r="A101" s="56">
        <f>IF(NOT((COUNTA($B101:$D101)+COUNTA($G101:$L101)+COUNTA($Q101))&gt;0),"",IF($V101="Macro",COUNTIFS($V$5:$V101,"Macro",$S$5:$S101,$S101),IF(N($U101)=0,"?",COUNTIFS(INDEX($V$5:$V$1000,1):INDEX($V$5:$V$1000,$U101-4),"Macro",INDEX($S$5:$S$1000,1):INDEX($S$5:$S$1000,$U101-4),INDEX($S$5:$S$1000,$U101-4))&amp;"."&amp;COUNTIFS($U$5:$U101,$U101,$V$5:$V101,"Sub"))))</f>
        <v/>
      </c>
      <c r="B101" s="57" t="n"/>
      <c r="C101" s="58" t="n"/>
      <c r="D101" s="58" t="n"/>
      <c r="E101" s="59" t="n"/>
      <c r="F101" s="59" t="n"/>
      <c r="G101" s="59" t="n"/>
      <c r="H101" s="60" t="n"/>
      <c r="I101" s="60" t="n"/>
      <c r="J101" s="60" t="n"/>
      <c r="K101" s="60" t="n"/>
      <c r="L101" s="60" t="n"/>
      <c r="M101" s="61">
        <f>IF(NOT((COUNTA($B101:$D101)+COUNTA($G101:$L101)+COUNTA($Q101))&gt;0),"",IF(AND($D101&lt;&gt;"",$V101="Macro"),IF(N($AH101)&gt;0,N(CHOOSE(MATCH($D101,ListaPuestos,0),INDEX('Cronograma R. Operacional'!$M$5:$M$1000,$AH101),INDEX('Cronograma R. Normativo'!$M$5:$M$1000,$AH101),INDEX('Cronograma R. Financiero'!$M$5:$M$1000,$AH101),INDEX('Cronograma Asistente Técnico'!$M$5:$M$1000,$AH101))),0),IF(ISNUMBER($G101),1,IF(N($W101)&gt;0,AVERAGEIFS($X$5:$X$1000,$U$5:$U$1000,ROW(),$V$5:$V$1000,"Sub"),$X101))))</f>
        <v/>
      </c>
      <c r="N101" s="56">
        <f>IF($M101="","",IF($M101&gt;=1,"Completado",IF($M101&gt;0,"En curso","Pendiente")))</f>
        <v/>
      </c>
      <c r="O101" s="56">
        <f>IF(NOT((COUNTA($B101:$D101)+COUNTA($G101:$L101)+COUNTA($Q101))&gt;0),"",IF(AND(AND($D101&lt;&gt;"",$V101="Macro"),N($AH101)&gt;0),CHOOSE(MATCH($D101,ListaPuestos,0),INDEX('Cronograma R. Operacional'!$O$5:$O$1000,$AH101),INDEX('Cronograma R. Normativo'!$O$5:$O$1000,$AH101),INDEX('Cronograma R. Financiero'!$O$5:$O$1000,$AH101),INDEX('Cronograma Asistente Técnico'!$O$5:$O$1000,$AH101))&amp;"",IF(ISNUMBER($G101),IF(AND(ISNUMBER($AN101),$G101&gt;$AN101),"Cumplida con "&amp;($G101-$AN101)&amp;IF($G101-$AN101=1," día"," días")&amp;" de retraso","Cumplida"),IF(N($M101)&gt;=1,"Cumplida",IF(NOT(ISNUMBER($AN101)),"Sin fecha límite",IF($AN101&lt;FechaRef,"Vencida hace "&amp;(FechaRef-$AN101)&amp;IF(FechaRef-$AN101=1," día"," días"),IF($AN101=FechaRef,"Vence hoy",IF($AN101-FechaRef&lt;=DiasAlerta,"Vence en "&amp;($AN101-FechaRef)&amp;IF($AN101-FechaRef=1," día"," días"),"En plazo"))))))))</f>
        <v/>
      </c>
      <c r="P101" s="62">
        <f>IF(NOT((COUNTA($B101:$D101)+COUNTA($G101:$L101)+COUNTA($Q101))&gt;0),"",IF($D101="","Propia",IF($V101&lt;&gt;"Macro","Solo se delegan macroactividades",IF(N($AH101)&gt;0,"✔ Recibida por "&amp;$D101,"⚠ "&amp;$D101&amp;" aún no la agrega"))))</f>
        <v/>
      </c>
      <c r="Q101" s="58" t="n"/>
      <c r="R101" s="63">
        <f>IF(NOT((COUNTA($B101:$D101)+COUNTA($G101:$L101)+COUNTA($Q101))&gt;0),"",IF((IF($C101="","Falta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",""))="","✔ OK","⚠ "&amp;LEFT(IF($C101="","Falta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",""),LEN(IF($C101="","Falta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",""))-3)))</f>
        <v/>
      </c>
      <c r="S101" s="64">
        <f>IF(NOT((COUNTA($B101:$D101)+COUNTA($G101:$L101)+COUNTA($Q101))&gt;0),"",IF(AND($V101="Sub",N($U101)&gt;0),IF(ISNUMBER(INDEX($AM$5:$AM$1000,$U101-4)),DATE(YEAR(INDEX($AM$5:$AM$1000,$U101-4)),MONTH(INDEX($AM$5:$AM$1000,$U101-4)),1),IF(ISNUMBER(INDEX($AN$5:$AN$1000,$U101-4)),DATE(YEAR(INDEX($AN$5:$AN$1000,$U101-4)),MONTH(INDEX($AN$5:$AN$1000,$U101-4)),1),MesCiclo)),IF(ISNUMBER($AM101),DATE(YEAR($AM101),MONTH($AM101),1),IF(ISNUMBER($AN101),DATE(YEAR($AN101),MONTH($AN101),1),MesCiclo))))</f>
        <v/>
      </c>
      <c r="T101" s="62">
        <f>IF(OR($S101="",$S101&lt;&gt;MesCiclo),"",COUNTIF($S$5:$S101,MesCiclo))</f>
        <v/>
      </c>
      <c r="U101" s="62">
        <f>IF($V101="","",IF($V101="Macro",ROW(),IFERROR(LOOKUP(2,1/($V$5:$V101="Macro"),ROW($V$5:$V101)),0)))</f>
        <v/>
      </c>
      <c r="V101" s="62">
        <f>IF(NOT((COUNTA($B101:$D101)+COUNTA($G101:$L101)+COUNTA($Q101))&gt;0),"",IF($B101="Subactividad","Sub","Macro"))</f>
        <v/>
      </c>
      <c r="W101" s="62">
        <f>IF($V101="Macro",COUNTIFS($U$5:$U$1000,ROW(),$V$5:$V$1000,"Sub"),"")</f>
        <v/>
      </c>
      <c r="X101" s="62">
        <f>IF($V101="","",IF(ISNUMBER($G101),1,IFERROR(LOOKUP(2,1/($I101:$L101&lt;&gt;""),$I101:$L101),0)))</f>
        <v/>
      </c>
      <c r="Y101" s="62">
        <f>IF($V101="","",IF(AND(ISNUMBER($G101),$G101&lt;=IF($S101=MesCiclo,InicioCiclo,$S101+MOD(2-WEEKDAY($S101),7))+6),1,IF(ISNUMBER($I101),$I101,0)))</f>
        <v/>
      </c>
      <c r="Z101" s="62">
        <f>IF($V101="","",IF(AND(ISNUMBER($G101),$G101&lt;=IF($S101=MesCiclo,InicioCiclo,$S101+MOD(2-WEEKDAY($S101),7))+13),1,IF(ISNUMBER($J101),$J101,$Y101)))</f>
        <v/>
      </c>
      <c r="AA101" s="62">
        <f>IF($V101="","",IF(AND(ISNUMBER($G101),$G101&lt;=IF($S101=MesCiclo,InicioCiclo,$S101+MOD(2-WEEKDAY($S101),7))+20),1,IF(ISNUMBER($K101),$K101,$Z101)))</f>
        <v/>
      </c>
      <c r="AB101" s="62">
        <f>IF($V101="","",IF(AND(ISNUMBER($G101),$G101&lt;=IF($S101=MesCiclo,InicioCiclo,$S101+MOD(2-WEEKDAY($S101),7))+27),1,IF(ISNUMBER($L101),$L101,$AA101)))</f>
        <v/>
      </c>
      <c r="AC101" s="62">
        <f>IF($V101="","",IF(AND(ISNUMBER($G101),$G101&lt;=IF($S101=MesCiclo,InicioCiclo,$S101+MOD(2-WEEKDAY($S101),7))+6),1,IF(N($W101)&gt;0,AVERAGEIFS($Y$5:$Y$1000,$U$5:$U$1000,ROW(),$V$5:$V$1000,"Sub"),$Y101)))</f>
        <v/>
      </c>
      <c r="AD101" s="62">
        <f>IF($V101="","",IF(AND(ISNUMBER($G101),$G101&lt;=IF($S101=MesCiclo,InicioCiclo,$S101+MOD(2-WEEKDAY($S101),7))+13),1,IF(N($W101)&gt;0,AVERAGEIFS($Z$5:$Z$1000,$U$5:$U$1000,ROW(),$V$5:$V$1000,"Sub"),$Z101)))</f>
        <v/>
      </c>
      <c r="AE101" s="62">
        <f>IF($V101="","",IF(AND(ISNUMBER($G101),$G101&lt;=IF($S101=MesCiclo,InicioCiclo,$S101+MOD(2-WEEKDAY($S101),7))+20),1,IF(N($W101)&gt;0,AVERAGEIFS($AA$5:$AA$1000,$U$5:$U$1000,ROW(),$V$5:$V$1000,"Sub"),$AA101)))</f>
        <v/>
      </c>
      <c r="AF101" s="62">
        <f>IF($V101="","",IF(AND(ISNUMBER($G101),$G101&lt;=IF($S101=MesCiclo,InicioCiclo,$S101+MOD(2-WEEKDAY($S101),7))+27),1,IF(N($W101)&gt;0,AVERAGEIFS($AB$5:$AB$1000,$U$5:$U$1000,ROW(),$V$5:$V$1000,"Sub"),$AB101)))</f>
        <v/>
      </c>
      <c r="AG101" s="62">
        <f>IF($V101&lt;&gt;"Macro","",IF(COUNTIFS($S$5:$S$1000,$S101,$V$5:$V$1000,"Macro",$H$5:$H$1000,"&gt;0")=0,1/COUNTIFS($S$5:$S$1000,$S101,$V$5:$V$1000,"Macro"),IF(AND(ISNUMBER($H101),N($H101)&gt;0),$H101,SUMIFS($H$5:$H$1000,$S$5:$S$1000,$S101,$V$5:$V$1000,"Macro")/COUNTIFS($S$5:$S$1000,$S101,$V$5:$V$1000,"Macro",$H$5:$H$1000,"&gt;0"))/(COUNTIFS($S$5:$S$1000,$S101,$V$5:$V$1000,"Macro")*SUMIFS($H$5:$H$1000,$S$5:$S$1000,$S101,$V$5:$V$1000,"Macro")/COUNTIFS($S$5:$S$1000,$S101,$V$5:$V$1000,"Macro",$H$5:$H$1000,"&gt;0"))))</f>
        <v/>
      </c>
      <c r="AH101" s="62">
        <f>IF(NOT(AND($D101&lt;&gt;"",$V101="Macro")),"",IFERROR(CHOOSE(MATCH($D101,ListaPuestos,0),MATCH("[Jefatura] "&amp;$C101,'Cronograma R. Operacional'!$C$5:$C$1000,0),MATCH("[Jefatura] "&amp;$C101,'Cronograma R. Normativo'!$C$5:$C$1000,0),MATCH("[Jefatura] "&amp;$C101,'Cronograma R. Financiero'!$C$5:$C$1000,0),MATCH("[Jefatura] "&amp;$C101,'Cronograma Asistente Técnico'!$C$5:$C$1000,0)),0))</f>
        <v/>
      </c>
      <c r="AI101" s="62">
        <f>IF(AND(AND($D101&lt;&gt;"",$V101="Macro"),$S101=MesCiclo),COUNTIFS($D$5:$D101,$D101,$S$5:$S101,MesCiclo,$V$5:$V101,"Macro"),"")</f>
        <v/>
      </c>
      <c r="AJ101" s="62">
        <f>IF($AI101="","",$D101&amp;"|"&amp;$AI101)</f>
        <v/>
      </c>
      <c r="AK101" s="62">
        <f>IF(AND($D101&lt;&gt;"",$V101="Macro"),$D101&amp;"|"&amp;$C101,"")</f>
        <v/>
      </c>
      <c r="AL101" s="62">
        <f>""</f>
        <v/>
      </c>
      <c r="AM101" s="62">
        <f>IF(N($AL101)&gt;0,INDEX(rIni_ADM,$AL101),IF(ISNUMBER($E101),$E101,""))</f>
        <v/>
      </c>
      <c r="AN101" s="62">
        <f>IF(N($AL101)&gt;0,INDEX(rLim_ADM,$AL101),IF(ISNUMBER($F101),$F101,""))</f>
        <v/>
      </c>
    </row>
    <row r="102">
      <c r="A102" s="56">
        <f>IF(NOT((COUNTA($B102:$D102)+COUNTA($G102:$L102)+COUNTA($Q102))&gt;0),"",IF($V102="Macro",COUNTIFS($V$5:$V102,"Macro",$S$5:$S102,$S102),IF(N($U102)=0,"?",COUNTIFS(INDEX($V$5:$V$1000,1):INDEX($V$5:$V$1000,$U102-4),"Macro",INDEX($S$5:$S$1000,1):INDEX($S$5:$S$1000,$U102-4),INDEX($S$5:$S$1000,$U102-4))&amp;"."&amp;COUNTIFS($U$5:$U102,$U102,$V$5:$V102,"Sub"))))</f>
        <v/>
      </c>
      <c r="B102" s="57" t="n"/>
      <c r="C102" s="58" t="n"/>
      <c r="D102" s="58" t="n"/>
      <c r="E102" s="59" t="n"/>
      <c r="F102" s="59" t="n"/>
      <c r="G102" s="59" t="n"/>
      <c r="H102" s="60" t="n"/>
      <c r="I102" s="60" t="n"/>
      <c r="J102" s="60" t="n"/>
      <c r="K102" s="60" t="n"/>
      <c r="L102" s="60" t="n"/>
      <c r="M102" s="61">
        <f>IF(NOT((COUNTA($B102:$D102)+COUNTA($G102:$L102)+COUNTA($Q102))&gt;0),"",IF(AND($D102&lt;&gt;"",$V102="Macro"),IF(N($AH102)&gt;0,N(CHOOSE(MATCH($D102,ListaPuestos,0),INDEX('Cronograma R. Operacional'!$M$5:$M$1000,$AH102),INDEX('Cronograma R. Normativo'!$M$5:$M$1000,$AH102),INDEX('Cronograma R. Financiero'!$M$5:$M$1000,$AH102),INDEX('Cronograma Asistente Técnico'!$M$5:$M$1000,$AH102))),0),IF(ISNUMBER($G102),1,IF(N($W102)&gt;0,AVERAGEIFS($X$5:$X$1000,$U$5:$U$1000,ROW(),$V$5:$V$1000,"Sub"),$X102))))</f>
        <v/>
      </c>
      <c r="N102" s="56">
        <f>IF($M102="","",IF($M102&gt;=1,"Completado",IF($M102&gt;0,"En curso","Pendiente")))</f>
        <v/>
      </c>
      <c r="O102" s="56">
        <f>IF(NOT((COUNTA($B102:$D102)+COUNTA($G102:$L102)+COUNTA($Q102))&gt;0),"",IF(AND(AND($D102&lt;&gt;"",$V102="Macro"),N($AH102)&gt;0),CHOOSE(MATCH($D102,ListaPuestos,0),INDEX('Cronograma R. Operacional'!$O$5:$O$1000,$AH102),INDEX('Cronograma R. Normativo'!$O$5:$O$1000,$AH102),INDEX('Cronograma R. Financiero'!$O$5:$O$1000,$AH102),INDEX('Cronograma Asistente Técnico'!$O$5:$O$1000,$AH102))&amp;"",IF(ISNUMBER($G102),IF(AND(ISNUMBER($AN102),$G102&gt;$AN102),"Cumplida con "&amp;($G102-$AN102)&amp;IF($G102-$AN102=1," día"," días")&amp;" de retraso","Cumplida"),IF(N($M102)&gt;=1,"Cumplida",IF(NOT(ISNUMBER($AN102)),"Sin fecha límite",IF($AN102&lt;FechaRef,"Vencida hace "&amp;(FechaRef-$AN102)&amp;IF(FechaRef-$AN102=1," día"," días"),IF($AN102=FechaRef,"Vence hoy",IF($AN102-FechaRef&lt;=DiasAlerta,"Vence en "&amp;($AN102-FechaRef)&amp;IF($AN102-FechaRef=1," día"," días"),"En plazo"))))))))</f>
        <v/>
      </c>
      <c r="P102" s="62">
        <f>IF(NOT((COUNTA($B102:$D102)+COUNTA($G102:$L102)+COUNTA($Q102))&gt;0),"",IF($D102="","Propia",IF($V102&lt;&gt;"Macro","Solo se delegan macroactividades",IF(N($AH102)&gt;0,"✔ Recibida por "&amp;$D102,"⚠ "&amp;$D102&amp;" aún no la agrega"))))</f>
        <v/>
      </c>
      <c r="Q102" s="58" t="n"/>
      <c r="R102" s="63">
        <f>IF(NOT((COUNTA($B102:$D102)+COUNTA($G102:$L102)+COUNTA($Q102))&gt;0),"",IF((IF($C102="","Falta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",""))="","✔ OK","⚠ "&amp;LEFT(IF($C102="","Falta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",""),LEN(IF($C102="","Falta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",""))-3)))</f>
        <v/>
      </c>
      <c r="S102" s="64">
        <f>IF(NOT((COUNTA($B102:$D102)+COUNTA($G102:$L102)+COUNTA($Q102))&gt;0),"",IF(AND($V102="Sub",N($U102)&gt;0),IF(ISNUMBER(INDEX($AM$5:$AM$1000,$U102-4)),DATE(YEAR(INDEX($AM$5:$AM$1000,$U102-4)),MONTH(INDEX($AM$5:$AM$1000,$U102-4)),1),IF(ISNUMBER(INDEX($AN$5:$AN$1000,$U102-4)),DATE(YEAR(INDEX($AN$5:$AN$1000,$U102-4)),MONTH(INDEX($AN$5:$AN$1000,$U102-4)),1),MesCiclo)),IF(ISNUMBER($AM102),DATE(YEAR($AM102),MONTH($AM102),1),IF(ISNUMBER($AN102),DATE(YEAR($AN102),MONTH($AN102),1),MesCiclo))))</f>
        <v/>
      </c>
      <c r="T102" s="62">
        <f>IF(OR($S102="",$S102&lt;&gt;MesCiclo),"",COUNTIF($S$5:$S102,MesCiclo))</f>
        <v/>
      </c>
      <c r="U102" s="62">
        <f>IF($V102="","",IF($V102="Macro",ROW(),IFERROR(LOOKUP(2,1/($V$5:$V102="Macro"),ROW($V$5:$V102)),0)))</f>
        <v/>
      </c>
      <c r="V102" s="62">
        <f>IF(NOT((COUNTA($B102:$D102)+COUNTA($G102:$L102)+COUNTA($Q102))&gt;0),"",IF($B102="Subactividad","Sub","Macro"))</f>
        <v/>
      </c>
      <c r="W102" s="62">
        <f>IF($V102="Macro",COUNTIFS($U$5:$U$1000,ROW(),$V$5:$V$1000,"Sub"),"")</f>
        <v/>
      </c>
      <c r="X102" s="62">
        <f>IF($V102="","",IF(ISNUMBER($G102),1,IFERROR(LOOKUP(2,1/($I102:$L102&lt;&gt;""),$I102:$L102),0)))</f>
        <v/>
      </c>
      <c r="Y102" s="62">
        <f>IF($V102="","",IF(AND(ISNUMBER($G102),$G102&lt;=IF($S102=MesCiclo,InicioCiclo,$S102+MOD(2-WEEKDAY($S102),7))+6),1,IF(ISNUMBER($I102),$I102,0)))</f>
        <v/>
      </c>
      <c r="Z102" s="62">
        <f>IF($V102="","",IF(AND(ISNUMBER($G102),$G102&lt;=IF($S102=MesCiclo,InicioCiclo,$S102+MOD(2-WEEKDAY($S102),7))+13),1,IF(ISNUMBER($J102),$J102,$Y102)))</f>
        <v/>
      </c>
      <c r="AA102" s="62">
        <f>IF($V102="","",IF(AND(ISNUMBER($G102),$G102&lt;=IF($S102=MesCiclo,InicioCiclo,$S102+MOD(2-WEEKDAY($S102),7))+20),1,IF(ISNUMBER($K102),$K102,$Z102)))</f>
        <v/>
      </c>
      <c r="AB102" s="62">
        <f>IF($V102="","",IF(AND(ISNUMBER($G102),$G102&lt;=IF($S102=MesCiclo,InicioCiclo,$S102+MOD(2-WEEKDAY($S102),7))+27),1,IF(ISNUMBER($L102),$L102,$AA102)))</f>
        <v/>
      </c>
      <c r="AC102" s="62">
        <f>IF($V102="","",IF(AND(ISNUMBER($G102),$G102&lt;=IF($S102=MesCiclo,InicioCiclo,$S102+MOD(2-WEEKDAY($S102),7))+6),1,IF(N($W102)&gt;0,AVERAGEIFS($Y$5:$Y$1000,$U$5:$U$1000,ROW(),$V$5:$V$1000,"Sub"),$Y102)))</f>
        <v/>
      </c>
      <c r="AD102" s="62">
        <f>IF($V102="","",IF(AND(ISNUMBER($G102),$G102&lt;=IF($S102=MesCiclo,InicioCiclo,$S102+MOD(2-WEEKDAY($S102),7))+13),1,IF(N($W102)&gt;0,AVERAGEIFS($Z$5:$Z$1000,$U$5:$U$1000,ROW(),$V$5:$V$1000,"Sub"),$Z102)))</f>
        <v/>
      </c>
      <c r="AE102" s="62">
        <f>IF($V102="","",IF(AND(ISNUMBER($G102),$G102&lt;=IF($S102=MesCiclo,InicioCiclo,$S102+MOD(2-WEEKDAY($S102),7))+20),1,IF(N($W102)&gt;0,AVERAGEIFS($AA$5:$AA$1000,$U$5:$U$1000,ROW(),$V$5:$V$1000,"Sub"),$AA102)))</f>
        <v/>
      </c>
      <c r="AF102" s="62">
        <f>IF($V102="","",IF(AND(ISNUMBER($G102),$G102&lt;=IF($S102=MesCiclo,InicioCiclo,$S102+MOD(2-WEEKDAY($S102),7))+27),1,IF(N($W102)&gt;0,AVERAGEIFS($AB$5:$AB$1000,$U$5:$U$1000,ROW(),$V$5:$V$1000,"Sub"),$AB102)))</f>
        <v/>
      </c>
      <c r="AG102" s="62">
        <f>IF($V102&lt;&gt;"Macro","",IF(COUNTIFS($S$5:$S$1000,$S102,$V$5:$V$1000,"Macro",$H$5:$H$1000,"&gt;0")=0,1/COUNTIFS($S$5:$S$1000,$S102,$V$5:$V$1000,"Macro"),IF(AND(ISNUMBER($H102),N($H102)&gt;0),$H102,SUMIFS($H$5:$H$1000,$S$5:$S$1000,$S102,$V$5:$V$1000,"Macro")/COUNTIFS($S$5:$S$1000,$S102,$V$5:$V$1000,"Macro",$H$5:$H$1000,"&gt;0"))/(COUNTIFS($S$5:$S$1000,$S102,$V$5:$V$1000,"Macro")*SUMIFS($H$5:$H$1000,$S$5:$S$1000,$S102,$V$5:$V$1000,"Macro")/COUNTIFS($S$5:$S$1000,$S102,$V$5:$V$1000,"Macro",$H$5:$H$1000,"&gt;0"))))</f>
        <v/>
      </c>
      <c r="AH102" s="62">
        <f>IF(NOT(AND($D102&lt;&gt;"",$V102="Macro")),"",IFERROR(CHOOSE(MATCH($D102,ListaPuestos,0),MATCH("[Jefatura] "&amp;$C102,'Cronograma R. Operacional'!$C$5:$C$1000,0),MATCH("[Jefatura] "&amp;$C102,'Cronograma R. Normativo'!$C$5:$C$1000,0),MATCH("[Jefatura] "&amp;$C102,'Cronograma R. Financiero'!$C$5:$C$1000,0),MATCH("[Jefatura] "&amp;$C102,'Cronograma Asistente Técnico'!$C$5:$C$1000,0)),0))</f>
        <v/>
      </c>
      <c r="AI102" s="62">
        <f>IF(AND(AND($D102&lt;&gt;"",$V102="Macro"),$S102=MesCiclo),COUNTIFS($D$5:$D102,$D102,$S$5:$S102,MesCiclo,$V$5:$V102,"Macro"),"")</f>
        <v/>
      </c>
      <c r="AJ102" s="62">
        <f>IF($AI102="","",$D102&amp;"|"&amp;$AI102)</f>
        <v/>
      </c>
      <c r="AK102" s="62">
        <f>IF(AND($D102&lt;&gt;"",$V102="Macro"),$D102&amp;"|"&amp;$C102,"")</f>
        <v/>
      </c>
      <c r="AL102" s="62">
        <f>""</f>
        <v/>
      </c>
      <c r="AM102" s="62">
        <f>IF(N($AL102)&gt;0,INDEX(rIni_ADM,$AL102),IF(ISNUMBER($E102),$E102,""))</f>
        <v/>
      </c>
      <c r="AN102" s="62">
        <f>IF(N($AL102)&gt;0,INDEX(rLim_ADM,$AL102),IF(ISNUMBER($F102),$F102,""))</f>
        <v/>
      </c>
    </row>
    <row r="103">
      <c r="A103" s="56">
        <f>IF(NOT((COUNTA($B103:$D103)+COUNTA($G103:$L103)+COUNTA($Q103))&gt;0),"",IF($V103="Macro",COUNTIFS($V$5:$V103,"Macro",$S$5:$S103,$S103),IF(N($U103)=0,"?",COUNTIFS(INDEX($V$5:$V$1000,1):INDEX($V$5:$V$1000,$U103-4),"Macro",INDEX($S$5:$S$1000,1):INDEX($S$5:$S$1000,$U103-4),INDEX($S$5:$S$1000,$U103-4))&amp;"."&amp;COUNTIFS($U$5:$U103,$U103,$V$5:$V103,"Sub"))))</f>
        <v/>
      </c>
      <c r="B103" s="57" t="n"/>
      <c r="C103" s="58" t="n"/>
      <c r="D103" s="58" t="n"/>
      <c r="E103" s="59" t="n"/>
      <c r="F103" s="59" t="n"/>
      <c r="G103" s="59" t="n"/>
      <c r="H103" s="60" t="n"/>
      <c r="I103" s="60" t="n"/>
      <c r="J103" s="60" t="n"/>
      <c r="K103" s="60" t="n"/>
      <c r="L103" s="60" t="n"/>
      <c r="M103" s="61">
        <f>IF(NOT((COUNTA($B103:$D103)+COUNTA($G103:$L103)+COUNTA($Q103))&gt;0),"",IF(AND($D103&lt;&gt;"",$V103="Macro"),IF(N($AH103)&gt;0,N(CHOOSE(MATCH($D103,ListaPuestos,0),INDEX('Cronograma R. Operacional'!$M$5:$M$1000,$AH103),INDEX('Cronograma R. Normativo'!$M$5:$M$1000,$AH103),INDEX('Cronograma R. Financiero'!$M$5:$M$1000,$AH103),INDEX('Cronograma Asistente Técnico'!$M$5:$M$1000,$AH103))),0),IF(ISNUMBER($G103),1,IF(N($W103)&gt;0,AVERAGEIFS($X$5:$X$1000,$U$5:$U$1000,ROW(),$V$5:$V$1000,"Sub"),$X103))))</f>
        <v/>
      </c>
      <c r="N103" s="56">
        <f>IF($M103="","",IF($M103&gt;=1,"Completado",IF($M103&gt;0,"En curso","Pendiente")))</f>
        <v/>
      </c>
      <c r="O103" s="56">
        <f>IF(NOT((COUNTA($B103:$D103)+COUNTA($G103:$L103)+COUNTA($Q103))&gt;0),"",IF(AND(AND($D103&lt;&gt;"",$V103="Macro"),N($AH103)&gt;0),CHOOSE(MATCH($D103,ListaPuestos,0),INDEX('Cronograma R. Operacional'!$O$5:$O$1000,$AH103),INDEX('Cronograma R. Normativo'!$O$5:$O$1000,$AH103),INDEX('Cronograma R. Financiero'!$O$5:$O$1000,$AH103),INDEX('Cronograma Asistente Técnico'!$O$5:$O$1000,$AH103))&amp;"",IF(ISNUMBER($G103),IF(AND(ISNUMBER($AN103),$G103&gt;$AN103),"Cumplida con "&amp;($G103-$AN103)&amp;IF($G103-$AN103=1," día"," días")&amp;" de retraso","Cumplida"),IF(N($M103)&gt;=1,"Cumplida",IF(NOT(ISNUMBER($AN103)),"Sin fecha límite",IF($AN103&lt;FechaRef,"Vencida hace "&amp;(FechaRef-$AN103)&amp;IF(FechaRef-$AN103=1," día"," días"),IF($AN103=FechaRef,"Vence hoy",IF($AN103-FechaRef&lt;=DiasAlerta,"Vence en "&amp;($AN103-FechaRef)&amp;IF($AN103-FechaRef=1," día"," días"),"En plazo"))))))))</f>
        <v/>
      </c>
      <c r="P103" s="62">
        <f>IF(NOT((COUNTA($B103:$D103)+COUNTA($G103:$L103)+COUNTA($Q103))&gt;0),"",IF($D103="","Propia",IF($V103&lt;&gt;"Macro","Solo se delegan macroactividades",IF(N($AH103)&gt;0,"✔ Recibida por "&amp;$D103,"⚠ "&amp;$D103&amp;" aún no la agrega"))))</f>
        <v/>
      </c>
      <c r="Q103" s="58" t="n"/>
      <c r="R103" s="63">
        <f>IF(NOT((COUNTA($B103:$D103)+COUNTA($G103:$L103)+COUNTA($Q103))&gt;0),"",IF((IF($C103="","Falta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",""))="","✔ OK","⚠ "&amp;LEFT(IF($C103="","Falta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",""),LEN(IF($C103="","Falta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",""))-3)))</f>
        <v/>
      </c>
      <c r="S103" s="64">
        <f>IF(NOT((COUNTA($B103:$D103)+COUNTA($G103:$L103)+COUNTA($Q103))&gt;0),"",IF(AND($V103="Sub",N($U103)&gt;0),IF(ISNUMBER(INDEX($AM$5:$AM$1000,$U103-4)),DATE(YEAR(INDEX($AM$5:$AM$1000,$U103-4)),MONTH(INDEX($AM$5:$AM$1000,$U103-4)),1),IF(ISNUMBER(INDEX($AN$5:$AN$1000,$U103-4)),DATE(YEAR(INDEX($AN$5:$AN$1000,$U103-4)),MONTH(INDEX($AN$5:$AN$1000,$U103-4)),1),MesCiclo)),IF(ISNUMBER($AM103),DATE(YEAR($AM103),MONTH($AM103),1),IF(ISNUMBER($AN103),DATE(YEAR($AN103),MONTH($AN103),1),MesCiclo))))</f>
        <v/>
      </c>
      <c r="T103" s="62">
        <f>IF(OR($S103="",$S103&lt;&gt;MesCiclo),"",COUNTIF($S$5:$S103,MesCiclo))</f>
        <v/>
      </c>
      <c r="U103" s="62">
        <f>IF($V103="","",IF($V103="Macro",ROW(),IFERROR(LOOKUP(2,1/($V$5:$V103="Macro"),ROW($V$5:$V103)),0)))</f>
        <v/>
      </c>
      <c r="V103" s="62">
        <f>IF(NOT((COUNTA($B103:$D103)+COUNTA($G103:$L103)+COUNTA($Q103))&gt;0),"",IF($B103="Subactividad","Sub","Macro"))</f>
        <v/>
      </c>
      <c r="W103" s="62">
        <f>IF($V103="Macro",COUNTIFS($U$5:$U$1000,ROW(),$V$5:$V$1000,"Sub"),"")</f>
        <v/>
      </c>
      <c r="X103" s="62">
        <f>IF($V103="","",IF(ISNUMBER($G103),1,IFERROR(LOOKUP(2,1/($I103:$L103&lt;&gt;""),$I103:$L103),0)))</f>
        <v/>
      </c>
      <c r="Y103" s="62">
        <f>IF($V103="","",IF(AND(ISNUMBER($G103),$G103&lt;=IF($S103=MesCiclo,InicioCiclo,$S103+MOD(2-WEEKDAY($S103),7))+6),1,IF(ISNUMBER($I103),$I103,0)))</f>
        <v/>
      </c>
      <c r="Z103" s="62">
        <f>IF($V103="","",IF(AND(ISNUMBER($G103),$G103&lt;=IF($S103=MesCiclo,InicioCiclo,$S103+MOD(2-WEEKDAY($S103),7))+13),1,IF(ISNUMBER($J103),$J103,$Y103)))</f>
        <v/>
      </c>
      <c r="AA103" s="62">
        <f>IF($V103="","",IF(AND(ISNUMBER($G103),$G103&lt;=IF($S103=MesCiclo,InicioCiclo,$S103+MOD(2-WEEKDAY($S103),7))+20),1,IF(ISNUMBER($K103),$K103,$Z103)))</f>
        <v/>
      </c>
      <c r="AB103" s="62">
        <f>IF($V103="","",IF(AND(ISNUMBER($G103),$G103&lt;=IF($S103=MesCiclo,InicioCiclo,$S103+MOD(2-WEEKDAY($S103),7))+27),1,IF(ISNUMBER($L103),$L103,$AA103)))</f>
        <v/>
      </c>
      <c r="AC103" s="62">
        <f>IF($V103="","",IF(AND(ISNUMBER($G103),$G103&lt;=IF($S103=MesCiclo,InicioCiclo,$S103+MOD(2-WEEKDAY($S103),7))+6),1,IF(N($W103)&gt;0,AVERAGEIFS($Y$5:$Y$1000,$U$5:$U$1000,ROW(),$V$5:$V$1000,"Sub"),$Y103)))</f>
        <v/>
      </c>
      <c r="AD103" s="62">
        <f>IF($V103="","",IF(AND(ISNUMBER($G103),$G103&lt;=IF($S103=MesCiclo,InicioCiclo,$S103+MOD(2-WEEKDAY($S103),7))+13),1,IF(N($W103)&gt;0,AVERAGEIFS($Z$5:$Z$1000,$U$5:$U$1000,ROW(),$V$5:$V$1000,"Sub"),$Z103)))</f>
        <v/>
      </c>
      <c r="AE103" s="62">
        <f>IF($V103="","",IF(AND(ISNUMBER($G103),$G103&lt;=IF($S103=MesCiclo,InicioCiclo,$S103+MOD(2-WEEKDAY($S103),7))+20),1,IF(N($W103)&gt;0,AVERAGEIFS($AA$5:$AA$1000,$U$5:$U$1000,ROW(),$V$5:$V$1000,"Sub"),$AA103)))</f>
        <v/>
      </c>
      <c r="AF103" s="62">
        <f>IF($V103="","",IF(AND(ISNUMBER($G103),$G103&lt;=IF($S103=MesCiclo,InicioCiclo,$S103+MOD(2-WEEKDAY($S103),7))+27),1,IF(N($W103)&gt;0,AVERAGEIFS($AB$5:$AB$1000,$U$5:$U$1000,ROW(),$V$5:$V$1000,"Sub"),$AB103)))</f>
        <v/>
      </c>
      <c r="AG103" s="62">
        <f>IF($V103&lt;&gt;"Macro","",IF(COUNTIFS($S$5:$S$1000,$S103,$V$5:$V$1000,"Macro",$H$5:$H$1000,"&gt;0")=0,1/COUNTIFS($S$5:$S$1000,$S103,$V$5:$V$1000,"Macro"),IF(AND(ISNUMBER($H103),N($H103)&gt;0),$H103,SUMIFS($H$5:$H$1000,$S$5:$S$1000,$S103,$V$5:$V$1000,"Macro")/COUNTIFS($S$5:$S$1000,$S103,$V$5:$V$1000,"Macro",$H$5:$H$1000,"&gt;0"))/(COUNTIFS($S$5:$S$1000,$S103,$V$5:$V$1000,"Macro")*SUMIFS($H$5:$H$1000,$S$5:$S$1000,$S103,$V$5:$V$1000,"Macro")/COUNTIFS($S$5:$S$1000,$S103,$V$5:$V$1000,"Macro",$H$5:$H$1000,"&gt;0"))))</f>
        <v/>
      </c>
      <c r="AH103" s="62">
        <f>IF(NOT(AND($D103&lt;&gt;"",$V103="Macro")),"",IFERROR(CHOOSE(MATCH($D103,ListaPuestos,0),MATCH("[Jefatura] "&amp;$C103,'Cronograma R. Operacional'!$C$5:$C$1000,0),MATCH("[Jefatura] "&amp;$C103,'Cronograma R. Normativo'!$C$5:$C$1000,0),MATCH("[Jefatura] "&amp;$C103,'Cronograma R. Financiero'!$C$5:$C$1000,0),MATCH("[Jefatura] "&amp;$C103,'Cronograma Asistente Técnico'!$C$5:$C$1000,0)),0))</f>
        <v/>
      </c>
      <c r="AI103" s="62">
        <f>IF(AND(AND($D103&lt;&gt;"",$V103="Macro"),$S103=MesCiclo),COUNTIFS($D$5:$D103,$D103,$S$5:$S103,MesCiclo,$V$5:$V103,"Macro"),"")</f>
        <v/>
      </c>
      <c r="AJ103" s="62">
        <f>IF($AI103="","",$D103&amp;"|"&amp;$AI103)</f>
        <v/>
      </c>
      <c r="AK103" s="62">
        <f>IF(AND($D103&lt;&gt;"",$V103="Macro"),$D103&amp;"|"&amp;$C103,"")</f>
        <v/>
      </c>
      <c r="AL103" s="62">
        <f>""</f>
        <v/>
      </c>
      <c r="AM103" s="62">
        <f>IF(N($AL103)&gt;0,INDEX(rIni_ADM,$AL103),IF(ISNUMBER($E103),$E103,""))</f>
        <v/>
      </c>
      <c r="AN103" s="62">
        <f>IF(N($AL103)&gt;0,INDEX(rLim_ADM,$AL103),IF(ISNUMBER($F103),$F103,""))</f>
        <v/>
      </c>
    </row>
    <row r="104">
      <c r="A104" s="56">
        <f>IF(NOT((COUNTA($B104:$D104)+COUNTA($G104:$L104)+COUNTA($Q104))&gt;0),"",IF($V104="Macro",COUNTIFS($V$5:$V104,"Macro",$S$5:$S104,$S104),IF(N($U104)=0,"?",COUNTIFS(INDEX($V$5:$V$1000,1):INDEX($V$5:$V$1000,$U104-4),"Macro",INDEX($S$5:$S$1000,1):INDEX($S$5:$S$1000,$U104-4),INDEX($S$5:$S$1000,$U104-4))&amp;"."&amp;COUNTIFS($U$5:$U104,$U104,$V$5:$V104,"Sub"))))</f>
        <v/>
      </c>
      <c r="B104" s="57" t="n"/>
      <c r="C104" s="58" t="n"/>
      <c r="D104" s="58" t="n"/>
      <c r="E104" s="59" t="n"/>
      <c r="F104" s="59" t="n"/>
      <c r="G104" s="59" t="n"/>
      <c r="H104" s="60" t="n"/>
      <c r="I104" s="60" t="n"/>
      <c r="J104" s="60" t="n"/>
      <c r="K104" s="60" t="n"/>
      <c r="L104" s="60" t="n"/>
      <c r="M104" s="61">
        <f>IF(NOT((COUNTA($B104:$D104)+COUNTA($G104:$L104)+COUNTA($Q104))&gt;0),"",IF(AND($D104&lt;&gt;"",$V104="Macro"),IF(N($AH104)&gt;0,N(CHOOSE(MATCH($D104,ListaPuestos,0),INDEX('Cronograma R. Operacional'!$M$5:$M$1000,$AH104),INDEX('Cronograma R. Normativo'!$M$5:$M$1000,$AH104),INDEX('Cronograma R. Financiero'!$M$5:$M$1000,$AH104),INDEX('Cronograma Asistente Técnico'!$M$5:$M$1000,$AH104))),0),IF(ISNUMBER($G104),1,IF(N($W104)&gt;0,AVERAGEIFS($X$5:$X$1000,$U$5:$U$1000,ROW(),$V$5:$V$1000,"Sub"),$X104))))</f>
        <v/>
      </c>
      <c r="N104" s="56">
        <f>IF($M104="","",IF($M104&gt;=1,"Completado",IF($M104&gt;0,"En curso","Pendiente")))</f>
        <v/>
      </c>
      <c r="O104" s="56">
        <f>IF(NOT((COUNTA($B104:$D104)+COUNTA($G104:$L104)+COUNTA($Q104))&gt;0),"",IF(AND(AND($D104&lt;&gt;"",$V104="Macro"),N($AH104)&gt;0),CHOOSE(MATCH($D104,ListaPuestos,0),INDEX('Cronograma R. Operacional'!$O$5:$O$1000,$AH104),INDEX('Cronograma R. Normativo'!$O$5:$O$1000,$AH104),INDEX('Cronograma R. Financiero'!$O$5:$O$1000,$AH104),INDEX('Cronograma Asistente Técnico'!$O$5:$O$1000,$AH104))&amp;"",IF(ISNUMBER($G104),IF(AND(ISNUMBER($AN104),$G104&gt;$AN104),"Cumplida con "&amp;($G104-$AN104)&amp;IF($G104-$AN104=1," día"," días")&amp;" de retraso","Cumplida"),IF(N($M104)&gt;=1,"Cumplida",IF(NOT(ISNUMBER($AN104)),"Sin fecha límite",IF($AN104&lt;FechaRef,"Vencida hace "&amp;(FechaRef-$AN104)&amp;IF(FechaRef-$AN104=1," día"," días"),IF($AN104=FechaRef,"Vence hoy",IF($AN104-FechaRef&lt;=DiasAlerta,"Vence en "&amp;($AN104-FechaRef)&amp;IF($AN104-FechaRef=1," día"," días"),"En plazo"))))))))</f>
        <v/>
      </c>
      <c r="P104" s="62">
        <f>IF(NOT((COUNTA($B104:$D104)+COUNTA($G104:$L104)+COUNTA($Q104))&gt;0),"",IF($D104="","Propia",IF($V104&lt;&gt;"Macro","Solo se delegan macroactividades",IF(N($AH104)&gt;0,"✔ Recibida por "&amp;$D104,"⚠ "&amp;$D104&amp;" aún no la agrega"))))</f>
        <v/>
      </c>
      <c r="Q104" s="58" t="n"/>
      <c r="R104" s="63">
        <f>IF(NOT((COUNTA($B104:$D104)+COUNTA($G104:$L104)+COUNTA($Q104))&gt;0),"",IF((IF($C104="","Falta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",""))="","✔ OK","⚠ "&amp;LEFT(IF($C104="","Falta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",""),LEN(IF($C104="","Falta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",""))-3)))</f>
        <v/>
      </c>
      <c r="S104" s="64">
        <f>IF(NOT((COUNTA($B104:$D104)+COUNTA($G104:$L104)+COUNTA($Q104))&gt;0),"",IF(AND($V104="Sub",N($U104)&gt;0),IF(ISNUMBER(INDEX($AM$5:$AM$1000,$U104-4)),DATE(YEAR(INDEX($AM$5:$AM$1000,$U104-4)),MONTH(INDEX($AM$5:$AM$1000,$U104-4)),1),IF(ISNUMBER(INDEX($AN$5:$AN$1000,$U104-4)),DATE(YEAR(INDEX($AN$5:$AN$1000,$U104-4)),MONTH(INDEX($AN$5:$AN$1000,$U104-4)),1),MesCiclo)),IF(ISNUMBER($AM104),DATE(YEAR($AM104),MONTH($AM104),1),IF(ISNUMBER($AN104),DATE(YEAR($AN104),MONTH($AN104),1),MesCiclo))))</f>
        <v/>
      </c>
      <c r="T104" s="62">
        <f>IF(OR($S104="",$S104&lt;&gt;MesCiclo),"",COUNTIF($S$5:$S104,MesCiclo))</f>
        <v/>
      </c>
      <c r="U104" s="62">
        <f>IF($V104="","",IF($V104="Macro",ROW(),IFERROR(LOOKUP(2,1/($V$5:$V104="Macro"),ROW($V$5:$V104)),0)))</f>
        <v/>
      </c>
      <c r="V104" s="62">
        <f>IF(NOT((COUNTA($B104:$D104)+COUNTA($G104:$L104)+COUNTA($Q104))&gt;0),"",IF($B104="Subactividad","Sub","Macro"))</f>
        <v/>
      </c>
      <c r="W104" s="62">
        <f>IF($V104="Macro",COUNTIFS($U$5:$U$1000,ROW(),$V$5:$V$1000,"Sub"),"")</f>
        <v/>
      </c>
      <c r="X104" s="62">
        <f>IF($V104="","",IF(ISNUMBER($G104),1,IFERROR(LOOKUP(2,1/($I104:$L104&lt;&gt;""),$I104:$L104),0)))</f>
        <v/>
      </c>
      <c r="Y104" s="62">
        <f>IF($V104="","",IF(AND(ISNUMBER($G104),$G104&lt;=IF($S104=MesCiclo,InicioCiclo,$S104+MOD(2-WEEKDAY($S104),7))+6),1,IF(ISNUMBER($I104),$I104,0)))</f>
        <v/>
      </c>
      <c r="Z104" s="62">
        <f>IF($V104="","",IF(AND(ISNUMBER($G104),$G104&lt;=IF($S104=MesCiclo,InicioCiclo,$S104+MOD(2-WEEKDAY($S104),7))+13),1,IF(ISNUMBER($J104),$J104,$Y104)))</f>
        <v/>
      </c>
      <c r="AA104" s="62">
        <f>IF($V104="","",IF(AND(ISNUMBER($G104),$G104&lt;=IF($S104=MesCiclo,InicioCiclo,$S104+MOD(2-WEEKDAY($S104),7))+20),1,IF(ISNUMBER($K104),$K104,$Z104)))</f>
        <v/>
      </c>
      <c r="AB104" s="62">
        <f>IF($V104="","",IF(AND(ISNUMBER($G104),$G104&lt;=IF($S104=MesCiclo,InicioCiclo,$S104+MOD(2-WEEKDAY($S104),7))+27),1,IF(ISNUMBER($L104),$L104,$AA104)))</f>
        <v/>
      </c>
      <c r="AC104" s="62">
        <f>IF($V104="","",IF(AND(ISNUMBER($G104),$G104&lt;=IF($S104=MesCiclo,InicioCiclo,$S104+MOD(2-WEEKDAY($S104),7))+6),1,IF(N($W104)&gt;0,AVERAGEIFS($Y$5:$Y$1000,$U$5:$U$1000,ROW(),$V$5:$V$1000,"Sub"),$Y104)))</f>
        <v/>
      </c>
      <c r="AD104" s="62">
        <f>IF($V104="","",IF(AND(ISNUMBER($G104),$G104&lt;=IF($S104=MesCiclo,InicioCiclo,$S104+MOD(2-WEEKDAY($S104),7))+13),1,IF(N($W104)&gt;0,AVERAGEIFS($Z$5:$Z$1000,$U$5:$U$1000,ROW(),$V$5:$V$1000,"Sub"),$Z104)))</f>
        <v/>
      </c>
      <c r="AE104" s="62">
        <f>IF($V104="","",IF(AND(ISNUMBER($G104),$G104&lt;=IF($S104=MesCiclo,InicioCiclo,$S104+MOD(2-WEEKDAY($S104),7))+20),1,IF(N($W104)&gt;0,AVERAGEIFS($AA$5:$AA$1000,$U$5:$U$1000,ROW(),$V$5:$V$1000,"Sub"),$AA104)))</f>
        <v/>
      </c>
      <c r="AF104" s="62">
        <f>IF($V104="","",IF(AND(ISNUMBER($G104),$G104&lt;=IF($S104=MesCiclo,InicioCiclo,$S104+MOD(2-WEEKDAY($S104),7))+27),1,IF(N($W104)&gt;0,AVERAGEIFS($AB$5:$AB$1000,$U$5:$U$1000,ROW(),$V$5:$V$1000,"Sub"),$AB104)))</f>
        <v/>
      </c>
      <c r="AG104" s="62">
        <f>IF($V104&lt;&gt;"Macro","",IF(COUNTIFS($S$5:$S$1000,$S104,$V$5:$V$1000,"Macro",$H$5:$H$1000,"&gt;0")=0,1/COUNTIFS($S$5:$S$1000,$S104,$V$5:$V$1000,"Macro"),IF(AND(ISNUMBER($H104),N($H104)&gt;0),$H104,SUMIFS($H$5:$H$1000,$S$5:$S$1000,$S104,$V$5:$V$1000,"Macro")/COUNTIFS($S$5:$S$1000,$S104,$V$5:$V$1000,"Macro",$H$5:$H$1000,"&gt;0"))/(COUNTIFS($S$5:$S$1000,$S104,$V$5:$V$1000,"Macro")*SUMIFS($H$5:$H$1000,$S$5:$S$1000,$S104,$V$5:$V$1000,"Macro")/COUNTIFS($S$5:$S$1000,$S104,$V$5:$V$1000,"Macro",$H$5:$H$1000,"&gt;0"))))</f>
        <v/>
      </c>
      <c r="AH104" s="62">
        <f>IF(NOT(AND($D104&lt;&gt;"",$V104="Macro")),"",IFERROR(CHOOSE(MATCH($D104,ListaPuestos,0),MATCH("[Jefatura] "&amp;$C104,'Cronograma R. Operacional'!$C$5:$C$1000,0),MATCH("[Jefatura] "&amp;$C104,'Cronograma R. Normativo'!$C$5:$C$1000,0),MATCH("[Jefatura] "&amp;$C104,'Cronograma R. Financiero'!$C$5:$C$1000,0),MATCH("[Jefatura] "&amp;$C104,'Cronograma Asistente Técnico'!$C$5:$C$1000,0)),0))</f>
        <v/>
      </c>
      <c r="AI104" s="62">
        <f>IF(AND(AND($D104&lt;&gt;"",$V104="Macro"),$S104=MesCiclo),COUNTIFS($D$5:$D104,$D104,$S$5:$S104,MesCiclo,$V$5:$V104,"Macro"),"")</f>
        <v/>
      </c>
      <c r="AJ104" s="62">
        <f>IF($AI104="","",$D104&amp;"|"&amp;$AI104)</f>
        <v/>
      </c>
      <c r="AK104" s="62">
        <f>IF(AND($D104&lt;&gt;"",$V104="Macro"),$D104&amp;"|"&amp;$C104,"")</f>
        <v/>
      </c>
      <c r="AL104" s="62">
        <f>""</f>
        <v/>
      </c>
      <c r="AM104" s="62">
        <f>IF(N($AL104)&gt;0,INDEX(rIni_ADM,$AL104),IF(ISNUMBER($E104),$E104,""))</f>
        <v/>
      </c>
      <c r="AN104" s="62">
        <f>IF(N($AL104)&gt;0,INDEX(rLim_ADM,$AL104),IF(ISNUMBER($F104),$F104,""))</f>
        <v/>
      </c>
    </row>
    <row r="105">
      <c r="A105" s="56">
        <f>IF(NOT((COUNTA($B105:$D105)+COUNTA($G105:$L105)+COUNTA($Q105))&gt;0),"",IF($V105="Macro",COUNTIFS($V$5:$V105,"Macro",$S$5:$S105,$S105),IF(N($U105)=0,"?",COUNTIFS(INDEX($V$5:$V$1000,1):INDEX($V$5:$V$1000,$U105-4),"Macro",INDEX($S$5:$S$1000,1):INDEX($S$5:$S$1000,$U105-4),INDEX($S$5:$S$1000,$U105-4))&amp;"."&amp;COUNTIFS($U$5:$U105,$U105,$V$5:$V105,"Sub"))))</f>
        <v/>
      </c>
      <c r="B105" s="57" t="n"/>
      <c r="C105" s="58" t="n"/>
      <c r="D105" s="58" t="n"/>
      <c r="E105" s="59" t="n"/>
      <c r="F105" s="59" t="n"/>
      <c r="G105" s="59" t="n"/>
      <c r="H105" s="60" t="n"/>
      <c r="I105" s="60" t="n"/>
      <c r="J105" s="60" t="n"/>
      <c r="K105" s="60" t="n"/>
      <c r="L105" s="60" t="n"/>
      <c r="M105" s="61">
        <f>IF(NOT((COUNTA($B105:$D105)+COUNTA($G105:$L105)+COUNTA($Q105))&gt;0),"",IF(AND($D105&lt;&gt;"",$V105="Macro"),IF(N($AH105)&gt;0,N(CHOOSE(MATCH($D105,ListaPuestos,0),INDEX('Cronograma R. Operacional'!$M$5:$M$1000,$AH105),INDEX('Cronograma R. Normativo'!$M$5:$M$1000,$AH105),INDEX('Cronograma R. Financiero'!$M$5:$M$1000,$AH105),INDEX('Cronograma Asistente Técnico'!$M$5:$M$1000,$AH105))),0),IF(ISNUMBER($G105),1,IF(N($W105)&gt;0,AVERAGEIFS($X$5:$X$1000,$U$5:$U$1000,ROW(),$V$5:$V$1000,"Sub"),$X105))))</f>
        <v/>
      </c>
      <c r="N105" s="56">
        <f>IF($M105="","",IF($M105&gt;=1,"Completado",IF($M105&gt;0,"En curso","Pendiente")))</f>
        <v/>
      </c>
      <c r="O105" s="56">
        <f>IF(NOT((COUNTA($B105:$D105)+COUNTA($G105:$L105)+COUNTA($Q105))&gt;0),"",IF(AND(AND($D105&lt;&gt;"",$V105="Macro"),N($AH105)&gt;0),CHOOSE(MATCH($D105,ListaPuestos,0),INDEX('Cronograma R. Operacional'!$O$5:$O$1000,$AH105),INDEX('Cronograma R. Normativo'!$O$5:$O$1000,$AH105),INDEX('Cronograma R. Financiero'!$O$5:$O$1000,$AH105),INDEX('Cronograma Asistente Técnico'!$O$5:$O$1000,$AH105))&amp;"",IF(ISNUMBER($G105),IF(AND(ISNUMBER($AN105),$G105&gt;$AN105),"Cumplida con "&amp;($G105-$AN105)&amp;IF($G105-$AN105=1," día"," días")&amp;" de retraso","Cumplida"),IF(N($M105)&gt;=1,"Cumplida",IF(NOT(ISNUMBER($AN105)),"Sin fecha límite",IF($AN105&lt;FechaRef,"Vencida hace "&amp;(FechaRef-$AN105)&amp;IF(FechaRef-$AN105=1," día"," días"),IF($AN105=FechaRef,"Vence hoy",IF($AN105-FechaRef&lt;=DiasAlerta,"Vence en "&amp;($AN105-FechaRef)&amp;IF($AN105-FechaRef=1," día"," días"),"En plazo"))))))))</f>
        <v/>
      </c>
      <c r="P105" s="62">
        <f>IF(NOT((COUNTA($B105:$D105)+COUNTA($G105:$L105)+COUNTA($Q105))&gt;0),"",IF($D105="","Propia",IF($V105&lt;&gt;"Macro","Solo se delegan macroactividades",IF(N($AH105)&gt;0,"✔ Recibida por "&amp;$D105,"⚠ "&amp;$D105&amp;" aún no la agrega"))))</f>
        <v/>
      </c>
      <c r="Q105" s="58" t="n"/>
      <c r="R105" s="63">
        <f>IF(NOT((COUNTA($B105:$D105)+COUNTA($G105:$L105)+COUNTA($Q105))&gt;0),"",IF((IF($C105="","Falta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",""))="","✔ OK","⚠ "&amp;LEFT(IF($C105="","Falta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",""),LEN(IF($C105="","Falta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",""))-3)))</f>
        <v/>
      </c>
      <c r="S105" s="64">
        <f>IF(NOT((COUNTA($B105:$D105)+COUNTA($G105:$L105)+COUNTA($Q105))&gt;0),"",IF(AND($V105="Sub",N($U105)&gt;0),IF(ISNUMBER(INDEX($AM$5:$AM$1000,$U105-4)),DATE(YEAR(INDEX($AM$5:$AM$1000,$U105-4)),MONTH(INDEX($AM$5:$AM$1000,$U105-4)),1),IF(ISNUMBER(INDEX($AN$5:$AN$1000,$U105-4)),DATE(YEAR(INDEX($AN$5:$AN$1000,$U105-4)),MONTH(INDEX($AN$5:$AN$1000,$U105-4)),1),MesCiclo)),IF(ISNUMBER($AM105),DATE(YEAR($AM105),MONTH($AM105),1),IF(ISNUMBER($AN105),DATE(YEAR($AN105),MONTH($AN105),1),MesCiclo))))</f>
        <v/>
      </c>
      <c r="T105" s="62">
        <f>IF(OR($S105="",$S105&lt;&gt;MesCiclo),"",COUNTIF($S$5:$S105,MesCiclo))</f>
        <v/>
      </c>
      <c r="U105" s="62">
        <f>IF($V105="","",IF($V105="Macro",ROW(),IFERROR(LOOKUP(2,1/($V$5:$V105="Macro"),ROW($V$5:$V105)),0)))</f>
        <v/>
      </c>
      <c r="V105" s="62">
        <f>IF(NOT((COUNTA($B105:$D105)+COUNTA($G105:$L105)+COUNTA($Q105))&gt;0),"",IF($B105="Subactividad","Sub","Macro"))</f>
        <v/>
      </c>
      <c r="W105" s="62">
        <f>IF($V105="Macro",COUNTIFS($U$5:$U$1000,ROW(),$V$5:$V$1000,"Sub"),"")</f>
        <v/>
      </c>
      <c r="X105" s="62">
        <f>IF($V105="","",IF(ISNUMBER($G105),1,IFERROR(LOOKUP(2,1/($I105:$L105&lt;&gt;""),$I105:$L105),0)))</f>
        <v/>
      </c>
      <c r="Y105" s="62">
        <f>IF($V105="","",IF(AND(ISNUMBER($G105),$G105&lt;=IF($S105=MesCiclo,InicioCiclo,$S105+MOD(2-WEEKDAY($S105),7))+6),1,IF(ISNUMBER($I105),$I105,0)))</f>
        <v/>
      </c>
      <c r="Z105" s="62">
        <f>IF($V105="","",IF(AND(ISNUMBER($G105),$G105&lt;=IF($S105=MesCiclo,InicioCiclo,$S105+MOD(2-WEEKDAY($S105),7))+13),1,IF(ISNUMBER($J105),$J105,$Y105)))</f>
        <v/>
      </c>
      <c r="AA105" s="62">
        <f>IF($V105="","",IF(AND(ISNUMBER($G105),$G105&lt;=IF($S105=MesCiclo,InicioCiclo,$S105+MOD(2-WEEKDAY($S105),7))+20),1,IF(ISNUMBER($K105),$K105,$Z105)))</f>
        <v/>
      </c>
      <c r="AB105" s="62">
        <f>IF($V105="","",IF(AND(ISNUMBER($G105),$G105&lt;=IF($S105=MesCiclo,InicioCiclo,$S105+MOD(2-WEEKDAY($S105),7))+27),1,IF(ISNUMBER($L105),$L105,$AA105)))</f>
        <v/>
      </c>
      <c r="AC105" s="62">
        <f>IF($V105="","",IF(AND(ISNUMBER($G105),$G105&lt;=IF($S105=MesCiclo,InicioCiclo,$S105+MOD(2-WEEKDAY($S105),7))+6),1,IF(N($W105)&gt;0,AVERAGEIFS($Y$5:$Y$1000,$U$5:$U$1000,ROW(),$V$5:$V$1000,"Sub"),$Y105)))</f>
        <v/>
      </c>
      <c r="AD105" s="62">
        <f>IF($V105="","",IF(AND(ISNUMBER($G105),$G105&lt;=IF($S105=MesCiclo,InicioCiclo,$S105+MOD(2-WEEKDAY($S105),7))+13),1,IF(N($W105)&gt;0,AVERAGEIFS($Z$5:$Z$1000,$U$5:$U$1000,ROW(),$V$5:$V$1000,"Sub"),$Z105)))</f>
        <v/>
      </c>
      <c r="AE105" s="62">
        <f>IF($V105="","",IF(AND(ISNUMBER($G105),$G105&lt;=IF($S105=MesCiclo,InicioCiclo,$S105+MOD(2-WEEKDAY($S105),7))+20),1,IF(N($W105)&gt;0,AVERAGEIFS($AA$5:$AA$1000,$U$5:$U$1000,ROW(),$V$5:$V$1000,"Sub"),$AA105)))</f>
        <v/>
      </c>
      <c r="AF105" s="62">
        <f>IF($V105="","",IF(AND(ISNUMBER($G105),$G105&lt;=IF($S105=MesCiclo,InicioCiclo,$S105+MOD(2-WEEKDAY($S105),7))+27),1,IF(N($W105)&gt;0,AVERAGEIFS($AB$5:$AB$1000,$U$5:$U$1000,ROW(),$V$5:$V$1000,"Sub"),$AB105)))</f>
        <v/>
      </c>
      <c r="AG105" s="62">
        <f>IF($V105&lt;&gt;"Macro","",IF(COUNTIFS($S$5:$S$1000,$S105,$V$5:$V$1000,"Macro",$H$5:$H$1000,"&gt;0")=0,1/COUNTIFS($S$5:$S$1000,$S105,$V$5:$V$1000,"Macro"),IF(AND(ISNUMBER($H105),N($H105)&gt;0),$H105,SUMIFS($H$5:$H$1000,$S$5:$S$1000,$S105,$V$5:$V$1000,"Macro")/COUNTIFS($S$5:$S$1000,$S105,$V$5:$V$1000,"Macro",$H$5:$H$1000,"&gt;0"))/(COUNTIFS($S$5:$S$1000,$S105,$V$5:$V$1000,"Macro")*SUMIFS($H$5:$H$1000,$S$5:$S$1000,$S105,$V$5:$V$1000,"Macro")/COUNTIFS($S$5:$S$1000,$S105,$V$5:$V$1000,"Macro",$H$5:$H$1000,"&gt;0"))))</f>
        <v/>
      </c>
      <c r="AH105" s="62">
        <f>IF(NOT(AND($D105&lt;&gt;"",$V105="Macro")),"",IFERROR(CHOOSE(MATCH($D105,ListaPuestos,0),MATCH("[Jefatura] "&amp;$C105,'Cronograma R. Operacional'!$C$5:$C$1000,0),MATCH("[Jefatura] "&amp;$C105,'Cronograma R. Normativo'!$C$5:$C$1000,0),MATCH("[Jefatura] "&amp;$C105,'Cronograma R. Financiero'!$C$5:$C$1000,0),MATCH("[Jefatura] "&amp;$C105,'Cronograma Asistente Técnico'!$C$5:$C$1000,0)),0))</f>
        <v/>
      </c>
      <c r="AI105" s="62">
        <f>IF(AND(AND($D105&lt;&gt;"",$V105="Macro"),$S105=MesCiclo),COUNTIFS($D$5:$D105,$D105,$S$5:$S105,MesCiclo,$V$5:$V105,"Macro"),"")</f>
        <v/>
      </c>
      <c r="AJ105" s="62">
        <f>IF($AI105="","",$D105&amp;"|"&amp;$AI105)</f>
        <v/>
      </c>
      <c r="AK105" s="62">
        <f>IF(AND($D105&lt;&gt;"",$V105="Macro"),$D105&amp;"|"&amp;$C105,"")</f>
        <v/>
      </c>
      <c r="AL105" s="62">
        <f>""</f>
        <v/>
      </c>
      <c r="AM105" s="62">
        <f>IF(N($AL105)&gt;0,INDEX(rIni_ADM,$AL105),IF(ISNUMBER($E105),$E105,""))</f>
        <v/>
      </c>
      <c r="AN105" s="62">
        <f>IF(N($AL105)&gt;0,INDEX(rLim_ADM,$AL105),IF(ISNUMBER($F105),$F105,""))</f>
        <v/>
      </c>
    </row>
    <row r="106">
      <c r="A106" s="56">
        <f>IF(NOT((COUNTA($B106:$D106)+COUNTA($G106:$L106)+COUNTA($Q106))&gt;0),"",IF($V106="Macro",COUNTIFS($V$5:$V106,"Macro",$S$5:$S106,$S106),IF(N($U106)=0,"?",COUNTIFS(INDEX($V$5:$V$1000,1):INDEX($V$5:$V$1000,$U106-4),"Macro",INDEX($S$5:$S$1000,1):INDEX($S$5:$S$1000,$U106-4),INDEX($S$5:$S$1000,$U106-4))&amp;"."&amp;COUNTIFS($U$5:$U106,$U106,$V$5:$V106,"Sub"))))</f>
        <v/>
      </c>
      <c r="B106" s="57" t="n"/>
      <c r="C106" s="58" t="n"/>
      <c r="D106" s="58" t="n"/>
      <c r="E106" s="59" t="n"/>
      <c r="F106" s="59" t="n"/>
      <c r="G106" s="59" t="n"/>
      <c r="H106" s="60" t="n"/>
      <c r="I106" s="60" t="n"/>
      <c r="J106" s="60" t="n"/>
      <c r="K106" s="60" t="n"/>
      <c r="L106" s="60" t="n"/>
      <c r="M106" s="61">
        <f>IF(NOT((COUNTA($B106:$D106)+COUNTA($G106:$L106)+COUNTA($Q106))&gt;0),"",IF(AND($D106&lt;&gt;"",$V106="Macro"),IF(N($AH106)&gt;0,N(CHOOSE(MATCH($D106,ListaPuestos,0),INDEX('Cronograma R. Operacional'!$M$5:$M$1000,$AH106),INDEX('Cronograma R. Normativo'!$M$5:$M$1000,$AH106),INDEX('Cronograma R. Financiero'!$M$5:$M$1000,$AH106),INDEX('Cronograma Asistente Técnico'!$M$5:$M$1000,$AH106))),0),IF(ISNUMBER($G106),1,IF(N($W106)&gt;0,AVERAGEIFS($X$5:$X$1000,$U$5:$U$1000,ROW(),$V$5:$V$1000,"Sub"),$X106))))</f>
        <v/>
      </c>
      <c r="N106" s="56">
        <f>IF($M106="","",IF($M106&gt;=1,"Completado",IF($M106&gt;0,"En curso","Pendiente")))</f>
        <v/>
      </c>
      <c r="O106" s="56">
        <f>IF(NOT((COUNTA($B106:$D106)+COUNTA($G106:$L106)+COUNTA($Q106))&gt;0),"",IF(AND(AND($D106&lt;&gt;"",$V106="Macro"),N($AH106)&gt;0),CHOOSE(MATCH($D106,ListaPuestos,0),INDEX('Cronograma R. Operacional'!$O$5:$O$1000,$AH106),INDEX('Cronograma R. Normativo'!$O$5:$O$1000,$AH106),INDEX('Cronograma R. Financiero'!$O$5:$O$1000,$AH106),INDEX('Cronograma Asistente Técnico'!$O$5:$O$1000,$AH106))&amp;"",IF(ISNUMBER($G106),IF(AND(ISNUMBER($AN106),$G106&gt;$AN106),"Cumplida con "&amp;($G106-$AN106)&amp;IF($G106-$AN106=1," día"," días")&amp;" de retraso","Cumplida"),IF(N($M106)&gt;=1,"Cumplida",IF(NOT(ISNUMBER($AN106)),"Sin fecha límite",IF($AN106&lt;FechaRef,"Vencida hace "&amp;(FechaRef-$AN106)&amp;IF(FechaRef-$AN106=1," día"," días"),IF($AN106=FechaRef,"Vence hoy",IF($AN106-FechaRef&lt;=DiasAlerta,"Vence en "&amp;($AN106-FechaRef)&amp;IF($AN106-FechaRef=1," día"," días"),"En plazo"))))))))</f>
        <v/>
      </c>
      <c r="P106" s="62">
        <f>IF(NOT((COUNTA($B106:$D106)+COUNTA($G106:$L106)+COUNTA($Q106))&gt;0),"",IF($D106="","Propia",IF($V106&lt;&gt;"Macro","Solo se delegan macroactividades",IF(N($AH106)&gt;0,"✔ Recibida por "&amp;$D106,"⚠ "&amp;$D106&amp;" aún no la agrega"))))</f>
        <v/>
      </c>
      <c r="Q106" s="58" t="n"/>
      <c r="R106" s="63">
        <f>IF(NOT((COUNTA($B106:$D106)+COUNTA($G106:$L106)+COUNTA($Q106))&gt;0),"",IF((IF($C106="","Falta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",""))="","✔ OK","⚠ "&amp;LEFT(IF($C106="","Falta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",""),LEN(IF($C106="","Falta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",""))-3)))</f>
        <v/>
      </c>
      <c r="S106" s="64">
        <f>IF(NOT((COUNTA($B106:$D106)+COUNTA($G106:$L106)+COUNTA($Q106))&gt;0),"",IF(AND($V106="Sub",N($U106)&gt;0),IF(ISNUMBER(INDEX($AM$5:$AM$1000,$U106-4)),DATE(YEAR(INDEX($AM$5:$AM$1000,$U106-4)),MONTH(INDEX($AM$5:$AM$1000,$U106-4)),1),IF(ISNUMBER(INDEX($AN$5:$AN$1000,$U106-4)),DATE(YEAR(INDEX($AN$5:$AN$1000,$U106-4)),MONTH(INDEX($AN$5:$AN$1000,$U106-4)),1),MesCiclo)),IF(ISNUMBER($AM106),DATE(YEAR($AM106),MONTH($AM106),1),IF(ISNUMBER($AN106),DATE(YEAR($AN106),MONTH($AN106),1),MesCiclo))))</f>
        <v/>
      </c>
      <c r="T106" s="62">
        <f>IF(OR($S106="",$S106&lt;&gt;MesCiclo),"",COUNTIF($S$5:$S106,MesCiclo))</f>
        <v/>
      </c>
      <c r="U106" s="62">
        <f>IF($V106="","",IF($V106="Macro",ROW(),IFERROR(LOOKUP(2,1/($V$5:$V106="Macro"),ROW($V$5:$V106)),0)))</f>
        <v/>
      </c>
      <c r="V106" s="62">
        <f>IF(NOT((COUNTA($B106:$D106)+COUNTA($G106:$L106)+COUNTA($Q106))&gt;0),"",IF($B106="Subactividad","Sub","Macro"))</f>
        <v/>
      </c>
      <c r="W106" s="62">
        <f>IF($V106="Macro",COUNTIFS($U$5:$U$1000,ROW(),$V$5:$V$1000,"Sub"),"")</f>
        <v/>
      </c>
      <c r="X106" s="62">
        <f>IF($V106="","",IF(ISNUMBER($G106),1,IFERROR(LOOKUP(2,1/($I106:$L106&lt;&gt;""),$I106:$L106),0)))</f>
        <v/>
      </c>
      <c r="Y106" s="62">
        <f>IF($V106="","",IF(AND(ISNUMBER($G106),$G106&lt;=IF($S106=MesCiclo,InicioCiclo,$S106+MOD(2-WEEKDAY($S106),7))+6),1,IF(ISNUMBER($I106),$I106,0)))</f>
        <v/>
      </c>
      <c r="Z106" s="62">
        <f>IF($V106="","",IF(AND(ISNUMBER($G106),$G106&lt;=IF($S106=MesCiclo,InicioCiclo,$S106+MOD(2-WEEKDAY($S106),7))+13),1,IF(ISNUMBER($J106),$J106,$Y106)))</f>
        <v/>
      </c>
      <c r="AA106" s="62">
        <f>IF($V106="","",IF(AND(ISNUMBER($G106),$G106&lt;=IF($S106=MesCiclo,InicioCiclo,$S106+MOD(2-WEEKDAY($S106),7))+20),1,IF(ISNUMBER($K106),$K106,$Z106)))</f>
        <v/>
      </c>
      <c r="AB106" s="62">
        <f>IF($V106="","",IF(AND(ISNUMBER($G106),$G106&lt;=IF($S106=MesCiclo,InicioCiclo,$S106+MOD(2-WEEKDAY($S106),7))+27),1,IF(ISNUMBER($L106),$L106,$AA106)))</f>
        <v/>
      </c>
      <c r="AC106" s="62">
        <f>IF($V106="","",IF(AND(ISNUMBER($G106),$G106&lt;=IF($S106=MesCiclo,InicioCiclo,$S106+MOD(2-WEEKDAY($S106),7))+6),1,IF(N($W106)&gt;0,AVERAGEIFS($Y$5:$Y$1000,$U$5:$U$1000,ROW(),$V$5:$V$1000,"Sub"),$Y106)))</f>
        <v/>
      </c>
      <c r="AD106" s="62">
        <f>IF($V106="","",IF(AND(ISNUMBER($G106),$G106&lt;=IF($S106=MesCiclo,InicioCiclo,$S106+MOD(2-WEEKDAY($S106),7))+13),1,IF(N($W106)&gt;0,AVERAGEIFS($Z$5:$Z$1000,$U$5:$U$1000,ROW(),$V$5:$V$1000,"Sub"),$Z106)))</f>
        <v/>
      </c>
      <c r="AE106" s="62">
        <f>IF($V106="","",IF(AND(ISNUMBER($G106),$G106&lt;=IF($S106=MesCiclo,InicioCiclo,$S106+MOD(2-WEEKDAY($S106),7))+20),1,IF(N($W106)&gt;0,AVERAGEIFS($AA$5:$AA$1000,$U$5:$U$1000,ROW(),$V$5:$V$1000,"Sub"),$AA106)))</f>
        <v/>
      </c>
      <c r="AF106" s="62">
        <f>IF($V106="","",IF(AND(ISNUMBER($G106),$G106&lt;=IF($S106=MesCiclo,InicioCiclo,$S106+MOD(2-WEEKDAY($S106),7))+27),1,IF(N($W106)&gt;0,AVERAGEIFS($AB$5:$AB$1000,$U$5:$U$1000,ROW(),$V$5:$V$1000,"Sub"),$AB106)))</f>
        <v/>
      </c>
      <c r="AG106" s="62">
        <f>IF($V106&lt;&gt;"Macro","",IF(COUNTIFS($S$5:$S$1000,$S106,$V$5:$V$1000,"Macro",$H$5:$H$1000,"&gt;0")=0,1/COUNTIFS($S$5:$S$1000,$S106,$V$5:$V$1000,"Macro"),IF(AND(ISNUMBER($H106),N($H106)&gt;0),$H106,SUMIFS($H$5:$H$1000,$S$5:$S$1000,$S106,$V$5:$V$1000,"Macro")/COUNTIFS($S$5:$S$1000,$S106,$V$5:$V$1000,"Macro",$H$5:$H$1000,"&gt;0"))/(COUNTIFS($S$5:$S$1000,$S106,$V$5:$V$1000,"Macro")*SUMIFS($H$5:$H$1000,$S$5:$S$1000,$S106,$V$5:$V$1000,"Macro")/COUNTIFS($S$5:$S$1000,$S106,$V$5:$V$1000,"Macro",$H$5:$H$1000,"&gt;0"))))</f>
        <v/>
      </c>
      <c r="AH106" s="62">
        <f>IF(NOT(AND($D106&lt;&gt;"",$V106="Macro")),"",IFERROR(CHOOSE(MATCH($D106,ListaPuestos,0),MATCH("[Jefatura] "&amp;$C106,'Cronograma R. Operacional'!$C$5:$C$1000,0),MATCH("[Jefatura] "&amp;$C106,'Cronograma R. Normativo'!$C$5:$C$1000,0),MATCH("[Jefatura] "&amp;$C106,'Cronograma R. Financiero'!$C$5:$C$1000,0),MATCH("[Jefatura] "&amp;$C106,'Cronograma Asistente Técnico'!$C$5:$C$1000,0)),0))</f>
        <v/>
      </c>
      <c r="AI106" s="62">
        <f>IF(AND(AND($D106&lt;&gt;"",$V106="Macro"),$S106=MesCiclo),COUNTIFS($D$5:$D106,$D106,$S$5:$S106,MesCiclo,$V$5:$V106,"Macro"),"")</f>
        <v/>
      </c>
      <c r="AJ106" s="62">
        <f>IF($AI106="","",$D106&amp;"|"&amp;$AI106)</f>
        <v/>
      </c>
      <c r="AK106" s="62">
        <f>IF(AND($D106&lt;&gt;"",$V106="Macro"),$D106&amp;"|"&amp;$C106,"")</f>
        <v/>
      </c>
      <c r="AL106" s="62">
        <f>""</f>
        <v/>
      </c>
      <c r="AM106" s="62">
        <f>IF(N($AL106)&gt;0,INDEX(rIni_ADM,$AL106),IF(ISNUMBER($E106),$E106,""))</f>
        <v/>
      </c>
      <c r="AN106" s="62">
        <f>IF(N($AL106)&gt;0,INDEX(rLim_ADM,$AL106),IF(ISNUMBER($F106),$F106,""))</f>
        <v/>
      </c>
    </row>
    <row r="107">
      <c r="A107" s="56">
        <f>IF(NOT((COUNTA($B107:$D107)+COUNTA($G107:$L107)+COUNTA($Q107))&gt;0),"",IF($V107="Macro",COUNTIFS($V$5:$V107,"Macro",$S$5:$S107,$S107),IF(N($U107)=0,"?",COUNTIFS(INDEX($V$5:$V$1000,1):INDEX($V$5:$V$1000,$U107-4),"Macro",INDEX($S$5:$S$1000,1):INDEX($S$5:$S$1000,$U107-4),INDEX($S$5:$S$1000,$U107-4))&amp;"."&amp;COUNTIFS($U$5:$U107,$U107,$V$5:$V107,"Sub"))))</f>
        <v/>
      </c>
      <c r="B107" s="57" t="n"/>
      <c r="C107" s="58" t="n"/>
      <c r="D107" s="58" t="n"/>
      <c r="E107" s="59" t="n"/>
      <c r="F107" s="59" t="n"/>
      <c r="G107" s="59" t="n"/>
      <c r="H107" s="60" t="n"/>
      <c r="I107" s="60" t="n"/>
      <c r="J107" s="60" t="n"/>
      <c r="K107" s="60" t="n"/>
      <c r="L107" s="60" t="n"/>
      <c r="M107" s="61">
        <f>IF(NOT((COUNTA($B107:$D107)+COUNTA($G107:$L107)+COUNTA($Q107))&gt;0),"",IF(AND($D107&lt;&gt;"",$V107="Macro"),IF(N($AH107)&gt;0,N(CHOOSE(MATCH($D107,ListaPuestos,0),INDEX('Cronograma R. Operacional'!$M$5:$M$1000,$AH107),INDEX('Cronograma R. Normativo'!$M$5:$M$1000,$AH107),INDEX('Cronograma R. Financiero'!$M$5:$M$1000,$AH107),INDEX('Cronograma Asistente Técnico'!$M$5:$M$1000,$AH107))),0),IF(ISNUMBER($G107),1,IF(N($W107)&gt;0,AVERAGEIFS($X$5:$X$1000,$U$5:$U$1000,ROW(),$V$5:$V$1000,"Sub"),$X107))))</f>
        <v/>
      </c>
      <c r="N107" s="56">
        <f>IF($M107="","",IF($M107&gt;=1,"Completado",IF($M107&gt;0,"En curso","Pendiente")))</f>
        <v/>
      </c>
      <c r="O107" s="56">
        <f>IF(NOT((COUNTA($B107:$D107)+COUNTA($G107:$L107)+COUNTA($Q107))&gt;0),"",IF(AND(AND($D107&lt;&gt;"",$V107="Macro"),N($AH107)&gt;0),CHOOSE(MATCH($D107,ListaPuestos,0),INDEX('Cronograma R. Operacional'!$O$5:$O$1000,$AH107),INDEX('Cronograma R. Normativo'!$O$5:$O$1000,$AH107),INDEX('Cronograma R. Financiero'!$O$5:$O$1000,$AH107),INDEX('Cronograma Asistente Técnico'!$O$5:$O$1000,$AH107))&amp;"",IF(ISNUMBER($G107),IF(AND(ISNUMBER($AN107),$G107&gt;$AN107),"Cumplida con "&amp;($G107-$AN107)&amp;IF($G107-$AN107=1," día"," días")&amp;" de retraso","Cumplida"),IF(N($M107)&gt;=1,"Cumplida",IF(NOT(ISNUMBER($AN107)),"Sin fecha límite",IF($AN107&lt;FechaRef,"Vencida hace "&amp;(FechaRef-$AN107)&amp;IF(FechaRef-$AN107=1," día"," días"),IF($AN107=FechaRef,"Vence hoy",IF($AN107-FechaRef&lt;=DiasAlerta,"Vence en "&amp;($AN107-FechaRef)&amp;IF($AN107-FechaRef=1," día"," días"),"En plazo"))))))))</f>
        <v/>
      </c>
      <c r="P107" s="62">
        <f>IF(NOT((COUNTA($B107:$D107)+COUNTA($G107:$L107)+COUNTA($Q107))&gt;0),"",IF($D107="","Propia",IF($V107&lt;&gt;"Macro","Solo se delegan macroactividades",IF(N($AH107)&gt;0,"✔ Recibida por "&amp;$D107,"⚠ "&amp;$D107&amp;" aún no la agrega"))))</f>
        <v/>
      </c>
      <c r="Q107" s="58" t="n"/>
      <c r="R107" s="63">
        <f>IF(NOT((COUNTA($B107:$D107)+COUNTA($G107:$L107)+COUNTA($Q107))&gt;0),"",IF((IF($C107="","Falta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",""))="","✔ OK","⚠ "&amp;LEFT(IF($C107="","Falta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",""),LEN(IF($C107="","Falta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",""))-3)))</f>
        <v/>
      </c>
      <c r="S107" s="64">
        <f>IF(NOT((COUNTA($B107:$D107)+COUNTA($G107:$L107)+COUNTA($Q107))&gt;0),"",IF(AND($V107="Sub",N($U107)&gt;0),IF(ISNUMBER(INDEX($AM$5:$AM$1000,$U107-4)),DATE(YEAR(INDEX($AM$5:$AM$1000,$U107-4)),MONTH(INDEX($AM$5:$AM$1000,$U107-4)),1),IF(ISNUMBER(INDEX($AN$5:$AN$1000,$U107-4)),DATE(YEAR(INDEX($AN$5:$AN$1000,$U107-4)),MONTH(INDEX($AN$5:$AN$1000,$U107-4)),1),MesCiclo)),IF(ISNUMBER($AM107),DATE(YEAR($AM107),MONTH($AM107),1),IF(ISNUMBER($AN107),DATE(YEAR($AN107),MONTH($AN107),1),MesCiclo))))</f>
        <v/>
      </c>
      <c r="T107" s="62">
        <f>IF(OR($S107="",$S107&lt;&gt;MesCiclo),"",COUNTIF($S$5:$S107,MesCiclo))</f>
        <v/>
      </c>
      <c r="U107" s="62">
        <f>IF($V107="","",IF($V107="Macro",ROW(),IFERROR(LOOKUP(2,1/($V$5:$V107="Macro"),ROW($V$5:$V107)),0)))</f>
        <v/>
      </c>
      <c r="V107" s="62">
        <f>IF(NOT((COUNTA($B107:$D107)+COUNTA($G107:$L107)+COUNTA($Q107))&gt;0),"",IF($B107="Subactividad","Sub","Macro"))</f>
        <v/>
      </c>
      <c r="W107" s="62">
        <f>IF($V107="Macro",COUNTIFS($U$5:$U$1000,ROW(),$V$5:$V$1000,"Sub"),"")</f>
        <v/>
      </c>
      <c r="X107" s="62">
        <f>IF($V107="","",IF(ISNUMBER($G107),1,IFERROR(LOOKUP(2,1/($I107:$L107&lt;&gt;""),$I107:$L107),0)))</f>
        <v/>
      </c>
      <c r="Y107" s="62">
        <f>IF($V107="","",IF(AND(ISNUMBER($G107),$G107&lt;=IF($S107=MesCiclo,InicioCiclo,$S107+MOD(2-WEEKDAY($S107),7))+6),1,IF(ISNUMBER($I107),$I107,0)))</f>
        <v/>
      </c>
      <c r="Z107" s="62">
        <f>IF($V107="","",IF(AND(ISNUMBER($G107),$G107&lt;=IF($S107=MesCiclo,InicioCiclo,$S107+MOD(2-WEEKDAY($S107),7))+13),1,IF(ISNUMBER($J107),$J107,$Y107)))</f>
        <v/>
      </c>
      <c r="AA107" s="62">
        <f>IF($V107="","",IF(AND(ISNUMBER($G107),$G107&lt;=IF($S107=MesCiclo,InicioCiclo,$S107+MOD(2-WEEKDAY($S107),7))+20),1,IF(ISNUMBER($K107),$K107,$Z107)))</f>
        <v/>
      </c>
      <c r="AB107" s="62">
        <f>IF($V107="","",IF(AND(ISNUMBER($G107),$G107&lt;=IF($S107=MesCiclo,InicioCiclo,$S107+MOD(2-WEEKDAY($S107),7))+27),1,IF(ISNUMBER($L107),$L107,$AA107)))</f>
        <v/>
      </c>
      <c r="AC107" s="62">
        <f>IF($V107="","",IF(AND(ISNUMBER($G107),$G107&lt;=IF($S107=MesCiclo,InicioCiclo,$S107+MOD(2-WEEKDAY($S107),7))+6),1,IF(N($W107)&gt;0,AVERAGEIFS($Y$5:$Y$1000,$U$5:$U$1000,ROW(),$V$5:$V$1000,"Sub"),$Y107)))</f>
        <v/>
      </c>
      <c r="AD107" s="62">
        <f>IF($V107="","",IF(AND(ISNUMBER($G107),$G107&lt;=IF($S107=MesCiclo,InicioCiclo,$S107+MOD(2-WEEKDAY($S107),7))+13),1,IF(N($W107)&gt;0,AVERAGEIFS($Z$5:$Z$1000,$U$5:$U$1000,ROW(),$V$5:$V$1000,"Sub"),$Z107)))</f>
        <v/>
      </c>
      <c r="AE107" s="62">
        <f>IF($V107="","",IF(AND(ISNUMBER($G107),$G107&lt;=IF($S107=MesCiclo,InicioCiclo,$S107+MOD(2-WEEKDAY($S107),7))+20),1,IF(N($W107)&gt;0,AVERAGEIFS($AA$5:$AA$1000,$U$5:$U$1000,ROW(),$V$5:$V$1000,"Sub"),$AA107)))</f>
        <v/>
      </c>
      <c r="AF107" s="62">
        <f>IF($V107="","",IF(AND(ISNUMBER($G107),$G107&lt;=IF($S107=MesCiclo,InicioCiclo,$S107+MOD(2-WEEKDAY($S107),7))+27),1,IF(N($W107)&gt;0,AVERAGEIFS($AB$5:$AB$1000,$U$5:$U$1000,ROW(),$V$5:$V$1000,"Sub"),$AB107)))</f>
        <v/>
      </c>
      <c r="AG107" s="62">
        <f>IF($V107&lt;&gt;"Macro","",IF(COUNTIFS($S$5:$S$1000,$S107,$V$5:$V$1000,"Macro",$H$5:$H$1000,"&gt;0")=0,1/COUNTIFS($S$5:$S$1000,$S107,$V$5:$V$1000,"Macro"),IF(AND(ISNUMBER($H107),N($H107)&gt;0),$H107,SUMIFS($H$5:$H$1000,$S$5:$S$1000,$S107,$V$5:$V$1000,"Macro")/COUNTIFS($S$5:$S$1000,$S107,$V$5:$V$1000,"Macro",$H$5:$H$1000,"&gt;0"))/(COUNTIFS($S$5:$S$1000,$S107,$V$5:$V$1000,"Macro")*SUMIFS($H$5:$H$1000,$S$5:$S$1000,$S107,$V$5:$V$1000,"Macro")/COUNTIFS($S$5:$S$1000,$S107,$V$5:$V$1000,"Macro",$H$5:$H$1000,"&gt;0"))))</f>
        <v/>
      </c>
      <c r="AH107" s="62">
        <f>IF(NOT(AND($D107&lt;&gt;"",$V107="Macro")),"",IFERROR(CHOOSE(MATCH($D107,ListaPuestos,0),MATCH("[Jefatura] "&amp;$C107,'Cronograma R. Operacional'!$C$5:$C$1000,0),MATCH("[Jefatura] "&amp;$C107,'Cronograma R. Normativo'!$C$5:$C$1000,0),MATCH("[Jefatura] "&amp;$C107,'Cronograma R. Financiero'!$C$5:$C$1000,0),MATCH("[Jefatura] "&amp;$C107,'Cronograma Asistente Técnico'!$C$5:$C$1000,0)),0))</f>
        <v/>
      </c>
      <c r="AI107" s="62">
        <f>IF(AND(AND($D107&lt;&gt;"",$V107="Macro"),$S107=MesCiclo),COUNTIFS($D$5:$D107,$D107,$S$5:$S107,MesCiclo,$V$5:$V107,"Macro"),"")</f>
        <v/>
      </c>
      <c r="AJ107" s="62">
        <f>IF($AI107="","",$D107&amp;"|"&amp;$AI107)</f>
        <v/>
      </c>
      <c r="AK107" s="62">
        <f>IF(AND($D107&lt;&gt;"",$V107="Macro"),$D107&amp;"|"&amp;$C107,"")</f>
        <v/>
      </c>
      <c r="AL107" s="62">
        <f>""</f>
        <v/>
      </c>
      <c r="AM107" s="62">
        <f>IF(N($AL107)&gt;0,INDEX(rIni_ADM,$AL107),IF(ISNUMBER($E107),$E107,""))</f>
        <v/>
      </c>
      <c r="AN107" s="62">
        <f>IF(N($AL107)&gt;0,INDEX(rLim_ADM,$AL107),IF(ISNUMBER($F107),$F107,""))</f>
        <v/>
      </c>
    </row>
    <row r="108">
      <c r="A108" s="56">
        <f>IF(NOT((COUNTA($B108:$D108)+COUNTA($G108:$L108)+COUNTA($Q108))&gt;0),"",IF($V108="Macro",COUNTIFS($V$5:$V108,"Macro",$S$5:$S108,$S108),IF(N($U108)=0,"?",COUNTIFS(INDEX($V$5:$V$1000,1):INDEX($V$5:$V$1000,$U108-4),"Macro",INDEX($S$5:$S$1000,1):INDEX($S$5:$S$1000,$U108-4),INDEX($S$5:$S$1000,$U108-4))&amp;"."&amp;COUNTIFS($U$5:$U108,$U108,$V$5:$V108,"Sub"))))</f>
        <v/>
      </c>
      <c r="B108" s="57" t="n"/>
      <c r="C108" s="58" t="n"/>
      <c r="D108" s="58" t="n"/>
      <c r="E108" s="59" t="n"/>
      <c r="F108" s="59" t="n"/>
      <c r="G108" s="59" t="n"/>
      <c r="H108" s="60" t="n"/>
      <c r="I108" s="60" t="n"/>
      <c r="J108" s="60" t="n"/>
      <c r="K108" s="60" t="n"/>
      <c r="L108" s="60" t="n"/>
      <c r="M108" s="61">
        <f>IF(NOT((COUNTA($B108:$D108)+COUNTA($G108:$L108)+COUNTA($Q108))&gt;0),"",IF(AND($D108&lt;&gt;"",$V108="Macro"),IF(N($AH108)&gt;0,N(CHOOSE(MATCH($D108,ListaPuestos,0),INDEX('Cronograma R. Operacional'!$M$5:$M$1000,$AH108),INDEX('Cronograma R. Normativo'!$M$5:$M$1000,$AH108),INDEX('Cronograma R. Financiero'!$M$5:$M$1000,$AH108),INDEX('Cronograma Asistente Técnico'!$M$5:$M$1000,$AH108))),0),IF(ISNUMBER($G108),1,IF(N($W108)&gt;0,AVERAGEIFS($X$5:$X$1000,$U$5:$U$1000,ROW(),$V$5:$V$1000,"Sub"),$X108))))</f>
        <v/>
      </c>
      <c r="N108" s="56">
        <f>IF($M108="","",IF($M108&gt;=1,"Completado",IF($M108&gt;0,"En curso","Pendiente")))</f>
        <v/>
      </c>
      <c r="O108" s="56">
        <f>IF(NOT((COUNTA($B108:$D108)+COUNTA($G108:$L108)+COUNTA($Q108))&gt;0),"",IF(AND(AND($D108&lt;&gt;"",$V108="Macro"),N($AH108)&gt;0),CHOOSE(MATCH($D108,ListaPuestos,0),INDEX('Cronograma R. Operacional'!$O$5:$O$1000,$AH108),INDEX('Cronograma R. Normativo'!$O$5:$O$1000,$AH108),INDEX('Cronograma R. Financiero'!$O$5:$O$1000,$AH108),INDEX('Cronograma Asistente Técnico'!$O$5:$O$1000,$AH108))&amp;"",IF(ISNUMBER($G108),IF(AND(ISNUMBER($AN108),$G108&gt;$AN108),"Cumplida con "&amp;($G108-$AN108)&amp;IF($G108-$AN108=1," día"," días")&amp;" de retraso","Cumplida"),IF(N($M108)&gt;=1,"Cumplida",IF(NOT(ISNUMBER($AN108)),"Sin fecha límite",IF($AN108&lt;FechaRef,"Vencida hace "&amp;(FechaRef-$AN108)&amp;IF(FechaRef-$AN108=1," día"," días"),IF($AN108=FechaRef,"Vence hoy",IF($AN108-FechaRef&lt;=DiasAlerta,"Vence en "&amp;($AN108-FechaRef)&amp;IF($AN108-FechaRef=1," día"," días"),"En plazo"))))))))</f>
        <v/>
      </c>
      <c r="P108" s="62">
        <f>IF(NOT((COUNTA($B108:$D108)+COUNTA($G108:$L108)+COUNTA($Q108))&gt;0),"",IF($D108="","Propia",IF($V108&lt;&gt;"Macro","Solo se delegan macroactividades",IF(N($AH108)&gt;0,"✔ Recibida por "&amp;$D108,"⚠ "&amp;$D108&amp;" aún no la agrega"))))</f>
        <v/>
      </c>
      <c r="Q108" s="58" t="n"/>
      <c r="R108" s="63">
        <f>IF(NOT((COUNTA($B108:$D108)+COUNTA($G108:$L108)+COUNTA($Q108))&gt;0),"",IF((IF($C108="","Falta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",""))="","✔ OK","⚠ "&amp;LEFT(IF($C108="","Falta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",""),LEN(IF($C108="","Falta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",""))-3)))</f>
        <v/>
      </c>
      <c r="S108" s="64">
        <f>IF(NOT((COUNTA($B108:$D108)+COUNTA($G108:$L108)+COUNTA($Q108))&gt;0),"",IF(AND($V108="Sub",N($U108)&gt;0),IF(ISNUMBER(INDEX($AM$5:$AM$1000,$U108-4)),DATE(YEAR(INDEX($AM$5:$AM$1000,$U108-4)),MONTH(INDEX($AM$5:$AM$1000,$U108-4)),1),IF(ISNUMBER(INDEX($AN$5:$AN$1000,$U108-4)),DATE(YEAR(INDEX($AN$5:$AN$1000,$U108-4)),MONTH(INDEX($AN$5:$AN$1000,$U108-4)),1),MesCiclo)),IF(ISNUMBER($AM108),DATE(YEAR($AM108),MONTH($AM108),1),IF(ISNUMBER($AN108),DATE(YEAR($AN108),MONTH($AN108),1),MesCiclo))))</f>
        <v/>
      </c>
      <c r="T108" s="62">
        <f>IF(OR($S108="",$S108&lt;&gt;MesCiclo),"",COUNTIF($S$5:$S108,MesCiclo))</f>
        <v/>
      </c>
      <c r="U108" s="62">
        <f>IF($V108="","",IF($V108="Macro",ROW(),IFERROR(LOOKUP(2,1/($V$5:$V108="Macro"),ROW($V$5:$V108)),0)))</f>
        <v/>
      </c>
      <c r="V108" s="62">
        <f>IF(NOT((COUNTA($B108:$D108)+COUNTA($G108:$L108)+COUNTA($Q108))&gt;0),"",IF($B108="Subactividad","Sub","Macro"))</f>
        <v/>
      </c>
      <c r="W108" s="62">
        <f>IF($V108="Macro",COUNTIFS($U$5:$U$1000,ROW(),$V$5:$V$1000,"Sub"),"")</f>
        <v/>
      </c>
      <c r="X108" s="62">
        <f>IF($V108="","",IF(ISNUMBER($G108),1,IFERROR(LOOKUP(2,1/($I108:$L108&lt;&gt;""),$I108:$L108),0)))</f>
        <v/>
      </c>
      <c r="Y108" s="62">
        <f>IF($V108="","",IF(AND(ISNUMBER($G108),$G108&lt;=IF($S108=MesCiclo,InicioCiclo,$S108+MOD(2-WEEKDAY($S108),7))+6),1,IF(ISNUMBER($I108),$I108,0)))</f>
        <v/>
      </c>
      <c r="Z108" s="62">
        <f>IF($V108="","",IF(AND(ISNUMBER($G108),$G108&lt;=IF($S108=MesCiclo,InicioCiclo,$S108+MOD(2-WEEKDAY($S108),7))+13),1,IF(ISNUMBER($J108),$J108,$Y108)))</f>
        <v/>
      </c>
      <c r="AA108" s="62">
        <f>IF($V108="","",IF(AND(ISNUMBER($G108),$G108&lt;=IF($S108=MesCiclo,InicioCiclo,$S108+MOD(2-WEEKDAY($S108),7))+20),1,IF(ISNUMBER($K108),$K108,$Z108)))</f>
        <v/>
      </c>
      <c r="AB108" s="62">
        <f>IF($V108="","",IF(AND(ISNUMBER($G108),$G108&lt;=IF($S108=MesCiclo,InicioCiclo,$S108+MOD(2-WEEKDAY($S108),7))+27),1,IF(ISNUMBER($L108),$L108,$AA108)))</f>
        <v/>
      </c>
      <c r="AC108" s="62">
        <f>IF($V108="","",IF(AND(ISNUMBER($G108),$G108&lt;=IF($S108=MesCiclo,InicioCiclo,$S108+MOD(2-WEEKDAY($S108),7))+6),1,IF(N($W108)&gt;0,AVERAGEIFS($Y$5:$Y$1000,$U$5:$U$1000,ROW(),$V$5:$V$1000,"Sub"),$Y108)))</f>
        <v/>
      </c>
      <c r="AD108" s="62">
        <f>IF($V108="","",IF(AND(ISNUMBER($G108),$G108&lt;=IF($S108=MesCiclo,InicioCiclo,$S108+MOD(2-WEEKDAY($S108),7))+13),1,IF(N($W108)&gt;0,AVERAGEIFS($Z$5:$Z$1000,$U$5:$U$1000,ROW(),$V$5:$V$1000,"Sub"),$Z108)))</f>
        <v/>
      </c>
      <c r="AE108" s="62">
        <f>IF($V108="","",IF(AND(ISNUMBER($G108),$G108&lt;=IF($S108=MesCiclo,InicioCiclo,$S108+MOD(2-WEEKDAY($S108),7))+20),1,IF(N($W108)&gt;0,AVERAGEIFS($AA$5:$AA$1000,$U$5:$U$1000,ROW(),$V$5:$V$1000,"Sub"),$AA108)))</f>
        <v/>
      </c>
      <c r="AF108" s="62">
        <f>IF($V108="","",IF(AND(ISNUMBER($G108),$G108&lt;=IF($S108=MesCiclo,InicioCiclo,$S108+MOD(2-WEEKDAY($S108),7))+27),1,IF(N($W108)&gt;0,AVERAGEIFS($AB$5:$AB$1000,$U$5:$U$1000,ROW(),$V$5:$V$1000,"Sub"),$AB108)))</f>
        <v/>
      </c>
      <c r="AG108" s="62">
        <f>IF($V108&lt;&gt;"Macro","",IF(COUNTIFS($S$5:$S$1000,$S108,$V$5:$V$1000,"Macro",$H$5:$H$1000,"&gt;0")=0,1/COUNTIFS($S$5:$S$1000,$S108,$V$5:$V$1000,"Macro"),IF(AND(ISNUMBER($H108),N($H108)&gt;0),$H108,SUMIFS($H$5:$H$1000,$S$5:$S$1000,$S108,$V$5:$V$1000,"Macro")/COUNTIFS($S$5:$S$1000,$S108,$V$5:$V$1000,"Macro",$H$5:$H$1000,"&gt;0"))/(COUNTIFS($S$5:$S$1000,$S108,$V$5:$V$1000,"Macro")*SUMIFS($H$5:$H$1000,$S$5:$S$1000,$S108,$V$5:$V$1000,"Macro")/COUNTIFS($S$5:$S$1000,$S108,$V$5:$V$1000,"Macro",$H$5:$H$1000,"&gt;0"))))</f>
        <v/>
      </c>
      <c r="AH108" s="62">
        <f>IF(NOT(AND($D108&lt;&gt;"",$V108="Macro")),"",IFERROR(CHOOSE(MATCH($D108,ListaPuestos,0),MATCH("[Jefatura] "&amp;$C108,'Cronograma R. Operacional'!$C$5:$C$1000,0),MATCH("[Jefatura] "&amp;$C108,'Cronograma R. Normativo'!$C$5:$C$1000,0),MATCH("[Jefatura] "&amp;$C108,'Cronograma R. Financiero'!$C$5:$C$1000,0),MATCH("[Jefatura] "&amp;$C108,'Cronograma Asistente Técnico'!$C$5:$C$1000,0)),0))</f>
        <v/>
      </c>
      <c r="AI108" s="62">
        <f>IF(AND(AND($D108&lt;&gt;"",$V108="Macro"),$S108=MesCiclo),COUNTIFS($D$5:$D108,$D108,$S$5:$S108,MesCiclo,$V$5:$V108,"Macro"),"")</f>
        <v/>
      </c>
      <c r="AJ108" s="62">
        <f>IF($AI108="","",$D108&amp;"|"&amp;$AI108)</f>
        <v/>
      </c>
      <c r="AK108" s="62">
        <f>IF(AND($D108&lt;&gt;"",$V108="Macro"),$D108&amp;"|"&amp;$C108,"")</f>
        <v/>
      </c>
      <c r="AL108" s="62">
        <f>""</f>
        <v/>
      </c>
      <c r="AM108" s="62">
        <f>IF(N($AL108)&gt;0,INDEX(rIni_ADM,$AL108),IF(ISNUMBER($E108),$E108,""))</f>
        <v/>
      </c>
      <c r="AN108" s="62">
        <f>IF(N($AL108)&gt;0,INDEX(rLim_ADM,$AL108),IF(ISNUMBER($F108),$F108,""))</f>
        <v/>
      </c>
    </row>
    <row r="109">
      <c r="A109" s="56">
        <f>IF(NOT((COUNTA($B109:$D109)+COUNTA($G109:$L109)+COUNTA($Q109))&gt;0),"",IF($V109="Macro",COUNTIFS($V$5:$V109,"Macro",$S$5:$S109,$S109),IF(N($U109)=0,"?",COUNTIFS(INDEX($V$5:$V$1000,1):INDEX($V$5:$V$1000,$U109-4),"Macro",INDEX($S$5:$S$1000,1):INDEX($S$5:$S$1000,$U109-4),INDEX($S$5:$S$1000,$U109-4))&amp;"."&amp;COUNTIFS($U$5:$U109,$U109,$V$5:$V109,"Sub"))))</f>
        <v/>
      </c>
      <c r="B109" s="57" t="n"/>
      <c r="C109" s="58" t="n"/>
      <c r="D109" s="58" t="n"/>
      <c r="E109" s="59" t="n"/>
      <c r="F109" s="59" t="n"/>
      <c r="G109" s="59" t="n"/>
      <c r="H109" s="60" t="n"/>
      <c r="I109" s="60" t="n"/>
      <c r="J109" s="60" t="n"/>
      <c r="K109" s="60" t="n"/>
      <c r="L109" s="60" t="n"/>
      <c r="M109" s="61">
        <f>IF(NOT((COUNTA($B109:$D109)+COUNTA($G109:$L109)+COUNTA($Q109))&gt;0),"",IF(AND($D109&lt;&gt;"",$V109="Macro"),IF(N($AH109)&gt;0,N(CHOOSE(MATCH($D109,ListaPuestos,0),INDEX('Cronograma R. Operacional'!$M$5:$M$1000,$AH109),INDEX('Cronograma R. Normativo'!$M$5:$M$1000,$AH109),INDEX('Cronograma R. Financiero'!$M$5:$M$1000,$AH109),INDEX('Cronograma Asistente Técnico'!$M$5:$M$1000,$AH109))),0),IF(ISNUMBER($G109),1,IF(N($W109)&gt;0,AVERAGEIFS($X$5:$X$1000,$U$5:$U$1000,ROW(),$V$5:$V$1000,"Sub"),$X109))))</f>
        <v/>
      </c>
      <c r="N109" s="56">
        <f>IF($M109="","",IF($M109&gt;=1,"Completado",IF($M109&gt;0,"En curso","Pendiente")))</f>
        <v/>
      </c>
      <c r="O109" s="56">
        <f>IF(NOT((COUNTA($B109:$D109)+COUNTA($G109:$L109)+COUNTA($Q109))&gt;0),"",IF(AND(AND($D109&lt;&gt;"",$V109="Macro"),N($AH109)&gt;0),CHOOSE(MATCH($D109,ListaPuestos,0),INDEX('Cronograma R. Operacional'!$O$5:$O$1000,$AH109),INDEX('Cronograma R. Normativo'!$O$5:$O$1000,$AH109),INDEX('Cronograma R. Financiero'!$O$5:$O$1000,$AH109),INDEX('Cronograma Asistente Técnico'!$O$5:$O$1000,$AH109))&amp;"",IF(ISNUMBER($G109),IF(AND(ISNUMBER($AN109),$G109&gt;$AN109),"Cumplida con "&amp;($G109-$AN109)&amp;IF($G109-$AN109=1," día"," días")&amp;" de retraso","Cumplida"),IF(N($M109)&gt;=1,"Cumplida",IF(NOT(ISNUMBER($AN109)),"Sin fecha límite",IF($AN109&lt;FechaRef,"Vencida hace "&amp;(FechaRef-$AN109)&amp;IF(FechaRef-$AN109=1," día"," días"),IF($AN109=FechaRef,"Vence hoy",IF($AN109-FechaRef&lt;=DiasAlerta,"Vence en "&amp;($AN109-FechaRef)&amp;IF($AN109-FechaRef=1," día"," días"),"En plazo"))))))))</f>
        <v/>
      </c>
      <c r="P109" s="62">
        <f>IF(NOT((COUNTA($B109:$D109)+COUNTA($G109:$L109)+COUNTA($Q109))&gt;0),"",IF($D109="","Propia",IF($V109&lt;&gt;"Macro","Solo se delegan macroactividades",IF(N($AH109)&gt;0,"✔ Recibida por "&amp;$D109,"⚠ "&amp;$D109&amp;" aún no la agrega"))))</f>
        <v/>
      </c>
      <c r="Q109" s="58" t="n"/>
      <c r="R109" s="63">
        <f>IF(NOT((COUNTA($B109:$D109)+COUNTA($G109:$L109)+COUNTA($Q109))&gt;0),"",IF((IF($C109="","Falta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",""))="","✔ OK","⚠ "&amp;LEFT(IF($C109="","Falta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",""),LEN(IF($C109="","Falta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",""))-3)))</f>
        <v/>
      </c>
      <c r="S109" s="64">
        <f>IF(NOT((COUNTA($B109:$D109)+COUNTA($G109:$L109)+COUNTA($Q109))&gt;0),"",IF(AND($V109="Sub",N($U109)&gt;0),IF(ISNUMBER(INDEX($AM$5:$AM$1000,$U109-4)),DATE(YEAR(INDEX($AM$5:$AM$1000,$U109-4)),MONTH(INDEX($AM$5:$AM$1000,$U109-4)),1),IF(ISNUMBER(INDEX($AN$5:$AN$1000,$U109-4)),DATE(YEAR(INDEX($AN$5:$AN$1000,$U109-4)),MONTH(INDEX($AN$5:$AN$1000,$U109-4)),1),MesCiclo)),IF(ISNUMBER($AM109),DATE(YEAR($AM109),MONTH($AM109),1),IF(ISNUMBER($AN109),DATE(YEAR($AN109),MONTH($AN109),1),MesCiclo))))</f>
        <v/>
      </c>
      <c r="T109" s="62">
        <f>IF(OR($S109="",$S109&lt;&gt;MesCiclo),"",COUNTIF($S$5:$S109,MesCiclo))</f>
        <v/>
      </c>
      <c r="U109" s="62">
        <f>IF($V109="","",IF($V109="Macro",ROW(),IFERROR(LOOKUP(2,1/($V$5:$V109="Macro"),ROW($V$5:$V109)),0)))</f>
        <v/>
      </c>
      <c r="V109" s="62">
        <f>IF(NOT((COUNTA($B109:$D109)+COUNTA($G109:$L109)+COUNTA($Q109))&gt;0),"",IF($B109="Subactividad","Sub","Macro"))</f>
        <v/>
      </c>
      <c r="W109" s="62">
        <f>IF($V109="Macro",COUNTIFS($U$5:$U$1000,ROW(),$V$5:$V$1000,"Sub"),"")</f>
        <v/>
      </c>
      <c r="X109" s="62">
        <f>IF($V109="","",IF(ISNUMBER($G109),1,IFERROR(LOOKUP(2,1/($I109:$L109&lt;&gt;""),$I109:$L109),0)))</f>
        <v/>
      </c>
      <c r="Y109" s="62">
        <f>IF($V109="","",IF(AND(ISNUMBER($G109),$G109&lt;=IF($S109=MesCiclo,InicioCiclo,$S109+MOD(2-WEEKDAY($S109),7))+6),1,IF(ISNUMBER($I109),$I109,0)))</f>
        <v/>
      </c>
      <c r="Z109" s="62">
        <f>IF($V109="","",IF(AND(ISNUMBER($G109),$G109&lt;=IF($S109=MesCiclo,InicioCiclo,$S109+MOD(2-WEEKDAY($S109),7))+13),1,IF(ISNUMBER($J109),$J109,$Y109)))</f>
        <v/>
      </c>
      <c r="AA109" s="62">
        <f>IF($V109="","",IF(AND(ISNUMBER($G109),$G109&lt;=IF($S109=MesCiclo,InicioCiclo,$S109+MOD(2-WEEKDAY($S109),7))+20),1,IF(ISNUMBER($K109),$K109,$Z109)))</f>
        <v/>
      </c>
      <c r="AB109" s="62">
        <f>IF($V109="","",IF(AND(ISNUMBER($G109),$G109&lt;=IF($S109=MesCiclo,InicioCiclo,$S109+MOD(2-WEEKDAY($S109),7))+27),1,IF(ISNUMBER($L109),$L109,$AA109)))</f>
        <v/>
      </c>
      <c r="AC109" s="62">
        <f>IF($V109="","",IF(AND(ISNUMBER($G109),$G109&lt;=IF($S109=MesCiclo,InicioCiclo,$S109+MOD(2-WEEKDAY($S109),7))+6),1,IF(N($W109)&gt;0,AVERAGEIFS($Y$5:$Y$1000,$U$5:$U$1000,ROW(),$V$5:$V$1000,"Sub"),$Y109)))</f>
        <v/>
      </c>
      <c r="AD109" s="62">
        <f>IF($V109="","",IF(AND(ISNUMBER($G109),$G109&lt;=IF($S109=MesCiclo,InicioCiclo,$S109+MOD(2-WEEKDAY($S109),7))+13),1,IF(N($W109)&gt;0,AVERAGEIFS($Z$5:$Z$1000,$U$5:$U$1000,ROW(),$V$5:$V$1000,"Sub"),$Z109)))</f>
        <v/>
      </c>
      <c r="AE109" s="62">
        <f>IF($V109="","",IF(AND(ISNUMBER($G109),$G109&lt;=IF($S109=MesCiclo,InicioCiclo,$S109+MOD(2-WEEKDAY($S109),7))+20),1,IF(N($W109)&gt;0,AVERAGEIFS($AA$5:$AA$1000,$U$5:$U$1000,ROW(),$V$5:$V$1000,"Sub"),$AA109)))</f>
        <v/>
      </c>
      <c r="AF109" s="62">
        <f>IF($V109="","",IF(AND(ISNUMBER($G109),$G109&lt;=IF($S109=MesCiclo,InicioCiclo,$S109+MOD(2-WEEKDAY($S109),7))+27),1,IF(N($W109)&gt;0,AVERAGEIFS($AB$5:$AB$1000,$U$5:$U$1000,ROW(),$V$5:$V$1000,"Sub"),$AB109)))</f>
        <v/>
      </c>
      <c r="AG109" s="62">
        <f>IF($V109&lt;&gt;"Macro","",IF(COUNTIFS($S$5:$S$1000,$S109,$V$5:$V$1000,"Macro",$H$5:$H$1000,"&gt;0")=0,1/COUNTIFS($S$5:$S$1000,$S109,$V$5:$V$1000,"Macro"),IF(AND(ISNUMBER($H109),N($H109)&gt;0),$H109,SUMIFS($H$5:$H$1000,$S$5:$S$1000,$S109,$V$5:$V$1000,"Macro")/COUNTIFS($S$5:$S$1000,$S109,$V$5:$V$1000,"Macro",$H$5:$H$1000,"&gt;0"))/(COUNTIFS($S$5:$S$1000,$S109,$V$5:$V$1000,"Macro")*SUMIFS($H$5:$H$1000,$S$5:$S$1000,$S109,$V$5:$V$1000,"Macro")/COUNTIFS($S$5:$S$1000,$S109,$V$5:$V$1000,"Macro",$H$5:$H$1000,"&gt;0"))))</f>
        <v/>
      </c>
      <c r="AH109" s="62">
        <f>IF(NOT(AND($D109&lt;&gt;"",$V109="Macro")),"",IFERROR(CHOOSE(MATCH($D109,ListaPuestos,0),MATCH("[Jefatura] "&amp;$C109,'Cronograma R. Operacional'!$C$5:$C$1000,0),MATCH("[Jefatura] "&amp;$C109,'Cronograma R. Normativo'!$C$5:$C$1000,0),MATCH("[Jefatura] "&amp;$C109,'Cronograma R. Financiero'!$C$5:$C$1000,0),MATCH("[Jefatura] "&amp;$C109,'Cronograma Asistente Técnico'!$C$5:$C$1000,0)),0))</f>
        <v/>
      </c>
      <c r="AI109" s="62">
        <f>IF(AND(AND($D109&lt;&gt;"",$V109="Macro"),$S109=MesCiclo),COUNTIFS($D$5:$D109,$D109,$S$5:$S109,MesCiclo,$V$5:$V109,"Macro"),"")</f>
        <v/>
      </c>
      <c r="AJ109" s="62">
        <f>IF($AI109="","",$D109&amp;"|"&amp;$AI109)</f>
        <v/>
      </c>
      <c r="AK109" s="62">
        <f>IF(AND($D109&lt;&gt;"",$V109="Macro"),$D109&amp;"|"&amp;$C109,"")</f>
        <v/>
      </c>
      <c r="AL109" s="62">
        <f>""</f>
        <v/>
      </c>
      <c r="AM109" s="62">
        <f>IF(N($AL109)&gt;0,INDEX(rIni_ADM,$AL109),IF(ISNUMBER($E109),$E109,""))</f>
        <v/>
      </c>
      <c r="AN109" s="62">
        <f>IF(N($AL109)&gt;0,INDEX(rLim_ADM,$AL109),IF(ISNUMBER($F109),$F109,""))</f>
        <v/>
      </c>
    </row>
    <row r="110">
      <c r="A110" s="56">
        <f>IF(NOT((COUNTA($B110:$D110)+COUNTA($G110:$L110)+COUNTA($Q110))&gt;0),"",IF($V110="Macro",COUNTIFS($V$5:$V110,"Macro",$S$5:$S110,$S110),IF(N($U110)=0,"?",COUNTIFS(INDEX($V$5:$V$1000,1):INDEX($V$5:$V$1000,$U110-4),"Macro",INDEX($S$5:$S$1000,1):INDEX($S$5:$S$1000,$U110-4),INDEX($S$5:$S$1000,$U110-4))&amp;"."&amp;COUNTIFS($U$5:$U110,$U110,$V$5:$V110,"Sub"))))</f>
        <v/>
      </c>
      <c r="B110" s="57" t="n"/>
      <c r="C110" s="58" t="n"/>
      <c r="D110" s="58" t="n"/>
      <c r="E110" s="59" t="n"/>
      <c r="F110" s="59" t="n"/>
      <c r="G110" s="59" t="n"/>
      <c r="H110" s="60" t="n"/>
      <c r="I110" s="60" t="n"/>
      <c r="J110" s="60" t="n"/>
      <c r="K110" s="60" t="n"/>
      <c r="L110" s="60" t="n"/>
      <c r="M110" s="61">
        <f>IF(NOT((COUNTA($B110:$D110)+COUNTA($G110:$L110)+COUNTA($Q110))&gt;0),"",IF(AND($D110&lt;&gt;"",$V110="Macro"),IF(N($AH110)&gt;0,N(CHOOSE(MATCH($D110,ListaPuestos,0),INDEX('Cronograma R. Operacional'!$M$5:$M$1000,$AH110),INDEX('Cronograma R. Normativo'!$M$5:$M$1000,$AH110),INDEX('Cronograma R. Financiero'!$M$5:$M$1000,$AH110),INDEX('Cronograma Asistente Técnico'!$M$5:$M$1000,$AH110))),0),IF(ISNUMBER($G110),1,IF(N($W110)&gt;0,AVERAGEIFS($X$5:$X$1000,$U$5:$U$1000,ROW(),$V$5:$V$1000,"Sub"),$X110))))</f>
        <v/>
      </c>
      <c r="N110" s="56">
        <f>IF($M110="","",IF($M110&gt;=1,"Completado",IF($M110&gt;0,"En curso","Pendiente")))</f>
        <v/>
      </c>
      <c r="O110" s="56">
        <f>IF(NOT((COUNTA($B110:$D110)+COUNTA($G110:$L110)+COUNTA($Q110))&gt;0),"",IF(AND(AND($D110&lt;&gt;"",$V110="Macro"),N($AH110)&gt;0),CHOOSE(MATCH($D110,ListaPuestos,0),INDEX('Cronograma R. Operacional'!$O$5:$O$1000,$AH110),INDEX('Cronograma R. Normativo'!$O$5:$O$1000,$AH110),INDEX('Cronograma R. Financiero'!$O$5:$O$1000,$AH110),INDEX('Cronograma Asistente Técnico'!$O$5:$O$1000,$AH110))&amp;"",IF(ISNUMBER($G110),IF(AND(ISNUMBER($AN110),$G110&gt;$AN110),"Cumplida con "&amp;($G110-$AN110)&amp;IF($G110-$AN110=1," día"," días")&amp;" de retraso","Cumplida"),IF(N($M110)&gt;=1,"Cumplida",IF(NOT(ISNUMBER($AN110)),"Sin fecha límite",IF($AN110&lt;FechaRef,"Vencida hace "&amp;(FechaRef-$AN110)&amp;IF(FechaRef-$AN110=1," día"," días"),IF($AN110=FechaRef,"Vence hoy",IF($AN110-FechaRef&lt;=DiasAlerta,"Vence en "&amp;($AN110-FechaRef)&amp;IF($AN110-FechaRef=1," día"," días"),"En plazo"))))))))</f>
        <v/>
      </c>
      <c r="P110" s="62">
        <f>IF(NOT((COUNTA($B110:$D110)+COUNTA($G110:$L110)+COUNTA($Q110))&gt;0),"",IF($D110="","Propia",IF($V110&lt;&gt;"Macro","Solo se delegan macroactividades",IF(N($AH110)&gt;0,"✔ Recibida por "&amp;$D110,"⚠ "&amp;$D110&amp;" aún no la agrega"))))</f>
        <v/>
      </c>
      <c r="Q110" s="58" t="n"/>
      <c r="R110" s="63">
        <f>IF(NOT((COUNTA($B110:$D110)+COUNTA($G110:$L110)+COUNTA($Q110))&gt;0),"",IF((IF($C110="","Falta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",""))="","✔ OK","⚠ "&amp;LEFT(IF($C110="","Falta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",""),LEN(IF($C110="","Falta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",""))-3)))</f>
        <v/>
      </c>
      <c r="S110" s="64">
        <f>IF(NOT((COUNTA($B110:$D110)+COUNTA($G110:$L110)+COUNTA($Q110))&gt;0),"",IF(AND($V110="Sub",N($U110)&gt;0),IF(ISNUMBER(INDEX($AM$5:$AM$1000,$U110-4)),DATE(YEAR(INDEX($AM$5:$AM$1000,$U110-4)),MONTH(INDEX($AM$5:$AM$1000,$U110-4)),1),IF(ISNUMBER(INDEX($AN$5:$AN$1000,$U110-4)),DATE(YEAR(INDEX($AN$5:$AN$1000,$U110-4)),MONTH(INDEX($AN$5:$AN$1000,$U110-4)),1),MesCiclo)),IF(ISNUMBER($AM110),DATE(YEAR($AM110),MONTH($AM110),1),IF(ISNUMBER($AN110),DATE(YEAR($AN110),MONTH($AN110),1),MesCiclo))))</f>
        <v/>
      </c>
      <c r="T110" s="62">
        <f>IF(OR($S110="",$S110&lt;&gt;MesCiclo),"",COUNTIF($S$5:$S110,MesCiclo))</f>
        <v/>
      </c>
      <c r="U110" s="62">
        <f>IF($V110="","",IF($V110="Macro",ROW(),IFERROR(LOOKUP(2,1/($V$5:$V110="Macro"),ROW($V$5:$V110)),0)))</f>
        <v/>
      </c>
      <c r="V110" s="62">
        <f>IF(NOT((COUNTA($B110:$D110)+COUNTA($G110:$L110)+COUNTA($Q110))&gt;0),"",IF($B110="Subactividad","Sub","Macro"))</f>
        <v/>
      </c>
      <c r="W110" s="62">
        <f>IF($V110="Macro",COUNTIFS($U$5:$U$1000,ROW(),$V$5:$V$1000,"Sub"),"")</f>
        <v/>
      </c>
      <c r="X110" s="62">
        <f>IF($V110="","",IF(ISNUMBER($G110),1,IFERROR(LOOKUP(2,1/($I110:$L110&lt;&gt;""),$I110:$L110),0)))</f>
        <v/>
      </c>
      <c r="Y110" s="62">
        <f>IF($V110="","",IF(AND(ISNUMBER($G110),$G110&lt;=IF($S110=MesCiclo,InicioCiclo,$S110+MOD(2-WEEKDAY($S110),7))+6),1,IF(ISNUMBER($I110),$I110,0)))</f>
        <v/>
      </c>
      <c r="Z110" s="62">
        <f>IF($V110="","",IF(AND(ISNUMBER($G110),$G110&lt;=IF($S110=MesCiclo,InicioCiclo,$S110+MOD(2-WEEKDAY($S110),7))+13),1,IF(ISNUMBER($J110),$J110,$Y110)))</f>
        <v/>
      </c>
      <c r="AA110" s="62">
        <f>IF($V110="","",IF(AND(ISNUMBER($G110),$G110&lt;=IF($S110=MesCiclo,InicioCiclo,$S110+MOD(2-WEEKDAY($S110),7))+20),1,IF(ISNUMBER($K110),$K110,$Z110)))</f>
        <v/>
      </c>
      <c r="AB110" s="62">
        <f>IF($V110="","",IF(AND(ISNUMBER($G110),$G110&lt;=IF($S110=MesCiclo,InicioCiclo,$S110+MOD(2-WEEKDAY($S110),7))+27),1,IF(ISNUMBER($L110),$L110,$AA110)))</f>
        <v/>
      </c>
      <c r="AC110" s="62">
        <f>IF($V110="","",IF(AND(ISNUMBER($G110),$G110&lt;=IF($S110=MesCiclo,InicioCiclo,$S110+MOD(2-WEEKDAY($S110),7))+6),1,IF(N($W110)&gt;0,AVERAGEIFS($Y$5:$Y$1000,$U$5:$U$1000,ROW(),$V$5:$V$1000,"Sub"),$Y110)))</f>
        <v/>
      </c>
      <c r="AD110" s="62">
        <f>IF($V110="","",IF(AND(ISNUMBER($G110),$G110&lt;=IF($S110=MesCiclo,InicioCiclo,$S110+MOD(2-WEEKDAY($S110),7))+13),1,IF(N($W110)&gt;0,AVERAGEIFS($Z$5:$Z$1000,$U$5:$U$1000,ROW(),$V$5:$V$1000,"Sub"),$Z110)))</f>
        <v/>
      </c>
      <c r="AE110" s="62">
        <f>IF($V110="","",IF(AND(ISNUMBER($G110),$G110&lt;=IF($S110=MesCiclo,InicioCiclo,$S110+MOD(2-WEEKDAY($S110),7))+20),1,IF(N($W110)&gt;0,AVERAGEIFS($AA$5:$AA$1000,$U$5:$U$1000,ROW(),$V$5:$V$1000,"Sub"),$AA110)))</f>
        <v/>
      </c>
      <c r="AF110" s="62">
        <f>IF($V110="","",IF(AND(ISNUMBER($G110),$G110&lt;=IF($S110=MesCiclo,InicioCiclo,$S110+MOD(2-WEEKDAY($S110),7))+27),1,IF(N($W110)&gt;0,AVERAGEIFS($AB$5:$AB$1000,$U$5:$U$1000,ROW(),$V$5:$V$1000,"Sub"),$AB110)))</f>
        <v/>
      </c>
      <c r="AG110" s="62">
        <f>IF($V110&lt;&gt;"Macro","",IF(COUNTIFS($S$5:$S$1000,$S110,$V$5:$V$1000,"Macro",$H$5:$H$1000,"&gt;0")=0,1/COUNTIFS($S$5:$S$1000,$S110,$V$5:$V$1000,"Macro"),IF(AND(ISNUMBER($H110),N($H110)&gt;0),$H110,SUMIFS($H$5:$H$1000,$S$5:$S$1000,$S110,$V$5:$V$1000,"Macro")/COUNTIFS($S$5:$S$1000,$S110,$V$5:$V$1000,"Macro",$H$5:$H$1000,"&gt;0"))/(COUNTIFS($S$5:$S$1000,$S110,$V$5:$V$1000,"Macro")*SUMIFS($H$5:$H$1000,$S$5:$S$1000,$S110,$V$5:$V$1000,"Macro")/COUNTIFS($S$5:$S$1000,$S110,$V$5:$V$1000,"Macro",$H$5:$H$1000,"&gt;0"))))</f>
        <v/>
      </c>
      <c r="AH110" s="62">
        <f>IF(NOT(AND($D110&lt;&gt;"",$V110="Macro")),"",IFERROR(CHOOSE(MATCH($D110,ListaPuestos,0),MATCH("[Jefatura] "&amp;$C110,'Cronograma R. Operacional'!$C$5:$C$1000,0),MATCH("[Jefatura] "&amp;$C110,'Cronograma R. Normativo'!$C$5:$C$1000,0),MATCH("[Jefatura] "&amp;$C110,'Cronograma R. Financiero'!$C$5:$C$1000,0),MATCH("[Jefatura] "&amp;$C110,'Cronograma Asistente Técnico'!$C$5:$C$1000,0)),0))</f>
        <v/>
      </c>
      <c r="AI110" s="62">
        <f>IF(AND(AND($D110&lt;&gt;"",$V110="Macro"),$S110=MesCiclo),COUNTIFS($D$5:$D110,$D110,$S$5:$S110,MesCiclo,$V$5:$V110,"Macro"),"")</f>
        <v/>
      </c>
      <c r="AJ110" s="62">
        <f>IF($AI110="","",$D110&amp;"|"&amp;$AI110)</f>
        <v/>
      </c>
      <c r="AK110" s="62">
        <f>IF(AND($D110&lt;&gt;"",$V110="Macro"),$D110&amp;"|"&amp;$C110,"")</f>
        <v/>
      </c>
      <c r="AL110" s="62">
        <f>""</f>
        <v/>
      </c>
      <c r="AM110" s="62">
        <f>IF(N($AL110)&gt;0,INDEX(rIni_ADM,$AL110),IF(ISNUMBER($E110),$E110,""))</f>
        <v/>
      </c>
      <c r="AN110" s="62">
        <f>IF(N($AL110)&gt;0,INDEX(rLim_ADM,$AL110),IF(ISNUMBER($F110),$F110,""))</f>
        <v/>
      </c>
    </row>
    <row r="111">
      <c r="A111" s="56">
        <f>IF(NOT((COUNTA($B111:$D111)+COUNTA($G111:$L111)+COUNTA($Q111))&gt;0),"",IF($V111="Macro",COUNTIFS($V$5:$V111,"Macro",$S$5:$S111,$S111),IF(N($U111)=0,"?",COUNTIFS(INDEX($V$5:$V$1000,1):INDEX($V$5:$V$1000,$U111-4),"Macro",INDEX($S$5:$S$1000,1):INDEX($S$5:$S$1000,$U111-4),INDEX($S$5:$S$1000,$U111-4))&amp;"."&amp;COUNTIFS($U$5:$U111,$U111,$V$5:$V111,"Sub"))))</f>
        <v/>
      </c>
      <c r="B111" s="57" t="n"/>
      <c r="C111" s="58" t="n"/>
      <c r="D111" s="58" t="n"/>
      <c r="E111" s="59" t="n"/>
      <c r="F111" s="59" t="n"/>
      <c r="G111" s="59" t="n"/>
      <c r="H111" s="60" t="n"/>
      <c r="I111" s="60" t="n"/>
      <c r="J111" s="60" t="n"/>
      <c r="K111" s="60" t="n"/>
      <c r="L111" s="60" t="n"/>
      <c r="M111" s="61">
        <f>IF(NOT((COUNTA($B111:$D111)+COUNTA($G111:$L111)+COUNTA($Q111))&gt;0),"",IF(AND($D111&lt;&gt;"",$V111="Macro"),IF(N($AH111)&gt;0,N(CHOOSE(MATCH($D111,ListaPuestos,0),INDEX('Cronograma R. Operacional'!$M$5:$M$1000,$AH111),INDEX('Cronograma R. Normativo'!$M$5:$M$1000,$AH111),INDEX('Cronograma R. Financiero'!$M$5:$M$1000,$AH111),INDEX('Cronograma Asistente Técnico'!$M$5:$M$1000,$AH111))),0),IF(ISNUMBER($G111),1,IF(N($W111)&gt;0,AVERAGEIFS($X$5:$X$1000,$U$5:$U$1000,ROW(),$V$5:$V$1000,"Sub"),$X111))))</f>
        <v/>
      </c>
      <c r="N111" s="56">
        <f>IF($M111="","",IF($M111&gt;=1,"Completado",IF($M111&gt;0,"En curso","Pendiente")))</f>
        <v/>
      </c>
      <c r="O111" s="56">
        <f>IF(NOT((COUNTA($B111:$D111)+COUNTA($G111:$L111)+COUNTA($Q111))&gt;0),"",IF(AND(AND($D111&lt;&gt;"",$V111="Macro"),N($AH111)&gt;0),CHOOSE(MATCH($D111,ListaPuestos,0),INDEX('Cronograma R. Operacional'!$O$5:$O$1000,$AH111),INDEX('Cronograma R. Normativo'!$O$5:$O$1000,$AH111),INDEX('Cronograma R. Financiero'!$O$5:$O$1000,$AH111),INDEX('Cronograma Asistente Técnico'!$O$5:$O$1000,$AH111))&amp;"",IF(ISNUMBER($G111),IF(AND(ISNUMBER($AN111),$G111&gt;$AN111),"Cumplida con "&amp;($G111-$AN111)&amp;IF($G111-$AN111=1," día"," días")&amp;" de retraso","Cumplida"),IF(N($M111)&gt;=1,"Cumplida",IF(NOT(ISNUMBER($AN111)),"Sin fecha límite",IF($AN111&lt;FechaRef,"Vencida hace "&amp;(FechaRef-$AN111)&amp;IF(FechaRef-$AN111=1," día"," días"),IF($AN111=FechaRef,"Vence hoy",IF($AN111-FechaRef&lt;=DiasAlerta,"Vence en "&amp;($AN111-FechaRef)&amp;IF($AN111-FechaRef=1," día"," días"),"En plazo"))))))))</f>
        <v/>
      </c>
      <c r="P111" s="62">
        <f>IF(NOT((COUNTA($B111:$D111)+COUNTA($G111:$L111)+COUNTA($Q111))&gt;0),"",IF($D111="","Propia",IF($V111&lt;&gt;"Macro","Solo se delegan macroactividades",IF(N($AH111)&gt;0,"✔ Recibida por "&amp;$D111,"⚠ "&amp;$D111&amp;" aún no la agrega"))))</f>
        <v/>
      </c>
      <c r="Q111" s="58" t="n"/>
      <c r="R111" s="63">
        <f>IF(NOT((COUNTA($B111:$D111)+COUNTA($G111:$L111)+COUNTA($Q111))&gt;0),"",IF((IF($C111="","Falta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",""))="","✔ OK","⚠ "&amp;LEFT(IF($C111="","Falta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",""),LEN(IF($C111="","Falta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",""))-3)))</f>
        <v/>
      </c>
      <c r="S111" s="64">
        <f>IF(NOT((COUNTA($B111:$D111)+COUNTA($G111:$L111)+COUNTA($Q111))&gt;0),"",IF(AND($V111="Sub",N($U111)&gt;0),IF(ISNUMBER(INDEX($AM$5:$AM$1000,$U111-4)),DATE(YEAR(INDEX($AM$5:$AM$1000,$U111-4)),MONTH(INDEX($AM$5:$AM$1000,$U111-4)),1),IF(ISNUMBER(INDEX($AN$5:$AN$1000,$U111-4)),DATE(YEAR(INDEX($AN$5:$AN$1000,$U111-4)),MONTH(INDEX($AN$5:$AN$1000,$U111-4)),1),MesCiclo)),IF(ISNUMBER($AM111),DATE(YEAR($AM111),MONTH($AM111),1),IF(ISNUMBER($AN111),DATE(YEAR($AN111),MONTH($AN111),1),MesCiclo))))</f>
        <v/>
      </c>
      <c r="T111" s="62">
        <f>IF(OR($S111="",$S111&lt;&gt;MesCiclo),"",COUNTIF($S$5:$S111,MesCiclo))</f>
        <v/>
      </c>
      <c r="U111" s="62">
        <f>IF($V111="","",IF($V111="Macro",ROW(),IFERROR(LOOKUP(2,1/($V$5:$V111="Macro"),ROW($V$5:$V111)),0)))</f>
        <v/>
      </c>
      <c r="V111" s="62">
        <f>IF(NOT((COUNTA($B111:$D111)+COUNTA($G111:$L111)+COUNTA($Q111))&gt;0),"",IF($B111="Subactividad","Sub","Macro"))</f>
        <v/>
      </c>
      <c r="W111" s="62">
        <f>IF($V111="Macro",COUNTIFS($U$5:$U$1000,ROW(),$V$5:$V$1000,"Sub"),"")</f>
        <v/>
      </c>
      <c r="X111" s="62">
        <f>IF($V111="","",IF(ISNUMBER($G111),1,IFERROR(LOOKUP(2,1/($I111:$L111&lt;&gt;""),$I111:$L111),0)))</f>
        <v/>
      </c>
      <c r="Y111" s="62">
        <f>IF($V111="","",IF(AND(ISNUMBER($G111),$G111&lt;=IF($S111=MesCiclo,InicioCiclo,$S111+MOD(2-WEEKDAY($S111),7))+6),1,IF(ISNUMBER($I111),$I111,0)))</f>
        <v/>
      </c>
      <c r="Z111" s="62">
        <f>IF($V111="","",IF(AND(ISNUMBER($G111),$G111&lt;=IF($S111=MesCiclo,InicioCiclo,$S111+MOD(2-WEEKDAY($S111),7))+13),1,IF(ISNUMBER($J111),$J111,$Y111)))</f>
        <v/>
      </c>
      <c r="AA111" s="62">
        <f>IF($V111="","",IF(AND(ISNUMBER($G111),$G111&lt;=IF($S111=MesCiclo,InicioCiclo,$S111+MOD(2-WEEKDAY($S111),7))+20),1,IF(ISNUMBER($K111),$K111,$Z111)))</f>
        <v/>
      </c>
      <c r="AB111" s="62">
        <f>IF($V111="","",IF(AND(ISNUMBER($G111),$G111&lt;=IF($S111=MesCiclo,InicioCiclo,$S111+MOD(2-WEEKDAY($S111),7))+27),1,IF(ISNUMBER($L111),$L111,$AA111)))</f>
        <v/>
      </c>
      <c r="AC111" s="62">
        <f>IF($V111="","",IF(AND(ISNUMBER($G111),$G111&lt;=IF($S111=MesCiclo,InicioCiclo,$S111+MOD(2-WEEKDAY($S111),7))+6),1,IF(N($W111)&gt;0,AVERAGEIFS($Y$5:$Y$1000,$U$5:$U$1000,ROW(),$V$5:$V$1000,"Sub"),$Y111)))</f>
        <v/>
      </c>
      <c r="AD111" s="62">
        <f>IF($V111="","",IF(AND(ISNUMBER($G111),$G111&lt;=IF($S111=MesCiclo,InicioCiclo,$S111+MOD(2-WEEKDAY($S111),7))+13),1,IF(N($W111)&gt;0,AVERAGEIFS($Z$5:$Z$1000,$U$5:$U$1000,ROW(),$V$5:$V$1000,"Sub"),$Z111)))</f>
        <v/>
      </c>
      <c r="AE111" s="62">
        <f>IF($V111="","",IF(AND(ISNUMBER($G111),$G111&lt;=IF($S111=MesCiclo,InicioCiclo,$S111+MOD(2-WEEKDAY($S111),7))+20),1,IF(N($W111)&gt;0,AVERAGEIFS($AA$5:$AA$1000,$U$5:$U$1000,ROW(),$V$5:$V$1000,"Sub"),$AA111)))</f>
        <v/>
      </c>
      <c r="AF111" s="62">
        <f>IF($V111="","",IF(AND(ISNUMBER($G111),$G111&lt;=IF($S111=MesCiclo,InicioCiclo,$S111+MOD(2-WEEKDAY($S111),7))+27),1,IF(N($W111)&gt;0,AVERAGEIFS($AB$5:$AB$1000,$U$5:$U$1000,ROW(),$V$5:$V$1000,"Sub"),$AB111)))</f>
        <v/>
      </c>
      <c r="AG111" s="62">
        <f>IF($V111&lt;&gt;"Macro","",IF(COUNTIFS($S$5:$S$1000,$S111,$V$5:$V$1000,"Macro",$H$5:$H$1000,"&gt;0")=0,1/COUNTIFS($S$5:$S$1000,$S111,$V$5:$V$1000,"Macro"),IF(AND(ISNUMBER($H111),N($H111)&gt;0),$H111,SUMIFS($H$5:$H$1000,$S$5:$S$1000,$S111,$V$5:$V$1000,"Macro")/COUNTIFS($S$5:$S$1000,$S111,$V$5:$V$1000,"Macro",$H$5:$H$1000,"&gt;0"))/(COUNTIFS($S$5:$S$1000,$S111,$V$5:$V$1000,"Macro")*SUMIFS($H$5:$H$1000,$S$5:$S$1000,$S111,$V$5:$V$1000,"Macro")/COUNTIFS($S$5:$S$1000,$S111,$V$5:$V$1000,"Macro",$H$5:$H$1000,"&gt;0"))))</f>
        <v/>
      </c>
      <c r="AH111" s="62">
        <f>IF(NOT(AND($D111&lt;&gt;"",$V111="Macro")),"",IFERROR(CHOOSE(MATCH($D111,ListaPuestos,0),MATCH("[Jefatura] "&amp;$C111,'Cronograma R. Operacional'!$C$5:$C$1000,0),MATCH("[Jefatura] "&amp;$C111,'Cronograma R. Normativo'!$C$5:$C$1000,0),MATCH("[Jefatura] "&amp;$C111,'Cronograma R. Financiero'!$C$5:$C$1000,0),MATCH("[Jefatura] "&amp;$C111,'Cronograma Asistente Técnico'!$C$5:$C$1000,0)),0))</f>
        <v/>
      </c>
      <c r="AI111" s="62">
        <f>IF(AND(AND($D111&lt;&gt;"",$V111="Macro"),$S111=MesCiclo),COUNTIFS($D$5:$D111,$D111,$S$5:$S111,MesCiclo,$V$5:$V111,"Macro"),"")</f>
        <v/>
      </c>
      <c r="AJ111" s="62">
        <f>IF($AI111="","",$D111&amp;"|"&amp;$AI111)</f>
        <v/>
      </c>
      <c r="AK111" s="62">
        <f>IF(AND($D111&lt;&gt;"",$V111="Macro"),$D111&amp;"|"&amp;$C111,"")</f>
        <v/>
      </c>
      <c r="AL111" s="62">
        <f>""</f>
        <v/>
      </c>
      <c r="AM111" s="62">
        <f>IF(N($AL111)&gt;0,INDEX(rIni_ADM,$AL111),IF(ISNUMBER($E111),$E111,""))</f>
        <v/>
      </c>
      <c r="AN111" s="62">
        <f>IF(N($AL111)&gt;0,INDEX(rLim_ADM,$AL111),IF(ISNUMBER($F111),$F111,""))</f>
        <v/>
      </c>
    </row>
    <row r="112">
      <c r="A112" s="56">
        <f>IF(NOT((COUNTA($B112:$D112)+COUNTA($G112:$L112)+COUNTA($Q112))&gt;0),"",IF($V112="Macro",COUNTIFS($V$5:$V112,"Macro",$S$5:$S112,$S112),IF(N($U112)=0,"?",COUNTIFS(INDEX($V$5:$V$1000,1):INDEX($V$5:$V$1000,$U112-4),"Macro",INDEX($S$5:$S$1000,1):INDEX($S$5:$S$1000,$U112-4),INDEX($S$5:$S$1000,$U112-4))&amp;"."&amp;COUNTIFS($U$5:$U112,$U112,$V$5:$V112,"Sub"))))</f>
        <v/>
      </c>
      <c r="B112" s="57" t="n"/>
      <c r="C112" s="58" t="n"/>
      <c r="D112" s="58" t="n"/>
      <c r="E112" s="59" t="n"/>
      <c r="F112" s="59" t="n"/>
      <c r="G112" s="59" t="n"/>
      <c r="H112" s="60" t="n"/>
      <c r="I112" s="60" t="n"/>
      <c r="J112" s="60" t="n"/>
      <c r="K112" s="60" t="n"/>
      <c r="L112" s="60" t="n"/>
      <c r="M112" s="61">
        <f>IF(NOT((COUNTA($B112:$D112)+COUNTA($G112:$L112)+COUNTA($Q112))&gt;0),"",IF(AND($D112&lt;&gt;"",$V112="Macro"),IF(N($AH112)&gt;0,N(CHOOSE(MATCH($D112,ListaPuestos,0),INDEX('Cronograma R. Operacional'!$M$5:$M$1000,$AH112),INDEX('Cronograma R. Normativo'!$M$5:$M$1000,$AH112),INDEX('Cronograma R. Financiero'!$M$5:$M$1000,$AH112),INDEX('Cronograma Asistente Técnico'!$M$5:$M$1000,$AH112))),0),IF(ISNUMBER($G112),1,IF(N($W112)&gt;0,AVERAGEIFS($X$5:$X$1000,$U$5:$U$1000,ROW(),$V$5:$V$1000,"Sub"),$X112))))</f>
        <v/>
      </c>
      <c r="N112" s="56">
        <f>IF($M112="","",IF($M112&gt;=1,"Completado",IF($M112&gt;0,"En curso","Pendiente")))</f>
        <v/>
      </c>
      <c r="O112" s="56">
        <f>IF(NOT((COUNTA($B112:$D112)+COUNTA($G112:$L112)+COUNTA($Q112))&gt;0),"",IF(AND(AND($D112&lt;&gt;"",$V112="Macro"),N($AH112)&gt;0),CHOOSE(MATCH($D112,ListaPuestos,0),INDEX('Cronograma R. Operacional'!$O$5:$O$1000,$AH112),INDEX('Cronograma R. Normativo'!$O$5:$O$1000,$AH112),INDEX('Cronograma R. Financiero'!$O$5:$O$1000,$AH112),INDEX('Cronograma Asistente Técnico'!$O$5:$O$1000,$AH112))&amp;"",IF(ISNUMBER($G112),IF(AND(ISNUMBER($AN112),$G112&gt;$AN112),"Cumplida con "&amp;($G112-$AN112)&amp;IF($G112-$AN112=1," día"," días")&amp;" de retraso","Cumplida"),IF(N($M112)&gt;=1,"Cumplida",IF(NOT(ISNUMBER($AN112)),"Sin fecha límite",IF($AN112&lt;FechaRef,"Vencida hace "&amp;(FechaRef-$AN112)&amp;IF(FechaRef-$AN112=1," día"," días"),IF($AN112=FechaRef,"Vence hoy",IF($AN112-FechaRef&lt;=DiasAlerta,"Vence en "&amp;($AN112-FechaRef)&amp;IF($AN112-FechaRef=1," día"," días"),"En plazo"))))))))</f>
        <v/>
      </c>
      <c r="P112" s="62">
        <f>IF(NOT((COUNTA($B112:$D112)+COUNTA($G112:$L112)+COUNTA($Q112))&gt;0),"",IF($D112="","Propia",IF($V112&lt;&gt;"Macro","Solo se delegan macroactividades",IF(N($AH112)&gt;0,"✔ Recibida por "&amp;$D112,"⚠ "&amp;$D112&amp;" aún no la agrega"))))</f>
        <v/>
      </c>
      <c r="Q112" s="58" t="n"/>
      <c r="R112" s="63">
        <f>IF(NOT((COUNTA($B112:$D112)+COUNTA($G112:$L112)+COUNTA($Q112))&gt;0),"",IF((IF($C112="","Falta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",""))="","✔ OK","⚠ "&amp;LEFT(IF($C112="","Falta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",""),LEN(IF($C112="","Falta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",""))-3)))</f>
        <v/>
      </c>
      <c r="S112" s="64">
        <f>IF(NOT((COUNTA($B112:$D112)+COUNTA($G112:$L112)+COUNTA($Q112))&gt;0),"",IF(AND($V112="Sub",N($U112)&gt;0),IF(ISNUMBER(INDEX($AM$5:$AM$1000,$U112-4)),DATE(YEAR(INDEX($AM$5:$AM$1000,$U112-4)),MONTH(INDEX($AM$5:$AM$1000,$U112-4)),1),IF(ISNUMBER(INDEX($AN$5:$AN$1000,$U112-4)),DATE(YEAR(INDEX($AN$5:$AN$1000,$U112-4)),MONTH(INDEX($AN$5:$AN$1000,$U112-4)),1),MesCiclo)),IF(ISNUMBER($AM112),DATE(YEAR($AM112),MONTH($AM112),1),IF(ISNUMBER($AN112),DATE(YEAR($AN112),MONTH($AN112),1),MesCiclo))))</f>
        <v/>
      </c>
      <c r="T112" s="62">
        <f>IF(OR($S112="",$S112&lt;&gt;MesCiclo),"",COUNTIF($S$5:$S112,MesCiclo))</f>
        <v/>
      </c>
      <c r="U112" s="62">
        <f>IF($V112="","",IF($V112="Macro",ROW(),IFERROR(LOOKUP(2,1/($V$5:$V112="Macro"),ROW($V$5:$V112)),0)))</f>
        <v/>
      </c>
      <c r="V112" s="62">
        <f>IF(NOT((COUNTA($B112:$D112)+COUNTA($G112:$L112)+COUNTA($Q112))&gt;0),"",IF($B112="Subactividad","Sub","Macro"))</f>
        <v/>
      </c>
      <c r="W112" s="62">
        <f>IF($V112="Macro",COUNTIFS($U$5:$U$1000,ROW(),$V$5:$V$1000,"Sub"),"")</f>
        <v/>
      </c>
      <c r="X112" s="62">
        <f>IF($V112="","",IF(ISNUMBER($G112),1,IFERROR(LOOKUP(2,1/($I112:$L112&lt;&gt;""),$I112:$L112),0)))</f>
        <v/>
      </c>
      <c r="Y112" s="62">
        <f>IF($V112="","",IF(AND(ISNUMBER($G112),$G112&lt;=IF($S112=MesCiclo,InicioCiclo,$S112+MOD(2-WEEKDAY($S112),7))+6),1,IF(ISNUMBER($I112),$I112,0)))</f>
        <v/>
      </c>
      <c r="Z112" s="62">
        <f>IF($V112="","",IF(AND(ISNUMBER($G112),$G112&lt;=IF($S112=MesCiclo,InicioCiclo,$S112+MOD(2-WEEKDAY($S112),7))+13),1,IF(ISNUMBER($J112),$J112,$Y112)))</f>
        <v/>
      </c>
      <c r="AA112" s="62">
        <f>IF($V112="","",IF(AND(ISNUMBER($G112),$G112&lt;=IF($S112=MesCiclo,InicioCiclo,$S112+MOD(2-WEEKDAY($S112),7))+20),1,IF(ISNUMBER($K112),$K112,$Z112)))</f>
        <v/>
      </c>
      <c r="AB112" s="62">
        <f>IF($V112="","",IF(AND(ISNUMBER($G112),$G112&lt;=IF($S112=MesCiclo,InicioCiclo,$S112+MOD(2-WEEKDAY($S112),7))+27),1,IF(ISNUMBER($L112),$L112,$AA112)))</f>
        <v/>
      </c>
      <c r="AC112" s="62">
        <f>IF($V112="","",IF(AND(ISNUMBER($G112),$G112&lt;=IF($S112=MesCiclo,InicioCiclo,$S112+MOD(2-WEEKDAY($S112),7))+6),1,IF(N($W112)&gt;0,AVERAGEIFS($Y$5:$Y$1000,$U$5:$U$1000,ROW(),$V$5:$V$1000,"Sub"),$Y112)))</f>
        <v/>
      </c>
      <c r="AD112" s="62">
        <f>IF($V112="","",IF(AND(ISNUMBER($G112),$G112&lt;=IF($S112=MesCiclo,InicioCiclo,$S112+MOD(2-WEEKDAY($S112),7))+13),1,IF(N($W112)&gt;0,AVERAGEIFS($Z$5:$Z$1000,$U$5:$U$1000,ROW(),$V$5:$V$1000,"Sub"),$Z112)))</f>
        <v/>
      </c>
      <c r="AE112" s="62">
        <f>IF($V112="","",IF(AND(ISNUMBER($G112),$G112&lt;=IF($S112=MesCiclo,InicioCiclo,$S112+MOD(2-WEEKDAY($S112),7))+20),1,IF(N($W112)&gt;0,AVERAGEIFS($AA$5:$AA$1000,$U$5:$U$1000,ROW(),$V$5:$V$1000,"Sub"),$AA112)))</f>
        <v/>
      </c>
      <c r="AF112" s="62">
        <f>IF($V112="","",IF(AND(ISNUMBER($G112),$G112&lt;=IF($S112=MesCiclo,InicioCiclo,$S112+MOD(2-WEEKDAY($S112),7))+27),1,IF(N($W112)&gt;0,AVERAGEIFS($AB$5:$AB$1000,$U$5:$U$1000,ROW(),$V$5:$V$1000,"Sub"),$AB112)))</f>
        <v/>
      </c>
      <c r="AG112" s="62">
        <f>IF($V112&lt;&gt;"Macro","",IF(COUNTIFS($S$5:$S$1000,$S112,$V$5:$V$1000,"Macro",$H$5:$H$1000,"&gt;0")=0,1/COUNTIFS($S$5:$S$1000,$S112,$V$5:$V$1000,"Macro"),IF(AND(ISNUMBER($H112),N($H112)&gt;0),$H112,SUMIFS($H$5:$H$1000,$S$5:$S$1000,$S112,$V$5:$V$1000,"Macro")/COUNTIFS($S$5:$S$1000,$S112,$V$5:$V$1000,"Macro",$H$5:$H$1000,"&gt;0"))/(COUNTIFS($S$5:$S$1000,$S112,$V$5:$V$1000,"Macro")*SUMIFS($H$5:$H$1000,$S$5:$S$1000,$S112,$V$5:$V$1000,"Macro")/COUNTIFS($S$5:$S$1000,$S112,$V$5:$V$1000,"Macro",$H$5:$H$1000,"&gt;0"))))</f>
        <v/>
      </c>
      <c r="AH112" s="62">
        <f>IF(NOT(AND($D112&lt;&gt;"",$V112="Macro")),"",IFERROR(CHOOSE(MATCH($D112,ListaPuestos,0),MATCH("[Jefatura] "&amp;$C112,'Cronograma R. Operacional'!$C$5:$C$1000,0),MATCH("[Jefatura] "&amp;$C112,'Cronograma R. Normativo'!$C$5:$C$1000,0),MATCH("[Jefatura] "&amp;$C112,'Cronograma R. Financiero'!$C$5:$C$1000,0),MATCH("[Jefatura] "&amp;$C112,'Cronograma Asistente Técnico'!$C$5:$C$1000,0)),0))</f>
        <v/>
      </c>
      <c r="AI112" s="62">
        <f>IF(AND(AND($D112&lt;&gt;"",$V112="Macro"),$S112=MesCiclo),COUNTIFS($D$5:$D112,$D112,$S$5:$S112,MesCiclo,$V$5:$V112,"Macro"),"")</f>
        <v/>
      </c>
      <c r="AJ112" s="62">
        <f>IF($AI112="","",$D112&amp;"|"&amp;$AI112)</f>
        <v/>
      </c>
      <c r="AK112" s="62">
        <f>IF(AND($D112&lt;&gt;"",$V112="Macro"),$D112&amp;"|"&amp;$C112,"")</f>
        <v/>
      </c>
      <c r="AL112" s="62">
        <f>""</f>
        <v/>
      </c>
      <c r="AM112" s="62">
        <f>IF(N($AL112)&gt;0,INDEX(rIni_ADM,$AL112),IF(ISNUMBER($E112),$E112,""))</f>
        <v/>
      </c>
      <c r="AN112" s="62">
        <f>IF(N($AL112)&gt;0,INDEX(rLim_ADM,$AL112),IF(ISNUMBER($F112),$F112,""))</f>
        <v/>
      </c>
    </row>
    <row r="113">
      <c r="A113" s="56">
        <f>IF(NOT((COUNTA($B113:$D113)+COUNTA($G113:$L113)+COUNTA($Q113))&gt;0),"",IF($V113="Macro",COUNTIFS($V$5:$V113,"Macro",$S$5:$S113,$S113),IF(N($U113)=0,"?",COUNTIFS(INDEX($V$5:$V$1000,1):INDEX($V$5:$V$1000,$U113-4),"Macro",INDEX($S$5:$S$1000,1):INDEX($S$5:$S$1000,$U113-4),INDEX($S$5:$S$1000,$U113-4))&amp;"."&amp;COUNTIFS($U$5:$U113,$U113,$V$5:$V113,"Sub"))))</f>
        <v/>
      </c>
      <c r="B113" s="57" t="n"/>
      <c r="C113" s="58" t="n"/>
      <c r="D113" s="58" t="n"/>
      <c r="E113" s="59" t="n"/>
      <c r="F113" s="59" t="n"/>
      <c r="G113" s="59" t="n"/>
      <c r="H113" s="60" t="n"/>
      <c r="I113" s="60" t="n"/>
      <c r="J113" s="60" t="n"/>
      <c r="K113" s="60" t="n"/>
      <c r="L113" s="60" t="n"/>
      <c r="M113" s="61">
        <f>IF(NOT((COUNTA($B113:$D113)+COUNTA($G113:$L113)+COUNTA($Q113))&gt;0),"",IF(AND($D113&lt;&gt;"",$V113="Macro"),IF(N($AH113)&gt;0,N(CHOOSE(MATCH($D113,ListaPuestos,0),INDEX('Cronograma R. Operacional'!$M$5:$M$1000,$AH113),INDEX('Cronograma R. Normativo'!$M$5:$M$1000,$AH113),INDEX('Cronograma R. Financiero'!$M$5:$M$1000,$AH113),INDEX('Cronograma Asistente Técnico'!$M$5:$M$1000,$AH113))),0),IF(ISNUMBER($G113),1,IF(N($W113)&gt;0,AVERAGEIFS($X$5:$X$1000,$U$5:$U$1000,ROW(),$V$5:$V$1000,"Sub"),$X113))))</f>
        <v/>
      </c>
      <c r="N113" s="56">
        <f>IF($M113="","",IF($M113&gt;=1,"Completado",IF($M113&gt;0,"En curso","Pendiente")))</f>
        <v/>
      </c>
      <c r="O113" s="56">
        <f>IF(NOT((COUNTA($B113:$D113)+COUNTA($G113:$L113)+COUNTA($Q113))&gt;0),"",IF(AND(AND($D113&lt;&gt;"",$V113="Macro"),N($AH113)&gt;0),CHOOSE(MATCH($D113,ListaPuestos,0),INDEX('Cronograma R. Operacional'!$O$5:$O$1000,$AH113),INDEX('Cronograma R. Normativo'!$O$5:$O$1000,$AH113),INDEX('Cronograma R. Financiero'!$O$5:$O$1000,$AH113),INDEX('Cronograma Asistente Técnico'!$O$5:$O$1000,$AH113))&amp;"",IF(ISNUMBER($G113),IF(AND(ISNUMBER($AN113),$G113&gt;$AN113),"Cumplida con "&amp;($G113-$AN113)&amp;IF($G113-$AN113=1," día"," días")&amp;" de retraso","Cumplida"),IF(N($M113)&gt;=1,"Cumplida",IF(NOT(ISNUMBER($AN113)),"Sin fecha límite",IF($AN113&lt;FechaRef,"Vencida hace "&amp;(FechaRef-$AN113)&amp;IF(FechaRef-$AN113=1," día"," días"),IF($AN113=FechaRef,"Vence hoy",IF($AN113-FechaRef&lt;=DiasAlerta,"Vence en "&amp;($AN113-FechaRef)&amp;IF($AN113-FechaRef=1," día"," días"),"En plazo"))))))))</f>
        <v/>
      </c>
      <c r="P113" s="62">
        <f>IF(NOT((COUNTA($B113:$D113)+COUNTA($G113:$L113)+COUNTA($Q113))&gt;0),"",IF($D113="","Propia",IF($V113&lt;&gt;"Macro","Solo se delegan macroactividades",IF(N($AH113)&gt;0,"✔ Recibida por "&amp;$D113,"⚠ "&amp;$D113&amp;" aún no la agrega"))))</f>
        <v/>
      </c>
      <c r="Q113" s="58" t="n"/>
      <c r="R113" s="63">
        <f>IF(NOT((COUNTA($B113:$D113)+COUNTA($G113:$L113)+COUNTA($Q113))&gt;0),"",IF((IF($C113="","Falta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",""))="","✔ OK","⚠ "&amp;LEFT(IF($C113="","Falta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",""),LEN(IF($C113="","Falta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",""))-3)))</f>
        <v/>
      </c>
      <c r="S113" s="64">
        <f>IF(NOT((COUNTA($B113:$D113)+COUNTA($G113:$L113)+COUNTA($Q113))&gt;0),"",IF(AND($V113="Sub",N($U113)&gt;0),IF(ISNUMBER(INDEX($AM$5:$AM$1000,$U113-4)),DATE(YEAR(INDEX($AM$5:$AM$1000,$U113-4)),MONTH(INDEX($AM$5:$AM$1000,$U113-4)),1),IF(ISNUMBER(INDEX($AN$5:$AN$1000,$U113-4)),DATE(YEAR(INDEX($AN$5:$AN$1000,$U113-4)),MONTH(INDEX($AN$5:$AN$1000,$U113-4)),1),MesCiclo)),IF(ISNUMBER($AM113),DATE(YEAR($AM113),MONTH($AM113),1),IF(ISNUMBER($AN113),DATE(YEAR($AN113),MONTH($AN113),1),MesCiclo))))</f>
        <v/>
      </c>
      <c r="T113" s="62">
        <f>IF(OR($S113="",$S113&lt;&gt;MesCiclo),"",COUNTIF($S$5:$S113,MesCiclo))</f>
        <v/>
      </c>
      <c r="U113" s="62">
        <f>IF($V113="","",IF($V113="Macro",ROW(),IFERROR(LOOKUP(2,1/($V$5:$V113="Macro"),ROW($V$5:$V113)),0)))</f>
        <v/>
      </c>
      <c r="V113" s="62">
        <f>IF(NOT((COUNTA($B113:$D113)+COUNTA($G113:$L113)+COUNTA($Q113))&gt;0),"",IF($B113="Subactividad","Sub","Macro"))</f>
        <v/>
      </c>
      <c r="W113" s="62">
        <f>IF($V113="Macro",COUNTIFS($U$5:$U$1000,ROW(),$V$5:$V$1000,"Sub"),"")</f>
        <v/>
      </c>
      <c r="X113" s="62">
        <f>IF($V113="","",IF(ISNUMBER($G113),1,IFERROR(LOOKUP(2,1/($I113:$L113&lt;&gt;""),$I113:$L113),0)))</f>
        <v/>
      </c>
      <c r="Y113" s="62">
        <f>IF($V113="","",IF(AND(ISNUMBER($G113),$G113&lt;=IF($S113=MesCiclo,InicioCiclo,$S113+MOD(2-WEEKDAY($S113),7))+6),1,IF(ISNUMBER($I113),$I113,0)))</f>
        <v/>
      </c>
      <c r="Z113" s="62">
        <f>IF($V113="","",IF(AND(ISNUMBER($G113),$G113&lt;=IF($S113=MesCiclo,InicioCiclo,$S113+MOD(2-WEEKDAY($S113),7))+13),1,IF(ISNUMBER($J113),$J113,$Y113)))</f>
        <v/>
      </c>
      <c r="AA113" s="62">
        <f>IF($V113="","",IF(AND(ISNUMBER($G113),$G113&lt;=IF($S113=MesCiclo,InicioCiclo,$S113+MOD(2-WEEKDAY($S113),7))+20),1,IF(ISNUMBER($K113),$K113,$Z113)))</f>
        <v/>
      </c>
      <c r="AB113" s="62">
        <f>IF($V113="","",IF(AND(ISNUMBER($G113),$G113&lt;=IF($S113=MesCiclo,InicioCiclo,$S113+MOD(2-WEEKDAY($S113),7))+27),1,IF(ISNUMBER($L113),$L113,$AA113)))</f>
        <v/>
      </c>
      <c r="AC113" s="62">
        <f>IF($V113="","",IF(AND(ISNUMBER($G113),$G113&lt;=IF($S113=MesCiclo,InicioCiclo,$S113+MOD(2-WEEKDAY($S113),7))+6),1,IF(N($W113)&gt;0,AVERAGEIFS($Y$5:$Y$1000,$U$5:$U$1000,ROW(),$V$5:$V$1000,"Sub"),$Y113)))</f>
        <v/>
      </c>
      <c r="AD113" s="62">
        <f>IF($V113="","",IF(AND(ISNUMBER($G113),$G113&lt;=IF($S113=MesCiclo,InicioCiclo,$S113+MOD(2-WEEKDAY($S113),7))+13),1,IF(N($W113)&gt;0,AVERAGEIFS($Z$5:$Z$1000,$U$5:$U$1000,ROW(),$V$5:$V$1000,"Sub"),$Z113)))</f>
        <v/>
      </c>
      <c r="AE113" s="62">
        <f>IF($V113="","",IF(AND(ISNUMBER($G113),$G113&lt;=IF($S113=MesCiclo,InicioCiclo,$S113+MOD(2-WEEKDAY($S113),7))+20),1,IF(N($W113)&gt;0,AVERAGEIFS($AA$5:$AA$1000,$U$5:$U$1000,ROW(),$V$5:$V$1000,"Sub"),$AA113)))</f>
        <v/>
      </c>
      <c r="AF113" s="62">
        <f>IF($V113="","",IF(AND(ISNUMBER($G113),$G113&lt;=IF($S113=MesCiclo,InicioCiclo,$S113+MOD(2-WEEKDAY($S113),7))+27),1,IF(N($W113)&gt;0,AVERAGEIFS($AB$5:$AB$1000,$U$5:$U$1000,ROW(),$V$5:$V$1000,"Sub"),$AB113)))</f>
        <v/>
      </c>
      <c r="AG113" s="62">
        <f>IF($V113&lt;&gt;"Macro","",IF(COUNTIFS($S$5:$S$1000,$S113,$V$5:$V$1000,"Macro",$H$5:$H$1000,"&gt;0")=0,1/COUNTIFS($S$5:$S$1000,$S113,$V$5:$V$1000,"Macro"),IF(AND(ISNUMBER($H113),N($H113)&gt;0),$H113,SUMIFS($H$5:$H$1000,$S$5:$S$1000,$S113,$V$5:$V$1000,"Macro")/COUNTIFS($S$5:$S$1000,$S113,$V$5:$V$1000,"Macro",$H$5:$H$1000,"&gt;0"))/(COUNTIFS($S$5:$S$1000,$S113,$V$5:$V$1000,"Macro")*SUMIFS($H$5:$H$1000,$S$5:$S$1000,$S113,$V$5:$V$1000,"Macro")/COUNTIFS($S$5:$S$1000,$S113,$V$5:$V$1000,"Macro",$H$5:$H$1000,"&gt;0"))))</f>
        <v/>
      </c>
      <c r="AH113" s="62">
        <f>IF(NOT(AND($D113&lt;&gt;"",$V113="Macro")),"",IFERROR(CHOOSE(MATCH($D113,ListaPuestos,0),MATCH("[Jefatura] "&amp;$C113,'Cronograma R. Operacional'!$C$5:$C$1000,0),MATCH("[Jefatura] "&amp;$C113,'Cronograma R. Normativo'!$C$5:$C$1000,0),MATCH("[Jefatura] "&amp;$C113,'Cronograma R. Financiero'!$C$5:$C$1000,0),MATCH("[Jefatura] "&amp;$C113,'Cronograma Asistente Técnico'!$C$5:$C$1000,0)),0))</f>
        <v/>
      </c>
      <c r="AI113" s="62">
        <f>IF(AND(AND($D113&lt;&gt;"",$V113="Macro"),$S113=MesCiclo),COUNTIFS($D$5:$D113,$D113,$S$5:$S113,MesCiclo,$V$5:$V113,"Macro"),"")</f>
        <v/>
      </c>
      <c r="AJ113" s="62">
        <f>IF($AI113="","",$D113&amp;"|"&amp;$AI113)</f>
        <v/>
      </c>
      <c r="AK113" s="62">
        <f>IF(AND($D113&lt;&gt;"",$V113="Macro"),$D113&amp;"|"&amp;$C113,"")</f>
        <v/>
      </c>
      <c r="AL113" s="62">
        <f>""</f>
        <v/>
      </c>
      <c r="AM113" s="62">
        <f>IF(N($AL113)&gt;0,INDEX(rIni_ADM,$AL113),IF(ISNUMBER($E113),$E113,""))</f>
        <v/>
      </c>
      <c r="AN113" s="62">
        <f>IF(N($AL113)&gt;0,INDEX(rLim_ADM,$AL113),IF(ISNUMBER($F113),$F113,""))</f>
        <v/>
      </c>
    </row>
    <row r="114">
      <c r="A114" s="56">
        <f>IF(NOT((COUNTA($B114:$D114)+COUNTA($G114:$L114)+COUNTA($Q114))&gt;0),"",IF($V114="Macro",COUNTIFS($V$5:$V114,"Macro",$S$5:$S114,$S114),IF(N($U114)=0,"?",COUNTIFS(INDEX($V$5:$V$1000,1):INDEX($V$5:$V$1000,$U114-4),"Macro",INDEX($S$5:$S$1000,1):INDEX($S$5:$S$1000,$U114-4),INDEX($S$5:$S$1000,$U114-4))&amp;"."&amp;COUNTIFS($U$5:$U114,$U114,$V$5:$V114,"Sub"))))</f>
        <v/>
      </c>
      <c r="B114" s="57" t="n"/>
      <c r="C114" s="58" t="n"/>
      <c r="D114" s="58" t="n"/>
      <c r="E114" s="59" t="n"/>
      <c r="F114" s="59" t="n"/>
      <c r="G114" s="59" t="n"/>
      <c r="H114" s="60" t="n"/>
      <c r="I114" s="60" t="n"/>
      <c r="J114" s="60" t="n"/>
      <c r="K114" s="60" t="n"/>
      <c r="L114" s="60" t="n"/>
      <c r="M114" s="61">
        <f>IF(NOT((COUNTA($B114:$D114)+COUNTA($G114:$L114)+COUNTA($Q114))&gt;0),"",IF(AND($D114&lt;&gt;"",$V114="Macro"),IF(N($AH114)&gt;0,N(CHOOSE(MATCH($D114,ListaPuestos,0),INDEX('Cronograma R. Operacional'!$M$5:$M$1000,$AH114),INDEX('Cronograma R. Normativo'!$M$5:$M$1000,$AH114),INDEX('Cronograma R. Financiero'!$M$5:$M$1000,$AH114),INDEX('Cronograma Asistente Técnico'!$M$5:$M$1000,$AH114))),0),IF(ISNUMBER($G114),1,IF(N($W114)&gt;0,AVERAGEIFS($X$5:$X$1000,$U$5:$U$1000,ROW(),$V$5:$V$1000,"Sub"),$X114))))</f>
        <v/>
      </c>
      <c r="N114" s="56">
        <f>IF($M114="","",IF($M114&gt;=1,"Completado",IF($M114&gt;0,"En curso","Pendiente")))</f>
        <v/>
      </c>
      <c r="O114" s="56">
        <f>IF(NOT((COUNTA($B114:$D114)+COUNTA($G114:$L114)+COUNTA($Q114))&gt;0),"",IF(AND(AND($D114&lt;&gt;"",$V114="Macro"),N($AH114)&gt;0),CHOOSE(MATCH($D114,ListaPuestos,0),INDEX('Cronograma R. Operacional'!$O$5:$O$1000,$AH114),INDEX('Cronograma R. Normativo'!$O$5:$O$1000,$AH114),INDEX('Cronograma R. Financiero'!$O$5:$O$1000,$AH114),INDEX('Cronograma Asistente Técnico'!$O$5:$O$1000,$AH114))&amp;"",IF(ISNUMBER($G114),IF(AND(ISNUMBER($AN114),$G114&gt;$AN114),"Cumplida con "&amp;($G114-$AN114)&amp;IF($G114-$AN114=1," día"," días")&amp;" de retraso","Cumplida"),IF(N($M114)&gt;=1,"Cumplida",IF(NOT(ISNUMBER($AN114)),"Sin fecha límite",IF($AN114&lt;FechaRef,"Vencida hace "&amp;(FechaRef-$AN114)&amp;IF(FechaRef-$AN114=1," día"," días"),IF($AN114=FechaRef,"Vence hoy",IF($AN114-FechaRef&lt;=DiasAlerta,"Vence en "&amp;($AN114-FechaRef)&amp;IF($AN114-FechaRef=1," día"," días"),"En plazo"))))))))</f>
        <v/>
      </c>
      <c r="P114" s="62">
        <f>IF(NOT((COUNTA($B114:$D114)+COUNTA($G114:$L114)+COUNTA($Q114))&gt;0),"",IF($D114="","Propia",IF($V114&lt;&gt;"Macro","Solo se delegan macroactividades",IF(N($AH114)&gt;0,"✔ Recibida por "&amp;$D114,"⚠ "&amp;$D114&amp;" aún no la agrega"))))</f>
        <v/>
      </c>
      <c r="Q114" s="58" t="n"/>
      <c r="R114" s="63">
        <f>IF(NOT((COUNTA($B114:$D114)+COUNTA($G114:$L114)+COUNTA($Q114))&gt;0),"",IF((IF($C114="","Falta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",""))="","✔ OK","⚠ "&amp;LEFT(IF($C114="","Falta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",""),LEN(IF($C114="","Falta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",""))-3)))</f>
        <v/>
      </c>
      <c r="S114" s="64">
        <f>IF(NOT((COUNTA($B114:$D114)+COUNTA($G114:$L114)+COUNTA($Q114))&gt;0),"",IF(AND($V114="Sub",N($U114)&gt;0),IF(ISNUMBER(INDEX($AM$5:$AM$1000,$U114-4)),DATE(YEAR(INDEX($AM$5:$AM$1000,$U114-4)),MONTH(INDEX($AM$5:$AM$1000,$U114-4)),1),IF(ISNUMBER(INDEX($AN$5:$AN$1000,$U114-4)),DATE(YEAR(INDEX($AN$5:$AN$1000,$U114-4)),MONTH(INDEX($AN$5:$AN$1000,$U114-4)),1),MesCiclo)),IF(ISNUMBER($AM114),DATE(YEAR($AM114),MONTH($AM114),1),IF(ISNUMBER($AN114),DATE(YEAR($AN114),MONTH($AN114),1),MesCiclo))))</f>
        <v/>
      </c>
      <c r="T114" s="62">
        <f>IF(OR($S114="",$S114&lt;&gt;MesCiclo),"",COUNTIF($S$5:$S114,MesCiclo))</f>
        <v/>
      </c>
      <c r="U114" s="62">
        <f>IF($V114="","",IF($V114="Macro",ROW(),IFERROR(LOOKUP(2,1/($V$5:$V114="Macro"),ROW($V$5:$V114)),0)))</f>
        <v/>
      </c>
      <c r="V114" s="62">
        <f>IF(NOT((COUNTA($B114:$D114)+COUNTA($G114:$L114)+COUNTA($Q114))&gt;0),"",IF($B114="Subactividad","Sub","Macro"))</f>
        <v/>
      </c>
      <c r="W114" s="62">
        <f>IF($V114="Macro",COUNTIFS($U$5:$U$1000,ROW(),$V$5:$V$1000,"Sub"),"")</f>
        <v/>
      </c>
      <c r="X114" s="62">
        <f>IF($V114="","",IF(ISNUMBER($G114),1,IFERROR(LOOKUP(2,1/($I114:$L114&lt;&gt;""),$I114:$L114),0)))</f>
        <v/>
      </c>
      <c r="Y114" s="62">
        <f>IF($V114="","",IF(AND(ISNUMBER($G114),$G114&lt;=IF($S114=MesCiclo,InicioCiclo,$S114+MOD(2-WEEKDAY($S114),7))+6),1,IF(ISNUMBER($I114),$I114,0)))</f>
        <v/>
      </c>
      <c r="Z114" s="62">
        <f>IF($V114="","",IF(AND(ISNUMBER($G114),$G114&lt;=IF($S114=MesCiclo,InicioCiclo,$S114+MOD(2-WEEKDAY($S114),7))+13),1,IF(ISNUMBER($J114),$J114,$Y114)))</f>
        <v/>
      </c>
      <c r="AA114" s="62">
        <f>IF($V114="","",IF(AND(ISNUMBER($G114),$G114&lt;=IF($S114=MesCiclo,InicioCiclo,$S114+MOD(2-WEEKDAY($S114),7))+20),1,IF(ISNUMBER($K114),$K114,$Z114)))</f>
        <v/>
      </c>
      <c r="AB114" s="62">
        <f>IF($V114="","",IF(AND(ISNUMBER($G114),$G114&lt;=IF($S114=MesCiclo,InicioCiclo,$S114+MOD(2-WEEKDAY($S114),7))+27),1,IF(ISNUMBER($L114),$L114,$AA114)))</f>
        <v/>
      </c>
      <c r="AC114" s="62">
        <f>IF($V114="","",IF(AND(ISNUMBER($G114),$G114&lt;=IF($S114=MesCiclo,InicioCiclo,$S114+MOD(2-WEEKDAY($S114),7))+6),1,IF(N($W114)&gt;0,AVERAGEIFS($Y$5:$Y$1000,$U$5:$U$1000,ROW(),$V$5:$V$1000,"Sub"),$Y114)))</f>
        <v/>
      </c>
      <c r="AD114" s="62">
        <f>IF($V114="","",IF(AND(ISNUMBER($G114),$G114&lt;=IF($S114=MesCiclo,InicioCiclo,$S114+MOD(2-WEEKDAY($S114),7))+13),1,IF(N($W114)&gt;0,AVERAGEIFS($Z$5:$Z$1000,$U$5:$U$1000,ROW(),$V$5:$V$1000,"Sub"),$Z114)))</f>
        <v/>
      </c>
      <c r="AE114" s="62">
        <f>IF($V114="","",IF(AND(ISNUMBER($G114),$G114&lt;=IF($S114=MesCiclo,InicioCiclo,$S114+MOD(2-WEEKDAY($S114),7))+20),1,IF(N($W114)&gt;0,AVERAGEIFS($AA$5:$AA$1000,$U$5:$U$1000,ROW(),$V$5:$V$1000,"Sub"),$AA114)))</f>
        <v/>
      </c>
      <c r="AF114" s="62">
        <f>IF($V114="","",IF(AND(ISNUMBER($G114),$G114&lt;=IF($S114=MesCiclo,InicioCiclo,$S114+MOD(2-WEEKDAY($S114),7))+27),1,IF(N($W114)&gt;0,AVERAGEIFS($AB$5:$AB$1000,$U$5:$U$1000,ROW(),$V$5:$V$1000,"Sub"),$AB114)))</f>
        <v/>
      </c>
      <c r="AG114" s="62">
        <f>IF($V114&lt;&gt;"Macro","",IF(COUNTIFS($S$5:$S$1000,$S114,$V$5:$V$1000,"Macro",$H$5:$H$1000,"&gt;0")=0,1/COUNTIFS($S$5:$S$1000,$S114,$V$5:$V$1000,"Macro"),IF(AND(ISNUMBER($H114),N($H114)&gt;0),$H114,SUMIFS($H$5:$H$1000,$S$5:$S$1000,$S114,$V$5:$V$1000,"Macro")/COUNTIFS($S$5:$S$1000,$S114,$V$5:$V$1000,"Macro",$H$5:$H$1000,"&gt;0"))/(COUNTIFS($S$5:$S$1000,$S114,$V$5:$V$1000,"Macro")*SUMIFS($H$5:$H$1000,$S$5:$S$1000,$S114,$V$5:$V$1000,"Macro")/COUNTIFS($S$5:$S$1000,$S114,$V$5:$V$1000,"Macro",$H$5:$H$1000,"&gt;0"))))</f>
        <v/>
      </c>
      <c r="AH114" s="62">
        <f>IF(NOT(AND($D114&lt;&gt;"",$V114="Macro")),"",IFERROR(CHOOSE(MATCH($D114,ListaPuestos,0),MATCH("[Jefatura] "&amp;$C114,'Cronograma R. Operacional'!$C$5:$C$1000,0),MATCH("[Jefatura] "&amp;$C114,'Cronograma R. Normativo'!$C$5:$C$1000,0),MATCH("[Jefatura] "&amp;$C114,'Cronograma R. Financiero'!$C$5:$C$1000,0),MATCH("[Jefatura] "&amp;$C114,'Cronograma Asistente Técnico'!$C$5:$C$1000,0)),0))</f>
        <v/>
      </c>
      <c r="AI114" s="62">
        <f>IF(AND(AND($D114&lt;&gt;"",$V114="Macro"),$S114=MesCiclo),COUNTIFS($D$5:$D114,$D114,$S$5:$S114,MesCiclo,$V$5:$V114,"Macro"),"")</f>
        <v/>
      </c>
      <c r="AJ114" s="62">
        <f>IF($AI114="","",$D114&amp;"|"&amp;$AI114)</f>
        <v/>
      </c>
      <c r="AK114" s="62">
        <f>IF(AND($D114&lt;&gt;"",$V114="Macro"),$D114&amp;"|"&amp;$C114,"")</f>
        <v/>
      </c>
      <c r="AL114" s="62">
        <f>""</f>
        <v/>
      </c>
      <c r="AM114" s="62">
        <f>IF(N($AL114)&gt;0,INDEX(rIni_ADM,$AL114),IF(ISNUMBER($E114),$E114,""))</f>
        <v/>
      </c>
      <c r="AN114" s="62">
        <f>IF(N($AL114)&gt;0,INDEX(rLim_ADM,$AL114),IF(ISNUMBER($F114),$F114,""))</f>
        <v/>
      </c>
    </row>
    <row r="115">
      <c r="A115" s="56">
        <f>IF(NOT((COUNTA($B115:$D115)+COUNTA($G115:$L115)+COUNTA($Q115))&gt;0),"",IF($V115="Macro",COUNTIFS($V$5:$V115,"Macro",$S$5:$S115,$S115),IF(N($U115)=0,"?",COUNTIFS(INDEX($V$5:$V$1000,1):INDEX($V$5:$V$1000,$U115-4),"Macro",INDEX($S$5:$S$1000,1):INDEX($S$5:$S$1000,$U115-4),INDEX($S$5:$S$1000,$U115-4))&amp;"."&amp;COUNTIFS($U$5:$U115,$U115,$V$5:$V115,"Sub"))))</f>
        <v/>
      </c>
      <c r="B115" s="57" t="n"/>
      <c r="C115" s="58" t="n"/>
      <c r="D115" s="58" t="n"/>
      <c r="E115" s="59" t="n"/>
      <c r="F115" s="59" t="n"/>
      <c r="G115" s="59" t="n"/>
      <c r="H115" s="60" t="n"/>
      <c r="I115" s="60" t="n"/>
      <c r="J115" s="60" t="n"/>
      <c r="K115" s="60" t="n"/>
      <c r="L115" s="60" t="n"/>
      <c r="M115" s="61">
        <f>IF(NOT((COUNTA($B115:$D115)+COUNTA($G115:$L115)+COUNTA($Q115))&gt;0),"",IF(AND($D115&lt;&gt;"",$V115="Macro"),IF(N($AH115)&gt;0,N(CHOOSE(MATCH($D115,ListaPuestos,0),INDEX('Cronograma R. Operacional'!$M$5:$M$1000,$AH115),INDEX('Cronograma R. Normativo'!$M$5:$M$1000,$AH115),INDEX('Cronograma R. Financiero'!$M$5:$M$1000,$AH115),INDEX('Cronograma Asistente Técnico'!$M$5:$M$1000,$AH115))),0),IF(ISNUMBER($G115),1,IF(N($W115)&gt;0,AVERAGEIFS($X$5:$X$1000,$U$5:$U$1000,ROW(),$V$5:$V$1000,"Sub"),$X115))))</f>
        <v/>
      </c>
      <c r="N115" s="56">
        <f>IF($M115="","",IF($M115&gt;=1,"Completado",IF($M115&gt;0,"En curso","Pendiente")))</f>
        <v/>
      </c>
      <c r="O115" s="56">
        <f>IF(NOT((COUNTA($B115:$D115)+COUNTA($G115:$L115)+COUNTA($Q115))&gt;0),"",IF(AND(AND($D115&lt;&gt;"",$V115="Macro"),N($AH115)&gt;0),CHOOSE(MATCH($D115,ListaPuestos,0),INDEX('Cronograma R. Operacional'!$O$5:$O$1000,$AH115),INDEX('Cronograma R. Normativo'!$O$5:$O$1000,$AH115),INDEX('Cronograma R. Financiero'!$O$5:$O$1000,$AH115),INDEX('Cronograma Asistente Técnico'!$O$5:$O$1000,$AH115))&amp;"",IF(ISNUMBER($G115),IF(AND(ISNUMBER($AN115),$G115&gt;$AN115),"Cumplida con "&amp;($G115-$AN115)&amp;IF($G115-$AN115=1," día"," días")&amp;" de retraso","Cumplida"),IF(N($M115)&gt;=1,"Cumplida",IF(NOT(ISNUMBER($AN115)),"Sin fecha límite",IF($AN115&lt;FechaRef,"Vencida hace "&amp;(FechaRef-$AN115)&amp;IF(FechaRef-$AN115=1," día"," días"),IF($AN115=FechaRef,"Vence hoy",IF($AN115-FechaRef&lt;=DiasAlerta,"Vence en "&amp;($AN115-FechaRef)&amp;IF($AN115-FechaRef=1," día"," días"),"En plazo"))))))))</f>
        <v/>
      </c>
      <c r="P115" s="62">
        <f>IF(NOT((COUNTA($B115:$D115)+COUNTA($G115:$L115)+COUNTA($Q115))&gt;0),"",IF($D115="","Propia",IF($V115&lt;&gt;"Macro","Solo se delegan macroactividades",IF(N($AH115)&gt;0,"✔ Recibida por "&amp;$D115,"⚠ "&amp;$D115&amp;" aún no la agrega"))))</f>
        <v/>
      </c>
      <c r="Q115" s="58" t="n"/>
      <c r="R115" s="63">
        <f>IF(NOT((COUNTA($B115:$D115)+COUNTA($G115:$L115)+COUNTA($Q115))&gt;0),"",IF((IF($C115="","Falta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",""))="","✔ OK","⚠ "&amp;LEFT(IF($C115="","Falta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",""),LEN(IF($C115="","Falta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",""))-3)))</f>
        <v/>
      </c>
      <c r="S115" s="64">
        <f>IF(NOT((COUNTA($B115:$D115)+COUNTA($G115:$L115)+COUNTA($Q115))&gt;0),"",IF(AND($V115="Sub",N($U115)&gt;0),IF(ISNUMBER(INDEX($AM$5:$AM$1000,$U115-4)),DATE(YEAR(INDEX($AM$5:$AM$1000,$U115-4)),MONTH(INDEX($AM$5:$AM$1000,$U115-4)),1),IF(ISNUMBER(INDEX($AN$5:$AN$1000,$U115-4)),DATE(YEAR(INDEX($AN$5:$AN$1000,$U115-4)),MONTH(INDEX($AN$5:$AN$1000,$U115-4)),1),MesCiclo)),IF(ISNUMBER($AM115),DATE(YEAR($AM115),MONTH($AM115),1),IF(ISNUMBER($AN115),DATE(YEAR($AN115),MONTH($AN115),1),MesCiclo))))</f>
        <v/>
      </c>
      <c r="T115" s="62">
        <f>IF(OR($S115="",$S115&lt;&gt;MesCiclo),"",COUNTIF($S$5:$S115,MesCiclo))</f>
        <v/>
      </c>
      <c r="U115" s="62">
        <f>IF($V115="","",IF($V115="Macro",ROW(),IFERROR(LOOKUP(2,1/($V$5:$V115="Macro"),ROW($V$5:$V115)),0)))</f>
        <v/>
      </c>
      <c r="V115" s="62">
        <f>IF(NOT((COUNTA($B115:$D115)+COUNTA($G115:$L115)+COUNTA($Q115))&gt;0),"",IF($B115="Subactividad","Sub","Macro"))</f>
        <v/>
      </c>
      <c r="W115" s="62">
        <f>IF($V115="Macro",COUNTIFS($U$5:$U$1000,ROW(),$V$5:$V$1000,"Sub"),"")</f>
        <v/>
      </c>
      <c r="X115" s="62">
        <f>IF($V115="","",IF(ISNUMBER($G115),1,IFERROR(LOOKUP(2,1/($I115:$L115&lt;&gt;""),$I115:$L115),0)))</f>
        <v/>
      </c>
      <c r="Y115" s="62">
        <f>IF($V115="","",IF(AND(ISNUMBER($G115),$G115&lt;=IF($S115=MesCiclo,InicioCiclo,$S115+MOD(2-WEEKDAY($S115),7))+6),1,IF(ISNUMBER($I115),$I115,0)))</f>
        <v/>
      </c>
      <c r="Z115" s="62">
        <f>IF($V115="","",IF(AND(ISNUMBER($G115),$G115&lt;=IF($S115=MesCiclo,InicioCiclo,$S115+MOD(2-WEEKDAY($S115),7))+13),1,IF(ISNUMBER($J115),$J115,$Y115)))</f>
        <v/>
      </c>
      <c r="AA115" s="62">
        <f>IF($V115="","",IF(AND(ISNUMBER($G115),$G115&lt;=IF($S115=MesCiclo,InicioCiclo,$S115+MOD(2-WEEKDAY($S115),7))+20),1,IF(ISNUMBER($K115),$K115,$Z115)))</f>
        <v/>
      </c>
      <c r="AB115" s="62">
        <f>IF($V115="","",IF(AND(ISNUMBER($G115),$G115&lt;=IF($S115=MesCiclo,InicioCiclo,$S115+MOD(2-WEEKDAY($S115),7))+27),1,IF(ISNUMBER($L115),$L115,$AA115)))</f>
        <v/>
      </c>
      <c r="AC115" s="62">
        <f>IF($V115="","",IF(AND(ISNUMBER($G115),$G115&lt;=IF($S115=MesCiclo,InicioCiclo,$S115+MOD(2-WEEKDAY($S115),7))+6),1,IF(N($W115)&gt;0,AVERAGEIFS($Y$5:$Y$1000,$U$5:$U$1000,ROW(),$V$5:$V$1000,"Sub"),$Y115)))</f>
        <v/>
      </c>
      <c r="AD115" s="62">
        <f>IF($V115="","",IF(AND(ISNUMBER($G115),$G115&lt;=IF($S115=MesCiclo,InicioCiclo,$S115+MOD(2-WEEKDAY($S115),7))+13),1,IF(N($W115)&gt;0,AVERAGEIFS($Z$5:$Z$1000,$U$5:$U$1000,ROW(),$V$5:$V$1000,"Sub"),$Z115)))</f>
        <v/>
      </c>
      <c r="AE115" s="62">
        <f>IF($V115="","",IF(AND(ISNUMBER($G115),$G115&lt;=IF($S115=MesCiclo,InicioCiclo,$S115+MOD(2-WEEKDAY($S115),7))+20),1,IF(N($W115)&gt;0,AVERAGEIFS($AA$5:$AA$1000,$U$5:$U$1000,ROW(),$V$5:$V$1000,"Sub"),$AA115)))</f>
        <v/>
      </c>
      <c r="AF115" s="62">
        <f>IF($V115="","",IF(AND(ISNUMBER($G115),$G115&lt;=IF($S115=MesCiclo,InicioCiclo,$S115+MOD(2-WEEKDAY($S115),7))+27),1,IF(N($W115)&gt;0,AVERAGEIFS($AB$5:$AB$1000,$U$5:$U$1000,ROW(),$V$5:$V$1000,"Sub"),$AB115)))</f>
        <v/>
      </c>
      <c r="AG115" s="62">
        <f>IF($V115&lt;&gt;"Macro","",IF(COUNTIFS($S$5:$S$1000,$S115,$V$5:$V$1000,"Macro",$H$5:$H$1000,"&gt;0")=0,1/COUNTIFS($S$5:$S$1000,$S115,$V$5:$V$1000,"Macro"),IF(AND(ISNUMBER($H115),N($H115)&gt;0),$H115,SUMIFS($H$5:$H$1000,$S$5:$S$1000,$S115,$V$5:$V$1000,"Macro")/COUNTIFS($S$5:$S$1000,$S115,$V$5:$V$1000,"Macro",$H$5:$H$1000,"&gt;0"))/(COUNTIFS($S$5:$S$1000,$S115,$V$5:$V$1000,"Macro")*SUMIFS($H$5:$H$1000,$S$5:$S$1000,$S115,$V$5:$V$1000,"Macro")/COUNTIFS($S$5:$S$1000,$S115,$V$5:$V$1000,"Macro",$H$5:$H$1000,"&gt;0"))))</f>
        <v/>
      </c>
      <c r="AH115" s="62">
        <f>IF(NOT(AND($D115&lt;&gt;"",$V115="Macro")),"",IFERROR(CHOOSE(MATCH($D115,ListaPuestos,0),MATCH("[Jefatura] "&amp;$C115,'Cronograma R. Operacional'!$C$5:$C$1000,0),MATCH("[Jefatura] "&amp;$C115,'Cronograma R. Normativo'!$C$5:$C$1000,0),MATCH("[Jefatura] "&amp;$C115,'Cronograma R. Financiero'!$C$5:$C$1000,0),MATCH("[Jefatura] "&amp;$C115,'Cronograma Asistente Técnico'!$C$5:$C$1000,0)),0))</f>
        <v/>
      </c>
      <c r="AI115" s="62">
        <f>IF(AND(AND($D115&lt;&gt;"",$V115="Macro"),$S115=MesCiclo),COUNTIFS($D$5:$D115,$D115,$S$5:$S115,MesCiclo,$V$5:$V115,"Macro"),"")</f>
        <v/>
      </c>
      <c r="AJ115" s="62">
        <f>IF($AI115="","",$D115&amp;"|"&amp;$AI115)</f>
        <v/>
      </c>
      <c r="AK115" s="62">
        <f>IF(AND($D115&lt;&gt;"",$V115="Macro"),$D115&amp;"|"&amp;$C115,"")</f>
        <v/>
      </c>
      <c r="AL115" s="62">
        <f>""</f>
        <v/>
      </c>
      <c r="AM115" s="62">
        <f>IF(N($AL115)&gt;0,INDEX(rIni_ADM,$AL115),IF(ISNUMBER($E115),$E115,""))</f>
        <v/>
      </c>
      <c r="AN115" s="62">
        <f>IF(N($AL115)&gt;0,INDEX(rLim_ADM,$AL115),IF(ISNUMBER($F115),$F115,""))</f>
        <v/>
      </c>
    </row>
    <row r="116">
      <c r="A116" s="56">
        <f>IF(NOT((COUNTA($B116:$D116)+COUNTA($G116:$L116)+COUNTA($Q116))&gt;0),"",IF($V116="Macro",COUNTIFS($V$5:$V116,"Macro",$S$5:$S116,$S116),IF(N($U116)=0,"?",COUNTIFS(INDEX($V$5:$V$1000,1):INDEX($V$5:$V$1000,$U116-4),"Macro",INDEX($S$5:$S$1000,1):INDEX($S$5:$S$1000,$U116-4),INDEX($S$5:$S$1000,$U116-4))&amp;"."&amp;COUNTIFS($U$5:$U116,$U116,$V$5:$V116,"Sub"))))</f>
        <v/>
      </c>
      <c r="B116" s="57" t="n"/>
      <c r="C116" s="58" t="n"/>
      <c r="D116" s="58" t="n"/>
      <c r="E116" s="59" t="n"/>
      <c r="F116" s="59" t="n"/>
      <c r="G116" s="59" t="n"/>
      <c r="H116" s="60" t="n"/>
      <c r="I116" s="60" t="n"/>
      <c r="J116" s="60" t="n"/>
      <c r="K116" s="60" t="n"/>
      <c r="L116" s="60" t="n"/>
      <c r="M116" s="61">
        <f>IF(NOT((COUNTA($B116:$D116)+COUNTA($G116:$L116)+COUNTA($Q116))&gt;0),"",IF(AND($D116&lt;&gt;"",$V116="Macro"),IF(N($AH116)&gt;0,N(CHOOSE(MATCH($D116,ListaPuestos,0),INDEX('Cronograma R. Operacional'!$M$5:$M$1000,$AH116),INDEX('Cronograma R. Normativo'!$M$5:$M$1000,$AH116),INDEX('Cronograma R. Financiero'!$M$5:$M$1000,$AH116),INDEX('Cronograma Asistente Técnico'!$M$5:$M$1000,$AH116))),0),IF(ISNUMBER($G116),1,IF(N($W116)&gt;0,AVERAGEIFS($X$5:$X$1000,$U$5:$U$1000,ROW(),$V$5:$V$1000,"Sub"),$X116))))</f>
        <v/>
      </c>
      <c r="N116" s="56">
        <f>IF($M116="","",IF($M116&gt;=1,"Completado",IF($M116&gt;0,"En curso","Pendiente")))</f>
        <v/>
      </c>
      <c r="O116" s="56">
        <f>IF(NOT((COUNTA($B116:$D116)+COUNTA($G116:$L116)+COUNTA($Q116))&gt;0),"",IF(AND(AND($D116&lt;&gt;"",$V116="Macro"),N($AH116)&gt;0),CHOOSE(MATCH($D116,ListaPuestos,0),INDEX('Cronograma R. Operacional'!$O$5:$O$1000,$AH116),INDEX('Cronograma R. Normativo'!$O$5:$O$1000,$AH116),INDEX('Cronograma R. Financiero'!$O$5:$O$1000,$AH116),INDEX('Cronograma Asistente Técnico'!$O$5:$O$1000,$AH116))&amp;"",IF(ISNUMBER($G116),IF(AND(ISNUMBER($AN116),$G116&gt;$AN116),"Cumplida con "&amp;($G116-$AN116)&amp;IF($G116-$AN116=1," día"," días")&amp;" de retraso","Cumplida"),IF(N($M116)&gt;=1,"Cumplida",IF(NOT(ISNUMBER($AN116)),"Sin fecha límite",IF($AN116&lt;FechaRef,"Vencida hace "&amp;(FechaRef-$AN116)&amp;IF(FechaRef-$AN116=1," día"," días"),IF($AN116=FechaRef,"Vence hoy",IF($AN116-FechaRef&lt;=DiasAlerta,"Vence en "&amp;($AN116-FechaRef)&amp;IF($AN116-FechaRef=1," día"," días"),"En plazo"))))))))</f>
        <v/>
      </c>
      <c r="P116" s="62">
        <f>IF(NOT((COUNTA($B116:$D116)+COUNTA($G116:$L116)+COUNTA($Q116))&gt;0),"",IF($D116="","Propia",IF($V116&lt;&gt;"Macro","Solo se delegan macroactividades",IF(N($AH116)&gt;0,"✔ Recibida por "&amp;$D116,"⚠ "&amp;$D116&amp;" aún no la agrega"))))</f>
        <v/>
      </c>
      <c r="Q116" s="58" t="n"/>
      <c r="R116" s="63">
        <f>IF(NOT((COUNTA($B116:$D116)+COUNTA($G116:$L116)+COUNTA($Q116))&gt;0),"",IF((IF($C116="","Falta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",""))="","✔ OK","⚠ "&amp;LEFT(IF($C116="","Falta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",""),LEN(IF($C116="","Falta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",""))-3)))</f>
        <v/>
      </c>
      <c r="S116" s="64">
        <f>IF(NOT((COUNTA($B116:$D116)+COUNTA($G116:$L116)+COUNTA($Q116))&gt;0),"",IF(AND($V116="Sub",N($U116)&gt;0),IF(ISNUMBER(INDEX($AM$5:$AM$1000,$U116-4)),DATE(YEAR(INDEX($AM$5:$AM$1000,$U116-4)),MONTH(INDEX($AM$5:$AM$1000,$U116-4)),1),IF(ISNUMBER(INDEX($AN$5:$AN$1000,$U116-4)),DATE(YEAR(INDEX($AN$5:$AN$1000,$U116-4)),MONTH(INDEX($AN$5:$AN$1000,$U116-4)),1),MesCiclo)),IF(ISNUMBER($AM116),DATE(YEAR($AM116),MONTH($AM116),1),IF(ISNUMBER($AN116),DATE(YEAR($AN116),MONTH($AN116),1),MesCiclo))))</f>
        <v/>
      </c>
      <c r="T116" s="62">
        <f>IF(OR($S116="",$S116&lt;&gt;MesCiclo),"",COUNTIF($S$5:$S116,MesCiclo))</f>
        <v/>
      </c>
      <c r="U116" s="62">
        <f>IF($V116="","",IF($V116="Macro",ROW(),IFERROR(LOOKUP(2,1/($V$5:$V116="Macro"),ROW($V$5:$V116)),0)))</f>
        <v/>
      </c>
      <c r="V116" s="62">
        <f>IF(NOT((COUNTA($B116:$D116)+COUNTA($G116:$L116)+COUNTA($Q116))&gt;0),"",IF($B116="Subactividad","Sub","Macro"))</f>
        <v/>
      </c>
      <c r="W116" s="62">
        <f>IF($V116="Macro",COUNTIFS($U$5:$U$1000,ROW(),$V$5:$V$1000,"Sub"),"")</f>
        <v/>
      </c>
      <c r="X116" s="62">
        <f>IF($V116="","",IF(ISNUMBER($G116),1,IFERROR(LOOKUP(2,1/($I116:$L116&lt;&gt;""),$I116:$L116),0)))</f>
        <v/>
      </c>
      <c r="Y116" s="62">
        <f>IF($V116="","",IF(AND(ISNUMBER($G116),$G116&lt;=IF($S116=MesCiclo,InicioCiclo,$S116+MOD(2-WEEKDAY($S116),7))+6),1,IF(ISNUMBER($I116),$I116,0)))</f>
        <v/>
      </c>
      <c r="Z116" s="62">
        <f>IF($V116="","",IF(AND(ISNUMBER($G116),$G116&lt;=IF($S116=MesCiclo,InicioCiclo,$S116+MOD(2-WEEKDAY($S116),7))+13),1,IF(ISNUMBER($J116),$J116,$Y116)))</f>
        <v/>
      </c>
      <c r="AA116" s="62">
        <f>IF($V116="","",IF(AND(ISNUMBER($G116),$G116&lt;=IF($S116=MesCiclo,InicioCiclo,$S116+MOD(2-WEEKDAY($S116),7))+20),1,IF(ISNUMBER($K116),$K116,$Z116)))</f>
        <v/>
      </c>
      <c r="AB116" s="62">
        <f>IF($V116="","",IF(AND(ISNUMBER($G116),$G116&lt;=IF($S116=MesCiclo,InicioCiclo,$S116+MOD(2-WEEKDAY($S116),7))+27),1,IF(ISNUMBER($L116),$L116,$AA116)))</f>
        <v/>
      </c>
      <c r="AC116" s="62">
        <f>IF($V116="","",IF(AND(ISNUMBER($G116),$G116&lt;=IF($S116=MesCiclo,InicioCiclo,$S116+MOD(2-WEEKDAY($S116),7))+6),1,IF(N($W116)&gt;0,AVERAGEIFS($Y$5:$Y$1000,$U$5:$U$1000,ROW(),$V$5:$V$1000,"Sub"),$Y116)))</f>
        <v/>
      </c>
      <c r="AD116" s="62">
        <f>IF($V116="","",IF(AND(ISNUMBER($G116),$G116&lt;=IF($S116=MesCiclo,InicioCiclo,$S116+MOD(2-WEEKDAY($S116),7))+13),1,IF(N($W116)&gt;0,AVERAGEIFS($Z$5:$Z$1000,$U$5:$U$1000,ROW(),$V$5:$V$1000,"Sub"),$Z116)))</f>
        <v/>
      </c>
      <c r="AE116" s="62">
        <f>IF($V116="","",IF(AND(ISNUMBER($G116),$G116&lt;=IF($S116=MesCiclo,InicioCiclo,$S116+MOD(2-WEEKDAY($S116),7))+20),1,IF(N($W116)&gt;0,AVERAGEIFS($AA$5:$AA$1000,$U$5:$U$1000,ROW(),$V$5:$V$1000,"Sub"),$AA116)))</f>
        <v/>
      </c>
      <c r="AF116" s="62">
        <f>IF($V116="","",IF(AND(ISNUMBER($G116),$G116&lt;=IF($S116=MesCiclo,InicioCiclo,$S116+MOD(2-WEEKDAY($S116),7))+27),1,IF(N($W116)&gt;0,AVERAGEIFS($AB$5:$AB$1000,$U$5:$U$1000,ROW(),$V$5:$V$1000,"Sub"),$AB116)))</f>
        <v/>
      </c>
      <c r="AG116" s="62">
        <f>IF($V116&lt;&gt;"Macro","",IF(COUNTIFS($S$5:$S$1000,$S116,$V$5:$V$1000,"Macro",$H$5:$H$1000,"&gt;0")=0,1/COUNTIFS($S$5:$S$1000,$S116,$V$5:$V$1000,"Macro"),IF(AND(ISNUMBER($H116),N($H116)&gt;0),$H116,SUMIFS($H$5:$H$1000,$S$5:$S$1000,$S116,$V$5:$V$1000,"Macro")/COUNTIFS($S$5:$S$1000,$S116,$V$5:$V$1000,"Macro",$H$5:$H$1000,"&gt;0"))/(COUNTIFS($S$5:$S$1000,$S116,$V$5:$V$1000,"Macro")*SUMIFS($H$5:$H$1000,$S$5:$S$1000,$S116,$V$5:$V$1000,"Macro")/COUNTIFS($S$5:$S$1000,$S116,$V$5:$V$1000,"Macro",$H$5:$H$1000,"&gt;0"))))</f>
        <v/>
      </c>
      <c r="AH116" s="62">
        <f>IF(NOT(AND($D116&lt;&gt;"",$V116="Macro")),"",IFERROR(CHOOSE(MATCH($D116,ListaPuestos,0),MATCH("[Jefatura] "&amp;$C116,'Cronograma R. Operacional'!$C$5:$C$1000,0),MATCH("[Jefatura] "&amp;$C116,'Cronograma R. Normativo'!$C$5:$C$1000,0),MATCH("[Jefatura] "&amp;$C116,'Cronograma R. Financiero'!$C$5:$C$1000,0),MATCH("[Jefatura] "&amp;$C116,'Cronograma Asistente Técnico'!$C$5:$C$1000,0)),0))</f>
        <v/>
      </c>
      <c r="AI116" s="62">
        <f>IF(AND(AND($D116&lt;&gt;"",$V116="Macro"),$S116=MesCiclo),COUNTIFS($D$5:$D116,$D116,$S$5:$S116,MesCiclo,$V$5:$V116,"Macro"),"")</f>
        <v/>
      </c>
      <c r="AJ116" s="62">
        <f>IF($AI116="","",$D116&amp;"|"&amp;$AI116)</f>
        <v/>
      </c>
      <c r="AK116" s="62">
        <f>IF(AND($D116&lt;&gt;"",$V116="Macro"),$D116&amp;"|"&amp;$C116,"")</f>
        <v/>
      </c>
      <c r="AL116" s="62">
        <f>""</f>
        <v/>
      </c>
      <c r="AM116" s="62">
        <f>IF(N($AL116)&gt;0,INDEX(rIni_ADM,$AL116),IF(ISNUMBER($E116),$E116,""))</f>
        <v/>
      </c>
      <c r="AN116" s="62">
        <f>IF(N($AL116)&gt;0,INDEX(rLim_ADM,$AL116),IF(ISNUMBER($F116),$F116,""))</f>
        <v/>
      </c>
    </row>
    <row r="117">
      <c r="A117" s="56">
        <f>IF(NOT((COUNTA($B117:$D117)+COUNTA($G117:$L117)+COUNTA($Q117))&gt;0),"",IF($V117="Macro",COUNTIFS($V$5:$V117,"Macro",$S$5:$S117,$S117),IF(N($U117)=0,"?",COUNTIFS(INDEX($V$5:$V$1000,1):INDEX($V$5:$V$1000,$U117-4),"Macro",INDEX($S$5:$S$1000,1):INDEX($S$5:$S$1000,$U117-4),INDEX($S$5:$S$1000,$U117-4))&amp;"."&amp;COUNTIFS($U$5:$U117,$U117,$V$5:$V117,"Sub"))))</f>
        <v/>
      </c>
      <c r="B117" s="57" t="n"/>
      <c r="C117" s="58" t="n"/>
      <c r="D117" s="58" t="n"/>
      <c r="E117" s="59" t="n"/>
      <c r="F117" s="59" t="n"/>
      <c r="G117" s="59" t="n"/>
      <c r="H117" s="60" t="n"/>
      <c r="I117" s="60" t="n"/>
      <c r="J117" s="60" t="n"/>
      <c r="K117" s="60" t="n"/>
      <c r="L117" s="60" t="n"/>
      <c r="M117" s="61">
        <f>IF(NOT((COUNTA($B117:$D117)+COUNTA($G117:$L117)+COUNTA($Q117))&gt;0),"",IF(AND($D117&lt;&gt;"",$V117="Macro"),IF(N($AH117)&gt;0,N(CHOOSE(MATCH($D117,ListaPuestos,0),INDEX('Cronograma R. Operacional'!$M$5:$M$1000,$AH117),INDEX('Cronograma R. Normativo'!$M$5:$M$1000,$AH117),INDEX('Cronograma R. Financiero'!$M$5:$M$1000,$AH117),INDEX('Cronograma Asistente Técnico'!$M$5:$M$1000,$AH117))),0),IF(ISNUMBER($G117),1,IF(N($W117)&gt;0,AVERAGEIFS($X$5:$X$1000,$U$5:$U$1000,ROW(),$V$5:$V$1000,"Sub"),$X117))))</f>
        <v/>
      </c>
      <c r="N117" s="56">
        <f>IF($M117="","",IF($M117&gt;=1,"Completado",IF($M117&gt;0,"En curso","Pendiente")))</f>
        <v/>
      </c>
      <c r="O117" s="56">
        <f>IF(NOT((COUNTA($B117:$D117)+COUNTA($G117:$L117)+COUNTA($Q117))&gt;0),"",IF(AND(AND($D117&lt;&gt;"",$V117="Macro"),N($AH117)&gt;0),CHOOSE(MATCH($D117,ListaPuestos,0),INDEX('Cronograma R. Operacional'!$O$5:$O$1000,$AH117),INDEX('Cronograma R. Normativo'!$O$5:$O$1000,$AH117),INDEX('Cronograma R. Financiero'!$O$5:$O$1000,$AH117),INDEX('Cronograma Asistente Técnico'!$O$5:$O$1000,$AH117))&amp;"",IF(ISNUMBER($G117),IF(AND(ISNUMBER($AN117),$G117&gt;$AN117),"Cumplida con "&amp;($G117-$AN117)&amp;IF($G117-$AN117=1," día"," días")&amp;" de retraso","Cumplida"),IF(N($M117)&gt;=1,"Cumplida",IF(NOT(ISNUMBER($AN117)),"Sin fecha límite",IF($AN117&lt;FechaRef,"Vencida hace "&amp;(FechaRef-$AN117)&amp;IF(FechaRef-$AN117=1," día"," días"),IF($AN117=FechaRef,"Vence hoy",IF($AN117-FechaRef&lt;=DiasAlerta,"Vence en "&amp;($AN117-FechaRef)&amp;IF($AN117-FechaRef=1," día"," días"),"En plazo"))))))))</f>
        <v/>
      </c>
      <c r="P117" s="62">
        <f>IF(NOT((COUNTA($B117:$D117)+COUNTA($G117:$L117)+COUNTA($Q117))&gt;0),"",IF($D117="","Propia",IF($V117&lt;&gt;"Macro","Solo se delegan macroactividades",IF(N($AH117)&gt;0,"✔ Recibida por "&amp;$D117,"⚠ "&amp;$D117&amp;" aún no la agrega"))))</f>
        <v/>
      </c>
      <c r="Q117" s="58" t="n"/>
      <c r="R117" s="63">
        <f>IF(NOT((COUNTA($B117:$D117)+COUNTA($G117:$L117)+COUNTA($Q117))&gt;0),"",IF((IF($C117="","Falta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",""))="","✔ OK","⚠ "&amp;LEFT(IF($C117="","Falta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",""),LEN(IF($C117="","Falta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",""))-3)))</f>
        <v/>
      </c>
      <c r="S117" s="64">
        <f>IF(NOT((COUNTA($B117:$D117)+COUNTA($G117:$L117)+COUNTA($Q117))&gt;0),"",IF(AND($V117="Sub",N($U117)&gt;0),IF(ISNUMBER(INDEX($AM$5:$AM$1000,$U117-4)),DATE(YEAR(INDEX($AM$5:$AM$1000,$U117-4)),MONTH(INDEX($AM$5:$AM$1000,$U117-4)),1),IF(ISNUMBER(INDEX($AN$5:$AN$1000,$U117-4)),DATE(YEAR(INDEX($AN$5:$AN$1000,$U117-4)),MONTH(INDEX($AN$5:$AN$1000,$U117-4)),1),MesCiclo)),IF(ISNUMBER($AM117),DATE(YEAR($AM117),MONTH($AM117),1),IF(ISNUMBER($AN117),DATE(YEAR($AN117),MONTH($AN117),1),MesCiclo))))</f>
        <v/>
      </c>
      <c r="T117" s="62">
        <f>IF(OR($S117="",$S117&lt;&gt;MesCiclo),"",COUNTIF($S$5:$S117,MesCiclo))</f>
        <v/>
      </c>
      <c r="U117" s="62">
        <f>IF($V117="","",IF($V117="Macro",ROW(),IFERROR(LOOKUP(2,1/($V$5:$V117="Macro"),ROW($V$5:$V117)),0)))</f>
        <v/>
      </c>
      <c r="V117" s="62">
        <f>IF(NOT((COUNTA($B117:$D117)+COUNTA($G117:$L117)+COUNTA($Q117))&gt;0),"",IF($B117="Subactividad","Sub","Macro"))</f>
        <v/>
      </c>
      <c r="W117" s="62">
        <f>IF($V117="Macro",COUNTIFS($U$5:$U$1000,ROW(),$V$5:$V$1000,"Sub"),"")</f>
        <v/>
      </c>
      <c r="X117" s="62">
        <f>IF($V117="","",IF(ISNUMBER($G117),1,IFERROR(LOOKUP(2,1/($I117:$L117&lt;&gt;""),$I117:$L117),0)))</f>
        <v/>
      </c>
      <c r="Y117" s="62">
        <f>IF($V117="","",IF(AND(ISNUMBER($G117),$G117&lt;=IF($S117=MesCiclo,InicioCiclo,$S117+MOD(2-WEEKDAY($S117),7))+6),1,IF(ISNUMBER($I117),$I117,0)))</f>
        <v/>
      </c>
      <c r="Z117" s="62">
        <f>IF($V117="","",IF(AND(ISNUMBER($G117),$G117&lt;=IF($S117=MesCiclo,InicioCiclo,$S117+MOD(2-WEEKDAY($S117),7))+13),1,IF(ISNUMBER($J117),$J117,$Y117)))</f>
        <v/>
      </c>
      <c r="AA117" s="62">
        <f>IF($V117="","",IF(AND(ISNUMBER($G117),$G117&lt;=IF($S117=MesCiclo,InicioCiclo,$S117+MOD(2-WEEKDAY($S117),7))+20),1,IF(ISNUMBER($K117),$K117,$Z117)))</f>
        <v/>
      </c>
      <c r="AB117" s="62">
        <f>IF($V117="","",IF(AND(ISNUMBER($G117),$G117&lt;=IF($S117=MesCiclo,InicioCiclo,$S117+MOD(2-WEEKDAY($S117),7))+27),1,IF(ISNUMBER($L117),$L117,$AA117)))</f>
        <v/>
      </c>
      <c r="AC117" s="62">
        <f>IF($V117="","",IF(AND(ISNUMBER($G117),$G117&lt;=IF($S117=MesCiclo,InicioCiclo,$S117+MOD(2-WEEKDAY($S117),7))+6),1,IF(N($W117)&gt;0,AVERAGEIFS($Y$5:$Y$1000,$U$5:$U$1000,ROW(),$V$5:$V$1000,"Sub"),$Y117)))</f>
        <v/>
      </c>
      <c r="AD117" s="62">
        <f>IF($V117="","",IF(AND(ISNUMBER($G117),$G117&lt;=IF($S117=MesCiclo,InicioCiclo,$S117+MOD(2-WEEKDAY($S117),7))+13),1,IF(N($W117)&gt;0,AVERAGEIFS($Z$5:$Z$1000,$U$5:$U$1000,ROW(),$V$5:$V$1000,"Sub"),$Z117)))</f>
        <v/>
      </c>
      <c r="AE117" s="62">
        <f>IF($V117="","",IF(AND(ISNUMBER($G117),$G117&lt;=IF($S117=MesCiclo,InicioCiclo,$S117+MOD(2-WEEKDAY($S117),7))+20),1,IF(N($W117)&gt;0,AVERAGEIFS($AA$5:$AA$1000,$U$5:$U$1000,ROW(),$V$5:$V$1000,"Sub"),$AA117)))</f>
        <v/>
      </c>
      <c r="AF117" s="62">
        <f>IF($V117="","",IF(AND(ISNUMBER($G117),$G117&lt;=IF($S117=MesCiclo,InicioCiclo,$S117+MOD(2-WEEKDAY($S117),7))+27),1,IF(N($W117)&gt;0,AVERAGEIFS($AB$5:$AB$1000,$U$5:$U$1000,ROW(),$V$5:$V$1000,"Sub"),$AB117)))</f>
        <v/>
      </c>
      <c r="AG117" s="62">
        <f>IF($V117&lt;&gt;"Macro","",IF(COUNTIFS($S$5:$S$1000,$S117,$V$5:$V$1000,"Macro",$H$5:$H$1000,"&gt;0")=0,1/COUNTIFS($S$5:$S$1000,$S117,$V$5:$V$1000,"Macro"),IF(AND(ISNUMBER($H117),N($H117)&gt;0),$H117,SUMIFS($H$5:$H$1000,$S$5:$S$1000,$S117,$V$5:$V$1000,"Macro")/COUNTIFS($S$5:$S$1000,$S117,$V$5:$V$1000,"Macro",$H$5:$H$1000,"&gt;0"))/(COUNTIFS($S$5:$S$1000,$S117,$V$5:$V$1000,"Macro")*SUMIFS($H$5:$H$1000,$S$5:$S$1000,$S117,$V$5:$V$1000,"Macro")/COUNTIFS($S$5:$S$1000,$S117,$V$5:$V$1000,"Macro",$H$5:$H$1000,"&gt;0"))))</f>
        <v/>
      </c>
      <c r="AH117" s="62">
        <f>IF(NOT(AND($D117&lt;&gt;"",$V117="Macro")),"",IFERROR(CHOOSE(MATCH($D117,ListaPuestos,0),MATCH("[Jefatura] "&amp;$C117,'Cronograma R. Operacional'!$C$5:$C$1000,0),MATCH("[Jefatura] "&amp;$C117,'Cronograma R. Normativo'!$C$5:$C$1000,0),MATCH("[Jefatura] "&amp;$C117,'Cronograma R. Financiero'!$C$5:$C$1000,0),MATCH("[Jefatura] "&amp;$C117,'Cronograma Asistente Técnico'!$C$5:$C$1000,0)),0))</f>
        <v/>
      </c>
      <c r="AI117" s="62">
        <f>IF(AND(AND($D117&lt;&gt;"",$V117="Macro"),$S117=MesCiclo),COUNTIFS($D$5:$D117,$D117,$S$5:$S117,MesCiclo,$V$5:$V117,"Macro"),"")</f>
        <v/>
      </c>
      <c r="AJ117" s="62">
        <f>IF($AI117="","",$D117&amp;"|"&amp;$AI117)</f>
        <v/>
      </c>
      <c r="AK117" s="62">
        <f>IF(AND($D117&lt;&gt;"",$V117="Macro"),$D117&amp;"|"&amp;$C117,"")</f>
        <v/>
      </c>
      <c r="AL117" s="62">
        <f>""</f>
        <v/>
      </c>
      <c r="AM117" s="62">
        <f>IF(N($AL117)&gt;0,INDEX(rIni_ADM,$AL117),IF(ISNUMBER($E117),$E117,""))</f>
        <v/>
      </c>
      <c r="AN117" s="62">
        <f>IF(N($AL117)&gt;0,INDEX(rLim_ADM,$AL117),IF(ISNUMBER($F117),$F117,""))</f>
        <v/>
      </c>
    </row>
    <row r="118">
      <c r="A118" s="56">
        <f>IF(NOT((COUNTA($B118:$D118)+COUNTA($G118:$L118)+COUNTA($Q118))&gt;0),"",IF($V118="Macro",COUNTIFS($V$5:$V118,"Macro",$S$5:$S118,$S118),IF(N($U118)=0,"?",COUNTIFS(INDEX($V$5:$V$1000,1):INDEX($V$5:$V$1000,$U118-4),"Macro",INDEX($S$5:$S$1000,1):INDEX($S$5:$S$1000,$U118-4),INDEX($S$5:$S$1000,$U118-4))&amp;"."&amp;COUNTIFS($U$5:$U118,$U118,$V$5:$V118,"Sub"))))</f>
        <v/>
      </c>
      <c r="B118" s="57" t="n"/>
      <c r="C118" s="58" t="n"/>
      <c r="D118" s="58" t="n"/>
      <c r="E118" s="59" t="n"/>
      <c r="F118" s="59" t="n"/>
      <c r="G118" s="59" t="n"/>
      <c r="H118" s="60" t="n"/>
      <c r="I118" s="60" t="n"/>
      <c r="J118" s="60" t="n"/>
      <c r="K118" s="60" t="n"/>
      <c r="L118" s="60" t="n"/>
      <c r="M118" s="61">
        <f>IF(NOT((COUNTA($B118:$D118)+COUNTA($G118:$L118)+COUNTA($Q118))&gt;0),"",IF(AND($D118&lt;&gt;"",$V118="Macro"),IF(N($AH118)&gt;0,N(CHOOSE(MATCH($D118,ListaPuestos,0),INDEX('Cronograma R. Operacional'!$M$5:$M$1000,$AH118),INDEX('Cronograma R. Normativo'!$M$5:$M$1000,$AH118),INDEX('Cronograma R. Financiero'!$M$5:$M$1000,$AH118),INDEX('Cronograma Asistente Técnico'!$M$5:$M$1000,$AH118))),0),IF(ISNUMBER($G118),1,IF(N($W118)&gt;0,AVERAGEIFS($X$5:$X$1000,$U$5:$U$1000,ROW(),$V$5:$V$1000,"Sub"),$X118))))</f>
        <v/>
      </c>
      <c r="N118" s="56">
        <f>IF($M118="","",IF($M118&gt;=1,"Completado",IF($M118&gt;0,"En curso","Pendiente")))</f>
        <v/>
      </c>
      <c r="O118" s="56">
        <f>IF(NOT((COUNTA($B118:$D118)+COUNTA($G118:$L118)+COUNTA($Q118))&gt;0),"",IF(AND(AND($D118&lt;&gt;"",$V118="Macro"),N($AH118)&gt;0),CHOOSE(MATCH($D118,ListaPuestos,0),INDEX('Cronograma R. Operacional'!$O$5:$O$1000,$AH118),INDEX('Cronograma R. Normativo'!$O$5:$O$1000,$AH118),INDEX('Cronograma R. Financiero'!$O$5:$O$1000,$AH118),INDEX('Cronograma Asistente Técnico'!$O$5:$O$1000,$AH118))&amp;"",IF(ISNUMBER($G118),IF(AND(ISNUMBER($AN118),$G118&gt;$AN118),"Cumplida con "&amp;($G118-$AN118)&amp;IF($G118-$AN118=1," día"," días")&amp;" de retraso","Cumplida"),IF(N($M118)&gt;=1,"Cumplida",IF(NOT(ISNUMBER($AN118)),"Sin fecha límite",IF($AN118&lt;FechaRef,"Vencida hace "&amp;(FechaRef-$AN118)&amp;IF(FechaRef-$AN118=1," día"," días"),IF($AN118=FechaRef,"Vence hoy",IF($AN118-FechaRef&lt;=DiasAlerta,"Vence en "&amp;($AN118-FechaRef)&amp;IF($AN118-FechaRef=1," día"," días"),"En plazo"))))))))</f>
        <v/>
      </c>
      <c r="P118" s="62">
        <f>IF(NOT((COUNTA($B118:$D118)+COUNTA($G118:$L118)+COUNTA($Q118))&gt;0),"",IF($D118="","Propia",IF($V118&lt;&gt;"Macro","Solo se delegan macroactividades",IF(N($AH118)&gt;0,"✔ Recibida por "&amp;$D118,"⚠ "&amp;$D118&amp;" aún no la agrega"))))</f>
        <v/>
      </c>
      <c r="Q118" s="58" t="n"/>
      <c r="R118" s="63">
        <f>IF(NOT((COUNTA($B118:$D118)+COUNTA($G118:$L118)+COUNTA($Q118))&gt;0),"",IF((IF($C118="","Falta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",""))="","✔ OK","⚠ "&amp;LEFT(IF($C118="","Falta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",""),LEN(IF($C118="","Falta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",""))-3)))</f>
        <v/>
      </c>
      <c r="S118" s="64">
        <f>IF(NOT((COUNTA($B118:$D118)+COUNTA($G118:$L118)+COUNTA($Q118))&gt;0),"",IF(AND($V118="Sub",N($U118)&gt;0),IF(ISNUMBER(INDEX($AM$5:$AM$1000,$U118-4)),DATE(YEAR(INDEX($AM$5:$AM$1000,$U118-4)),MONTH(INDEX($AM$5:$AM$1000,$U118-4)),1),IF(ISNUMBER(INDEX($AN$5:$AN$1000,$U118-4)),DATE(YEAR(INDEX($AN$5:$AN$1000,$U118-4)),MONTH(INDEX($AN$5:$AN$1000,$U118-4)),1),MesCiclo)),IF(ISNUMBER($AM118),DATE(YEAR($AM118),MONTH($AM118),1),IF(ISNUMBER($AN118),DATE(YEAR($AN118),MONTH($AN118),1),MesCiclo))))</f>
        <v/>
      </c>
      <c r="T118" s="62">
        <f>IF(OR($S118="",$S118&lt;&gt;MesCiclo),"",COUNTIF($S$5:$S118,MesCiclo))</f>
        <v/>
      </c>
      <c r="U118" s="62">
        <f>IF($V118="","",IF($V118="Macro",ROW(),IFERROR(LOOKUP(2,1/($V$5:$V118="Macro"),ROW($V$5:$V118)),0)))</f>
        <v/>
      </c>
      <c r="V118" s="62">
        <f>IF(NOT((COUNTA($B118:$D118)+COUNTA($G118:$L118)+COUNTA($Q118))&gt;0),"",IF($B118="Subactividad","Sub","Macro"))</f>
        <v/>
      </c>
      <c r="W118" s="62">
        <f>IF($V118="Macro",COUNTIFS($U$5:$U$1000,ROW(),$V$5:$V$1000,"Sub"),"")</f>
        <v/>
      </c>
      <c r="X118" s="62">
        <f>IF($V118="","",IF(ISNUMBER($G118),1,IFERROR(LOOKUP(2,1/($I118:$L118&lt;&gt;""),$I118:$L118),0)))</f>
        <v/>
      </c>
      <c r="Y118" s="62">
        <f>IF($V118="","",IF(AND(ISNUMBER($G118),$G118&lt;=IF($S118=MesCiclo,InicioCiclo,$S118+MOD(2-WEEKDAY($S118),7))+6),1,IF(ISNUMBER($I118),$I118,0)))</f>
        <v/>
      </c>
      <c r="Z118" s="62">
        <f>IF($V118="","",IF(AND(ISNUMBER($G118),$G118&lt;=IF($S118=MesCiclo,InicioCiclo,$S118+MOD(2-WEEKDAY($S118),7))+13),1,IF(ISNUMBER($J118),$J118,$Y118)))</f>
        <v/>
      </c>
      <c r="AA118" s="62">
        <f>IF($V118="","",IF(AND(ISNUMBER($G118),$G118&lt;=IF($S118=MesCiclo,InicioCiclo,$S118+MOD(2-WEEKDAY($S118),7))+20),1,IF(ISNUMBER($K118),$K118,$Z118)))</f>
        <v/>
      </c>
      <c r="AB118" s="62">
        <f>IF($V118="","",IF(AND(ISNUMBER($G118),$G118&lt;=IF($S118=MesCiclo,InicioCiclo,$S118+MOD(2-WEEKDAY($S118),7))+27),1,IF(ISNUMBER($L118),$L118,$AA118)))</f>
        <v/>
      </c>
      <c r="AC118" s="62">
        <f>IF($V118="","",IF(AND(ISNUMBER($G118),$G118&lt;=IF($S118=MesCiclo,InicioCiclo,$S118+MOD(2-WEEKDAY($S118),7))+6),1,IF(N($W118)&gt;0,AVERAGEIFS($Y$5:$Y$1000,$U$5:$U$1000,ROW(),$V$5:$V$1000,"Sub"),$Y118)))</f>
        <v/>
      </c>
      <c r="AD118" s="62">
        <f>IF($V118="","",IF(AND(ISNUMBER($G118),$G118&lt;=IF($S118=MesCiclo,InicioCiclo,$S118+MOD(2-WEEKDAY($S118),7))+13),1,IF(N($W118)&gt;0,AVERAGEIFS($Z$5:$Z$1000,$U$5:$U$1000,ROW(),$V$5:$V$1000,"Sub"),$Z118)))</f>
        <v/>
      </c>
      <c r="AE118" s="62">
        <f>IF($V118="","",IF(AND(ISNUMBER($G118),$G118&lt;=IF($S118=MesCiclo,InicioCiclo,$S118+MOD(2-WEEKDAY($S118),7))+20),1,IF(N($W118)&gt;0,AVERAGEIFS($AA$5:$AA$1000,$U$5:$U$1000,ROW(),$V$5:$V$1000,"Sub"),$AA118)))</f>
        <v/>
      </c>
      <c r="AF118" s="62">
        <f>IF($V118="","",IF(AND(ISNUMBER($G118),$G118&lt;=IF($S118=MesCiclo,InicioCiclo,$S118+MOD(2-WEEKDAY($S118),7))+27),1,IF(N($W118)&gt;0,AVERAGEIFS($AB$5:$AB$1000,$U$5:$U$1000,ROW(),$V$5:$V$1000,"Sub"),$AB118)))</f>
        <v/>
      </c>
      <c r="AG118" s="62">
        <f>IF($V118&lt;&gt;"Macro","",IF(COUNTIFS($S$5:$S$1000,$S118,$V$5:$V$1000,"Macro",$H$5:$H$1000,"&gt;0")=0,1/COUNTIFS($S$5:$S$1000,$S118,$V$5:$V$1000,"Macro"),IF(AND(ISNUMBER($H118),N($H118)&gt;0),$H118,SUMIFS($H$5:$H$1000,$S$5:$S$1000,$S118,$V$5:$V$1000,"Macro")/COUNTIFS($S$5:$S$1000,$S118,$V$5:$V$1000,"Macro",$H$5:$H$1000,"&gt;0"))/(COUNTIFS($S$5:$S$1000,$S118,$V$5:$V$1000,"Macro")*SUMIFS($H$5:$H$1000,$S$5:$S$1000,$S118,$V$5:$V$1000,"Macro")/COUNTIFS($S$5:$S$1000,$S118,$V$5:$V$1000,"Macro",$H$5:$H$1000,"&gt;0"))))</f>
        <v/>
      </c>
      <c r="AH118" s="62">
        <f>IF(NOT(AND($D118&lt;&gt;"",$V118="Macro")),"",IFERROR(CHOOSE(MATCH($D118,ListaPuestos,0),MATCH("[Jefatura] "&amp;$C118,'Cronograma R. Operacional'!$C$5:$C$1000,0),MATCH("[Jefatura] "&amp;$C118,'Cronograma R. Normativo'!$C$5:$C$1000,0),MATCH("[Jefatura] "&amp;$C118,'Cronograma R. Financiero'!$C$5:$C$1000,0),MATCH("[Jefatura] "&amp;$C118,'Cronograma Asistente Técnico'!$C$5:$C$1000,0)),0))</f>
        <v/>
      </c>
      <c r="AI118" s="62">
        <f>IF(AND(AND($D118&lt;&gt;"",$V118="Macro"),$S118=MesCiclo),COUNTIFS($D$5:$D118,$D118,$S$5:$S118,MesCiclo,$V$5:$V118,"Macro"),"")</f>
        <v/>
      </c>
      <c r="AJ118" s="62">
        <f>IF($AI118="","",$D118&amp;"|"&amp;$AI118)</f>
        <v/>
      </c>
      <c r="AK118" s="62">
        <f>IF(AND($D118&lt;&gt;"",$V118="Macro"),$D118&amp;"|"&amp;$C118,"")</f>
        <v/>
      </c>
      <c r="AL118" s="62">
        <f>""</f>
        <v/>
      </c>
      <c r="AM118" s="62">
        <f>IF(N($AL118)&gt;0,INDEX(rIni_ADM,$AL118),IF(ISNUMBER($E118),$E118,""))</f>
        <v/>
      </c>
      <c r="AN118" s="62">
        <f>IF(N($AL118)&gt;0,INDEX(rLim_ADM,$AL118),IF(ISNUMBER($F118),$F118,""))</f>
        <v/>
      </c>
    </row>
    <row r="119">
      <c r="A119" s="56">
        <f>IF(NOT((COUNTA($B119:$D119)+COUNTA($G119:$L119)+COUNTA($Q119))&gt;0),"",IF($V119="Macro",COUNTIFS($V$5:$V119,"Macro",$S$5:$S119,$S119),IF(N($U119)=0,"?",COUNTIFS(INDEX($V$5:$V$1000,1):INDEX($V$5:$V$1000,$U119-4),"Macro",INDEX($S$5:$S$1000,1):INDEX($S$5:$S$1000,$U119-4),INDEX($S$5:$S$1000,$U119-4))&amp;"."&amp;COUNTIFS($U$5:$U119,$U119,$V$5:$V119,"Sub"))))</f>
        <v/>
      </c>
      <c r="B119" s="57" t="n"/>
      <c r="C119" s="58" t="n"/>
      <c r="D119" s="58" t="n"/>
      <c r="E119" s="59" t="n"/>
      <c r="F119" s="59" t="n"/>
      <c r="G119" s="59" t="n"/>
      <c r="H119" s="60" t="n"/>
      <c r="I119" s="60" t="n"/>
      <c r="J119" s="60" t="n"/>
      <c r="K119" s="60" t="n"/>
      <c r="L119" s="60" t="n"/>
      <c r="M119" s="61">
        <f>IF(NOT((COUNTA($B119:$D119)+COUNTA($G119:$L119)+COUNTA($Q119))&gt;0),"",IF(AND($D119&lt;&gt;"",$V119="Macro"),IF(N($AH119)&gt;0,N(CHOOSE(MATCH($D119,ListaPuestos,0),INDEX('Cronograma R. Operacional'!$M$5:$M$1000,$AH119),INDEX('Cronograma R. Normativo'!$M$5:$M$1000,$AH119),INDEX('Cronograma R. Financiero'!$M$5:$M$1000,$AH119),INDEX('Cronograma Asistente Técnico'!$M$5:$M$1000,$AH119))),0),IF(ISNUMBER($G119),1,IF(N($W119)&gt;0,AVERAGEIFS($X$5:$X$1000,$U$5:$U$1000,ROW(),$V$5:$V$1000,"Sub"),$X119))))</f>
        <v/>
      </c>
      <c r="N119" s="56">
        <f>IF($M119="","",IF($M119&gt;=1,"Completado",IF($M119&gt;0,"En curso","Pendiente")))</f>
        <v/>
      </c>
      <c r="O119" s="56">
        <f>IF(NOT((COUNTA($B119:$D119)+COUNTA($G119:$L119)+COUNTA($Q119))&gt;0),"",IF(AND(AND($D119&lt;&gt;"",$V119="Macro"),N($AH119)&gt;0),CHOOSE(MATCH($D119,ListaPuestos,0),INDEX('Cronograma R. Operacional'!$O$5:$O$1000,$AH119),INDEX('Cronograma R. Normativo'!$O$5:$O$1000,$AH119),INDEX('Cronograma R. Financiero'!$O$5:$O$1000,$AH119),INDEX('Cronograma Asistente Técnico'!$O$5:$O$1000,$AH119))&amp;"",IF(ISNUMBER($G119),IF(AND(ISNUMBER($AN119),$G119&gt;$AN119),"Cumplida con "&amp;($G119-$AN119)&amp;IF($G119-$AN119=1," día"," días")&amp;" de retraso","Cumplida"),IF(N($M119)&gt;=1,"Cumplida",IF(NOT(ISNUMBER($AN119)),"Sin fecha límite",IF($AN119&lt;FechaRef,"Vencida hace "&amp;(FechaRef-$AN119)&amp;IF(FechaRef-$AN119=1," día"," días"),IF($AN119=FechaRef,"Vence hoy",IF($AN119-FechaRef&lt;=DiasAlerta,"Vence en "&amp;($AN119-FechaRef)&amp;IF($AN119-FechaRef=1," día"," días"),"En plazo"))))))))</f>
        <v/>
      </c>
      <c r="P119" s="62">
        <f>IF(NOT((COUNTA($B119:$D119)+COUNTA($G119:$L119)+COUNTA($Q119))&gt;0),"",IF($D119="","Propia",IF($V119&lt;&gt;"Macro","Solo se delegan macroactividades",IF(N($AH119)&gt;0,"✔ Recibida por "&amp;$D119,"⚠ "&amp;$D119&amp;" aún no la agrega"))))</f>
        <v/>
      </c>
      <c r="Q119" s="58" t="n"/>
      <c r="R119" s="63">
        <f>IF(NOT((COUNTA($B119:$D119)+COUNTA($G119:$L119)+COUNTA($Q119))&gt;0),"",IF((IF($C119="","Falta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",""))="","✔ OK","⚠ "&amp;LEFT(IF($C119="","Falta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",""),LEN(IF($C119="","Falta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",""))-3)))</f>
        <v/>
      </c>
      <c r="S119" s="64">
        <f>IF(NOT((COUNTA($B119:$D119)+COUNTA($G119:$L119)+COUNTA($Q119))&gt;0),"",IF(AND($V119="Sub",N($U119)&gt;0),IF(ISNUMBER(INDEX($AM$5:$AM$1000,$U119-4)),DATE(YEAR(INDEX($AM$5:$AM$1000,$U119-4)),MONTH(INDEX($AM$5:$AM$1000,$U119-4)),1),IF(ISNUMBER(INDEX($AN$5:$AN$1000,$U119-4)),DATE(YEAR(INDEX($AN$5:$AN$1000,$U119-4)),MONTH(INDEX($AN$5:$AN$1000,$U119-4)),1),MesCiclo)),IF(ISNUMBER($AM119),DATE(YEAR($AM119),MONTH($AM119),1),IF(ISNUMBER($AN119),DATE(YEAR($AN119),MONTH($AN119),1),MesCiclo))))</f>
        <v/>
      </c>
      <c r="T119" s="62">
        <f>IF(OR($S119="",$S119&lt;&gt;MesCiclo),"",COUNTIF($S$5:$S119,MesCiclo))</f>
        <v/>
      </c>
      <c r="U119" s="62">
        <f>IF($V119="","",IF($V119="Macro",ROW(),IFERROR(LOOKUP(2,1/($V$5:$V119="Macro"),ROW($V$5:$V119)),0)))</f>
        <v/>
      </c>
      <c r="V119" s="62">
        <f>IF(NOT((COUNTA($B119:$D119)+COUNTA($G119:$L119)+COUNTA($Q119))&gt;0),"",IF($B119="Subactividad","Sub","Macro"))</f>
        <v/>
      </c>
      <c r="W119" s="62">
        <f>IF($V119="Macro",COUNTIFS($U$5:$U$1000,ROW(),$V$5:$V$1000,"Sub"),"")</f>
        <v/>
      </c>
      <c r="X119" s="62">
        <f>IF($V119="","",IF(ISNUMBER($G119),1,IFERROR(LOOKUP(2,1/($I119:$L119&lt;&gt;""),$I119:$L119),0)))</f>
        <v/>
      </c>
      <c r="Y119" s="62">
        <f>IF($V119="","",IF(AND(ISNUMBER($G119),$G119&lt;=IF($S119=MesCiclo,InicioCiclo,$S119+MOD(2-WEEKDAY($S119),7))+6),1,IF(ISNUMBER($I119),$I119,0)))</f>
        <v/>
      </c>
      <c r="Z119" s="62">
        <f>IF($V119="","",IF(AND(ISNUMBER($G119),$G119&lt;=IF($S119=MesCiclo,InicioCiclo,$S119+MOD(2-WEEKDAY($S119),7))+13),1,IF(ISNUMBER($J119),$J119,$Y119)))</f>
        <v/>
      </c>
      <c r="AA119" s="62">
        <f>IF($V119="","",IF(AND(ISNUMBER($G119),$G119&lt;=IF($S119=MesCiclo,InicioCiclo,$S119+MOD(2-WEEKDAY($S119),7))+20),1,IF(ISNUMBER($K119),$K119,$Z119)))</f>
        <v/>
      </c>
      <c r="AB119" s="62">
        <f>IF($V119="","",IF(AND(ISNUMBER($G119),$G119&lt;=IF($S119=MesCiclo,InicioCiclo,$S119+MOD(2-WEEKDAY($S119),7))+27),1,IF(ISNUMBER($L119),$L119,$AA119)))</f>
        <v/>
      </c>
      <c r="AC119" s="62">
        <f>IF($V119="","",IF(AND(ISNUMBER($G119),$G119&lt;=IF($S119=MesCiclo,InicioCiclo,$S119+MOD(2-WEEKDAY($S119),7))+6),1,IF(N($W119)&gt;0,AVERAGEIFS($Y$5:$Y$1000,$U$5:$U$1000,ROW(),$V$5:$V$1000,"Sub"),$Y119)))</f>
        <v/>
      </c>
      <c r="AD119" s="62">
        <f>IF($V119="","",IF(AND(ISNUMBER($G119),$G119&lt;=IF($S119=MesCiclo,InicioCiclo,$S119+MOD(2-WEEKDAY($S119),7))+13),1,IF(N($W119)&gt;0,AVERAGEIFS($Z$5:$Z$1000,$U$5:$U$1000,ROW(),$V$5:$V$1000,"Sub"),$Z119)))</f>
        <v/>
      </c>
      <c r="AE119" s="62">
        <f>IF($V119="","",IF(AND(ISNUMBER($G119),$G119&lt;=IF($S119=MesCiclo,InicioCiclo,$S119+MOD(2-WEEKDAY($S119),7))+20),1,IF(N($W119)&gt;0,AVERAGEIFS($AA$5:$AA$1000,$U$5:$U$1000,ROW(),$V$5:$V$1000,"Sub"),$AA119)))</f>
        <v/>
      </c>
      <c r="AF119" s="62">
        <f>IF($V119="","",IF(AND(ISNUMBER($G119),$G119&lt;=IF($S119=MesCiclo,InicioCiclo,$S119+MOD(2-WEEKDAY($S119),7))+27),1,IF(N($W119)&gt;0,AVERAGEIFS($AB$5:$AB$1000,$U$5:$U$1000,ROW(),$V$5:$V$1000,"Sub"),$AB119)))</f>
        <v/>
      </c>
      <c r="AG119" s="62">
        <f>IF($V119&lt;&gt;"Macro","",IF(COUNTIFS($S$5:$S$1000,$S119,$V$5:$V$1000,"Macro",$H$5:$H$1000,"&gt;0")=0,1/COUNTIFS($S$5:$S$1000,$S119,$V$5:$V$1000,"Macro"),IF(AND(ISNUMBER($H119),N($H119)&gt;0),$H119,SUMIFS($H$5:$H$1000,$S$5:$S$1000,$S119,$V$5:$V$1000,"Macro")/COUNTIFS($S$5:$S$1000,$S119,$V$5:$V$1000,"Macro",$H$5:$H$1000,"&gt;0"))/(COUNTIFS($S$5:$S$1000,$S119,$V$5:$V$1000,"Macro")*SUMIFS($H$5:$H$1000,$S$5:$S$1000,$S119,$V$5:$V$1000,"Macro")/COUNTIFS($S$5:$S$1000,$S119,$V$5:$V$1000,"Macro",$H$5:$H$1000,"&gt;0"))))</f>
        <v/>
      </c>
      <c r="AH119" s="62">
        <f>IF(NOT(AND($D119&lt;&gt;"",$V119="Macro")),"",IFERROR(CHOOSE(MATCH($D119,ListaPuestos,0),MATCH("[Jefatura] "&amp;$C119,'Cronograma R. Operacional'!$C$5:$C$1000,0),MATCH("[Jefatura] "&amp;$C119,'Cronograma R. Normativo'!$C$5:$C$1000,0),MATCH("[Jefatura] "&amp;$C119,'Cronograma R. Financiero'!$C$5:$C$1000,0),MATCH("[Jefatura] "&amp;$C119,'Cronograma Asistente Técnico'!$C$5:$C$1000,0)),0))</f>
        <v/>
      </c>
      <c r="AI119" s="62">
        <f>IF(AND(AND($D119&lt;&gt;"",$V119="Macro"),$S119=MesCiclo),COUNTIFS($D$5:$D119,$D119,$S$5:$S119,MesCiclo,$V$5:$V119,"Macro"),"")</f>
        <v/>
      </c>
      <c r="AJ119" s="62">
        <f>IF($AI119="","",$D119&amp;"|"&amp;$AI119)</f>
        <v/>
      </c>
      <c r="AK119" s="62">
        <f>IF(AND($D119&lt;&gt;"",$V119="Macro"),$D119&amp;"|"&amp;$C119,"")</f>
        <v/>
      </c>
      <c r="AL119" s="62">
        <f>""</f>
        <v/>
      </c>
      <c r="AM119" s="62">
        <f>IF(N($AL119)&gt;0,INDEX(rIni_ADM,$AL119),IF(ISNUMBER($E119),$E119,""))</f>
        <v/>
      </c>
      <c r="AN119" s="62">
        <f>IF(N($AL119)&gt;0,INDEX(rLim_ADM,$AL119),IF(ISNUMBER($F119),$F119,""))</f>
        <v/>
      </c>
    </row>
    <row r="120">
      <c r="A120" s="56">
        <f>IF(NOT((COUNTA($B120:$D120)+COUNTA($G120:$L120)+COUNTA($Q120))&gt;0),"",IF($V120="Macro",COUNTIFS($V$5:$V120,"Macro",$S$5:$S120,$S120),IF(N($U120)=0,"?",COUNTIFS(INDEX($V$5:$V$1000,1):INDEX($V$5:$V$1000,$U120-4),"Macro",INDEX($S$5:$S$1000,1):INDEX($S$5:$S$1000,$U120-4),INDEX($S$5:$S$1000,$U120-4))&amp;"."&amp;COUNTIFS($U$5:$U120,$U120,$V$5:$V120,"Sub"))))</f>
        <v/>
      </c>
      <c r="B120" s="57" t="n"/>
      <c r="C120" s="58" t="n"/>
      <c r="D120" s="58" t="n"/>
      <c r="E120" s="59" t="n"/>
      <c r="F120" s="59" t="n"/>
      <c r="G120" s="59" t="n"/>
      <c r="H120" s="60" t="n"/>
      <c r="I120" s="60" t="n"/>
      <c r="J120" s="60" t="n"/>
      <c r="K120" s="60" t="n"/>
      <c r="L120" s="60" t="n"/>
      <c r="M120" s="61">
        <f>IF(NOT((COUNTA($B120:$D120)+COUNTA($G120:$L120)+COUNTA($Q120))&gt;0),"",IF(AND($D120&lt;&gt;"",$V120="Macro"),IF(N($AH120)&gt;0,N(CHOOSE(MATCH($D120,ListaPuestos,0),INDEX('Cronograma R. Operacional'!$M$5:$M$1000,$AH120),INDEX('Cronograma R. Normativo'!$M$5:$M$1000,$AH120),INDEX('Cronograma R. Financiero'!$M$5:$M$1000,$AH120),INDEX('Cronograma Asistente Técnico'!$M$5:$M$1000,$AH120))),0),IF(ISNUMBER($G120),1,IF(N($W120)&gt;0,AVERAGEIFS($X$5:$X$1000,$U$5:$U$1000,ROW(),$V$5:$V$1000,"Sub"),$X120))))</f>
        <v/>
      </c>
      <c r="N120" s="56">
        <f>IF($M120="","",IF($M120&gt;=1,"Completado",IF($M120&gt;0,"En curso","Pendiente")))</f>
        <v/>
      </c>
      <c r="O120" s="56">
        <f>IF(NOT((COUNTA($B120:$D120)+COUNTA($G120:$L120)+COUNTA($Q120))&gt;0),"",IF(AND(AND($D120&lt;&gt;"",$V120="Macro"),N($AH120)&gt;0),CHOOSE(MATCH($D120,ListaPuestos,0),INDEX('Cronograma R. Operacional'!$O$5:$O$1000,$AH120),INDEX('Cronograma R. Normativo'!$O$5:$O$1000,$AH120),INDEX('Cronograma R. Financiero'!$O$5:$O$1000,$AH120),INDEX('Cronograma Asistente Técnico'!$O$5:$O$1000,$AH120))&amp;"",IF(ISNUMBER($G120),IF(AND(ISNUMBER($AN120),$G120&gt;$AN120),"Cumplida con "&amp;($G120-$AN120)&amp;IF($G120-$AN120=1," día"," días")&amp;" de retraso","Cumplida"),IF(N($M120)&gt;=1,"Cumplida",IF(NOT(ISNUMBER($AN120)),"Sin fecha límite",IF($AN120&lt;FechaRef,"Vencida hace "&amp;(FechaRef-$AN120)&amp;IF(FechaRef-$AN120=1," día"," días"),IF($AN120=FechaRef,"Vence hoy",IF($AN120-FechaRef&lt;=DiasAlerta,"Vence en "&amp;($AN120-FechaRef)&amp;IF($AN120-FechaRef=1," día"," días"),"En plazo"))))))))</f>
        <v/>
      </c>
      <c r="P120" s="62">
        <f>IF(NOT((COUNTA($B120:$D120)+COUNTA($G120:$L120)+COUNTA($Q120))&gt;0),"",IF($D120="","Propia",IF($V120&lt;&gt;"Macro","Solo se delegan macroactividades",IF(N($AH120)&gt;0,"✔ Recibida por "&amp;$D120,"⚠ "&amp;$D120&amp;" aún no la agrega"))))</f>
        <v/>
      </c>
      <c r="Q120" s="58" t="n"/>
      <c r="R120" s="63">
        <f>IF(NOT((COUNTA($B120:$D120)+COUNTA($G120:$L120)+COUNTA($Q120))&gt;0),"",IF((IF($C120="","Falta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",""))="","✔ OK","⚠ "&amp;LEFT(IF($C120="","Falta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",""),LEN(IF($C120="","Falta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",""))-3)))</f>
        <v/>
      </c>
      <c r="S120" s="64">
        <f>IF(NOT((COUNTA($B120:$D120)+COUNTA($G120:$L120)+COUNTA($Q120))&gt;0),"",IF(AND($V120="Sub",N($U120)&gt;0),IF(ISNUMBER(INDEX($AM$5:$AM$1000,$U120-4)),DATE(YEAR(INDEX($AM$5:$AM$1000,$U120-4)),MONTH(INDEX($AM$5:$AM$1000,$U120-4)),1),IF(ISNUMBER(INDEX($AN$5:$AN$1000,$U120-4)),DATE(YEAR(INDEX($AN$5:$AN$1000,$U120-4)),MONTH(INDEX($AN$5:$AN$1000,$U120-4)),1),MesCiclo)),IF(ISNUMBER($AM120),DATE(YEAR($AM120),MONTH($AM120),1),IF(ISNUMBER($AN120),DATE(YEAR($AN120),MONTH($AN120),1),MesCiclo))))</f>
        <v/>
      </c>
      <c r="T120" s="62">
        <f>IF(OR($S120="",$S120&lt;&gt;MesCiclo),"",COUNTIF($S$5:$S120,MesCiclo))</f>
        <v/>
      </c>
      <c r="U120" s="62">
        <f>IF($V120="","",IF($V120="Macro",ROW(),IFERROR(LOOKUP(2,1/($V$5:$V120="Macro"),ROW($V$5:$V120)),0)))</f>
        <v/>
      </c>
      <c r="V120" s="62">
        <f>IF(NOT((COUNTA($B120:$D120)+COUNTA($G120:$L120)+COUNTA($Q120))&gt;0),"",IF($B120="Subactividad","Sub","Macro"))</f>
        <v/>
      </c>
      <c r="W120" s="62">
        <f>IF($V120="Macro",COUNTIFS($U$5:$U$1000,ROW(),$V$5:$V$1000,"Sub"),"")</f>
        <v/>
      </c>
      <c r="X120" s="62">
        <f>IF($V120="","",IF(ISNUMBER($G120),1,IFERROR(LOOKUP(2,1/($I120:$L120&lt;&gt;""),$I120:$L120),0)))</f>
        <v/>
      </c>
      <c r="Y120" s="62">
        <f>IF($V120="","",IF(AND(ISNUMBER($G120),$G120&lt;=IF($S120=MesCiclo,InicioCiclo,$S120+MOD(2-WEEKDAY($S120),7))+6),1,IF(ISNUMBER($I120),$I120,0)))</f>
        <v/>
      </c>
      <c r="Z120" s="62">
        <f>IF($V120="","",IF(AND(ISNUMBER($G120),$G120&lt;=IF($S120=MesCiclo,InicioCiclo,$S120+MOD(2-WEEKDAY($S120),7))+13),1,IF(ISNUMBER($J120),$J120,$Y120)))</f>
        <v/>
      </c>
      <c r="AA120" s="62">
        <f>IF($V120="","",IF(AND(ISNUMBER($G120),$G120&lt;=IF($S120=MesCiclo,InicioCiclo,$S120+MOD(2-WEEKDAY($S120),7))+20),1,IF(ISNUMBER($K120),$K120,$Z120)))</f>
        <v/>
      </c>
      <c r="AB120" s="62">
        <f>IF($V120="","",IF(AND(ISNUMBER($G120),$G120&lt;=IF($S120=MesCiclo,InicioCiclo,$S120+MOD(2-WEEKDAY($S120),7))+27),1,IF(ISNUMBER($L120),$L120,$AA120)))</f>
        <v/>
      </c>
      <c r="AC120" s="62">
        <f>IF($V120="","",IF(AND(ISNUMBER($G120),$G120&lt;=IF($S120=MesCiclo,InicioCiclo,$S120+MOD(2-WEEKDAY($S120),7))+6),1,IF(N($W120)&gt;0,AVERAGEIFS($Y$5:$Y$1000,$U$5:$U$1000,ROW(),$V$5:$V$1000,"Sub"),$Y120)))</f>
        <v/>
      </c>
      <c r="AD120" s="62">
        <f>IF($V120="","",IF(AND(ISNUMBER($G120),$G120&lt;=IF($S120=MesCiclo,InicioCiclo,$S120+MOD(2-WEEKDAY($S120),7))+13),1,IF(N($W120)&gt;0,AVERAGEIFS($Z$5:$Z$1000,$U$5:$U$1000,ROW(),$V$5:$V$1000,"Sub"),$Z120)))</f>
        <v/>
      </c>
      <c r="AE120" s="62">
        <f>IF($V120="","",IF(AND(ISNUMBER($G120),$G120&lt;=IF($S120=MesCiclo,InicioCiclo,$S120+MOD(2-WEEKDAY($S120),7))+20),1,IF(N($W120)&gt;0,AVERAGEIFS($AA$5:$AA$1000,$U$5:$U$1000,ROW(),$V$5:$V$1000,"Sub"),$AA120)))</f>
        <v/>
      </c>
      <c r="AF120" s="62">
        <f>IF($V120="","",IF(AND(ISNUMBER($G120),$G120&lt;=IF($S120=MesCiclo,InicioCiclo,$S120+MOD(2-WEEKDAY($S120),7))+27),1,IF(N($W120)&gt;0,AVERAGEIFS($AB$5:$AB$1000,$U$5:$U$1000,ROW(),$V$5:$V$1000,"Sub"),$AB120)))</f>
        <v/>
      </c>
      <c r="AG120" s="62">
        <f>IF($V120&lt;&gt;"Macro","",IF(COUNTIFS($S$5:$S$1000,$S120,$V$5:$V$1000,"Macro",$H$5:$H$1000,"&gt;0")=0,1/COUNTIFS($S$5:$S$1000,$S120,$V$5:$V$1000,"Macro"),IF(AND(ISNUMBER($H120),N($H120)&gt;0),$H120,SUMIFS($H$5:$H$1000,$S$5:$S$1000,$S120,$V$5:$V$1000,"Macro")/COUNTIFS($S$5:$S$1000,$S120,$V$5:$V$1000,"Macro",$H$5:$H$1000,"&gt;0"))/(COUNTIFS($S$5:$S$1000,$S120,$V$5:$V$1000,"Macro")*SUMIFS($H$5:$H$1000,$S$5:$S$1000,$S120,$V$5:$V$1000,"Macro")/COUNTIFS($S$5:$S$1000,$S120,$V$5:$V$1000,"Macro",$H$5:$H$1000,"&gt;0"))))</f>
        <v/>
      </c>
      <c r="AH120" s="62">
        <f>IF(NOT(AND($D120&lt;&gt;"",$V120="Macro")),"",IFERROR(CHOOSE(MATCH($D120,ListaPuestos,0),MATCH("[Jefatura] "&amp;$C120,'Cronograma R. Operacional'!$C$5:$C$1000,0),MATCH("[Jefatura] "&amp;$C120,'Cronograma R. Normativo'!$C$5:$C$1000,0),MATCH("[Jefatura] "&amp;$C120,'Cronograma R. Financiero'!$C$5:$C$1000,0),MATCH("[Jefatura] "&amp;$C120,'Cronograma Asistente Técnico'!$C$5:$C$1000,0)),0))</f>
        <v/>
      </c>
      <c r="AI120" s="62">
        <f>IF(AND(AND($D120&lt;&gt;"",$V120="Macro"),$S120=MesCiclo),COUNTIFS($D$5:$D120,$D120,$S$5:$S120,MesCiclo,$V$5:$V120,"Macro"),"")</f>
        <v/>
      </c>
      <c r="AJ120" s="62">
        <f>IF($AI120="","",$D120&amp;"|"&amp;$AI120)</f>
        <v/>
      </c>
      <c r="AK120" s="62">
        <f>IF(AND($D120&lt;&gt;"",$V120="Macro"),$D120&amp;"|"&amp;$C120,"")</f>
        <v/>
      </c>
      <c r="AL120" s="62">
        <f>""</f>
        <v/>
      </c>
      <c r="AM120" s="62">
        <f>IF(N($AL120)&gt;0,INDEX(rIni_ADM,$AL120),IF(ISNUMBER($E120),$E120,""))</f>
        <v/>
      </c>
      <c r="AN120" s="62">
        <f>IF(N($AL120)&gt;0,INDEX(rLim_ADM,$AL120),IF(ISNUMBER($F120),$F120,""))</f>
        <v/>
      </c>
    </row>
    <row r="121">
      <c r="A121" s="56">
        <f>IF(NOT((COUNTA($B121:$D121)+COUNTA($G121:$L121)+COUNTA($Q121))&gt;0),"",IF($V121="Macro",COUNTIFS($V$5:$V121,"Macro",$S$5:$S121,$S121),IF(N($U121)=0,"?",COUNTIFS(INDEX($V$5:$V$1000,1):INDEX($V$5:$V$1000,$U121-4),"Macro",INDEX($S$5:$S$1000,1):INDEX($S$5:$S$1000,$U121-4),INDEX($S$5:$S$1000,$U121-4))&amp;"."&amp;COUNTIFS($U$5:$U121,$U121,$V$5:$V121,"Sub"))))</f>
        <v/>
      </c>
      <c r="B121" s="57" t="n"/>
      <c r="C121" s="58" t="n"/>
      <c r="D121" s="58" t="n"/>
      <c r="E121" s="59" t="n"/>
      <c r="F121" s="59" t="n"/>
      <c r="G121" s="59" t="n"/>
      <c r="H121" s="60" t="n"/>
      <c r="I121" s="60" t="n"/>
      <c r="J121" s="60" t="n"/>
      <c r="K121" s="60" t="n"/>
      <c r="L121" s="60" t="n"/>
      <c r="M121" s="61">
        <f>IF(NOT((COUNTA($B121:$D121)+COUNTA($G121:$L121)+COUNTA($Q121))&gt;0),"",IF(AND($D121&lt;&gt;"",$V121="Macro"),IF(N($AH121)&gt;0,N(CHOOSE(MATCH($D121,ListaPuestos,0),INDEX('Cronograma R. Operacional'!$M$5:$M$1000,$AH121),INDEX('Cronograma R. Normativo'!$M$5:$M$1000,$AH121),INDEX('Cronograma R. Financiero'!$M$5:$M$1000,$AH121),INDEX('Cronograma Asistente Técnico'!$M$5:$M$1000,$AH121))),0),IF(ISNUMBER($G121),1,IF(N($W121)&gt;0,AVERAGEIFS($X$5:$X$1000,$U$5:$U$1000,ROW(),$V$5:$V$1000,"Sub"),$X121))))</f>
        <v/>
      </c>
      <c r="N121" s="56">
        <f>IF($M121="","",IF($M121&gt;=1,"Completado",IF($M121&gt;0,"En curso","Pendiente")))</f>
        <v/>
      </c>
      <c r="O121" s="56">
        <f>IF(NOT((COUNTA($B121:$D121)+COUNTA($G121:$L121)+COUNTA($Q121))&gt;0),"",IF(AND(AND($D121&lt;&gt;"",$V121="Macro"),N($AH121)&gt;0),CHOOSE(MATCH($D121,ListaPuestos,0),INDEX('Cronograma R. Operacional'!$O$5:$O$1000,$AH121),INDEX('Cronograma R. Normativo'!$O$5:$O$1000,$AH121),INDEX('Cronograma R. Financiero'!$O$5:$O$1000,$AH121),INDEX('Cronograma Asistente Técnico'!$O$5:$O$1000,$AH121))&amp;"",IF(ISNUMBER($G121),IF(AND(ISNUMBER($AN121),$G121&gt;$AN121),"Cumplida con "&amp;($G121-$AN121)&amp;IF($G121-$AN121=1," día"," días")&amp;" de retraso","Cumplida"),IF(N($M121)&gt;=1,"Cumplida",IF(NOT(ISNUMBER($AN121)),"Sin fecha límite",IF($AN121&lt;FechaRef,"Vencida hace "&amp;(FechaRef-$AN121)&amp;IF(FechaRef-$AN121=1," día"," días"),IF($AN121=FechaRef,"Vence hoy",IF($AN121-FechaRef&lt;=DiasAlerta,"Vence en "&amp;($AN121-FechaRef)&amp;IF($AN121-FechaRef=1," día"," días"),"En plazo"))))))))</f>
        <v/>
      </c>
      <c r="P121" s="62">
        <f>IF(NOT((COUNTA($B121:$D121)+COUNTA($G121:$L121)+COUNTA($Q121))&gt;0),"",IF($D121="","Propia",IF($V121&lt;&gt;"Macro","Solo se delegan macroactividades",IF(N($AH121)&gt;0,"✔ Recibida por "&amp;$D121,"⚠ "&amp;$D121&amp;" aún no la agrega"))))</f>
        <v/>
      </c>
      <c r="Q121" s="58" t="n"/>
      <c r="R121" s="63">
        <f>IF(NOT((COUNTA($B121:$D121)+COUNTA($G121:$L121)+COUNTA($Q121))&gt;0),"",IF((IF($C121="","Falta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",""))="","✔ OK","⚠ "&amp;LEFT(IF($C121="","Falta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",""),LEN(IF($C121="","Falta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",""))-3)))</f>
        <v/>
      </c>
      <c r="S121" s="64">
        <f>IF(NOT((COUNTA($B121:$D121)+COUNTA($G121:$L121)+COUNTA($Q121))&gt;0),"",IF(AND($V121="Sub",N($U121)&gt;0),IF(ISNUMBER(INDEX($AM$5:$AM$1000,$U121-4)),DATE(YEAR(INDEX($AM$5:$AM$1000,$U121-4)),MONTH(INDEX($AM$5:$AM$1000,$U121-4)),1),IF(ISNUMBER(INDEX($AN$5:$AN$1000,$U121-4)),DATE(YEAR(INDEX($AN$5:$AN$1000,$U121-4)),MONTH(INDEX($AN$5:$AN$1000,$U121-4)),1),MesCiclo)),IF(ISNUMBER($AM121),DATE(YEAR($AM121),MONTH($AM121),1),IF(ISNUMBER($AN121),DATE(YEAR($AN121),MONTH($AN121),1),MesCiclo))))</f>
        <v/>
      </c>
      <c r="T121" s="62">
        <f>IF(OR($S121="",$S121&lt;&gt;MesCiclo),"",COUNTIF($S$5:$S121,MesCiclo))</f>
        <v/>
      </c>
      <c r="U121" s="62">
        <f>IF($V121="","",IF($V121="Macro",ROW(),IFERROR(LOOKUP(2,1/($V$5:$V121="Macro"),ROW($V$5:$V121)),0)))</f>
        <v/>
      </c>
      <c r="V121" s="62">
        <f>IF(NOT((COUNTA($B121:$D121)+COUNTA($G121:$L121)+COUNTA($Q121))&gt;0),"",IF($B121="Subactividad","Sub","Macro"))</f>
        <v/>
      </c>
      <c r="W121" s="62">
        <f>IF($V121="Macro",COUNTIFS($U$5:$U$1000,ROW(),$V$5:$V$1000,"Sub"),"")</f>
        <v/>
      </c>
      <c r="X121" s="62">
        <f>IF($V121="","",IF(ISNUMBER($G121),1,IFERROR(LOOKUP(2,1/($I121:$L121&lt;&gt;""),$I121:$L121),0)))</f>
        <v/>
      </c>
      <c r="Y121" s="62">
        <f>IF($V121="","",IF(AND(ISNUMBER($G121),$G121&lt;=IF($S121=MesCiclo,InicioCiclo,$S121+MOD(2-WEEKDAY($S121),7))+6),1,IF(ISNUMBER($I121),$I121,0)))</f>
        <v/>
      </c>
      <c r="Z121" s="62">
        <f>IF($V121="","",IF(AND(ISNUMBER($G121),$G121&lt;=IF($S121=MesCiclo,InicioCiclo,$S121+MOD(2-WEEKDAY($S121),7))+13),1,IF(ISNUMBER($J121),$J121,$Y121)))</f>
        <v/>
      </c>
      <c r="AA121" s="62">
        <f>IF($V121="","",IF(AND(ISNUMBER($G121),$G121&lt;=IF($S121=MesCiclo,InicioCiclo,$S121+MOD(2-WEEKDAY($S121),7))+20),1,IF(ISNUMBER($K121),$K121,$Z121)))</f>
        <v/>
      </c>
      <c r="AB121" s="62">
        <f>IF($V121="","",IF(AND(ISNUMBER($G121),$G121&lt;=IF($S121=MesCiclo,InicioCiclo,$S121+MOD(2-WEEKDAY($S121),7))+27),1,IF(ISNUMBER($L121),$L121,$AA121)))</f>
        <v/>
      </c>
      <c r="AC121" s="62">
        <f>IF($V121="","",IF(AND(ISNUMBER($G121),$G121&lt;=IF($S121=MesCiclo,InicioCiclo,$S121+MOD(2-WEEKDAY($S121),7))+6),1,IF(N($W121)&gt;0,AVERAGEIFS($Y$5:$Y$1000,$U$5:$U$1000,ROW(),$V$5:$V$1000,"Sub"),$Y121)))</f>
        <v/>
      </c>
      <c r="AD121" s="62">
        <f>IF($V121="","",IF(AND(ISNUMBER($G121),$G121&lt;=IF($S121=MesCiclo,InicioCiclo,$S121+MOD(2-WEEKDAY($S121),7))+13),1,IF(N($W121)&gt;0,AVERAGEIFS($Z$5:$Z$1000,$U$5:$U$1000,ROW(),$V$5:$V$1000,"Sub"),$Z121)))</f>
        <v/>
      </c>
      <c r="AE121" s="62">
        <f>IF($V121="","",IF(AND(ISNUMBER($G121),$G121&lt;=IF($S121=MesCiclo,InicioCiclo,$S121+MOD(2-WEEKDAY($S121),7))+20),1,IF(N($W121)&gt;0,AVERAGEIFS($AA$5:$AA$1000,$U$5:$U$1000,ROW(),$V$5:$V$1000,"Sub"),$AA121)))</f>
        <v/>
      </c>
      <c r="AF121" s="62">
        <f>IF($V121="","",IF(AND(ISNUMBER($G121),$G121&lt;=IF($S121=MesCiclo,InicioCiclo,$S121+MOD(2-WEEKDAY($S121),7))+27),1,IF(N($W121)&gt;0,AVERAGEIFS($AB$5:$AB$1000,$U$5:$U$1000,ROW(),$V$5:$V$1000,"Sub"),$AB121)))</f>
        <v/>
      </c>
      <c r="AG121" s="62">
        <f>IF($V121&lt;&gt;"Macro","",IF(COUNTIFS($S$5:$S$1000,$S121,$V$5:$V$1000,"Macro",$H$5:$H$1000,"&gt;0")=0,1/COUNTIFS($S$5:$S$1000,$S121,$V$5:$V$1000,"Macro"),IF(AND(ISNUMBER($H121),N($H121)&gt;0),$H121,SUMIFS($H$5:$H$1000,$S$5:$S$1000,$S121,$V$5:$V$1000,"Macro")/COUNTIFS($S$5:$S$1000,$S121,$V$5:$V$1000,"Macro",$H$5:$H$1000,"&gt;0"))/(COUNTIFS($S$5:$S$1000,$S121,$V$5:$V$1000,"Macro")*SUMIFS($H$5:$H$1000,$S$5:$S$1000,$S121,$V$5:$V$1000,"Macro")/COUNTIFS($S$5:$S$1000,$S121,$V$5:$V$1000,"Macro",$H$5:$H$1000,"&gt;0"))))</f>
        <v/>
      </c>
      <c r="AH121" s="62">
        <f>IF(NOT(AND($D121&lt;&gt;"",$V121="Macro")),"",IFERROR(CHOOSE(MATCH($D121,ListaPuestos,0),MATCH("[Jefatura] "&amp;$C121,'Cronograma R. Operacional'!$C$5:$C$1000,0),MATCH("[Jefatura] "&amp;$C121,'Cronograma R. Normativo'!$C$5:$C$1000,0),MATCH("[Jefatura] "&amp;$C121,'Cronograma R. Financiero'!$C$5:$C$1000,0),MATCH("[Jefatura] "&amp;$C121,'Cronograma Asistente Técnico'!$C$5:$C$1000,0)),0))</f>
        <v/>
      </c>
      <c r="AI121" s="62">
        <f>IF(AND(AND($D121&lt;&gt;"",$V121="Macro"),$S121=MesCiclo),COUNTIFS($D$5:$D121,$D121,$S$5:$S121,MesCiclo,$V$5:$V121,"Macro"),"")</f>
        <v/>
      </c>
      <c r="AJ121" s="62">
        <f>IF($AI121="","",$D121&amp;"|"&amp;$AI121)</f>
        <v/>
      </c>
      <c r="AK121" s="62">
        <f>IF(AND($D121&lt;&gt;"",$V121="Macro"),$D121&amp;"|"&amp;$C121,"")</f>
        <v/>
      </c>
      <c r="AL121" s="62">
        <f>""</f>
        <v/>
      </c>
      <c r="AM121" s="62">
        <f>IF(N($AL121)&gt;0,INDEX(rIni_ADM,$AL121),IF(ISNUMBER($E121),$E121,""))</f>
        <v/>
      </c>
      <c r="AN121" s="62">
        <f>IF(N($AL121)&gt;0,INDEX(rLim_ADM,$AL121),IF(ISNUMBER($F121),$F121,""))</f>
        <v/>
      </c>
    </row>
    <row r="122">
      <c r="A122" s="56">
        <f>IF(NOT((COUNTA($B122:$D122)+COUNTA($G122:$L122)+COUNTA($Q122))&gt;0),"",IF($V122="Macro",COUNTIFS($V$5:$V122,"Macro",$S$5:$S122,$S122),IF(N($U122)=0,"?",COUNTIFS(INDEX($V$5:$V$1000,1):INDEX($V$5:$V$1000,$U122-4),"Macro",INDEX($S$5:$S$1000,1):INDEX($S$5:$S$1000,$U122-4),INDEX($S$5:$S$1000,$U122-4))&amp;"."&amp;COUNTIFS($U$5:$U122,$U122,$V$5:$V122,"Sub"))))</f>
        <v/>
      </c>
      <c r="B122" s="57" t="n"/>
      <c r="C122" s="58" t="n"/>
      <c r="D122" s="58" t="n"/>
      <c r="E122" s="59" t="n"/>
      <c r="F122" s="59" t="n"/>
      <c r="G122" s="59" t="n"/>
      <c r="H122" s="60" t="n"/>
      <c r="I122" s="60" t="n"/>
      <c r="J122" s="60" t="n"/>
      <c r="K122" s="60" t="n"/>
      <c r="L122" s="60" t="n"/>
      <c r="M122" s="61">
        <f>IF(NOT((COUNTA($B122:$D122)+COUNTA($G122:$L122)+COUNTA($Q122))&gt;0),"",IF(AND($D122&lt;&gt;"",$V122="Macro"),IF(N($AH122)&gt;0,N(CHOOSE(MATCH($D122,ListaPuestos,0),INDEX('Cronograma R. Operacional'!$M$5:$M$1000,$AH122),INDEX('Cronograma R. Normativo'!$M$5:$M$1000,$AH122),INDEX('Cronograma R. Financiero'!$M$5:$M$1000,$AH122),INDEX('Cronograma Asistente Técnico'!$M$5:$M$1000,$AH122))),0),IF(ISNUMBER($G122),1,IF(N($W122)&gt;0,AVERAGEIFS($X$5:$X$1000,$U$5:$U$1000,ROW(),$V$5:$V$1000,"Sub"),$X122))))</f>
        <v/>
      </c>
      <c r="N122" s="56">
        <f>IF($M122="","",IF($M122&gt;=1,"Completado",IF($M122&gt;0,"En curso","Pendiente")))</f>
        <v/>
      </c>
      <c r="O122" s="56">
        <f>IF(NOT((COUNTA($B122:$D122)+COUNTA($G122:$L122)+COUNTA($Q122))&gt;0),"",IF(AND(AND($D122&lt;&gt;"",$V122="Macro"),N($AH122)&gt;0),CHOOSE(MATCH($D122,ListaPuestos,0),INDEX('Cronograma R. Operacional'!$O$5:$O$1000,$AH122),INDEX('Cronograma R. Normativo'!$O$5:$O$1000,$AH122),INDEX('Cronograma R. Financiero'!$O$5:$O$1000,$AH122),INDEX('Cronograma Asistente Técnico'!$O$5:$O$1000,$AH122))&amp;"",IF(ISNUMBER($G122),IF(AND(ISNUMBER($AN122),$G122&gt;$AN122),"Cumplida con "&amp;($G122-$AN122)&amp;IF($G122-$AN122=1," día"," días")&amp;" de retraso","Cumplida"),IF(N($M122)&gt;=1,"Cumplida",IF(NOT(ISNUMBER($AN122)),"Sin fecha límite",IF($AN122&lt;FechaRef,"Vencida hace "&amp;(FechaRef-$AN122)&amp;IF(FechaRef-$AN122=1," día"," días"),IF($AN122=FechaRef,"Vence hoy",IF($AN122-FechaRef&lt;=DiasAlerta,"Vence en "&amp;($AN122-FechaRef)&amp;IF($AN122-FechaRef=1," día"," días"),"En plazo"))))))))</f>
        <v/>
      </c>
      <c r="P122" s="62">
        <f>IF(NOT((COUNTA($B122:$D122)+COUNTA($G122:$L122)+COUNTA($Q122))&gt;0),"",IF($D122="","Propia",IF($V122&lt;&gt;"Macro","Solo se delegan macroactividades",IF(N($AH122)&gt;0,"✔ Recibida por "&amp;$D122,"⚠ "&amp;$D122&amp;" aún no la agrega"))))</f>
        <v/>
      </c>
      <c r="Q122" s="58" t="n"/>
      <c r="R122" s="63">
        <f>IF(NOT((COUNTA($B122:$D122)+COUNTA($G122:$L122)+COUNTA($Q122))&gt;0),"",IF((IF($C122="","Falta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",""))="","✔ OK","⚠ "&amp;LEFT(IF($C122="","Falta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",""),LEN(IF($C122="","Falta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",""))-3)))</f>
        <v/>
      </c>
      <c r="S122" s="64">
        <f>IF(NOT((COUNTA($B122:$D122)+COUNTA($G122:$L122)+COUNTA($Q122))&gt;0),"",IF(AND($V122="Sub",N($U122)&gt;0),IF(ISNUMBER(INDEX($AM$5:$AM$1000,$U122-4)),DATE(YEAR(INDEX($AM$5:$AM$1000,$U122-4)),MONTH(INDEX($AM$5:$AM$1000,$U122-4)),1),IF(ISNUMBER(INDEX($AN$5:$AN$1000,$U122-4)),DATE(YEAR(INDEX($AN$5:$AN$1000,$U122-4)),MONTH(INDEX($AN$5:$AN$1000,$U122-4)),1),MesCiclo)),IF(ISNUMBER($AM122),DATE(YEAR($AM122),MONTH($AM122),1),IF(ISNUMBER($AN122),DATE(YEAR($AN122),MONTH($AN122),1),MesCiclo))))</f>
        <v/>
      </c>
      <c r="T122" s="62">
        <f>IF(OR($S122="",$S122&lt;&gt;MesCiclo),"",COUNTIF($S$5:$S122,MesCiclo))</f>
        <v/>
      </c>
      <c r="U122" s="62">
        <f>IF($V122="","",IF($V122="Macro",ROW(),IFERROR(LOOKUP(2,1/($V$5:$V122="Macro"),ROW($V$5:$V122)),0)))</f>
        <v/>
      </c>
      <c r="V122" s="62">
        <f>IF(NOT((COUNTA($B122:$D122)+COUNTA($G122:$L122)+COUNTA($Q122))&gt;0),"",IF($B122="Subactividad","Sub","Macro"))</f>
        <v/>
      </c>
      <c r="W122" s="62">
        <f>IF($V122="Macro",COUNTIFS($U$5:$U$1000,ROW(),$V$5:$V$1000,"Sub"),"")</f>
        <v/>
      </c>
      <c r="X122" s="62">
        <f>IF($V122="","",IF(ISNUMBER($G122),1,IFERROR(LOOKUP(2,1/($I122:$L122&lt;&gt;""),$I122:$L122),0)))</f>
        <v/>
      </c>
      <c r="Y122" s="62">
        <f>IF($V122="","",IF(AND(ISNUMBER($G122),$G122&lt;=IF($S122=MesCiclo,InicioCiclo,$S122+MOD(2-WEEKDAY($S122),7))+6),1,IF(ISNUMBER($I122),$I122,0)))</f>
        <v/>
      </c>
      <c r="Z122" s="62">
        <f>IF($V122="","",IF(AND(ISNUMBER($G122),$G122&lt;=IF($S122=MesCiclo,InicioCiclo,$S122+MOD(2-WEEKDAY($S122),7))+13),1,IF(ISNUMBER($J122),$J122,$Y122)))</f>
        <v/>
      </c>
      <c r="AA122" s="62">
        <f>IF($V122="","",IF(AND(ISNUMBER($G122),$G122&lt;=IF($S122=MesCiclo,InicioCiclo,$S122+MOD(2-WEEKDAY($S122),7))+20),1,IF(ISNUMBER($K122),$K122,$Z122)))</f>
        <v/>
      </c>
      <c r="AB122" s="62">
        <f>IF($V122="","",IF(AND(ISNUMBER($G122),$G122&lt;=IF($S122=MesCiclo,InicioCiclo,$S122+MOD(2-WEEKDAY($S122),7))+27),1,IF(ISNUMBER($L122),$L122,$AA122)))</f>
        <v/>
      </c>
      <c r="AC122" s="62">
        <f>IF($V122="","",IF(AND(ISNUMBER($G122),$G122&lt;=IF($S122=MesCiclo,InicioCiclo,$S122+MOD(2-WEEKDAY($S122),7))+6),1,IF(N($W122)&gt;0,AVERAGEIFS($Y$5:$Y$1000,$U$5:$U$1000,ROW(),$V$5:$V$1000,"Sub"),$Y122)))</f>
        <v/>
      </c>
      <c r="AD122" s="62">
        <f>IF($V122="","",IF(AND(ISNUMBER($G122),$G122&lt;=IF($S122=MesCiclo,InicioCiclo,$S122+MOD(2-WEEKDAY($S122),7))+13),1,IF(N($W122)&gt;0,AVERAGEIFS($Z$5:$Z$1000,$U$5:$U$1000,ROW(),$V$5:$V$1000,"Sub"),$Z122)))</f>
        <v/>
      </c>
      <c r="AE122" s="62">
        <f>IF($V122="","",IF(AND(ISNUMBER($G122),$G122&lt;=IF($S122=MesCiclo,InicioCiclo,$S122+MOD(2-WEEKDAY($S122),7))+20),1,IF(N($W122)&gt;0,AVERAGEIFS($AA$5:$AA$1000,$U$5:$U$1000,ROW(),$V$5:$V$1000,"Sub"),$AA122)))</f>
        <v/>
      </c>
      <c r="AF122" s="62">
        <f>IF($V122="","",IF(AND(ISNUMBER($G122),$G122&lt;=IF($S122=MesCiclo,InicioCiclo,$S122+MOD(2-WEEKDAY($S122),7))+27),1,IF(N($W122)&gt;0,AVERAGEIFS($AB$5:$AB$1000,$U$5:$U$1000,ROW(),$V$5:$V$1000,"Sub"),$AB122)))</f>
        <v/>
      </c>
      <c r="AG122" s="62">
        <f>IF($V122&lt;&gt;"Macro","",IF(COUNTIFS($S$5:$S$1000,$S122,$V$5:$V$1000,"Macro",$H$5:$H$1000,"&gt;0")=0,1/COUNTIFS($S$5:$S$1000,$S122,$V$5:$V$1000,"Macro"),IF(AND(ISNUMBER($H122),N($H122)&gt;0),$H122,SUMIFS($H$5:$H$1000,$S$5:$S$1000,$S122,$V$5:$V$1000,"Macro")/COUNTIFS($S$5:$S$1000,$S122,$V$5:$V$1000,"Macro",$H$5:$H$1000,"&gt;0"))/(COUNTIFS($S$5:$S$1000,$S122,$V$5:$V$1000,"Macro")*SUMIFS($H$5:$H$1000,$S$5:$S$1000,$S122,$V$5:$V$1000,"Macro")/COUNTIFS($S$5:$S$1000,$S122,$V$5:$V$1000,"Macro",$H$5:$H$1000,"&gt;0"))))</f>
        <v/>
      </c>
      <c r="AH122" s="62">
        <f>IF(NOT(AND($D122&lt;&gt;"",$V122="Macro")),"",IFERROR(CHOOSE(MATCH($D122,ListaPuestos,0),MATCH("[Jefatura] "&amp;$C122,'Cronograma R. Operacional'!$C$5:$C$1000,0),MATCH("[Jefatura] "&amp;$C122,'Cronograma R. Normativo'!$C$5:$C$1000,0),MATCH("[Jefatura] "&amp;$C122,'Cronograma R. Financiero'!$C$5:$C$1000,0),MATCH("[Jefatura] "&amp;$C122,'Cronograma Asistente Técnico'!$C$5:$C$1000,0)),0))</f>
        <v/>
      </c>
      <c r="AI122" s="62">
        <f>IF(AND(AND($D122&lt;&gt;"",$V122="Macro"),$S122=MesCiclo),COUNTIFS($D$5:$D122,$D122,$S$5:$S122,MesCiclo,$V$5:$V122,"Macro"),"")</f>
        <v/>
      </c>
      <c r="AJ122" s="62">
        <f>IF($AI122="","",$D122&amp;"|"&amp;$AI122)</f>
        <v/>
      </c>
      <c r="AK122" s="62">
        <f>IF(AND($D122&lt;&gt;"",$V122="Macro"),$D122&amp;"|"&amp;$C122,"")</f>
        <v/>
      </c>
      <c r="AL122" s="62">
        <f>""</f>
        <v/>
      </c>
      <c r="AM122" s="62">
        <f>IF(N($AL122)&gt;0,INDEX(rIni_ADM,$AL122),IF(ISNUMBER($E122),$E122,""))</f>
        <v/>
      </c>
      <c r="AN122" s="62">
        <f>IF(N($AL122)&gt;0,INDEX(rLim_ADM,$AL122),IF(ISNUMBER($F122),$F122,""))</f>
        <v/>
      </c>
    </row>
    <row r="123">
      <c r="A123" s="56">
        <f>IF(NOT((COUNTA($B123:$D123)+COUNTA($G123:$L123)+COUNTA($Q123))&gt;0),"",IF($V123="Macro",COUNTIFS($V$5:$V123,"Macro",$S$5:$S123,$S123),IF(N($U123)=0,"?",COUNTIFS(INDEX($V$5:$V$1000,1):INDEX($V$5:$V$1000,$U123-4),"Macro",INDEX($S$5:$S$1000,1):INDEX($S$5:$S$1000,$U123-4),INDEX($S$5:$S$1000,$U123-4))&amp;"."&amp;COUNTIFS($U$5:$U123,$U123,$V$5:$V123,"Sub"))))</f>
        <v/>
      </c>
      <c r="B123" s="57" t="n"/>
      <c r="C123" s="58" t="n"/>
      <c r="D123" s="58" t="n"/>
      <c r="E123" s="59" t="n"/>
      <c r="F123" s="59" t="n"/>
      <c r="G123" s="59" t="n"/>
      <c r="H123" s="60" t="n"/>
      <c r="I123" s="60" t="n"/>
      <c r="J123" s="60" t="n"/>
      <c r="K123" s="60" t="n"/>
      <c r="L123" s="60" t="n"/>
      <c r="M123" s="61">
        <f>IF(NOT((COUNTA($B123:$D123)+COUNTA($G123:$L123)+COUNTA($Q123))&gt;0),"",IF(AND($D123&lt;&gt;"",$V123="Macro"),IF(N($AH123)&gt;0,N(CHOOSE(MATCH($D123,ListaPuestos,0),INDEX('Cronograma R. Operacional'!$M$5:$M$1000,$AH123),INDEX('Cronograma R. Normativo'!$M$5:$M$1000,$AH123),INDEX('Cronograma R. Financiero'!$M$5:$M$1000,$AH123),INDEX('Cronograma Asistente Técnico'!$M$5:$M$1000,$AH123))),0),IF(ISNUMBER($G123),1,IF(N($W123)&gt;0,AVERAGEIFS($X$5:$X$1000,$U$5:$U$1000,ROW(),$V$5:$V$1000,"Sub"),$X123))))</f>
        <v/>
      </c>
      <c r="N123" s="56">
        <f>IF($M123="","",IF($M123&gt;=1,"Completado",IF($M123&gt;0,"En curso","Pendiente")))</f>
        <v/>
      </c>
      <c r="O123" s="56">
        <f>IF(NOT((COUNTA($B123:$D123)+COUNTA($G123:$L123)+COUNTA($Q123))&gt;0),"",IF(AND(AND($D123&lt;&gt;"",$V123="Macro"),N($AH123)&gt;0),CHOOSE(MATCH($D123,ListaPuestos,0),INDEX('Cronograma R. Operacional'!$O$5:$O$1000,$AH123),INDEX('Cronograma R. Normativo'!$O$5:$O$1000,$AH123),INDEX('Cronograma R. Financiero'!$O$5:$O$1000,$AH123),INDEX('Cronograma Asistente Técnico'!$O$5:$O$1000,$AH123))&amp;"",IF(ISNUMBER($G123),IF(AND(ISNUMBER($AN123),$G123&gt;$AN123),"Cumplida con "&amp;($G123-$AN123)&amp;IF($G123-$AN123=1," día"," días")&amp;" de retraso","Cumplida"),IF(N($M123)&gt;=1,"Cumplida",IF(NOT(ISNUMBER($AN123)),"Sin fecha límite",IF($AN123&lt;FechaRef,"Vencida hace "&amp;(FechaRef-$AN123)&amp;IF(FechaRef-$AN123=1," día"," días"),IF($AN123=FechaRef,"Vence hoy",IF($AN123-FechaRef&lt;=DiasAlerta,"Vence en "&amp;($AN123-FechaRef)&amp;IF($AN123-FechaRef=1," día"," días"),"En plazo"))))))))</f>
        <v/>
      </c>
      <c r="P123" s="62">
        <f>IF(NOT((COUNTA($B123:$D123)+COUNTA($G123:$L123)+COUNTA($Q123))&gt;0),"",IF($D123="","Propia",IF($V123&lt;&gt;"Macro","Solo se delegan macroactividades",IF(N($AH123)&gt;0,"✔ Recibida por "&amp;$D123,"⚠ "&amp;$D123&amp;" aún no la agrega"))))</f>
        <v/>
      </c>
      <c r="Q123" s="58" t="n"/>
      <c r="R123" s="63">
        <f>IF(NOT((COUNTA($B123:$D123)+COUNTA($G123:$L123)+COUNTA($Q123))&gt;0),"",IF((IF($C123="","Falta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",""))="","✔ OK","⚠ "&amp;LEFT(IF($C123="","Falta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",""),LEN(IF($C123="","Falta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",""))-3)))</f>
        <v/>
      </c>
      <c r="S123" s="64">
        <f>IF(NOT((COUNTA($B123:$D123)+COUNTA($G123:$L123)+COUNTA($Q123))&gt;0),"",IF(AND($V123="Sub",N($U123)&gt;0),IF(ISNUMBER(INDEX($AM$5:$AM$1000,$U123-4)),DATE(YEAR(INDEX($AM$5:$AM$1000,$U123-4)),MONTH(INDEX($AM$5:$AM$1000,$U123-4)),1),IF(ISNUMBER(INDEX($AN$5:$AN$1000,$U123-4)),DATE(YEAR(INDEX($AN$5:$AN$1000,$U123-4)),MONTH(INDEX($AN$5:$AN$1000,$U123-4)),1),MesCiclo)),IF(ISNUMBER($AM123),DATE(YEAR($AM123),MONTH($AM123),1),IF(ISNUMBER($AN123),DATE(YEAR($AN123),MONTH($AN123),1),MesCiclo))))</f>
        <v/>
      </c>
      <c r="T123" s="62">
        <f>IF(OR($S123="",$S123&lt;&gt;MesCiclo),"",COUNTIF($S$5:$S123,MesCiclo))</f>
        <v/>
      </c>
      <c r="U123" s="62">
        <f>IF($V123="","",IF($V123="Macro",ROW(),IFERROR(LOOKUP(2,1/($V$5:$V123="Macro"),ROW($V$5:$V123)),0)))</f>
        <v/>
      </c>
      <c r="V123" s="62">
        <f>IF(NOT((COUNTA($B123:$D123)+COUNTA($G123:$L123)+COUNTA($Q123))&gt;0),"",IF($B123="Subactividad","Sub","Macro"))</f>
        <v/>
      </c>
      <c r="W123" s="62">
        <f>IF($V123="Macro",COUNTIFS($U$5:$U$1000,ROW(),$V$5:$V$1000,"Sub"),"")</f>
        <v/>
      </c>
      <c r="X123" s="62">
        <f>IF($V123="","",IF(ISNUMBER($G123),1,IFERROR(LOOKUP(2,1/($I123:$L123&lt;&gt;""),$I123:$L123),0)))</f>
        <v/>
      </c>
      <c r="Y123" s="62">
        <f>IF($V123="","",IF(AND(ISNUMBER($G123),$G123&lt;=IF($S123=MesCiclo,InicioCiclo,$S123+MOD(2-WEEKDAY($S123),7))+6),1,IF(ISNUMBER($I123),$I123,0)))</f>
        <v/>
      </c>
      <c r="Z123" s="62">
        <f>IF($V123="","",IF(AND(ISNUMBER($G123),$G123&lt;=IF($S123=MesCiclo,InicioCiclo,$S123+MOD(2-WEEKDAY($S123),7))+13),1,IF(ISNUMBER($J123),$J123,$Y123)))</f>
        <v/>
      </c>
      <c r="AA123" s="62">
        <f>IF($V123="","",IF(AND(ISNUMBER($G123),$G123&lt;=IF($S123=MesCiclo,InicioCiclo,$S123+MOD(2-WEEKDAY($S123),7))+20),1,IF(ISNUMBER($K123),$K123,$Z123)))</f>
        <v/>
      </c>
      <c r="AB123" s="62">
        <f>IF($V123="","",IF(AND(ISNUMBER($G123),$G123&lt;=IF($S123=MesCiclo,InicioCiclo,$S123+MOD(2-WEEKDAY($S123),7))+27),1,IF(ISNUMBER($L123),$L123,$AA123)))</f>
        <v/>
      </c>
      <c r="AC123" s="62">
        <f>IF($V123="","",IF(AND(ISNUMBER($G123),$G123&lt;=IF($S123=MesCiclo,InicioCiclo,$S123+MOD(2-WEEKDAY($S123),7))+6),1,IF(N($W123)&gt;0,AVERAGEIFS($Y$5:$Y$1000,$U$5:$U$1000,ROW(),$V$5:$V$1000,"Sub"),$Y123)))</f>
        <v/>
      </c>
      <c r="AD123" s="62">
        <f>IF($V123="","",IF(AND(ISNUMBER($G123),$G123&lt;=IF($S123=MesCiclo,InicioCiclo,$S123+MOD(2-WEEKDAY($S123),7))+13),1,IF(N($W123)&gt;0,AVERAGEIFS($Z$5:$Z$1000,$U$5:$U$1000,ROW(),$V$5:$V$1000,"Sub"),$Z123)))</f>
        <v/>
      </c>
      <c r="AE123" s="62">
        <f>IF($V123="","",IF(AND(ISNUMBER($G123),$G123&lt;=IF($S123=MesCiclo,InicioCiclo,$S123+MOD(2-WEEKDAY($S123),7))+20),1,IF(N($W123)&gt;0,AVERAGEIFS($AA$5:$AA$1000,$U$5:$U$1000,ROW(),$V$5:$V$1000,"Sub"),$AA123)))</f>
        <v/>
      </c>
      <c r="AF123" s="62">
        <f>IF($V123="","",IF(AND(ISNUMBER($G123),$G123&lt;=IF($S123=MesCiclo,InicioCiclo,$S123+MOD(2-WEEKDAY($S123),7))+27),1,IF(N($W123)&gt;0,AVERAGEIFS($AB$5:$AB$1000,$U$5:$U$1000,ROW(),$V$5:$V$1000,"Sub"),$AB123)))</f>
        <v/>
      </c>
      <c r="AG123" s="62">
        <f>IF($V123&lt;&gt;"Macro","",IF(COUNTIFS($S$5:$S$1000,$S123,$V$5:$V$1000,"Macro",$H$5:$H$1000,"&gt;0")=0,1/COUNTIFS($S$5:$S$1000,$S123,$V$5:$V$1000,"Macro"),IF(AND(ISNUMBER($H123),N($H123)&gt;0),$H123,SUMIFS($H$5:$H$1000,$S$5:$S$1000,$S123,$V$5:$V$1000,"Macro")/COUNTIFS($S$5:$S$1000,$S123,$V$5:$V$1000,"Macro",$H$5:$H$1000,"&gt;0"))/(COUNTIFS($S$5:$S$1000,$S123,$V$5:$V$1000,"Macro")*SUMIFS($H$5:$H$1000,$S$5:$S$1000,$S123,$V$5:$V$1000,"Macro")/COUNTIFS($S$5:$S$1000,$S123,$V$5:$V$1000,"Macro",$H$5:$H$1000,"&gt;0"))))</f>
        <v/>
      </c>
      <c r="AH123" s="62">
        <f>IF(NOT(AND($D123&lt;&gt;"",$V123="Macro")),"",IFERROR(CHOOSE(MATCH($D123,ListaPuestos,0),MATCH("[Jefatura] "&amp;$C123,'Cronograma R. Operacional'!$C$5:$C$1000,0),MATCH("[Jefatura] "&amp;$C123,'Cronograma R. Normativo'!$C$5:$C$1000,0),MATCH("[Jefatura] "&amp;$C123,'Cronograma R. Financiero'!$C$5:$C$1000,0),MATCH("[Jefatura] "&amp;$C123,'Cronograma Asistente Técnico'!$C$5:$C$1000,0)),0))</f>
        <v/>
      </c>
      <c r="AI123" s="62">
        <f>IF(AND(AND($D123&lt;&gt;"",$V123="Macro"),$S123=MesCiclo),COUNTIFS($D$5:$D123,$D123,$S$5:$S123,MesCiclo,$V$5:$V123,"Macro"),"")</f>
        <v/>
      </c>
      <c r="AJ123" s="62">
        <f>IF($AI123="","",$D123&amp;"|"&amp;$AI123)</f>
        <v/>
      </c>
      <c r="AK123" s="62">
        <f>IF(AND($D123&lt;&gt;"",$V123="Macro"),$D123&amp;"|"&amp;$C123,"")</f>
        <v/>
      </c>
      <c r="AL123" s="62">
        <f>""</f>
        <v/>
      </c>
      <c r="AM123" s="62">
        <f>IF(N($AL123)&gt;0,INDEX(rIni_ADM,$AL123),IF(ISNUMBER($E123),$E123,""))</f>
        <v/>
      </c>
      <c r="AN123" s="62">
        <f>IF(N($AL123)&gt;0,INDEX(rLim_ADM,$AL123),IF(ISNUMBER($F123),$F123,""))</f>
        <v/>
      </c>
    </row>
    <row r="124">
      <c r="A124" s="56">
        <f>IF(NOT((COUNTA($B124:$D124)+COUNTA($G124:$L124)+COUNTA($Q124))&gt;0),"",IF($V124="Macro",COUNTIFS($V$5:$V124,"Macro",$S$5:$S124,$S124),IF(N($U124)=0,"?",COUNTIFS(INDEX($V$5:$V$1000,1):INDEX($V$5:$V$1000,$U124-4),"Macro",INDEX($S$5:$S$1000,1):INDEX($S$5:$S$1000,$U124-4),INDEX($S$5:$S$1000,$U124-4))&amp;"."&amp;COUNTIFS($U$5:$U124,$U124,$V$5:$V124,"Sub"))))</f>
        <v/>
      </c>
      <c r="B124" s="57" t="n"/>
      <c r="C124" s="58" t="n"/>
      <c r="D124" s="58" t="n"/>
      <c r="E124" s="59" t="n"/>
      <c r="F124" s="59" t="n"/>
      <c r="G124" s="59" t="n"/>
      <c r="H124" s="60" t="n"/>
      <c r="I124" s="60" t="n"/>
      <c r="J124" s="60" t="n"/>
      <c r="K124" s="60" t="n"/>
      <c r="L124" s="60" t="n"/>
      <c r="M124" s="61">
        <f>IF(NOT((COUNTA($B124:$D124)+COUNTA($G124:$L124)+COUNTA($Q124))&gt;0),"",IF(AND($D124&lt;&gt;"",$V124="Macro"),IF(N($AH124)&gt;0,N(CHOOSE(MATCH($D124,ListaPuestos,0),INDEX('Cronograma R. Operacional'!$M$5:$M$1000,$AH124),INDEX('Cronograma R. Normativo'!$M$5:$M$1000,$AH124),INDEX('Cronograma R. Financiero'!$M$5:$M$1000,$AH124),INDEX('Cronograma Asistente Técnico'!$M$5:$M$1000,$AH124))),0),IF(ISNUMBER($G124),1,IF(N($W124)&gt;0,AVERAGEIFS($X$5:$X$1000,$U$5:$U$1000,ROW(),$V$5:$V$1000,"Sub"),$X124))))</f>
        <v/>
      </c>
      <c r="N124" s="56">
        <f>IF($M124="","",IF($M124&gt;=1,"Completado",IF($M124&gt;0,"En curso","Pendiente")))</f>
        <v/>
      </c>
      <c r="O124" s="56">
        <f>IF(NOT((COUNTA($B124:$D124)+COUNTA($G124:$L124)+COUNTA($Q124))&gt;0),"",IF(AND(AND($D124&lt;&gt;"",$V124="Macro"),N($AH124)&gt;0),CHOOSE(MATCH($D124,ListaPuestos,0),INDEX('Cronograma R. Operacional'!$O$5:$O$1000,$AH124),INDEX('Cronograma R. Normativo'!$O$5:$O$1000,$AH124),INDEX('Cronograma R. Financiero'!$O$5:$O$1000,$AH124),INDEX('Cronograma Asistente Técnico'!$O$5:$O$1000,$AH124))&amp;"",IF(ISNUMBER($G124),IF(AND(ISNUMBER($AN124),$G124&gt;$AN124),"Cumplida con "&amp;($G124-$AN124)&amp;IF($G124-$AN124=1," día"," días")&amp;" de retraso","Cumplida"),IF(N($M124)&gt;=1,"Cumplida",IF(NOT(ISNUMBER($AN124)),"Sin fecha límite",IF($AN124&lt;FechaRef,"Vencida hace "&amp;(FechaRef-$AN124)&amp;IF(FechaRef-$AN124=1," día"," días"),IF($AN124=FechaRef,"Vence hoy",IF($AN124-FechaRef&lt;=DiasAlerta,"Vence en "&amp;($AN124-FechaRef)&amp;IF($AN124-FechaRef=1," día"," días"),"En plazo"))))))))</f>
        <v/>
      </c>
      <c r="P124" s="62">
        <f>IF(NOT((COUNTA($B124:$D124)+COUNTA($G124:$L124)+COUNTA($Q124))&gt;0),"",IF($D124="","Propia",IF($V124&lt;&gt;"Macro","Solo se delegan macroactividades",IF(N($AH124)&gt;0,"✔ Recibida por "&amp;$D124,"⚠ "&amp;$D124&amp;" aún no la agrega"))))</f>
        <v/>
      </c>
      <c r="Q124" s="58" t="n"/>
      <c r="R124" s="63">
        <f>IF(NOT((COUNTA($B124:$D124)+COUNTA($G124:$L124)+COUNTA($Q124))&gt;0),"",IF((IF($C124="","Falta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",""))="","✔ OK","⚠ "&amp;LEFT(IF($C124="","Falta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",""),LEN(IF($C124="","Falta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",""))-3)))</f>
        <v/>
      </c>
      <c r="S124" s="64">
        <f>IF(NOT((COUNTA($B124:$D124)+COUNTA($G124:$L124)+COUNTA($Q124))&gt;0),"",IF(AND($V124="Sub",N($U124)&gt;0),IF(ISNUMBER(INDEX($AM$5:$AM$1000,$U124-4)),DATE(YEAR(INDEX($AM$5:$AM$1000,$U124-4)),MONTH(INDEX($AM$5:$AM$1000,$U124-4)),1),IF(ISNUMBER(INDEX($AN$5:$AN$1000,$U124-4)),DATE(YEAR(INDEX($AN$5:$AN$1000,$U124-4)),MONTH(INDEX($AN$5:$AN$1000,$U124-4)),1),MesCiclo)),IF(ISNUMBER($AM124),DATE(YEAR($AM124),MONTH($AM124),1),IF(ISNUMBER($AN124),DATE(YEAR($AN124),MONTH($AN124),1),MesCiclo))))</f>
        <v/>
      </c>
      <c r="T124" s="62">
        <f>IF(OR($S124="",$S124&lt;&gt;MesCiclo),"",COUNTIF($S$5:$S124,MesCiclo))</f>
        <v/>
      </c>
      <c r="U124" s="62">
        <f>IF($V124="","",IF($V124="Macro",ROW(),IFERROR(LOOKUP(2,1/($V$5:$V124="Macro"),ROW($V$5:$V124)),0)))</f>
        <v/>
      </c>
      <c r="V124" s="62">
        <f>IF(NOT((COUNTA($B124:$D124)+COUNTA($G124:$L124)+COUNTA($Q124))&gt;0),"",IF($B124="Subactividad","Sub","Macro"))</f>
        <v/>
      </c>
      <c r="W124" s="62">
        <f>IF($V124="Macro",COUNTIFS($U$5:$U$1000,ROW(),$V$5:$V$1000,"Sub"),"")</f>
        <v/>
      </c>
      <c r="X124" s="62">
        <f>IF($V124="","",IF(ISNUMBER($G124),1,IFERROR(LOOKUP(2,1/($I124:$L124&lt;&gt;""),$I124:$L124),0)))</f>
        <v/>
      </c>
      <c r="Y124" s="62">
        <f>IF($V124="","",IF(AND(ISNUMBER($G124),$G124&lt;=IF($S124=MesCiclo,InicioCiclo,$S124+MOD(2-WEEKDAY($S124),7))+6),1,IF(ISNUMBER($I124),$I124,0)))</f>
        <v/>
      </c>
      <c r="Z124" s="62">
        <f>IF($V124="","",IF(AND(ISNUMBER($G124),$G124&lt;=IF($S124=MesCiclo,InicioCiclo,$S124+MOD(2-WEEKDAY($S124),7))+13),1,IF(ISNUMBER($J124),$J124,$Y124)))</f>
        <v/>
      </c>
      <c r="AA124" s="62">
        <f>IF($V124="","",IF(AND(ISNUMBER($G124),$G124&lt;=IF($S124=MesCiclo,InicioCiclo,$S124+MOD(2-WEEKDAY($S124),7))+20),1,IF(ISNUMBER($K124),$K124,$Z124)))</f>
        <v/>
      </c>
      <c r="AB124" s="62">
        <f>IF($V124="","",IF(AND(ISNUMBER($G124),$G124&lt;=IF($S124=MesCiclo,InicioCiclo,$S124+MOD(2-WEEKDAY($S124),7))+27),1,IF(ISNUMBER($L124),$L124,$AA124)))</f>
        <v/>
      </c>
      <c r="AC124" s="62">
        <f>IF($V124="","",IF(AND(ISNUMBER($G124),$G124&lt;=IF($S124=MesCiclo,InicioCiclo,$S124+MOD(2-WEEKDAY($S124),7))+6),1,IF(N($W124)&gt;0,AVERAGEIFS($Y$5:$Y$1000,$U$5:$U$1000,ROW(),$V$5:$V$1000,"Sub"),$Y124)))</f>
        <v/>
      </c>
      <c r="AD124" s="62">
        <f>IF($V124="","",IF(AND(ISNUMBER($G124),$G124&lt;=IF($S124=MesCiclo,InicioCiclo,$S124+MOD(2-WEEKDAY($S124),7))+13),1,IF(N($W124)&gt;0,AVERAGEIFS($Z$5:$Z$1000,$U$5:$U$1000,ROW(),$V$5:$V$1000,"Sub"),$Z124)))</f>
        <v/>
      </c>
      <c r="AE124" s="62">
        <f>IF($V124="","",IF(AND(ISNUMBER($G124),$G124&lt;=IF($S124=MesCiclo,InicioCiclo,$S124+MOD(2-WEEKDAY($S124),7))+20),1,IF(N($W124)&gt;0,AVERAGEIFS($AA$5:$AA$1000,$U$5:$U$1000,ROW(),$V$5:$V$1000,"Sub"),$AA124)))</f>
        <v/>
      </c>
      <c r="AF124" s="62">
        <f>IF($V124="","",IF(AND(ISNUMBER($G124),$G124&lt;=IF($S124=MesCiclo,InicioCiclo,$S124+MOD(2-WEEKDAY($S124),7))+27),1,IF(N($W124)&gt;0,AVERAGEIFS($AB$5:$AB$1000,$U$5:$U$1000,ROW(),$V$5:$V$1000,"Sub"),$AB124)))</f>
        <v/>
      </c>
      <c r="AG124" s="62">
        <f>IF($V124&lt;&gt;"Macro","",IF(COUNTIFS($S$5:$S$1000,$S124,$V$5:$V$1000,"Macro",$H$5:$H$1000,"&gt;0")=0,1/COUNTIFS($S$5:$S$1000,$S124,$V$5:$V$1000,"Macro"),IF(AND(ISNUMBER($H124),N($H124)&gt;0),$H124,SUMIFS($H$5:$H$1000,$S$5:$S$1000,$S124,$V$5:$V$1000,"Macro")/COUNTIFS($S$5:$S$1000,$S124,$V$5:$V$1000,"Macro",$H$5:$H$1000,"&gt;0"))/(COUNTIFS($S$5:$S$1000,$S124,$V$5:$V$1000,"Macro")*SUMIFS($H$5:$H$1000,$S$5:$S$1000,$S124,$V$5:$V$1000,"Macro")/COUNTIFS($S$5:$S$1000,$S124,$V$5:$V$1000,"Macro",$H$5:$H$1000,"&gt;0"))))</f>
        <v/>
      </c>
      <c r="AH124" s="62">
        <f>IF(NOT(AND($D124&lt;&gt;"",$V124="Macro")),"",IFERROR(CHOOSE(MATCH($D124,ListaPuestos,0),MATCH("[Jefatura] "&amp;$C124,'Cronograma R. Operacional'!$C$5:$C$1000,0),MATCH("[Jefatura] "&amp;$C124,'Cronograma R. Normativo'!$C$5:$C$1000,0),MATCH("[Jefatura] "&amp;$C124,'Cronograma R. Financiero'!$C$5:$C$1000,0),MATCH("[Jefatura] "&amp;$C124,'Cronograma Asistente Técnico'!$C$5:$C$1000,0)),0))</f>
        <v/>
      </c>
      <c r="AI124" s="62">
        <f>IF(AND(AND($D124&lt;&gt;"",$V124="Macro"),$S124=MesCiclo),COUNTIFS($D$5:$D124,$D124,$S$5:$S124,MesCiclo,$V$5:$V124,"Macro"),"")</f>
        <v/>
      </c>
      <c r="AJ124" s="62">
        <f>IF($AI124="","",$D124&amp;"|"&amp;$AI124)</f>
        <v/>
      </c>
      <c r="AK124" s="62">
        <f>IF(AND($D124&lt;&gt;"",$V124="Macro"),$D124&amp;"|"&amp;$C124,"")</f>
        <v/>
      </c>
      <c r="AL124" s="62">
        <f>""</f>
        <v/>
      </c>
      <c r="AM124" s="62">
        <f>IF(N($AL124)&gt;0,INDEX(rIni_ADM,$AL124),IF(ISNUMBER($E124),$E124,""))</f>
        <v/>
      </c>
      <c r="AN124" s="62">
        <f>IF(N($AL124)&gt;0,INDEX(rLim_ADM,$AL124),IF(ISNUMBER($F124),$F124,""))</f>
        <v/>
      </c>
    </row>
    <row r="125">
      <c r="A125" s="56">
        <f>IF(NOT((COUNTA($B125:$D125)+COUNTA($G125:$L125)+COUNTA($Q125))&gt;0),"",IF($V125="Macro",COUNTIFS($V$5:$V125,"Macro",$S$5:$S125,$S125),IF(N($U125)=0,"?",COUNTIFS(INDEX($V$5:$V$1000,1):INDEX($V$5:$V$1000,$U125-4),"Macro",INDEX($S$5:$S$1000,1):INDEX($S$5:$S$1000,$U125-4),INDEX($S$5:$S$1000,$U125-4))&amp;"."&amp;COUNTIFS($U$5:$U125,$U125,$V$5:$V125,"Sub"))))</f>
        <v/>
      </c>
      <c r="B125" s="57" t="n"/>
      <c r="C125" s="58" t="n"/>
      <c r="D125" s="58" t="n"/>
      <c r="E125" s="59" t="n"/>
      <c r="F125" s="59" t="n"/>
      <c r="G125" s="59" t="n"/>
      <c r="H125" s="60" t="n"/>
      <c r="I125" s="60" t="n"/>
      <c r="J125" s="60" t="n"/>
      <c r="K125" s="60" t="n"/>
      <c r="L125" s="60" t="n"/>
      <c r="M125" s="61">
        <f>IF(NOT((COUNTA($B125:$D125)+COUNTA($G125:$L125)+COUNTA($Q125))&gt;0),"",IF(AND($D125&lt;&gt;"",$V125="Macro"),IF(N($AH125)&gt;0,N(CHOOSE(MATCH($D125,ListaPuestos,0),INDEX('Cronograma R. Operacional'!$M$5:$M$1000,$AH125),INDEX('Cronograma R. Normativo'!$M$5:$M$1000,$AH125),INDEX('Cronograma R. Financiero'!$M$5:$M$1000,$AH125),INDEX('Cronograma Asistente Técnico'!$M$5:$M$1000,$AH125))),0),IF(ISNUMBER($G125),1,IF(N($W125)&gt;0,AVERAGEIFS($X$5:$X$1000,$U$5:$U$1000,ROW(),$V$5:$V$1000,"Sub"),$X125))))</f>
        <v/>
      </c>
      <c r="N125" s="56">
        <f>IF($M125="","",IF($M125&gt;=1,"Completado",IF($M125&gt;0,"En curso","Pendiente")))</f>
        <v/>
      </c>
      <c r="O125" s="56">
        <f>IF(NOT((COUNTA($B125:$D125)+COUNTA($G125:$L125)+COUNTA($Q125))&gt;0),"",IF(AND(AND($D125&lt;&gt;"",$V125="Macro"),N($AH125)&gt;0),CHOOSE(MATCH($D125,ListaPuestos,0),INDEX('Cronograma R. Operacional'!$O$5:$O$1000,$AH125),INDEX('Cronograma R. Normativo'!$O$5:$O$1000,$AH125),INDEX('Cronograma R. Financiero'!$O$5:$O$1000,$AH125),INDEX('Cronograma Asistente Técnico'!$O$5:$O$1000,$AH125))&amp;"",IF(ISNUMBER($G125),IF(AND(ISNUMBER($AN125),$G125&gt;$AN125),"Cumplida con "&amp;($G125-$AN125)&amp;IF($G125-$AN125=1," día"," días")&amp;" de retraso","Cumplida"),IF(N($M125)&gt;=1,"Cumplida",IF(NOT(ISNUMBER($AN125)),"Sin fecha límite",IF($AN125&lt;FechaRef,"Vencida hace "&amp;(FechaRef-$AN125)&amp;IF(FechaRef-$AN125=1," día"," días"),IF($AN125=FechaRef,"Vence hoy",IF($AN125-FechaRef&lt;=DiasAlerta,"Vence en "&amp;($AN125-FechaRef)&amp;IF($AN125-FechaRef=1," día"," días"),"En plazo"))))))))</f>
        <v/>
      </c>
      <c r="P125" s="62">
        <f>IF(NOT((COUNTA($B125:$D125)+COUNTA($G125:$L125)+COUNTA($Q125))&gt;0),"",IF($D125="","Propia",IF($V125&lt;&gt;"Macro","Solo se delegan macroactividades",IF(N($AH125)&gt;0,"✔ Recibida por "&amp;$D125,"⚠ "&amp;$D125&amp;" aún no la agrega"))))</f>
        <v/>
      </c>
      <c r="Q125" s="58" t="n"/>
      <c r="R125" s="63">
        <f>IF(NOT((COUNTA($B125:$D125)+COUNTA($G125:$L125)+COUNTA($Q125))&gt;0),"",IF((IF($C125="","Falta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",""))="","✔ OK","⚠ "&amp;LEFT(IF($C125="","Falta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",""),LEN(IF($C125="","Falta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",""))-3)))</f>
        <v/>
      </c>
      <c r="S125" s="64">
        <f>IF(NOT((COUNTA($B125:$D125)+COUNTA($G125:$L125)+COUNTA($Q125))&gt;0),"",IF(AND($V125="Sub",N($U125)&gt;0),IF(ISNUMBER(INDEX($AM$5:$AM$1000,$U125-4)),DATE(YEAR(INDEX($AM$5:$AM$1000,$U125-4)),MONTH(INDEX($AM$5:$AM$1000,$U125-4)),1),IF(ISNUMBER(INDEX($AN$5:$AN$1000,$U125-4)),DATE(YEAR(INDEX($AN$5:$AN$1000,$U125-4)),MONTH(INDEX($AN$5:$AN$1000,$U125-4)),1),MesCiclo)),IF(ISNUMBER($AM125),DATE(YEAR($AM125),MONTH($AM125),1),IF(ISNUMBER($AN125),DATE(YEAR($AN125),MONTH($AN125),1),MesCiclo))))</f>
        <v/>
      </c>
      <c r="T125" s="62">
        <f>IF(OR($S125="",$S125&lt;&gt;MesCiclo),"",COUNTIF($S$5:$S125,MesCiclo))</f>
        <v/>
      </c>
      <c r="U125" s="62">
        <f>IF($V125="","",IF($V125="Macro",ROW(),IFERROR(LOOKUP(2,1/($V$5:$V125="Macro"),ROW($V$5:$V125)),0)))</f>
        <v/>
      </c>
      <c r="V125" s="62">
        <f>IF(NOT((COUNTA($B125:$D125)+COUNTA($G125:$L125)+COUNTA($Q125))&gt;0),"",IF($B125="Subactividad","Sub","Macro"))</f>
        <v/>
      </c>
      <c r="W125" s="62">
        <f>IF($V125="Macro",COUNTIFS($U$5:$U$1000,ROW(),$V$5:$V$1000,"Sub"),"")</f>
        <v/>
      </c>
      <c r="X125" s="62">
        <f>IF($V125="","",IF(ISNUMBER($G125),1,IFERROR(LOOKUP(2,1/($I125:$L125&lt;&gt;""),$I125:$L125),0)))</f>
        <v/>
      </c>
      <c r="Y125" s="62">
        <f>IF($V125="","",IF(AND(ISNUMBER($G125),$G125&lt;=IF($S125=MesCiclo,InicioCiclo,$S125+MOD(2-WEEKDAY($S125),7))+6),1,IF(ISNUMBER($I125),$I125,0)))</f>
        <v/>
      </c>
      <c r="Z125" s="62">
        <f>IF($V125="","",IF(AND(ISNUMBER($G125),$G125&lt;=IF($S125=MesCiclo,InicioCiclo,$S125+MOD(2-WEEKDAY($S125),7))+13),1,IF(ISNUMBER($J125),$J125,$Y125)))</f>
        <v/>
      </c>
      <c r="AA125" s="62">
        <f>IF($V125="","",IF(AND(ISNUMBER($G125),$G125&lt;=IF($S125=MesCiclo,InicioCiclo,$S125+MOD(2-WEEKDAY($S125),7))+20),1,IF(ISNUMBER($K125),$K125,$Z125)))</f>
        <v/>
      </c>
      <c r="AB125" s="62">
        <f>IF($V125="","",IF(AND(ISNUMBER($G125),$G125&lt;=IF($S125=MesCiclo,InicioCiclo,$S125+MOD(2-WEEKDAY($S125),7))+27),1,IF(ISNUMBER($L125),$L125,$AA125)))</f>
        <v/>
      </c>
      <c r="AC125" s="62">
        <f>IF($V125="","",IF(AND(ISNUMBER($G125),$G125&lt;=IF($S125=MesCiclo,InicioCiclo,$S125+MOD(2-WEEKDAY($S125),7))+6),1,IF(N($W125)&gt;0,AVERAGEIFS($Y$5:$Y$1000,$U$5:$U$1000,ROW(),$V$5:$V$1000,"Sub"),$Y125)))</f>
        <v/>
      </c>
      <c r="AD125" s="62">
        <f>IF($V125="","",IF(AND(ISNUMBER($G125),$G125&lt;=IF($S125=MesCiclo,InicioCiclo,$S125+MOD(2-WEEKDAY($S125),7))+13),1,IF(N($W125)&gt;0,AVERAGEIFS($Z$5:$Z$1000,$U$5:$U$1000,ROW(),$V$5:$V$1000,"Sub"),$Z125)))</f>
        <v/>
      </c>
      <c r="AE125" s="62">
        <f>IF($V125="","",IF(AND(ISNUMBER($G125),$G125&lt;=IF($S125=MesCiclo,InicioCiclo,$S125+MOD(2-WEEKDAY($S125),7))+20),1,IF(N($W125)&gt;0,AVERAGEIFS($AA$5:$AA$1000,$U$5:$U$1000,ROW(),$V$5:$V$1000,"Sub"),$AA125)))</f>
        <v/>
      </c>
      <c r="AF125" s="62">
        <f>IF($V125="","",IF(AND(ISNUMBER($G125),$G125&lt;=IF($S125=MesCiclo,InicioCiclo,$S125+MOD(2-WEEKDAY($S125),7))+27),1,IF(N($W125)&gt;0,AVERAGEIFS($AB$5:$AB$1000,$U$5:$U$1000,ROW(),$V$5:$V$1000,"Sub"),$AB125)))</f>
        <v/>
      </c>
      <c r="AG125" s="62">
        <f>IF($V125&lt;&gt;"Macro","",IF(COUNTIFS($S$5:$S$1000,$S125,$V$5:$V$1000,"Macro",$H$5:$H$1000,"&gt;0")=0,1/COUNTIFS($S$5:$S$1000,$S125,$V$5:$V$1000,"Macro"),IF(AND(ISNUMBER($H125),N($H125)&gt;0),$H125,SUMIFS($H$5:$H$1000,$S$5:$S$1000,$S125,$V$5:$V$1000,"Macro")/COUNTIFS($S$5:$S$1000,$S125,$V$5:$V$1000,"Macro",$H$5:$H$1000,"&gt;0"))/(COUNTIFS($S$5:$S$1000,$S125,$V$5:$V$1000,"Macro")*SUMIFS($H$5:$H$1000,$S$5:$S$1000,$S125,$V$5:$V$1000,"Macro")/COUNTIFS($S$5:$S$1000,$S125,$V$5:$V$1000,"Macro",$H$5:$H$1000,"&gt;0"))))</f>
        <v/>
      </c>
      <c r="AH125" s="62">
        <f>IF(NOT(AND($D125&lt;&gt;"",$V125="Macro")),"",IFERROR(CHOOSE(MATCH($D125,ListaPuestos,0),MATCH("[Jefatura] "&amp;$C125,'Cronograma R. Operacional'!$C$5:$C$1000,0),MATCH("[Jefatura] "&amp;$C125,'Cronograma R. Normativo'!$C$5:$C$1000,0),MATCH("[Jefatura] "&amp;$C125,'Cronograma R. Financiero'!$C$5:$C$1000,0),MATCH("[Jefatura] "&amp;$C125,'Cronograma Asistente Técnico'!$C$5:$C$1000,0)),0))</f>
        <v/>
      </c>
      <c r="AI125" s="62">
        <f>IF(AND(AND($D125&lt;&gt;"",$V125="Macro"),$S125=MesCiclo),COUNTIFS($D$5:$D125,$D125,$S$5:$S125,MesCiclo,$V$5:$V125,"Macro"),"")</f>
        <v/>
      </c>
      <c r="AJ125" s="62">
        <f>IF($AI125="","",$D125&amp;"|"&amp;$AI125)</f>
        <v/>
      </c>
      <c r="AK125" s="62">
        <f>IF(AND($D125&lt;&gt;"",$V125="Macro"),$D125&amp;"|"&amp;$C125,"")</f>
        <v/>
      </c>
      <c r="AL125" s="62">
        <f>""</f>
        <v/>
      </c>
      <c r="AM125" s="62">
        <f>IF(N($AL125)&gt;0,INDEX(rIni_ADM,$AL125),IF(ISNUMBER($E125),$E125,""))</f>
        <v/>
      </c>
      <c r="AN125" s="62">
        <f>IF(N($AL125)&gt;0,INDEX(rLim_ADM,$AL125),IF(ISNUMBER($F125),$F125,""))</f>
        <v/>
      </c>
    </row>
    <row r="126">
      <c r="A126" s="56">
        <f>IF(NOT((COUNTA($B126:$D126)+COUNTA($G126:$L126)+COUNTA($Q126))&gt;0),"",IF($V126="Macro",COUNTIFS($V$5:$V126,"Macro",$S$5:$S126,$S126),IF(N($U126)=0,"?",COUNTIFS(INDEX($V$5:$V$1000,1):INDEX($V$5:$V$1000,$U126-4),"Macro",INDEX($S$5:$S$1000,1):INDEX($S$5:$S$1000,$U126-4),INDEX($S$5:$S$1000,$U126-4))&amp;"."&amp;COUNTIFS($U$5:$U126,$U126,$V$5:$V126,"Sub"))))</f>
        <v/>
      </c>
      <c r="B126" s="57" t="n"/>
      <c r="C126" s="58" t="n"/>
      <c r="D126" s="58" t="n"/>
      <c r="E126" s="59" t="n"/>
      <c r="F126" s="59" t="n"/>
      <c r="G126" s="59" t="n"/>
      <c r="H126" s="60" t="n"/>
      <c r="I126" s="60" t="n"/>
      <c r="J126" s="60" t="n"/>
      <c r="K126" s="60" t="n"/>
      <c r="L126" s="60" t="n"/>
      <c r="M126" s="61">
        <f>IF(NOT((COUNTA($B126:$D126)+COUNTA($G126:$L126)+COUNTA($Q126))&gt;0),"",IF(AND($D126&lt;&gt;"",$V126="Macro"),IF(N($AH126)&gt;0,N(CHOOSE(MATCH($D126,ListaPuestos,0),INDEX('Cronograma R. Operacional'!$M$5:$M$1000,$AH126),INDEX('Cronograma R. Normativo'!$M$5:$M$1000,$AH126),INDEX('Cronograma R. Financiero'!$M$5:$M$1000,$AH126),INDEX('Cronograma Asistente Técnico'!$M$5:$M$1000,$AH126))),0),IF(ISNUMBER($G126),1,IF(N($W126)&gt;0,AVERAGEIFS($X$5:$X$1000,$U$5:$U$1000,ROW(),$V$5:$V$1000,"Sub"),$X126))))</f>
        <v/>
      </c>
      <c r="N126" s="56">
        <f>IF($M126="","",IF($M126&gt;=1,"Completado",IF($M126&gt;0,"En curso","Pendiente")))</f>
        <v/>
      </c>
      <c r="O126" s="56">
        <f>IF(NOT((COUNTA($B126:$D126)+COUNTA($G126:$L126)+COUNTA($Q126))&gt;0),"",IF(AND(AND($D126&lt;&gt;"",$V126="Macro"),N($AH126)&gt;0),CHOOSE(MATCH($D126,ListaPuestos,0),INDEX('Cronograma R. Operacional'!$O$5:$O$1000,$AH126),INDEX('Cronograma R. Normativo'!$O$5:$O$1000,$AH126),INDEX('Cronograma R. Financiero'!$O$5:$O$1000,$AH126),INDEX('Cronograma Asistente Técnico'!$O$5:$O$1000,$AH126))&amp;"",IF(ISNUMBER($G126),IF(AND(ISNUMBER($AN126),$G126&gt;$AN126),"Cumplida con "&amp;($G126-$AN126)&amp;IF($G126-$AN126=1," día"," días")&amp;" de retraso","Cumplida"),IF(N($M126)&gt;=1,"Cumplida",IF(NOT(ISNUMBER($AN126)),"Sin fecha límite",IF($AN126&lt;FechaRef,"Vencida hace "&amp;(FechaRef-$AN126)&amp;IF(FechaRef-$AN126=1," día"," días"),IF($AN126=FechaRef,"Vence hoy",IF($AN126-FechaRef&lt;=DiasAlerta,"Vence en "&amp;($AN126-FechaRef)&amp;IF($AN126-FechaRef=1," día"," días"),"En plazo"))))))))</f>
        <v/>
      </c>
      <c r="P126" s="62">
        <f>IF(NOT((COUNTA($B126:$D126)+COUNTA($G126:$L126)+COUNTA($Q126))&gt;0),"",IF($D126="","Propia",IF($V126&lt;&gt;"Macro","Solo se delegan macroactividades",IF(N($AH126)&gt;0,"✔ Recibida por "&amp;$D126,"⚠ "&amp;$D126&amp;" aún no la agrega"))))</f>
        <v/>
      </c>
      <c r="Q126" s="58" t="n"/>
      <c r="R126" s="63">
        <f>IF(NOT((COUNTA($B126:$D126)+COUNTA($G126:$L126)+COUNTA($Q126))&gt;0),"",IF((IF($C126="","Falta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",""))="","✔ OK","⚠ "&amp;LEFT(IF($C126="","Falta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",""),LEN(IF($C126="","Falta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",""))-3)))</f>
        <v/>
      </c>
      <c r="S126" s="64">
        <f>IF(NOT((COUNTA($B126:$D126)+COUNTA($G126:$L126)+COUNTA($Q126))&gt;0),"",IF(AND($V126="Sub",N($U126)&gt;0),IF(ISNUMBER(INDEX($AM$5:$AM$1000,$U126-4)),DATE(YEAR(INDEX($AM$5:$AM$1000,$U126-4)),MONTH(INDEX($AM$5:$AM$1000,$U126-4)),1),IF(ISNUMBER(INDEX($AN$5:$AN$1000,$U126-4)),DATE(YEAR(INDEX($AN$5:$AN$1000,$U126-4)),MONTH(INDEX($AN$5:$AN$1000,$U126-4)),1),MesCiclo)),IF(ISNUMBER($AM126),DATE(YEAR($AM126),MONTH($AM126),1),IF(ISNUMBER($AN126),DATE(YEAR($AN126),MONTH($AN126),1),MesCiclo))))</f>
        <v/>
      </c>
      <c r="T126" s="62">
        <f>IF(OR($S126="",$S126&lt;&gt;MesCiclo),"",COUNTIF($S$5:$S126,MesCiclo))</f>
        <v/>
      </c>
      <c r="U126" s="62">
        <f>IF($V126="","",IF($V126="Macro",ROW(),IFERROR(LOOKUP(2,1/($V$5:$V126="Macro"),ROW($V$5:$V126)),0)))</f>
        <v/>
      </c>
      <c r="V126" s="62">
        <f>IF(NOT((COUNTA($B126:$D126)+COUNTA($G126:$L126)+COUNTA($Q126))&gt;0),"",IF($B126="Subactividad","Sub","Macro"))</f>
        <v/>
      </c>
      <c r="W126" s="62">
        <f>IF($V126="Macro",COUNTIFS($U$5:$U$1000,ROW(),$V$5:$V$1000,"Sub"),"")</f>
        <v/>
      </c>
      <c r="X126" s="62">
        <f>IF($V126="","",IF(ISNUMBER($G126),1,IFERROR(LOOKUP(2,1/($I126:$L126&lt;&gt;""),$I126:$L126),0)))</f>
        <v/>
      </c>
      <c r="Y126" s="62">
        <f>IF($V126="","",IF(AND(ISNUMBER($G126),$G126&lt;=IF($S126=MesCiclo,InicioCiclo,$S126+MOD(2-WEEKDAY($S126),7))+6),1,IF(ISNUMBER($I126),$I126,0)))</f>
        <v/>
      </c>
      <c r="Z126" s="62">
        <f>IF($V126="","",IF(AND(ISNUMBER($G126),$G126&lt;=IF($S126=MesCiclo,InicioCiclo,$S126+MOD(2-WEEKDAY($S126),7))+13),1,IF(ISNUMBER($J126),$J126,$Y126)))</f>
        <v/>
      </c>
      <c r="AA126" s="62">
        <f>IF($V126="","",IF(AND(ISNUMBER($G126),$G126&lt;=IF($S126=MesCiclo,InicioCiclo,$S126+MOD(2-WEEKDAY($S126),7))+20),1,IF(ISNUMBER($K126),$K126,$Z126)))</f>
        <v/>
      </c>
      <c r="AB126" s="62">
        <f>IF($V126="","",IF(AND(ISNUMBER($G126),$G126&lt;=IF($S126=MesCiclo,InicioCiclo,$S126+MOD(2-WEEKDAY($S126),7))+27),1,IF(ISNUMBER($L126),$L126,$AA126)))</f>
        <v/>
      </c>
      <c r="AC126" s="62">
        <f>IF($V126="","",IF(AND(ISNUMBER($G126),$G126&lt;=IF($S126=MesCiclo,InicioCiclo,$S126+MOD(2-WEEKDAY($S126),7))+6),1,IF(N($W126)&gt;0,AVERAGEIFS($Y$5:$Y$1000,$U$5:$U$1000,ROW(),$V$5:$V$1000,"Sub"),$Y126)))</f>
        <v/>
      </c>
      <c r="AD126" s="62">
        <f>IF($V126="","",IF(AND(ISNUMBER($G126),$G126&lt;=IF($S126=MesCiclo,InicioCiclo,$S126+MOD(2-WEEKDAY($S126),7))+13),1,IF(N($W126)&gt;0,AVERAGEIFS($Z$5:$Z$1000,$U$5:$U$1000,ROW(),$V$5:$V$1000,"Sub"),$Z126)))</f>
        <v/>
      </c>
      <c r="AE126" s="62">
        <f>IF($V126="","",IF(AND(ISNUMBER($G126),$G126&lt;=IF($S126=MesCiclo,InicioCiclo,$S126+MOD(2-WEEKDAY($S126),7))+20),1,IF(N($W126)&gt;0,AVERAGEIFS($AA$5:$AA$1000,$U$5:$U$1000,ROW(),$V$5:$V$1000,"Sub"),$AA126)))</f>
        <v/>
      </c>
      <c r="AF126" s="62">
        <f>IF($V126="","",IF(AND(ISNUMBER($G126),$G126&lt;=IF($S126=MesCiclo,InicioCiclo,$S126+MOD(2-WEEKDAY($S126),7))+27),1,IF(N($W126)&gt;0,AVERAGEIFS($AB$5:$AB$1000,$U$5:$U$1000,ROW(),$V$5:$V$1000,"Sub"),$AB126)))</f>
        <v/>
      </c>
      <c r="AG126" s="62">
        <f>IF($V126&lt;&gt;"Macro","",IF(COUNTIFS($S$5:$S$1000,$S126,$V$5:$V$1000,"Macro",$H$5:$H$1000,"&gt;0")=0,1/COUNTIFS($S$5:$S$1000,$S126,$V$5:$V$1000,"Macro"),IF(AND(ISNUMBER($H126),N($H126)&gt;0),$H126,SUMIFS($H$5:$H$1000,$S$5:$S$1000,$S126,$V$5:$V$1000,"Macro")/COUNTIFS($S$5:$S$1000,$S126,$V$5:$V$1000,"Macro",$H$5:$H$1000,"&gt;0"))/(COUNTIFS($S$5:$S$1000,$S126,$V$5:$V$1000,"Macro")*SUMIFS($H$5:$H$1000,$S$5:$S$1000,$S126,$V$5:$V$1000,"Macro")/COUNTIFS($S$5:$S$1000,$S126,$V$5:$V$1000,"Macro",$H$5:$H$1000,"&gt;0"))))</f>
        <v/>
      </c>
      <c r="AH126" s="62">
        <f>IF(NOT(AND($D126&lt;&gt;"",$V126="Macro")),"",IFERROR(CHOOSE(MATCH($D126,ListaPuestos,0),MATCH("[Jefatura] "&amp;$C126,'Cronograma R. Operacional'!$C$5:$C$1000,0),MATCH("[Jefatura] "&amp;$C126,'Cronograma R. Normativo'!$C$5:$C$1000,0),MATCH("[Jefatura] "&amp;$C126,'Cronograma R. Financiero'!$C$5:$C$1000,0),MATCH("[Jefatura] "&amp;$C126,'Cronograma Asistente Técnico'!$C$5:$C$1000,0)),0))</f>
        <v/>
      </c>
      <c r="AI126" s="62">
        <f>IF(AND(AND($D126&lt;&gt;"",$V126="Macro"),$S126=MesCiclo),COUNTIFS($D$5:$D126,$D126,$S$5:$S126,MesCiclo,$V$5:$V126,"Macro"),"")</f>
        <v/>
      </c>
      <c r="AJ126" s="62">
        <f>IF($AI126="","",$D126&amp;"|"&amp;$AI126)</f>
        <v/>
      </c>
      <c r="AK126" s="62">
        <f>IF(AND($D126&lt;&gt;"",$V126="Macro"),$D126&amp;"|"&amp;$C126,"")</f>
        <v/>
      </c>
      <c r="AL126" s="62">
        <f>""</f>
        <v/>
      </c>
      <c r="AM126" s="62">
        <f>IF(N($AL126)&gt;0,INDEX(rIni_ADM,$AL126),IF(ISNUMBER($E126),$E126,""))</f>
        <v/>
      </c>
      <c r="AN126" s="62">
        <f>IF(N($AL126)&gt;0,INDEX(rLim_ADM,$AL126),IF(ISNUMBER($F126),$F126,""))</f>
        <v/>
      </c>
    </row>
    <row r="127">
      <c r="A127" s="56">
        <f>IF(NOT((COUNTA($B127:$D127)+COUNTA($G127:$L127)+COUNTA($Q127))&gt;0),"",IF($V127="Macro",COUNTIFS($V$5:$V127,"Macro",$S$5:$S127,$S127),IF(N($U127)=0,"?",COUNTIFS(INDEX($V$5:$V$1000,1):INDEX($V$5:$V$1000,$U127-4),"Macro",INDEX($S$5:$S$1000,1):INDEX($S$5:$S$1000,$U127-4),INDEX($S$5:$S$1000,$U127-4))&amp;"."&amp;COUNTIFS($U$5:$U127,$U127,$V$5:$V127,"Sub"))))</f>
        <v/>
      </c>
      <c r="B127" s="57" t="n"/>
      <c r="C127" s="58" t="n"/>
      <c r="D127" s="58" t="n"/>
      <c r="E127" s="59" t="n"/>
      <c r="F127" s="59" t="n"/>
      <c r="G127" s="59" t="n"/>
      <c r="H127" s="60" t="n"/>
      <c r="I127" s="60" t="n"/>
      <c r="J127" s="60" t="n"/>
      <c r="K127" s="60" t="n"/>
      <c r="L127" s="60" t="n"/>
      <c r="M127" s="61">
        <f>IF(NOT((COUNTA($B127:$D127)+COUNTA($G127:$L127)+COUNTA($Q127))&gt;0),"",IF(AND($D127&lt;&gt;"",$V127="Macro"),IF(N($AH127)&gt;0,N(CHOOSE(MATCH($D127,ListaPuestos,0),INDEX('Cronograma R. Operacional'!$M$5:$M$1000,$AH127),INDEX('Cronograma R. Normativo'!$M$5:$M$1000,$AH127),INDEX('Cronograma R. Financiero'!$M$5:$M$1000,$AH127),INDEX('Cronograma Asistente Técnico'!$M$5:$M$1000,$AH127))),0),IF(ISNUMBER($G127),1,IF(N($W127)&gt;0,AVERAGEIFS($X$5:$X$1000,$U$5:$U$1000,ROW(),$V$5:$V$1000,"Sub"),$X127))))</f>
        <v/>
      </c>
      <c r="N127" s="56">
        <f>IF($M127="","",IF($M127&gt;=1,"Completado",IF($M127&gt;0,"En curso","Pendiente")))</f>
        <v/>
      </c>
      <c r="O127" s="56">
        <f>IF(NOT((COUNTA($B127:$D127)+COUNTA($G127:$L127)+COUNTA($Q127))&gt;0),"",IF(AND(AND($D127&lt;&gt;"",$V127="Macro"),N($AH127)&gt;0),CHOOSE(MATCH($D127,ListaPuestos,0),INDEX('Cronograma R. Operacional'!$O$5:$O$1000,$AH127),INDEX('Cronograma R. Normativo'!$O$5:$O$1000,$AH127),INDEX('Cronograma R. Financiero'!$O$5:$O$1000,$AH127),INDEX('Cronograma Asistente Técnico'!$O$5:$O$1000,$AH127))&amp;"",IF(ISNUMBER($G127),IF(AND(ISNUMBER($AN127),$G127&gt;$AN127),"Cumplida con "&amp;($G127-$AN127)&amp;IF($G127-$AN127=1," día"," días")&amp;" de retraso","Cumplida"),IF(N($M127)&gt;=1,"Cumplida",IF(NOT(ISNUMBER($AN127)),"Sin fecha límite",IF($AN127&lt;FechaRef,"Vencida hace "&amp;(FechaRef-$AN127)&amp;IF(FechaRef-$AN127=1," día"," días"),IF($AN127=FechaRef,"Vence hoy",IF($AN127-FechaRef&lt;=DiasAlerta,"Vence en "&amp;($AN127-FechaRef)&amp;IF($AN127-FechaRef=1," día"," días"),"En plazo"))))))))</f>
        <v/>
      </c>
      <c r="P127" s="62">
        <f>IF(NOT((COUNTA($B127:$D127)+COUNTA($G127:$L127)+COUNTA($Q127))&gt;0),"",IF($D127="","Propia",IF($V127&lt;&gt;"Macro","Solo se delegan macroactividades",IF(N($AH127)&gt;0,"✔ Recibida por "&amp;$D127,"⚠ "&amp;$D127&amp;" aún no la agrega"))))</f>
        <v/>
      </c>
      <c r="Q127" s="58" t="n"/>
      <c r="R127" s="63">
        <f>IF(NOT((COUNTA($B127:$D127)+COUNTA($G127:$L127)+COUNTA($Q127))&gt;0),"",IF((IF($C127="","Falta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",""))="","✔ OK","⚠ "&amp;LEFT(IF($C127="","Falta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",""),LEN(IF($C127="","Falta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",""))-3)))</f>
        <v/>
      </c>
      <c r="S127" s="64">
        <f>IF(NOT((COUNTA($B127:$D127)+COUNTA($G127:$L127)+COUNTA($Q127))&gt;0),"",IF(AND($V127="Sub",N($U127)&gt;0),IF(ISNUMBER(INDEX($AM$5:$AM$1000,$U127-4)),DATE(YEAR(INDEX($AM$5:$AM$1000,$U127-4)),MONTH(INDEX($AM$5:$AM$1000,$U127-4)),1),IF(ISNUMBER(INDEX($AN$5:$AN$1000,$U127-4)),DATE(YEAR(INDEX($AN$5:$AN$1000,$U127-4)),MONTH(INDEX($AN$5:$AN$1000,$U127-4)),1),MesCiclo)),IF(ISNUMBER($AM127),DATE(YEAR($AM127),MONTH($AM127),1),IF(ISNUMBER($AN127),DATE(YEAR($AN127),MONTH($AN127),1),MesCiclo))))</f>
        <v/>
      </c>
      <c r="T127" s="62">
        <f>IF(OR($S127="",$S127&lt;&gt;MesCiclo),"",COUNTIF($S$5:$S127,MesCiclo))</f>
        <v/>
      </c>
      <c r="U127" s="62">
        <f>IF($V127="","",IF($V127="Macro",ROW(),IFERROR(LOOKUP(2,1/($V$5:$V127="Macro"),ROW($V$5:$V127)),0)))</f>
        <v/>
      </c>
      <c r="V127" s="62">
        <f>IF(NOT((COUNTA($B127:$D127)+COUNTA($G127:$L127)+COUNTA($Q127))&gt;0),"",IF($B127="Subactividad","Sub","Macro"))</f>
        <v/>
      </c>
      <c r="W127" s="62">
        <f>IF($V127="Macro",COUNTIFS($U$5:$U$1000,ROW(),$V$5:$V$1000,"Sub"),"")</f>
        <v/>
      </c>
      <c r="X127" s="62">
        <f>IF($V127="","",IF(ISNUMBER($G127),1,IFERROR(LOOKUP(2,1/($I127:$L127&lt;&gt;""),$I127:$L127),0)))</f>
        <v/>
      </c>
      <c r="Y127" s="62">
        <f>IF($V127="","",IF(AND(ISNUMBER($G127),$G127&lt;=IF($S127=MesCiclo,InicioCiclo,$S127+MOD(2-WEEKDAY($S127),7))+6),1,IF(ISNUMBER($I127),$I127,0)))</f>
        <v/>
      </c>
      <c r="Z127" s="62">
        <f>IF($V127="","",IF(AND(ISNUMBER($G127),$G127&lt;=IF($S127=MesCiclo,InicioCiclo,$S127+MOD(2-WEEKDAY($S127),7))+13),1,IF(ISNUMBER($J127),$J127,$Y127)))</f>
        <v/>
      </c>
      <c r="AA127" s="62">
        <f>IF($V127="","",IF(AND(ISNUMBER($G127),$G127&lt;=IF($S127=MesCiclo,InicioCiclo,$S127+MOD(2-WEEKDAY($S127),7))+20),1,IF(ISNUMBER($K127),$K127,$Z127)))</f>
        <v/>
      </c>
      <c r="AB127" s="62">
        <f>IF($V127="","",IF(AND(ISNUMBER($G127),$G127&lt;=IF($S127=MesCiclo,InicioCiclo,$S127+MOD(2-WEEKDAY($S127),7))+27),1,IF(ISNUMBER($L127),$L127,$AA127)))</f>
        <v/>
      </c>
      <c r="AC127" s="62">
        <f>IF($V127="","",IF(AND(ISNUMBER($G127),$G127&lt;=IF($S127=MesCiclo,InicioCiclo,$S127+MOD(2-WEEKDAY($S127),7))+6),1,IF(N($W127)&gt;0,AVERAGEIFS($Y$5:$Y$1000,$U$5:$U$1000,ROW(),$V$5:$V$1000,"Sub"),$Y127)))</f>
        <v/>
      </c>
      <c r="AD127" s="62">
        <f>IF($V127="","",IF(AND(ISNUMBER($G127),$G127&lt;=IF($S127=MesCiclo,InicioCiclo,$S127+MOD(2-WEEKDAY($S127),7))+13),1,IF(N($W127)&gt;0,AVERAGEIFS($Z$5:$Z$1000,$U$5:$U$1000,ROW(),$V$5:$V$1000,"Sub"),$Z127)))</f>
        <v/>
      </c>
      <c r="AE127" s="62">
        <f>IF($V127="","",IF(AND(ISNUMBER($G127),$G127&lt;=IF($S127=MesCiclo,InicioCiclo,$S127+MOD(2-WEEKDAY($S127),7))+20),1,IF(N($W127)&gt;0,AVERAGEIFS($AA$5:$AA$1000,$U$5:$U$1000,ROW(),$V$5:$V$1000,"Sub"),$AA127)))</f>
        <v/>
      </c>
      <c r="AF127" s="62">
        <f>IF($V127="","",IF(AND(ISNUMBER($G127),$G127&lt;=IF($S127=MesCiclo,InicioCiclo,$S127+MOD(2-WEEKDAY($S127),7))+27),1,IF(N($W127)&gt;0,AVERAGEIFS($AB$5:$AB$1000,$U$5:$U$1000,ROW(),$V$5:$V$1000,"Sub"),$AB127)))</f>
        <v/>
      </c>
      <c r="AG127" s="62">
        <f>IF($V127&lt;&gt;"Macro","",IF(COUNTIFS($S$5:$S$1000,$S127,$V$5:$V$1000,"Macro",$H$5:$H$1000,"&gt;0")=0,1/COUNTIFS($S$5:$S$1000,$S127,$V$5:$V$1000,"Macro"),IF(AND(ISNUMBER($H127),N($H127)&gt;0),$H127,SUMIFS($H$5:$H$1000,$S$5:$S$1000,$S127,$V$5:$V$1000,"Macro")/COUNTIFS($S$5:$S$1000,$S127,$V$5:$V$1000,"Macro",$H$5:$H$1000,"&gt;0"))/(COUNTIFS($S$5:$S$1000,$S127,$V$5:$V$1000,"Macro")*SUMIFS($H$5:$H$1000,$S$5:$S$1000,$S127,$V$5:$V$1000,"Macro")/COUNTIFS($S$5:$S$1000,$S127,$V$5:$V$1000,"Macro",$H$5:$H$1000,"&gt;0"))))</f>
        <v/>
      </c>
      <c r="AH127" s="62">
        <f>IF(NOT(AND($D127&lt;&gt;"",$V127="Macro")),"",IFERROR(CHOOSE(MATCH($D127,ListaPuestos,0),MATCH("[Jefatura] "&amp;$C127,'Cronograma R. Operacional'!$C$5:$C$1000,0),MATCH("[Jefatura] "&amp;$C127,'Cronograma R. Normativo'!$C$5:$C$1000,0),MATCH("[Jefatura] "&amp;$C127,'Cronograma R. Financiero'!$C$5:$C$1000,0),MATCH("[Jefatura] "&amp;$C127,'Cronograma Asistente Técnico'!$C$5:$C$1000,0)),0))</f>
        <v/>
      </c>
      <c r="AI127" s="62">
        <f>IF(AND(AND($D127&lt;&gt;"",$V127="Macro"),$S127=MesCiclo),COUNTIFS($D$5:$D127,$D127,$S$5:$S127,MesCiclo,$V$5:$V127,"Macro"),"")</f>
        <v/>
      </c>
      <c r="AJ127" s="62">
        <f>IF($AI127="","",$D127&amp;"|"&amp;$AI127)</f>
        <v/>
      </c>
      <c r="AK127" s="62">
        <f>IF(AND($D127&lt;&gt;"",$V127="Macro"),$D127&amp;"|"&amp;$C127,"")</f>
        <v/>
      </c>
      <c r="AL127" s="62">
        <f>""</f>
        <v/>
      </c>
      <c r="AM127" s="62">
        <f>IF(N($AL127)&gt;0,INDEX(rIni_ADM,$AL127),IF(ISNUMBER($E127),$E127,""))</f>
        <v/>
      </c>
      <c r="AN127" s="62">
        <f>IF(N($AL127)&gt;0,INDEX(rLim_ADM,$AL127),IF(ISNUMBER($F127),$F127,""))</f>
        <v/>
      </c>
    </row>
    <row r="128">
      <c r="A128" s="56">
        <f>IF(NOT((COUNTA($B128:$D128)+COUNTA($G128:$L128)+COUNTA($Q128))&gt;0),"",IF($V128="Macro",COUNTIFS($V$5:$V128,"Macro",$S$5:$S128,$S128),IF(N($U128)=0,"?",COUNTIFS(INDEX($V$5:$V$1000,1):INDEX($V$5:$V$1000,$U128-4),"Macro",INDEX($S$5:$S$1000,1):INDEX($S$5:$S$1000,$U128-4),INDEX($S$5:$S$1000,$U128-4))&amp;"."&amp;COUNTIFS($U$5:$U128,$U128,$V$5:$V128,"Sub"))))</f>
        <v/>
      </c>
      <c r="B128" s="57" t="n"/>
      <c r="C128" s="58" t="n"/>
      <c r="D128" s="58" t="n"/>
      <c r="E128" s="59" t="n"/>
      <c r="F128" s="59" t="n"/>
      <c r="G128" s="59" t="n"/>
      <c r="H128" s="60" t="n"/>
      <c r="I128" s="60" t="n"/>
      <c r="J128" s="60" t="n"/>
      <c r="K128" s="60" t="n"/>
      <c r="L128" s="60" t="n"/>
      <c r="M128" s="61">
        <f>IF(NOT((COUNTA($B128:$D128)+COUNTA($G128:$L128)+COUNTA($Q128))&gt;0),"",IF(AND($D128&lt;&gt;"",$V128="Macro"),IF(N($AH128)&gt;0,N(CHOOSE(MATCH($D128,ListaPuestos,0),INDEX('Cronograma R. Operacional'!$M$5:$M$1000,$AH128),INDEX('Cronograma R. Normativo'!$M$5:$M$1000,$AH128),INDEX('Cronograma R. Financiero'!$M$5:$M$1000,$AH128),INDEX('Cronograma Asistente Técnico'!$M$5:$M$1000,$AH128))),0),IF(ISNUMBER($G128),1,IF(N($W128)&gt;0,AVERAGEIFS($X$5:$X$1000,$U$5:$U$1000,ROW(),$V$5:$V$1000,"Sub"),$X128))))</f>
        <v/>
      </c>
      <c r="N128" s="56">
        <f>IF($M128="","",IF($M128&gt;=1,"Completado",IF($M128&gt;0,"En curso","Pendiente")))</f>
        <v/>
      </c>
      <c r="O128" s="56">
        <f>IF(NOT((COUNTA($B128:$D128)+COUNTA($G128:$L128)+COUNTA($Q128))&gt;0),"",IF(AND(AND($D128&lt;&gt;"",$V128="Macro"),N($AH128)&gt;0),CHOOSE(MATCH($D128,ListaPuestos,0),INDEX('Cronograma R. Operacional'!$O$5:$O$1000,$AH128),INDEX('Cronograma R. Normativo'!$O$5:$O$1000,$AH128),INDEX('Cronograma R. Financiero'!$O$5:$O$1000,$AH128),INDEX('Cronograma Asistente Técnico'!$O$5:$O$1000,$AH128))&amp;"",IF(ISNUMBER($G128),IF(AND(ISNUMBER($AN128),$G128&gt;$AN128),"Cumplida con "&amp;($G128-$AN128)&amp;IF($G128-$AN128=1," día"," días")&amp;" de retraso","Cumplida"),IF(N($M128)&gt;=1,"Cumplida",IF(NOT(ISNUMBER($AN128)),"Sin fecha límite",IF($AN128&lt;FechaRef,"Vencida hace "&amp;(FechaRef-$AN128)&amp;IF(FechaRef-$AN128=1," día"," días"),IF($AN128=FechaRef,"Vence hoy",IF($AN128-FechaRef&lt;=DiasAlerta,"Vence en "&amp;($AN128-FechaRef)&amp;IF($AN128-FechaRef=1," día"," días"),"En plazo"))))))))</f>
        <v/>
      </c>
      <c r="P128" s="62">
        <f>IF(NOT((COUNTA($B128:$D128)+COUNTA($G128:$L128)+COUNTA($Q128))&gt;0),"",IF($D128="","Propia",IF($V128&lt;&gt;"Macro","Solo se delegan macroactividades",IF(N($AH128)&gt;0,"✔ Recibida por "&amp;$D128,"⚠ "&amp;$D128&amp;" aún no la agrega"))))</f>
        <v/>
      </c>
      <c r="Q128" s="58" t="n"/>
      <c r="R128" s="63">
        <f>IF(NOT((COUNTA($B128:$D128)+COUNTA($G128:$L128)+COUNTA($Q128))&gt;0),"",IF((IF($C128="","Falta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",""))="","✔ OK","⚠ "&amp;LEFT(IF($C128="","Falta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",""),LEN(IF($C128="","Falta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",""))-3)))</f>
        <v/>
      </c>
      <c r="S128" s="64">
        <f>IF(NOT((COUNTA($B128:$D128)+COUNTA($G128:$L128)+COUNTA($Q128))&gt;0),"",IF(AND($V128="Sub",N($U128)&gt;0),IF(ISNUMBER(INDEX($AM$5:$AM$1000,$U128-4)),DATE(YEAR(INDEX($AM$5:$AM$1000,$U128-4)),MONTH(INDEX($AM$5:$AM$1000,$U128-4)),1),IF(ISNUMBER(INDEX($AN$5:$AN$1000,$U128-4)),DATE(YEAR(INDEX($AN$5:$AN$1000,$U128-4)),MONTH(INDEX($AN$5:$AN$1000,$U128-4)),1),MesCiclo)),IF(ISNUMBER($AM128),DATE(YEAR($AM128),MONTH($AM128),1),IF(ISNUMBER($AN128),DATE(YEAR($AN128),MONTH($AN128),1),MesCiclo))))</f>
        <v/>
      </c>
      <c r="T128" s="62">
        <f>IF(OR($S128="",$S128&lt;&gt;MesCiclo),"",COUNTIF($S$5:$S128,MesCiclo))</f>
        <v/>
      </c>
      <c r="U128" s="62">
        <f>IF($V128="","",IF($V128="Macro",ROW(),IFERROR(LOOKUP(2,1/($V$5:$V128="Macro"),ROW($V$5:$V128)),0)))</f>
        <v/>
      </c>
      <c r="V128" s="62">
        <f>IF(NOT((COUNTA($B128:$D128)+COUNTA($G128:$L128)+COUNTA($Q128))&gt;0),"",IF($B128="Subactividad","Sub","Macro"))</f>
        <v/>
      </c>
      <c r="W128" s="62">
        <f>IF($V128="Macro",COUNTIFS($U$5:$U$1000,ROW(),$V$5:$V$1000,"Sub"),"")</f>
        <v/>
      </c>
      <c r="X128" s="62">
        <f>IF($V128="","",IF(ISNUMBER($G128),1,IFERROR(LOOKUP(2,1/($I128:$L128&lt;&gt;""),$I128:$L128),0)))</f>
        <v/>
      </c>
      <c r="Y128" s="62">
        <f>IF($V128="","",IF(AND(ISNUMBER($G128),$G128&lt;=IF($S128=MesCiclo,InicioCiclo,$S128+MOD(2-WEEKDAY($S128),7))+6),1,IF(ISNUMBER($I128),$I128,0)))</f>
        <v/>
      </c>
      <c r="Z128" s="62">
        <f>IF($V128="","",IF(AND(ISNUMBER($G128),$G128&lt;=IF($S128=MesCiclo,InicioCiclo,$S128+MOD(2-WEEKDAY($S128),7))+13),1,IF(ISNUMBER($J128),$J128,$Y128)))</f>
        <v/>
      </c>
      <c r="AA128" s="62">
        <f>IF($V128="","",IF(AND(ISNUMBER($G128),$G128&lt;=IF($S128=MesCiclo,InicioCiclo,$S128+MOD(2-WEEKDAY($S128),7))+20),1,IF(ISNUMBER($K128),$K128,$Z128)))</f>
        <v/>
      </c>
      <c r="AB128" s="62">
        <f>IF($V128="","",IF(AND(ISNUMBER($G128),$G128&lt;=IF($S128=MesCiclo,InicioCiclo,$S128+MOD(2-WEEKDAY($S128),7))+27),1,IF(ISNUMBER($L128),$L128,$AA128)))</f>
        <v/>
      </c>
      <c r="AC128" s="62">
        <f>IF($V128="","",IF(AND(ISNUMBER($G128),$G128&lt;=IF($S128=MesCiclo,InicioCiclo,$S128+MOD(2-WEEKDAY($S128),7))+6),1,IF(N($W128)&gt;0,AVERAGEIFS($Y$5:$Y$1000,$U$5:$U$1000,ROW(),$V$5:$V$1000,"Sub"),$Y128)))</f>
        <v/>
      </c>
      <c r="AD128" s="62">
        <f>IF($V128="","",IF(AND(ISNUMBER($G128),$G128&lt;=IF($S128=MesCiclo,InicioCiclo,$S128+MOD(2-WEEKDAY($S128),7))+13),1,IF(N($W128)&gt;0,AVERAGEIFS($Z$5:$Z$1000,$U$5:$U$1000,ROW(),$V$5:$V$1000,"Sub"),$Z128)))</f>
        <v/>
      </c>
      <c r="AE128" s="62">
        <f>IF($V128="","",IF(AND(ISNUMBER($G128),$G128&lt;=IF($S128=MesCiclo,InicioCiclo,$S128+MOD(2-WEEKDAY($S128),7))+20),1,IF(N($W128)&gt;0,AVERAGEIFS($AA$5:$AA$1000,$U$5:$U$1000,ROW(),$V$5:$V$1000,"Sub"),$AA128)))</f>
        <v/>
      </c>
      <c r="AF128" s="62">
        <f>IF($V128="","",IF(AND(ISNUMBER($G128),$G128&lt;=IF($S128=MesCiclo,InicioCiclo,$S128+MOD(2-WEEKDAY($S128),7))+27),1,IF(N($W128)&gt;0,AVERAGEIFS($AB$5:$AB$1000,$U$5:$U$1000,ROW(),$V$5:$V$1000,"Sub"),$AB128)))</f>
        <v/>
      </c>
      <c r="AG128" s="62">
        <f>IF($V128&lt;&gt;"Macro","",IF(COUNTIFS($S$5:$S$1000,$S128,$V$5:$V$1000,"Macro",$H$5:$H$1000,"&gt;0")=0,1/COUNTIFS($S$5:$S$1000,$S128,$V$5:$V$1000,"Macro"),IF(AND(ISNUMBER($H128),N($H128)&gt;0),$H128,SUMIFS($H$5:$H$1000,$S$5:$S$1000,$S128,$V$5:$V$1000,"Macro")/COUNTIFS($S$5:$S$1000,$S128,$V$5:$V$1000,"Macro",$H$5:$H$1000,"&gt;0"))/(COUNTIFS($S$5:$S$1000,$S128,$V$5:$V$1000,"Macro")*SUMIFS($H$5:$H$1000,$S$5:$S$1000,$S128,$V$5:$V$1000,"Macro")/COUNTIFS($S$5:$S$1000,$S128,$V$5:$V$1000,"Macro",$H$5:$H$1000,"&gt;0"))))</f>
        <v/>
      </c>
      <c r="AH128" s="62">
        <f>IF(NOT(AND($D128&lt;&gt;"",$V128="Macro")),"",IFERROR(CHOOSE(MATCH($D128,ListaPuestos,0),MATCH("[Jefatura] "&amp;$C128,'Cronograma R. Operacional'!$C$5:$C$1000,0),MATCH("[Jefatura] "&amp;$C128,'Cronograma R. Normativo'!$C$5:$C$1000,0),MATCH("[Jefatura] "&amp;$C128,'Cronograma R. Financiero'!$C$5:$C$1000,0),MATCH("[Jefatura] "&amp;$C128,'Cronograma Asistente Técnico'!$C$5:$C$1000,0)),0))</f>
        <v/>
      </c>
      <c r="AI128" s="62">
        <f>IF(AND(AND($D128&lt;&gt;"",$V128="Macro"),$S128=MesCiclo),COUNTIFS($D$5:$D128,$D128,$S$5:$S128,MesCiclo,$V$5:$V128,"Macro"),"")</f>
        <v/>
      </c>
      <c r="AJ128" s="62">
        <f>IF($AI128="","",$D128&amp;"|"&amp;$AI128)</f>
        <v/>
      </c>
      <c r="AK128" s="62">
        <f>IF(AND($D128&lt;&gt;"",$V128="Macro"),$D128&amp;"|"&amp;$C128,"")</f>
        <v/>
      </c>
      <c r="AL128" s="62">
        <f>""</f>
        <v/>
      </c>
      <c r="AM128" s="62">
        <f>IF(N($AL128)&gt;0,INDEX(rIni_ADM,$AL128),IF(ISNUMBER($E128),$E128,""))</f>
        <v/>
      </c>
      <c r="AN128" s="62">
        <f>IF(N($AL128)&gt;0,INDEX(rLim_ADM,$AL128),IF(ISNUMBER($F128),$F128,""))</f>
        <v/>
      </c>
    </row>
    <row r="129">
      <c r="A129" s="56">
        <f>IF(NOT((COUNTA($B129:$D129)+COUNTA($G129:$L129)+COUNTA($Q129))&gt;0),"",IF($V129="Macro",COUNTIFS($V$5:$V129,"Macro",$S$5:$S129,$S129),IF(N($U129)=0,"?",COUNTIFS(INDEX($V$5:$V$1000,1):INDEX($V$5:$V$1000,$U129-4),"Macro",INDEX($S$5:$S$1000,1):INDEX($S$5:$S$1000,$U129-4),INDEX($S$5:$S$1000,$U129-4))&amp;"."&amp;COUNTIFS($U$5:$U129,$U129,$V$5:$V129,"Sub"))))</f>
        <v/>
      </c>
      <c r="B129" s="57" t="n"/>
      <c r="C129" s="58" t="n"/>
      <c r="D129" s="58" t="n"/>
      <c r="E129" s="59" t="n"/>
      <c r="F129" s="59" t="n"/>
      <c r="G129" s="59" t="n"/>
      <c r="H129" s="60" t="n"/>
      <c r="I129" s="60" t="n"/>
      <c r="J129" s="60" t="n"/>
      <c r="K129" s="60" t="n"/>
      <c r="L129" s="60" t="n"/>
      <c r="M129" s="61">
        <f>IF(NOT((COUNTA($B129:$D129)+COUNTA($G129:$L129)+COUNTA($Q129))&gt;0),"",IF(AND($D129&lt;&gt;"",$V129="Macro"),IF(N($AH129)&gt;0,N(CHOOSE(MATCH($D129,ListaPuestos,0),INDEX('Cronograma R. Operacional'!$M$5:$M$1000,$AH129),INDEX('Cronograma R. Normativo'!$M$5:$M$1000,$AH129),INDEX('Cronograma R. Financiero'!$M$5:$M$1000,$AH129),INDEX('Cronograma Asistente Técnico'!$M$5:$M$1000,$AH129))),0),IF(ISNUMBER($G129),1,IF(N($W129)&gt;0,AVERAGEIFS($X$5:$X$1000,$U$5:$U$1000,ROW(),$V$5:$V$1000,"Sub"),$X129))))</f>
        <v/>
      </c>
      <c r="N129" s="56">
        <f>IF($M129="","",IF($M129&gt;=1,"Completado",IF($M129&gt;0,"En curso","Pendiente")))</f>
        <v/>
      </c>
      <c r="O129" s="56">
        <f>IF(NOT((COUNTA($B129:$D129)+COUNTA($G129:$L129)+COUNTA($Q129))&gt;0),"",IF(AND(AND($D129&lt;&gt;"",$V129="Macro"),N($AH129)&gt;0),CHOOSE(MATCH($D129,ListaPuestos,0),INDEX('Cronograma R. Operacional'!$O$5:$O$1000,$AH129),INDEX('Cronograma R. Normativo'!$O$5:$O$1000,$AH129),INDEX('Cronograma R. Financiero'!$O$5:$O$1000,$AH129),INDEX('Cronograma Asistente Técnico'!$O$5:$O$1000,$AH129))&amp;"",IF(ISNUMBER($G129),IF(AND(ISNUMBER($AN129),$G129&gt;$AN129),"Cumplida con "&amp;($G129-$AN129)&amp;IF($G129-$AN129=1," día"," días")&amp;" de retraso","Cumplida"),IF(N($M129)&gt;=1,"Cumplida",IF(NOT(ISNUMBER($AN129)),"Sin fecha límite",IF($AN129&lt;FechaRef,"Vencida hace "&amp;(FechaRef-$AN129)&amp;IF(FechaRef-$AN129=1," día"," días"),IF($AN129=FechaRef,"Vence hoy",IF($AN129-FechaRef&lt;=DiasAlerta,"Vence en "&amp;($AN129-FechaRef)&amp;IF($AN129-FechaRef=1," día"," días"),"En plazo"))))))))</f>
        <v/>
      </c>
      <c r="P129" s="62">
        <f>IF(NOT((COUNTA($B129:$D129)+COUNTA($G129:$L129)+COUNTA($Q129))&gt;0),"",IF($D129="","Propia",IF($V129&lt;&gt;"Macro","Solo se delegan macroactividades",IF(N($AH129)&gt;0,"✔ Recibida por "&amp;$D129,"⚠ "&amp;$D129&amp;" aún no la agrega"))))</f>
        <v/>
      </c>
      <c r="Q129" s="58" t="n"/>
      <c r="R129" s="63">
        <f>IF(NOT((COUNTA($B129:$D129)+COUNTA($G129:$L129)+COUNTA($Q129))&gt;0),"",IF((IF($C129="","Falta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",""))="","✔ OK","⚠ "&amp;LEFT(IF($C129="","Falta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",""),LEN(IF($C129="","Falta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",""))-3)))</f>
        <v/>
      </c>
      <c r="S129" s="64">
        <f>IF(NOT((COUNTA($B129:$D129)+COUNTA($G129:$L129)+COUNTA($Q129))&gt;0),"",IF(AND($V129="Sub",N($U129)&gt;0),IF(ISNUMBER(INDEX($AM$5:$AM$1000,$U129-4)),DATE(YEAR(INDEX($AM$5:$AM$1000,$U129-4)),MONTH(INDEX($AM$5:$AM$1000,$U129-4)),1),IF(ISNUMBER(INDEX($AN$5:$AN$1000,$U129-4)),DATE(YEAR(INDEX($AN$5:$AN$1000,$U129-4)),MONTH(INDEX($AN$5:$AN$1000,$U129-4)),1),MesCiclo)),IF(ISNUMBER($AM129),DATE(YEAR($AM129),MONTH($AM129),1),IF(ISNUMBER($AN129),DATE(YEAR($AN129),MONTH($AN129),1),MesCiclo))))</f>
        <v/>
      </c>
      <c r="T129" s="62">
        <f>IF(OR($S129="",$S129&lt;&gt;MesCiclo),"",COUNTIF($S$5:$S129,MesCiclo))</f>
        <v/>
      </c>
      <c r="U129" s="62">
        <f>IF($V129="","",IF($V129="Macro",ROW(),IFERROR(LOOKUP(2,1/($V$5:$V129="Macro"),ROW($V$5:$V129)),0)))</f>
        <v/>
      </c>
      <c r="V129" s="62">
        <f>IF(NOT((COUNTA($B129:$D129)+COUNTA($G129:$L129)+COUNTA($Q129))&gt;0),"",IF($B129="Subactividad","Sub","Macro"))</f>
        <v/>
      </c>
      <c r="W129" s="62">
        <f>IF($V129="Macro",COUNTIFS($U$5:$U$1000,ROW(),$V$5:$V$1000,"Sub"),"")</f>
        <v/>
      </c>
      <c r="X129" s="62">
        <f>IF($V129="","",IF(ISNUMBER($G129),1,IFERROR(LOOKUP(2,1/($I129:$L129&lt;&gt;""),$I129:$L129),0)))</f>
        <v/>
      </c>
      <c r="Y129" s="62">
        <f>IF($V129="","",IF(AND(ISNUMBER($G129),$G129&lt;=IF($S129=MesCiclo,InicioCiclo,$S129+MOD(2-WEEKDAY($S129),7))+6),1,IF(ISNUMBER($I129),$I129,0)))</f>
        <v/>
      </c>
      <c r="Z129" s="62">
        <f>IF($V129="","",IF(AND(ISNUMBER($G129),$G129&lt;=IF($S129=MesCiclo,InicioCiclo,$S129+MOD(2-WEEKDAY($S129),7))+13),1,IF(ISNUMBER($J129),$J129,$Y129)))</f>
        <v/>
      </c>
      <c r="AA129" s="62">
        <f>IF($V129="","",IF(AND(ISNUMBER($G129),$G129&lt;=IF($S129=MesCiclo,InicioCiclo,$S129+MOD(2-WEEKDAY($S129),7))+20),1,IF(ISNUMBER($K129),$K129,$Z129)))</f>
        <v/>
      </c>
      <c r="AB129" s="62">
        <f>IF($V129="","",IF(AND(ISNUMBER($G129),$G129&lt;=IF($S129=MesCiclo,InicioCiclo,$S129+MOD(2-WEEKDAY($S129),7))+27),1,IF(ISNUMBER($L129),$L129,$AA129)))</f>
        <v/>
      </c>
      <c r="AC129" s="62">
        <f>IF($V129="","",IF(AND(ISNUMBER($G129),$G129&lt;=IF($S129=MesCiclo,InicioCiclo,$S129+MOD(2-WEEKDAY($S129),7))+6),1,IF(N($W129)&gt;0,AVERAGEIFS($Y$5:$Y$1000,$U$5:$U$1000,ROW(),$V$5:$V$1000,"Sub"),$Y129)))</f>
        <v/>
      </c>
      <c r="AD129" s="62">
        <f>IF($V129="","",IF(AND(ISNUMBER($G129),$G129&lt;=IF($S129=MesCiclo,InicioCiclo,$S129+MOD(2-WEEKDAY($S129),7))+13),1,IF(N($W129)&gt;0,AVERAGEIFS($Z$5:$Z$1000,$U$5:$U$1000,ROW(),$V$5:$V$1000,"Sub"),$Z129)))</f>
        <v/>
      </c>
      <c r="AE129" s="62">
        <f>IF($V129="","",IF(AND(ISNUMBER($G129),$G129&lt;=IF($S129=MesCiclo,InicioCiclo,$S129+MOD(2-WEEKDAY($S129),7))+20),1,IF(N($W129)&gt;0,AVERAGEIFS($AA$5:$AA$1000,$U$5:$U$1000,ROW(),$V$5:$V$1000,"Sub"),$AA129)))</f>
        <v/>
      </c>
      <c r="AF129" s="62">
        <f>IF($V129="","",IF(AND(ISNUMBER($G129),$G129&lt;=IF($S129=MesCiclo,InicioCiclo,$S129+MOD(2-WEEKDAY($S129),7))+27),1,IF(N($W129)&gt;0,AVERAGEIFS($AB$5:$AB$1000,$U$5:$U$1000,ROW(),$V$5:$V$1000,"Sub"),$AB129)))</f>
        <v/>
      </c>
      <c r="AG129" s="62">
        <f>IF($V129&lt;&gt;"Macro","",IF(COUNTIFS($S$5:$S$1000,$S129,$V$5:$V$1000,"Macro",$H$5:$H$1000,"&gt;0")=0,1/COUNTIFS($S$5:$S$1000,$S129,$V$5:$V$1000,"Macro"),IF(AND(ISNUMBER($H129),N($H129)&gt;0),$H129,SUMIFS($H$5:$H$1000,$S$5:$S$1000,$S129,$V$5:$V$1000,"Macro")/COUNTIFS($S$5:$S$1000,$S129,$V$5:$V$1000,"Macro",$H$5:$H$1000,"&gt;0"))/(COUNTIFS($S$5:$S$1000,$S129,$V$5:$V$1000,"Macro")*SUMIFS($H$5:$H$1000,$S$5:$S$1000,$S129,$V$5:$V$1000,"Macro")/COUNTIFS($S$5:$S$1000,$S129,$V$5:$V$1000,"Macro",$H$5:$H$1000,"&gt;0"))))</f>
        <v/>
      </c>
      <c r="AH129" s="62">
        <f>IF(NOT(AND($D129&lt;&gt;"",$V129="Macro")),"",IFERROR(CHOOSE(MATCH($D129,ListaPuestos,0),MATCH("[Jefatura] "&amp;$C129,'Cronograma R. Operacional'!$C$5:$C$1000,0),MATCH("[Jefatura] "&amp;$C129,'Cronograma R. Normativo'!$C$5:$C$1000,0),MATCH("[Jefatura] "&amp;$C129,'Cronograma R. Financiero'!$C$5:$C$1000,0),MATCH("[Jefatura] "&amp;$C129,'Cronograma Asistente Técnico'!$C$5:$C$1000,0)),0))</f>
        <v/>
      </c>
      <c r="AI129" s="62">
        <f>IF(AND(AND($D129&lt;&gt;"",$V129="Macro"),$S129=MesCiclo),COUNTIFS($D$5:$D129,$D129,$S$5:$S129,MesCiclo,$V$5:$V129,"Macro"),"")</f>
        <v/>
      </c>
      <c r="AJ129" s="62">
        <f>IF($AI129="","",$D129&amp;"|"&amp;$AI129)</f>
        <v/>
      </c>
      <c r="AK129" s="62">
        <f>IF(AND($D129&lt;&gt;"",$V129="Macro"),$D129&amp;"|"&amp;$C129,"")</f>
        <v/>
      </c>
      <c r="AL129" s="62">
        <f>""</f>
        <v/>
      </c>
      <c r="AM129" s="62">
        <f>IF(N($AL129)&gt;0,INDEX(rIni_ADM,$AL129),IF(ISNUMBER($E129),$E129,""))</f>
        <v/>
      </c>
      <c r="AN129" s="62">
        <f>IF(N($AL129)&gt;0,INDEX(rLim_ADM,$AL129),IF(ISNUMBER($F129),$F129,""))</f>
        <v/>
      </c>
    </row>
    <row r="130">
      <c r="A130" s="56">
        <f>IF(NOT((COUNTA($B130:$D130)+COUNTA($G130:$L130)+COUNTA($Q130))&gt;0),"",IF($V130="Macro",COUNTIFS($V$5:$V130,"Macro",$S$5:$S130,$S130),IF(N($U130)=0,"?",COUNTIFS(INDEX($V$5:$V$1000,1):INDEX($V$5:$V$1000,$U130-4),"Macro",INDEX($S$5:$S$1000,1):INDEX($S$5:$S$1000,$U130-4),INDEX($S$5:$S$1000,$U130-4))&amp;"."&amp;COUNTIFS($U$5:$U130,$U130,$V$5:$V130,"Sub"))))</f>
        <v/>
      </c>
      <c r="B130" s="57" t="n"/>
      <c r="C130" s="58" t="n"/>
      <c r="D130" s="58" t="n"/>
      <c r="E130" s="59" t="n"/>
      <c r="F130" s="59" t="n"/>
      <c r="G130" s="59" t="n"/>
      <c r="H130" s="60" t="n"/>
      <c r="I130" s="60" t="n"/>
      <c r="J130" s="60" t="n"/>
      <c r="K130" s="60" t="n"/>
      <c r="L130" s="60" t="n"/>
      <c r="M130" s="61">
        <f>IF(NOT((COUNTA($B130:$D130)+COUNTA($G130:$L130)+COUNTA($Q130))&gt;0),"",IF(AND($D130&lt;&gt;"",$V130="Macro"),IF(N($AH130)&gt;0,N(CHOOSE(MATCH($D130,ListaPuestos,0),INDEX('Cronograma R. Operacional'!$M$5:$M$1000,$AH130),INDEX('Cronograma R. Normativo'!$M$5:$M$1000,$AH130),INDEX('Cronograma R. Financiero'!$M$5:$M$1000,$AH130),INDEX('Cronograma Asistente Técnico'!$M$5:$M$1000,$AH130))),0),IF(ISNUMBER($G130),1,IF(N($W130)&gt;0,AVERAGEIFS($X$5:$X$1000,$U$5:$U$1000,ROW(),$V$5:$V$1000,"Sub"),$X130))))</f>
        <v/>
      </c>
      <c r="N130" s="56">
        <f>IF($M130="","",IF($M130&gt;=1,"Completado",IF($M130&gt;0,"En curso","Pendiente")))</f>
        <v/>
      </c>
      <c r="O130" s="56">
        <f>IF(NOT((COUNTA($B130:$D130)+COUNTA($G130:$L130)+COUNTA($Q130))&gt;0),"",IF(AND(AND($D130&lt;&gt;"",$V130="Macro"),N($AH130)&gt;0),CHOOSE(MATCH($D130,ListaPuestos,0),INDEX('Cronograma R. Operacional'!$O$5:$O$1000,$AH130),INDEX('Cronograma R. Normativo'!$O$5:$O$1000,$AH130),INDEX('Cronograma R. Financiero'!$O$5:$O$1000,$AH130),INDEX('Cronograma Asistente Técnico'!$O$5:$O$1000,$AH130))&amp;"",IF(ISNUMBER($G130),IF(AND(ISNUMBER($AN130),$G130&gt;$AN130),"Cumplida con "&amp;($G130-$AN130)&amp;IF($G130-$AN130=1," día"," días")&amp;" de retraso","Cumplida"),IF(N($M130)&gt;=1,"Cumplida",IF(NOT(ISNUMBER($AN130)),"Sin fecha límite",IF($AN130&lt;FechaRef,"Vencida hace "&amp;(FechaRef-$AN130)&amp;IF(FechaRef-$AN130=1," día"," días"),IF($AN130=FechaRef,"Vence hoy",IF($AN130-FechaRef&lt;=DiasAlerta,"Vence en "&amp;($AN130-FechaRef)&amp;IF($AN130-FechaRef=1," día"," días"),"En plazo"))))))))</f>
        <v/>
      </c>
      <c r="P130" s="62">
        <f>IF(NOT((COUNTA($B130:$D130)+COUNTA($G130:$L130)+COUNTA($Q130))&gt;0),"",IF($D130="","Propia",IF($V130&lt;&gt;"Macro","Solo se delegan macroactividades",IF(N($AH130)&gt;0,"✔ Recibida por "&amp;$D130,"⚠ "&amp;$D130&amp;" aún no la agrega"))))</f>
        <v/>
      </c>
      <c r="Q130" s="58" t="n"/>
      <c r="R130" s="63">
        <f>IF(NOT((COUNTA($B130:$D130)+COUNTA($G130:$L130)+COUNTA($Q130))&gt;0),"",IF((IF($C130="","Falta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",""))="","✔ OK","⚠ "&amp;LEFT(IF($C130="","Falta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",""),LEN(IF($C130="","Falta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",""))-3)))</f>
        <v/>
      </c>
      <c r="S130" s="64">
        <f>IF(NOT((COUNTA($B130:$D130)+COUNTA($G130:$L130)+COUNTA($Q130))&gt;0),"",IF(AND($V130="Sub",N($U130)&gt;0),IF(ISNUMBER(INDEX($AM$5:$AM$1000,$U130-4)),DATE(YEAR(INDEX($AM$5:$AM$1000,$U130-4)),MONTH(INDEX($AM$5:$AM$1000,$U130-4)),1),IF(ISNUMBER(INDEX($AN$5:$AN$1000,$U130-4)),DATE(YEAR(INDEX($AN$5:$AN$1000,$U130-4)),MONTH(INDEX($AN$5:$AN$1000,$U130-4)),1),MesCiclo)),IF(ISNUMBER($AM130),DATE(YEAR($AM130),MONTH($AM130),1),IF(ISNUMBER($AN130),DATE(YEAR($AN130),MONTH($AN130),1),MesCiclo))))</f>
        <v/>
      </c>
      <c r="T130" s="62">
        <f>IF(OR($S130="",$S130&lt;&gt;MesCiclo),"",COUNTIF($S$5:$S130,MesCiclo))</f>
        <v/>
      </c>
      <c r="U130" s="62">
        <f>IF($V130="","",IF($V130="Macro",ROW(),IFERROR(LOOKUP(2,1/($V$5:$V130="Macro"),ROW($V$5:$V130)),0)))</f>
        <v/>
      </c>
      <c r="V130" s="62">
        <f>IF(NOT((COUNTA($B130:$D130)+COUNTA($G130:$L130)+COUNTA($Q130))&gt;0),"",IF($B130="Subactividad","Sub","Macro"))</f>
        <v/>
      </c>
      <c r="W130" s="62">
        <f>IF($V130="Macro",COUNTIFS($U$5:$U$1000,ROW(),$V$5:$V$1000,"Sub"),"")</f>
        <v/>
      </c>
      <c r="X130" s="62">
        <f>IF($V130="","",IF(ISNUMBER($G130),1,IFERROR(LOOKUP(2,1/($I130:$L130&lt;&gt;""),$I130:$L130),0)))</f>
        <v/>
      </c>
      <c r="Y130" s="62">
        <f>IF($V130="","",IF(AND(ISNUMBER($G130),$G130&lt;=IF($S130=MesCiclo,InicioCiclo,$S130+MOD(2-WEEKDAY($S130),7))+6),1,IF(ISNUMBER($I130),$I130,0)))</f>
        <v/>
      </c>
      <c r="Z130" s="62">
        <f>IF($V130="","",IF(AND(ISNUMBER($G130),$G130&lt;=IF($S130=MesCiclo,InicioCiclo,$S130+MOD(2-WEEKDAY($S130),7))+13),1,IF(ISNUMBER($J130),$J130,$Y130)))</f>
        <v/>
      </c>
      <c r="AA130" s="62">
        <f>IF($V130="","",IF(AND(ISNUMBER($G130),$G130&lt;=IF($S130=MesCiclo,InicioCiclo,$S130+MOD(2-WEEKDAY($S130),7))+20),1,IF(ISNUMBER($K130),$K130,$Z130)))</f>
        <v/>
      </c>
      <c r="AB130" s="62">
        <f>IF($V130="","",IF(AND(ISNUMBER($G130),$G130&lt;=IF($S130=MesCiclo,InicioCiclo,$S130+MOD(2-WEEKDAY($S130),7))+27),1,IF(ISNUMBER($L130),$L130,$AA130)))</f>
        <v/>
      </c>
      <c r="AC130" s="62">
        <f>IF($V130="","",IF(AND(ISNUMBER($G130),$G130&lt;=IF($S130=MesCiclo,InicioCiclo,$S130+MOD(2-WEEKDAY($S130),7))+6),1,IF(N($W130)&gt;0,AVERAGEIFS($Y$5:$Y$1000,$U$5:$U$1000,ROW(),$V$5:$V$1000,"Sub"),$Y130)))</f>
        <v/>
      </c>
      <c r="AD130" s="62">
        <f>IF($V130="","",IF(AND(ISNUMBER($G130),$G130&lt;=IF($S130=MesCiclo,InicioCiclo,$S130+MOD(2-WEEKDAY($S130),7))+13),1,IF(N($W130)&gt;0,AVERAGEIFS($Z$5:$Z$1000,$U$5:$U$1000,ROW(),$V$5:$V$1000,"Sub"),$Z130)))</f>
        <v/>
      </c>
      <c r="AE130" s="62">
        <f>IF($V130="","",IF(AND(ISNUMBER($G130),$G130&lt;=IF($S130=MesCiclo,InicioCiclo,$S130+MOD(2-WEEKDAY($S130),7))+20),1,IF(N($W130)&gt;0,AVERAGEIFS($AA$5:$AA$1000,$U$5:$U$1000,ROW(),$V$5:$V$1000,"Sub"),$AA130)))</f>
        <v/>
      </c>
      <c r="AF130" s="62">
        <f>IF($V130="","",IF(AND(ISNUMBER($G130),$G130&lt;=IF($S130=MesCiclo,InicioCiclo,$S130+MOD(2-WEEKDAY($S130),7))+27),1,IF(N($W130)&gt;0,AVERAGEIFS($AB$5:$AB$1000,$U$5:$U$1000,ROW(),$V$5:$V$1000,"Sub"),$AB130)))</f>
        <v/>
      </c>
      <c r="AG130" s="62">
        <f>IF($V130&lt;&gt;"Macro","",IF(COUNTIFS($S$5:$S$1000,$S130,$V$5:$V$1000,"Macro",$H$5:$H$1000,"&gt;0")=0,1/COUNTIFS($S$5:$S$1000,$S130,$V$5:$V$1000,"Macro"),IF(AND(ISNUMBER($H130),N($H130)&gt;0),$H130,SUMIFS($H$5:$H$1000,$S$5:$S$1000,$S130,$V$5:$V$1000,"Macro")/COUNTIFS($S$5:$S$1000,$S130,$V$5:$V$1000,"Macro",$H$5:$H$1000,"&gt;0"))/(COUNTIFS($S$5:$S$1000,$S130,$V$5:$V$1000,"Macro")*SUMIFS($H$5:$H$1000,$S$5:$S$1000,$S130,$V$5:$V$1000,"Macro")/COUNTIFS($S$5:$S$1000,$S130,$V$5:$V$1000,"Macro",$H$5:$H$1000,"&gt;0"))))</f>
        <v/>
      </c>
      <c r="AH130" s="62">
        <f>IF(NOT(AND($D130&lt;&gt;"",$V130="Macro")),"",IFERROR(CHOOSE(MATCH($D130,ListaPuestos,0),MATCH("[Jefatura] "&amp;$C130,'Cronograma R. Operacional'!$C$5:$C$1000,0),MATCH("[Jefatura] "&amp;$C130,'Cronograma R. Normativo'!$C$5:$C$1000,0),MATCH("[Jefatura] "&amp;$C130,'Cronograma R. Financiero'!$C$5:$C$1000,0),MATCH("[Jefatura] "&amp;$C130,'Cronograma Asistente Técnico'!$C$5:$C$1000,0)),0))</f>
        <v/>
      </c>
      <c r="AI130" s="62">
        <f>IF(AND(AND($D130&lt;&gt;"",$V130="Macro"),$S130=MesCiclo),COUNTIFS($D$5:$D130,$D130,$S$5:$S130,MesCiclo,$V$5:$V130,"Macro"),"")</f>
        <v/>
      </c>
      <c r="AJ130" s="62">
        <f>IF($AI130="","",$D130&amp;"|"&amp;$AI130)</f>
        <v/>
      </c>
      <c r="AK130" s="62">
        <f>IF(AND($D130&lt;&gt;"",$V130="Macro"),$D130&amp;"|"&amp;$C130,"")</f>
        <v/>
      </c>
      <c r="AL130" s="62">
        <f>""</f>
        <v/>
      </c>
      <c r="AM130" s="62">
        <f>IF(N($AL130)&gt;0,INDEX(rIni_ADM,$AL130),IF(ISNUMBER($E130),$E130,""))</f>
        <v/>
      </c>
      <c r="AN130" s="62">
        <f>IF(N($AL130)&gt;0,INDEX(rLim_ADM,$AL130),IF(ISNUMBER($F130),$F130,""))</f>
        <v/>
      </c>
    </row>
    <row r="131">
      <c r="A131" s="56">
        <f>IF(NOT((COUNTA($B131:$D131)+COUNTA($G131:$L131)+COUNTA($Q131))&gt;0),"",IF($V131="Macro",COUNTIFS($V$5:$V131,"Macro",$S$5:$S131,$S131),IF(N($U131)=0,"?",COUNTIFS(INDEX($V$5:$V$1000,1):INDEX($V$5:$V$1000,$U131-4),"Macro",INDEX($S$5:$S$1000,1):INDEX($S$5:$S$1000,$U131-4),INDEX($S$5:$S$1000,$U131-4))&amp;"."&amp;COUNTIFS($U$5:$U131,$U131,$V$5:$V131,"Sub"))))</f>
        <v/>
      </c>
      <c r="B131" s="57" t="n"/>
      <c r="C131" s="58" t="n"/>
      <c r="D131" s="58" t="n"/>
      <c r="E131" s="59" t="n"/>
      <c r="F131" s="59" t="n"/>
      <c r="G131" s="59" t="n"/>
      <c r="H131" s="60" t="n"/>
      <c r="I131" s="60" t="n"/>
      <c r="J131" s="60" t="n"/>
      <c r="K131" s="60" t="n"/>
      <c r="L131" s="60" t="n"/>
      <c r="M131" s="61">
        <f>IF(NOT((COUNTA($B131:$D131)+COUNTA($G131:$L131)+COUNTA($Q131))&gt;0),"",IF(AND($D131&lt;&gt;"",$V131="Macro"),IF(N($AH131)&gt;0,N(CHOOSE(MATCH($D131,ListaPuestos,0),INDEX('Cronograma R. Operacional'!$M$5:$M$1000,$AH131),INDEX('Cronograma R. Normativo'!$M$5:$M$1000,$AH131),INDEX('Cronograma R. Financiero'!$M$5:$M$1000,$AH131),INDEX('Cronograma Asistente Técnico'!$M$5:$M$1000,$AH131))),0),IF(ISNUMBER($G131),1,IF(N($W131)&gt;0,AVERAGEIFS($X$5:$X$1000,$U$5:$U$1000,ROW(),$V$5:$V$1000,"Sub"),$X131))))</f>
        <v/>
      </c>
      <c r="N131" s="56">
        <f>IF($M131="","",IF($M131&gt;=1,"Completado",IF($M131&gt;0,"En curso","Pendiente")))</f>
        <v/>
      </c>
      <c r="O131" s="56">
        <f>IF(NOT((COUNTA($B131:$D131)+COUNTA($G131:$L131)+COUNTA($Q131))&gt;0),"",IF(AND(AND($D131&lt;&gt;"",$V131="Macro"),N($AH131)&gt;0),CHOOSE(MATCH($D131,ListaPuestos,0),INDEX('Cronograma R. Operacional'!$O$5:$O$1000,$AH131),INDEX('Cronograma R. Normativo'!$O$5:$O$1000,$AH131),INDEX('Cronograma R. Financiero'!$O$5:$O$1000,$AH131),INDEX('Cronograma Asistente Técnico'!$O$5:$O$1000,$AH131))&amp;"",IF(ISNUMBER($G131),IF(AND(ISNUMBER($AN131),$G131&gt;$AN131),"Cumplida con "&amp;($G131-$AN131)&amp;IF($G131-$AN131=1," día"," días")&amp;" de retraso","Cumplida"),IF(N($M131)&gt;=1,"Cumplida",IF(NOT(ISNUMBER($AN131)),"Sin fecha límite",IF($AN131&lt;FechaRef,"Vencida hace "&amp;(FechaRef-$AN131)&amp;IF(FechaRef-$AN131=1," día"," días"),IF($AN131=FechaRef,"Vence hoy",IF($AN131-FechaRef&lt;=DiasAlerta,"Vence en "&amp;($AN131-FechaRef)&amp;IF($AN131-FechaRef=1," día"," días"),"En plazo"))))))))</f>
        <v/>
      </c>
      <c r="P131" s="62">
        <f>IF(NOT((COUNTA($B131:$D131)+COUNTA($G131:$L131)+COUNTA($Q131))&gt;0),"",IF($D131="","Propia",IF($V131&lt;&gt;"Macro","Solo se delegan macroactividades",IF(N($AH131)&gt;0,"✔ Recibida por "&amp;$D131,"⚠ "&amp;$D131&amp;" aún no la agrega"))))</f>
        <v/>
      </c>
      <c r="Q131" s="58" t="n"/>
      <c r="R131" s="63">
        <f>IF(NOT((COUNTA($B131:$D131)+COUNTA($G131:$L131)+COUNTA($Q131))&gt;0),"",IF((IF($C131="","Falta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",""))="","✔ OK","⚠ "&amp;LEFT(IF($C131="","Falta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",""),LEN(IF($C131="","Falta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",""))-3)))</f>
        <v/>
      </c>
      <c r="S131" s="64">
        <f>IF(NOT((COUNTA($B131:$D131)+COUNTA($G131:$L131)+COUNTA($Q131))&gt;0),"",IF(AND($V131="Sub",N($U131)&gt;0),IF(ISNUMBER(INDEX($AM$5:$AM$1000,$U131-4)),DATE(YEAR(INDEX($AM$5:$AM$1000,$U131-4)),MONTH(INDEX($AM$5:$AM$1000,$U131-4)),1),IF(ISNUMBER(INDEX($AN$5:$AN$1000,$U131-4)),DATE(YEAR(INDEX($AN$5:$AN$1000,$U131-4)),MONTH(INDEX($AN$5:$AN$1000,$U131-4)),1),MesCiclo)),IF(ISNUMBER($AM131),DATE(YEAR($AM131),MONTH($AM131),1),IF(ISNUMBER($AN131),DATE(YEAR($AN131),MONTH($AN131),1),MesCiclo))))</f>
        <v/>
      </c>
      <c r="T131" s="62">
        <f>IF(OR($S131="",$S131&lt;&gt;MesCiclo),"",COUNTIF($S$5:$S131,MesCiclo))</f>
        <v/>
      </c>
      <c r="U131" s="62">
        <f>IF($V131="","",IF($V131="Macro",ROW(),IFERROR(LOOKUP(2,1/($V$5:$V131="Macro"),ROW($V$5:$V131)),0)))</f>
        <v/>
      </c>
      <c r="V131" s="62">
        <f>IF(NOT((COUNTA($B131:$D131)+COUNTA($G131:$L131)+COUNTA($Q131))&gt;0),"",IF($B131="Subactividad","Sub","Macro"))</f>
        <v/>
      </c>
      <c r="W131" s="62">
        <f>IF($V131="Macro",COUNTIFS($U$5:$U$1000,ROW(),$V$5:$V$1000,"Sub"),"")</f>
        <v/>
      </c>
      <c r="X131" s="62">
        <f>IF($V131="","",IF(ISNUMBER($G131),1,IFERROR(LOOKUP(2,1/($I131:$L131&lt;&gt;""),$I131:$L131),0)))</f>
        <v/>
      </c>
      <c r="Y131" s="62">
        <f>IF($V131="","",IF(AND(ISNUMBER($G131),$G131&lt;=IF($S131=MesCiclo,InicioCiclo,$S131+MOD(2-WEEKDAY($S131),7))+6),1,IF(ISNUMBER($I131),$I131,0)))</f>
        <v/>
      </c>
      <c r="Z131" s="62">
        <f>IF($V131="","",IF(AND(ISNUMBER($G131),$G131&lt;=IF($S131=MesCiclo,InicioCiclo,$S131+MOD(2-WEEKDAY($S131),7))+13),1,IF(ISNUMBER($J131),$J131,$Y131)))</f>
        <v/>
      </c>
      <c r="AA131" s="62">
        <f>IF($V131="","",IF(AND(ISNUMBER($G131),$G131&lt;=IF($S131=MesCiclo,InicioCiclo,$S131+MOD(2-WEEKDAY($S131),7))+20),1,IF(ISNUMBER($K131),$K131,$Z131)))</f>
        <v/>
      </c>
      <c r="AB131" s="62">
        <f>IF($V131="","",IF(AND(ISNUMBER($G131),$G131&lt;=IF($S131=MesCiclo,InicioCiclo,$S131+MOD(2-WEEKDAY($S131),7))+27),1,IF(ISNUMBER($L131),$L131,$AA131)))</f>
        <v/>
      </c>
      <c r="AC131" s="62">
        <f>IF($V131="","",IF(AND(ISNUMBER($G131),$G131&lt;=IF($S131=MesCiclo,InicioCiclo,$S131+MOD(2-WEEKDAY($S131),7))+6),1,IF(N($W131)&gt;0,AVERAGEIFS($Y$5:$Y$1000,$U$5:$U$1000,ROW(),$V$5:$V$1000,"Sub"),$Y131)))</f>
        <v/>
      </c>
      <c r="AD131" s="62">
        <f>IF($V131="","",IF(AND(ISNUMBER($G131),$G131&lt;=IF($S131=MesCiclo,InicioCiclo,$S131+MOD(2-WEEKDAY($S131),7))+13),1,IF(N($W131)&gt;0,AVERAGEIFS($Z$5:$Z$1000,$U$5:$U$1000,ROW(),$V$5:$V$1000,"Sub"),$Z131)))</f>
        <v/>
      </c>
      <c r="AE131" s="62">
        <f>IF($V131="","",IF(AND(ISNUMBER($G131),$G131&lt;=IF($S131=MesCiclo,InicioCiclo,$S131+MOD(2-WEEKDAY($S131),7))+20),1,IF(N($W131)&gt;0,AVERAGEIFS($AA$5:$AA$1000,$U$5:$U$1000,ROW(),$V$5:$V$1000,"Sub"),$AA131)))</f>
        <v/>
      </c>
      <c r="AF131" s="62">
        <f>IF($V131="","",IF(AND(ISNUMBER($G131),$G131&lt;=IF($S131=MesCiclo,InicioCiclo,$S131+MOD(2-WEEKDAY($S131),7))+27),1,IF(N($W131)&gt;0,AVERAGEIFS($AB$5:$AB$1000,$U$5:$U$1000,ROW(),$V$5:$V$1000,"Sub"),$AB131)))</f>
        <v/>
      </c>
      <c r="AG131" s="62">
        <f>IF($V131&lt;&gt;"Macro","",IF(COUNTIFS($S$5:$S$1000,$S131,$V$5:$V$1000,"Macro",$H$5:$H$1000,"&gt;0")=0,1/COUNTIFS($S$5:$S$1000,$S131,$V$5:$V$1000,"Macro"),IF(AND(ISNUMBER($H131),N($H131)&gt;0),$H131,SUMIFS($H$5:$H$1000,$S$5:$S$1000,$S131,$V$5:$V$1000,"Macro")/COUNTIFS($S$5:$S$1000,$S131,$V$5:$V$1000,"Macro",$H$5:$H$1000,"&gt;0"))/(COUNTIFS($S$5:$S$1000,$S131,$V$5:$V$1000,"Macro")*SUMIFS($H$5:$H$1000,$S$5:$S$1000,$S131,$V$5:$V$1000,"Macro")/COUNTIFS($S$5:$S$1000,$S131,$V$5:$V$1000,"Macro",$H$5:$H$1000,"&gt;0"))))</f>
        <v/>
      </c>
      <c r="AH131" s="62">
        <f>IF(NOT(AND($D131&lt;&gt;"",$V131="Macro")),"",IFERROR(CHOOSE(MATCH($D131,ListaPuestos,0),MATCH("[Jefatura] "&amp;$C131,'Cronograma R. Operacional'!$C$5:$C$1000,0),MATCH("[Jefatura] "&amp;$C131,'Cronograma R. Normativo'!$C$5:$C$1000,0),MATCH("[Jefatura] "&amp;$C131,'Cronograma R. Financiero'!$C$5:$C$1000,0),MATCH("[Jefatura] "&amp;$C131,'Cronograma Asistente Técnico'!$C$5:$C$1000,0)),0))</f>
        <v/>
      </c>
      <c r="AI131" s="62">
        <f>IF(AND(AND($D131&lt;&gt;"",$V131="Macro"),$S131=MesCiclo),COUNTIFS($D$5:$D131,$D131,$S$5:$S131,MesCiclo,$V$5:$V131,"Macro"),"")</f>
        <v/>
      </c>
      <c r="AJ131" s="62">
        <f>IF($AI131="","",$D131&amp;"|"&amp;$AI131)</f>
        <v/>
      </c>
      <c r="AK131" s="62">
        <f>IF(AND($D131&lt;&gt;"",$V131="Macro"),$D131&amp;"|"&amp;$C131,"")</f>
        <v/>
      </c>
      <c r="AL131" s="62">
        <f>""</f>
        <v/>
      </c>
      <c r="AM131" s="62">
        <f>IF(N($AL131)&gt;0,INDEX(rIni_ADM,$AL131),IF(ISNUMBER($E131),$E131,""))</f>
        <v/>
      </c>
      <c r="AN131" s="62">
        <f>IF(N($AL131)&gt;0,INDEX(rLim_ADM,$AL131),IF(ISNUMBER($F131),$F131,""))</f>
        <v/>
      </c>
    </row>
    <row r="132">
      <c r="A132" s="56">
        <f>IF(NOT((COUNTA($B132:$D132)+COUNTA($G132:$L132)+COUNTA($Q132))&gt;0),"",IF($V132="Macro",COUNTIFS($V$5:$V132,"Macro",$S$5:$S132,$S132),IF(N($U132)=0,"?",COUNTIFS(INDEX($V$5:$V$1000,1):INDEX($V$5:$V$1000,$U132-4),"Macro",INDEX($S$5:$S$1000,1):INDEX($S$5:$S$1000,$U132-4),INDEX($S$5:$S$1000,$U132-4))&amp;"."&amp;COUNTIFS($U$5:$U132,$U132,$V$5:$V132,"Sub"))))</f>
        <v/>
      </c>
      <c r="B132" s="57" t="n"/>
      <c r="C132" s="58" t="n"/>
      <c r="D132" s="58" t="n"/>
      <c r="E132" s="59" t="n"/>
      <c r="F132" s="59" t="n"/>
      <c r="G132" s="59" t="n"/>
      <c r="H132" s="60" t="n"/>
      <c r="I132" s="60" t="n"/>
      <c r="J132" s="60" t="n"/>
      <c r="K132" s="60" t="n"/>
      <c r="L132" s="60" t="n"/>
      <c r="M132" s="61">
        <f>IF(NOT((COUNTA($B132:$D132)+COUNTA($G132:$L132)+COUNTA($Q132))&gt;0),"",IF(AND($D132&lt;&gt;"",$V132="Macro"),IF(N($AH132)&gt;0,N(CHOOSE(MATCH($D132,ListaPuestos,0),INDEX('Cronograma R. Operacional'!$M$5:$M$1000,$AH132),INDEX('Cronograma R. Normativo'!$M$5:$M$1000,$AH132),INDEX('Cronograma R. Financiero'!$M$5:$M$1000,$AH132),INDEX('Cronograma Asistente Técnico'!$M$5:$M$1000,$AH132))),0),IF(ISNUMBER($G132),1,IF(N($W132)&gt;0,AVERAGEIFS($X$5:$X$1000,$U$5:$U$1000,ROW(),$V$5:$V$1000,"Sub"),$X132))))</f>
        <v/>
      </c>
      <c r="N132" s="56">
        <f>IF($M132="","",IF($M132&gt;=1,"Completado",IF($M132&gt;0,"En curso","Pendiente")))</f>
        <v/>
      </c>
      <c r="O132" s="56">
        <f>IF(NOT((COUNTA($B132:$D132)+COUNTA($G132:$L132)+COUNTA($Q132))&gt;0),"",IF(AND(AND($D132&lt;&gt;"",$V132="Macro"),N($AH132)&gt;0),CHOOSE(MATCH($D132,ListaPuestos,0),INDEX('Cronograma R. Operacional'!$O$5:$O$1000,$AH132),INDEX('Cronograma R. Normativo'!$O$5:$O$1000,$AH132),INDEX('Cronograma R. Financiero'!$O$5:$O$1000,$AH132),INDEX('Cronograma Asistente Técnico'!$O$5:$O$1000,$AH132))&amp;"",IF(ISNUMBER($G132),IF(AND(ISNUMBER($AN132),$G132&gt;$AN132),"Cumplida con "&amp;($G132-$AN132)&amp;IF($G132-$AN132=1," día"," días")&amp;" de retraso","Cumplida"),IF(N($M132)&gt;=1,"Cumplida",IF(NOT(ISNUMBER($AN132)),"Sin fecha límite",IF($AN132&lt;FechaRef,"Vencida hace "&amp;(FechaRef-$AN132)&amp;IF(FechaRef-$AN132=1," día"," días"),IF($AN132=FechaRef,"Vence hoy",IF($AN132-FechaRef&lt;=DiasAlerta,"Vence en "&amp;($AN132-FechaRef)&amp;IF($AN132-FechaRef=1," día"," días"),"En plazo"))))))))</f>
        <v/>
      </c>
      <c r="P132" s="62">
        <f>IF(NOT((COUNTA($B132:$D132)+COUNTA($G132:$L132)+COUNTA($Q132))&gt;0),"",IF($D132="","Propia",IF($V132&lt;&gt;"Macro","Solo se delegan macroactividades",IF(N($AH132)&gt;0,"✔ Recibida por "&amp;$D132,"⚠ "&amp;$D132&amp;" aún no la agrega"))))</f>
        <v/>
      </c>
      <c r="Q132" s="58" t="n"/>
      <c r="R132" s="63">
        <f>IF(NOT((COUNTA($B132:$D132)+COUNTA($G132:$L132)+COUNTA($Q132))&gt;0),"",IF((IF($C132="","Falta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",""))="","✔ OK","⚠ "&amp;LEFT(IF($C132="","Falta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",""),LEN(IF($C132="","Falta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",""))-3)))</f>
        <v/>
      </c>
      <c r="S132" s="64">
        <f>IF(NOT((COUNTA($B132:$D132)+COUNTA($G132:$L132)+COUNTA($Q132))&gt;0),"",IF(AND($V132="Sub",N($U132)&gt;0),IF(ISNUMBER(INDEX($AM$5:$AM$1000,$U132-4)),DATE(YEAR(INDEX($AM$5:$AM$1000,$U132-4)),MONTH(INDEX($AM$5:$AM$1000,$U132-4)),1),IF(ISNUMBER(INDEX($AN$5:$AN$1000,$U132-4)),DATE(YEAR(INDEX($AN$5:$AN$1000,$U132-4)),MONTH(INDEX($AN$5:$AN$1000,$U132-4)),1),MesCiclo)),IF(ISNUMBER($AM132),DATE(YEAR($AM132),MONTH($AM132),1),IF(ISNUMBER($AN132),DATE(YEAR($AN132),MONTH($AN132),1),MesCiclo))))</f>
        <v/>
      </c>
      <c r="T132" s="62">
        <f>IF(OR($S132="",$S132&lt;&gt;MesCiclo),"",COUNTIF($S$5:$S132,MesCiclo))</f>
        <v/>
      </c>
      <c r="U132" s="62">
        <f>IF($V132="","",IF($V132="Macro",ROW(),IFERROR(LOOKUP(2,1/($V$5:$V132="Macro"),ROW($V$5:$V132)),0)))</f>
        <v/>
      </c>
      <c r="V132" s="62">
        <f>IF(NOT((COUNTA($B132:$D132)+COUNTA($G132:$L132)+COUNTA($Q132))&gt;0),"",IF($B132="Subactividad","Sub","Macro"))</f>
        <v/>
      </c>
      <c r="W132" s="62">
        <f>IF($V132="Macro",COUNTIFS($U$5:$U$1000,ROW(),$V$5:$V$1000,"Sub"),"")</f>
        <v/>
      </c>
      <c r="X132" s="62">
        <f>IF($V132="","",IF(ISNUMBER($G132),1,IFERROR(LOOKUP(2,1/($I132:$L132&lt;&gt;""),$I132:$L132),0)))</f>
        <v/>
      </c>
      <c r="Y132" s="62">
        <f>IF($V132="","",IF(AND(ISNUMBER($G132),$G132&lt;=IF($S132=MesCiclo,InicioCiclo,$S132+MOD(2-WEEKDAY($S132),7))+6),1,IF(ISNUMBER($I132),$I132,0)))</f>
        <v/>
      </c>
      <c r="Z132" s="62">
        <f>IF($V132="","",IF(AND(ISNUMBER($G132),$G132&lt;=IF($S132=MesCiclo,InicioCiclo,$S132+MOD(2-WEEKDAY($S132),7))+13),1,IF(ISNUMBER($J132),$J132,$Y132)))</f>
        <v/>
      </c>
      <c r="AA132" s="62">
        <f>IF($V132="","",IF(AND(ISNUMBER($G132),$G132&lt;=IF($S132=MesCiclo,InicioCiclo,$S132+MOD(2-WEEKDAY($S132),7))+20),1,IF(ISNUMBER($K132),$K132,$Z132)))</f>
        <v/>
      </c>
      <c r="AB132" s="62">
        <f>IF($V132="","",IF(AND(ISNUMBER($G132),$G132&lt;=IF($S132=MesCiclo,InicioCiclo,$S132+MOD(2-WEEKDAY($S132),7))+27),1,IF(ISNUMBER($L132),$L132,$AA132)))</f>
        <v/>
      </c>
      <c r="AC132" s="62">
        <f>IF($V132="","",IF(AND(ISNUMBER($G132),$G132&lt;=IF($S132=MesCiclo,InicioCiclo,$S132+MOD(2-WEEKDAY($S132),7))+6),1,IF(N($W132)&gt;0,AVERAGEIFS($Y$5:$Y$1000,$U$5:$U$1000,ROW(),$V$5:$V$1000,"Sub"),$Y132)))</f>
        <v/>
      </c>
      <c r="AD132" s="62">
        <f>IF($V132="","",IF(AND(ISNUMBER($G132),$G132&lt;=IF($S132=MesCiclo,InicioCiclo,$S132+MOD(2-WEEKDAY($S132),7))+13),1,IF(N($W132)&gt;0,AVERAGEIFS($Z$5:$Z$1000,$U$5:$U$1000,ROW(),$V$5:$V$1000,"Sub"),$Z132)))</f>
        <v/>
      </c>
      <c r="AE132" s="62">
        <f>IF($V132="","",IF(AND(ISNUMBER($G132),$G132&lt;=IF($S132=MesCiclo,InicioCiclo,$S132+MOD(2-WEEKDAY($S132),7))+20),1,IF(N($W132)&gt;0,AVERAGEIFS($AA$5:$AA$1000,$U$5:$U$1000,ROW(),$V$5:$V$1000,"Sub"),$AA132)))</f>
        <v/>
      </c>
      <c r="AF132" s="62">
        <f>IF($V132="","",IF(AND(ISNUMBER($G132),$G132&lt;=IF($S132=MesCiclo,InicioCiclo,$S132+MOD(2-WEEKDAY($S132),7))+27),1,IF(N($W132)&gt;0,AVERAGEIFS($AB$5:$AB$1000,$U$5:$U$1000,ROW(),$V$5:$V$1000,"Sub"),$AB132)))</f>
        <v/>
      </c>
      <c r="AG132" s="62">
        <f>IF($V132&lt;&gt;"Macro","",IF(COUNTIFS($S$5:$S$1000,$S132,$V$5:$V$1000,"Macro",$H$5:$H$1000,"&gt;0")=0,1/COUNTIFS($S$5:$S$1000,$S132,$V$5:$V$1000,"Macro"),IF(AND(ISNUMBER($H132),N($H132)&gt;0),$H132,SUMIFS($H$5:$H$1000,$S$5:$S$1000,$S132,$V$5:$V$1000,"Macro")/COUNTIFS($S$5:$S$1000,$S132,$V$5:$V$1000,"Macro",$H$5:$H$1000,"&gt;0"))/(COUNTIFS($S$5:$S$1000,$S132,$V$5:$V$1000,"Macro")*SUMIFS($H$5:$H$1000,$S$5:$S$1000,$S132,$V$5:$V$1000,"Macro")/COUNTIFS($S$5:$S$1000,$S132,$V$5:$V$1000,"Macro",$H$5:$H$1000,"&gt;0"))))</f>
        <v/>
      </c>
      <c r="AH132" s="62">
        <f>IF(NOT(AND($D132&lt;&gt;"",$V132="Macro")),"",IFERROR(CHOOSE(MATCH($D132,ListaPuestos,0),MATCH("[Jefatura] "&amp;$C132,'Cronograma R. Operacional'!$C$5:$C$1000,0),MATCH("[Jefatura] "&amp;$C132,'Cronograma R. Normativo'!$C$5:$C$1000,0),MATCH("[Jefatura] "&amp;$C132,'Cronograma R. Financiero'!$C$5:$C$1000,0),MATCH("[Jefatura] "&amp;$C132,'Cronograma Asistente Técnico'!$C$5:$C$1000,0)),0))</f>
        <v/>
      </c>
      <c r="AI132" s="62">
        <f>IF(AND(AND($D132&lt;&gt;"",$V132="Macro"),$S132=MesCiclo),COUNTIFS($D$5:$D132,$D132,$S$5:$S132,MesCiclo,$V$5:$V132,"Macro"),"")</f>
        <v/>
      </c>
      <c r="AJ132" s="62">
        <f>IF($AI132="","",$D132&amp;"|"&amp;$AI132)</f>
        <v/>
      </c>
      <c r="AK132" s="62">
        <f>IF(AND($D132&lt;&gt;"",$V132="Macro"),$D132&amp;"|"&amp;$C132,"")</f>
        <v/>
      </c>
      <c r="AL132" s="62">
        <f>""</f>
        <v/>
      </c>
      <c r="AM132" s="62">
        <f>IF(N($AL132)&gt;0,INDEX(rIni_ADM,$AL132),IF(ISNUMBER($E132),$E132,""))</f>
        <v/>
      </c>
      <c r="AN132" s="62">
        <f>IF(N($AL132)&gt;0,INDEX(rLim_ADM,$AL132),IF(ISNUMBER($F132),$F132,""))</f>
        <v/>
      </c>
    </row>
    <row r="133">
      <c r="A133" s="56">
        <f>IF(NOT((COUNTA($B133:$D133)+COUNTA($G133:$L133)+COUNTA($Q133))&gt;0),"",IF($V133="Macro",COUNTIFS($V$5:$V133,"Macro",$S$5:$S133,$S133),IF(N($U133)=0,"?",COUNTIFS(INDEX($V$5:$V$1000,1):INDEX($V$5:$V$1000,$U133-4),"Macro",INDEX($S$5:$S$1000,1):INDEX($S$5:$S$1000,$U133-4),INDEX($S$5:$S$1000,$U133-4))&amp;"."&amp;COUNTIFS($U$5:$U133,$U133,$V$5:$V133,"Sub"))))</f>
        <v/>
      </c>
      <c r="B133" s="57" t="n"/>
      <c r="C133" s="58" t="n"/>
      <c r="D133" s="58" t="n"/>
      <c r="E133" s="59" t="n"/>
      <c r="F133" s="59" t="n"/>
      <c r="G133" s="59" t="n"/>
      <c r="H133" s="60" t="n"/>
      <c r="I133" s="60" t="n"/>
      <c r="J133" s="60" t="n"/>
      <c r="K133" s="60" t="n"/>
      <c r="L133" s="60" t="n"/>
      <c r="M133" s="61">
        <f>IF(NOT((COUNTA($B133:$D133)+COUNTA($G133:$L133)+COUNTA($Q133))&gt;0),"",IF(AND($D133&lt;&gt;"",$V133="Macro"),IF(N($AH133)&gt;0,N(CHOOSE(MATCH($D133,ListaPuestos,0),INDEX('Cronograma R. Operacional'!$M$5:$M$1000,$AH133),INDEX('Cronograma R. Normativo'!$M$5:$M$1000,$AH133),INDEX('Cronograma R. Financiero'!$M$5:$M$1000,$AH133),INDEX('Cronograma Asistente Técnico'!$M$5:$M$1000,$AH133))),0),IF(ISNUMBER($G133),1,IF(N($W133)&gt;0,AVERAGEIFS($X$5:$X$1000,$U$5:$U$1000,ROW(),$V$5:$V$1000,"Sub"),$X133))))</f>
        <v/>
      </c>
      <c r="N133" s="56">
        <f>IF($M133="","",IF($M133&gt;=1,"Completado",IF($M133&gt;0,"En curso","Pendiente")))</f>
        <v/>
      </c>
      <c r="O133" s="56">
        <f>IF(NOT((COUNTA($B133:$D133)+COUNTA($G133:$L133)+COUNTA($Q133))&gt;0),"",IF(AND(AND($D133&lt;&gt;"",$V133="Macro"),N($AH133)&gt;0),CHOOSE(MATCH($D133,ListaPuestos,0),INDEX('Cronograma R. Operacional'!$O$5:$O$1000,$AH133),INDEX('Cronograma R. Normativo'!$O$5:$O$1000,$AH133),INDEX('Cronograma R. Financiero'!$O$5:$O$1000,$AH133),INDEX('Cronograma Asistente Técnico'!$O$5:$O$1000,$AH133))&amp;"",IF(ISNUMBER($G133),IF(AND(ISNUMBER($AN133),$G133&gt;$AN133),"Cumplida con "&amp;($G133-$AN133)&amp;IF($G133-$AN133=1," día"," días")&amp;" de retraso","Cumplida"),IF(N($M133)&gt;=1,"Cumplida",IF(NOT(ISNUMBER($AN133)),"Sin fecha límite",IF($AN133&lt;FechaRef,"Vencida hace "&amp;(FechaRef-$AN133)&amp;IF(FechaRef-$AN133=1," día"," días"),IF($AN133=FechaRef,"Vence hoy",IF($AN133-FechaRef&lt;=DiasAlerta,"Vence en "&amp;($AN133-FechaRef)&amp;IF($AN133-FechaRef=1," día"," días"),"En plazo"))))))))</f>
        <v/>
      </c>
      <c r="P133" s="62">
        <f>IF(NOT((COUNTA($B133:$D133)+COUNTA($G133:$L133)+COUNTA($Q133))&gt;0),"",IF($D133="","Propia",IF($V133&lt;&gt;"Macro","Solo se delegan macroactividades",IF(N($AH133)&gt;0,"✔ Recibida por "&amp;$D133,"⚠ "&amp;$D133&amp;" aún no la agrega"))))</f>
        <v/>
      </c>
      <c r="Q133" s="58" t="n"/>
      <c r="R133" s="63">
        <f>IF(NOT((COUNTA($B133:$D133)+COUNTA($G133:$L133)+COUNTA($Q133))&gt;0),"",IF((IF($C133="","Falta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",""))="","✔ OK","⚠ "&amp;LEFT(IF($C133="","Falta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",""),LEN(IF($C133="","Falta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",""))-3)))</f>
        <v/>
      </c>
      <c r="S133" s="64">
        <f>IF(NOT((COUNTA($B133:$D133)+COUNTA($G133:$L133)+COUNTA($Q133))&gt;0),"",IF(AND($V133="Sub",N($U133)&gt;0),IF(ISNUMBER(INDEX($AM$5:$AM$1000,$U133-4)),DATE(YEAR(INDEX($AM$5:$AM$1000,$U133-4)),MONTH(INDEX($AM$5:$AM$1000,$U133-4)),1),IF(ISNUMBER(INDEX($AN$5:$AN$1000,$U133-4)),DATE(YEAR(INDEX($AN$5:$AN$1000,$U133-4)),MONTH(INDEX($AN$5:$AN$1000,$U133-4)),1),MesCiclo)),IF(ISNUMBER($AM133),DATE(YEAR($AM133),MONTH($AM133),1),IF(ISNUMBER($AN133),DATE(YEAR($AN133),MONTH($AN133),1),MesCiclo))))</f>
        <v/>
      </c>
      <c r="T133" s="62">
        <f>IF(OR($S133="",$S133&lt;&gt;MesCiclo),"",COUNTIF($S$5:$S133,MesCiclo))</f>
        <v/>
      </c>
      <c r="U133" s="62">
        <f>IF($V133="","",IF($V133="Macro",ROW(),IFERROR(LOOKUP(2,1/($V$5:$V133="Macro"),ROW($V$5:$V133)),0)))</f>
        <v/>
      </c>
      <c r="V133" s="62">
        <f>IF(NOT((COUNTA($B133:$D133)+COUNTA($G133:$L133)+COUNTA($Q133))&gt;0),"",IF($B133="Subactividad","Sub","Macro"))</f>
        <v/>
      </c>
      <c r="W133" s="62">
        <f>IF($V133="Macro",COUNTIFS($U$5:$U$1000,ROW(),$V$5:$V$1000,"Sub"),"")</f>
        <v/>
      </c>
      <c r="X133" s="62">
        <f>IF($V133="","",IF(ISNUMBER($G133),1,IFERROR(LOOKUP(2,1/($I133:$L133&lt;&gt;""),$I133:$L133),0)))</f>
        <v/>
      </c>
      <c r="Y133" s="62">
        <f>IF($V133="","",IF(AND(ISNUMBER($G133),$G133&lt;=IF($S133=MesCiclo,InicioCiclo,$S133+MOD(2-WEEKDAY($S133),7))+6),1,IF(ISNUMBER($I133),$I133,0)))</f>
        <v/>
      </c>
      <c r="Z133" s="62">
        <f>IF($V133="","",IF(AND(ISNUMBER($G133),$G133&lt;=IF($S133=MesCiclo,InicioCiclo,$S133+MOD(2-WEEKDAY($S133),7))+13),1,IF(ISNUMBER($J133),$J133,$Y133)))</f>
        <v/>
      </c>
      <c r="AA133" s="62">
        <f>IF($V133="","",IF(AND(ISNUMBER($G133),$G133&lt;=IF($S133=MesCiclo,InicioCiclo,$S133+MOD(2-WEEKDAY($S133),7))+20),1,IF(ISNUMBER($K133),$K133,$Z133)))</f>
        <v/>
      </c>
      <c r="AB133" s="62">
        <f>IF($V133="","",IF(AND(ISNUMBER($G133),$G133&lt;=IF($S133=MesCiclo,InicioCiclo,$S133+MOD(2-WEEKDAY($S133),7))+27),1,IF(ISNUMBER($L133),$L133,$AA133)))</f>
        <v/>
      </c>
      <c r="AC133" s="62">
        <f>IF($V133="","",IF(AND(ISNUMBER($G133),$G133&lt;=IF($S133=MesCiclo,InicioCiclo,$S133+MOD(2-WEEKDAY($S133),7))+6),1,IF(N($W133)&gt;0,AVERAGEIFS($Y$5:$Y$1000,$U$5:$U$1000,ROW(),$V$5:$V$1000,"Sub"),$Y133)))</f>
        <v/>
      </c>
      <c r="AD133" s="62">
        <f>IF($V133="","",IF(AND(ISNUMBER($G133),$G133&lt;=IF($S133=MesCiclo,InicioCiclo,$S133+MOD(2-WEEKDAY($S133),7))+13),1,IF(N($W133)&gt;0,AVERAGEIFS($Z$5:$Z$1000,$U$5:$U$1000,ROW(),$V$5:$V$1000,"Sub"),$Z133)))</f>
        <v/>
      </c>
      <c r="AE133" s="62">
        <f>IF($V133="","",IF(AND(ISNUMBER($G133),$G133&lt;=IF($S133=MesCiclo,InicioCiclo,$S133+MOD(2-WEEKDAY($S133),7))+20),1,IF(N($W133)&gt;0,AVERAGEIFS($AA$5:$AA$1000,$U$5:$U$1000,ROW(),$V$5:$V$1000,"Sub"),$AA133)))</f>
        <v/>
      </c>
      <c r="AF133" s="62">
        <f>IF($V133="","",IF(AND(ISNUMBER($G133),$G133&lt;=IF($S133=MesCiclo,InicioCiclo,$S133+MOD(2-WEEKDAY($S133),7))+27),1,IF(N($W133)&gt;0,AVERAGEIFS($AB$5:$AB$1000,$U$5:$U$1000,ROW(),$V$5:$V$1000,"Sub"),$AB133)))</f>
        <v/>
      </c>
      <c r="AG133" s="62">
        <f>IF($V133&lt;&gt;"Macro","",IF(COUNTIFS($S$5:$S$1000,$S133,$V$5:$V$1000,"Macro",$H$5:$H$1000,"&gt;0")=0,1/COUNTIFS($S$5:$S$1000,$S133,$V$5:$V$1000,"Macro"),IF(AND(ISNUMBER($H133),N($H133)&gt;0),$H133,SUMIFS($H$5:$H$1000,$S$5:$S$1000,$S133,$V$5:$V$1000,"Macro")/COUNTIFS($S$5:$S$1000,$S133,$V$5:$V$1000,"Macro",$H$5:$H$1000,"&gt;0"))/(COUNTIFS($S$5:$S$1000,$S133,$V$5:$V$1000,"Macro")*SUMIFS($H$5:$H$1000,$S$5:$S$1000,$S133,$V$5:$V$1000,"Macro")/COUNTIFS($S$5:$S$1000,$S133,$V$5:$V$1000,"Macro",$H$5:$H$1000,"&gt;0"))))</f>
        <v/>
      </c>
      <c r="AH133" s="62">
        <f>IF(NOT(AND($D133&lt;&gt;"",$V133="Macro")),"",IFERROR(CHOOSE(MATCH($D133,ListaPuestos,0),MATCH("[Jefatura] "&amp;$C133,'Cronograma R. Operacional'!$C$5:$C$1000,0),MATCH("[Jefatura] "&amp;$C133,'Cronograma R. Normativo'!$C$5:$C$1000,0),MATCH("[Jefatura] "&amp;$C133,'Cronograma R. Financiero'!$C$5:$C$1000,0),MATCH("[Jefatura] "&amp;$C133,'Cronograma Asistente Técnico'!$C$5:$C$1000,0)),0))</f>
        <v/>
      </c>
      <c r="AI133" s="62">
        <f>IF(AND(AND($D133&lt;&gt;"",$V133="Macro"),$S133=MesCiclo),COUNTIFS($D$5:$D133,$D133,$S$5:$S133,MesCiclo,$V$5:$V133,"Macro"),"")</f>
        <v/>
      </c>
      <c r="AJ133" s="62">
        <f>IF($AI133="","",$D133&amp;"|"&amp;$AI133)</f>
        <v/>
      </c>
      <c r="AK133" s="62">
        <f>IF(AND($D133&lt;&gt;"",$V133="Macro"),$D133&amp;"|"&amp;$C133,"")</f>
        <v/>
      </c>
      <c r="AL133" s="62">
        <f>""</f>
        <v/>
      </c>
      <c r="AM133" s="62">
        <f>IF(N($AL133)&gt;0,INDEX(rIni_ADM,$AL133),IF(ISNUMBER($E133),$E133,""))</f>
        <v/>
      </c>
      <c r="AN133" s="62">
        <f>IF(N($AL133)&gt;0,INDEX(rLim_ADM,$AL133),IF(ISNUMBER($F133),$F133,""))</f>
        <v/>
      </c>
    </row>
    <row r="134">
      <c r="A134" s="56">
        <f>IF(NOT((COUNTA($B134:$D134)+COUNTA($G134:$L134)+COUNTA($Q134))&gt;0),"",IF($V134="Macro",COUNTIFS($V$5:$V134,"Macro",$S$5:$S134,$S134),IF(N($U134)=0,"?",COUNTIFS(INDEX($V$5:$V$1000,1):INDEX($V$5:$V$1000,$U134-4),"Macro",INDEX($S$5:$S$1000,1):INDEX($S$5:$S$1000,$U134-4),INDEX($S$5:$S$1000,$U134-4))&amp;"."&amp;COUNTIFS($U$5:$U134,$U134,$V$5:$V134,"Sub"))))</f>
        <v/>
      </c>
      <c r="B134" s="57" t="n"/>
      <c r="C134" s="58" t="n"/>
      <c r="D134" s="58" t="n"/>
      <c r="E134" s="59" t="n"/>
      <c r="F134" s="59" t="n"/>
      <c r="G134" s="59" t="n"/>
      <c r="H134" s="60" t="n"/>
      <c r="I134" s="60" t="n"/>
      <c r="J134" s="60" t="n"/>
      <c r="K134" s="60" t="n"/>
      <c r="L134" s="60" t="n"/>
      <c r="M134" s="61">
        <f>IF(NOT((COUNTA($B134:$D134)+COUNTA($G134:$L134)+COUNTA($Q134))&gt;0),"",IF(AND($D134&lt;&gt;"",$V134="Macro"),IF(N($AH134)&gt;0,N(CHOOSE(MATCH($D134,ListaPuestos,0),INDEX('Cronograma R. Operacional'!$M$5:$M$1000,$AH134),INDEX('Cronograma R. Normativo'!$M$5:$M$1000,$AH134),INDEX('Cronograma R. Financiero'!$M$5:$M$1000,$AH134),INDEX('Cronograma Asistente Técnico'!$M$5:$M$1000,$AH134))),0),IF(ISNUMBER($G134),1,IF(N($W134)&gt;0,AVERAGEIFS($X$5:$X$1000,$U$5:$U$1000,ROW(),$V$5:$V$1000,"Sub"),$X134))))</f>
        <v/>
      </c>
      <c r="N134" s="56">
        <f>IF($M134="","",IF($M134&gt;=1,"Completado",IF($M134&gt;0,"En curso","Pendiente")))</f>
        <v/>
      </c>
      <c r="O134" s="56">
        <f>IF(NOT((COUNTA($B134:$D134)+COUNTA($G134:$L134)+COUNTA($Q134))&gt;0),"",IF(AND(AND($D134&lt;&gt;"",$V134="Macro"),N($AH134)&gt;0),CHOOSE(MATCH($D134,ListaPuestos,0),INDEX('Cronograma R. Operacional'!$O$5:$O$1000,$AH134),INDEX('Cronograma R. Normativo'!$O$5:$O$1000,$AH134),INDEX('Cronograma R. Financiero'!$O$5:$O$1000,$AH134),INDEX('Cronograma Asistente Técnico'!$O$5:$O$1000,$AH134))&amp;"",IF(ISNUMBER($G134),IF(AND(ISNUMBER($AN134),$G134&gt;$AN134),"Cumplida con "&amp;($G134-$AN134)&amp;IF($G134-$AN134=1," día"," días")&amp;" de retraso","Cumplida"),IF(N($M134)&gt;=1,"Cumplida",IF(NOT(ISNUMBER($AN134)),"Sin fecha límite",IF($AN134&lt;FechaRef,"Vencida hace "&amp;(FechaRef-$AN134)&amp;IF(FechaRef-$AN134=1," día"," días"),IF($AN134=FechaRef,"Vence hoy",IF($AN134-FechaRef&lt;=DiasAlerta,"Vence en "&amp;($AN134-FechaRef)&amp;IF($AN134-FechaRef=1," día"," días"),"En plazo"))))))))</f>
        <v/>
      </c>
      <c r="P134" s="62">
        <f>IF(NOT((COUNTA($B134:$D134)+COUNTA($G134:$L134)+COUNTA($Q134))&gt;0),"",IF($D134="","Propia",IF($V134&lt;&gt;"Macro","Solo se delegan macroactividades",IF(N($AH134)&gt;0,"✔ Recibida por "&amp;$D134,"⚠ "&amp;$D134&amp;" aún no la agrega"))))</f>
        <v/>
      </c>
      <c r="Q134" s="58" t="n"/>
      <c r="R134" s="63">
        <f>IF(NOT((COUNTA($B134:$D134)+COUNTA($G134:$L134)+COUNTA($Q134))&gt;0),"",IF((IF($C134="","Falta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",""))="","✔ OK","⚠ "&amp;LEFT(IF($C134="","Falta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",""),LEN(IF($C134="","Falta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",""))-3)))</f>
        <v/>
      </c>
      <c r="S134" s="64">
        <f>IF(NOT((COUNTA($B134:$D134)+COUNTA($G134:$L134)+COUNTA($Q134))&gt;0),"",IF(AND($V134="Sub",N($U134)&gt;0),IF(ISNUMBER(INDEX($AM$5:$AM$1000,$U134-4)),DATE(YEAR(INDEX($AM$5:$AM$1000,$U134-4)),MONTH(INDEX($AM$5:$AM$1000,$U134-4)),1),IF(ISNUMBER(INDEX($AN$5:$AN$1000,$U134-4)),DATE(YEAR(INDEX($AN$5:$AN$1000,$U134-4)),MONTH(INDEX($AN$5:$AN$1000,$U134-4)),1),MesCiclo)),IF(ISNUMBER($AM134),DATE(YEAR($AM134),MONTH($AM134),1),IF(ISNUMBER($AN134),DATE(YEAR($AN134),MONTH($AN134),1),MesCiclo))))</f>
        <v/>
      </c>
      <c r="T134" s="62">
        <f>IF(OR($S134="",$S134&lt;&gt;MesCiclo),"",COUNTIF($S$5:$S134,MesCiclo))</f>
        <v/>
      </c>
      <c r="U134" s="62">
        <f>IF($V134="","",IF($V134="Macro",ROW(),IFERROR(LOOKUP(2,1/($V$5:$V134="Macro"),ROW($V$5:$V134)),0)))</f>
        <v/>
      </c>
      <c r="V134" s="62">
        <f>IF(NOT((COUNTA($B134:$D134)+COUNTA($G134:$L134)+COUNTA($Q134))&gt;0),"",IF($B134="Subactividad","Sub","Macro"))</f>
        <v/>
      </c>
      <c r="W134" s="62">
        <f>IF($V134="Macro",COUNTIFS($U$5:$U$1000,ROW(),$V$5:$V$1000,"Sub"),"")</f>
        <v/>
      </c>
      <c r="X134" s="62">
        <f>IF($V134="","",IF(ISNUMBER($G134),1,IFERROR(LOOKUP(2,1/($I134:$L134&lt;&gt;""),$I134:$L134),0)))</f>
        <v/>
      </c>
      <c r="Y134" s="62">
        <f>IF($V134="","",IF(AND(ISNUMBER($G134),$G134&lt;=IF($S134=MesCiclo,InicioCiclo,$S134+MOD(2-WEEKDAY($S134),7))+6),1,IF(ISNUMBER($I134),$I134,0)))</f>
        <v/>
      </c>
      <c r="Z134" s="62">
        <f>IF($V134="","",IF(AND(ISNUMBER($G134),$G134&lt;=IF($S134=MesCiclo,InicioCiclo,$S134+MOD(2-WEEKDAY($S134),7))+13),1,IF(ISNUMBER($J134),$J134,$Y134)))</f>
        <v/>
      </c>
      <c r="AA134" s="62">
        <f>IF($V134="","",IF(AND(ISNUMBER($G134),$G134&lt;=IF($S134=MesCiclo,InicioCiclo,$S134+MOD(2-WEEKDAY($S134),7))+20),1,IF(ISNUMBER($K134),$K134,$Z134)))</f>
        <v/>
      </c>
      <c r="AB134" s="62">
        <f>IF($V134="","",IF(AND(ISNUMBER($G134),$G134&lt;=IF($S134=MesCiclo,InicioCiclo,$S134+MOD(2-WEEKDAY($S134),7))+27),1,IF(ISNUMBER($L134),$L134,$AA134)))</f>
        <v/>
      </c>
      <c r="AC134" s="62">
        <f>IF($V134="","",IF(AND(ISNUMBER($G134),$G134&lt;=IF($S134=MesCiclo,InicioCiclo,$S134+MOD(2-WEEKDAY($S134),7))+6),1,IF(N($W134)&gt;0,AVERAGEIFS($Y$5:$Y$1000,$U$5:$U$1000,ROW(),$V$5:$V$1000,"Sub"),$Y134)))</f>
        <v/>
      </c>
      <c r="AD134" s="62">
        <f>IF($V134="","",IF(AND(ISNUMBER($G134),$G134&lt;=IF($S134=MesCiclo,InicioCiclo,$S134+MOD(2-WEEKDAY($S134),7))+13),1,IF(N($W134)&gt;0,AVERAGEIFS($Z$5:$Z$1000,$U$5:$U$1000,ROW(),$V$5:$V$1000,"Sub"),$Z134)))</f>
        <v/>
      </c>
      <c r="AE134" s="62">
        <f>IF($V134="","",IF(AND(ISNUMBER($G134),$G134&lt;=IF($S134=MesCiclo,InicioCiclo,$S134+MOD(2-WEEKDAY($S134),7))+20),1,IF(N($W134)&gt;0,AVERAGEIFS($AA$5:$AA$1000,$U$5:$U$1000,ROW(),$V$5:$V$1000,"Sub"),$AA134)))</f>
        <v/>
      </c>
      <c r="AF134" s="62">
        <f>IF($V134="","",IF(AND(ISNUMBER($G134),$G134&lt;=IF($S134=MesCiclo,InicioCiclo,$S134+MOD(2-WEEKDAY($S134),7))+27),1,IF(N($W134)&gt;0,AVERAGEIFS($AB$5:$AB$1000,$U$5:$U$1000,ROW(),$V$5:$V$1000,"Sub"),$AB134)))</f>
        <v/>
      </c>
      <c r="AG134" s="62">
        <f>IF($V134&lt;&gt;"Macro","",IF(COUNTIFS($S$5:$S$1000,$S134,$V$5:$V$1000,"Macro",$H$5:$H$1000,"&gt;0")=0,1/COUNTIFS($S$5:$S$1000,$S134,$V$5:$V$1000,"Macro"),IF(AND(ISNUMBER($H134),N($H134)&gt;0),$H134,SUMIFS($H$5:$H$1000,$S$5:$S$1000,$S134,$V$5:$V$1000,"Macro")/COUNTIFS($S$5:$S$1000,$S134,$V$5:$V$1000,"Macro",$H$5:$H$1000,"&gt;0"))/(COUNTIFS($S$5:$S$1000,$S134,$V$5:$V$1000,"Macro")*SUMIFS($H$5:$H$1000,$S$5:$S$1000,$S134,$V$5:$V$1000,"Macro")/COUNTIFS($S$5:$S$1000,$S134,$V$5:$V$1000,"Macro",$H$5:$H$1000,"&gt;0"))))</f>
        <v/>
      </c>
      <c r="AH134" s="62">
        <f>IF(NOT(AND($D134&lt;&gt;"",$V134="Macro")),"",IFERROR(CHOOSE(MATCH($D134,ListaPuestos,0),MATCH("[Jefatura] "&amp;$C134,'Cronograma R. Operacional'!$C$5:$C$1000,0),MATCH("[Jefatura] "&amp;$C134,'Cronograma R. Normativo'!$C$5:$C$1000,0),MATCH("[Jefatura] "&amp;$C134,'Cronograma R. Financiero'!$C$5:$C$1000,0),MATCH("[Jefatura] "&amp;$C134,'Cronograma Asistente Técnico'!$C$5:$C$1000,0)),0))</f>
        <v/>
      </c>
      <c r="AI134" s="62">
        <f>IF(AND(AND($D134&lt;&gt;"",$V134="Macro"),$S134=MesCiclo),COUNTIFS($D$5:$D134,$D134,$S$5:$S134,MesCiclo,$V$5:$V134,"Macro"),"")</f>
        <v/>
      </c>
      <c r="AJ134" s="62">
        <f>IF($AI134="","",$D134&amp;"|"&amp;$AI134)</f>
        <v/>
      </c>
      <c r="AK134" s="62">
        <f>IF(AND($D134&lt;&gt;"",$V134="Macro"),$D134&amp;"|"&amp;$C134,"")</f>
        <v/>
      </c>
      <c r="AL134" s="62">
        <f>""</f>
        <v/>
      </c>
      <c r="AM134" s="62">
        <f>IF(N($AL134)&gt;0,INDEX(rIni_ADM,$AL134),IF(ISNUMBER($E134),$E134,""))</f>
        <v/>
      </c>
      <c r="AN134" s="62">
        <f>IF(N($AL134)&gt;0,INDEX(rLim_ADM,$AL134),IF(ISNUMBER($F134),$F134,""))</f>
        <v/>
      </c>
    </row>
    <row r="135">
      <c r="A135" s="56">
        <f>IF(NOT((COUNTA($B135:$D135)+COUNTA($G135:$L135)+COUNTA($Q135))&gt;0),"",IF($V135="Macro",COUNTIFS($V$5:$V135,"Macro",$S$5:$S135,$S135),IF(N($U135)=0,"?",COUNTIFS(INDEX($V$5:$V$1000,1):INDEX($V$5:$V$1000,$U135-4),"Macro",INDEX($S$5:$S$1000,1):INDEX($S$5:$S$1000,$U135-4),INDEX($S$5:$S$1000,$U135-4))&amp;"."&amp;COUNTIFS($U$5:$U135,$U135,$V$5:$V135,"Sub"))))</f>
        <v/>
      </c>
      <c r="B135" s="57" t="n"/>
      <c r="C135" s="58" t="n"/>
      <c r="D135" s="58" t="n"/>
      <c r="E135" s="59" t="n"/>
      <c r="F135" s="59" t="n"/>
      <c r="G135" s="59" t="n"/>
      <c r="H135" s="60" t="n"/>
      <c r="I135" s="60" t="n"/>
      <c r="J135" s="60" t="n"/>
      <c r="K135" s="60" t="n"/>
      <c r="L135" s="60" t="n"/>
      <c r="M135" s="61">
        <f>IF(NOT((COUNTA($B135:$D135)+COUNTA($G135:$L135)+COUNTA($Q135))&gt;0),"",IF(AND($D135&lt;&gt;"",$V135="Macro"),IF(N($AH135)&gt;0,N(CHOOSE(MATCH($D135,ListaPuestos,0),INDEX('Cronograma R. Operacional'!$M$5:$M$1000,$AH135),INDEX('Cronograma R. Normativo'!$M$5:$M$1000,$AH135),INDEX('Cronograma R. Financiero'!$M$5:$M$1000,$AH135),INDEX('Cronograma Asistente Técnico'!$M$5:$M$1000,$AH135))),0),IF(ISNUMBER($G135),1,IF(N($W135)&gt;0,AVERAGEIFS($X$5:$X$1000,$U$5:$U$1000,ROW(),$V$5:$V$1000,"Sub"),$X135))))</f>
        <v/>
      </c>
      <c r="N135" s="56">
        <f>IF($M135="","",IF($M135&gt;=1,"Completado",IF($M135&gt;0,"En curso","Pendiente")))</f>
        <v/>
      </c>
      <c r="O135" s="56">
        <f>IF(NOT((COUNTA($B135:$D135)+COUNTA($G135:$L135)+COUNTA($Q135))&gt;0),"",IF(AND(AND($D135&lt;&gt;"",$V135="Macro"),N($AH135)&gt;0),CHOOSE(MATCH($D135,ListaPuestos,0),INDEX('Cronograma R. Operacional'!$O$5:$O$1000,$AH135),INDEX('Cronograma R. Normativo'!$O$5:$O$1000,$AH135),INDEX('Cronograma R. Financiero'!$O$5:$O$1000,$AH135),INDEX('Cronograma Asistente Técnico'!$O$5:$O$1000,$AH135))&amp;"",IF(ISNUMBER($G135),IF(AND(ISNUMBER($AN135),$G135&gt;$AN135),"Cumplida con "&amp;($G135-$AN135)&amp;IF($G135-$AN135=1," día"," días")&amp;" de retraso","Cumplida"),IF(N($M135)&gt;=1,"Cumplida",IF(NOT(ISNUMBER($AN135)),"Sin fecha límite",IF($AN135&lt;FechaRef,"Vencida hace "&amp;(FechaRef-$AN135)&amp;IF(FechaRef-$AN135=1," día"," días"),IF($AN135=FechaRef,"Vence hoy",IF($AN135-FechaRef&lt;=DiasAlerta,"Vence en "&amp;($AN135-FechaRef)&amp;IF($AN135-FechaRef=1," día"," días"),"En plazo"))))))))</f>
        <v/>
      </c>
      <c r="P135" s="62">
        <f>IF(NOT((COUNTA($B135:$D135)+COUNTA($G135:$L135)+COUNTA($Q135))&gt;0),"",IF($D135="","Propia",IF($V135&lt;&gt;"Macro","Solo se delegan macroactividades",IF(N($AH135)&gt;0,"✔ Recibida por "&amp;$D135,"⚠ "&amp;$D135&amp;" aún no la agrega"))))</f>
        <v/>
      </c>
      <c r="Q135" s="58" t="n"/>
      <c r="R135" s="63">
        <f>IF(NOT((COUNTA($B135:$D135)+COUNTA($G135:$L135)+COUNTA($Q135))&gt;0),"",IF((IF($C135="","Falta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",""))="","✔ OK","⚠ "&amp;LEFT(IF($C135="","Falta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",""),LEN(IF($C135="","Falta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",""))-3)))</f>
        <v/>
      </c>
      <c r="S135" s="64">
        <f>IF(NOT((COUNTA($B135:$D135)+COUNTA($G135:$L135)+COUNTA($Q135))&gt;0),"",IF(AND($V135="Sub",N($U135)&gt;0),IF(ISNUMBER(INDEX($AM$5:$AM$1000,$U135-4)),DATE(YEAR(INDEX($AM$5:$AM$1000,$U135-4)),MONTH(INDEX($AM$5:$AM$1000,$U135-4)),1),IF(ISNUMBER(INDEX($AN$5:$AN$1000,$U135-4)),DATE(YEAR(INDEX($AN$5:$AN$1000,$U135-4)),MONTH(INDEX($AN$5:$AN$1000,$U135-4)),1),MesCiclo)),IF(ISNUMBER($AM135),DATE(YEAR($AM135),MONTH($AM135),1),IF(ISNUMBER($AN135),DATE(YEAR($AN135),MONTH($AN135),1),MesCiclo))))</f>
        <v/>
      </c>
      <c r="T135" s="62">
        <f>IF(OR($S135="",$S135&lt;&gt;MesCiclo),"",COUNTIF($S$5:$S135,MesCiclo))</f>
        <v/>
      </c>
      <c r="U135" s="62">
        <f>IF($V135="","",IF($V135="Macro",ROW(),IFERROR(LOOKUP(2,1/($V$5:$V135="Macro"),ROW($V$5:$V135)),0)))</f>
        <v/>
      </c>
      <c r="V135" s="62">
        <f>IF(NOT((COUNTA($B135:$D135)+COUNTA($G135:$L135)+COUNTA($Q135))&gt;0),"",IF($B135="Subactividad","Sub","Macro"))</f>
        <v/>
      </c>
      <c r="W135" s="62">
        <f>IF($V135="Macro",COUNTIFS($U$5:$U$1000,ROW(),$V$5:$V$1000,"Sub"),"")</f>
        <v/>
      </c>
      <c r="X135" s="62">
        <f>IF($V135="","",IF(ISNUMBER($G135),1,IFERROR(LOOKUP(2,1/($I135:$L135&lt;&gt;""),$I135:$L135),0)))</f>
        <v/>
      </c>
      <c r="Y135" s="62">
        <f>IF($V135="","",IF(AND(ISNUMBER($G135),$G135&lt;=IF($S135=MesCiclo,InicioCiclo,$S135+MOD(2-WEEKDAY($S135),7))+6),1,IF(ISNUMBER($I135),$I135,0)))</f>
        <v/>
      </c>
      <c r="Z135" s="62">
        <f>IF($V135="","",IF(AND(ISNUMBER($G135),$G135&lt;=IF($S135=MesCiclo,InicioCiclo,$S135+MOD(2-WEEKDAY($S135),7))+13),1,IF(ISNUMBER($J135),$J135,$Y135)))</f>
        <v/>
      </c>
      <c r="AA135" s="62">
        <f>IF($V135="","",IF(AND(ISNUMBER($G135),$G135&lt;=IF($S135=MesCiclo,InicioCiclo,$S135+MOD(2-WEEKDAY($S135),7))+20),1,IF(ISNUMBER($K135),$K135,$Z135)))</f>
        <v/>
      </c>
      <c r="AB135" s="62">
        <f>IF($V135="","",IF(AND(ISNUMBER($G135),$G135&lt;=IF($S135=MesCiclo,InicioCiclo,$S135+MOD(2-WEEKDAY($S135),7))+27),1,IF(ISNUMBER($L135),$L135,$AA135)))</f>
        <v/>
      </c>
      <c r="AC135" s="62">
        <f>IF($V135="","",IF(AND(ISNUMBER($G135),$G135&lt;=IF($S135=MesCiclo,InicioCiclo,$S135+MOD(2-WEEKDAY($S135),7))+6),1,IF(N($W135)&gt;0,AVERAGEIFS($Y$5:$Y$1000,$U$5:$U$1000,ROW(),$V$5:$V$1000,"Sub"),$Y135)))</f>
        <v/>
      </c>
      <c r="AD135" s="62">
        <f>IF($V135="","",IF(AND(ISNUMBER($G135),$G135&lt;=IF($S135=MesCiclo,InicioCiclo,$S135+MOD(2-WEEKDAY($S135),7))+13),1,IF(N($W135)&gt;0,AVERAGEIFS($Z$5:$Z$1000,$U$5:$U$1000,ROW(),$V$5:$V$1000,"Sub"),$Z135)))</f>
        <v/>
      </c>
      <c r="AE135" s="62">
        <f>IF($V135="","",IF(AND(ISNUMBER($G135),$G135&lt;=IF($S135=MesCiclo,InicioCiclo,$S135+MOD(2-WEEKDAY($S135),7))+20),1,IF(N($W135)&gt;0,AVERAGEIFS($AA$5:$AA$1000,$U$5:$U$1000,ROW(),$V$5:$V$1000,"Sub"),$AA135)))</f>
        <v/>
      </c>
      <c r="AF135" s="62">
        <f>IF($V135="","",IF(AND(ISNUMBER($G135),$G135&lt;=IF($S135=MesCiclo,InicioCiclo,$S135+MOD(2-WEEKDAY($S135),7))+27),1,IF(N($W135)&gt;0,AVERAGEIFS($AB$5:$AB$1000,$U$5:$U$1000,ROW(),$V$5:$V$1000,"Sub"),$AB135)))</f>
        <v/>
      </c>
      <c r="AG135" s="62">
        <f>IF($V135&lt;&gt;"Macro","",IF(COUNTIFS($S$5:$S$1000,$S135,$V$5:$V$1000,"Macro",$H$5:$H$1000,"&gt;0")=0,1/COUNTIFS($S$5:$S$1000,$S135,$V$5:$V$1000,"Macro"),IF(AND(ISNUMBER($H135),N($H135)&gt;0),$H135,SUMIFS($H$5:$H$1000,$S$5:$S$1000,$S135,$V$5:$V$1000,"Macro")/COUNTIFS($S$5:$S$1000,$S135,$V$5:$V$1000,"Macro",$H$5:$H$1000,"&gt;0"))/(COUNTIFS($S$5:$S$1000,$S135,$V$5:$V$1000,"Macro")*SUMIFS($H$5:$H$1000,$S$5:$S$1000,$S135,$V$5:$V$1000,"Macro")/COUNTIFS($S$5:$S$1000,$S135,$V$5:$V$1000,"Macro",$H$5:$H$1000,"&gt;0"))))</f>
        <v/>
      </c>
      <c r="AH135" s="62">
        <f>IF(NOT(AND($D135&lt;&gt;"",$V135="Macro")),"",IFERROR(CHOOSE(MATCH($D135,ListaPuestos,0),MATCH("[Jefatura] "&amp;$C135,'Cronograma R. Operacional'!$C$5:$C$1000,0),MATCH("[Jefatura] "&amp;$C135,'Cronograma R. Normativo'!$C$5:$C$1000,0),MATCH("[Jefatura] "&amp;$C135,'Cronograma R. Financiero'!$C$5:$C$1000,0),MATCH("[Jefatura] "&amp;$C135,'Cronograma Asistente Técnico'!$C$5:$C$1000,0)),0))</f>
        <v/>
      </c>
      <c r="AI135" s="62">
        <f>IF(AND(AND($D135&lt;&gt;"",$V135="Macro"),$S135=MesCiclo),COUNTIFS($D$5:$D135,$D135,$S$5:$S135,MesCiclo,$V$5:$V135,"Macro"),"")</f>
        <v/>
      </c>
      <c r="AJ135" s="62">
        <f>IF($AI135="","",$D135&amp;"|"&amp;$AI135)</f>
        <v/>
      </c>
      <c r="AK135" s="62">
        <f>IF(AND($D135&lt;&gt;"",$V135="Macro"),$D135&amp;"|"&amp;$C135,"")</f>
        <v/>
      </c>
      <c r="AL135" s="62">
        <f>""</f>
        <v/>
      </c>
      <c r="AM135" s="62">
        <f>IF(N($AL135)&gt;0,INDEX(rIni_ADM,$AL135),IF(ISNUMBER($E135),$E135,""))</f>
        <v/>
      </c>
      <c r="AN135" s="62">
        <f>IF(N($AL135)&gt;0,INDEX(rLim_ADM,$AL135),IF(ISNUMBER($F135),$F135,""))</f>
        <v/>
      </c>
    </row>
    <row r="136">
      <c r="A136" s="56">
        <f>IF(NOT((COUNTA($B136:$D136)+COUNTA($G136:$L136)+COUNTA($Q136))&gt;0),"",IF($V136="Macro",COUNTIFS($V$5:$V136,"Macro",$S$5:$S136,$S136),IF(N($U136)=0,"?",COUNTIFS(INDEX($V$5:$V$1000,1):INDEX($V$5:$V$1000,$U136-4),"Macro",INDEX($S$5:$S$1000,1):INDEX($S$5:$S$1000,$U136-4),INDEX($S$5:$S$1000,$U136-4))&amp;"."&amp;COUNTIFS($U$5:$U136,$U136,$V$5:$V136,"Sub"))))</f>
        <v/>
      </c>
      <c r="B136" s="57" t="n"/>
      <c r="C136" s="58" t="n"/>
      <c r="D136" s="58" t="n"/>
      <c r="E136" s="59" t="n"/>
      <c r="F136" s="59" t="n"/>
      <c r="G136" s="59" t="n"/>
      <c r="H136" s="60" t="n"/>
      <c r="I136" s="60" t="n"/>
      <c r="J136" s="60" t="n"/>
      <c r="K136" s="60" t="n"/>
      <c r="L136" s="60" t="n"/>
      <c r="M136" s="61">
        <f>IF(NOT((COUNTA($B136:$D136)+COUNTA($G136:$L136)+COUNTA($Q136))&gt;0),"",IF(AND($D136&lt;&gt;"",$V136="Macro"),IF(N($AH136)&gt;0,N(CHOOSE(MATCH($D136,ListaPuestos,0),INDEX('Cronograma R. Operacional'!$M$5:$M$1000,$AH136),INDEX('Cronograma R. Normativo'!$M$5:$M$1000,$AH136),INDEX('Cronograma R. Financiero'!$M$5:$M$1000,$AH136),INDEX('Cronograma Asistente Técnico'!$M$5:$M$1000,$AH136))),0),IF(ISNUMBER($G136),1,IF(N($W136)&gt;0,AVERAGEIFS($X$5:$X$1000,$U$5:$U$1000,ROW(),$V$5:$V$1000,"Sub"),$X136))))</f>
        <v/>
      </c>
      <c r="N136" s="56">
        <f>IF($M136="","",IF($M136&gt;=1,"Completado",IF($M136&gt;0,"En curso","Pendiente")))</f>
        <v/>
      </c>
      <c r="O136" s="56">
        <f>IF(NOT((COUNTA($B136:$D136)+COUNTA($G136:$L136)+COUNTA($Q136))&gt;0),"",IF(AND(AND($D136&lt;&gt;"",$V136="Macro"),N($AH136)&gt;0),CHOOSE(MATCH($D136,ListaPuestos,0),INDEX('Cronograma R. Operacional'!$O$5:$O$1000,$AH136),INDEX('Cronograma R. Normativo'!$O$5:$O$1000,$AH136),INDEX('Cronograma R. Financiero'!$O$5:$O$1000,$AH136),INDEX('Cronograma Asistente Técnico'!$O$5:$O$1000,$AH136))&amp;"",IF(ISNUMBER($G136),IF(AND(ISNUMBER($AN136),$G136&gt;$AN136),"Cumplida con "&amp;($G136-$AN136)&amp;IF($G136-$AN136=1," día"," días")&amp;" de retraso","Cumplida"),IF(N($M136)&gt;=1,"Cumplida",IF(NOT(ISNUMBER($AN136)),"Sin fecha límite",IF($AN136&lt;FechaRef,"Vencida hace "&amp;(FechaRef-$AN136)&amp;IF(FechaRef-$AN136=1," día"," días"),IF($AN136=FechaRef,"Vence hoy",IF($AN136-FechaRef&lt;=DiasAlerta,"Vence en "&amp;($AN136-FechaRef)&amp;IF($AN136-FechaRef=1," día"," días"),"En plazo"))))))))</f>
        <v/>
      </c>
      <c r="P136" s="62">
        <f>IF(NOT((COUNTA($B136:$D136)+COUNTA($G136:$L136)+COUNTA($Q136))&gt;0),"",IF($D136="","Propia",IF($V136&lt;&gt;"Macro","Solo se delegan macroactividades",IF(N($AH136)&gt;0,"✔ Recibida por "&amp;$D136,"⚠ "&amp;$D136&amp;" aún no la agrega"))))</f>
        <v/>
      </c>
      <c r="Q136" s="58" t="n"/>
      <c r="R136" s="63">
        <f>IF(NOT((COUNTA($B136:$D136)+COUNTA($G136:$L136)+COUNTA($Q136))&gt;0),"",IF((IF($C136="","Falta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",""))="","✔ OK","⚠ "&amp;LEFT(IF($C136="","Falta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",""),LEN(IF($C136="","Falta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",""))-3)))</f>
        <v/>
      </c>
      <c r="S136" s="64">
        <f>IF(NOT((COUNTA($B136:$D136)+COUNTA($G136:$L136)+COUNTA($Q136))&gt;0),"",IF(AND($V136="Sub",N($U136)&gt;0),IF(ISNUMBER(INDEX($AM$5:$AM$1000,$U136-4)),DATE(YEAR(INDEX($AM$5:$AM$1000,$U136-4)),MONTH(INDEX($AM$5:$AM$1000,$U136-4)),1),IF(ISNUMBER(INDEX($AN$5:$AN$1000,$U136-4)),DATE(YEAR(INDEX($AN$5:$AN$1000,$U136-4)),MONTH(INDEX($AN$5:$AN$1000,$U136-4)),1),MesCiclo)),IF(ISNUMBER($AM136),DATE(YEAR($AM136),MONTH($AM136),1),IF(ISNUMBER($AN136),DATE(YEAR($AN136),MONTH($AN136),1),MesCiclo))))</f>
        <v/>
      </c>
      <c r="T136" s="62">
        <f>IF(OR($S136="",$S136&lt;&gt;MesCiclo),"",COUNTIF($S$5:$S136,MesCiclo))</f>
        <v/>
      </c>
      <c r="U136" s="62">
        <f>IF($V136="","",IF($V136="Macro",ROW(),IFERROR(LOOKUP(2,1/($V$5:$V136="Macro"),ROW($V$5:$V136)),0)))</f>
        <v/>
      </c>
      <c r="V136" s="62">
        <f>IF(NOT((COUNTA($B136:$D136)+COUNTA($G136:$L136)+COUNTA($Q136))&gt;0),"",IF($B136="Subactividad","Sub","Macro"))</f>
        <v/>
      </c>
      <c r="W136" s="62">
        <f>IF($V136="Macro",COUNTIFS($U$5:$U$1000,ROW(),$V$5:$V$1000,"Sub"),"")</f>
        <v/>
      </c>
      <c r="X136" s="62">
        <f>IF($V136="","",IF(ISNUMBER($G136),1,IFERROR(LOOKUP(2,1/($I136:$L136&lt;&gt;""),$I136:$L136),0)))</f>
        <v/>
      </c>
      <c r="Y136" s="62">
        <f>IF($V136="","",IF(AND(ISNUMBER($G136),$G136&lt;=IF($S136=MesCiclo,InicioCiclo,$S136+MOD(2-WEEKDAY($S136),7))+6),1,IF(ISNUMBER($I136),$I136,0)))</f>
        <v/>
      </c>
      <c r="Z136" s="62">
        <f>IF($V136="","",IF(AND(ISNUMBER($G136),$G136&lt;=IF($S136=MesCiclo,InicioCiclo,$S136+MOD(2-WEEKDAY($S136),7))+13),1,IF(ISNUMBER($J136),$J136,$Y136)))</f>
        <v/>
      </c>
      <c r="AA136" s="62">
        <f>IF($V136="","",IF(AND(ISNUMBER($G136),$G136&lt;=IF($S136=MesCiclo,InicioCiclo,$S136+MOD(2-WEEKDAY($S136),7))+20),1,IF(ISNUMBER($K136),$K136,$Z136)))</f>
        <v/>
      </c>
      <c r="AB136" s="62">
        <f>IF($V136="","",IF(AND(ISNUMBER($G136),$G136&lt;=IF($S136=MesCiclo,InicioCiclo,$S136+MOD(2-WEEKDAY($S136),7))+27),1,IF(ISNUMBER($L136),$L136,$AA136)))</f>
        <v/>
      </c>
      <c r="AC136" s="62">
        <f>IF($V136="","",IF(AND(ISNUMBER($G136),$G136&lt;=IF($S136=MesCiclo,InicioCiclo,$S136+MOD(2-WEEKDAY($S136),7))+6),1,IF(N($W136)&gt;0,AVERAGEIFS($Y$5:$Y$1000,$U$5:$U$1000,ROW(),$V$5:$V$1000,"Sub"),$Y136)))</f>
        <v/>
      </c>
      <c r="AD136" s="62">
        <f>IF($V136="","",IF(AND(ISNUMBER($G136),$G136&lt;=IF($S136=MesCiclo,InicioCiclo,$S136+MOD(2-WEEKDAY($S136),7))+13),1,IF(N($W136)&gt;0,AVERAGEIFS($Z$5:$Z$1000,$U$5:$U$1000,ROW(),$V$5:$V$1000,"Sub"),$Z136)))</f>
        <v/>
      </c>
      <c r="AE136" s="62">
        <f>IF($V136="","",IF(AND(ISNUMBER($G136),$G136&lt;=IF($S136=MesCiclo,InicioCiclo,$S136+MOD(2-WEEKDAY($S136),7))+20),1,IF(N($W136)&gt;0,AVERAGEIFS($AA$5:$AA$1000,$U$5:$U$1000,ROW(),$V$5:$V$1000,"Sub"),$AA136)))</f>
        <v/>
      </c>
      <c r="AF136" s="62">
        <f>IF($V136="","",IF(AND(ISNUMBER($G136),$G136&lt;=IF($S136=MesCiclo,InicioCiclo,$S136+MOD(2-WEEKDAY($S136),7))+27),1,IF(N($W136)&gt;0,AVERAGEIFS($AB$5:$AB$1000,$U$5:$U$1000,ROW(),$V$5:$V$1000,"Sub"),$AB136)))</f>
        <v/>
      </c>
      <c r="AG136" s="62">
        <f>IF($V136&lt;&gt;"Macro","",IF(COUNTIFS($S$5:$S$1000,$S136,$V$5:$V$1000,"Macro",$H$5:$H$1000,"&gt;0")=0,1/COUNTIFS($S$5:$S$1000,$S136,$V$5:$V$1000,"Macro"),IF(AND(ISNUMBER($H136),N($H136)&gt;0),$H136,SUMIFS($H$5:$H$1000,$S$5:$S$1000,$S136,$V$5:$V$1000,"Macro")/COUNTIFS($S$5:$S$1000,$S136,$V$5:$V$1000,"Macro",$H$5:$H$1000,"&gt;0"))/(COUNTIFS($S$5:$S$1000,$S136,$V$5:$V$1000,"Macro")*SUMIFS($H$5:$H$1000,$S$5:$S$1000,$S136,$V$5:$V$1000,"Macro")/COUNTIFS($S$5:$S$1000,$S136,$V$5:$V$1000,"Macro",$H$5:$H$1000,"&gt;0"))))</f>
        <v/>
      </c>
      <c r="AH136" s="62">
        <f>IF(NOT(AND($D136&lt;&gt;"",$V136="Macro")),"",IFERROR(CHOOSE(MATCH($D136,ListaPuestos,0),MATCH("[Jefatura] "&amp;$C136,'Cronograma R. Operacional'!$C$5:$C$1000,0),MATCH("[Jefatura] "&amp;$C136,'Cronograma R. Normativo'!$C$5:$C$1000,0),MATCH("[Jefatura] "&amp;$C136,'Cronograma R. Financiero'!$C$5:$C$1000,0),MATCH("[Jefatura] "&amp;$C136,'Cronograma Asistente Técnico'!$C$5:$C$1000,0)),0))</f>
        <v/>
      </c>
      <c r="AI136" s="62">
        <f>IF(AND(AND($D136&lt;&gt;"",$V136="Macro"),$S136=MesCiclo),COUNTIFS($D$5:$D136,$D136,$S$5:$S136,MesCiclo,$V$5:$V136,"Macro"),"")</f>
        <v/>
      </c>
      <c r="AJ136" s="62">
        <f>IF($AI136="","",$D136&amp;"|"&amp;$AI136)</f>
        <v/>
      </c>
      <c r="AK136" s="62">
        <f>IF(AND($D136&lt;&gt;"",$V136="Macro"),$D136&amp;"|"&amp;$C136,"")</f>
        <v/>
      </c>
      <c r="AL136" s="62">
        <f>""</f>
        <v/>
      </c>
      <c r="AM136" s="62">
        <f>IF(N($AL136)&gt;0,INDEX(rIni_ADM,$AL136),IF(ISNUMBER($E136),$E136,""))</f>
        <v/>
      </c>
      <c r="AN136" s="62">
        <f>IF(N($AL136)&gt;0,INDEX(rLim_ADM,$AL136),IF(ISNUMBER($F136),$F136,""))</f>
        <v/>
      </c>
    </row>
    <row r="137">
      <c r="A137" s="56">
        <f>IF(NOT((COUNTA($B137:$D137)+COUNTA($G137:$L137)+COUNTA($Q137))&gt;0),"",IF($V137="Macro",COUNTIFS($V$5:$V137,"Macro",$S$5:$S137,$S137),IF(N($U137)=0,"?",COUNTIFS(INDEX($V$5:$V$1000,1):INDEX($V$5:$V$1000,$U137-4),"Macro",INDEX($S$5:$S$1000,1):INDEX($S$5:$S$1000,$U137-4),INDEX($S$5:$S$1000,$U137-4))&amp;"."&amp;COUNTIFS($U$5:$U137,$U137,$V$5:$V137,"Sub"))))</f>
        <v/>
      </c>
      <c r="B137" s="57" t="n"/>
      <c r="C137" s="58" t="n"/>
      <c r="D137" s="58" t="n"/>
      <c r="E137" s="59" t="n"/>
      <c r="F137" s="59" t="n"/>
      <c r="G137" s="59" t="n"/>
      <c r="H137" s="60" t="n"/>
      <c r="I137" s="60" t="n"/>
      <c r="J137" s="60" t="n"/>
      <c r="K137" s="60" t="n"/>
      <c r="L137" s="60" t="n"/>
      <c r="M137" s="61">
        <f>IF(NOT((COUNTA($B137:$D137)+COUNTA($G137:$L137)+COUNTA($Q137))&gt;0),"",IF(AND($D137&lt;&gt;"",$V137="Macro"),IF(N($AH137)&gt;0,N(CHOOSE(MATCH($D137,ListaPuestos,0),INDEX('Cronograma R. Operacional'!$M$5:$M$1000,$AH137),INDEX('Cronograma R. Normativo'!$M$5:$M$1000,$AH137),INDEX('Cronograma R. Financiero'!$M$5:$M$1000,$AH137),INDEX('Cronograma Asistente Técnico'!$M$5:$M$1000,$AH137))),0),IF(ISNUMBER($G137),1,IF(N($W137)&gt;0,AVERAGEIFS($X$5:$X$1000,$U$5:$U$1000,ROW(),$V$5:$V$1000,"Sub"),$X137))))</f>
        <v/>
      </c>
      <c r="N137" s="56">
        <f>IF($M137="","",IF($M137&gt;=1,"Completado",IF($M137&gt;0,"En curso","Pendiente")))</f>
        <v/>
      </c>
      <c r="O137" s="56">
        <f>IF(NOT((COUNTA($B137:$D137)+COUNTA($G137:$L137)+COUNTA($Q137))&gt;0),"",IF(AND(AND($D137&lt;&gt;"",$V137="Macro"),N($AH137)&gt;0),CHOOSE(MATCH($D137,ListaPuestos,0),INDEX('Cronograma R. Operacional'!$O$5:$O$1000,$AH137),INDEX('Cronograma R. Normativo'!$O$5:$O$1000,$AH137),INDEX('Cronograma R. Financiero'!$O$5:$O$1000,$AH137),INDEX('Cronograma Asistente Técnico'!$O$5:$O$1000,$AH137))&amp;"",IF(ISNUMBER($G137),IF(AND(ISNUMBER($AN137),$G137&gt;$AN137),"Cumplida con "&amp;($G137-$AN137)&amp;IF($G137-$AN137=1," día"," días")&amp;" de retraso","Cumplida"),IF(N($M137)&gt;=1,"Cumplida",IF(NOT(ISNUMBER($AN137)),"Sin fecha límite",IF($AN137&lt;FechaRef,"Vencida hace "&amp;(FechaRef-$AN137)&amp;IF(FechaRef-$AN137=1," día"," días"),IF($AN137=FechaRef,"Vence hoy",IF($AN137-FechaRef&lt;=DiasAlerta,"Vence en "&amp;($AN137-FechaRef)&amp;IF($AN137-FechaRef=1," día"," días"),"En plazo"))))))))</f>
        <v/>
      </c>
      <c r="P137" s="62">
        <f>IF(NOT((COUNTA($B137:$D137)+COUNTA($G137:$L137)+COUNTA($Q137))&gt;0),"",IF($D137="","Propia",IF($V137&lt;&gt;"Macro","Solo se delegan macroactividades",IF(N($AH137)&gt;0,"✔ Recibida por "&amp;$D137,"⚠ "&amp;$D137&amp;" aún no la agrega"))))</f>
        <v/>
      </c>
      <c r="Q137" s="58" t="n"/>
      <c r="R137" s="63">
        <f>IF(NOT((COUNTA($B137:$D137)+COUNTA($G137:$L137)+COUNTA($Q137))&gt;0),"",IF((IF($C137="","Falta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",""))="","✔ OK","⚠ "&amp;LEFT(IF($C137="","Falta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",""),LEN(IF($C137="","Falta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",""))-3)))</f>
        <v/>
      </c>
      <c r="S137" s="64">
        <f>IF(NOT((COUNTA($B137:$D137)+COUNTA($G137:$L137)+COUNTA($Q137))&gt;0),"",IF(AND($V137="Sub",N($U137)&gt;0),IF(ISNUMBER(INDEX($AM$5:$AM$1000,$U137-4)),DATE(YEAR(INDEX($AM$5:$AM$1000,$U137-4)),MONTH(INDEX($AM$5:$AM$1000,$U137-4)),1),IF(ISNUMBER(INDEX($AN$5:$AN$1000,$U137-4)),DATE(YEAR(INDEX($AN$5:$AN$1000,$U137-4)),MONTH(INDEX($AN$5:$AN$1000,$U137-4)),1),MesCiclo)),IF(ISNUMBER($AM137),DATE(YEAR($AM137),MONTH($AM137),1),IF(ISNUMBER($AN137),DATE(YEAR($AN137),MONTH($AN137),1),MesCiclo))))</f>
        <v/>
      </c>
      <c r="T137" s="62">
        <f>IF(OR($S137="",$S137&lt;&gt;MesCiclo),"",COUNTIF($S$5:$S137,MesCiclo))</f>
        <v/>
      </c>
      <c r="U137" s="62">
        <f>IF($V137="","",IF($V137="Macro",ROW(),IFERROR(LOOKUP(2,1/($V$5:$V137="Macro"),ROW($V$5:$V137)),0)))</f>
        <v/>
      </c>
      <c r="V137" s="62">
        <f>IF(NOT((COUNTA($B137:$D137)+COUNTA($G137:$L137)+COUNTA($Q137))&gt;0),"",IF($B137="Subactividad","Sub","Macro"))</f>
        <v/>
      </c>
      <c r="W137" s="62">
        <f>IF($V137="Macro",COUNTIFS($U$5:$U$1000,ROW(),$V$5:$V$1000,"Sub"),"")</f>
        <v/>
      </c>
      <c r="X137" s="62">
        <f>IF($V137="","",IF(ISNUMBER($G137),1,IFERROR(LOOKUP(2,1/($I137:$L137&lt;&gt;""),$I137:$L137),0)))</f>
        <v/>
      </c>
      <c r="Y137" s="62">
        <f>IF($V137="","",IF(AND(ISNUMBER($G137),$G137&lt;=IF($S137=MesCiclo,InicioCiclo,$S137+MOD(2-WEEKDAY($S137),7))+6),1,IF(ISNUMBER($I137),$I137,0)))</f>
        <v/>
      </c>
      <c r="Z137" s="62">
        <f>IF($V137="","",IF(AND(ISNUMBER($G137),$G137&lt;=IF($S137=MesCiclo,InicioCiclo,$S137+MOD(2-WEEKDAY($S137),7))+13),1,IF(ISNUMBER($J137),$J137,$Y137)))</f>
        <v/>
      </c>
      <c r="AA137" s="62">
        <f>IF($V137="","",IF(AND(ISNUMBER($G137),$G137&lt;=IF($S137=MesCiclo,InicioCiclo,$S137+MOD(2-WEEKDAY($S137),7))+20),1,IF(ISNUMBER($K137),$K137,$Z137)))</f>
        <v/>
      </c>
      <c r="AB137" s="62">
        <f>IF($V137="","",IF(AND(ISNUMBER($G137),$G137&lt;=IF($S137=MesCiclo,InicioCiclo,$S137+MOD(2-WEEKDAY($S137),7))+27),1,IF(ISNUMBER($L137),$L137,$AA137)))</f>
        <v/>
      </c>
      <c r="AC137" s="62">
        <f>IF($V137="","",IF(AND(ISNUMBER($G137),$G137&lt;=IF($S137=MesCiclo,InicioCiclo,$S137+MOD(2-WEEKDAY($S137),7))+6),1,IF(N($W137)&gt;0,AVERAGEIFS($Y$5:$Y$1000,$U$5:$U$1000,ROW(),$V$5:$V$1000,"Sub"),$Y137)))</f>
        <v/>
      </c>
      <c r="AD137" s="62">
        <f>IF($V137="","",IF(AND(ISNUMBER($G137),$G137&lt;=IF($S137=MesCiclo,InicioCiclo,$S137+MOD(2-WEEKDAY($S137),7))+13),1,IF(N($W137)&gt;0,AVERAGEIFS($Z$5:$Z$1000,$U$5:$U$1000,ROW(),$V$5:$V$1000,"Sub"),$Z137)))</f>
        <v/>
      </c>
      <c r="AE137" s="62">
        <f>IF($V137="","",IF(AND(ISNUMBER($G137),$G137&lt;=IF($S137=MesCiclo,InicioCiclo,$S137+MOD(2-WEEKDAY($S137),7))+20),1,IF(N($W137)&gt;0,AVERAGEIFS($AA$5:$AA$1000,$U$5:$U$1000,ROW(),$V$5:$V$1000,"Sub"),$AA137)))</f>
        <v/>
      </c>
      <c r="AF137" s="62">
        <f>IF($V137="","",IF(AND(ISNUMBER($G137),$G137&lt;=IF($S137=MesCiclo,InicioCiclo,$S137+MOD(2-WEEKDAY($S137),7))+27),1,IF(N($W137)&gt;0,AVERAGEIFS($AB$5:$AB$1000,$U$5:$U$1000,ROW(),$V$5:$V$1000,"Sub"),$AB137)))</f>
        <v/>
      </c>
      <c r="AG137" s="62">
        <f>IF($V137&lt;&gt;"Macro","",IF(COUNTIFS($S$5:$S$1000,$S137,$V$5:$V$1000,"Macro",$H$5:$H$1000,"&gt;0")=0,1/COUNTIFS($S$5:$S$1000,$S137,$V$5:$V$1000,"Macro"),IF(AND(ISNUMBER($H137),N($H137)&gt;0),$H137,SUMIFS($H$5:$H$1000,$S$5:$S$1000,$S137,$V$5:$V$1000,"Macro")/COUNTIFS($S$5:$S$1000,$S137,$V$5:$V$1000,"Macro",$H$5:$H$1000,"&gt;0"))/(COUNTIFS($S$5:$S$1000,$S137,$V$5:$V$1000,"Macro")*SUMIFS($H$5:$H$1000,$S$5:$S$1000,$S137,$V$5:$V$1000,"Macro")/COUNTIFS($S$5:$S$1000,$S137,$V$5:$V$1000,"Macro",$H$5:$H$1000,"&gt;0"))))</f>
        <v/>
      </c>
      <c r="AH137" s="62">
        <f>IF(NOT(AND($D137&lt;&gt;"",$V137="Macro")),"",IFERROR(CHOOSE(MATCH($D137,ListaPuestos,0),MATCH("[Jefatura] "&amp;$C137,'Cronograma R. Operacional'!$C$5:$C$1000,0),MATCH("[Jefatura] "&amp;$C137,'Cronograma R. Normativo'!$C$5:$C$1000,0),MATCH("[Jefatura] "&amp;$C137,'Cronograma R. Financiero'!$C$5:$C$1000,0),MATCH("[Jefatura] "&amp;$C137,'Cronograma Asistente Técnico'!$C$5:$C$1000,0)),0))</f>
        <v/>
      </c>
      <c r="AI137" s="62">
        <f>IF(AND(AND($D137&lt;&gt;"",$V137="Macro"),$S137=MesCiclo),COUNTIFS($D$5:$D137,$D137,$S$5:$S137,MesCiclo,$V$5:$V137,"Macro"),"")</f>
        <v/>
      </c>
      <c r="AJ137" s="62">
        <f>IF($AI137="","",$D137&amp;"|"&amp;$AI137)</f>
        <v/>
      </c>
      <c r="AK137" s="62">
        <f>IF(AND($D137&lt;&gt;"",$V137="Macro"),$D137&amp;"|"&amp;$C137,"")</f>
        <v/>
      </c>
      <c r="AL137" s="62">
        <f>""</f>
        <v/>
      </c>
      <c r="AM137" s="62">
        <f>IF(N($AL137)&gt;0,INDEX(rIni_ADM,$AL137),IF(ISNUMBER($E137),$E137,""))</f>
        <v/>
      </c>
      <c r="AN137" s="62">
        <f>IF(N($AL137)&gt;0,INDEX(rLim_ADM,$AL137),IF(ISNUMBER($F137),$F137,""))</f>
        <v/>
      </c>
    </row>
    <row r="138">
      <c r="A138" s="56">
        <f>IF(NOT((COUNTA($B138:$D138)+COUNTA($G138:$L138)+COUNTA($Q138))&gt;0),"",IF($V138="Macro",COUNTIFS($V$5:$V138,"Macro",$S$5:$S138,$S138),IF(N($U138)=0,"?",COUNTIFS(INDEX($V$5:$V$1000,1):INDEX($V$5:$V$1000,$U138-4),"Macro",INDEX($S$5:$S$1000,1):INDEX($S$5:$S$1000,$U138-4),INDEX($S$5:$S$1000,$U138-4))&amp;"."&amp;COUNTIFS($U$5:$U138,$U138,$V$5:$V138,"Sub"))))</f>
        <v/>
      </c>
      <c r="B138" s="57" t="n"/>
      <c r="C138" s="58" t="n"/>
      <c r="D138" s="58" t="n"/>
      <c r="E138" s="59" t="n"/>
      <c r="F138" s="59" t="n"/>
      <c r="G138" s="59" t="n"/>
      <c r="H138" s="60" t="n"/>
      <c r="I138" s="60" t="n"/>
      <c r="J138" s="60" t="n"/>
      <c r="K138" s="60" t="n"/>
      <c r="L138" s="60" t="n"/>
      <c r="M138" s="61">
        <f>IF(NOT((COUNTA($B138:$D138)+COUNTA($G138:$L138)+COUNTA($Q138))&gt;0),"",IF(AND($D138&lt;&gt;"",$V138="Macro"),IF(N($AH138)&gt;0,N(CHOOSE(MATCH($D138,ListaPuestos,0),INDEX('Cronograma R. Operacional'!$M$5:$M$1000,$AH138),INDEX('Cronograma R. Normativo'!$M$5:$M$1000,$AH138),INDEX('Cronograma R. Financiero'!$M$5:$M$1000,$AH138),INDEX('Cronograma Asistente Técnico'!$M$5:$M$1000,$AH138))),0),IF(ISNUMBER($G138),1,IF(N($W138)&gt;0,AVERAGEIFS($X$5:$X$1000,$U$5:$U$1000,ROW(),$V$5:$V$1000,"Sub"),$X138))))</f>
        <v/>
      </c>
      <c r="N138" s="56">
        <f>IF($M138="","",IF($M138&gt;=1,"Completado",IF($M138&gt;0,"En curso","Pendiente")))</f>
        <v/>
      </c>
      <c r="O138" s="56">
        <f>IF(NOT((COUNTA($B138:$D138)+COUNTA($G138:$L138)+COUNTA($Q138))&gt;0),"",IF(AND(AND($D138&lt;&gt;"",$V138="Macro"),N($AH138)&gt;0),CHOOSE(MATCH($D138,ListaPuestos,0),INDEX('Cronograma R. Operacional'!$O$5:$O$1000,$AH138),INDEX('Cronograma R. Normativo'!$O$5:$O$1000,$AH138),INDEX('Cronograma R. Financiero'!$O$5:$O$1000,$AH138),INDEX('Cronograma Asistente Técnico'!$O$5:$O$1000,$AH138))&amp;"",IF(ISNUMBER($G138),IF(AND(ISNUMBER($AN138),$G138&gt;$AN138),"Cumplida con "&amp;($G138-$AN138)&amp;IF($G138-$AN138=1," día"," días")&amp;" de retraso","Cumplida"),IF(N($M138)&gt;=1,"Cumplida",IF(NOT(ISNUMBER($AN138)),"Sin fecha límite",IF($AN138&lt;FechaRef,"Vencida hace "&amp;(FechaRef-$AN138)&amp;IF(FechaRef-$AN138=1," día"," días"),IF($AN138=FechaRef,"Vence hoy",IF($AN138-FechaRef&lt;=DiasAlerta,"Vence en "&amp;($AN138-FechaRef)&amp;IF($AN138-FechaRef=1," día"," días"),"En plazo"))))))))</f>
        <v/>
      </c>
      <c r="P138" s="62">
        <f>IF(NOT((COUNTA($B138:$D138)+COUNTA($G138:$L138)+COUNTA($Q138))&gt;0),"",IF($D138="","Propia",IF($V138&lt;&gt;"Macro","Solo se delegan macroactividades",IF(N($AH138)&gt;0,"✔ Recibida por "&amp;$D138,"⚠ "&amp;$D138&amp;" aún no la agrega"))))</f>
        <v/>
      </c>
      <c r="Q138" s="58" t="n"/>
      <c r="R138" s="63">
        <f>IF(NOT((COUNTA($B138:$D138)+COUNTA($G138:$L138)+COUNTA($Q138))&gt;0),"",IF((IF($C138="","Falta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",""))="","✔ OK","⚠ "&amp;LEFT(IF($C138="","Falta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",""),LEN(IF($C138="","Falta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",""))-3)))</f>
        <v/>
      </c>
      <c r="S138" s="64">
        <f>IF(NOT((COUNTA($B138:$D138)+COUNTA($G138:$L138)+COUNTA($Q138))&gt;0),"",IF(AND($V138="Sub",N($U138)&gt;0),IF(ISNUMBER(INDEX($AM$5:$AM$1000,$U138-4)),DATE(YEAR(INDEX($AM$5:$AM$1000,$U138-4)),MONTH(INDEX($AM$5:$AM$1000,$U138-4)),1),IF(ISNUMBER(INDEX($AN$5:$AN$1000,$U138-4)),DATE(YEAR(INDEX($AN$5:$AN$1000,$U138-4)),MONTH(INDEX($AN$5:$AN$1000,$U138-4)),1),MesCiclo)),IF(ISNUMBER($AM138),DATE(YEAR($AM138),MONTH($AM138),1),IF(ISNUMBER($AN138),DATE(YEAR($AN138),MONTH($AN138),1),MesCiclo))))</f>
        <v/>
      </c>
      <c r="T138" s="62">
        <f>IF(OR($S138="",$S138&lt;&gt;MesCiclo),"",COUNTIF($S$5:$S138,MesCiclo))</f>
        <v/>
      </c>
      <c r="U138" s="62">
        <f>IF($V138="","",IF($V138="Macro",ROW(),IFERROR(LOOKUP(2,1/($V$5:$V138="Macro"),ROW($V$5:$V138)),0)))</f>
        <v/>
      </c>
      <c r="V138" s="62">
        <f>IF(NOT((COUNTA($B138:$D138)+COUNTA($G138:$L138)+COUNTA($Q138))&gt;0),"",IF($B138="Subactividad","Sub","Macro"))</f>
        <v/>
      </c>
      <c r="W138" s="62">
        <f>IF($V138="Macro",COUNTIFS($U$5:$U$1000,ROW(),$V$5:$V$1000,"Sub"),"")</f>
        <v/>
      </c>
      <c r="X138" s="62">
        <f>IF($V138="","",IF(ISNUMBER($G138),1,IFERROR(LOOKUP(2,1/($I138:$L138&lt;&gt;""),$I138:$L138),0)))</f>
        <v/>
      </c>
      <c r="Y138" s="62">
        <f>IF($V138="","",IF(AND(ISNUMBER($G138),$G138&lt;=IF($S138=MesCiclo,InicioCiclo,$S138+MOD(2-WEEKDAY($S138),7))+6),1,IF(ISNUMBER($I138),$I138,0)))</f>
        <v/>
      </c>
      <c r="Z138" s="62">
        <f>IF($V138="","",IF(AND(ISNUMBER($G138),$G138&lt;=IF($S138=MesCiclo,InicioCiclo,$S138+MOD(2-WEEKDAY($S138),7))+13),1,IF(ISNUMBER($J138),$J138,$Y138)))</f>
        <v/>
      </c>
      <c r="AA138" s="62">
        <f>IF($V138="","",IF(AND(ISNUMBER($G138),$G138&lt;=IF($S138=MesCiclo,InicioCiclo,$S138+MOD(2-WEEKDAY($S138),7))+20),1,IF(ISNUMBER($K138),$K138,$Z138)))</f>
        <v/>
      </c>
      <c r="AB138" s="62">
        <f>IF($V138="","",IF(AND(ISNUMBER($G138),$G138&lt;=IF($S138=MesCiclo,InicioCiclo,$S138+MOD(2-WEEKDAY($S138),7))+27),1,IF(ISNUMBER($L138),$L138,$AA138)))</f>
        <v/>
      </c>
      <c r="AC138" s="62">
        <f>IF($V138="","",IF(AND(ISNUMBER($G138),$G138&lt;=IF($S138=MesCiclo,InicioCiclo,$S138+MOD(2-WEEKDAY($S138),7))+6),1,IF(N($W138)&gt;0,AVERAGEIFS($Y$5:$Y$1000,$U$5:$U$1000,ROW(),$V$5:$V$1000,"Sub"),$Y138)))</f>
        <v/>
      </c>
      <c r="AD138" s="62">
        <f>IF($V138="","",IF(AND(ISNUMBER($G138),$G138&lt;=IF($S138=MesCiclo,InicioCiclo,$S138+MOD(2-WEEKDAY($S138),7))+13),1,IF(N($W138)&gt;0,AVERAGEIFS($Z$5:$Z$1000,$U$5:$U$1000,ROW(),$V$5:$V$1000,"Sub"),$Z138)))</f>
        <v/>
      </c>
      <c r="AE138" s="62">
        <f>IF($V138="","",IF(AND(ISNUMBER($G138),$G138&lt;=IF($S138=MesCiclo,InicioCiclo,$S138+MOD(2-WEEKDAY($S138),7))+20),1,IF(N($W138)&gt;0,AVERAGEIFS($AA$5:$AA$1000,$U$5:$U$1000,ROW(),$V$5:$V$1000,"Sub"),$AA138)))</f>
        <v/>
      </c>
      <c r="AF138" s="62">
        <f>IF($V138="","",IF(AND(ISNUMBER($G138),$G138&lt;=IF($S138=MesCiclo,InicioCiclo,$S138+MOD(2-WEEKDAY($S138),7))+27),1,IF(N($W138)&gt;0,AVERAGEIFS($AB$5:$AB$1000,$U$5:$U$1000,ROW(),$V$5:$V$1000,"Sub"),$AB138)))</f>
        <v/>
      </c>
      <c r="AG138" s="62">
        <f>IF($V138&lt;&gt;"Macro","",IF(COUNTIFS($S$5:$S$1000,$S138,$V$5:$V$1000,"Macro",$H$5:$H$1000,"&gt;0")=0,1/COUNTIFS($S$5:$S$1000,$S138,$V$5:$V$1000,"Macro"),IF(AND(ISNUMBER($H138),N($H138)&gt;0),$H138,SUMIFS($H$5:$H$1000,$S$5:$S$1000,$S138,$V$5:$V$1000,"Macro")/COUNTIFS($S$5:$S$1000,$S138,$V$5:$V$1000,"Macro",$H$5:$H$1000,"&gt;0"))/(COUNTIFS($S$5:$S$1000,$S138,$V$5:$V$1000,"Macro")*SUMIFS($H$5:$H$1000,$S$5:$S$1000,$S138,$V$5:$V$1000,"Macro")/COUNTIFS($S$5:$S$1000,$S138,$V$5:$V$1000,"Macro",$H$5:$H$1000,"&gt;0"))))</f>
        <v/>
      </c>
      <c r="AH138" s="62">
        <f>IF(NOT(AND($D138&lt;&gt;"",$V138="Macro")),"",IFERROR(CHOOSE(MATCH($D138,ListaPuestos,0),MATCH("[Jefatura] "&amp;$C138,'Cronograma R. Operacional'!$C$5:$C$1000,0),MATCH("[Jefatura] "&amp;$C138,'Cronograma R. Normativo'!$C$5:$C$1000,0),MATCH("[Jefatura] "&amp;$C138,'Cronograma R. Financiero'!$C$5:$C$1000,0),MATCH("[Jefatura] "&amp;$C138,'Cronograma Asistente Técnico'!$C$5:$C$1000,0)),0))</f>
        <v/>
      </c>
      <c r="AI138" s="62">
        <f>IF(AND(AND($D138&lt;&gt;"",$V138="Macro"),$S138=MesCiclo),COUNTIFS($D$5:$D138,$D138,$S$5:$S138,MesCiclo,$V$5:$V138,"Macro"),"")</f>
        <v/>
      </c>
      <c r="AJ138" s="62">
        <f>IF($AI138="","",$D138&amp;"|"&amp;$AI138)</f>
        <v/>
      </c>
      <c r="AK138" s="62">
        <f>IF(AND($D138&lt;&gt;"",$V138="Macro"),$D138&amp;"|"&amp;$C138,"")</f>
        <v/>
      </c>
      <c r="AL138" s="62">
        <f>""</f>
        <v/>
      </c>
      <c r="AM138" s="62">
        <f>IF(N($AL138)&gt;0,INDEX(rIni_ADM,$AL138),IF(ISNUMBER($E138),$E138,""))</f>
        <v/>
      </c>
      <c r="AN138" s="62">
        <f>IF(N($AL138)&gt;0,INDEX(rLim_ADM,$AL138),IF(ISNUMBER($F138),$F138,""))</f>
        <v/>
      </c>
    </row>
    <row r="139">
      <c r="A139" s="56">
        <f>IF(NOT((COUNTA($B139:$D139)+COUNTA($G139:$L139)+COUNTA($Q139))&gt;0),"",IF($V139="Macro",COUNTIFS($V$5:$V139,"Macro",$S$5:$S139,$S139),IF(N($U139)=0,"?",COUNTIFS(INDEX($V$5:$V$1000,1):INDEX($V$5:$V$1000,$U139-4),"Macro",INDEX($S$5:$S$1000,1):INDEX($S$5:$S$1000,$U139-4),INDEX($S$5:$S$1000,$U139-4))&amp;"."&amp;COUNTIFS($U$5:$U139,$U139,$V$5:$V139,"Sub"))))</f>
        <v/>
      </c>
      <c r="B139" s="57" t="n"/>
      <c r="C139" s="58" t="n"/>
      <c r="D139" s="58" t="n"/>
      <c r="E139" s="59" t="n"/>
      <c r="F139" s="59" t="n"/>
      <c r="G139" s="59" t="n"/>
      <c r="H139" s="60" t="n"/>
      <c r="I139" s="60" t="n"/>
      <c r="J139" s="60" t="n"/>
      <c r="K139" s="60" t="n"/>
      <c r="L139" s="60" t="n"/>
      <c r="M139" s="61">
        <f>IF(NOT((COUNTA($B139:$D139)+COUNTA($G139:$L139)+COUNTA($Q139))&gt;0),"",IF(AND($D139&lt;&gt;"",$V139="Macro"),IF(N($AH139)&gt;0,N(CHOOSE(MATCH($D139,ListaPuestos,0),INDEX('Cronograma R. Operacional'!$M$5:$M$1000,$AH139),INDEX('Cronograma R. Normativo'!$M$5:$M$1000,$AH139),INDEX('Cronograma R. Financiero'!$M$5:$M$1000,$AH139),INDEX('Cronograma Asistente Técnico'!$M$5:$M$1000,$AH139))),0),IF(ISNUMBER($G139),1,IF(N($W139)&gt;0,AVERAGEIFS($X$5:$X$1000,$U$5:$U$1000,ROW(),$V$5:$V$1000,"Sub"),$X139))))</f>
        <v/>
      </c>
      <c r="N139" s="56">
        <f>IF($M139="","",IF($M139&gt;=1,"Completado",IF($M139&gt;0,"En curso","Pendiente")))</f>
        <v/>
      </c>
      <c r="O139" s="56">
        <f>IF(NOT((COUNTA($B139:$D139)+COUNTA($G139:$L139)+COUNTA($Q139))&gt;0),"",IF(AND(AND($D139&lt;&gt;"",$V139="Macro"),N($AH139)&gt;0),CHOOSE(MATCH($D139,ListaPuestos,0),INDEX('Cronograma R. Operacional'!$O$5:$O$1000,$AH139),INDEX('Cronograma R. Normativo'!$O$5:$O$1000,$AH139),INDEX('Cronograma R. Financiero'!$O$5:$O$1000,$AH139),INDEX('Cronograma Asistente Técnico'!$O$5:$O$1000,$AH139))&amp;"",IF(ISNUMBER($G139),IF(AND(ISNUMBER($AN139),$G139&gt;$AN139),"Cumplida con "&amp;($G139-$AN139)&amp;IF($G139-$AN139=1," día"," días")&amp;" de retraso","Cumplida"),IF(N($M139)&gt;=1,"Cumplida",IF(NOT(ISNUMBER($AN139)),"Sin fecha límite",IF($AN139&lt;FechaRef,"Vencida hace "&amp;(FechaRef-$AN139)&amp;IF(FechaRef-$AN139=1," día"," días"),IF($AN139=FechaRef,"Vence hoy",IF($AN139-FechaRef&lt;=DiasAlerta,"Vence en "&amp;($AN139-FechaRef)&amp;IF($AN139-FechaRef=1," día"," días"),"En plazo"))))))))</f>
        <v/>
      </c>
      <c r="P139" s="62">
        <f>IF(NOT((COUNTA($B139:$D139)+COUNTA($G139:$L139)+COUNTA($Q139))&gt;0),"",IF($D139="","Propia",IF($V139&lt;&gt;"Macro","Solo se delegan macroactividades",IF(N($AH139)&gt;0,"✔ Recibida por "&amp;$D139,"⚠ "&amp;$D139&amp;" aún no la agrega"))))</f>
        <v/>
      </c>
      <c r="Q139" s="58" t="n"/>
      <c r="R139" s="63">
        <f>IF(NOT((COUNTA($B139:$D139)+COUNTA($G139:$L139)+COUNTA($Q139))&gt;0),"",IF((IF($C139="","Falta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",""))="","✔ OK","⚠ "&amp;LEFT(IF($C139="","Falta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",""),LEN(IF($C139="","Falta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",""))-3)))</f>
        <v/>
      </c>
      <c r="S139" s="64">
        <f>IF(NOT((COUNTA($B139:$D139)+COUNTA($G139:$L139)+COUNTA($Q139))&gt;0),"",IF(AND($V139="Sub",N($U139)&gt;0),IF(ISNUMBER(INDEX($AM$5:$AM$1000,$U139-4)),DATE(YEAR(INDEX($AM$5:$AM$1000,$U139-4)),MONTH(INDEX($AM$5:$AM$1000,$U139-4)),1),IF(ISNUMBER(INDEX($AN$5:$AN$1000,$U139-4)),DATE(YEAR(INDEX($AN$5:$AN$1000,$U139-4)),MONTH(INDEX($AN$5:$AN$1000,$U139-4)),1),MesCiclo)),IF(ISNUMBER($AM139),DATE(YEAR($AM139),MONTH($AM139),1),IF(ISNUMBER($AN139),DATE(YEAR($AN139),MONTH($AN139),1),MesCiclo))))</f>
        <v/>
      </c>
      <c r="T139" s="62">
        <f>IF(OR($S139="",$S139&lt;&gt;MesCiclo),"",COUNTIF($S$5:$S139,MesCiclo))</f>
        <v/>
      </c>
      <c r="U139" s="62">
        <f>IF($V139="","",IF($V139="Macro",ROW(),IFERROR(LOOKUP(2,1/($V$5:$V139="Macro"),ROW($V$5:$V139)),0)))</f>
        <v/>
      </c>
      <c r="V139" s="62">
        <f>IF(NOT((COUNTA($B139:$D139)+COUNTA($G139:$L139)+COUNTA($Q139))&gt;0),"",IF($B139="Subactividad","Sub","Macro"))</f>
        <v/>
      </c>
      <c r="W139" s="62">
        <f>IF($V139="Macro",COUNTIFS($U$5:$U$1000,ROW(),$V$5:$V$1000,"Sub"),"")</f>
        <v/>
      </c>
      <c r="X139" s="62">
        <f>IF($V139="","",IF(ISNUMBER($G139),1,IFERROR(LOOKUP(2,1/($I139:$L139&lt;&gt;""),$I139:$L139),0)))</f>
        <v/>
      </c>
      <c r="Y139" s="62">
        <f>IF($V139="","",IF(AND(ISNUMBER($G139),$G139&lt;=IF($S139=MesCiclo,InicioCiclo,$S139+MOD(2-WEEKDAY($S139),7))+6),1,IF(ISNUMBER($I139),$I139,0)))</f>
        <v/>
      </c>
      <c r="Z139" s="62">
        <f>IF($V139="","",IF(AND(ISNUMBER($G139),$G139&lt;=IF($S139=MesCiclo,InicioCiclo,$S139+MOD(2-WEEKDAY($S139),7))+13),1,IF(ISNUMBER($J139),$J139,$Y139)))</f>
        <v/>
      </c>
      <c r="AA139" s="62">
        <f>IF($V139="","",IF(AND(ISNUMBER($G139),$G139&lt;=IF($S139=MesCiclo,InicioCiclo,$S139+MOD(2-WEEKDAY($S139),7))+20),1,IF(ISNUMBER($K139),$K139,$Z139)))</f>
        <v/>
      </c>
      <c r="AB139" s="62">
        <f>IF($V139="","",IF(AND(ISNUMBER($G139),$G139&lt;=IF($S139=MesCiclo,InicioCiclo,$S139+MOD(2-WEEKDAY($S139),7))+27),1,IF(ISNUMBER($L139),$L139,$AA139)))</f>
        <v/>
      </c>
      <c r="AC139" s="62">
        <f>IF($V139="","",IF(AND(ISNUMBER($G139),$G139&lt;=IF($S139=MesCiclo,InicioCiclo,$S139+MOD(2-WEEKDAY($S139),7))+6),1,IF(N($W139)&gt;0,AVERAGEIFS($Y$5:$Y$1000,$U$5:$U$1000,ROW(),$V$5:$V$1000,"Sub"),$Y139)))</f>
        <v/>
      </c>
      <c r="AD139" s="62">
        <f>IF($V139="","",IF(AND(ISNUMBER($G139),$G139&lt;=IF($S139=MesCiclo,InicioCiclo,$S139+MOD(2-WEEKDAY($S139),7))+13),1,IF(N($W139)&gt;0,AVERAGEIFS($Z$5:$Z$1000,$U$5:$U$1000,ROW(),$V$5:$V$1000,"Sub"),$Z139)))</f>
        <v/>
      </c>
      <c r="AE139" s="62">
        <f>IF($V139="","",IF(AND(ISNUMBER($G139),$G139&lt;=IF($S139=MesCiclo,InicioCiclo,$S139+MOD(2-WEEKDAY($S139),7))+20),1,IF(N($W139)&gt;0,AVERAGEIFS($AA$5:$AA$1000,$U$5:$U$1000,ROW(),$V$5:$V$1000,"Sub"),$AA139)))</f>
        <v/>
      </c>
      <c r="AF139" s="62">
        <f>IF($V139="","",IF(AND(ISNUMBER($G139),$G139&lt;=IF($S139=MesCiclo,InicioCiclo,$S139+MOD(2-WEEKDAY($S139),7))+27),1,IF(N($W139)&gt;0,AVERAGEIFS($AB$5:$AB$1000,$U$5:$U$1000,ROW(),$V$5:$V$1000,"Sub"),$AB139)))</f>
        <v/>
      </c>
      <c r="AG139" s="62">
        <f>IF($V139&lt;&gt;"Macro","",IF(COUNTIFS($S$5:$S$1000,$S139,$V$5:$V$1000,"Macro",$H$5:$H$1000,"&gt;0")=0,1/COUNTIFS($S$5:$S$1000,$S139,$V$5:$V$1000,"Macro"),IF(AND(ISNUMBER($H139),N($H139)&gt;0),$H139,SUMIFS($H$5:$H$1000,$S$5:$S$1000,$S139,$V$5:$V$1000,"Macro")/COUNTIFS($S$5:$S$1000,$S139,$V$5:$V$1000,"Macro",$H$5:$H$1000,"&gt;0"))/(COUNTIFS($S$5:$S$1000,$S139,$V$5:$V$1000,"Macro")*SUMIFS($H$5:$H$1000,$S$5:$S$1000,$S139,$V$5:$V$1000,"Macro")/COUNTIFS($S$5:$S$1000,$S139,$V$5:$V$1000,"Macro",$H$5:$H$1000,"&gt;0"))))</f>
        <v/>
      </c>
      <c r="AH139" s="62">
        <f>IF(NOT(AND($D139&lt;&gt;"",$V139="Macro")),"",IFERROR(CHOOSE(MATCH($D139,ListaPuestos,0),MATCH("[Jefatura] "&amp;$C139,'Cronograma R. Operacional'!$C$5:$C$1000,0),MATCH("[Jefatura] "&amp;$C139,'Cronograma R. Normativo'!$C$5:$C$1000,0),MATCH("[Jefatura] "&amp;$C139,'Cronograma R. Financiero'!$C$5:$C$1000,0),MATCH("[Jefatura] "&amp;$C139,'Cronograma Asistente Técnico'!$C$5:$C$1000,0)),0))</f>
        <v/>
      </c>
      <c r="AI139" s="62">
        <f>IF(AND(AND($D139&lt;&gt;"",$V139="Macro"),$S139=MesCiclo),COUNTIFS($D$5:$D139,$D139,$S$5:$S139,MesCiclo,$V$5:$V139,"Macro"),"")</f>
        <v/>
      </c>
      <c r="AJ139" s="62">
        <f>IF($AI139="","",$D139&amp;"|"&amp;$AI139)</f>
        <v/>
      </c>
      <c r="AK139" s="62">
        <f>IF(AND($D139&lt;&gt;"",$V139="Macro"),$D139&amp;"|"&amp;$C139,"")</f>
        <v/>
      </c>
      <c r="AL139" s="62">
        <f>""</f>
        <v/>
      </c>
      <c r="AM139" s="62">
        <f>IF(N($AL139)&gt;0,INDEX(rIni_ADM,$AL139),IF(ISNUMBER($E139),$E139,""))</f>
        <v/>
      </c>
      <c r="AN139" s="62">
        <f>IF(N($AL139)&gt;0,INDEX(rLim_ADM,$AL139),IF(ISNUMBER($F139),$F139,""))</f>
        <v/>
      </c>
    </row>
    <row r="140">
      <c r="A140" s="56">
        <f>IF(NOT((COUNTA($B140:$D140)+COUNTA($G140:$L140)+COUNTA($Q140))&gt;0),"",IF($V140="Macro",COUNTIFS($V$5:$V140,"Macro",$S$5:$S140,$S140),IF(N($U140)=0,"?",COUNTIFS(INDEX($V$5:$V$1000,1):INDEX($V$5:$V$1000,$U140-4),"Macro",INDEX($S$5:$S$1000,1):INDEX($S$5:$S$1000,$U140-4),INDEX($S$5:$S$1000,$U140-4))&amp;"."&amp;COUNTIFS($U$5:$U140,$U140,$V$5:$V140,"Sub"))))</f>
        <v/>
      </c>
      <c r="B140" s="57" t="n"/>
      <c r="C140" s="58" t="n"/>
      <c r="D140" s="58" t="n"/>
      <c r="E140" s="59" t="n"/>
      <c r="F140" s="59" t="n"/>
      <c r="G140" s="59" t="n"/>
      <c r="H140" s="60" t="n"/>
      <c r="I140" s="60" t="n"/>
      <c r="J140" s="60" t="n"/>
      <c r="K140" s="60" t="n"/>
      <c r="L140" s="60" t="n"/>
      <c r="M140" s="61">
        <f>IF(NOT((COUNTA($B140:$D140)+COUNTA($G140:$L140)+COUNTA($Q140))&gt;0),"",IF(AND($D140&lt;&gt;"",$V140="Macro"),IF(N($AH140)&gt;0,N(CHOOSE(MATCH($D140,ListaPuestos,0),INDEX('Cronograma R. Operacional'!$M$5:$M$1000,$AH140),INDEX('Cronograma R. Normativo'!$M$5:$M$1000,$AH140),INDEX('Cronograma R. Financiero'!$M$5:$M$1000,$AH140),INDEX('Cronograma Asistente Técnico'!$M$5:$M$1000,$AH140))),0),IF(ISNUMBER($G140),1,IF(N($W140)&gt;0,AVERAGEIFS($X$5:$X$1000,$U$5:$U$1000,ROW(),$V$5:$V$1000,"Sub"),$X140))))</f>
        <v/>
      </c>
      <c r="N140" s="56">
        <f>IF($M140="","",IF($M140&gt;=1,"Completado",IF($M140&gt;0,"En curso","Pendiente")))</f>
        <v/>
      </c>
      <c r="O140" s="56">
        <f>IF(NOT((COUNTA($B140:$D140)+COUNTA($G140:$L140)+COUNTA($Q140))&gt;0),"",IF(AND(AND($D140&lt;&gt;"",$V140="Macro"),N($AH140)&gt;0),CHOOSE(MATCH($D140,ListaPuestos,0),INDEX('Cronograma R. Operacional'!$O$5:$O$1000,$AH140),INDEX('Cronograma R. Normativo'!$O$5:$O$1000,$AH140),INDEX('Cronograma R. Financiero'!$O$5:$O$1000,$AH140),INDEX('Cronograma Asistente Técnico'!$O$5:$O$1000,$AH140))&amp;"",IF(ISNUMBER($G140),IF(AND(ISNUMBER($AN140),$G140&gt;$AN140),"Cumplida con "&amp;($G140-$AN140)&amp;IF($G140-$AN140=1," día"," días")&amp;" de retraso","Cumplida"),IF(N($M140)&gt;=1,"Cumplida",IF(NOT(ISNUMBER($AN140)),"Sin fecha límite",IF($AN140&lt;FechaRef,"Vencida hace "&amp;(FechaRef-$AN140)&amp;IF(FechaRef-$AN140=1," día"," días"),IF($AN140=FechaRef,"Vence hoy",IF($AN140-FechaRef&lt;=DiasAlerta,"Vence en "&amp;($AN140-FechaRef)&amp;IF($AN140-FechaRef=1," día"," días"),"En plazo"))))))))</f>
        <v/>
      </c>
      <c r="P140" s="62">
        <f>IF(NOT((COUNTA($B140:$D140)+COUNTA($G140:$L140)+COUNTA($Q140))&gt;0),"",IF($D140="","Propia",IF($V140&lt;&gt;"Macro","Solo se delegan macroactividades",IF(N($AH140)&gt;0,"✔ Recibida por "&amp;$D140,"⚠ "&amp;$D140&amp;" aún no la agrega"))))</f>
        <v/>
      </c>
      <c r="Q140" s="58" t="n"/>
      <c r="R140" s="63">
        <f>IF(NOT((COUNTA($B140:$D140)+COUNTA($G140:$L140)+COUNTA($Q140))&gt;0),"",IF((IF($C140="","Falta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",""))="","✔ OK","⚠ "&amp;LEFT(IF($C140="","Falta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",""),LEN(IF($C140="","Falta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",""))-3)))</f>
        <v/>
      </c>
      <c r="S140" s="64">
        <f>IF(NOT((COUNTA($B140:$D140)+COUNTA($G140:$L140)+COUNTA($Q140))&gt;0),"",IF(AND($V140="Sub",N($U140)&gt;0),IF(ISNUMBER(INDEX($AM$5:$AM$1000,$U140-4)),DATE(YEAR(INDEX($AM$5:$AM$1000,$U140-4)),MONTH(INDEX($AM$5:$AM$1000,$U140-4)),1),IF(ISNUMBER(INDEX($AN$5:$AN$1000,$U140-4)),DATE(YEAR(INDEX($AN$5:$AN$1000,$U140-4)),MONTH(INDEX($AN$5:$AN$1000,$U140-4)),1),MesCiclo)),IF(ISNUMBER($AM140),DATE(YEAR($AM140),MONTH($AM140),1),IF(ISNUMBER($AN140),DATE(YEAR($AN140),MONTH($AN140),1),MesCiclo))))</f>
        <v/>
      </c>
      <c r="T140" s="62">
        <f>IF(OR($S140="",$S140&lt;&gt;MesCiclo),"",COUNTIF($S$5:$S140,MesCiclo))</f>
        <v/>
      </c>
      <c r="U140" s="62">
        <f>IF($V140="","",IF($V140="Macro",ROW(),IFERROR(LOOKUP(2,1/($V$5:$V140="Macro"),ROW($V$5:$V140)),0)))</f>
        <v/>
      </c>
      <c r="V140" s="62">
        <f>IF(NOT((COUNTA($B140:$D140)+COUNTA($G140:$L140)+COUNTA($Q140))&gt;0),"",IF($B140="Subactividad","Sub","Macro"))</f>
        <v/>
      </c>
      <c r="W140" s="62">
        <f>IF($V140="Macro",COUNTIFS($U$5:$U$1000,ROW(),$V$5:$V$1000,"Sub"),"")</f>
        <v/>
      </c>
      <c r="X140" s="62">
        <f>IF($V140="","",IF(ISNUMBER($G140),1,IFERROR(LOOKUP(2,1/($I140:$L140&lt;&gt;""),$I140:$L140),0)))</f>
        <v/>
      </c>
      <c r="Y140" s="62">
        <f>IF($V140="","",IF(AND(ISNUMBER($G140),$G140&lt;=IF($S140=MesCiclo,InicioCiclo,$S140+MOD(2-WEEKDAY($S140),7))+6),1,IF(ISNUMBER($I140),$I140,0)))</f>
        <v/>
      </c>
      <c r="Z140" s="62">
        <f>IF($V140="","",IF(AND(ISNUMBER($G140),$G140&lt;=IF($S140=MesCiclo,InicioCiclo,$S140+MOD(2-WEEKDAY($S140),7))+13),1,IF(ISNUMBER($J140),$J140,$Y140)))</f>
        <v/>
      </c>
      <c r="AA140" s="62">
        <f>IF($V140="","",IF(AND(ISNUMBER($G140),$G140&lt;=IF($S140=MesCiclo,InicioCiclo,$S140+MOD(2-WEEKDAY($S140),7))+20),1,IF(ISNUMBER($K140),$K140,$Z140)))</f>
        <v/>
      </c>
      <c r="AB140" s="62">
        <f>IF($V140="","",IF(AND(ISNUMBER($G140),$G140&lt;=IF($S140=MesCiclo,InicioCiclo,$S140+MOD(2-WEEKDAY($S140),7))+27),1,IF(ISNUMBER($L140),$L140,$AA140)))</f>
        <v/>
      </c>
      <c r="AC140" s="62">
        <f>IF($V140="","",IF(AND(ISNUMBER($G140),$G140&lt;=IF($S140=MesCiclo,InicioCiclo,$S140+MOD(2-WEEKDAY($S140),7))+6),1,IF(N($W140)&gt;0,AVERAGEIFS($Y$5:$Y$1000,$U$5:$U$1000,ROW(),$V$5:$V$1000,"Sub"),$Y140)))</f>
        <v/>
      </c>
      <c r="AD140" s="62">
        <f>IF($V140="","",IF(AND(ISNUMBER($G140),$G140&lt;=IF($S140=MesCiclo,InicioCiclo,$S140+MOD(2-WEEKDAY($S140),7))+13),1,IF(N($W140)&gt;0,AVERAGEIFS($Z$5:$Z$1000,$U$5:$U$1000,ROW(),$V$5:$V$1000,"Sub"),$Z140)))</f>
        <v/>
      </c>
      <c r="AE140" s="62">
        <f>IF($V140="","",IF(AND(ISNUMBER($G140),$G140&lt;=IF($S140=MesCiclo,InicioCiclo,$S140+MOD(2-WEEKDAY($S140),7))+20),1,IF(N($W140)&gt;0,AVERAGEIFS($AA$5:$AA$1000,$U$5:$U$1000,ROW(),$V$5:$V$1000,"Sub"),$AA140)))</f>
        <v/>
      </c>
      <c r="AF140" s="62">
        <f>IF($V140="","",IF(AND(ISNUMBER($G140),$G140&lt;=IF($S140=MesCiclo,InicioCiclo,$S140+MOD(2-WEEKDAY($S140),7))+27),1,IF(N($W140)&gt;0,AVERAGEIFS($AB$5:$AB$1000,$U$5:$U$1000,ROW(),$V$5:$V$1000,"Sub"),$AB140)))</f>
        <v/>
      </c>
      <c r="AG140" s="62">
        <f>IF($V140&lt;&gt;"Macro","",IF(COUNTIFS($S$5:$S$1000,$S140,$V$5:$V$1000,"Macro",$H$5:$H$1000,"&gt;0")=0,1/COUNTIFS($S$5:$S$1000,$S140,$V$5:$V$1000,"Macro"),IF(AND(ISNUMBER($H140),N($H140)&gt;0),$H140,SUMIFS($H$5:$H$1000,$S$5:$S$1000,$S140,$V$5:$V$1000,"Macro")/COUNTIFS($S$5:$S$1000,$S140,$V$5:$V$1000,"Macro",$H$5:$H$1000,"&gt;0"))/(COUNTIFS($S$5:$S$1000,$S140,$V$5:$V$1000,"Macro")*SUMIFS($H$5:$H$1000,$S$5:$S$1000,$S140,$V$5:$V$1000,"Macro")/COUNTIFS($S$5:$S$1000,$S140,$V$5:$V$1000,"Macro",$H$5:$H$1000,"&gt;0"))))</f>
        <v/>
      </c>
      <c r="AH140" s="62">
        <f>IF(NOT(AND($D140&lt;&gt;"",$V140="Macro")),"",IFERROR(CHOOSE(MATCH($D140,ListaPuestos,0),MATCH("[Jefatura] "&amp;$C140,'Cronograma R. Operacional'!$C$5:$C$1000,0),MATCH("[Jefatura] "&amp;$C140,'Cronograma R. Normativo'!$C$5:$C$1000,0),MATCH("[Jefatura] "&amp;$C140,'Cronograma R. Financiero'!$C$5:$C$1000,0),MATCH("[Jefatura] "&amp;$C140,'Cronograma Asistente Técnico'!$C$5:$C$1000,0)),0))</f>
        <v/>
      </c>
      <c r="AI140" s="62">
        <f>IF(AND(AND($D140&lt;&gt;"",$V140="Macro"),$S140=MesCiclo),COUNTIFS($D$5:$D140,$D140,$S$5:$S140,MesCiclo,$V$5:$V140,"Macro"),"")</f>
        <v/>
      </c>
      <c r="AJ140" s="62">
        <f>IF($AI140="","",$D140&amp;"|"&amp;$AI140)</f>
        <v/>
      </c>
      <c r="AK140" s="62">
        <f>IF(AND($D140&lt;&gt;"",$V140="Macro"),$D140&amp;"|"&amp;$C140,"")</f>
        <v/>
      </c>
      <c r="AL140" s="62">
        <f>""</f>
        <v/>
      </c>
      <c r="AM140" s="62">
        <f>IF(N($AL140)&gt;0,INDEX(rIni_ADM,$AL140),IF(ISNUMBER($E140),$E140,""))</f>
        <v/>
      </c>
      <c r="AN140" s="62">
        <f>IF(N($AL140)&gt;0,INDEX(rLim_ADM,$AL140),IF(ISNUMBER($F140),$F140,""))</f>
        <v/>
      </c>
    </row>
    <row r="141">
      <c r="A141" s="56">
        <f>IF(NOT((COUNTA($B141:$D141)+COUNTA($G141:$L141)+COUNTA($Q141))&gt;0),"",IF($V141="Macro",COUNTIFS($V$5:$V141,"Macro",$S$5:$S141,$S141),IF(N($U141)=0,"?",COUNTIFS(INDEX($V$5:$V$1000,1):INDEX($V$5:$V$1000,$U141-4),"Macro",INDEX($S$5:$S$1000,1):INDEX($S$5:$S$1000,$U141-4),INDEX($S$5:$S$1000,$U141-4))&amp;"."&amp;COUNTIFS($U$5:$U141,$U141,$V$5:$V141,"Sub"))))</f>
        <v/>
      </c>
      <c r="B141" s="57" t="n"/>
      <c r="C141" s="58" t="n"/>
      <c r="D141" s="58" t="n"/>
      <c r="E141" s="59" t="n"/>
      <c r="F141" s="59" t="n"/>
      <c r="G141" s="59" t="n"/>
      <c r="H141" s="60" t="n"/>
      <c r="I141" s="60" t="n"/>
      <c r="J141" s="60" t="n"/>
      <c r="K141" s="60" t="n"/>
      <c r="L141" s="60" t="n"/>
      <c r="M141" s="61">
        <f>IF(NOT((COUNTA($B141:$D141)+COUNTA($G141:$L141)+COUNTA($Q141))&gt;0),"",IF(AND($D141&lt;&gt;"",$V141="Macro"),IF(N($AH141)&gt;0,N(CHOOSE(MATCH($D141,ListaPuestos,0),INDEX('Cronograma R. Operacional'!$M$5:$M$1000,$AH141),INDEX('Cronograma R. Normativo'!$M$5:$M$1000,$AH141),INDEX('Cronograma R. Financiero'!$M$5:$M$1000,$AH141),INDEX('Cronograma Asistente Técnico'!$M$5:$M$1000,$AH141))),0),IF(ISNUMBER($G141),1,IF(N($W141)&gt;0,AVERAGEIFS($X$5:$X$1000,$U$5:$U$1000,ROW(),$V$5:$V$1000,"Sub"),$X141))))</f>
        <v/>
      </c>
      <c r="N141" s="56">
        <f>IF($M141="","",IF($M141&gt;=1,"Completado",IF($M141&gt;0,"En curso","Pendiente")))</f>
        <v/>
      </c>
      <c r="O141" s="56">
        <f>IF(NOT((COUNTA($B141:$D141)+COUNTA($G141:$L141)+COUNTA($Q141))&gt;0),"",IF(AND(AND($D141&lt;&gt;"",$V141="Macro"),N($AH141)&gt;0),CHOOSE(MATCH($D141,ListaPuestos,0),INDEX('Cronograma R. Operacional'!$O$5:$O$1000,$AH141),INDEX('Cronograma R. Normativo'!$O$5:$O$1000,$AH141),INDEX('Cronograma R. Financiero'!$O$5:$O$1000,$AH141),INDEX('Cronograma Asistente Técnico'!$O$5:$O$1000,$AH141))&amp;"",IF(ISNUMBER($G141),IF(AND(ISNUMBER($AN141),$G141&gt;$AN141),"Cumplida con "&amp;($G141-$AN141)&amp;IF($G141-$AN141=1," día"," días")&amp;" de retraso","Cumplida"),IF(N($M141)&gt;=1,"Cumplida",IF(NOT(ISNUMBER($AN141)),"Sin fecha límite",IF($AN141&lt;FechaRef,"Vencida hace "&amp;(FechaRef-$AN141)&amp;IF(FechaRef-$AN141=1," día"," días"),IF($AN141=FechaRef,"Vence hoy",IF($AN141-FechaRef&lt;=DiasAlerta,"Vence en "&amp;($AN141-FechaRef)&amp;IF($AN141-FechaRef=1," día"," días"),"En plazo"))))))))</f>
        <v/>
      </c>
      <c r="P141" s="62">
        <f>IF(NOT((COUNTA($B141:$D141)+COUNTA($G141:$L141)+COUNTA($Q141))&gt;0),"",IF($D141="","Propia",IF($V141&lt;&gt;"Macro","Solo se delegan macroactividades",IF(N($AH141)&gt;0,"✔ Recibida por "&amp;$D141,"⚠ "&amp;$D141&amp;" aún no la agrega"))))</f>
        <v/>
      </c>
      <c r="Q141" s="58" t="n"/>
      <c r="R141" s="63">
        <f>IF(NOT((COUNTA($B141:$D141)+COUNTA($G141:$L141)+COUNTA($Q141))&gt;0),"",IF((IF($C141="","Falta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",""))="","✔ OK","⚠ "&amp;LEFT(IF($C141="","Falta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",""),LEN(IF($C141="","Falta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",""))-3)))</f>
        <v/>
      </c>
      <c r="S141" s="64">
        <f>IF(NOT((COUNTA($B141:$D141)+COUNTA($G141:$L141)+COUNTA($Q141))&gt;0),"",IF(AND($V141="Sub",N($U141)&gt;0),IF(ISNUMBER(INDEX($AM$5:$AM$1000,$U141-4)),DATE(YEAR(INDEX($AM$5:$AM$1000,$U141-4)),MONTH(INDEX($AM$5:$AM$1000,$U141-4)),1),IF(ISNUMBER(INDEX($AN$5:$AN$1000,$U141-4)),DATE(YEAR(INDEX($AN$5:$AN$1000,$U141-4)),MONTH(INDEX($AN$5:$AN$1000,$U141-4)),1),MesCiclo)),IF(ISNUMBER($AM141),DATE(YEAR($AM141),MONTH($AM141),1),IF(ISNUMBER($AN141),DATE(YEAR($AN141),MONTH($AN141),1),MesCiclo))))</f>
        <v/>
      </c>
      <c r="T141" s="62">
        <f>IF(OR($S141="",$S141&lt;&gt;MesCiclo),"",COUNTIF($S$5:$S141,MesCiclo))</f>
        <v/>
      </c>
      <c r="U141" s="62">
        <f>IF($V141="","",IF($V141="Macro",ROW(),IFERROR(LOOKUP(2,1/($V$5:$V141="Macro"),ROW($V$5:$V141)),0)))</f>
        <v/>
      </c>
      <c r="V141" s="62">
        <f>IF(NOT((COUNTA($B141:$D141)+COUNTA($G141:$L141)+COUNTA($Q141))&gt;0),"",IF($B141="Subactividad","Sub","Macro"))</f>
        <v/>
      </c>
      <c r="W141" s="62">
        <f>IF($V141="Macro",COUNTIFS($U$5:$U$1000,ROW(),$V$5:$V$1000,"Sub"),"")</f>
        <v/>
      </c>
      <c r="X141" s="62">
        <f>IF($V141="","",IF(ISNUMBER($G141),1,IFERROR(LOOKUP(2,1/($I141:$L141&lt;&gt;""),$I141:$L141),0)))</f>
        <v/>
      </c>
      <c r="Y141" s="62">
        <f>IF($V141="","",IF(AND(ISNUMBER($G141),$G141&lt;=IF($S141=MesCiclo,InicioCiclo,$S141+MOD(2-WEEKDAY($S141),7))+6),1,IF(ISNUMBER($I141),$I141,0)))</f>
        <v/>
      </c>
      <c r="Z141" s="62">
        <f>IF($V141="","",IF(AND(ISNUMBER($G141),$G141&lt;=IF($S141=MesCiclo,InicioCiclo,$S141+MOD(2-WEEKDAY($S141),7))+13),1,IF(ISNUMBER($J141),$J141,$Y141)))</f>
        <v/>
      </c>
      <c r="AA141" s="62">
        <f>IF($V141="","",IF(AND(ISNUMBER($G141),$G141&lt;=IF($S141=MesCiclo,InicioCiclo,$S141+MOD(2-WEEKDAY($S141),7))+20),1,IF(ISNUMBER($K141),$K141,$Z141)))</f>
        <v/>
      </c>
      <c r="AB141" s="62">
        <f>IF($V141="","",IF(AND(ISNUMBER($G141),$G141&lt;=IF($S141=MesCiclo,InicioCiclo,$S141+MOD(2-WEEKDAY($S141),7))+27),1,IF(ISNUMBER($L141),$L141,$AA141)))</f>
        <v/>
      </c>
      <c r="AC141" s="62">
        <f>IF($V141="","",IF(AND(ISNUMBER($G141),$G141&lt;=IF($S141=MesCiclo,InicioCiclo,$S141+MOD(2-WEEKDAY($S141),7))+6),1,IF(N($W141)&gt;0,AVERAGEIFS($Y$5:$Y$1000,$U$5:$U$1000,ROW(),$V$5:$V$1000,"Sub"),$Y141)))</f>
        <v/>
      </c>
      <c r="AD141" s="62">
        <f>IF($V141="","",IF(AND(ISNUMBER($G141),$G141&lt;=IF($S141=MesCiclo,InicioCiclo,$S141+MOD(2-WEEKDAY($S141),7))+13),1,IF(N($W141)&gt;0,AVERAGEIFS($Z$5:$Z$1000,$U$5:$U$1000,ROW(),$V$5:$V$1000,"Sub"),$Z141)))</f>
        <v/>
      </c>
      <c r="AE141" s="62">
        <f>IF($V141="","",IF(AND(ISNUMBER($G141),$G141&lt;=IF($S141=MesCiclo,InicioCiclo,$S141+MOD(2-WEEKDAY($S141),7))+20),1,IF(N($W141)&gt;0,AVERAGEIFS($AA$5:$AA$1000,$U$5:$U$1000,ROW(),$V$5:$V$1000,"Sub"),$AA141)))</f>
        <v/>
      </c>
      <c r="AF141" s="62">
        <f>IF($V141="","",IF(AND(ISNUMBER($G141),$G141&lt;=IF($S141=MesCiclo,InicioCiclo,$S141+MOD(2-WEEKDAY($S141),7))+27),1,IF(N($W141)&gt;0,AVERAGEIFS($AB$5:$AB$1000,$U$5:$U$1000,ROW(),$V$5:$V$1000,"Sub"),$AB141)))</f>
        <v/>
      </c>
      <c r="AG141" s="62">
        <f>IF($V141&lt;&gt;"Macro","",IF(COUNTIFS($S$5:$S$1000,$S141,$V$5:$V$1000,"Macro",$H$5:$H$1000,"&gt;0")=0,1/COUNTIFS($S$5:$S$1000,$S141,$V$5:$V$1000,"Macro"),IF(AND(ISNUMBER($H141),N($H141)&gt;0),$H141,SUMIFS($H$5:$H$1000,$S$5:$S$1000,$S141,$V$5:$V$1000,"Macro")/COUNTIFS($S$5:$S$1000,$S141,$V$5:$V$1000,"Macro",$H$5:$H$1000,"&gt;0"))/(COUNTIFS($S$5:$S$1000,$S141,$V$5:$V$1000,"Macro")*SUMIFS($H$5:$H$1000,$S$5:$S$1000,$S141,$V$5:$V$1000,"Macro")/COUNTIFS($S$5:$S$1000,$S141,$V$5:$V$1000,"Macro",$H$5:$H$1000,"&gt;0"))))</f>
        <v/>
      </c>
      <c r="AH141" s="62">
        <f>IF(NOT(AND($D141&lt;&gt;"",$V141="Macro")),"",IFERROR(CHOOSE(MATCH($D141,ListaPuestos,0),MATCH("[Jefatura] "&amp;$C141,'Cronograma R. Operacional'!$C$5:$C$1000,0),MATCH("[Jefatura] "&amp;$C141,'Cronograma R. Normativo'!$C$5:$C$1000,0),MATCH("[Jefatura] "&amp;$C141,'Cronograma R. Financiero'!$C$5:$C$1000,0),MATCH("[Jefatura] "&amp;$C141,'Cronograma Asistente Técnico'!$C$5:$C$1000,0)),0))</f>
        <v/>
      </c>
      <c r="AI141" s="62">
        <f>IF(AND(AND($D141&lt;&gt;"",$V141="Macro"),$S141=MesCiclo),COUNTIFS($D$5:$D141,$D141,$S$5:$S141,MesCiclo,$V$5:$V141,"Macro"),"")</f>
        <v/>
      </c>
      <c r="AJ141" s="62">
        <f>IF($AI141="","",$D141&amp;"|"&amp;$AI141)</f>
        <v/>
      </c>
      <c r="AK141" s="62">
        <f>IF(AND($D141&lt;&gt;"",$V141="Macro"),$D141&amp;"|"&amp;$C141,"")</f>
        <v/>
      </c>
      <c r="AL141" s="62">
        <f>""</f>
        <v/>
      </c>
      <c r="AM141" s="62">
        <f>IF(N($AL141)&gt;0,INDEX(rIni_ADM,$AL141),IF(ISNUMBER($E141),$E141,""))</f>
        <v/>
      </c>
      <c r="AN141" s="62">
        <f>IF(N($AL141)&gt;0,INDEX(rLim_ADM,$AL141),IF(ISNUMBER($F141),$F141,""))</f>
        <v/>
      </c>
    </row>
    <row r="142">
      <c r="A142" s="56">
        <f>IF(NOT((COUNTA($B142:$D142)+COUNTA($G142:$L142)+COUNTA($Q142))&gt;0),"",IF($V142="Macro",COUNTIFS($V$5:$V142,"Macro",$S$5:$S142,$S142),IF(N($U142)=0,"?",COUNTIFS(INDEX($V$5:$V$1000,1):INDEX($V$5:$V$1000,$U142-4),"Macro",INDEX($S$5:$S$1000,1):INDEX($S$5:$S$1000,$U142-4),INDEX($S$5:$S$1000,$U142-4))&amp;"."&amp;COUNTIFS($U$5:$U142,$U142,$V$5:$V142,"Sub"))))</f>
        <v/>
      </c>
      <c r="B142" s="57" t="n"/>
      <c r="C142" s="58" t="n"/>
      <c r="D142" s="58" t="n"/>
      <c r="E142" s="59" t="n"/>
      <c r="F142" s="59" t="n"/>
      <c r="G142" s="59" t="n"/>
      <c r="H142" s="60" t="n"/>
      <c r="I142" s="60" t="n"/>
      <c r="J142" s="60" t="n"/>
      <c r="K142" s="60" t="n"/>
      <c r="L142" s="60" t="n"/>
      <c r="M142" s="61">
        <f>IF(NOT((COUNTA($B142:$D142)+COUNTA($G142:$L142)+COUNTA($Q142))&gt;0),"",IF(AND($D142&lt;&gt;"",$V142="Macro"),IF(N($AH142)&gt;0,N(CHOOSE(MATCH($D142,ListaPuestos,0),INDEX('Cronograma R. Operacional'!$M$5:$M$1000,$AH142),INDEX('Cronograma R. Normativo'!$M$5:$M$1000,$AH142),INDEX('Cronograma R. Financiero'!$M$5:$M$1000,$AH142),INDEX('Cronograma Asistente Técnico'!$M$5:$M$1000,$AH142))),0),IF(ISNUMBER($G142),1,IF(N($W142)&gt;0,AVERAGEIFS($X$5:$X$1000,$U$5:$U$1000,ROW(),$V$5:$V$1000,"Sub"),$X142))))</f>
        <v/>
      </c>
      <c r="N142" s="56">
        <f>IF($M142="","",IF($M142&gt;=1,"Completado",IF($M142&gt;0,"En curso","Pendiente")))</f>
        <v/>
      </c>
      <c r="O142" s="56">
        <f>IF(NOT((COUNTA($B142:$D142)+COUNTA($G142:$L142)+COUNTA($Q142))&gt;0),"",IF(AND(AND($D142&lt;&gt;"",$V142="Macro"),N($AH142)&gt;0),CHOOSE(MATCH($D142,ListaPuestos,0),INDEX('Cronograma R. Operacional'!$O$5:$O$1000,$AH142),INDEX('Cronograma R. Normativo'!$O$5:$O$1000,$AH142),INDEX('Cronograma R. Financiero'!$O$5:$O$1000,$AH142),INDEX('Cronograma Asistente Técnico'!$O$5:$O$1000,$AH142))&amp;"",IF(ISNUMBER($G142),IF(AND(ISNUMBER($AN142),$G142&gt;$AN142),"Cumplida con "&amp;($G142-$AN142)&amp;IF($G142-$AN142=1," día"," días")&amp;" de retraso","Cumplida"),IF(N($M142)&gt;=1,"Cumplida",IF(NOT(ISNUMBER($AN142)),"Sin fecha límite",IF($AN142&lt;FechaRef,"Vencida hace "&amp;(FechaRef-$AN142)&amp;IF(FechaRef-$AN142=1," día"," días"),IF($AN142=FechaRef,"Vence hoy",IF($AN142-FechaRef&lt;=DiasAlerta,"Vence en "&amp;($AN142-FechaRef)&amp;IF($AN142-FechaRef=1," día"," días"),"En plazo"))))))))</f>
        <v/>
      </c>
      <c r="P142" s="62">
        <f>IF(NOT((COUNTA($B142:$D142)+COUNTA($G142:$L142)+COUNTA($Q142))&gt;0),"",IF($D142="","Propia",IF($V142&lt;&gt;"Macro","Solo se delegan macroactividades",IF(N($AH142)&gt;0,"✔ Recibida por "&amp;$D142,"⚠ "&amp;$D142&amp;" aún no la agrega"))))</f>
        <v/>
      </c>
      <c r="Q142" s="58" t="n"/>
      <c r="R142" s="63">
        <f>IF(NOT((COUNTA($B142:$D142)+COUNTA($G142:$L142)+COUNTA($Q142))&gt;0),"",IF((IF($C142="","Falta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",""))="","✔ OK","⚠ "&amp;LEFT(IF($C142="","Falta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",""),LEN(IF($C142="","Falta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",""))-3)))</f>
        <v/>
      </c>
      <c r="S142" s="64">
        <f>IF(NOT((COUNTA($B142:$D142)+COUNTA($G142:$L142)+COUNTA($Q142))&gt;0),"",IF(AND($V142="Sub",N($U142)&gt;0),IF(ISNUMBER(INDEX($AM$5:$AM$1000,$U142-4)),DATE(YEAR(INDEX($AM$5:$AM$1000,$U142-4)),MONTH(INDEX($AM$5:$AM$1000,$U142-4)),1),IF(ISNUMBER(INDEX($AN$5:$AN$1000,$U142-4)),DATE(YEAR(INDEX($AN$5:$AN$1000,$U142-4)),MONTH(INDEX($AN$5:$AN$1000,$U142-4)),1),MesCiclo)),IF(ISNUMBER($AM142),DATE(YEAR($AM142),MONTH($AM142),1),IF(ISNUMBER($AN142),DATE(YEAR($AN142),MONTH($AN142),1),MesCiclo))))</f>
        <v/>
      </c>
      <c r="T142" s="62">
        <f>IF(OR($S142="",$S142&lt;&gt;MesCiclo),"",COUNTIF($S$5:$S142,MesCiclo))</f>
        <v/>
      </c>
      <c r="U142" s="62">
        <f>IF($V142="","",IF($V142="Macro",ROW(),IFERROR(LOOKUP(2,1/($V$5:$V142="Macro"),ROW($V$5:$V142)),0)))</f>
        <v/>
      </c>
      <c r="V142" s="62">
        <f>IF(NOT((COUNTA($B142:$D142)+COUNTA($G142:$L142)+COUNTA($Q142))&gt;0),"",IF($B142="Subactividad","Sub","Macro"))</f>
        <v/>
      </c>
      <c r="W142" s="62">
        <f>IF($V142="Macro",COUNTIFS($U$5:$U$1000,ROW(),$V$5:$V$1000,"Sub"),"")</f>
        <v/>
      </c>
      <c r="X142" s="62">
        <f>IF($V142="","",IF(ISNUMBER($G142),1,IFERROR(LOOKUP(2,1/($I142:$L142&lt;&gt;""),$I142:$L142),0)))</f>
        <v/>
      </c>
      <c r="Y142" s="62">
        <f>IF($V142="","",IF(AND(ISNUMBER($G142),$G142&lt;=IF($S142=MesCiclo,InicioCiclo,$S142+MOD(2-WEEKDAY($S142),7))+6),1,IF(ISNUMBER($I142),$I142,0)))</f>
        <v/>
      </c>
      <c r="Z142" s="62">
        <f>IF($V142="","",IF(AND(ISNUMBER($G142),$G142&lt;=IF($S142=MesCiclo,InicioCiclo,$S142+MOD(2-WEEKDAY($S142),7))+13),1,IF(ISNUMBER($J142),$J142,$Y142)))</f>
        <v/>
      </c>
      <c r="AA142" s="62">
        <f>IF($V142="","",IF(AND(ISNUMBER($G142),$G142&lt;=IF($S142=MesCiclo,InicioCiclo,$S142+MOD(2-WEEKDAY($S142),7))+20),1,IF(ISNUMBER($K142),$K142,$Z142)))</f>
        <v/>
      </c>
      <c r="AB142" s="62">
        <f>IF($V142="","",IF(AND(ISNUMBER($G142),$G142&lt;=IF($S142=MesCiclo,InicioCiclo,$S142+MOD(2-WEEKDAY($S142),7))+27),1,IF(ISNUMBER($L142),$L142,$AA142)))</f>
        <v/>
      </c>
      <c r="AC142" s="62">
        <f>IF($V142="","",IF(AND(ISNUMBER($G142),$G142&lt;=IF($S142=MesCiclo,InicioCiclo,$S142+MOD(2-WEEKDAY($S142),7))+6),1,IF(N($W142)&gt;0,AVERAGEIFS($Y$5:$Y$1000,$U$5:$U$1000,ROW(),$V$5:$V$1000,"Sub"),$Y142)))</f>
        <v/>
      </c>
      <c r="AD142" s="62">
        <f>IF($V142="","",IF(AND(ISNUMBER($G142),$G142&lt;=IF($S142=MesCiclo,InicioCiclo,$S142+MOD(2-WEEKDAY($S142),7))+13),1,IF(N($W142)&gt;0,AVERAGEIFS($Z$5:$Z$1000,$U$5:$U$1000,ROW(),$V$5:$V$1000,"Sub"),$Z142)))</f>
        <v/>
      </c>
      <c r="AE142" s="62">
        <f>IF($V142="","",IF(AND(ISNUMBER($G142),$G142&lt;=IF($S142=MesCiclo,InicioCiclo,$S142+MOD(2-WEEKDAY($S142),7))+20),1,IF(N($W142)&gt;0,AVERAGEIFS($AA$5:$AA$1000,$U$5:$U$1000,ROW(),$V$5:$V$1000,"Sub"),$AA142)))</f>
        <v/>
      </c>
      <c r="AF142" s="62">
        <f>IF($V142="","",IF(AND(ISNUMBER($G142),$G142&lt;=IF($S142=MesCiclo,InicioCiclo,$S142+MOD(2-WEEKDAY($S142),7))+27),1,IF(N($W142)&gt;0,AVERAGEIFS($AB$5:$AB$1000,$U$5:$U$1000,ROW(),$V$5:$V$1000,"Sub"),$AB142)))</f>
        <v/>
      </c>
      <c r="AG142" s="62">
        <f>IF($V142&lt;&gt;"Macro","",IF(COUNTIFS($S$5:$S$1000,$S142,$V$5:$V$1000,"Macro",$H$5:$H$1000,"&gt;0")=0,1/COUNTIFS($S$5:$S$1000,$S142,$V$5:$V$1000,"Macro"),IF(AND(ISNUMBER($H142),N($H142)&gt;0),$H142,SUMIFS($H$5:$H$1000,$S$5:$S$1000,$S142,$V$5:$V$1000,"Macro")/COUNTIFS($S$5:$S$1000,$S142,$V$5:$V$1000,"Macro",$H$5:$H$1000,"&gt;0"))/(COUNTIFS($S$5:$S$1000,$S142,$V$5:$V$1000,"Macro")*SUMIFS($H$5:$H$1000,$S$5:$S$1000,$S142,$V$5:$V$1000,"Macro")/COUNTIFS($S$5:$S$1000,$S142,$V$5:$V$1000,"Macro",$H$5:$H$1000,"&gt;0"))))</f>
        <v/>
      </c>
      <c r="AH142" s="62">
        <f>IF(NOT(AND($D142&lt;&gt;"",$V142="Macro")),"",IFERROR(CHOOSE(MATCH($D142,ListaPuestos,0),MATCH("[Jefatura] "&amp;$C142,'Cronograma R. Operacional'!$C$5:$C$1000,0),MATCH("[Jefatura] "&amp;$C142,'Cronograma R. Normativo'!$C$5:$C$1000,0),MATCH("[Jefatura] "&amp;$C142,'Cronograma R. Financiero'!$C$5:$C$1000,0),MATCH("[Jefatura] "&amp;$C142,'Cronograma Asistente Técnico'!$C$5:$C$1000,0)),0))</f>
        <v/>
      </c>
      <c r="AI142" s="62">
        <f>IF(AND(AND($D142&lt;&gt;"",$V142="Macro"),$S142=MesCiclo),COUNTIFS($D$5:$D142,$D142,$S$5:$S142,MesCiclo,$V$5:$V142,"Macro"),"")</f>
        <v/>
      </c>
      <c r="AJ142" s="62">
        <f>IF($AI142="","",$D142&amp;"|"&amp;$AI142)</f>
        <v/>
      </c>
      <c r="AK142" s="62">
        <f>IF(AND($D142&lt;&gt;"",$V142="Macro"),$D142&amp;"|"&amp;$C142,"")</f>
        <v/>
      </c>
      <c r="AL142" s="62">
        <f>""</f>
        <v/>
      </c>
      <c r="AM142" s="62">
        <f>IF(N($AL142)&gt;0,INDEX(rIni_ADM,$AL142),IF(ISNUMBER($E142),$E142,""))</f>
        <v/>
      </c>
      <c r="AN142" s="62">
        <f>IF(N($AL142)&gt;0,INDEX(rLim_ADM,$AL142),IF(ISNUMBER($F142),$F142,""))</f>
        <v/>
      </c>
    </row>
    <row r="143">
      <c r="A143" s="56">
        <f>IF(NOT((COUNTA($B143:$D143)+COUNTA($G143:$L143)+COUNTA($Q143))&gt;0),"",IF($V143="Macro",COUNTIFS($V$5:$V143,"Macro",$S$5:$S143,$S143),IF(N($U143)=0,"?",COUNTIFS(INDEX($V$5:$V$1000,1):INDEX($V$5:$V$1000,$U143-4),"Macro",INDEX($S$5:$S$1000,1):INDEX($S$5:$S$1000,$U143-4),INDEX($S$5:$S$1000,$U143-4))&amp;"."&amp;COUNTIFS($U$5:$U143,$U143,$V$5:$V143,"Sub"))))</f>
        <v/>
      </c>
      <c r="B143" s="57" t="n"/>
      <c r="C143" s="58" t="n"/>
      <c r="D143" s="58" t="n"/>
      <c r="E143" s="59" t="n"/>
      <c r="F143" s="59" t="n"/>
      <c r="G143" s="59" t="n"/>
      <c r="H143" s="60" t="n"/>
      <c r="I143" s="60" t="n"/>
      <c r="J143" s="60" t="n"/>
      <c r="K143" s="60" t="n"/>
      <c r="L143" s="60" t="n"/>
      <c r="M143" s="61">
        <f>IF(NOT((COUNTA($B143:$D143)+COUNTA($G143:$L143)+COUNTA($Q143))&gt;0),"",IF(AND($D143&lt;&gt;"",$V143="Macro"),IF(N($AH143)&gt;0,N(CHOOSE(MATCH($D143,ListaPuestos,0),INDEX('Cronograma R. Operacional'!$M$5:$M$1000,$AH143),INDEX('Cronograma R. Normativo'!$M$5:$M$1000,$AH143),INDEX('Cronograma R. Financiero'!$M$5:$M$1000,$AH143),INDEX('Cronograma Asistente Técnico'!$M$5:$M$1000,$AH143))),0),IF(ISNUMBER($G143),1,IF(N($W143)&gt;0,AVERAGEIFS($X$5:$X$1000,$U$5:$U$1000,ROW(),$V$5:$V$1000,"Sub"),$X143))))</f>
        <v/>
      </c>
      <c r="N143" s="56">
        <f>IF($M143="","",IF($M143&gt;=1,"Completado",IF($M143&gt;0,"En curso","Pendiente")))</f>
        <v/>
      </c>
      <c r="O143" s="56">
        <f>IF(NOT((COUNTA($B143:$D143)+COUNTA($G143:$L143)+COUNTA($Q143))&gt;0),"",IF(AND(AND($D143&lt;&gt;"",$V143="Macro"),N($AH143)&gt;0),CHOOSE(MATCH($D143,ListaPuestos,0),INDEX('Cronograma R. Operacional'!$O$5:$O$1000,$AH143),INDEX('Cronograma R. Normativo'!$O$5:$O$1000,$AH143),INDEX('Cronograma R. Financiero'!$O$5:$O$1000,$AH143),INDEX('Cronograma Asistente Técnico'!$O$5:$O$1000,$AH143))&amp;"",IF(ISNUMBER($G143),IF(AND(ISNUMBER($AN143),$G143&gt;$AN143),"Cumplida con "&amp;($G143-$AN143)&amp;IF($G143-$AN143=1," día"," días")&amp;" de retraso","Cumplida"),IF(N($M143)&gt;=1,"Cumplida",IF(NOT(ISNUMBER($AN143)),"Sin fecha límite",IF($AN143&lt;FechaRef,"Vencida hace "&amp;(FechaRef-$AN143)&amp;IF(FechaRef-$AN143=1," día"," días"),IF($AN143=FechaRef,"Vence hoy",IF($AN143-FechaRef&lt;=DiasAlerta,"Vence en "&amp;($AN143-FechaRef)&amp;IF($AN143-FechaRef=1," día"," días"),"En plazo"))))))))</f>
        <v/>
      </c>
      <c r="P143" s="62">
        <f>IF(NOT((COUNTA($B143:$D143)+COUNTA($G143:$L143)+COUNTA($Q143))&gt;0),"",IF($D143="","Propia",IF($V143&lt;&gt;"Macro","Solo se delegan macroactividades",IF(N($AH143)&gt;0,"✔ Recibida por "&amp;$D143,"⚠ "&amp;$D143&amp;" aún no la agrega"))))</f>
        <v/>
      </c>
      <c r="Q143" s="58" t="n"/>
      <c r="R143" s="63">
        <f>IF(NOT((COUNTA($B143:$D143)+COUNTA($G143:$L143)+COUNTA($Q143))&gt;0),"",IF((IF($C143="","Falta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",""))="","✔ OK","⚠ "&amp;LEFT(IF($C143="","Falta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",""),LEN(IF($C143="","Falta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",""))-3)))</f>
        <v/>
      </c>
      <c r="S143" s="64">
        <f>IF(NOT((COUNTA($B143:$D143)+COUNTA($G143:$L143)+COUNTA($Q143))&gt;0),"",IF(AND($V143="Sub",N($U143)&gt;0),IF(ISNUMBER(INDEX($AM$5:$AM$1000,$U143-4)),DATE(YEAR(INDEX($AM$5:$AM$1000,$U143-4)),MONTH(INDEX($AM$5:$AM$1000,$U143-4)),1),IF(ISNUMBER(INDEX($AN$5:$AN$1000,$U143-4)),DATE(YEAR(INDEX($AN$5:$AN$1000,$U143-4)),MONTH(INDEX($AN$5:$AN$1000,$U143-4)),1),MesCiclo)),IF(ISNUMBER($AM143),DATE(YEAR($AM143),MONTH($AM143),1),IF(ISNUMBER($AN143),DATE(YEAR($AN143),MONTH($AN143),1),MesCiclo))))</f>
        <v/>
      </c>
      <c r="T143" s="62">
        <f>IF(OR($S143="",$S143&lt;&gt;MesCiclo),"",COUNTIF($S$5:$S143,MesCiclo))</f>
        <v/>
      </c>
      <c r="U143" s="62">
        <f>IF($V143="","",IF($V143="Macro",ROW(),IFERROR(LOOKUP(2,1/($V$5:$V143="Macro"),ROW($V$5:$V143)),0)))</f>
        <v/>
      </c>
      <c r="V143" s="62">
        <f>IF(NOT((COUNTA($B143:$D143)+COUNTA($G143:$L143)+COUNTA($Q143))&gt;0),"",IF($B143="Subactividad","Sub","Macro"))</f>
        <v/>
      </c>
      <c r="W143" s="62">
        <f>IF($V143="Macro",COUNTIFS($U$5:$U$1000,ROW(),$V$5:$V$1000,"Sub"),"")</f>
        <v/>
      </c>
      <c r="X143" s="62">
        <f>IF($V143="","",IF(ISNUMBER($G143),1,IFERROR(LOOKUP(2,1/($I143:$L143&lt;&gt;""),$I143:$L143),0)))</f>
        <v/>
      </c>
      <c r="Y143" s="62">
        <f>IF($V143="","",IF(AND(ISNUMBER($G143),$G143&lt;=IF($S143=MesCiclo,InicioCiclo,$S143+MOD(2-WEEKDAY($S143),7))+6),1,IF(ISNUMBER($I143),$I143,0)))</f>
        <v/>
      </c>
      <c r="Z143" s="62">
        <f>IF($V143="","",IF(AND(ISNUMBER($G143),$G143&lt;=IF($S143=MesCiclo,InicioCiclo,$S143+MOD(2-WEEKDAY($S143),7))+13),1,IF(ISNUMBER($J143),$J143,$Y143)))</f>
        <v/>
      </c>
      <c r="AA143" s="62">
        <f>IF($V143="","",IF(AND(ISNUMBER($G143),$G143&lt;=IF($S143=MesCiclo,InicioCiclo,$S143+MOD(2-WEEKDAY($S143),7))+20),1,IF(ISNUMBER($K143),$K143,$Z143)))</f>
        <v/>
      </c>
      <c r="AB143" s="62">
        <f>IF($V143="","",IF(AND(ISNUMBER($G143),$G143&lt;=IF($S143=MesCiclo,InicioCiclo,$S143+MOD(2-WEEKDAY($S143),7))+27),1,IF(ISNUMBER($L143),$L143,$AA143)))</f>
        <v/>
      </c>
      <c r="AC143" s="62">
        <f>IF($V143="","",IF(AND(ISNUMBER($G143),$G143&lt;=IF($S143=MesCiclo,InicioCiclo,$S143+MOD(2-WEEKDAY($S143),7))+6),1,IF(N($W143)&gt;0,AVERAGEIFS($Y$5:$Y$1000,$U$5:$U$1000,ROW(),$V$5:$V$1000,"Sub"),$Y143)))</f>
        <v/>
      </c>
      <c r="AD143" s="62">
        <f>IF($V143="","",IF(AND(ISNUMBER($G143),$G143&lt;=IF($S143=MesCiclo,InicioCiclo,$S143+MOD(2-WEEKDAY($S143),7))+13),1,IF(N($W143)&gt;0,AVERAGEIFS($Z$5:$Z$1000,$U$5:$U$1000,ROW(),$V$5:$V$1000,"Sub"),$Z143)))</f>
        <v/>
      </c>
      <c r="AE143" s="62">
        <f>IF($V143="","",IF(AND(ISNUMBER($G143),$G143&lt;=IF($S143=MesCiclo,InicioCiclo,$S143+MOD(2-WEEKDAY($S143),7))+20),1,IF(N($W143)&gt;0,AVERAGEIFS($AA$5:$AA$1000,$U$5:$U$1000,ROW(),$V$5:$V$1000,"Sub"),$AA143)))</f>
        <v/>
      </c>
      <c r="AF143" s="62">
        <f>IF($V143="","",IF(AND(ISNUMBER($G143),$G143&lt;=IF($S143=MesCiclo,InicioCiclo,$S143+MOD(2-WEEKDAY($S143),7))+27),1,IF(N($W143)&gt;0,AVERAGEIFS($AB$5:$AB$1000,$U$5:$U$1000,ROW(),$V$5:$V$1000,"Sub"),$AB143)))</f>
        <v/>
      </c>
      <c r="AG143" s="62">
        <f>IF($V143&lt;&gt;"Macro","",IF(COUNTIFS($S$5:$S$1000,$S143,$V$5:$V$1000,"Macro",$H$5:$H$1000,"&gt;0")=0,1/COUNTIFS($S$5:$S$1000,$S143,$V$5:$V$1000,"Macro"),IF(AND(ISNUMBER($H143),N($H143)&gt;0),$H143,SUMIFS($H$5:$H$1000,$S$5:$S$1000,$S143,$V$5:$V$1000,"Macro")/COUNTIFS($S$5:$S$1000,$S143,$V$5:$V$1000,"Macro",$H$5:$H$1000,"&gt;0"))/(COUNTIFS($S$5:$S$1000,$S143,$V$5:$V$1000,"Macro")*SUMIFS($H$5:$H$1000,$S$5:$S$1000,$S143,$V$5:$V$1000,"Macro")/COUNTIFS($S$5:$S$1000,$S143,$V$5:$V$1000,"Macro",$H$5:$H$1000,"&gt;0"))))</f>
        <v/>
      </c>
      <c r="AH143" s="62">
        <f>IF(NOT(AND($D143&lt;&gt;"",$V143="Macro")),"",IFERROR(CHOOSE(MATCH($D143,ListaPuestos,0),MATCH("[Jefatura] "&amp;$C143,'Cronograma R. Operacional'!$C$5:$C$1000,0),MATCH("[Jefatura] "&amp;$C143,'Cronograma R. Normativo'!$C$5:$C$1000,0),MATCH("[Jefatura] "&amp;$C143,'Cronograma R. Financiero'!$C$5:$C$1000,0),MATCH("[Jefatura] "&amp;$C143,'Cronograma Asistente Técnico'!$C$5:$C$1000,0)),0))</f>
        <v/>
      </c>
      <c r="AI143" s="62">
        <f>IF(AND(AND($D143&lt;&gt;"",$V143="Macro"),$S143=MesCiclo),COUNTIFS($D$5:$D143,$D143,$S$5:$S143,MesCiclo,$V$5:$V143,"Macro"),"")</f>
        <v/>
      </c>
      <c r="AJ143" s="62">
        <f>IF($AI143="","",$D143&amp;"|"&amp;$AI143)</f>
        <v/>
      </c>
      <c r="AK143" s="62">
        <f>IF(AND($D143&lt;&gt;"",$V143="Macro"),$D143&amp;"|"&amp;$C143,"")</f>
        <v/>
      </c>
      <c r="AL143" s="62">
        <f>""</f>
        <v/>
      </c>
      <c r="AM143" s="62">
        <f>IF(N($AL143)&gt;0,INDEX(rIni_ADM,$AL143),IF(ISNUMBER($E143),$E143,""))</f>
        <v/>
      </c>
      <c r="AN143" s="62">
        <f>IF(N($AL143)&gt;0,INDEX(rLim_ADM,$AL143),IF(ISNUMBER($F143),$F143,""))</f>
        <v/>
      </c>
    </row>
    <row r="144">
      <c r="A144" s="56">
        <f>IF(NOT((COUNTA($B144:$D144)+COUNTA($G144:$L144)+COUNTA($Q144))&gt;0),"",IF($V144="Macro",COUNTIFS($V$5:$V144,"Macro",$S$5:$S144,$S144),IF(N($U144)=0,"?",COUNTIFS(INDEX($V$5:$V$1000,1):INDEX($V$5:$V$1000,$U144-4),"Macro",INDEX($S$5:$S$1000,1):INDEX($S$5:$S$1000,$U144-4),INDEX($S$5:$S$1000,$U144-4))&amp;"."&amp;COUNTIFS($U$5:$U144,$U144,$V$5:$V144,"Sub"))))</f>
        <v/>
      </c>
      <c r="B144" s="57" t="n"/>
      <c r="C144" s="58" t="n"/>
      <c r="D144" s="58" t="n"/>
      <c r="E144" s="59" t="n"/>
      <c r="F144" s="59" t="n"/>
      <c r="G144" s="59" t="n"/>
      <c r="H144" s="60" t="n"/>
      <c r="I144" s="60" t="n"/>
      <c r="J144" s="60" t="n"/>
      <c r="K144" s="60" t="n"/>
      <c r="L144" s="60" t="n"/>
      <c r="M144" s="61">
        <f>IF(NOT((COUNTA($B144:$D144)+COUNTA($G144:$L144)+COUNTA($Q144))&gt;0),"",IF(AND($D144&lt;&gt;"",$V144="Macro"),IF(N($AH144)&gt;0,N(CHOOSE(MATCH($D144,ListaPuestos,0),INDEX('Cronograma R. Operacional'!$M$5:$M$1000,$AH144),INDEX('Cronograma R. Normativo'!$M$5:$M$1000,$AH144),INDEX('Cronograma R. Financiero'!$M$5:$M$1000,$AH144),INDEX('Cronograma Asistente Técnico'!$M$5:$M$1000,$AH144))),0),IF(ISNUMBER($G144),1,IF(N($W144)&gt;0,AVERAGEIFS($X$5:$X$1000,$U$5:$U$1000,ROW(),$V$5:$V$1000,"Sub"),$X144))))</f>
        <v/>
      </c>
      <c r="N144" s="56">
        <f>IF($M144="","",IF($M144&gt;=1,"Completado",IF($M144&gt;0,"En curso","Pendiente")))</f>
        <v/>
      </c>
      <c r="O144" s="56">
        <f>IF(NOT((COUNTA($B144:$D144)+COUNTA($G144:$L144)+COUNTA($Q144))&gt;0),"",IF(AND(AND($D144&lt;&gt;"",$V144="Macro"),N($AH144)&gt;0),CHOOSE(MATCH($D144,ListaPuestos,0),INDEX('Cronograma R. Operacional'!$O$5:$O$1000,$AH144),INDEX('Cronograma R. Normativo'!$O$5:$O$1000,$AH144),INDEX('Cronograma R. Financiero'!$O$5:$O$1000,$AH144),INDEX('Cronograma Asistente Técnico'!$O$5:$O$1000,$AH144))&amp;"",IF(ISNUMBER($G144),IF(AND(ISNUMBER($AN144),$G144&gt;$AN144),"Cumplida con "&amp;($G144-$AN144)&amp;IF($G144-$AN144=1," día"," días")&amp;" de retraso","Cumplida"),IF(N($M144)&gt;=1,"Cumplida",IF(NOT(ISNUMBER($AN144)),"Sin fecha límite",IF($AN144&lt;FechaRef,"Vencida hace "&amp;(FechaRef-$AN144)&amp;IF(FechaRef-$AN144=1," día"," días"),IF($AN144=FechaRef,"Vence hoy",IF($AN144-FechaRef&lt;=DiasAlerta,"Vence en "&amp;($AN144-FechaRef)&amp;IF($AN144-FechaRef=1," día"," días"),"En plazo"))))))))</f>
        <v/>
      </c>
      <c r="P144" s="62">
        <f>IF(NOT((COUNTA($B144:$D144)+COUNTA($G144:$L144)+COUNTA($Q144))&gt;0),"",IF($D144="","Propia",IF($V144&lt;&gt;"Macro","Solo se delegan macroactividades",IF(N($AH144)&gt;0,"✔ Recibida por "&amp;$D144,"⚠ "&amp;$D144&amp;" aún no la agrega"))))</f>
        <v/>
      </c>
      <c r="Q144" s="58" t="n"/>
      <c r="R144" s="63">
        <f>IF(NOT((COUNTA($B144:$D144)+COUNTA($G144:$L144)+COUNTA($Q144))&gt;0),"",IF((IF($C144="","Falta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",""))="","✔ OK","⚠ "&amp;LEFT(IF($C144="","Falta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",""),LEN(IF($C144="","Falta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",""))-3)))</f>
        <v/>
      </c>
      <c r="S144" s="64">
        <f>IF(NOT((COUNTA($B144:$D144)+COUNTA($G144:$L144)+COUNTA($Q144))&gt;0),"",IF(AND($V144="Sub",N($U144)&gt;0),IF(ISNUMBER(INDEX($AM$5:$AM$1000,$U144-4)),DATE(YEAR(INDEX($AM$5:$AM$1000,$U144-4)),MONTH(INDEX($AM$5:$AM$1000,$U144-4)),1),IF(ISNUMBER(INDEX($AN$5:$AN$1000,$U144-4)),DATE(YEAR(INDEX($AN$5:$AN$1000,$U144-4)),MONTH(INDEX($AN$5:$AN$1000,$U144-4)),1),MesCiclo)),IF(ISNUMBER($AM144),DATE(YEAR($AM144),MONTH($AM144),1),IF(ISNUMBER($AN144),DATE(YEAR($AN144),MONTH($AN144),1),MesCiclo))))</f>
        <v/>
      </c>
      <c r="T144" s="62">
        <f>IF(OR($S144="",$S144&lt;&gt;MesCiclo),"",COUNTIF($S$5:$S144,MesCiclo))</f>
        <v/>
      </c>
      <c r="U144" s="62">
        <f>IF($V144="","",IF($V144="Macro",ROW(),IFERROR(LOOKUP(2,1/($V$5:$V144="Macro"),ROW($V$5:$V144)),0)))</f>
        <v/>
      </c>
      <c r="V144" s="62">
        <f>IF(NOT((COUNTA($B144:$D144)+COUNTA($G144:$L144)+COUNTA($Q144))&gt;0),"",IF($B144="Subactividad","Sub","Macro"))</f>
        <v/>
      </c>
      <c r="W144" s="62">
        <f>IF($V144="Macro",COUNTIFS($U$5:$U$1000,ROW(),$V$5:$V$1000,"Sub"),"")</f>
        <v/>
      </c>
      <c r="X144" s="62">
        <f>IF($V144="","",IF(ISNUMBER($G144),1,IFERROR(LOOKUP(2,1/($I144:$L144&lt;&gt;""),$I144:$L144),0)))</f>
        <v/>
      </c>
      <c r="Y144" s="62">
        <f>IF($V144="","",IF(AND(ISNUMBER($G144),$G144&lt;=IF($S144=MesCiclo,InicioCiclo,$S144+MOD(2-WEEKDAY($S144),7))+6),1,IF(ISNUMBER($I144),$I144,0)))</f>
        <v/>
      </c>
      <c r="Z144" s="62">
        <f>IF($V144="","",IF(AND(ISNUMBER($G144),$G144&lt;=IF($S144=MesCiclo,InicioCiclo,$S144+MOD(2-WEEKDAY($S144),7))+13),1,IF(ISNUMBER($J144),$J144,$Y144)))</f>
        <v/>
      </c>
      <c r="AA144" s="62">
        <f>IF($V144="","",IF(AND(ISNUMBER($G144),$G144&lt;=IF($S144=MesCiclo,InicioCiclo,$S144+MOD(2-WEEKDAY($S144),7))+20),1,IF(ISNUMBER($K144),$K144,$Z144)))</f>
        <v/>
      </c>
      <c r="AB144" s="62">
        <f>IF($V144="","",IF(AND(ISNUMBER($G144),$G144&lt;=IF($S144=MesCiclo,InicioCiclo,$S144+MOD(2-WEEKDAY($S144),7))+27),1,IF(ISNUMBER($L144),$L144,$AA144)))</f>
        <v/>
      </c>
      <c r="AC144" s="62">
        <f>IF($V144="","",IF(AND(ISNUMBER($G144),$G144&lt;=IF($S144=MesCiclo,InicioCiclo,$S144+MOD(2-WEEKDAY($S144),7))+6),1,IF(N($W144)&gt;0,AVERAGEIFS($Y$5:$Y$1000,$U$5:$U$1000,ROW(),$V$5:$V$1000,"Sub"),$Y144)))</f>
        <v/>
      </c>
      <c r="AD144" s="62">
        <f>IF($V144="","",IF(AND(ISNUMBER($G144),$G144&lt;=IF($S144=MesCiclo,InicioCiclo,$S144+MOD(2-WEEKDAY($S144),7))+13),1,IF(N($W144)&gt;0,AVERAGEIFS($Z$5:$Z$1000,$U$5:$U$1000,ROW(),$V$5:$V$1000,"Sub"),$Z144)))</f>
        <v/>
      </c>
      <c r="AE144" s="62">
        <f>IF($V144="","",IF(AND(ISNUMBER($G144),$G144&lt;=IF($S144=MesCiclo,InicioCiclo,$S144+MOD(2-WEEKDAY($S144),7))+20),1,IF(N($W144)&gt;0,AVERAGEIFS($AA$5:$AA$1000,$U$5:$U$1000,ROW(),$V$5:$V$1000,"Sub"),$AA144)))</f>
        <v/>
      </c>
      <c r="AF144" s="62">
        <f>IF($V144="","",IF(AND(ISNUMBER($G144),$G144&lt;=IF($S144=MesCiclo,InicioCiclo,$S144+MOD(2-WEEKDAY($S144),7))+27),1,IF(N($W144)&gt;0,AVERAGEIFS($AB$5:$AB$1000,$U$5:$U$1000,ROW(),$V$5:$V$1000,"Sub"),$AB144)))</f>
        <v/>
      </c>
      <c r="AG144" s="62">
        <f>IF($V144&lt;&gt;"Macro","",IF(COUNTIFS($S$5:$S$1000,$S144,$V$5:$V$1000,"Macro",$H$5:$H$1000,"&gt;0")=0,1/COUNTIFS($S$5:$S$1000,$S144,$V$5:$V$1000,"Macro"),IF(AND(ISNUMBER($H144),N($H144)&gt;0),$H144,SUMIFS($H$5:$H$1000,$S$5:$S$1000,$S144,$V$5:$V$1000,"Macro")/COUNTIFS($S$5:$S$1000,$S144,$V$5:$V$1000,"Macro",$H$5:$H$1000,"&gt;0"))/(COUNTIFS($S$5:$S$1000,$S144,$V$5:$V$1000,"Macro")*SUMIFS($H$5:$H$1000,$S$5:$S$1000,$S144,$V$5:$V$1000,"Macro")/COUNTIFS($S$5:$S$1000,$S144,$V$5:$V$1000,"Macro",$H$5:$H$1000,"&gt;0"))))</f>
        <v/>
      </c>
      <c r="AH144" s="62">
        <f>IF(NOT(AND($D144&lt;&gt;"",$V144="Macro")),"",IFERROR(CHOOSE(MATCH($D144,ListaPuestos,0),MATCH("[Jefatura] "&amp;$C144,'Cronograma R. Operacional'!$C$5:$C$1000,0),MATCH("[Jefatura] "&amp;$C144,'Cronograma R. Normativo'!$C$5:$C$1000,0),MATCH("[Jefatura] "&amp;$C144,'Cronograma R. Financiero'!$C$5:$C$1000,0),MATCH("[Jefatura] "&amp;$C144,'Cronograma Asistente Técnico'!$C$5:$C$1000,0)),0))</f>
        <v/>
      </c>
      <c r="AI144" s="62">
        <f>IF(AND(AND($D144&lt;&gt;"",$V144="Macro"),$S144=MesCiclo),COUNTIFS($D$5:$D144,$D144,$S$5:$S144,MesCiclo,$V$5:$V144,"Macro"),"")</f>
        <v/>
      </c>
      <c r="AJ144" s="62">
        <f>IF($AI144="","",$D144&amp;"|"&amp;$AI144)</f>
        <v/>
      </c>
      <c r="AK144" s="62">
        <f>IF(AND($D144&lt;&gt;"",$V144="Macro"),$D144&amp;"|"&amp;$C144,"")</f>
        <v/>
      </c>
      <c r="AL144" s="62">
        <f>""</f>
        <v/>
      </c>
      <c r="AM144" s="62">
        <f>IF(N($AL144)&gt;0,INDEX(rIni_ADM,$AL144),IF(ISNUMBER($E144),$E144,""))</f>
        <v/>
      </c>
      <c r="AN144" s="62">
        <f>IF(N($AL144)&gt;0,INDEX(rLim_ADM,$AL144),IF(ISNUMBER($F144),$F144,""))</f>
        <v/>
      </c>
    </row>
    <row r="145">
      <c r="A145" s="56">
        <f>IF(NOT((COUNTA($B145:$D145)+COUNTA($G145:$L145)+COUNTA($Q145))&gt;0),"",IF($V145="Macro",COUNTIFS($V$5:$V145,"Macro",$S$5:$S145,$S145),IF(N($U145)=0,"?",COUNTIFS(INDEX($V$5:$V$1000,1):INDEX($V$5:$V$1000,$U145-4),"Macro",INDEX($S$5:$S$1000,1):INDEX($S$5:$S$1000,$U145-4),INDEX($S$5:$S$1000,$U145-4))&amp;"."&amp;COUNTIFS($U$5:$U145,$U145,$V$5:$V145,"Sub"))))</f>
        <v/>
      </c>
      <c r="B145" s="57" t="n"/>
      <c r="C145" s="58" t="n"/>
      <c r="D145" s="58" t="n"/>
      <c r="E145" s="59" t="n"/>
      <c r="F145" s="59" t="n"/>
      <c r="G145" s="59" t="n"/>
      <c r="H145" s="60" t="n"/>
      <c r="I145" s="60" t="n"/>
      <c r="J145" s="60" t="n"/>
      <c r="K145" s="60" t="n"/>
      <c r="L145" s="60" t="n"/>
      <c r="M145" s="61">
        <f>IF(NOT((COUNTA($B145:$D145)+COUNTA($G145:$L145)+COUNTA($Q145))&gt;0),"",IF(AND($D145&lt;&gt;"",$V145="Macro"),IF(N($AH145)&gt;0,N(CHOOSE(MATCH($D145,ListaPuestos,0),INDEX('Cronograma R. Operacional'!$M$5:$M$1000,$AH145),INDEX('Cronograma R. Normativo'!$M$5:$M$1000,$AH145),INDEX('Cronograma R. Financiero'!$M$5:$M$1000,$AH145),INDEX('Cronograma Asistente Técnico'!$M$5:$M$1000,$AH145))),0),IF(ISNUMBER($G145),1,IF(N($W145)&gt;0,AVERAGEIFS($X$5:$X$1000,$U$5:$U$1000,ROW(),$V$5:$V$1000,"Sub"),$X145))))</f>
        <v/>
      </c>
      <c r="N145" s="56">
        <f>IF($M145="","",IF($M145&gt;=1,"Completado",IF($M145&gt;0,"En curso","Pendiente")))</f>
        <v/>
      </c>
      <c r="O145" s="56">
        <f>IF(NOT((COUNTA($B145:$D145)+COUNTA($G145:$L145)+COUNTA($Q145))&gt;0),"",IF(AND(AND($D145&lt;&gt;"",$V145="Macro"),N($AH145)&gt;0),CHOOSE(MATCH($D145,ListaPuestos,0),INDEX('Cronograma R. Operacional'!$O$5:$O$1000,$AH145),INDEX('Cronograma R. Normativo'!$O$5:$O$1000,$AH145),INDEX('Cronograma R. Financiero'!$O$5:$O$1000,$AH145),INDEX('Cronograma Asistente Técnico'!$O$5:$O$1000,$AH145))&amp;"",IF(ISNUMBER($G145),IF(AND(ISNUMBER($AN145),$G145&gt;$AN145),"Cumplida con "&amp;($G145-$AN145)&amp;IF($G145-$AN145=1," día"," días")&amp;" de retraso","Cumplida"),IF(N($M145)&gt;=1,"Cumplida",IF(NOT(ISNUMBER($AN145)),"Sin fecha límite",IF($AN145&lt;FechaRef,"Vencida hace "&amp;(FechaRef-$AN145)&amp;IF(FechaRef-$AN145=1," día"," días"),IF($AN145=FechaRef,"Vence hoy",IF($AN145-FechaRef&lt;=DiasAlerta,"Vence en "&amp;($AN145-FechaRef)&amp;IF($AN145-FechaRef=1," día"," días"),"En plazo"))))))))</f>
        <v/>
      </c>
      <c r="P145" s="62">
        <f>IF(NOT((COUNTA($B145:$D145)+COUNTA($G145:$L145)+COUNTA($Q145))&gt;0),"",IF($D145="","Propia",IF($V145&lt;&gt;"Macro","Solo se delegan macroactividades",IF(N($AH145)&gt;0,"✔ Recibida por "&amp;$D145,"⚠ "&amp;$D145&amp;" aún no la agrega"))))</f>
        <v/>
      </c>
      <c r="Q145" s="58" t="n"/>
      <c r="R145" s="63">
        <f>IF(NOT((COUNTA($B145:$D145)+COUNTA($G145:$L145)+COUNTA($Q145))&gt;0),"",IF((IF($C145="","Falta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",""))="","✔ OK","⚠ "&amp;LEFT(IF($C145="","Falta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",""),LEN(IF($C145="","Falta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",""))-3)))</f>
        <v/>
      </c>
      <c r="S145" s="64">
        <f>IF(NOT((COUNTA($B145:$D145)+COUNTA($G145:$L145)+COUNTA($Q145))&gt;0),"",IF(AND($V145="Sub",N($U145)&gt;0),IF(ISNUMBER(INDEX($AM$5:$AM$1000,$U145-4)),DATE(YEAR(INDEX($AM$5:$AM$1000,$U145-4)),MONTH(INDEX($AM$5:$AM$1000,$U145-4)),1),IF(ISNUMBER(INDEX($AN$5:$AN$1000,$U145-4)),DATE(YEAR(INDEX($AN$5:$AN$1000,$U145-4)),MONTH(INDEX($AN$5:$AN$1000,$U145-4)),1),MesCiclo)),IF(ISNUMBER($AM145),DATE(YEAR($AM145),MONTH($AM145),1),IF(ISNUMBER($AN145),DATE(YEAR($AN145),MONTH($AN145),1),MesCiclo))))</f>
        <v/>
      </c>
      <c r="T145" s="62">
        <f>IF(OR($S145="",$S145&lt;&gt;MesCiclo),"",COUNTIF($S$5:$S145,MesCiclo))</f>
        <v/>
      </c>
      <c r="U145" s="62">
        <f>IF($V145="","",IF($V145="Macro",ROW(),IFERROR(LOOKUP(2,1/($V$5:$V145="Macro"),ROW($V$5:$V145)),0)))</f>
        <v/>
      </c>
      <c r="V145" s="62">
        <f>IF(NOT((COUNTA($B145:$D145)+COUNTA($G145:$L145)+COUNTA($Q145))&gt;0),"",IF($B145="Subactividad","Sub","Macro"))</f>
        <v/>
      </c>
      <c r="W145" s="62">
        <f>IF($V145="Macro",COUNTIFS($U$5:$U$1000,ROW(),$V$5:$V$1000,"Sub"),"")</f>
        <v/>
      </c>
      <c r="X145" s="62">
        <f>IF($V145="","",IF(ISNUMBER($G145),1,IFERROR(LOOKUP(2,1/($I145:$L145&lt;&gt;""),$I145:$L145),0)))</f>
        <v/>
      </c>
      <c r="Y145" s="62">
        <f>IF($V145="","",IF(AND(ISNUMBER($G145),$G145&lt;=IF($S145=MesCiclo,InicioCiclo,$S145+MOD(2-WEEKDAY($S145),7))+6),1,IF(ISNUMBER($I145),$I145,0)))</f>
        <v/>
      </c>
      <c r="Z145" s="62">
        <f>IF($V145="","",IF(AND(ISNUMBER($G145),$G145&lt;=IF($S145=MesCiclo,InicioCiclo,$S145+MOD(2-WEEKDAY($S145),7))+13),1,IF(ISNUMBER($J145),$J145,$Y145)))</f>
        <v/>
      </c>
      <c r="AA145" s="62">
        <f>IF($V145="","",IF(AND(ISNUMBER($G145),$G145&lt;=IF($S145=MesCiclo,InicioCiclo,$S145+MOD(2-WEEKDAY($S145),7))+20),1,IF(ISNUMBER($K145),$K145,$Z145)))</f>
        <v/>
      </c>
      <c r="AB145" s="62">
        <f>IF($V145="","",IF(AND(ISNUMBER($G145),$G145&lt;=IF($S145=MesCiclo,InicioCiclo,$S145+MOD(2-WEEKDAY($S145),7))+27),1,IF(ISNUMBER($L145),$L145,$AA145)))</f>
        <v/>
      </c>
      <c r="AC145" s="62">
        <f>IF($V145="","",IF(AND(ISNUMBER($G145),$G145&lt;=IF($S145=MesCiclo,InicioCiclo,$S145+MOD(2-WEEKDAY($S145),7))+6),1,IF(N($W145)&gt;0,AVERAGEIFS($Y$5:$Y$1000,$U$5:$U$1000,ROW(),$V$5:$V$1000,"Sub"),$Y145)))</f>
        <v/>
      </c>
      <c r="AD145" s="62">
        <f>IF($V145="","",IF(AND(ISNUMBER($G145),$G145&lt;=IF($S145=MesCiclo,InicioCiclo,$S145+MOD(2-WEEKDAY($S145),7))+13),1,IF(N($W145)&gt;0,AVERAGEIFS($Z$5:$Z$1000,$U$5:$U$1000,ROW(),$V$5:$V$1000,"Sub"),$Z145)))</f>
        <v/>
      </c>
      <c r="AE145" s="62">
        <f>IF($V145="","",IF(AND(ISNUMBER($G145),$G145&lt;=IF($S145=MesCiclo,InicioCiclo,$S145+MOD(2-WEEKDAY($S145),7))+20),1,IF(N($W145)&gt;0,AVERAGEIFS($AA$5:$AA$1000,$U$5:$U$1000,ROW(),$V$5:$V$1000,"Sub"),$AA145)))</f>
        <v/>
      </c>
      <c r="AF145" s="62">
        <f>IF($V145="","",IF(AND(ISNUMBER($G145),$G145&lt;=IF($S145=MesCiclo,InicioCiclo,$S145+MOD(2-WEEKDAY($S145),7))+27),1,IF(N($W145)&gt;0,AVERAGEIFS($AB$5:$AB$1000,$U$5:$U$1000,ROW(),$V$5:$V$1000,"Sub"),$AB145)))</f>
        <v/>
      </c>
      <c r="AG145" s="62">
        <f>IF($V145&lt;&gt;"Macro","",IF(COUNTIFS($S$5:$S$1000,$S145,$V$5:$V$1000,"Macro",$H$5:$H$1000,"&gt;0")=0,1/COUNTIFS($S$5:$S$1000,$S145,$V$5:$V$1000,"Macro"),IF(AND(ISNUMBER($H145),N($H145)&gt;0),$H145,SUMIFS($H$5:$H$1000,$S$5:$S$1000,$S145,$V$5:$V$1000,"Macro")/COUNTIFS($S$5:$S$1000,$S145,$V$5:$V$1000,"Macro",$H$5:$H$1000,"&gt;0"))/(COUNTIFS($S$5:$S$1000,$S145,$V$5:$V$1000,"Macro")*SUMIFS($H$5:$H$1000,$S$5:$S$1000,$S145,$V$5:$V$1000,"Macro")/COUNTIFS($S$5:$S$1000,$S145,$V$5:$V$1000,"Macro",$H$5:$H$1000,"&gt;0"))))</f>
        <v/>
      </c>
      <c r="AH145" s="62">
        <f>IF(NOT(AND($D145&lt;&gt;"",$V145="Macro")),"",IFERROR(CHOOSE(MATCH($D145,ListaPuestos,0),MATCH("[Jefatura] "&amp;$C145,'Cronograma R. Operacional'!$C$5:$C$1000,0),MATCH("[Jefatura] "&amp;$C145,'Cronograma R. Normativo'!$C$5:$C$1000,0),MATCH("[Jefatura] "&amp;$C145,'Cronograma R. Financiero'!$C$5:$C$1000,0),MATCH("[Jefatura] "&amp;$C145,'Cronograma Asistente Técnico'!$C$5:$C$1000,0)),0))</f>
        <v/>
      </c>
      <c r="AI145" s="62">
        <f>IF(AND(AND($D145&lt;&gt;"",$V145="Macro"),$S145=MesCiclo),COUNTIFS($D$5:$D145,$D145,$S$5:$S145,MesCiclo,$V$5:$V145,"Macro"),"")</f>
        <v/>
      </c>
      <c r="AJ145" s="62">
        <f>IF($AI145="","",$D145&amp;"|"&amp;$AI145)</f>
        <v/>
      </c>
      <c r="AK145" s="62">
        <f>IF(AND($D145&lt;&gt;"",$V145="Macro"),$D145&amp;"|"&amp;$C145,"")</f>
        <v/>
      </c>
      <c r="AL145" s="62">
        <f>""</f>
        <v/>
      </c>
      <c r="AM145" s="62">
        <f>IF(N($AL145)&gt;0,INDEX(rIni_ADM,$AL145),IF(ISNUMBER($E145),$E145,""))</f>
        <v/>
      </c>
      <c r="AN145" s="62">
        <f>IF(N($AL145)&gt;0,INDEX(rLim_ADM,$AL145),IF(ISNUMBER($F145),$F145,""))</f>
        <v/>
      </c>
    </row>
    <row r="146">
      <c r="A146" s="56">
        <f>IF(NOT((COUNTA($B146:$D146)+COUNTA($G146:$L146)+COUNTA($Q146))&gt;0),"",IF($V146="Macro",COUNTIFS($V$5:$V146,"Macro",$S$5:$S146,$S146),IF(N($U146)=0,"?",COUNTIFS(INDEX($V$5:$V$1000,1):INDEX($V$5:$V$1000,$U146-4),"Macro",INDEX($S$5:$S$1000,1):INDEX($S$5:$S$1000,$U146-4),INDEX($S$5:$S$1000,$U146-4))&amp;"."&amp;COUNTIFS($U$5:$U146,$U146,$V$5:$V146,"Sub"))))</f>
        <v/>
      </c>
      <c r="B146" s="57" t="n"/>
      <c r="C146" s="58" t="n"/>
      <c r="D146" s="58" t="n"/>
      <c r="E146" s="59" t="n"/>
      <c r="F146" s="59" t="n"/>
      <c r="G146" s="59" t="n"/>
      <c r="H146" s="60" t="n"/>
      <c r="I146" s="60" t="n"/>
      <c r="J146" s="60" t="n"/>
      <c r="K146" s="60" t="n"/>
      <c r="L146" s="60" t="n"/>
      <c r="M146" s="61">
        <f>IF(NOT((COUNTA($B146:$D146)+COUNTA($G146:$L146)+COUNTA($Q146))&gt;0),"",IF(AND($D146&lt;&gt;"",$V146="Macro"),IF(N($AH146)&gt;0,N(CHOOSE(MATCH($D146,ListaPuestos,0),INDEX('Cronograma R. Operacional'!$M$5:$M$1000,$AH146),INDEX('Cronograma R. Normativo'!$M$5:$M$1000,$AH146),INDEX('Cronograma R. Financiero'!$M$5:$M$1000,$AH146),INDEX('Cronograma Asistente Técnico'!$M$5:$M$1000,$AH146))),0),IF(ISNUMBER($G146),1,IF(N($W146)&gt;0,AVERAGEIFS($X$5:$X$1000,$U$5:$U$1000,ROW(),$V$5:$V$1000,"Sub"),$X146))))</f>
        <v/>
      </c>
      <c r="N146" s="56">
        <f>IF($M146="","",IF($M146&gt;=1,"Completado",IF($M146&gt;0,"En curso","Pendiente")))</f>
        <v/>
      </c>
      <c r="O146" s="56">
        <f>IF(NOT((COUNTA($B146:$D146)+COUNTA($G146:$L146)+COUNTA($Q146))&gt;0),"",IF(AND(AND($D146&lt;&gt;"",$V146="Macro"),N($AH146)&gt;0),CHOOSE(MATCH($D146,ListaPuestos,0),INDEX('Cronograma R. Operacional'!$O$5:$O$1000,$AH146),INDEX('Cronograma R. Normativo'!$O$5:$O$1000,$AH146),INDEX('Cronograma R. Financiero'!$O$5:$O$1000,$AH146),INDEX('Cronograma Asistente Técnico'!$O$5:$O$1000,$AH146))&amp;"",IF(ISNUMBER($G146),IF(AND(ISNUMBER($AN146),$G146&gt;$AN146),"Cumplida con "&amp;($G146-$AN146)&amp;IF($G146-$AN146=1," día"," días")&amp;" de retraso","Cumplida"),IF(N($M146)&gt;=1,"Cumplida",IF(NOT(ISNUMBER($AN146)),"Sin fecha límite",IF($AN146&lt;FechaRef,"Vencida hace "&amp;(FechaRef-$AN146)&amp;IF(FechaRef-$AN146=1," día"," días"),IF($AN146=FechaRef,"Vence hoy",IF($AN146-FechaRef&lt;=DiasAlerta,"Vence en "&amp;($AN146-FechaRef)&amp;IF($AN146-FechaRef=1," día"," días"),"En plazo"))))))))</f>
        <v/>
      </c>
      <c r="P146" s="62">
        <f>IF(NOT((COUNTA($B146:$D146)+COUNTA($G146:$L146)+COUNTA($Q146))&gt;0),"",IF($D146="","Propia",IF($V146&lt;&gt;"Macro","Solo se delegan macroactividades",IF(N($AH146)&gt;0,"✔ Recibida por "&amp;$D146,"⚠ "&amp;$D146&amp;" aún no la agrega"))))</f>
        <v/>
      </c>
      <c r="Q146" s="58" t="n"/>
      <c r="R146" s="63">
        <f>IF(NOT((COUNTA($B146:$D146)+COUNTA($G146:$L146)+COUNTA($Q146))&gt;0),"",IF((IF($C146="","Falta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",""))="","✔ OK","⚠ "&amp;LEFT(IF($C146="","Falta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",""),LEN(IF($C146="","Falta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",""))-3)))</f>
        <v/>
      </c>
      <c r="S146" s="64">
        <f>IF(NOT((COUNTA($B146:$D146)+COUNTA($G146:$L146)+COUNTA($Q146))&gt;0),"",IF(AND($V146="Sub",N($U146)&gt;0),IF(ISNUMBER(INDEX($AM$5:$AM$1000,$U146-4)),DATE(YEAR(INDEX($AM$5:$AM$1000,$U146-4)),MONTH(INDEX($AM$5:$AM$1000,$U146-4)),1),IF(ISNUMBER(INDEX($AN$5:$AN$1000,$U146-4)),DATE(YEAR(INDEX($AN$5:$AN$1000,$U146-4)),MONTH(INDEX($AN$5:$AN$1000,$U146-4)),1),MesCiclo)),IF(ISNUMBER($AM146),DATE(YEAR($AM146),MONTH($AM146),1),IF(ISNUMBER($AN146),DATE(YEAR($AN146),MONTH($AN146),1),MesCiclo))))</f>
        <v/>
      </c>
      <c r="T146" s="62">
        <f>IF(OR($S146="",$S146&lt;&gt;MesCiclo),"",COUNTIF($S$5:$S146,MesCiclo))</f>
        <v/>
      </c>
      <c r="U146" s="62">
        <f>IF($V146="","",IF($V146="Macro",ROW(),IFERROR(LOOKUP(2,1/($V$5:$V146="Macro"),ROW($V$5:$V146)),0)))</f>
        <v/>
      </c>
      <c r="V146" s="62">
        <f>IF(NOT((COUNTA($B146:$D146)+COUNTA($G146:$L146)+COUNTA($Q146))&gt;0),"",IF($B146="Subactividad","Sub","Macro"))</f>
        <v/>
      </c>
      <c r="W146" s="62">
        <f>IF($V146="Macro",COUNTIFS($U$5:$U$1000,ROW(),$V$5:$V$1000,"Sub"),"")</f>
        <v/>
      </c>
      <c r="X146" s="62">
        <f>IF($V146="","",IF(ISNUMBER($G146),1,IFERROR(LOOKUP(2,1/($I146:$L146&lt;&gt;""),$I146:$L146),0)))</f>
        <v/>
      </c>
      <c r="Y146" s="62">
        <f>IF($V146="","",IF(AND(ISNUMBER($G146),$G146&lt;=IF($S146=MesCiclo,InicioCiclo,$S146+MOD(2-WEEKDAY($S146),7))+6),1,IF(ISNUMBER($I146),$I146,0)))</f>
        <v/>
      </c>
      <c r="Z146" s="62">
        <f>IF($V146="","",IF(AND(ISNUMBER($G146),$G146&lt;=IF($S146=MesCiclo,InicioCiclo,$S146+MOD(2-WEEKDAY($S146),7))+13),1,IF(ISNUMBER($J146),$J146,$Y146)))</f>
        <v/>
      </c>
      <c r="AA146" s="62">
        <f>IF($V146="","",IF(AND(ISNUMBER($G146),$G146&lt;=IF($S146=MesCiclo,InicioCiclo,$S146+MOD(2-WEEKDAY($S146),7))+20),1,IF(ISNUMBER($K146),$K146,$Z146)))</f>
        <v/>
      </c>
      <c r="AB146" s="62">
        <f>IF($V146="","",IF(AND(ISNUMBER($G146),$G146&lt;=IF($S146=MesCiclo,InicioCiclo,$S146+MOD(2-WEEKDAY($S146),7))+27),1,IF(ISNUMBER($L146),$L146,$AA146)))</f>
        <v/>
      </c>
      <c r="AC146" s="62">
        <f>IF($V146="","",IF(AND(ISNUMBER($G146),$G146&lt;=IF($S146=MesCiclo,InicioCiclo,$S146+MOD(2-WEEKDAY($S146),7))+6),1,IF(N($W146)&gt;0,AVERAGEIFS($Y$5:$Y$1000,$U$5:$U$1000,ROW(),$V$5:$V$1000,"Sub"),$Y146)))</f>
        <v/>
      </c>
      <c r="AD146" s="62">
        <f>IF($V146="","",IF(AND(ISNUMBER($G146),$G146&lt;=IF($S146=MesCiclo,InicioCiclo,$S146+MOD(2-WEEKDAY($S146),7))+13),1,IF(N($W146)&gt;0,AVERAGEIFS($Z$5:$Z$1000,$U$5:$U$1000,ROW(),$V$5:$V$1000,"Sub"),$Z146)))</f>
        <v/>
      </c>
      <c r="AE146" s="62">
        <f>IF($V146="","",IF(AND(ISNUMBER($G146),$G146&lt;=IF($S146=MesCiclo,InicioCiclo,$S146+MOD(2-WEEKDAY($S146),7))+20),1,IF(N($W146)&gt;0,AVERAGEIFS($AA$5:$AA$1000,$U$5:$U$1000,ROW(),$V$5:$V$1000,"Sub"),$AA146)))</f>
        <v/>
      </c>
      <c r="AF146" s="62">
        <f>IF($V146="","",IF(AND(ISNUMBER($G146),$G146&lt;=IF($S146=MesCiclo,InicioCiclo,$S146+MOD(2-WEEKDAY($S146),7))+27),1,IF(N($W146)&gt;0,AVERAGEIFS($AB$5:$AB$1000,$U$5:$U$1000,ROW(),$V$5:$V$1000,"Sub"),$AB146)))</f>
        <v/>
      </c>
      <c r="AG146" s="62">
        <f>IF($V146&lt;&gt;"Macro","",IF(COUNTIFS($S$5:$S$1000,$S146,$V$5:$V$1000,"Macro",$H$5:$H$1000,"&gt;0")=0,1/COUNTIFS($S$5:$S$1000,$S146,$V$5:$V$1000,"Macro"),IF(AND(ISNUMBER($H146),N($H146)&gt;0),$H146,SUMIFS($H$5:$H$1000,$S$5:$S$1000,$S146,$V$5:$V$1000,"Macro")/COUNTIFS($S$5:$S$1000,$S146,$V$5:$V$1000,"Macro",$H$5:$H$1000,"&gt;0"))/(COUNTIFS($S$5:$S$1000,$S146,$V$5:$V$1000,"Macro")*SUMIFS($H$5:$H$1000,$S$5:$S$1000,$S146,$V$5:$V$1000,"Macro")/COUNTIFS($S$5:$S$1000,$S146,$V$5:$V$1000,"Macro",$H$5:$H$1000,"&gt;0"))))</f>
        <v/>
      </c>
      <c r="AH146" s="62">
        <f>IF(NOT(AND($D146&lt;&gt;"",$V146="Macro")),"",IFERROR(CHOOSE(MATCH($D146,ListaPuestos,0),MATCH("[Jefatura] "&amp;$C146,'Cronograma R. Operacional'!$C$5:$C$1000,0),MATCH("[Jefatura] "&amp;$C146,'Cronograma R. Normativo'!$C$5:$C$1000,0),MATCH("[Jefatura] "&amp;$C146,'Cronograma R. Financiero'!$C$5:$C$1000,0),MATCH("[Jefatura] "&amp;$C146,'Cronograma Asistente Técnico'!$C$5:$C$1000,0)),0))</f>
        <v/>
      </c>
      <c r="AI146" s="62">
        <f>IF(AND(AND($D146&lt;&gt;"",$V146="Macro"),$S146=MesCiclo),COUNTIFS($D$5:$D146,$D146,$S$5:$S146,MesCiclo,$V$5:$V146,"Macro"),"")</f>
        <v/>
      </c>
      <c r="AJ146" s="62">
        <f>IF($AI146="","",$D146&amp;"|"&amp;$AI146)</f>
        <v/>
      </c>
      <c r="AK146" s="62">
        <f>IF(AND($D146&lt;&gt;"",$V146="Macro"),$D146&amp;"|"&amp;$C146,"")</f>
        <v/>
      </c>
      <c r="AL146" s="62">
        <f>""</f>
        <v/>
      </c>
      <c r="AM146" s="62">
        <f>IF(N($AL146)&gt;0,INDEX(rIni_ADM,$AL146),IF(ISNUMBER($E146),$E146,""))</f>
        <v/>
      </c>
      <c r="AN146" s="62">
        <f>IF(N($AL146)&gt;0,INDEX(rLim_ADM,$AL146),IF(ISNUMBER($F146),$F146,""))</f>
        <v/>
      </c>
    </row>
    <row r="147">
      <c r="A147" s="56">
        <f>IF(NOT((COUNTA($B147:$D147)+COUNTA($G147:$L147)+COUNTA($Q147))&gt;0),"",IF($V147="Macro",COUNTIFS($V$5:$V147,"Macro",$S$5:$S147,$S147),IF(N($U147)=0,"?",COUNTIFS(INDEX($V$5:$V$1000,1):INDEX($V$5:$V$1000,$U147-4),"Macro",INDEX($S$5:$S$1000,1):INDEX($S$5:$S$1000,$U147-4),INDEX($S$5:$S$1000,$U147-4))&amp;"."&amp;COUNTIFS($U$5:$U147,$U147,$V$5:$V147,"Sub"))))</f>
        <v/>
      </c>
      <c r="B147" s="57" t="n"/>
      <c r="C147" s="58" t="n"/>
      <c r="D147" s="58" t="n"/>
      <c r="E147" s="59" t="n"/>
      <c r="F147" s="59" t="n"/>
      <c r="G147" s="59" t="n"/>
      <c r="H147" s="60" t="n"/>
      <c r="I147" s="60" t="n"/>
      <c r="J147" s="60" t="n"/>
      <c r="K147" s="60" t="n"/>
      <c r="L147" s="60" t="n"/>
      <c r="M147" s="61">
        <f>IF(NOT((COUNTA($B147:$D147)+COUNTA($G147:$L147)+COUNTA($Q147))&gt;0),"",IF(AND($D147&lt;&gt;"",$V147="Macro"),IF(N($AH147)&gt;0,N(CHOOSE(MATCH($D147,ListaPuestos,0),INDEX('Cronograma R. Operacional'!$M$5:$M$1000,$AH147),INDEX('Cronograma R. Normativo'!$M$5:$M$1000,$AH147),INDEX('Cronograma R. Financiero'!$M$5:$M$1000,$AH147),INDEX('Cronograma Asistente Técnico'!$M$5:$M$1000,$AH147))),0),IF(ISNUMBER($G147),1,IF(N($W147)&gt;0,AVERAGEIFS($X$5:$X$1000,$U$5:$U$1000,ROW(),$V$5:$V$1000,"Sub"),$X147))))</f>
        <v/>
      </c>
      <c r="N147" s="56">
        <f>IF($M147="","",IF($M147&gt;=1,"Completado",IF($M147&gt;0,"En curso","Pendiente")))</f>
        <v/>
      </c>
      <c r="O147" s="56">
        <f>IF(NOT((COUNTA($B147:$D147)+COUNTA($G147:$L147)+COUNTA($Q147))&gt;0),"",IF(AND(AND($D147&lt;&gt;"",$V147="Macro"),N($AH147)&gt;0),CHOOSE(MATCH($D147,ListaPuestos,0),INDEX('Cronograma R. Operacional'!$O$5:$O$1000,$AH147),INDEX('Cronograma R. Normativo'!$O$5:$O$1000,$AH147),INDEX('Cronograma R. Financiero'!$O$5:$O$1000,$AH147),INDEX('Cronograma Asistente Técnico'!$O$5:$O$1000,$AH147))&amp;"",IF(ISNUMBER($G147),IF(AND(ISNUMBER($AN147),$G147&gt;$AN147),"Cumplida con "&amp;($G147-$AN147)&amp;IF($G147-$AN147=1," día"," días")&amp;" de retraso","Cumplida"),IF(N($M147)&gt;=1,"Cumplida",IF(NOT(ISNUMBER($AN147)),"Sin fecha límite",IF($AN147&lt;FechaRef,"Vencida hace "&amp;(FechaRef-$AN147)&amp;IF(FechaRef-$AN147=1," día"," días"),IF($AN147=FechaRef,"Vence hoy",IF($AN147-FechaRef&lt;=DiasAlerta,"Vence en "&amp;($AN147-FechaRef)&amp;IF($AN147-FechaRef=1," día"," días"),"En plazo"))))))))</f>
        <v/>
      </c>
      <c r="P147" s="62">
        <f>IF(NOT((COUNTA($B147:$D147)+COUNTA($G147:$L147)+COUNTA($Q147))&gt;0),"",IF($D147="","Propia",IF($V147&lt;&gt;"Macro","Solo se delegan macroactividades",IF(N($AH147)&gt;0,"✔ Recibida por "&amp;$D147,"⚠ "&amp;$D147&amp;" aún no la agrega"))))</f>
        <v/>
      </c>
      <c r="Q147" s="58" t="n"/>
      <c r="R147" s="63">
        <f>IF(NOT((COUNTA($B147:$D147)+COUNTA($G147:$L147)+COUNTA($Q147))&gt;0),"",IF((IF($C147="","Falta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",""))="","✔ OK","⚠ "&amp;LEFT(IF($C147="","Falta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",""),LEN(IF($C147="","Falta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",""))-3)))</f>
        <v/>
      </c>
      <c r="S147" s="64">
        <f>IF(NOT((COUNTA($B147:$D147)+COUNTA($G147:$L147)+COUNTA($Q147))&gt;0),"",IF(AND($V147="Sub",N($U147)&gt;0),IF(ISNUMBER(INDEX($AM$5:$AM$1000,$U147-4)),DATE(YEAR(INDEX($AM$5:$AM$1000,$U147-4)),MONTH(INDEX($AM$5:$AM$1000,$U147-4)),1),IF(ISNUMBER(INDEX($AN$5:$AN$1000,$U147-4)),DATE(YEAR(INDEX($AN$5:$AN$1000,$U147-4)),MONTH(INDEX($AN$5:$AN$1000,$U147-4)),1),MesCiclo)),IF(ISNUMBER($AM147),DATE(YEAR($AM147),MONTH($AM147),1),IF(ISNUMBER($AN147),DATE(YEAR($AN147),MONTH($AN147),1),MesCiclo))))</f>
        <v/>
      </c>
      <c r="T147" s="62">
        <f>IF(OR($S147="",$S147&lt;&gt;MesCiclo),"",COUNTIF($S$5:$S147,MesCiclo))</f>
        <v/>
      </c>
      <c r="U147" s="62">
        <f>IF($V147="","",IF($V147="Macro",ROW(),IFERROR(LOOKUP(2,1/($V$5:$V147="Macro"),ROW($V$5:$V147)),0)))</f>
        <v/>
      </c>
      <c r="V147" s="62">
        <f>IF(NOT((COUNTA($B147:$D147)+COUNTA($G147:$L147)+COUNTA($Q147))&gt;0),"",IF($B147="Subactividad","Sub","Macro"))</f>
        <v/>
      </c>
      <c r="W147" s="62">
        <f>IF($V147="Macro",COUNTIFS($U$5:$U$1000,ROW(),$V$5:$V$1000,"Sub"),"")</f>
        <v/>
      </c>
      <c r="X147" s="62">
        <f>IF($V147="","",IF(ISNUMBER($G147),1,IFERROR(LOOKUP(2,1/($I147:$L147&lt;&gt;""),$I147:$L147),0)))</f>
        <v/>
      </c>
      <c r="Y147" s="62">
        <f>IF($V147="","",IF(AND(ISNUMBER($G147),$G147&lt;=IF($S147=MesCiclo,InicioCiclo,$S147+MOD(2-WEEKDAY($S147),7))+6),1,IF(ISNUMBER($I147),$I147,0)))</f>
        <v/>
      </c>
      <c r="Z147" s="62">
        <f>IF($V147="","",IF(AND(ISNUMBER($G147),$G147&lt;=IF($S147=MesCiclo,InicioCiclo,$S147+MOD(2-WEEKDAY($S147),7))+13),1,IF(ISNUMBER($J147),$J147,$Y147)))</f>
        <v/>
      </c>
      <c r="AA147" s="62">
        <f>IF($V147="","",IF(AND(ISNUMBER($G147),$G147&lt;=IF($S147=MesCiclo,InicioCiclo,$S147+MOD(2-WEEKDAY($S147),7))+20),1,IF(ISNUMBER($K147),$K147,$Z147)))</f>
        <v/>
      </c>
      <c r="AB147" s="62">
        <f>IF($V147="","",IF(AND(ISNUMBER($G147),$G147&lt;=IF($S147=MesCiclo,InicioCiclo,$S147+MOD(2-WEEKDAY($S147),7))+27),1,IF(ISNUMBER($L147),$L147,$AA147)))</f>
        <v/>
      </c>
      <c r="AC147" s="62">
        <f>IF($V147="","",IF(AND(ISNUMBER($G147),$G147&lt;=IF($S147=MesCiclo,InicioCiclo,$S147+MOD(2-WEEKDAY($S147),7))+6),1,IF(N($W147)&gt;0,AVERAGEIFS($Y$5:$Y$1000,$U$5:$U$1000,ROW(),$V$5:$V$1000,"Sub"),$Y147)))</f>
        <v/>
      </c>
      <c r="AD147" s="62">
        <f>IF($V147="","",IF(AND(ISNUMBER($G147),$G147&lt;=IF($S147=MesCiclo,InicioCiclo,$S147+MOD(2-WEEKDAY($S147),7))+13),1,IF(N($W147)&gt;0,AVERAGEIFS($Z$5:$Z$1000,$U$5:$U$1000,ROW(),$V$5:$V$1000,"Sub"),$Z147)))</f>
        <v/>
      </c>
      <c r="AE147" s="62">
        <f>IF($V147="","",IF(AND(ISNUMBER($G147),$G147&lt;=IF($S147=MesCiclo,InicioCiclo,$S147+MOD(2-WEEKDAY($S147),7))+20),1,IF(N($W147)&gt;0,AVERAGEIFS($AA$5:$AA$1000,$U$5:$U$1000,ROW(),$V$5:$V$1000,"Sub"),$AA147)))</f>
        <v/>
      </c>
      <c r="AF147" s="62">
        <f>IF($V147="","",IF(AND(ISNUMBER($G147),$G147&lt;=IF($S147=MesCiclo,InicioCiclo,$S147+MOD(2-WEEKDAY($S147),7))+27),1,IF(N($W147)&gt;0,AVERAGEIFS($AB$5:$AB$1000,$U$5:$U$1000,ROW(),$V$5:$V$1000,"Sub"),$AB147)))</f>
        <v/>
      </c>
      <c r="AG147" s="62">
        <f>IF($V147&lt;&gt;"Macro","",IF(COUNTIFS($S$5:$S$1000,$S147,$V$5:$V$1000,"Macro",$H$5:$H$1000,"&gt;0")=0,1/COUNTIFS($S$5:$S$1000,$S147,$V$5:$V$1000,"Macro"),IF(AND(ISNUMBER($H147),N($H147)&gt;0),$H147,SUMIFS($H$5:$H$1000,$S$5:$S$1000,$S147,$V$5:$V$1000,"Macro")/COUNTIFS($S$5:$S$1000,$S147,$V$5:$V$1000,"Macro",$H$5:$H$1000,"&gt;0"))/(COUNTIFS($S$5:$S$1000,$S147,$V$5:$V$1000,"Macro")*SUMIFS($H$5:$H$1000,$S$5:$S$1000,$S147,$V$5:$V$1000,"Macro")/COUNTIFS($S$5:$S$1000,$S147,$V$5:$V$1000,"Macro",$H$5:$H$1000,"&gt;0"))))</f>
        <v/>
      </c>
      <c r="AH147" s="62">
        <f>IF(NOT(AND($D147&lt;&gt;"",$V147="Macro")),"",IFERROR(CHOOSE(MATCH($D147,ListaPuestos,0),MATCH("[Jefatura] "&amp;$C147,'Cronograma R. Operacional'!$C$5:$C$1000,0),MATCH("[Jefatura] "&amp;$C147,'Cronograma R. Normativo'!$C$5:$C$1000,0),MATCH("[Jefatura] "&amp;$C147,'Cronograma R. Financiero'!$C$5:$C$1000,0),MATCH("[Jefatura] "&amp;$C147,'Cronograma Asistente Técnico'!$C$5:$C$1000,0)),0))</f>
        <v/>
      </c>
      <c r="AI147" s="62">
        <f>IF(AND(AND($D147&lt;&gt;"",$V147="Macro"),$S147=MesCiclo),COUNTIFS($D$5:$D147,$D147,$S$5:$S147,MesCiclo,$V$5:$V147,"Macro"),"")</f>
        <v/>
      </c>
      <c r="AJ147" s="62">
        <f>IF($AI147="","",$D147&amp;"|"&amp;$AI147)</f>
        <v/>
      </c>
      <c r="AK147" s="62">
        <f>IF(AND($D147&lt;&gt;"",$V147="Macro"),$D147&amp;"|"&amp;$C147,"")</f>
        <v/>
      </c>
      <c r="AL147" s="62">
        <f>""</f>
        <v/>
      </c>
      <c r="AM147" s="62">
        <f>IF(N($AL147)&gt;0,INDEX(rIni_ADM,$AL147),IF(ISNUMBER($E147),$E147,""))</f>
        <v/>
      </c>
      <c r="AN147" s="62">
        <f>IF(N($AL147)&gt;0,INDEX(rLim_ADM,$AL147),IF(ISNUMBER($F147),$F147,""))</f>
        <v/>
      </c>
    </row>
    <row r="148">
      <c r="A148" s="56">
        <f>IF(NOT((COUNTA($B148:$D148)+COUNTA($G148:$L148)+COUNTA($Q148))&gt;0),"",IF($V148="Macro",COUNTIFS($V$5:$V148,"Macro",$S$5:$S148,$S148),IF(N($U148)=0,"?",COUNTIFS(INDEX($V$5:$V$1000,1):INDEX($V$5:$V$1000,$U148-4),"Macro",INDEX($S$5:$S$1000,1):INDEX($S$5:$S$1000,$U148-4),INDEX($S$5:$S$1000,$U148-4))&amp;"."&amp;COUNTIFS($U$5:$U148,$U148,$V$5:$V148,"Sub"))))</f>
        <v/>
      </c>
      <c r="B148" s="57" t="n"/>
      <c r="C148" s="58" t="n"/>
      <c r="D148" s="58" t="n"/>
      <c r="E148" s="59" t="n"/>
      <c r="F148" s="59" t="n"/>
      <c r="G148" s="59" t="n"/>
      <c r="H148" s="60" t="n"/>
      <c r="I148" s="60" t="n"/>
      <c r="J148" s="60" t="n"/>
      <c r="K148" s="60" t="n"/>
      <c r="L148" s="60" t="n"/>
      <c r="M148" s="61">
        <f>IF(NOT((COUNTA($B148:$D148)+COUNTA($G148:$L148)+COUNTA($Q148))&gt;0),"",IF(AND($D148&lt;&gt;"",$V148="Macro"),IF(N($AH148)&gt;0,N(CHOOSE(MATCH($D148,ListaPuestos,0),INDEX('Cronograma R. Operacional'!$M$5:$M$1000,$AH148),INDEX('Cronograma R. Normativo'!$M$5:$M$1000,$AH148),INDEX('Cronograma R. Financiero'!$M$5:$M$1000,$AH148),INDEX('Cronograma Asistente Técnico'!$M$5:$M$1000,$AH148))),0),IF(ISNUMBER($G148),1,IF(N($W148)&gt;0,AVERAGEIFS($X$5:$X$1000,$U$5:$U$1000,ROW(),$V$5:$V$1000,"Sub"),$X148))))</f>
        <v/>
      </c>
      <c r="N148" s="56">
        <f>IF($M148="","",IF($M148&gt;=1,"Completado",IF($M148&gt;0,"En curso","Pendiente")))</f>
        <v/>
      </c>
      <c r="O148" s="56">
        <f>IF(NOT((COUNTA($B148:$D148)+COUNTA($G148:$L148)+COUNTA($Q148))&gt;0),"",IF(AND(AND($D148&lt;&gt;"",$V148="Macro"),N($AH148)&gt;0),CHOOSE(MATCH($D148,ListaPuestos,0),INDEX('Cronograma R. Operacional'!$O$5:$O$1000,$AH148),INDEX('Cronograma R. Normativo'!$O$5:$O$1000,$AH148),INDEX('Cronograma R. Financiero'!$O$5:$O$1000,$AH148),INDEX('Cronograma Asistente Técnico'!$O$5:$O$1000,$AH148))&amp;"",IF(ISNUMBER($G148),IF(AND(ISNUMBER($AN148),$G148&gt;$AN148),"Cumplida con "&amp;($G148-$AN148)&amp;IF($G148-$AN148=1," día"," días")&amp;" de retraso","Cumplida"),IF(N($M148)&gt;=1,"Cumplida",IF(NOT(ISNUMBER($AN148)),"Sin fecha límite",IF($AN148&lt;FechaRef,"Vencida hace "&amp;(FechaRef-$AN148)&amp;IF(FechaRef-$AN148=1," día"," días"),IF($AN148=FechaRef,"Vence hoy",IF($AN148-FechaRef&lt;=DiasAlerta,"Vence en "&amp;($AN148-FechaRef)&amp;IF($AN148-FechaRef=1," día"," días"),"En plazo"))))))))</f>
        <v/>
      </c>
      <c r="P148" s="62">
        <f>IF(NOT((COUNTA($B148:$D148)+COUNTA($G148:$L148)+COUNTA($Q148))&gt;0),"",IF($D148="","Propia",IF($V148&lt;&gt;"Macro","Solo se delegan macroactividades",IF(N($AH148)&gt;0,"✔ Recibida por "&amp;$D148,"⚠ "&amp;$D148&amp;" aún no la agrega"))))</f>
        <v/>
      </c>
      <c r="Q148" s="58" t="n"/>
      <c r="R148" s="63">
        <f>IF(NOT((COUNTA($B148:$D148)+COUNTA($G148:$L148)+COUNTA($Q148))&gt;0),"",IF((IF($C148="","Falta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",""))="","✔ OK","⚠ "&amp;LEFT(IF($C148="","Falta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",""),LEN(IF($C148="","Falta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",""))-3)))</f>
        <v/>
      </c>
      <c r="S148" s="64">
        <f>IF(NOT((COUNTA($B148:$D148)+COUNTA($G148:$L148)+COUNTA($Q148))&gt;0),"",IF(AND($V148="Sub",N($U148)&gt;0),IF(ISNUMBER(INDEX($AM$5:$AM$1000,$U148-4)),DATE(YEAR(INDEX($AM$5:$AM$1000,$U148-4)),MONTH(INDEX($AM$5:$AM$1000,$U148-4)),1),IF(ISNUMBER(INDEX($AN$5:$AN$1000,$U148-4)),DATE(YEAR(INDEX($AN$5:$AN$1000,$U148-4)),MONTH(INDEX($AN$5:$AN$1000,$U148-4)),1),MesCiclo)),IF(ISNUMBER($AM148),DATE(YEAR($AM148),MONTH($AM148),1),IF(ISNUMBER($AN148),DATE(YEAR($AN148),MONTH($AN148),1),MesCiclo))))</f>
        <v/>
      </c>
      <c r="T148" s="62">
        <f>IF(OR($S148="",$S148&lt;&gt;MesCiclo),"",COUNTIF($S$5:$S148,MesCiclo))</f>
        <v/>
      </c>
      <c r="U148" s="62">
        <f>IF($V148="","",IF($V148="Macro",ROW(),IFERROR(LOOKUP(2,1/($V$5:$V148="Macro"),ROW($V$5:$V148)),0)))</f>
        <v/>
      </c>
      <c r="V148" s="62">
        <f>IF(NOT((COUNTA($B148:$D148)+COUNTA($G148:$L148)+COUNTA($Q148))&gt;0),"",IF($B148="Subactividad","Sub","Macro"))</f>
        <v/>
      </c>
      <c r="W148" s="62">
        <f>IF($V148="Macro",COUNTIFS($U$5:$U$1000,ROW(),$V$5:$V$1000,"Sub"),"")</f>
        <v/>
      </c>
      <c r="X148" s="62">
        <f>IF($V148="","",IF(ISNUMBER($G148),1,IFERROR(LOOKUP(2,1/($I148:$L148&lt;&gt;""),$I148:$L148),0)))</f>
        <v/>
      </c>
      <c r="Y148" s="62">
        <f>IF($V148="","",IF(AND(ISNUMBER($G148),$G148&lt;=IF($S148=MesCiclo,InicioCiclo,$S148+MOD(2-WEEKDAY($S148),7))+6),1,IF(ISNUMBER($I148),$I148,0)))</f>
        <v/>
      </c>
      <c r="Z148" s="62">
        <f>IF($V148="","",IF(AND(ISNUMBER($G148),$G148&lt;=IF($S148=MesCiclo,InicioCiclo,$S148+MOD(2-WEEKDAY($S148),7))+13),1,IF(ISNUMBER($J148),$J148,$Y148)))</f>
        <v/>
      </c>
      <c r="AA148" s="62">
        <f>IF($V148="","",IF(AND(ISNUMBER($G148),$G148&lt;=IF($S148=MesCiclo,InicioCiclo,$S148+MOD(2-WEEKDAY($S148),7))+20),1,IF(ISNUMBER($K148),$K148,$Z148)))</f>
        <v/>
      </c>
      <c r="AB148" s="62">
        <f>IF($V148="","",IF(AND(ISNUMBER($G148),$G148&lt;=IF($S148=MesCiclo,InicioCiclo,$S148+MOD(2-WEEKDAY($S148),7))+27),1,IF(ISNUMBER($L148),$L148,$AA148)))</f>
        <v/>
      </c>
      <c r="AC148" s="62">
        <f>IF($V148="","",IF(AND(ISNUMBER($G148),$G148&lt;=IF($S148=MesCiclo,InicioCiclo,$S148+MOD(2-WEEKDAY($S148),7))+6),1,IF(N($W148)&gt;0,AVERAGEIFS($Y$5:$Y$1000,$U$5:$U$1000,ROW(),$V$5:$V$1000,"Sub"),$Y148)))</f>
        <v/>
      </c>
      <c r="AD148" s="62">
        <f>IF($V148="","",IF(AND(ISNUMBER($G148),$G148&lt;=IF($S148=MesCiclo,InicioCiclo,$S148+MOD(2-WEEKDAY($S148),7))+13),1,IF(N($W148)&gt;0,AVERAGEIFS($Z$5:$Z$1000,$U$5:$U$1000,ROW(),$V$5:$V$1000,"Sub"),$Z148)))</f>
        <v/>
      </c>
      <c r="AE148" s="62">
        <f>IF($V148="","",IF(AND(ISNUMBER($G148),$G148&lt;=IF($S148=MesCiclo,InicioCiclo,$S148+MOD(2-WEEKDAY($S148),7))+20),1,IF(N($W148)&gt;0,AVERAGEIFS($AA$5:$AA$1000,$U$5:$U$1000,ROW(),$V$5:$V$1000,"Sub"),$AA148)))</f>
        <v/>
      </c>
      <c r="AF148" s="62">
        <f>IF($V148="","",IF(AND(ISNUMBER($G148),$G148&lt;=IF($S148=MesCiclo,InicioCiclo,$S148+MOD(2-WEEKDAY($S148),7))+27),1,IF(N($W148)&gt;0,AVERAGEIFS($AB$5:$AB$1000,$U$5:$U$1000,ROW(),$V$5:$V$1000,"Sub"),$AB148)))</f>
        <v/>
      </c>
      <c r="AG148" s="62">
        <f>IF($V148&lt;&gt;"Macro","",IF(COUNTIFS($S$5:$S$1000,$S148,$V$5:$V$1000,"Macro",$H$5:$H$1000,"&gt;0")=0,1/COUNTIFS($S$5:$S$1000,$S148,$V$5:$V$1000,"Macro"),IF(AND(ISNUMBER($H148),N($H148)&gt;0),$H148,SUMIFS($H$5:$H$1000,$S$5:$S$1000,$S148,$V$5:$V$1000,"Macro")/COUNTIFS($S$5:$S$1000,$S148,$V$5:$V$1000,"Macro",$H$5:$H$1000,"&gt;0"))/(COUNTIFS($S$5:$S$1000,$S148,$V$5:$V$1000,"Macro")*SUMIFS($H$5:$H$1000,$S$5:$S$1000,$S148,$V$5:$V$1000,"Macro")/COUNTIFS($S$5:$S$1000,$S148,$V$5:$V$1000,"Macro",$H$5:$H$1000,"&gt;0"))))</f>
        <v/>
      </c>
      <c r="AH148" s="62">
        <f>IF(NOT(AND($D148&lt;&gt;"",$V148="Macro")),"",IFERROR(CHOOSE(MATCH($D148,ListaPuestos,0),MATCH("[Jefatura] "&amp;$C148,'Cronograma R. Operacional'!$C$5:$C$1000,0),MATCH("[Jefatura] "&amp;$C148,'Cronograma R. Normativo'!$C$5:$C$1000,0),MATCH("[Jefatura] "&amp;$C148,'Cronograma R. Financiero'!$C$5:$C$1000,0),MATCH("[Jefatura] "&amp;$C148,'Cronograma Asistente Técnico'!$C$5:$C$1000,0)),0))</f>
        <v/>
      </c>
      <c r="AI148" s="62">
        <f>IF(AND(AND($D148&lt;&gt;"",$V148="Macro"),$S148=MesCiclo),COUNTIFS($D$5:$D148,$D148,$S$5:$S148,MesCiclo,$V$5:$V148,"Macro"),"")</f>
        <v/>
      </c>
      <c r="AJ148" s="62">
        <f>IF($AI148="","",$D148&amp;"|"&amp;$AI148)</f>
        <v/>
      </c>
      <c r="AK148" s="62">
        <f>IF(AND($D148&lt;&gt;"",$V148="Macro"),$D148&amp;"|"&amp;$C148,"")</f>
        <v/>
      </c>
      <c r="AL148" s="62">
        <f>""</f>
        <v/>
      </c>
      <c r="AM148" s="62">
        <f>IF(N($AL148)&gt;0,INDEX(rIni_ADM,$AL148),IF(ISNUMBER($E148),$E148,""))</f>
        <v/>
      </c>
      <c r="AN148" s="62">
        <f>IF(N($AL148)&gt;0,INDEX(rLim_ADM,$AL148),IF(ISNUMBER($F148),$F148,""))</f>
        <v/>
      </c>
    </row>
    <row r="149">
      <c r="A149" s="56">
        <f>IF(NOT((COUNTA($B149:$D149)+COUNTA($G149:$L149)+COUNTA($Q149))&gt;0),"",IF($V149="Macro",COUNTIFS($V$5:$V149,"Macro",$S$5:$S149,$S149),IF(N($U149)=0,"?",COUNTIFS(INDEX($V$5:$V$1000,1):INDEX($V$5:$V$1000,$U149-4),"Macro",INDEX($S$5:$S$1000,1):INDEX($S$5:$S$1000,$U149-4),INDEX($S$5:$S$1000,$U149-4))&amp;"."&amp;COUNTIFS($U$5:$U149,$U149,$V$5:$V149,"Sub"))))</f>
        <v/>
      </c>
      <c r="B149" s="57" t="n"/>
      <c r="C149" s="58" t="n"/>
      <c r="D149" s="58" t="n"/>
      <c r="E149" s="59" t="n"/>
      <c r="F149" s="59" t="n"/>
      <c r="G149" s="59" t="n"/>
      <c r="H149" s="60" t="n"/>
      <c r="I149" s="60" t="n"/>
      <c r="J149" s="60" t="n"/>
      <c r="K149" s="60" t="n"/>
      <c r="L149" s="60" t="n"/>
      <c r="M149" s="61">
        <f>IF(NOT((COUNTA($B149:$D149)+COUNTA($G149:$L149)+COUNTA($Q149))&gt;0),"",IF(AND($D149&lt;&gt;"",$V149="Macro"),IF(N($AH149)&gt;0,N(CHOOSE(MATCH($D149,ListaPuestos,0),INDEX('Cronograma R. Operacional'!$M$5:$M$1000,$AH149),INDEX('Cronograma R. Normativo'!$M$5:$M$1000,$AH149),INDEX('Cronograma R. Financiero'!$M$5:$M$1000,$AH149),INDEX('Cronograma Asistente Técnico'!$M$5:$M$1000,$AH149))),0),IF(ISNUMBER($G149),1,IF(N($W149)&gt;0,AVERAGEIFS($X$5:$X$1000,$U$5:$U$1000,ROW(),$V$5:$V$1000,"Sub"),$X149))))</f>
        <v/>
      </c>
      <c r="N149" s="56">
        <f>IF($M149="","",IF($M149&gt;=1,"Completado",IF($M149&gt;0,"En curso","Pendiente")))</f>
        <v/>
      </c>
      <c r="O149" s="56">
        <f>IF(NOT((COUNTA($B149:$D149)+COUNTA($G149:$L149)+COUNTA($Q149))&gt;0),"",IF(AND(AND($D149&lt;&gt;"",$V149="Macro"),N($AH149)&gt;0),CHOOSE(MATCH($D149,ListaPuestos,0),INDEX('Cronograma R. Operacional'!$O$5:$O$1000,$AH149),INDEX('Cronograma R. Normativo'!$O$5:$O$1000,$AH149),INDEX('Cronograma R. Financiero'!$O$5:$O$1000,$AH149),INDEX('Cronograma Asistente Técnico'!$O$5:$O$1000,$AH149))&amp;"",IF(ISNUMBER($G149),IF(AND(ISNUMBER($AN149),$G149&gt;$AN149),"Cumplida con "&amp;($G149-$AN149)&amp;IF($G149-$AN149=1," día"," días")&amp;" de retraso","Cumplida"),IF(N($M149)&gt;=1,"Cumplida",IF(NOT(ISNUMBER($AN149)),"Sin fecha límite",IF($AN149&lt;FechaRef,"Vencida hace "&amp;(FechaRef-$AN149)&amp;IF(FechaRef-$AN149=1," día"," días"),IF($AN149=FechaRef,"Vence hoy",IF($AN149-FechaRef&lt;=DiasAlerta,"Vence en "&amp;($AN149-FechaRef)&amp;IF($AN149-FechaRef=1," día"," días"),"En plazo"))))))))</f>
        <v/>
      </c>
      <c r="P149" s="62">
        <f>IF(NOT((COUNTA($B149:$D149)+COUNTA($G149:$L149)+COUNTA($Q149))&gt;0),"",IF($D149="","Propia",IF($V149&lt;&gt;"Macro","Solo se delegan macroactividades",IF(N($AH149)&gt;0,"✔ Recibida por "&amp;$D149,"⚠ "&amp;$D149&amp;" aún no la agrega"))))</f>
        <v/>
      </c>
      <c r="Q149" s="58" t="n"/>
      <c r="R149" s="63">
        <f>IF(NOT((COUNTA($B149:$D149)+COUNTA($G149:$L149)+COUNTA($Q149))&gt;0),"",IF((IF($C149="","Falta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",""))="","✔ OK","⚠ "&amp;LEFT(IF($C149="","Falta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",""),LEN(IF($C149="","Falta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",""))-3)))</f>
        <v/>
      </c>
      <c r="S149" s="64">
        <f>IF(NOT((COUNTA($B149:$D149)+COUNTA($G149:$L149)+COUNTA($Q149))&gt;0),"",IF(AND($V149="Sub",N($U149)&gt;0),IF(ISNUMBER(INDEX($AM$5:$AM$1000,$U149-4)),DATE(YEAR(INDEX($AM$5:$AM$1000,$U149-4)),MONTH(INDEX($AM$5:$AM$1000,$U149-4)),1),IF(ISNUMBER(INDEX($AN$5:$AN$1000,$U149-4)),DATE(YEAR(INDEX($AN$5:$AN$1000,$U149-4)),MONTH(INDEX($AN$5:$AN$1000,$U149-4)),1),MesCiclo)),IF(ISNUMBER($AM149),DATE(YEAR($AM149),MONTH($AM149),1),IF(ISNUMBER($AN149),DATE(YEAR($AN149),MONTH($AN149),1),MesCiclo))))</f>
        <v/>
      </c>
      <c r="T149" s="62">
        <f>IF(OR($S149="",$S149&lt;&gt;MesCiclo),"",COUNTIF($S$5:$S149,MesCiclo))</f>
        <v/>
      </c>
      <c r="U149" s="62">
        <f>IF($V149="","",IF($V149="Macro",ROW(),IFERROR(LOOKUP(2,1/($V$5:$V149="Macro"),ROW($V$5:$V149)),0)))</f>
        <v/>
      </c>
      <c r="V149" s="62">
        <f>IF(NOT((COUNTA($B149:$D149)+COUNTA($G149:$L149)+COUNTA($Q149))&gt;0),"",IF($B149="Subactividad","Sub","Macro"))</f>
        <v/>
      </c>
      <c r="W149" s="62">
        <f>IF($V149="Macro",COUNTIFS($U$5:$U$1000,ROW(),$V$5:$V$1000,"Sub"),"")</f>
        <v/>
      </c>
      <c r="X149" s="62">
        <f>IF($V149="","",IF(ISNUMBER($G149),1,IFERROR(LOOKUP(2,1/($I149:$L149&lt;&gt;""),$I149:$L149),0)))</f>
        <v/>
      </c>
      <c r="Y149" s="62">
        <f>IF($V149="","",IF(AND(ISNUMBER($G149),$G149&lt;=IF($S149=MesCiclo,InicioCiclo,$S149+MOD(2-WEEKDAY($S149),7))+6),1,IF(ISNUMBER($I149),$I149,0)))</f>
        <v/>
      </c>
      <c r="Z149" s="62">
        <f>IF($V149="","",IF(AND(ISNUMBER($G149),$G149&lt;=IF($S149=MesCiclo,InicioCiclo,$S149+MOD(2-WEEKDAY($S149),7))+13),1,IF(ISNUMBER($J149),$J149,$Y149)))</f>
        <v/>
      </c>
      <c r="AA149" s="62">
        <f>IF($V149="","",IF(AND(ISNUMBER($G149),$G149&lt;=IF($S149=MesCiclo,InicioCiclo,$S149+MOD(2-WEEKDAY($S149),7))+20),1,IF(ISNUMBER($K149),$K149,$Z149)))</f>
        <v/>
      </c>
      <c r="AB149" s="62">
        <f>IF($V149="","",IF(AND(ISNUMBER($G149),$G149&lt;=IF($S149=MesCiclo,InicioCiclo,$S149+MOD(2-WEEKDAY($S149),7))+27),1,IF(ISNUMBER($L149),$L149,$AA149)))</f>
        <v/>
      </c>
      <c r="AC149" s="62">
        <f>IF($V149="","",IF(AND(ISNUMBER($G149),$G149&lt;=IF($S149=MesCiclo,InicioCiclo,$S149+MOD(2-WEEKDAY($S149),7))+6),1,IF(N($W149)&gt;0,AVERAGEIFS($Y$5:$Y$1000,$U$5:$U$1000,ROW(),$V$5:$V$1000,"Sub"),$Y149)))</f>
        <v/>
      </c>
      <c r="AD149" s="62">
        <f>IF($V149="","",IF(AND(ISNUMBER($G149),$G149&lt;=IF($S149=MesCiclo,InicioCiclo,$S149+MOD(2-WEEKDAY($S149),7))+13),1,IF(N($W149)&gt;0,AVERAGEIFS($Z$5:$Z$1000,$U$5:$U$1000,ROW(),$V$5:$V$1000,"Sub"),$Z149)))</f>
        <v/>
      </c>
      <c r="AE149" s="62">
        <f>IF($V149="","",IF(AND(ISNUMBER($G149),$G149&lt;=IF($S149=MesCiclo,InicioCiclo,$S149+MOD(2-WEEKDAY($S149),7))+20),1,IF(N($W149)&gt;0,AVERAGEIFS($AA$5:$AA$1000,$U$5:$U$1000,ROW(),$V$5:$V$1000,"Sub"),$AA149)))</f>
        <v/>
      </c>
      <c r="AF149" s="62">
        <f>IF($V149="","",IF(AND(ISNUMBER($G149),$G149&lt;=IF($S149=MesCiclo,InicioCiclo,$S149+MOD(2-WEEKDAY($S149),7))+27),1,IF(N($W149)&gt;0,AVERAGEIFS($AB$5:$AB$1000,$U$5:$U$1000,ROW(),$V$5:$V$1000,"Sub"),$AB149)))</f>
        <v/>
      </c>
      <c r="AG149" s="62">
        <f>IF($V149&lt;&gt;"Macro","",IF(COUNTIFS($S$5:$S$1000,$S149,$V$5:$V$1000,"Macro",$H$5:$H$1000,"&gt;0")=0,1/COUNTIFS($S$5:$S$1000,$S149,$V$5:$V$1000,"Macro"),IF(AND(ISNUMBER($H149),N($H149)&gt;0),$H149,SUMIFS($H$5:$H$1000,$S$5:$S$1000,$S149,$V$5:$V$1000,"Macro")/COUNTIFS($S$5:$S$1000,$S149,$V$5:$V$1000,"Macro",$H$5:$H$1000,"&gt;0"))/(COUNTIFS($S$5:$S$1000,$S149,$V$5:$V$1000,"Macro")*SUMIFS($H$5:$H$1000,$S$5:$S$1000,$S149,$V$5:$V$1000,"Macro")/COUNTIFS($S$5:$S$1000,$S149,$V$5:$V$1000,"Macro",$H$5:$H$1000,"&gt;0"))))</f>
        <v/>
      </c>
      <c r="AH149" s="62">
        <f>IF(NOT(AND($D149&lt;&gt;"",$V149="Macro")),"",IFERROR(CHOOSE(MATCH($D149,ListaPuestos,0),MATCH("[Jefatura] "&amp;$C149,'Cronograma R. Operacional'!$C$5:$C$1000,0),MATCH("[Jefatura] "&amp;$C149,'Cronograma R. Normativo'!$C$5:$C$1000,0),MATCH("[Jefatura] "&amp;$C149,'Cronograma R. Financiero'!$C$5:$C$1000,0),MATCH("[Jefatura] "&amp;$C149,'Cronograma Asistente Técnico'!$C$5:$C$1000,0)),0))</f>
        <v/>
      </c>
      <c r="AI149" s="62">
        <f>IF(AND(AND($D149&lt;&gt;"",$V149="Macro"),$S149=MesCiclo),COUNTIFS($D$5:$D149,$D149,$S$5:$S149,MesCiclo,$V$5:$V149,"Macro"),"")</f>
        <v/>
      </c>
      <c r="AJ149" s="62">
        <f>IF($AI149="","",$D149&amp;"|"&amp;$AI149)</f>
        <v/>
      </c>
      <c r="AK149" s="62">
        <f>IF(AND($D149&lt;&gt;"",$V149="Macro"),$D149&amp;"|"&amp;$C149,"")</f>
        <v/>
      </c>
      <c r="AL149" s="62">
        <f>""</f>
        <v/>
      </c>
      <c r="AM149" s="62">
        <f>IF(N($AL149)&gt;0,INDEX(rIni_ADM,$AL149),IF(ISNUMBER($E149),$E149,""))</f>
        <v/>
      </c>
      <c r="AN149" s="62">
        <f>IF(N($AL149)&gt;0,INDEX(rLim_ADM,$AL149),IF(ISNUMBER($F149),$F149,""))</f>
        <v/>
      </c>
    </row>
    <row r="150">
      <c r="A150" s="56">
        <f>IF(NOT((COUNTA($B150:$D150)+COUNTA($G150:$L150)+COUNTA($Q150))&gt;0),"",IF($V150="Macro",COUNTIFS($V$5:$V150,"Macro",$S$5:$S150,$S150),IF(N($U150)=0,"?",COUNTIFS(INDEX($V$5:$V$1000,1):INDEX($V$5:$V$1000,$U150-4),"Macro",INDEX($S$5:$S$1000,1):INDEX($S$5:$S$1000,$U150-4),INDEX($S$5:$S$1000,$U150-4))&amp;"."&amp;COUNTIFS($U$5:$U150,$U150,$V$5:$V150,"Sub"))))</f>
        <v/>
      </c>
      <c r="B150" s="57" t="n"/>
      <c r="C150" s="58" t="n"/>
      <c r="D150" s="58" t="n"/>
      <c r="E150" s="59" t="n"/>
      <c r="F150" s="59" t="n"/>
      <c r="G150" s="59" t="n"/>
      <c r="H150" s="60" t="n"/>
      <c r="I150" s="60" t="n"/>
      <c r="J150" s="60" t="n"/>
      <c r="K150" s="60" t="n"/>
      <c r="L150" s="60" t="n"/>
      <c r="M150" s="61">
        <f>IF(NOT((COUNTA($B150:$D150)+COUNTA($G150:$L150)+COUNTA($Q150))&gt;0),"",IF(AND($D150&lt;&gt;"",$V150="Macro"),IF(N($AH150)&gt;0,N(CHOOSE(MATCH($D150,ListaPuestos,0),INDEX('Cronograma R. Operacional'!$M$5:$M$1000,$AH150),INDEX('Cronograma R. Normativo'!$M$5:$M$1000,$AH150),INDEX('Cronograma R. Financiero'!$M$5:$M$1000,$AH150),INDEX('Cronograma Asistente Técnico'!$M$5:$M$1000,$AH150))),0),IF(ISNUMBER($G150),1,IF(N($W150)&gt;0,AVERAGEIFS($X$5:$X$1000,$U$5:$U$1000,ROW(),$V$5:$V$1000,"Sub"),$X150))))</f>
        <v/>
      </c>
      <c r="N150" s="56">
        <f>IF($M150="","",IF($M150&gt;=1,"Completado",IF($M150&gt;0,"En curso","Pendiente")))</f>
        <v/>
      </c>
      <c r="O150" s="56">
        <f>IF(NOT((COUNTA($B150:$D150)+COUNTA($G150:$L150)+COUNTA($Q150))&gt;0),"",IF(AND(AND($D150&lt;&gt;"",$V150="Macro"),N($AH150)&gt;0),CHOOSE(MATCH($D150,ListaPuestos,0),INDEX('Cronograma R. Operacional'!$O$5:$O$1000,$AH150),INDEX('Cronograma R. Normativo'!$O$5:$O$1000,$AH150),INDEX('Cronograma R. Financiero'!$O$5:$O$1000,$AH150),INDEX('Cronograma Asistente Técnico'!$O$5:$O$1000,$AH150))&amp;"",IF(ISNUMBER($G150),IF(AND(ISNUMBER($AN150),$G150&gt;$AN150),"Cumplida con "&amp;($G150-$AN150)&amp;IF($G150-$AN150=1," día"," días")&amp;" de retraso","Cumplida"),IF(N($M150)&gt;=1,"Cumplida",IF(NOT(ISNUMBER($AN150)),"Sin fecha límite",IF($AN150&lt;FechaRef,"Vencida hace "&amp;(FechaRef-$AN150)&amp;IF(FechaRef-$AN150=1," día"," días"),IF($AN150=FechaRef,"Vence hoy",IF($AN150-FechaRef&lt;=DiasAlerta,"Vence en "&amp;($AN150-FechaRef)&amp;IF($AN150-FechaRef=1," día"," días"),"En plazo"))))))))</f>
        <v/>
      </c>
      <c r="P150" s="62">
        <f>IF(NOT((COUNTA($B150:$D150)+COUNTA($G150:$L150)+COUNTA($Q150))&gt;0),"",IF($D150="","Propia",IF($V150&lt;&gt;"Macro","Solo se delegan macroactividades",IF(N($AH150)&gt;0,"✔ Recibida por "&amp;$D150,"⚠ "&amp;$D150&amp;" aún no la agrega"))))</f>
        <v/>
      </c>
      <c r="Q150" s="58" t="n"/>
      <c r="R150" s="63">
        <f>IF(NOT((COUNTA($B150:$D150)+COUNTA($G150:$L150)+COUNTA($Q150))&gt;0),"",IF((IF($C150="","Falta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",""))="","✔ OK","⚠ "&amp;LEFT(IF($C150="","Falta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",""),LEN(IF($C150="","Falta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",""))-3)))</f>
        <v/>
      </c>
      <c r="S150" s="64">
        <f>IF(NOT((COUNTA($B150:$D150)+COUNTA($G150:$L150)+COUNTA($Q150))&gt;0),"",IF(AND($V150="Sub",N($U150)&gt;0),IF(ISNUMBER(INDEX($AM$5:$AM$1000,$U150-4)),DATE(YEAR(INDEX($AM$5:$AM$1000,$U150-4)),MONTH(INDEX($AM$5:$AM$1000,$U150-4)),1),IF(ISNUMBER(INDEX($AN$5:$AN$1000,$U150-4)),DATE(YEAR(INDEX($AN$5:$AN$1000,$U150-4)),MONTH(INDEX($AN$5:$AN$1000,$U150-4)),1),MesCiclo)),IF(ISNUMBER($AM150),DATE(YEAR($AM150),MONTH($AM150),1),IF(ISNUMBER($AN150),DATE(YEAR($AN150),MONTH($AN150),1),MesCiclo))))</f>
        <v/>
      </c>
      <c r="T150" s="62">
        <f>IF(OR($S150="",$S150&lt;&gt;MesCiclo),"",COUNTIF($S$5:$S150,MesCiclo))</f>
        <v/>
      </c>
      <c r="U150" s="62">
        <f>IF($V150="","",IF($V150="Macro",ROW(),IFERROR(LOOKUP(2,1/($V$5:$V150="Macro"),ROW($V$5:$V150)),0)))</f>
        <v/>
      </c>
      <c r="V150" s="62">
        <f>IF(NOT((COUNTA($B150:$D150)+COUNTA($G150:$L150)+COUNTA($Q150))&gt;0),"",IF($B150="Subactividad","Sub","Macro"))</f>
        <v/>
      </c>
      <c r="W150" s="62">
        <f>IF($V150="Macro",COUNTIFS($U$5:$U$1000,ROW(),$V$5:$V$1000,"Sub"),"")</f>
        <v/>
      </c>
      <c r="X150" s="62">
        <f>IF($V150="","",IF(ISNUMBER($G150),1,IFERROR(LOOKUP(2,1/($I150:$L150&lt;&gt;""),$I150:$L150),0)))</f>
        <v/>
      </c>
      <c r="Y150" s="62">
        <f>IF($V150="","",IF(AND(ISNUMBER($G150),$G150&lt;=IF($S150=MesCiclo,InicioCiclo,$S150+MOD(2-WEEKDAY($S150),7))+6),1,IF(ISNUMBER($I150),$I150,0)))</f>
        <v/>
      </c>
      <c r="Z150" s="62">
        <f>IF($V150="","",IF(AND(ISNUMBER($G150),$G150&lt;=IF($S150=MesCiclo,InicioCiclo,$S150+MOD(2-WEEKDAY($S150),7))+13),1,IF(ISNUMBER($J150),$J150,$Y150)))</f>
        <v/>
      </c>
      <c r="AA150" s="62">
        <f>IF($V150="","",IF(AND(ISNUMBER($G150),$G150&lt;=IF($S150=MesCiclo,InicioCiclo,$S150+MOD(2-WEEKDAY($S150),7))+20),1,IF(ISNUMBER($K150),$K150,$Z150)))</f>
        <v/>
      </c>
      <c r="AB150" s="62">
        <f>IF($V150="","",IF(AND(ISNUMBER($G150),$G150&lt;=IF($S150=MesCiclo,InicioCiclo,$S150+MOD(2-WEEKDAY($S150),7))+27),1,IF(ISNUMBER($L150),$L150,$AA150)))</f>
        <v/>
      </c>
      <c r="AC150" s="62">
        <f>IF($V150="","",IF(AND(ISNUMBER($G150),$G150&lt;=IF($S150=MesCiclo,InicioCiclo,$S150+MOD(2-WEEKDAY($S150),7))+6),1,IF(N($W150)&gt;0,AVERAGEIFS($Y$5:$Y$1000,$U$5:$U$1000,ROW(),$V$5:$V$1000,"Sub"),$Y150)))</f>
        <v/>
      </c>
      <c r="AD150" s="62">
        <f>IF($V150="","",IF(AND(ISNUMBER($G150),$G150&lt;=IF($S150=MesCiclo,InicioCiclo,$S150+MOD(2-WEEKDAY($S150),7))+13),1,IF(N($W150)&gt;0,AVERAGEIFS($Z$5:$Z$1000,$U$5:$U$1000,ROW(),$V$5:$V$1000,"Sub"),$Z150)))</f>
        <v/>
      </c>
      <c r="AE150" s="62">
        <f>IF($V150="","",IF(AND(ISNUMBER($G150),$G150&lt;=IF($S150=MesCiclo,InicioCiclo,$S150+MOD(2-WEEKDAY($S150),7))+20),1,IF(N($W150)&gt;0,AVERAGEIFS($AA$5:$AA$1000,$U$5:$U$1000,ROW(),$V$5:$V$1000,"Sub"),$AA150)))</f>
        <v/>
      </c>
      <c r="AF150" s="62">
        <f>IF($V150="","",IF(AND(ISNUMBER($G150),$G150&lt;=IF($S150=MesCiclo,InicioCiclo,$S150+MOD(2-WEEKDAY($S150),7))+27),1,IF(N($W150)&gt;0,AVERAGEIFS($AB$5:$AB$1000,$U$5:$U$1000,ROW(),$V$5:$V$1000,"Sub"),$AB150)))</f>
        <v/>
      </c>
      <c r="AG150" s="62">
        <f>IF($V150&lt;&gt;"Macro","",IF(COUNTIFS($S$5:$S$1000,$S150,$V$5:$V$1000,"Macro",$H$5:$H$1000,"&gt;0")=0,1/COUNTIFS($S$5:$S$1000,$S150,$V$5:$V$1000,"Macro"),IF(AND(ISNUMBER($H150),N($H150)&gt;0),$H150,SUMIFS($H$5:$H$1000,$S$5:$S$1000,$S150,$V$5:$V$1000,"Macro")/COUNTIFS($S$5:$S$1000,$S150,$V$5:$V$1000,"Macro",$H$5:$H$1000,"&gt;0"))/(COUNTIFS($S$5:$S$1000,$S150,$V$5:$V$1000,"Macro")*SUMIFS($H$5:$H$1000,$S$5:$S$1000,$S150,$V$5:$V$1000,"Macro")/COUNTIFS($S$5:$S$1000,$S150,$V$5:$V$1000,"Macro",$H$5:$H$1000,"&gt;0"))))</f>
        <v/>
      </c>
      <c r="AH150" s="62">
        <f>IF(NOT(AND($D150&lt;&gt;"",$V150="Macro")),"",IFERROR(CHOOSE(MATCH($D150,ListaPuestos,0),MATCH("[Jefatura] "&amp;$C150,'Cronograma R. Operacional'!$C$5:$C$1000,0),MATCH("[Jefatura] "&amp;$C150,'Cronograma R. Normativo'!$C$5:$C$1000,0),MATCH("[Jefatura] "&amp;$C150,'Cronograma R. Financiero'!$C$5:$C$1000,0),MATCH("[Jefatura] "&amp;$C150,'Cronograma Asistente Técnico'!$C$5:$C$1000,0)),0))</f>
        <v/>
      </c>
      <c r="AI150" s="62">
        <f>IF(AND(AND($D150&lt;&gt;"",$V150="Macro"),$S150=MesCiclo),COUNTIFS($D$5:$D150,$D150,$S$5:$S150,MesCiclo,$V$5:$V150,"Macro"),"")</f>
        <v/>
      </c>
      <c r="AJ150" s="62">
        <f>IF($AI150="","",$D150&amp;"|"&amp;$AI150)</f>
        <v/>
      </c>
      <c r="AK150" s="62">
        <f>IF(AND($D150&lt;&gt;"",$V150="Macro"),$D150&amp;"|"&amp;$C150,"")</f>
        <v/>
      </c>
      <c r="AL150" s="62">
        <f>""</f>
        <v/>
      </c>
      <c r="AM150" s="62">
        <f>IF(N($AL150)&gt;0,INDEX(rIni_ADM,$AL150),IF(ISNUMBER($E150),$E150,""))</f>
        <v/>
      </c>
      <c r="AN150" s="62">
        <f>IF(N($AL150)&gt;0,INDEX(rLim_ADM,$AL150),IF(ISNUMBER($F150),$F150,""))</f>
        <v/>
      </c>
    </row>
    <row r="151">
      <c r="A151" s="56">
        <f>IF(NOT((COUNTA($B151:$D151)+COUNTA($G151:$L151)+COUNTA($Q151))&gt;0),"",IF($V151="Macro",COUNTIFS($V$5:$V151,"Macro",$S$5:$S151,$S151),IF(N($U151)=0,"?",COUNTIFS(INDEX($V$5:$V$1000,1):INDEX($V$5:$V$1000,$U151-4),"Macro",INDEX($S$5:$S$1000,1):INDEX($S$5:$S$1000,$U151-4),INDEX($S$5:$S$1000,$U151-4))&amp;"."&amp;COUNTIFS($U$5:$U151,$U151,$V$5:$V151,"Sub"))))</f>
        <v/>
      </c>
      <c r="B151" s="57" t="n"/>
      <c r="C151" s="58" t="n"/>
      <c r="D151" s="58" t="n"/>
      <c r="E151" s="59" t="n"/>
      <c r="F151" s="59" t="n"/>
      <c r="G151" s="59" t="n"/>
      <c r="H151" s="60" t="n"/>
      <c r="I151" s="60" t="n"/>
      <c r="J151" s="60" t="n"/>
      <c r="K151" s="60" t="n"/>
      <c r="L151" s="60" t="n"/>
      <c r="M151" s="61">
        <f>IF(NOT((COUNTA($B151:$D151)+COUNTA($G151:$L151)+COUNTA($Q151))&gt;0),"",IF(AND($D151&lt;&gt;"",$V151="Macro"),IF(N($AH151)&gt;0,N(CHOOSE(MATCH($D151,ListaPuestos,0),INDEX('Cronograma R. Operacional'!$M$5:$M$1000,$AH151),INDEX('Cronograma R. Normativo'!$M$5:$M$1000,$AH151),INDEX('Cronograma R. Financiero'!$M$5:$M$1000,$AH151),INDEX('Cronograma Asistente Técnico'!$M$5:$M$1000,$AH151))),0),IF(ISNUMBER($G151),1,IF(N($W151)&gt;0,AVERAGEIFS($X$5:$X$1000,$U$5:$U$1000,ROW(),$V$5:$V$1000,"Sub"),$X151))))</f>
        <v/>
      </c>
      <c r="N151" s="56">
        <f>IF($M151="","",IF($M151&gt;=1,"Completado",IF($M151&gt;0,"En curso","Pendiente")))</f>
        <v/>
      </c>
      <c r="O151" s="56">
        <f>IF(NOT((COUNTA($B151:$D151)+COUNTA($G151:$L151)+COUNTA($Q151))&gt;0),"",IF(AND(AND($D151&lt;&gt;"",$V151="Macro"),N($AH151)&gt;0),CHOOSE(MATCH($D151,ListaPuestos,0),INDEX('Cronograma R. Operacional'!$O$5:$O$1000,$AH151),INDEX('Cronograma R. Normativo'!$O$5:$O$1000,$AH151),INDEX('Cronograma R. Financiero'!$O$5:$O$1000,$AH151),INDEX('Cronograma Asistente Técnico'!$O$5:$O$1000,$AH151))&amp;"",IF(ISNUMBER($G151),IF(AND(ISNUMBER($AN151),$G151&gt;$AN151),"Cumplida con "&amp;($G151-$AN151)&amp;IF($G151-$AN151=1," día"," días")&amp;" de retraso","Cumplida"),IF(N($M151)&gt;=1,"Cumplida",IF(NOT(ISNUMBER($AN151)),"Sin fecha límite",IF($AN151&lt;FechaRef,"Vencida hace "&amp;(FechaRef-$AN151)&amp;IF(FechaRef-$AN151=1," día"," días"),IF($AN151=FechaRef,"Vence hoy",IF($AN151-FechaRef&lt;=DiasAlerta,"Vence en "&amp;($AN151-FechaRef)&amp;IF($AN151-FechaRef=1," día"," días"),"En plazo"))))))))</f>
        <v/>
      </c>
      <c r="P151" s="62">
        <f>IF(NOT((COUNTA($B151:$D151)+COUNTA($G151:$L151)+COUNTA($Q151))&gt;0),"",IF($D151="","Propia",IF($V151&lt;&gt;"Macro","Solo se delegan macroactividades",IF(N($AH151)&gt;0,"✔ Recibida por "&amp;$D151,"⚠ "&amp;$D151&amp;" aún no la agrega"))))</f>
        <v/>
      </c>
      <c r="Q151" s="58" t="n"/>
      <c r="R151" s="63">
        <f>IF(NOT((COUNTA($B151:$D151)+COUNTA($G151:$L151)+COUNTA($Q151))&gt;0),"",IF((IF($C151="","Falta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",""))="","✔ OK","⚠ "&amp;LEFT(IF($C151="","Falta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",""),LEN(IF($C151="","Falta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",""))-3)))</f>
        <v/>
      </c>
      <c r="S151" s="64">
        <f>IF(NOT((COUNTA($B151:$D151)+COUNTA($G151:$L151)+COUNTA($Q151))&gt;0),"",IF(AND($V151="Sub",N($U151)&gt;0),IF(ISNUMBER(INDEX($AM$5:$AM$1000,$U151-4)),DATE(YEAR(INDEX($AM$5:$AM$1000,$U151-4)),MONTH(INDEX($AM$5:$AM$1000,$U151-4)),1),IF(ISNUMBER(INDEX($AN$5:$AN$1000,$U151-4)),DATE(YEAR(INDEX($AN$5:$AN$1000,$U151-4)),MONTH(INDEX($AN$5:$AN$1000,$U151-4)),1),MesCiclo)),IF(ISNUMBER($AM151),DATE(YEAR($AM151),MONTH($AM151),1),IF(ISNUMBER($AN151),DATE(YEAR($AN151),MONTH($AN151),1),MesCiclo))))</f>
        <v/>
      </c>
      <c r="T151" s="62">
        <f>IF(OR($S151="",$S151&lt;&gt;MesCiclo),"",COUNTIF($S$5:$S151,MesCiclo))</f>
        <v/>
      </c>
      <c r="U151" s="62">
        <f>IF($V151="","",IF($V151="Macro",ROW(),IFERROR(LOOKUP(2,1/($V$5:$V151="Macro"),ROW($V$5:$V151)),0)))</f>
        <v/>
      </c>
      <c r="V151" s="62">
        <f>IF(NOT((COUNTA($B151:$D151)+COUNTA($G151:$L151)+COUNTA($Q151))&gt;0),"",IF($B151="Subactividad","Sub","Macro"))</f>
        <v/>
      </c>
      <c r="W151" s="62">
        <f>IF($V151="Macro",COUNTIFS($U$5:$U$1000,ROW(),$V$5:$V$1000,"Sub"),"")</f>
        <v/>
      </c>
      <c r="X151" s="62">
        <f>IF($V151="","",IF(ISNUMBER($G151),1,IFERROR(LOOKUP(2,1/($I151:$L151&lt;&gt;""),$I151:$L151),0)))</f>
        <v/>
      </c>
      <c r="Y151" s="62">
        <f>IF($V151="","",IF(AND(ISNUMBER($G151),$G151&lt;=IF($S151=MesCiclo,InicioCiclo,$S151+MOD(2-WEEKDAY($S151),7))+6),1,IF(ISNUMBER($I151),$I151,0)))</f>
        <v/>
      </c>
      <c r="Z151" s="62">
        <f>IF($V151="","",IF(AND(ISNUMBER($G151),$G151&lt;=IF($S151=MesCiclo,InicioCiclo,$S151+MOD(2-WEEKDAY($S151),7))+13),1,IF(ISNUMBER($J151),$J151,$Y151)))</f>
        <v/>
      </c>
      <c r="AA151" s="62">
        <f>IF($V151="","",IF(AND(ISNUMBER($G151),$G151&lt;=IF($S151=MesCiclo,InicioCiclo,$S151+MOD(2-WEEKDAY($S151),7))+20),1,IF(ISNUMBER($K151),$K151,$Z151)))</f>
        <v/>
      </c>
      <c r="AB151" s="62">
        <f>IF($V151="","",IF(AND(ISNUMBER($G151),$G151&lt;=IF($S151=MesCiclo,InicioCiclo,$S151+MOD(2-WEEKDAY($S151),7))+27),1,IF(ISNUMBER($L151),$L151,$AA151)))</f>
        <v/>
      </c>
      <c r="AC151" s="62">
        <f>IF($V151="","",IF(AND(ISNUMBER($G151),$G151&lt;=IF($S151=MesCiclo,InicioCiclo,$S151+MOD(2-WEEKDAY($S151),7))+6),1,IF(N($W151)&gt;0,AVERAGEIFS($Y$5:$Y$1000,$U$5:$U$1000,ROW(),$V$5:$V$1000,"Sub"),$Y151)))</f>
        <v/>
      </c>
      <c r="AD151" s="62">
        <f>IF($V151="","",IF(AND(ISNUMBER($G151),$G151&lt;=IF($S151=MesCiclo,InicioCiclo,$S151+MOD(2-WEEKDAY($S151),7))+13),1,IF(N($W151)&gt;0,AVERAGEIFS($Z$5:$Z$1000,$U$5:$U$1000,ROW(),$V$5:$V$1000,"Sub"),$Z151)))</f>
        <v/>
      </c>
      <c r="AE151" s="62">
        <f>IF($V151="","",IF(AND(ISNUMBER($G151),$G151&lt;=IF($S151=MesCiclo,InicioCiclo,$S151+MOD(2-WEEKDAY($S151),7))+20),1,IF(N($W151)&gt;0,AVERAGEIFS($AA$5:$AA$1000,$U$5:$U$1000,ROW(),$V$5:$V$1000,"Sub"),$AA151)))</f>
        <v/>
      </c>
      <c r="AF151" s="62">
        <f>IF($V151="","",IF(AND(ISNUMBER($G151),$G151&lt;=IF($S151=MesCiclo,InicioCiclo,$S151+MOD(2-WEEKDAY($S151),7))+27),1,IF(N($W151)&gt;0,AVERAGEIFS($AB$5:$AB$1000,$U$5:$U$1000,ROW(),$V$5:$V$1000,"Sub"),$AB151)))</f>
        <v/>
      </c>
      <c r="AG151" s="62">
        <f>IF($V151&lt;&gt;"Macro","",IF(COUNTIFS($S$5:$S$1000,$S151,$V$5:$V$1000,"Macro",$H$5:$H$1000,"&gt;0")=0,1/COUNTIFS($S$5:$S$1000,$S151,$V$5:$V$1000,"Macro"),IF(AND(ISNUMBER($H151),N($H151)&gt;0),$H151,SUMIFS($H$5:$H$1000,$S$5:$S$1000,$S151,$V$5:$V$1000,"Macro")/COUNTIFS($S$5:$S$1000,$S151,$V$5:$V$1000,"Macro",$H$5:$H$1000,"&gt;0"))/(COUNTIFS($S$5:$S$1000,$S151,$V$5:$V$1000,"Macro")*SUMIFS($H$5:$H$1000,$S$5:$S$1000,$S151,$V$5:$V$1000,"Macro")/COUNTIFS($S$5:$S$1000,$S151,$V$5:$V$1000,"Macro",$H$5:$H$1000,"&gt;0"))))</f>
        <v/>
      </c>
      <c r="AH151" s="62">
        <f>IF(NOT(AND($D151&lt;&gt;"",$V151="Macro")),"",IFERROR(CHOOSE(MATCH($D151,ListaPuestos,0),MATCH("[Jefatura] "&amp;$C151,'Cronograma R. Operacional'!$C$5:$C$1000,0),MATCH("[Jefatura] "&amp;$C151,'Cronograma R. Normativo'!$C$5:$C$1000,0),MATCH("[Jefatura] "&amp;$C151,'Cronograma R. Financiero'!$C$5:$C$1000,0),MATCH("[Jefatura] "&amp;$C151,'Cronograma Asistente Técnico'!$C$5:$C$1000,0)),0))</f>
        <v/>
      </c>
      <c r="AI151" s="62">
        <f>IF(AND(AND($D151&lt;&gt;"",$V151="Macro"),$S151=MesCiclo),COUNTIFS($D$5:$D151,$D151,$S$5:$S151,MesCiclo,$V$5:$V151,"Macro"),"")</f>
        <v/>
      </c>
      <c r="AJ151" s="62">
        <f>IF($AI151="","",$D151&amp;"|"&amp;$AI151)</f>
        <v/>
      </c>
      <c r="AK151" s="62">
        <f>IF(AND($D151&lt;&gt;"",$V151="Macro"),$D151&amp;"|"&amp;$C151,"")</f>
        <v/>
      </c>
      <c r="AL151" s="62">
        <f>""</f>
        <v/>
      </c>
      <c r="AM151" s="62">
        <f>IF(N($AL151)&gt;0,INDEX(rIni_ADM,$AL151),IF(ISNUMBER($E151),$E151,""))</f>
        <v/>
      </c>
      <c r="AN151" s="62">
        <f>IF(N($AL151)&gt;0,INDEX(rLim_ADM,$AL151),IF(ISNUMBER($F151),$F151,""))</f>
        <v/>
      </c>
    </row>
    <row r="152">
      <c r="A152" s="56">
        <f>IF(NOT((COUNTA($B152:$D152)+COUNTA($G152:$L152)+COUNTA($Q152))&gt;0),"",IF($V152="Macro",COUNTIFS($V$5:$V152,"Macro",$S$5:$S152,$S152),IF(N($U152)=0,"?",COUNTIFS(INDEX($V$5:$V$1000,1):INDEX($V$5:$V$1000,$U152-4),"Macro",INDEX($S$5:$S$1000,1):INDEX($S$5:$S$1000,$U152-4),INDEX($S$5:$S$1000,$U152-4))&amp;"."&amp;COUNTIFS($U$5:$U152,$U152,$V$5:$V152,"Sub"))))</f>
        <v/>
      </c>
      <c r="B152" s="57" t="n"/>
      <c r="C152" s="58" t="n"/>
      <c r="D152" s="58" t="n"/>
      <c r="E152" s="59" t="n"/>
      <c r="F152" s="59" t="n"/>
      <c r="G152" s="59" t="n"/>
      <c r="H152" s="60" t="n"/>
      <c r="I152" s="60" t="n"/>
      <c r="J152" s="60" t="n"/>
      <c r="K152" s="60" t="n"/>
      <c r="L152" s="60" t="n"/>
      <c r="M152" s="61">
        <f>IF(NOT((COUNTA($B152:$D152)+COUNTA($G152:$L152)+COUNTA($Q152))&gt;0),"",IF(AND($D152&lt;&gt;"",$V152="Macro"),IF(N($AH152)&gt;0,N(CHOOSE(MATCH($D152,ListaPuestos,0),INDEX('Cronograma R. Operacional'!$M$5:$M$1000,$AH152),INDEX('Cronograma R. Normativo'!$M$5:$M$1000,$AH152),INDEX('Cronograma R. Financiero'!$M$5:$M$1000,$AH152),INDEX('Cronograma Asistente Técnico'!$M$5:$M$1000,$AH152))),0),IF(ISNUMBER($G152),1,IF(N($W152)&gt;0,AVERAGEIFS($X$5:$X$1000,$U$5:$U$1000,ROW(),$V$5:$V$1000,"Sub"),$X152))))</f>
        <v/>
      </c>
      <c r="N152" s="56">
        <f>IF($M152="","",IF($M152&gt;=1,"Completado",IF($M152&gt;0,"En curso","Pendiente")))</f>
        <v/>
      </c>
      <c r="O152" s="56">
        <f>IF(NOT((COUNTA($B152:$D152)+COUNTA($G152:$L152)+COUNTA($Q152))&gt;0),"",IF(AND(AND($D152&lt;&gt;"",$V152="Macro"),N($AH152)&gt;0),CHOOSE(MATCH($D152,ListaPuestos,0),INDEX('Cronograma R. Operacional'!$O$5:$O$1000,$AH152),INDEX('Cronograma R. Normativo'!$O$5:$O$1000,$AH152),INDEX('Cronograma R. Financiero'!$O$5:$O$1000,$AH152),INDEX('Cronograma Asistente Técnico'!$O$5:$O$1000,$AH152))&amp;"",IF(ISNUMBER($G152),IF(AND(ISNUMBER($AN152),$G152&gt;$AN152),"Cumplida con "&amp;($G152-$AN152)&amp;IF($G152-$AN152=1," día"," días")&amp;" de retraso","Cumplida"),IF(N($M152)&gt;=1,"Cumplida",IF(NOT(ISNUMBER($AN152)),"Sin fecha límite",IF($AN152&lt;FechaRef,"Vencida hace "&amp;(FechaRef-$AN152)&amp;IF(FechaRef-$AN152=1," día"," días"),IF($AN152=FechaRef,"Vence hoy",IF($AN152-FechaRef&lt;=DiasAlerta,"Vence en "&amp;($AN152-FechaRef)&amp;IF($AN152-FechaRef=1," día"," días"),"En plazo"))))))))</f>
        <v/>
      </c>
      <c r="P152" s="62">
        <f>IF(NOT((COUNTA($B152:$D152)+COUNTA($G152:$L152)+COUNTA($Q152))&gt;0),"",IF($D152="","Propia",IF($V152&lt;&gt;"Macro","Solo se delegan macroactividades",IF(N($AH152)&gt;0,"✔ Recibida por "&amp;$D152,"⚠ "&amp;$D152&amp;" aún no la agrega"))))</f>
        <v/>
      </c>
      <c r="Q152" s="58" t="n"/>
      <c r="R152" s="63">
        <f>IF(NOT((COUNTA($B152:$D152)+COUNTA($G152:$L152)+COUNTA($Q152))&gt;0),"",IF((IF($C152="","Falta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",""))="","✔ OK","⚠ "&amp;LEFT(IF($C152="","Falta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",""),LEN(IF($C152="","Falta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",""))-3)))</f>
        <v/>
      </c>
      <c r="S152" s="64">
        <f>IF(NOT((COUNTA($B152:$D152)+COUNTA($G152:$L152)+COUNTA($Q152))&gt;0),"",IF(AND($V152="Sub",N($U152)&gt;0),IF(ISNUMBER(INDEX($AM$5:$AM$1000,$U152-4)),DATE(YEAR(INDEX($AM$5:$AM$1000,$U152-4)),MONTH(INDEX($AM$5:$AM$1000,$U152-4)),1),IF(ISNUMBER(INDEX($AN$5:$AN$1000,$U152-4)),DATE(YEAR(INDEX($AN$5:$AN$1000,$U152-4)),MONTH(INDEX($AN$5:$AN$1000,$U152-4)),1),MesCiclo)),IF(ISNUMBER($AM152),DATE(YEAR($AM152),MONTH($AM152),1),IF(ISNUMBER($AN152),DATE(YEAR($AN152),MONTH($AN152),1),MesCiclo))))</f>
        <v/>
      </c>
      <c r="T152" s="62">
        <f>IF(OR($S152="",$S152&lt;&gt;MesCiclo),"",COUNTIF($S$5:$S152,MesCiclo))</f>
        <v/>
      </c>
      <c r="U152" s="62">
        <f>IF($V152="","",IF($V152="Macro",ROW(),IFERROR(LOOKUP(2,1/($V$5:$V152="Macro"),ROW($V$5:$V152)),0)))</f>
        <v/>
      </c>
      <c r="V152" s="62">
        <f>IF(NOT((COUNTA($B152:$D152)+COUNTA($G152:$L152)+COUNTA($Q152))&gt;0),"",IF($B152="Subactividad","Sub","Macro"))</f>
        <v/>
      </c>
      <c r="W152" s="62">
        <f>IF($V152="Macro",COUNTIFS($U$5:$U$1000,ROW(),$V$5:$V$1000,"Sub"),"")</f>
        <v/>
      </c>
      <c r="X152" s="62">
        <f>IF($V152="","",IF(ISNUMBER($G152),1,IFERROR(LOOKUP(2,1/($I152:$L152&lt;&gt;""),$I152:$L152),0)))</f>
        <v/>
      </c>
      <c r="Y152" s="62">
        <f>IF($V152="","",IF(AND(ISNUMBER($G152),$G152&lt;=IF($S152=MesCiclo,InicioCiclo,$S152+MOD(2-WEEKDAY($S152),7))+6),1,IF(ISNUMBER($I152),$I152,0)))</f>
        <v/>
      </c>
      <c r="Z152" s="62">
        <f>IF($V152="","",IF(AND(ISNUMBER($G152),$G152&lt;=IF($S152=MesCiclo,InicioCiclo,$S152+MOD(2-WEEKDAY($S152),7))+13),1,IF(ISNUMBER($J152),$J152,$Y152)))</f>
        <v/>
      </c>
      <c r="AA152" s="62">
        <f>IF($V152="","",IF(AND(ISNUMBER($G152),$G152&lt;=IF($S152=MesCiclo,InicioCiclo,$S152+MOD(2-WEEKDAY($S152),7))+20),1,IF(ISNUMBER($K152),$K152,$Z152)))</f>
        <v/>
      </c>
      <c r="AB152" s="62">
        <f>IF($V152="","",IF(AND(ISNUMBER($G152),$G152&lt;=IF($S152=MesCiclo,InicioCiclo,$S152+MOD(2-WEEKDAY($S152),7))+27),1,IF(ISNUMBER($L152),$L152,$AA152)))</f>
        <v/>
      </c>
      <c r="AC152" s="62">
        <f>IF($V152="","",IF(AND(ISNUMBER($G152),$G152&lt;=IF($S152=MesCiclo,InicioCiclo,$S152+MOD(2-WEEKDAY($S152),7))+6),1,IF(N($W152)&gt;0,AVERAGEIFS($Y$5:$Y$1000,$U$5:$U$1000,ROW(),$V$5:$V$1000,"Sub"),$Y152)))</f>
        <v/>
      </c>
      <c r="AD152" s="62">
        <f>IF($V152="","",IF(AND(ISNUMBER($G152),$G152&lt;=IF($S152=MesCiclo,InicioCiclo,$S152+MOD(2-WEEKDAY($S152),7))+13),1,IF(N($W152)&gt;0,AVERAGEIFS($Z$5:$Z$1000,$U$5:$U$1000,ROW(),$V$5:$V$1000,"Sub"),$Z152)))</f>
        <v/>
      </c>
      <c r="AE152" s="62">
        <f>IF($V152="","",IF(AND(ISNUMBER($G152),$G152&lt;=IF($S152=MesCiclo,InicioCiclo,$S152+MOD(2-WEEKDAY($S152),7))+20),1,IF(N($W152)&gt;0,AVERAGEIFS($AA$5:$AA$1000,$U$5:$U$1000,ROW(),$V$5:$V$1000,"Sub"),$AA152)))</f>
        <v/>
      </c>
      <c r="AF152" s="62">
        <f>IF($V152="","",IF(AND(ISNUMBER($G152),$G152&lt;=IF($S152=MesCiclo,InicioCiclo,$S152+MOD(2-WEEKDAY($S152),7))+27),1,IF(N($W152)&gt;0,AVERAGEIFS($AB$5:$AB$1000,$U$5:$U$1000,ROW(),$V$5:$V$1000,"Sub"),$AB152)))</f>
        <v/>
      </c>
      <c r="AG152" s="62">
        <f>IF($V152&lt;&gt;"Macro","",IF(COUNTIFS($S$5:$S$1000,$S152,$V$5:$V$1000,"Macro",$H$5:$H$1000,"&gt;0")=0,1/COUNTIFS($S$5:$S$1000,$S152,$V$5:$V$1000,"Macro"),IF(AND(ISNUMBER($H152),N($H152)&gt;0),$H152,SUMIFS($H$5:$H$1000,$S$5:$S$1000,$S152,$V$5:$V$1000,"Macro")/COUNTIFS($S$5:$S$1000,$S152,$V$5:$V$1000,"Macro",$H$5:$H$1000,"&gt;0"))/(COUNTIFS($S$5:$S$1000,$S152,$V$5:$V$1000,"Macro")*SUMIFS($H$5:$H$1000,$S$5:$S$1000,$S152,$V$5:$V$1000,"Macro")/COUNTIFS($S$5:$S$1000,$S152,$V$5:$V$1000,"Macro",$H$5:$H$1000,"&gt;0"))))</f>
        <v/>
      </c>
      <c r="AH152" s="62">
        <f>IF(NOT(AND($D152&lt;&gt;"",$V152="Macro")),"",IFERROR(CHOOSE(MATCH($D152,ListaPuestos,0),MATCH("[Jefatura] "&amp;$C152,'Cronograma R. Operacional'!$C$5:$C$1000,0),MATCH("[Jefatura] "&amp;$C152,'Cronograma R. Normativo'!$C$5:$C$1000,0),MATCH("[Jefatura] "&amp;$C152,'Cronograma R. Financiero'!$C$5:$C$1000,0),MATCH("[Jefatura] "&amp;$C152,'Cronograma Asistente Técnico'!$C$5:$C$1000,0)),0))</f>
        <v/>
      </c>
      <c r="AI152" s="62">
        <f>IF(AND(AND($D152&lt;&gt;"",$V152="Macro"),$S152=MesCiclo),COUNTIFS($D$5:$D152,$D152,$S$5:$S152,MesCiclo,$V$5:$V152,"Macro"),"")</f>
        <v/>
      </c>
      <c r="AJ152" s="62">
        <f>IF($AI152="","",$D152&amp;"|"&amp;$AI152)</f>
        <v/>
      </c>
      <c r="AK152" s="62">
        <f>IF(AND($D152&lt;&gt;"",$V152="Macro"),$D152&amp;"|"&amp;$C152,"")</f>
        <v/>
      </c>
      <c r="AL152" s="62">
        <f>""</f>
        <v/>
      </c>
      <c r="AM152" s="62">
        <f>IF(N($AL152)&gt;0,INDEX(rIni_ADM,$AL152),IF(ISNUMBER($E152),$E152,""))</f>
        <v/>
      </c>
      <c r="AN152" s="62">
        <f>IF(N($AL152)&gt;0,INDEX(rLim_ADM,$AL152),IF(ISNUMBER($F152),$F152,""))</f>
        <v/>
      </c>
    </row>
    <row r="153">
      <c r="A153" s="56">
        <f>IF(NOT((COUNTA($B153:$D153)+COUNTA($G153:$L153)+COUNTA($Q153))&gt;0),"",IF($V153="Macro",COUNTIFS($V$5:$V153,"Macro",$S$5:$S153,$S153),IF(N($U153)=0,"?",COUNTIFS(INDEX($V$5:$V$1000,1):INDEX($V$5:$V$1000,$U153-4),"Macro",INDEX($S$5:$S$1000,1):INDEX($S$5:$S$1000,$U153-4),INDEX($S$5:$S$1000,$U153-4))&amp;"."&amp;COUNTIFS($U$5:$U153,$U153,$V$5:$V153,"Sub"))))</f>
        <v/>
      </c>
      <c r="B153" s="57" t="n"/>
      <c r="C153" s="58" t="n"/>
      <c r="D153" s="58" t="n"/>
      <c r="E153" s="59" t="n"/>
      <c r="F153" s="59" t="n"/>
      <c r="G153" s="59" t="n"/>
      <c r="H153" s="60" t="n"/>
      <c r="I153" s="60" t="n"/>
      <c r="J153" s="60" t="n"/>
      <c r="K153" s="60" t="n"/>
      <c r="L153" s="60" t="n"/>
      <c r="M153" s="61">
        <f>IF(NOT((COUNTA($B153:$D153)+COUNTA($G153:$L153)+COUNTA($Q153))&gt;0),"",IF(AND($D153&lt;&gt;"",$V153="Macro"),IF(N($AH153)&gt;0,N(CHOOSE(MATCH($D153,ListaPuestos,0),INDEX('Cronograma R. Operacional'!$M$5:$M$1000,$AH153),INDEX('Cronograma R. Normativo'!$M$5:$M$1000,$AH153),INDEX('Cronograma R. Financiero'!$M$5:$M$1000,$AH153),INDEX('Cronograma Asistente Técnico'!$M$5:$M$1000,$AH153))),0),IF(ISNUMBER($G153),1,IF(N($W153)&gt;0,AVERAGEIFS($X$5:$X$1000,$U$5:$U$1000,ROW(),$V$5:$V$1000,"Sub"),$X153))))</f>
        <v/>
      </c>
      <c r="N153" s="56">
        <f>IF($M153="","",IF($M153&gt;=1,"Completado",IF($M153&gt;0,"En curso","Pendiente")))</f>
        <v/>
      </c>
      <c r="O153" s="56">
        <f>IF(NOT((COUNTA($B153:$D153)+COUNTA($G153:$L153)+COUNTA($Q153))&gt;0),"",IF(AND(AND($D153&lt;&gt;"",$V153="Macro"),N($AH153)&gt;0),CHOOSE(MATCH($D153,ListaPuestos,0),INDEX('Cronograma R. Operacional'!$O$5:$O$1000,$AH153),INDEX('Cronograma R. Normativo'!$O$5:$O$1000,$AH153),INDEX('Cronograma R. Financiero'!$O$5:$O$1000,$AH153),INDEX('Cronograma Asistente Técnico'!$O$5:$O$1000,$AH153))&amp;"",IF(ISNUMBER($G153),IF(AND(ISNUMBER($AN153),$G153&gt;$AN153),"Cumplida con "&amp;($G153-$AN153)&amp;IF($G153-$AN153=1," día"," días")&amp;" de retraso","Cumplida"),IF(N($M153)&gt;=1,"Cumplida",IF(NOT(ISNUMBER($AN153)),"Sin fecha límite",IF($AN153&lt;FechaRef,"Vencida hace "&amp;(FechaRef-$AN153)&amp;IF(FechaRef-$AN153=1," día"," días"),IF($AN153=FechaRef,"Vence hoy",IF($AN153-FechaRef&lt;=DiasAlerta,"Vence en "&amp;($AN153-FechaRef)&amp;IF($AN153-FechaRef=1," día"," días"),"En plazo"))))))))</f>
        <v/>
      </c>
      <c r="P153" s="62">
        <f>IF(NOT((COUNTA($B153:$D153)+COUNTA($G153:$L153)+COUNTA($Q153))&gt;0),"",IF($D153="","Propia",IF($V153&lt;&gt;"Macro","Solo se delegan macroactividades",IF(N($AH153)&gt;0,"✔ Recibida por "&amp;$D153,"⚠ "&amp;$D153&amp;" aún no la agrega"))))</f>
        <v/>
      </c>
      <c r="Q153" s="58" t="n"/>
      <c r="R153" s="63">
        <f>IF(NOT((COUNTA($B153:$D153)+COUNTA($G153:$L153)+COUNTA($Q153))&gt;0),"",IF((IF($C153="","Falta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",""))="","✔ OK","⚠ "&amp;LEFT(IF($C153="","Falta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",""),LEN(IF($C153="","Falta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",""))-3)))</f>
        <v/>
      </c>
      <c r="S153" s="64">
        <f>IF(NOT((COUNTA($B153:$D153)+COUNTA($G153:$L153)+COUNTA($Q153))&gt;0),"",IF(AND($V153="Sub",N($U153)&gt;0),IF(ISNUMBER(INDEX($AM$5:$AM$1000,$U153-4)),DATE(YEAR(INDEX($AM$5:$AM$1000,$U153-4)),MONTH(INDEX($AM$5:$AM$1000,$U153-4)),1),IF(ISNUMBER(INDEX($AN$5:$AN$1000,$U153-4)),DATE(YEAR(INDEX($AN$5:$AN$1000,$U153-4)),MONTH(INDEX($AN$5:$AN$1000,$U153-4)),1),MesCiclo)),IF(ISNUMBER($AM153),DATE(YEAR($AM153),MONTH($AM153),1),IF(ISNUMBER($AN153),DATE(YEAR($AN153),MONTH($AN153),1),MesCiclo))))</f>
        <v/>
      </c>
      <c r="T153" s="62">
        <f>IF(OR($S153="",$S153&lt;&gt;MesCiclo),"",COUNTIF($S$5:$S153,MesCiclo))</f>
        <v/>
      </c>
      <c r="U153" s="62">
        <f>IF($V153="","",IF($V153="Macro",ROW(),IFERROR(LOOKUP(2,1/($V$5:$V153="Macro"),ROW($V$5:$V153)),0)))</f>
        <v/>
      </c>
      <c r="V153" s="62">
        <f>IF(NOT((COUNTA($B153:$D153)+COUNTA($G153:$L153)+COUNTA($Q153))&gt;0),"",IF($B153="Subactividad","Sub","Macro"))</f>
        <v/>
      </c>
      <c r="W153" s="62">
        <f>IF($V153="Macro",COUNTIFS($U$5:$U$1000,ROW(),$V$5:$V$1000,"Sub"),"")</f>
        <v/>
      </c>
      <c r="X153" s="62">
        <f>IF($V153="","",IF(ISNUMBER($G153),1,IFERROR(LOOKUP(2,1/($I153:$L153&lt;&gt;""),$I153:$L153),0)))</f>
        <v/>
      </c>
      <c r="Y153" s="62">
        <f>IF($V153="","",IF(AND(ISNUMBER($G153),$G153&lt;=IF($S153=MesCiclo,InicioCiclo,$S153+MOD(2-WEEKDAY($S153),7))+6),1,IF(ISNUMBER($I153),$I153,0)))</f>
        <v/>
      </c>
      <c r="Z153" s="62">
        <f>IF($V153="","",IF(AND(ISNUMBER($G153),$G153&lt;=IF($S153=MesCiclo,InicioCiclo,$S153+MOD(2-WEEKDAY($S153),7))+13),1,IF(ISNUMBER($J153),$J153,$Y153)))</f>
        <v/>
      </c>
      <c r="AA153" s="62">
        <f>IF($V153="","",IF(AND(ISNUMBER($G153),$G153&lt;=IF($S153=MesCiclo,InicioCiclo,$S153+MOD(2-WEEKDAY($S153),7))+20),1,IF(ISNUMBER($K153),$K153,$Z153)))</f>
        <v/>
      </c>
      <c r="AB153" s="62">
        <f>IF($V153="","",IF(AND(ISNUMBER($G153),$G153&lt;=IF($S153=MesCiclo,InicioCiclo,$S153+MOD(2-WEEKDAY($S153),7))+27),1,IF(ISNUMBER($L153),$L153,$AA153)))</f>
        <v/>
      </c>
      <c r="AC153" s="62">
        <f>IF($V153="","",IF(AND(ISNUMBER($G153),$G153&lt;=IF($S153=MesCiclo,InicioCiclo,$S153+MOD(2-WEEKDAY($S153),7))+6),1,IF(N($W153)&gt;0,AVERAGEIFS($Y$5:$Y$1000,$U$5:$U$1000,ROW(),$V$5:$V$1000,"Sub"),$Y153)))</f>
        <v/>
      </c>
      <c r="AD153" s="62">
        <f>IF($V153="","",IF(AND(ISNUMBER($G153),$G153&lt;=IF($S153=MesCiclo,InicioCiclo,$S153+MOD(2-WEEKDAY($S153),7))+13),1,IF(N($W153)&gt;0,AVERAGEIFS($Z$5:$Z$1000,$U$5:$U$1000,ROW(),$V$5:$V$1000,"Sub"),$Z153)))</f>
        <v/>
      </c>
      <c r="AE153" s="62">
        <f>IF($V153="","",IF(AND(ISNUMBER($G153),$G153&lt;=IF($S153=MesCiclo,InicioCiclo,$S153+MOD(2-WEEKDAY($S153),7))+20),1,IF(N($W153)&gt;0,AVERAGEIFS($AA$5:$AA$1000,$U$5:$U$1000,ROW(),$V$5:$V$1000,"Sub"),$AA153)))</f>
        <v/>
      </c>
      <c r="AF153" s="62">
        <f>IF($V153="","",IF(AND(ISNUMBER($G153),$G153&lt;=IF($S153=MesCiclo,InicioCiclo,$S153+MOD(2-WEEKDAY($S153),7))+27),1,IF(N($W153)&gt;0,AVERAGEIFS($AB$5:$AB$1000,$U$5:$U$1000,ROW(),$V$5:$V$1000,"Sub"),$AB153)))</f>
        <v/>
      </c>
      <c r="AG153" s="62">
        <f>IF($V153&lt;&gt;"Macro","",IF(COUNTIFS($S$5:$S$1000,$S153,$V$5:$V$1000,"Macro",$H$5:$H$1000,"&gt;0")=0,1/COUNTIFS($S$5:$S$1000,$S153,$V$5:$V$1000,"Macro"),IF(AND(ISNUMBER($H153),N($H153)&gt;0),$H153,SUMIFS($H$5:$H$1000,$S$5:$S$1000,$S153,$V$5:$V$1000,"Macro")/COUNTIFS($S$5:$S$1000,$S153,$V$5:$V$1000,"Macro",$H$5:$H$1000,"&gt;0"))/(COUNTIFS($S$5:$S$1000,$S153,$V$5:$V$1000,"Macro")*SUMIFS($H$5:$H$1000,$S$5:$S$1000,$S153,$V$5:$V$1000,"Macro")/COUNTIFS($S$5:$S$1000,$S153,$V$5:$V$1000,"Macro",$H$5:$H$1000,"&gt;0"))))</f>
        <v/>
      </c>
      <c r="AH153" s="62">
        <f>IF(NOT(AND($D153&lt;&gt;"",$V153="Macro")),"",IFERROR(CHOOSE(MATCH($D153,ListaPuestos,0),MATCH("[Jefatura] "&amp;$C153,'Cronograma R. Operacional'!$C$5:$C$1000,0),MATCH("[Jefatura] "&amp;$C153,'Cronograma R. Normativo'!$C$5:$C$1000,0),MATCH("[Jefatura] "&amp;$C153,'Cronograma R. Financiero'!$C$5:$C$1000,0),MATCH("[Jefatura] "&amp;$C153,'Cronograma Asistente Técnico'!$C$5:$C$1000,0)),0))</f>
        <v/>
      </c>
      <c r="AI153" s="62">
        <f>IF(AND(AND($D153&lt;&gt;"",$V153="Macro"),$S153=MesCiclo),COUNTIFS($D$5:$D153,$D153,$S$5:$S153,MesCiclo,$V$5:$V153,"Macro"),"")</f>
        <v/>
      </c>
      <c r="AJ153" s="62">
        <f>IF($AI153="","",$D153&amp;"|"&amp;$AI153)</f>
        <v/>
      </c>
      <c r="AK153" s="62">
        <f>IF(AND($D153&lt;&gt;"",$V153="Macro"),$D153&amp;"|"&amp;$C153,"")</f>
        <v/>
      </c>
      <c r="AL153" s="62">
        <f>""</f>
        <v/>
      </c>
      <c r="AM153" s="62">
        <f>IF(N($AL153)&gt;0,INDEX(rIni_ADM,$AL153),IF(ISNUMBER($E153),$E153,""))</f>
        <v/>
      </c>
      <c r="AN153" s="62">
        <f>IF(N($AL153)&gt;0,INDEX(rLim_ADM,$AL153),IF(ISNUMBER($F153),$F153,""))</f>
        <v/>
      </c>
    </row>
    <row r="154">
      <c r="A154" s="56">
        <f>IF(NOT((COUNTA($B154:$D154)+COUNTA($G154:$L154)+COUNTA($Q154))&gt;0),"",IF($V154="Macro",COUNTIFS($V$5:$V154,"Macro",$S$5:$S154,$S154),IF(N($U154)=0,"?",COUNTIFS(INDEX($V$5:$V$1000,1):INDEX($V$5:$V$1000,$U154-4),"Macro",INDEX($S$5:$S$1000,1):INDEX($S$5:$S$1000,$U154-4),INDEX($S$5:$S$1000,$U154-4))&amp;"."&amp;COUNTIFS($U$5:$U154,$U154,$V$5:$V154,"Sub"))))</f>
        <v/>
      </c>
      <c r="B154" s="57" t="n"/>
      <c r="C154" s="58" t="n"/>
      <c r="D154" s="58" t="n"/>
      <c r="E154" s="59" t="n"/>
      <c r="F154" s="59" t="n"/>
      <c r="G154" s="59" t="n"/>
      <c r="H154" s="60" t="n"/>
      <c r="I154" s="60" t="n"/>
      <c r="J154" s="60" t="n"/>
      <c r="K154" s="60" t="n"/>
      <c r="L154" s="60" t="n"/>
      <c r="M154" s="61">
        <f>IF(NOT((COUNTA($B154:$D154)+COUNTA($G154:$L154)+COUNTA($Q154))&gt;0),"",IF(AND($D154&lt;&gt;"",$V154="Macro"),IF(N($AH154)&gt;0,N(CHOOSE(MATCH($D154,ListaPuestos,0),INDEX('Cronograma R. Operacional'!$M$5:$M$1000,$AH154),INDEX('Cronograma R. Normativo'!$M$5:$M$1000,$AH154),INDEX('Cronograma R. Financiero'!$M$5:$M$1000,$AH154),INDEX('Cronograma Asistente Técnico'!$M$5:$M$1000,$AH154))),0),IF(ISNUMBER($G154),1,IF(N($W154)&gt;0,AVERAGEIFS($X$5:$X$1000,$U$5:$U$1000,ROW(),$V$5:$V$1000,"Sub"),$X154))))</f>
        <v/>
      </c>
      <c r="N154" s="56">
        <f>IF($M154="","",IF($M154&gt;=1,"Completado",IF($M154&gt;0,"En curso","Pendiente")))</f>
        <v/>
      </c>
      <c r="O154" s="56">
        <f>IF(NOT((COUNTA($B154:$D154)+COUNTA($G154:$L154)+COUNTA($Q154))&gt;0),"",IF(AND(AND($D154&lt;&gt;"",$V154="Macro"),N($AH154)&gt;0),CHOOSE(MATCH($D154,ListaPuestos,0),INDEX('Cronograma R. Operacional'!$O$5:$O$1000,$AH154),INDEX('Cronograma R. Normativo'!$O$5:$O$1000,$AH154),INDEX('Cronograma R. Financiero'!$O$5:$O$1000,$AH154),INDEX('Cronograma Asistente Técnico'!$O$5:$O$1000,$AH154))&amp;"",IF(ISNUMBER($G154),IF(AND(ISNUMBER($AN154),$G154&gt;$AN154),"Cumplida con "&amp;($G154-$AN154)&amp;IF($G154-$AN154=1," día"," días")&amp;" de retraso","Cumplida"),IF(N($M154)&gt;=1,"Cumplida",IF(NOT(ISNUMBER($AN154)),"Sin fecha límite",IF($AN154&lt;FechaRef,"Vencida hace "&amp;(FechaRef-$AN154)&amp;IF(FechaRef-$AN154=1," día"," días"),IF($AN154=FechaRef,"Vence hoy",IF($AN154-FechaRef&lt;=DiasAlerta,"Vence en "&amp;($AN154-FechaRef)&amp;IF($AN154-FechaRef=1," día"," días"),"En plazo"))))))))</f>
        <v/>
      </c>
      <c r="P154" s="62">
        <f>IF(NOT((COUNTA($B154:$D154)+COUNTA($G154:$L154)+COUNTA($Q154))&gt;0),"",IF($D154="","Propia",IF($V154&lt;&gt;"Macro","Solo se delegan macroactividades",IF(N($AH154)&gt;0,"✔ Recibida por "&amp;$D154,"⚠ "&amp;$D154&amp;" aún no la agrega"))))</f>
        <v/>
      </c>
      <c r="Q154" s="58" t="n"/>
      <c r="R154" s="63">
        <f>IF(NOT((COUNTA($B154:$D154)+COUNTA($G154:$L154)+COUNTA($Q154))&gt;0),"",IF((IF($C154="","Falta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",""))="","✔ OK","⚠ "&amp;LEFT(IF($C154="","Falta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",""),LEN(IF($C154="","Falta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",""))-3)))</f>
        <v/>
      </c>
      <c r="S154" s="64">
        <f>IF(NOT((COUNTA($B154:$D154)+COUNTA($G154:$L154)+COUNTA($Q154))&gt;0),"",IF(AND($V154="Sub",N($U154)&gt;0),IF(ISNUMBER(INDEX($AM$5:$AM$1000,$U154-4)),DATE(YEAR(INDEX($AM$5:$AM$1000,$U154-4)),MONTH(INDEX($AM$5:$AM$1000,$U154-4)),1),IF(ISNUMBER(INDEX($AN$5:$AN$1000,$U154-4)),DATE(YEAR(INDEX($AN$5:$AN$1000,$U154-4)),MONTH(INDEX($AN$5:$AN$1000,$U154-4)),1),MesCiclo)),IF(ISNUMBER($AM154),DATE(YEAR($AM154),MONTH($AM154),1),IF(ISNUMBER($AN154),DATE(YEAR($AN154),MONTH($AN154),1),MesCiclo))))</f>
        <v/>
      </c>
      <c r="T154" s="62">
        <f>IF(OR($S154="",$S154&lt;&gt;MesCiclo),"",COUNTIF($S$5:$S154,MesCiclo))</f>
        <v/>
      </c>
      <c r="U154" s="62">
        <f>IF($V154="","",IF($V154="Macro",ROW(),IFERROR(LOOKUP(2,1/($V$5:$V154="Macro"),ROW($V$5:$V154)),0)))</f>
        <v/>
      </c>
      <c r="V154" s="62">
        <f>IF(NOT((COUNTA($B154:$D154)+COUNTA($G154:$L154)+COUNTA($Q154))&gt;0),"",IF($B154="Subactividad","Sub","Macro"))</f>
        <v/>
      </c>
      <c r="W154" s="62">
        <f>IF($V154="Macro",COUNTIFS($U$5:$U$1000,ROW(),$V$5:$V$1000,"Sub"),"")</f>
        <v/>
      </c>
      <c r="X154" s="62">
        <f>IF($V154="","",IF(ISNUMBER($G154),1,IFERROR(LOOKUP(2,1/($I154:$L154&lt;&gt;""),$I154:$L154),0)))</f>
        <v/>
      </c>
      <c r="Y154" s="62">
        <f>IF($V154="","",IF(AND(ISNUMBER($G154),$G154&lt;=IF($S154=MesCiclo,InicioCiclo,$S154+MOD(2-WEEKDAY($S154),7))+6),1,IF(ISNUMBER($I154),$I154,0)))</f>
        <v/>
      </c>
      <c r="Z154" s="62">
        <f>IF($V154="","",IF(AND(ISNUMBER($G154),$G154&lt;=IF($S154=MesCiclo,InicioCiclo,$S154+MOD(2-WEEKDAY($S154),7))+13),1,IF(ISNUMBER($J154),$J154,$Y154)))</f>
        <v/>
      </c>
      <c r="AA154" s="62">
        <f>IF($V154="","",IF(AND(ISNUMBER($G154),$G154&lt;=IF($S154=MesCiclo,InicioCiclo,$S154+MOD(2-WEEKDAY($S154),7))+20),1,IF(ISNUMBER($K154),$K154,$Z154)))</f>
        <v/>
      </c>
      <c r="AB154" s="62">
        <f>IF($V154="","",IF(AND(ISNUMBER($G154),$G154&lt;=IF($S154=MesCiclo,InicioCiclo,$S154+MOD(2-WEEKDAY($S154),7))+27),1,IF(ISNUMBER($L154),$L154,$AA154)))</f>
        <v/>
      </c>
      <c r="AC154" s="62">
        <f>IF($V154="","",IF(AND(ISNUMBER($G154),$G154&lt;=IF($S154=MesCiclo,InicioCiclo,$S154+MOD(2-WEEKDAY($S154),7))+6),1,IF(N($W154)&gt;0,AVERAGEIFS($Y$5:$Y$1000,$U$5:$U$1000,ROW(),$V$5:$V$1000,"Sub"),$Y154)))</f>
        <v/>
      </c>
      <c r="AD154" s="62">
        <f>IF($V154="","",IF(AND(ISNUMBER($G154),$G154&lt;=IF($S154=MesCiclo,InicioCiclo,$S154+MOD(2-WEEKDAY($S154),7))+13),1,IF(N($W154)&gt;0,AVERAGEIFS($Z$5:$Z$1000,$U$5:$U$1000,ROW(),$V$5:$V$1000,"Sub"),$Z154)))</f>
        <v/>
      </c>
      <c r="AE154" s="62">
        <f>IF($V154="","",IF(AND(ISNUMBER($G154),$G154&lt;=IF($S154=MesCiclo,InicioCiclo,$S154+MOD(2-WEEKDAY($S154),7))+20),1,IF(N($W154)&gt;0,AVERAGEIFS($AA$5:$AA$1000,$U$5:$U$1000,ROW(),$V$5:$V$1000,"Sub"),$AA154)))</f>
        <v/>
      </c>
      <c r="AF154" s="62">
        <f>IF($V154="","",IF(AND(ISNUMBER($G154),$G154&lt;=IF($S154=MesCiclo,InicioCiclo,$S154+MOD(2-WEEKDAY($S154),7))+27),1,IF(N($W154)&gt;0,AVERAGEIFS($AB$5:$AB$1000,$U$5:$U$1000,ROW(),$V$5:$V$1000,"Sub"),$AB154)))</f>
        <v/>
      </c>
      <c r="AG154" s="62">
        <f>IF($V154&lt;&gt;"Macro","",IF(COUNTIFS($S$5:$S$1000,$S154,$V$5:$V$1000,"Macro",$H$5:$H$1000,"&gt;0")=0,1/COUNTIFS($S$5:$S$1000,$S154,$V$5:$V$1000,"Macro"),IF(AND(ISNUMBER($H154),N($H154)&gt;0),$H154,SUMIFS($H$5:$H$1000,$S$5:$S$1000,$S154,$V$5:$V$1000,"Macro")/COUNTIFS($S$5:$S$1000,$S154,$V$5:$V$1000,"Macro",$H$5:$H$1000,"&gt;0"))/(COUNTIFS($S$5:$S$1000,$S154,$V$5:$V$1000,"Macro")*SUMIFS($H$5:$H$1000,$S$5:$S$1000,$S154,$V$5:$V$1000,"Macro")/COUNTIFS($S$5:$S$1000,$S154,$V$5:$V$1000,"Macro",$H$5:$H$1000,"&gt;0"))))</f>
        <v/>
      </c>
      <c r="AH154" s="62">
        <f>IF(NOT(AND($D154&lt;&gt;"",$V154="Macro")),"",IFERROR(CHOOSE(MATCH($D154,ListaPuestos,0),MATCH("[Jefatura] "&amp;$C154,'Cronograma R. Operacional'!$C$5:$C$1000,0),MATCH("[Jefatura] "&amp;$C154,'Cronograma R. Normativo'!$C$5:$C$1000,0),MATCH("[Jefatura] "&amp;$C154,'Cronograma R. Financiero'!$C$5:$C$1000,0),MATCH("[Jefatura] "&amp;$C154,'Cronograma Asistente Técnico'!$C$5:$C$1000,0)),0))</f>
        <v/>
      </c>
      <c r="AI154" s="62">
        <f>IF(AND(AND($D154&lt;&gt;"",$V154="Macro"),$S154=MesCiclo),COUNTIFS($D$5:$D154,$D154,$S$5:$S154,MesCiclo,$V$5:$V154,"Macro"),"")</f>
        <v/>
      </c>
      <c r="AJ154" s="62">
        <f>IF($AI154="","",$D154&amp;"|"&amp;$AI154)</f>
        <v/>
      </c>
      <c r="AK154" s="62">
        <f>IF(AND($D154&lt;&gt;"",$V154="Macro"),$D154&amp;"|"&amp;$C154,"")</f>
        <v/>
      </c>
      <c r="AL154" s="62">
        <f>""</f>
        <v/>
      </c>
      <c r="AM154" s="62">
        <f>IF(N($AL154)&gt;0,INDEX(rIni_ADM,$AL154),IF(ISNUMBER($E154),$E154,""))</f>
        <v/>
      </c>
      <c r="AN154" s="62">
        <f>IF(N($AL154)&gt;0,INDEX(rLim_ADM,$AL154),IF(ISNUMBER($F154),$F154,""))</f>
        <v/>
      </c>
    </row>
    <row r="155">
      <c r="A155" s="56">
        <f>IF(NOT((COUNTA($B155:$D155)+COUNTA($G155:$L155)+COUNTA($Q155))&gt;0),"",IF($V155="Macro",COUNTIFS($V$5:$V155,"Macro",$S$5:$S155,$S155),IF(N($U155)=0,"?",COUNTIFS(INDEX($V$5:$V$1000,1):INDEX($V$5:$V$1000,$U155-4),"Macro",INDEX($S$5:$S$1000,1):INDEX($S$5:$S$1000,$U155-4),INDEX($S$5:$S$1000,$U155-4))&amp;"."&amp;COUNTIFS($U$5:$U155,$U155,$V$5:$V155,"Sub"))))</f>
        <v/>
      </c>
      <c r="B155" s="57" t="n"/>
      <c r="C155" s="58" t="n"/>
      <c r="D155" s="58" t="n"/>
      <c r="E155" s="59" t="n"/>
      <c r="F155" s="59" t="n"/>
      <c r="G155" s="59" t="n"/>
      <c r="H155" s="60" t="n"/>
      <c r="I155" s="60" t="n"/>
      <c r="J155" s="60" t="n"/>
      <c r="K155" s="60" t="n"/>
      <c r="L155" s="60" t="n"/>
      <c r="M155" s="61">
        <f>IF(NOT((COUNTA($B155:$D155)+COUNTA($G155:$L155)+COUNTA($Q155))&gt;0),"",IF(AND($D155&lt;&gt;"",$V155="Macro"),IF(N($AH155)&gt;0,N(CHOOSE(MATCH($D155,ListaPuestos,0),INDEX('Cronograma R. Operacional'!$M$5:$M$1000,$AH155),INDEX('Cronograma R. Normativo'!$M$5:$M$1000,$AH155),INDEX('Cronograma R. Financiero'!$M$5:$M$1000,$AH155),INDEX('Cronograma Asistente Técnico'!$M$5:$M$1000,$AH155))),0),IF(ISNUMBER($G155),1,IF(N($W155)&gt;0,AVERAGEIFS($X$5:$X$1000,$U$5:$U$1000,ROW(),$V$5:$V$1000,"Sub"),$X155))))</f>
        <v/>
      </c>
      <c r="N155" s="56">
        <f>IF($M155="","",IF($M155&gt;=1,"Completado",IF($M155&gt;0,"En curso","Pendiente")))</f>
        <v/>
      </c>
      <c r="O155" s="56">
        <f>IF(NOT((COUNTA($B155:$D155)+COUNTA($G155:$L155)+COUNTA($Q155))&gt;0),"",IF(AND(AND($D155&lt;&gt;"",$V155="Macro"),N($AH155)&gt;0),CHOOSE(MATCH($D155,ListaPuestos,0),INDEX('Cronograma R. Operacional'!$O$5:$O$1000,$AH155),INDEX('Cronograma R. Normativo'!$O$5:$O$1000,$AH155),INDEX('Cronograma R. Financiero'!$O$5:$O$1000,$AH155),INDEX('Cronograma Asistente Técnico'!$O$5:$O$1000,$AH155))&amp;"",IF(ISNUMBER($G155),IF(AND(ISNUMBER($AN155),$G155&gt;$AN155),"Cumplida con "&amp;($G155-$AN155)&amp;IF($G155-$AN155=1," día"," días")&amp;" de retraso","Cumplida"),IF(N($M155)&gt;=1,"Cumplida",IF(NOT(ISNUMBER($AN155)),"Sin fecha límite",IF($AN155&lt;FechaRef,"Vencida hace "&amp;(FechaRef-$AN155)&amp;IF(FechaRef-$AN155=1," día"," días"),IF($AN155=FechaRef,"Vence hoy",IF($AN155-FechaRef&lt;=DiasAlerta,"Vence en "&amp;($AN155-FechaRef)&amp;IF($AN155-FechaRef=1," día"," días"),"En plazo"))))))))</f>
        <v/>
      </c>
      <c r="P155" s="62">
        <f>IF(NOT((COUNTA($B155:$D155)+COUNTA($G155:$L155)+COUNTA($Q155))&gt;0),"",IF($D155="","Propia",IF($V155&lt;&gt;"Macro","Solo se delegan macroactividades",IF(N($AH155)&gt;0,"✔ Recibida por "&amp;$D155,"⚠ "&amp;$D155&amp;" aún no la agrega"))))</f>
        <v/>
      </c>
      <c r="Q155" s="58" t="n"/>
      <c r="R155" s="63">
        <f>IF(NOT((COUNTA($B155:$D155)+COUNTA($G155:$L155)+COUNTA($Q155))&gt;0),"",IF((IF($C155="","Falta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",""))="","✔ OK","⚠ "&amp;LEFT(IF($C155="","Falta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",""),LEN(IF($C155="","Falta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",""))-3)))</f>
        <v/>
      </c>
      <c r="S155" s="64">
        <f>IF(NOT((COUNTA($B155:$D155)+COUNTA($G155:$L155)+COUNTA($Q155))&gt;0),"",IF(AND($V155="Sub",N($U155)&gt;0),IF(ISNUMBER(INDEX($AM$5:$AM$1000,$U155-4)),DATE(YEAR(INDEX($AM$5:$AM$1000,$U155-4)),MONTH(INDEX($AM$5:$AM$1000,$U155-4)),1),IF(ISNUMBER(INDEX($AN$5:$AN$1000,$U155-4)),DATE(YEAR(INDEX($AN$5:$AN$1000,$U155-4)),MONTH(INDEX($AN$5:$AN$1000,$U155-4)),1),MesCiclo)),IF(ISNUMBER($AM155),DATE(YEAR($AM155),MONTH($AM155),1),IF(ISNUMBER($AN155),DATE(YEAR($AN155),MONTH($AN155),1),MesCiclo))))</f>
        <v/>
      </c>
      <c r="T155" s="62">
        <f>IF(OR($S155="",$S155&lt;&gt;MesCiclo),"",COUNTIF($S$5:$S155,MesCiclo))</f>
        <v/>
      </c>
      <c r="U155" s="62">
        <f>IF($V155="","",IF($V155="Macro",ROW(),IFERROR(LOOKUP(2,1/($V$5:$V155="Macro"),ROW($V$5:$V155)),0)))</f>
        <v/>
      </c>
      <c r="V155" s="62">
        <f>IF(NOT((COUNTA($B155:$D155)+COUNTA($G155:$L155)+COUNTA($Q155))&gt;0),"",IF($B155="Subactividad","Sub","Macro"))</f>
        <v/>
      </c>
      <c r="W155" s="62">
        <f>IF($V155="Macro",COUNTIFS($U$5:$U$1000,ROW(),$V$5:$V$1000,"Sub"),"")</f>
        <v/>
      </c>
      <c r="X155" s="62">
        <f>IF($V155="","",IF(ISNUMBER($G155),1,IFERROR(LOOKUP(2,1/($I155:$L155&lt;&gt;""),$I155:$L155),0)))</f>
        <v/>
      </c>
      <c r="Y155" s="62">
        <f>IF($V155="","",IF(AND(ISNUMBER($G155),$G155&lt;=IF($S155=MesCiclo,InicioCiclo,$S155+MOD(2-WEEKDAY($S155),7))+6),1,IF(ISNUMBER($I155),$I155,0)))</f>
        <v/>
      </c>
      <c r="Z155" s="62">
        <f>IF($V155="","",IF(AND(ISNUMBER($G155),$G155&lt;=IF($S155=MesCiclo,InicioCiclo,$S155+MOD(2-WEEKDAY($S155),7))+13),1,IF(ISNUMBER($J155),$J155,$Y155)))</f>
        <v/>
      </c>
      <c r="AA155" s="62">
        <f>IF($V155="","",IF(AND(ISNUMBER($G155),$G155&lt;=IF($S155=MesCiclo,InicioCiclo,$S155+MOD(2-WEEKDAY($S155),7))+20),1,IF(ISNUMBER($K155),$K155,$Z155)))</f>
        <v/>
      </c>
      <c r="AB155" s="62">
        <f>IF($V155="","",IF(AND(ISNUMBER($G155),$G155&lt;=IF($S155=MesCiclo,InicioCiclo,$S155+MOD(2-WEEKDAY($S155),7))+27),1,IF(ISNUMBER($L155),$L155,$AA155)))</f>
        <v/>
      </c>
      <c r="AC155" s="62">
        <f>IF($V155="","",IF(AND(ISNUMBER($G155),$G155&lt;=IF($S155=MesCiclo,InicioCiclo,$S155+MOD(2-WEEKDAY($S155),7))+6),1,IF(N($W155)&gt;0,AVERAGEIFS($Y$5:$Y$1000,$U$5:$U$1000,ROW(),$V$5:$V$1000,"Sub"),$Y155)))</f>
        <v/>
      </c>
      <c r="AD155" s="62">
        <f>IF($V155="","",IF(AND(ISNUMBER($G155),$G155&lt;=IF($S155=MesCiclo,InicioCiclo,$S155+MOD(2-WEEKDAY($S155),7))+13),1,IF(N($W155)&gt;0,AVERAGEIFS($Z$5:$Z$1000,$U$5:$U$1000,ROW(),$V$5:$V$1000,"Sub"),$Z155)))</f>
        <v/>
      </c>
      <c r="AE155" s="62">
        <f>IF($V155="","",IF(AND(ISNUMBER($G155),$G155&lt;=IF($S155=MesCiclo,InicioCiclo,$S155+MOD(2-WEEKDAY($S155),7))+20),1,IF(N($W155)&gt;0,AVERAGEIFS($AA$5:$AA$1000,$U$5:$U$1000,ROW(),$V$5:$V$1000,"Sub"),$AA155)))</f>
        <v/>
      </c>
      <c r="AF155" s="62">
        <f>IF($V155="","",IF(AND(ISNUMBER($G155),$G155&lt;=IF($S155=MesCiclo,InicioCiclo,$S155+MOD(2-WEEKDAY($S155),7))+27),1,IF(N($W155)&gt;0,AVERAGEIFS($AB$5:$AB$1000,$U$5:$U$1000,ROW(),$V$5:$V$1000,"Sub"),$AB155)))</f>
        <v/>
      </c>
      <c r="AG155" s="62">
        <f>IF($V155&lt;&gt;"Macro","",IF(COUNTIFS($S$5:$S$1000,$S155,$V$5:$V$1000,"Macro",$H$5:$H$1000,"&gt;0")=0,1/COUNTIFS($S$5:$S$1000,$S155,$V$5:$V$1000,"Macro"),IF(AND(ISNUMBER($H155),N($H155)&gt;0),$H155,SUMIFS($H$5:$H$1000,$S$5:$S$1000,$S155,$V$5:$V$1000,"Macro")/COUNTIFS($S$5:$S$1000,$S155,$V$5:$V$1000,"Macro",$H$5:$H$1000,"&gt;0"))/(COUNTIFS($S$5:$S$1000,$S155,$V$5:$V$1000,"Macro")*SUMIFS($H$5:$H$1000,$S$5:$S$1000,$S155,$V$5:$V$1000,"Macro")/COUNTIFS($S$5:$S$1000,$S155,$V$5:$V$1000,"Macro",$H$5:$H$1000,"&gt;0"))))</f>
        <v/>
      </c>
      <c r="AH155" s="62">
        <f>IF(NOT(AND($D155&lt;&gt;"",$V155="Macro")),"",IFERROR(CHOOSE(MATCH($D155,ListaPuestos,0),MATCH("[Jefatura] "&amp;$C155,'Cronograma R. Operacional'!$C$5:$C$1000,0),MATCH("[Jefatura] "&amp;$C155,'Cronograma R. Normativo'!$C$5:$C$1000,0),MATCH("[Jefatura] "&amp;$C155,'Cronograma R. Financiero'!$C$5:$C$1000,0),MATCH("[Jefatura] "&amp;$C155,'Cronograma Asistente Técnico'!$C$5:$C$1000,0)),0))</f>
        <v/>
      </c>
      <c r="AI155" s="62">
        <f>IF(AND(AND($D155&lt;&gt;"",$V155="Macro"),$S155=MesCiclo),COUNTIFS($D$5:$D155,$D155,$S$5:$S155,MesCiclo,$V$5:$V155,"Macro"),"")</f>
        <v/>
      </c>
      <c r="AJ155" s="62">
        <f>IF($AI155="","",$D155&amp;"|"&amp;$AI155)</f>
        <v/>
      </c>
      <c r="AK155" s="62">
        <f>IF(AND($D155&lt;&gt;"",$V155="Macro"),$D155&amp;"|"&amp;$C155,"")</f>
        <v/>
      </c>
      <c r="AL155" s="62">
        <f>""</f>
        <v/>
      </c>
      <c r="AM155" s="62">
        <f>IF(N($AL155)&gt;0,INDEX(rIni_ADM,$AL155),IF(ISNUMBER($E155),$E155,""))</f>
        <v/>
      </c>
      <c r="AN155" s="62">
        <f>IF(N($AL155)&gt;0,INDEX(rLim_ADM,$AL155),IF(ISNUMBER($F155),$F155,""))</f>
        <v/>
      </c>
    </row>
    <row r="156">
      <c r="A156" s="56">
        <f>IF(NOT((COUNTA($B156:$D156)+COUNTA($G156:$L156)+COUNTA($Q156))&gt;0),"",IF($V156="Macro",COUNTIFS($V$5:$V156,"Macro",$S$5:$S156,$S156),IF(N($U156)=0,"?",COUNTIFS(INDEX($V$5:$V$1000,1):INDEX($V$5:$V$1000,$U156-4),"Macro",INDEX($S$5:$S$1000,1):INDEX($S$5:$S$1000,$U156-4),INDEX($S$5:$S$1000,$U156-4))&amp;"."&amp;COUNTIFS($U$5:$U156,$U156,$V$5:$V156,"Sub"))))</f>
        <v/>
      </c>
      <c r="B156" s="57" t="n"/>
      <c r="C156" s="58" t="n"/>
      <c r="D156" s="58" t="n"/>
      <c r="E156" s="59" t="n"/>
      <c r="F156" s="59" t="n"/>
      <c r="G156" s="59" t="n"/>
      <c r="H156" s="60" t="n"/>
      <c r="I156" s="60" t="n"/>
      <c r="J156" s="60" t="n"/>
      <c r="K156" s="60" t="n"/>
      <c r="L156" s="60" t="n"/>
      <c r="M156" s="61">
        <f>IF(NOT((COUNTA($B156:$D156)+COUNTA($G156:$L156)+COUNTA($Q156))&gt;0),"",IF(AND($D156&lt;&gt;"",$V156="Macro"),IF(N($AH156)&gt;0,N(CHOOSE(MATCH($D156,ListaPuestos,0),INDEX('Cronograma R. Operacional'!$M$5:$M$1000,$AH156),INDEX('Cronograma R. Normativo'!$M$5:$M$1000,$AH156),INDEX('Cronograma R. Financiero'!$M$5:$M$1000,$AH156),INDEX('Cronograma Asistente Técnico'!$M$5:$M$1000,$AH156))),0),IF(ISNUMBER($G156),1,IF(N($W156)&gt;0,AVERAGEIFS($X$5:$X$1000,$U$5:$U$1000,ROW(),$V$5:$V$1000,"Sub"),$X156))))</f>
        <v/>
      </c>
      <c r="N156" s="56">
        <f>IF($M156="","",IF($M156&gt;=1,"Completado",IF($M156&gt;0,"En curso","Pendiente")))</f>
        <v/>
      </c>
      <c r="O156" s="56">
        <f>IF(NOT((COUNTA($B156:$D156)+COUNTA($G156:$L156)+COUNTA($Q156))&gt;0),"",IF(AND(AND($D156&lt;&gt;"",$V156="Macro"),N($AH156)&gt;0),CHOOSE(MATCH($D156,ListaPuestos,0),INDEX('Cronograma R. Operacional'!$O$5:$O$1000,$AH156),INDEX('Cronograma R. Normativo'!$O$5:$O$1000,$AH156),INDEX('Cronograma R. Financiero'!$O$5:$O$1000,$AH156),INDEX('Cronograma Asistente Técnico'!$O$5:$O$1000,$AH156))&amp;"",IF(ISNUMBER($G156),IF(AND(ISNUMBER($AN156),$G156&gt;$AN156),"Cumplida con "&amp;($G156-$AN156)&amp;IF($G156-$AN156=1," día"," días")&amp;" de retraso","Cumplida"),IF(N($M156)&gt;=1,"Cumplida",IF(NOT(ISNUMBER($AN156)),"Sin fecha límite",IF($AN156&lt;FechaRef,"Vencida hace "&amp;(FechaRef-$AN156)&amp;IF(FechaRef-$AN156=1," día"," días"),IF($AN156=FechaRef,"Vence hoy",IF($AN156-FechaRef&lt;=DiasAlerta,"Vence en "&amp;($AN156-FechaRef)&amp;IF($AN156-FechaRef=1," día"," días"),"En plazo"))))))))</f>
        <v/>
      </c>
      <c r="P156" s="62">
        <f>IF(NOT((COUNTA($B156:$D156)+COUNTA($G156:$L156)+COUNTA($Q156))&gt;0),"",IF($D156="","Propia",IF($V156&lt;&gt;"Macro","Solo se delegan macroactividades",IF(N($AH156)&gt;0,"✔ Recibida por "&amp;$D156,"⚠ "&amp;$D156&amp;" aún no la agrega"))))</f>
        <v/>
      </c>
      <c r="Q156" s="58" t="n"/>
      <c r="R156" s="63">
        <f>IF(NOT((COUNTA($B156:$D156)+COUNTA($G156:$L156)+COUNTA($Q156))&gt;0),"",IF((IF($C156="","Falta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",""))="","✔ OK","⚠ "&amp;LEFT(IF($C156="","Falta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",""),LEN(IF($C156="","Falta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",""))-3)))</f>
        <v/>
      </c>
      <c r="S156" s="64">
        <f>IF(NOT((COUNTA($B156:$D156)+COUNTA($G156:$L156)+COUNTA($Q156))&gt;0),"",IF(AND($V156="Sub",N($U156)&gt;0),IF(ISNUMBER(INDEX($AM$5:$AM$1000,$U156-4)),DATE(YEAR(INDEX($AM$5:$AM$1000,$U156-4)),MONTH(INDEX($AM$5:$AM$1000,$U156-4)),1),IF(ISNUMBER(INDEX($AN$5:$AN$1000,$U156-4)),DATE(YEAR(INDEX($AN$5:$AN$1000,$U156-4)),MONTH(INDEX($AN$5:$AN$1000,$U156-4)),1),MesCiclo)),IF(ISNUMBER($AM156),DATE(YEAR($AM156),MONTH($AM156),1),IF(ISNUMBER($AN156),DATE(YEAR($AN156),MONTH($AN156),1),MesCiclo))))</f>
        <v/>
      </c>
      <c r="T156" s="62">
        <f>IF(OR($S156="",$S156&lt;&gt;MesCiclo),"",COUNTIF($S$5:$S156,MesCiclo))</f>
        <v/>
      </c>
      <c r="U156" s="62">
        <f>IF($V156="","",IF($V156="Macro",ROW(),IFERROR(LOOKUP(2,1/($V$5:$V156="Macro"),ROW($V$5:$V156)),0)))</f>
        <v/>
      </c>
      <c r="V156" s="62">
        <f>IF(NOT((COUNTA($B156:$D156)+COUNTA($G156:$L156)+COUNTA($Q156))&gt;0),"",IF($B156="Subactividad","Sub","Macro"))</f>
        <v/>
      </c>
      <c r="W156" s="62">
        <f>IF($V156="Macro",COUNTIFS($U$5:$U$1000,ROW(),$V$5:$V$1000,"Sub"),"")</f>
        <v/>
      </c>
      <c r="X156" s="62">
        <f>IF($V156="","",IF(ISNUMBER($G156),1,IFERROR(LOOKUP(2,1/($I156:$L156&lt;&gt;""),$I156:$L156),0)))</f>
        <v/>
      </c>
      <c r="Y156" s="62">
        <f>IF($V156="","",IF(AND(ISNUMBER($G156),$G156&lt;=IF($S156=MesCiclo,InicioCiclo,$S156+MOD(2-WEEKDAY($S156),7))+6),1,IF(ISNUMBER($I156),$I156,0)))</f>
        <v/>
      </c>
      <c r="Z156" s="62">
        <f>IF($V156="","",IF(AND(ISNUMBER($G156),$G156&lt;=IF($S156=MesCiclo,InicioCiclo,$S156+MOD(2-WEEKDAY($S156),7))+13),1,IF(ISNUMBER($J156),$J156,$Y156)))</f>
        <v/>
      </c>
      <c r="AA156" s="62">
        <f>IF($V156="","",IF(AND(ISNUMBER($G156),$G156&lt;=IF($S156=MesCiclo,InicioCiclo,$S156+MOD(2-WEEKDAY($S156),7))+20),1,IF(ISNUMBER($K156),$K156,$Z156)))</f>
        <v/>
      </c>
      <c r="AB156" s="62">
        <f>IF($V156="","",IF(AND(ISNUMBER($G156),$G156&lt;=IF($S156=MesCiclo,InicioCiclo,$S156+MOD(2-WEEKDAY($S156),7))+27),1,IF(ISNUMBER($L156),$L156,$AA156)))</f>
        <v/>
      </c>
      <c r="AC156" s="62">
        <f>IF($V156="","",IF(AND(ISNUMBER($G156),$G156&lt;=IF($S156=MesCiclo,InicioCiclo,$S156+MOD(2-WEEKDAY($S156),7))+6),1,IF(N($W156)&gt;0,AVERAGEIFS($Y$5:$Y$1000,$U$5:$U$1000,ROW(),$V$5:$V$1000,"Sub"),$Y156)))</f>
        <v/>
      </c>
      <c r="AD156" s="62">
        <f>IF($V156="","",IF(AND(ISNUMBER($G156),$G156&lt;=IF($S156=MesCiclo,InicioCiclo,$S156+MOD(2-WEEKDAY($S156),7))+13),1,IF(N($W156)&gt;0,AVERAGEIFS($Z$5:$Z$1000,$U$5:$U$1000,ROW(),$V$5:$V$1000,"Sub"),$Z156)))</f>
        <v/>
      </c>
      <c r="AE156" s="62">
        <f>IF($V156="","",IF(AND(ISNUMBER($G156),$G156&lt;=IF($S156=MesCiclo,InicioCiclo,$S156+MOD(2-WEEKDAY($S156),7))+20),1,IF(N($W156)&gt;0,AVERAGEIFS($AA$5:$AA$1000,$U$5:$U$1000,ROW(),$V$5:$V$1000,"Sub"),$AA156)))</f>
        <v/>
      </c>
      <c r="AF156" s="62">
        <f>IF($V156="","",IF(AND(ISNUMBER($G156),$G156&lt;=IF($S156=MesCiclo,InicioCiclo,$S156+MOD(2-WEEKDAY($S156),7))+27),1,IF(N($W156)&gt;0,AVERAGEIFS($AB$5:$AB$1000,$U$5:$U$1000,ROW(),$V$5:$V$1000,"Sub"),$AB156)))</f>
        <v/>
      </c>
      <c r="AG156" s="62">
        <f>IF($V156&lt;&gt;"Macro","",IF(COUNTIFS($S$5:$S$1000,$S156,$V$5:$V$1000,"Macro",$H$5:$H$1000,"&gt;0")=0,1/COUNTIFS($S$5:$S$1000,$S156,$V$5:$V$1000,"Macro"),IF(AND(ISNUMBER($H156),N($H156)&gt;0),$H156,SUMIFS($H$5:$H$1000,$S$5:$S$1000,$S156,$V$5:$V$1000,"Macro")/COUNTIFS($S$5:$S$1000,$S156,$V$5:$V$1000,"Macro",$H$5:$H$1000,"&gt;0"))/(COUNTIFS($S$5:$S$1000,$S156,$V$5:$V$1000,"Macro")*SUMIFS($H$5:$H$1000,$S$5:$S$1000,$S156,$V$5:$V$1000,"Macro")/COUNTIFS($S$5:$S$1000,$S156,$V$5:$V$1000,"Macro",$H$5:$H$1000,"&gt;0"))))</f>
        <v/>
      </c>
      <c r="AH156" s="62">
        <f>IF(NOT(AND($D156&lt;&gt;"",$V156="Macro")),"",IFERROR(CHOOSE(MATCH($D156,ListaPuestos,0),MATCH("[Jefatura] "&amp;$C156,'Cronograma R. Operacional'!$C$5:$C$1000,0),MATCH("[Jefatura] "&amp;$C156,'Cronograma R. Normativo'!$C$5:$C$1000,0),MATCH("[Jefatura] "&amp;$C156,'Cronograma R. Financiero'!$C$5:$C$1000,0),MATCH("[Jefatura] "&amp;$C156,'Cronograma Asistente Técnico'!$C$5:$C$1000,0)),0))</f>
        <v/>
      </c>
      <c r="AI156" s="62">
        <f>IF(AND(AND($D156&lt;&gt;"",$V156="Macro"),$S156=MesCiclo),COUNTIFS($D$5:$D156,$D156,$S$5:$S156,MesCiclo,$V$5:$V156,"Macro"),"")</f>
        <v/>
      </c>
      <c r="AJ156" s="62">
        <f>IF($AI156="","",$D156&amp;"|"&amp;$AI156)</f>
        <v/>
      </c>
      <c r="AK156" s="62">
        <f>IF(AND($D156&lt;&gt;"",$V156="Macro"),$D156&amp;"|"&amp;$C156,"")</f>
        <v/>
      </c>
      <c r="AL156" s="62">
        <f>""</f>
        <v/>
      </c>
      <c r="AM156" s="62">
        <f>IF(N($AL156)&gt;0,INDEX(rIni_ADM,$AL156),IF(ISNUMBER($E156),$E156,""))</f>
        <v/>
      </c>
      <c r="AN156" s="62">
        <f>IF(N($AL156)&gt;0,INDEX(rLim_ADM,$AL156),IF(ISNUMBER($F156),$F156,""))</f>
        <v/>
      </c>
    </row>
    <row r="157">
      <c r="A157" s="56">
        <f>IF(NOT((COUNTA($B157:$D157)+COUNTA($G157:$L157)+COUNTA($Q157))&gt;0),"",IF($V157="Macro",COUNTIFS($V$5:$V157,"Macro",$S$5:$S157,$S157),IF(N($U157)=0,"?",COUNTIFS(INDEX($V$5:$V$1000,1):INDEX($V$5:$V$1000,$U157-4),"Macro",INDEX($S$5:$S$1000,1):INDEX($S$5:$S$1000,$U157-4),INDEX($S$5:$S$1000,$U157-4))&amp;"."&amp;COUNTIFS($U$5:$U157,$U157,$V$5:$V157,"Sub"))))</f>
        <v/>
      </c>
      <c r="B157" s="57" t="n"/>
      <c r="C157" s="58" t="n"/>
      <c r="D157" s="58" t="n"/>
      <c r="E157" s="59" t="n"/>
      <c r="F157" s="59" t="n"/>
      <c r="G157" s="59" t="n"/>
      <c r="H157" s="60" t="n"/>
      <c r="I157" s="60" t="n"/>
      <c r="J157" s="60" t="n"/>
      <c r="K157" s="60" t="n"/>
      <c r="L157" s="60" t="n"/>
      <c r="M157" s="61">
        <f>IF(NOT((COUNTA($B157:$D157)+COUNTA($G157:$L157)+COUNTA($Q157))&gt;0),"",IF(AND($D157&lt;&gt;"",$V157="Macro"),IF(N($AH157)&gt;0,N(CHOOSE(MATCH($D157,ListaPuestos,0),INDEX('Cronograma R. Operacional'!$M$5:$M$1000,$AH157),INDEX('Cronograma R. Normativo'!$M$5:$M$1000,$AH157),INDEX('Cronograma R. Financiero'!$M$5:$M$1000,$AH157),INDEX('Cronograma Asistente Técnico'!$M$5:$M$1000,$AH157))),0),IF(ISNUMBER($G157),1,IF(N($W157)&gt;0,AVERAGEIFS($X$5:$X$1000,$U$5:$U$1000,ROW(),$V$5:$V$1000,"Sub"),$X157))))</f>
        <v/>
      </c>
      <c r="N157" s="56">
        <f>IF($M157="","",IF($M157&gt;=1,"Completado",IF($M157&gt;0,"En curso","Pendiente")))</f>
        <v/>
      </c>
      <c r="O157" s="56">
        <f>IF(NOT((COUNTA($B157:$D157)+COUNTA($G157:$L157)+COUNTA($Q157))&gt;0),"",IF(AND(AND($D157&lt;&gt;"",$V157="Macro"),N($AH157)&gt;0),CHOOSE(MATCH($D157,ListaPuestos,0),INDEX('Cronograma R. Operacional'!$O$5:$O$1000,$AH157),INDEX('Cronograma R. Normativo'!$O$5:$O$1000,$AH157),INDEX('Cronograma R. Financiero'!$O$5:$O$1000,$AH157),INDEX('Cronograma Asistente Técnico'!$O$5:$O$1000,$AH157))&amp;"",IF(ISNUMBER($G157),IF(AND(ISNUMBER($AN157),$G157&gt;$AN157),"Cumplida con "&amp;($G157-$AN157)&amp;IF($G157-$AN157=1," día"," días")&amp;" de retraso","Cumplida"),IF(N($M157)&gt;=1,"Cumplida",IF(NOT(ISNUMBER($AN157)),"Sin fecha límite",IF($AN157&lt;FechaRef,"Vencida hace "&amp;(FechaRef-$AN157)&amp;IF(FechaRef-$AN157=1," día"," días"),IF($AN157=FechaRef,"Vence hoy",IF($AN157-FechaRef&lt;=DiasAlerta,"Vence en "&amp;($AN157-FechaRef)&amp;IF($AN157-FechaRef=1," día"," días"),"En plazo"))))))))</f>
        <v/>
      </c>
      <c r="P157" s="62">
        <f>IF(NOT((COUNTA($B157:$D157)+COUNTA($G157:$L157)+COUNTA($Q157))&gt;0),"",IF($D157="","Propia",IF($V157&lt;&gt;"Macro","Solo se delegan macroactividades",IF(N($AH157)&gt;0,"✔ Recibida por "&amp;$D157,"⚠ "&amp;$D157&amp;" aún no la agrega"))))</f>
        <v/>
      </c>
      <c r="Q157" s="58" t="n"/>
      <c r="R157" s="63">
        <f>IF(NOT((COUNTA($B157:$D157)+COUNTA($G157:$L157)+COUNTA($Q157))&gt;0),"",IF((IF($C157="","Falta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",""))="","✔ OK","⚠ "&amp;LEFT(IF($C157="","Falta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",""),LEN(IF($C157="","Falta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",""))-3)))</f>
        <v/>
      </c>
      <c r="S157" s="64">
        <f>IF(NOT((COUNTA($B157:$D157)+COUNTA($G157:$L157)+COUNTA($Q157))&gt;0),"",IF(AND($V157="Sub",N($U157)&gt;0),IF(ISNUMBER(INDEX($AM$5:$AM$1000,$U157-4)),DATE(YEAR(INDEX($AM$5:$AM$1000,$U157-4)),MONTH(INDEX($AM$5:$AM$1000,$U157-4)),1),IF(ISNUMBER(INDEX($AN$5:$AN$1000,$U157-4)),DATE(YEAR(INDEX($AN$5:$AN$1000,$U157-4)),MONTH(INDEX($AN$5:$AN$1000,$U157-4)),1),MesCiclo)),IF(ISNUMBER($AM157),DATE(YEAR($AM157),MONTH($AM157),1),IF(ISNUMBER($AN157),DATE(YEAR($AN157),MONTH($AN157),1),MesCiclo))))</f>
        <v/>
      </c>
      <c r="T157" s="62">
        <f>IF(OR($S157="",$S157&lt;&gt;MesCiclo),"",COUNTIF($S$5:$S157,MesCiclo))</f>
        <v/>
      </c>
      <c r="U157" s="62">
        <f>IF($V157="","",IF($V157="Macro",ROW(),IFERROR(LOOKUP(2,1/($V$5:$V157="Macro"),ROW($V$5:$V157)),0)))</f>
        <v/>
      </c>
      <c r="V157" s="62">
        <f>IF(NOT((COUNTA($B157:$D157)+COUNTA($G157:$L157)+COUNTA($Q157))&gt;0),"",IF($B157="Subactividad","Sub","Macro"))</f>
        <v/>
      </c>
      <c r="W157" s="62">
        <f>IF($V157="Macro",COUNTIFS($U$5:$U$1000,ROW(),$V$5:$V$1000,"Sub"),"")</f>
        <v/>
      </c>
      <c r="X157" s="62">
        <f>IF($V157="","",IF(ISNUMBER($G157),1,IFERROR(LOOKUP(2,1/($I157:$L157&lt;&gt;""),$I157:$L157),0)))</f>
        <v/>
      </c>
      <c r="Y157" s="62">
        <f>IF($V157="","",IF(AND(ISNUMBER($G157),$G157&lt;=IF($S157=MesCiclo,InicioCiclo,$S157+MOD(2-WEEKDAY($S157),7))+6),1,IF(ISNUMBER($I157),$I157,0)))</f>
        <v/>
      </c>
      <c r="Z157" s="62">
        <f>IF($V157="","",IF(AND(ISNUMBER($G157),$G157&lt;=IF($S157=MesCiclo,InicioCiclo,$S157+MOD(2-WEEKDAY($S157),7))+13),1,IF(ISNUMBER($J157),$J157,$Y157)))</f>
        <v/>
      </c>
      <c r="AA157" s="62">
        <f>IF($V157="","",IF(AND(ISNUMBER($G157),$G157&lt;=IF($S157=MesCiclo,InicioCiclo,$S157+MOD(2-WEEKDAY($S157),7))+20),1,IF(ISNUMBER($K157),$K157,$Z157)))</f>
        <v/>
      </c>
      <c r="AB157" s="62">
        <f>IF($V157="","",IF(AND(ISNUMBER($G157),$G157&lt;=IF($S157=MesCiclo,InicioCiclo,$S157+MOD(2-WEEKDAY($S157),7))+27),1,IF(ISNUMBER($L157),$L157,$AA157)))</f>
        <v/>
      </c>
      <c r="AC157" s="62">
        <f>IF($V157="","",IF(AND(ISNUMBER($G157),$G157&lt;=IF($S157=MesCiclo,InicioCiclo,$S157+MOD(2-WEEKDAY($S157),7))+6),1,IF(N($W157)&gt;0,AVERAGEIFS($Y$5:$Y$1000,$U$5:$U$1000,ROW(),$V$5:$V$1000,"Sub"),$Y157)))</f>
        <v/>
      </c>
      <c r="AD157" s="62">
        <f>IF($V157="","",IF(AND(ISNUMBER($G157),$G157&lt;=IF($S157=MesCiclo,InicioCiclo,$S157+MOD(2-WEEKDAY($S157),7))+13),1,IF(N($W157)&gt;0,AVERAGEIFS($Z$5:$Z$1000,$U$5:$U$1000,ROW(),$V$5:$V$1000,"Sub"),$Z157)))</f>
        <v/>
      </c>
      <c r="AE157" s="62">
        <f>IF($V157="","",IF(AND(ISNUMBER($G157),$G157&lt;=IF($S157=MesCiclo,InicioCiclo,$S157+MOD(2-WEEKDAY($S157),7))+20),1,IF(N($W157)&gt;0,AVERAGEIFS($AA$5:$AA$1000,$U$5:$U$1000,ROW(),$V$5:$V$1000,"Sub"),$AA157)))</f>
        <v/>
      </c>
      <c r="AF157" s="62">
        <f>IF($V157="","",IF(AND(ISNUMBER($G157),$G157&lt;=IF($S157=MesCiclo,InicioCiclo,$S157+MOD(2-WEEKDAY($S157),7))+27),1,IF(N($W157)&gt;0,AVERAGEIFS($AB$5:$AB$1000,$U$5:$U$1000,ROW(),$V$5:$V$1000,"Sub"),$AB157)))</f>
        <v/>
      </c>
      <c r="AG157" s="62">
        <f>IF($V157&lt;&gt;"Macro","",IF(COUNTIFS($S$5:$S$1000,$S157,$V$5:$V$1000,"Macro",$H$5:$H$1000,"&gt;0")=0,1/COUNTIFS($S$5:$S$1000,$S157,$V$5:$V$1000,"Macro"),IF(AND(ISNUMBER($H157),N($H157)&gt;0),$H157,SUMIFS($H$5:$H$1000,$S$5:$S$1000,$S157,$V$5:$V$1000,"Macro")/COUNTIFS($S$5:$S$1000,$S157,$V$5:$V$1000,"Macro",$H$5:$H$1000,"&gt;0"))/(COUNTIFS($S$5:$S$1000,$S157,$V$5:$V$1000,"Macro")*SUMIFS($H$5:$H$1000,$S$5:$S$1000,$S157,$V$5:$V$1000,"Macro")/COUNTIFS($S$5:$S$1000,$S157,$V$5:$V$1000,"Macro",$H$5:$H$1000,"&gt;0"))))</f>
        <v/>
      </c>
      <c r="AH157" s="62">
        <f>IF(NOT(AND($D157&lt;&gt;"",$V157="Macro")),"",IFERROR(CHOOSE(MATCH($D157,ListaPuestos,0),MATCH("[Jefatura] "&amp;$C157,'Cronograma R. Operacional'!$C$5:$C$1000,0),MATCH("[Jefatura] "&amp;$C157,'Cronograma R. Normativo'!$C$5:$C$1000,0),MATCH("[Jefatura] "&amp;$C157,'Cronograma R. Financiero'!$C$5:$C$1000,0),MATCH("[Jefatura] "&amp;$C157,'Cronograma Asistente Técnico'!$C$5:$C$1000,0)),0))</f>
        <v/>
      </c>
      <c r="AI157" s="62">
        <f>IF(AND(AND($D157&lt;&gt;"",$V157="Macro"),$S157=MesCiclo),COUNTIFS($D$5:$D157,$D157,$S$5:$S157,MesCiclo,$V$5:$V157,"Macro"),"")</f>
        <v/>
      </c>
      <c r="AJ157" s="62">
        <f>IF($AI157="","",$D157&amp;"|"&amp;$AI157)</f>
        <v/>
      </c>
      <c r="AK157" s="62">
        <f>IF(AND($D157&lt;&gt;"",$V157="Macro"),$D157&amp;"|"&amp;$C157,"")</f>
        <v/>
      </c>
      <c r="AL157" s="62">
        <f>""</f>
        <v/>
      </c>
      <c r="AM157" s="62">
        <f>IF(N($AL157)&gt;0,INDEX(rIni_ADM,$AL157),IF(ISNUMBER($E157),$E157,""))</f>
        <v/>
      </c>
      <c r="AN157" s="62">
        <f>IF(N($AL157)&gt;0,INDEX(rLim_ADM,$AL157),IF(ISNUMBER($F157),$F157,""))</f>
        <v/>
      </c>
    </row>
    <row r="158">
      <c r="A158" s="56">
        <f>IF(NOT((COUNTA($B158:$D158)+COUNTA($G158:$L158)+COUNTA($Q158))&gt;0),"",IF($V158="Macro",COUNTIFS($V$5:$V158,"Macro",$S$5:$S158,$S158),IF(N($U158)=0,"?",COUNTIFS(INDEX($V$5:$V$1000,1):INDEX($V$5:$V$1000,$U158-4),"Macro",INDEX($S$5:$S$1000,1):INDEX($S$5:$S$1000,$U158-4),INDEX($S$5:$S$1000,$U158-4))&amp;"."&amp;COUNTIFS($U$5:$U158,$U158,$V$5:$V158,"Sub"))))</f>
        <v/>
      </c>
      <c r="B158" s="57" t="n"/>
      <c r="C158" s="58" t="n"/>
      <c r="D158" s="58" t="n"/>
      <c r="E158" s="59" t="n"/>
      <c r="F158" s="59" t="n"/>
      <c r="G158" s="59" t="n"/>
      <c r="H158" s="60" t="n"/>
      <c r="I158" s="60" t="n"/>
      <c r="J158" s="60" t="n"/>
      <c r="K158" s="60" t="n"/>
      <c r="L158" s="60" t="n"/>
      <c r="M158" s="61">
        <f>IF(NOT((COUNTA($B158:$D158)+COUNTA($G158:$L158)+COUNTA($Q158))&gt;0),"",IF(AND($D158&lt;&gt;"",$V158="Macro"),IF(N($AH158)&gt;0,N(CHOOSE(MATCH($D158,ListaPuestos,0),INDEX('Cronograma R. Operacional'!$M$5:$M$1000,$AH158),INDEX('Cronograma R. Normativo'!$M$5:$M$1000,$AH158),INDEX('Cronograma R. Financiero'!$M$5:$M$1000,$AH158),INDEX('Cronograma Asistente Técnico'!$M$5:$M$1000,$AH158))),0),IF(ISNUMBER($G158),1,IF(N($W158)&gt;0,AVERAGEIFS($X$5:$X$1000,$U$5:$U$1000,ROW(),$V$5:$V$1000,"Sub"),$X158))))</f>
        <v/>
      </c>
      <c r="N158" s="56">
        <f>IF($M158="","",IF($M158&gt;=1,"Completado",IF($M158&gt;0,"En curso","Pendiente")))</f>
        <v/>
      </c>
      <c r="O158" s="56">
        <f>IF(NOT((COUNTA($B158:$D158)+COUNTA($G158:$L158)+COUNTA($Q158))&gt;0),"",IF(AND(AND($D158&lt;&gt;"",$V158="Macro"),N($AH158)&gt;0),CHOOSE(MATCH($D158,ListaPuestos,0),INDEX('Cronograma R. Operacional'!$O$5:$O$1000,$AH158),INDEX('Cronograma R. Normativo'!$O$5:$O$1000,$AH158),INDEX('Cronograma R. Financiero'!$O$5:$O$1000,$AH158),INDEX('Cronograma Asistente Técnico'!$O$5:$O$1000,$AH158))&amp;"",IF(ISNUMBER($G158),IF(AND(ISNUMBER($AN158),$G158&gt;$AN158),"Cumplida con "&amp;($G158-$AN158)&amp;IF($G158-$AN158=1," día"," días")&amp;" de retraso","Cumplida"),IF(N($M158)&gt;=1,"Cumplida",IF(NOT(ISNUMBER($AN158)),"Sin fecha límite",IF($AN158&lt;FechaRef,"Vencida hace "&amp;(FechaRef-$AN158)&amp;IF(FechaRef-$AN158=1," día"," días"),IF($AN158=FechaRef,"Vence hoy",IF($AN158-FechaRef&lt;=DiasAlerta,"Vence en "&amp;($AN158-FechaRef)&amp;IF($AN158-FechaRef=1," día"," días"),"En plazo"))))))))</f>
        <v/>
      </c>
      <c r="P158" s="62">
        <f>IF(NOT((COUNTA($B158:$D158)+COUNTA($G158:$L158)+COUNTA($Q158))&gt;0),"",IF($D158="","Propia",IF($V158&lt;&gt;"Macro","Solo se delegan macroactividades",IF(N($AH158)&gt;0,"✔ Recibida por "&amp;$D158,"⚠ "&amp;$D158&amp;" aún no la agrega"))))</f>
        <v/>
      </c>
      <c r="Q158" s="58" t="n"/>
      <c r="R158" s="63">
        <f>IF(NOT((COUNTA($B158:$D158)+COUNTA($G158:$L158)+COUNTA($Q158))&gt;0),"",IF((IF($C158="","Falta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",""))="","✔ OK","⚠ "&amp;LEFT(IF($C158="","Falta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",""),LEN(IF($C158="","Falta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",""))-3)))</f>
        <v/>
      </c>
      <c r="S158" s="64">
        <f>IF(NOT((COUNTA($B158:$D158)+COUNTA($G158:$L158)+COUNTA($Q158))&gt;0),"",IF(AND($V158="Sub",N($U158)&gt;0),IF(ISNUMBER(INDEX($AM$5:$AM$1000,$U158-4)),DATE(YEAR(INDEX($AM$5:$AM$1000,$U158-4)),MONTH(INDEX($AM$5:$AM$1000,$U158-4)),1),IF(ISNUMBER(INDEX($AN$5:$AN$1000,$U158-4)),DATE(YEAR(INDEX($AN$5:$AN$1000,$U158-4)),MONTH(INDEX($AN$5:$AN$1000,$U158-4)),1),MesCiclo)),IF(ISNUMBER($AM158),DATE(YEAR($AM158),MONTH($AM158),1),IF(ISNUMBER($AN158),DATE(YEAR($AN158),MONTH($AN158),1),MesCiclo))))</f>
        <v/>
      </c>
      <c r="T158" s="62">
        <f>IF(OR($S158="",$S158&lt;&gt;MesCiclo),"",COUNTIF($S$5:$S158,MesCiclo))</f>
        <v/>
      </c>
      <c r="U158" s="62">
        <f>IF($V158="","",IF($V158="Macro",ROW(),IFERROR(LOOKUP(2,1/($V$5:$V158="Macro"),ROW($V$5:$V158)),0)))</f>
        <v/>
      </c>
      <c r="V158" s="62">
        <f>IF(NOT((COUNTA($B158:$D158)+COUNTA($G158:$L158)+COUNTA($Q158))&gt;0),"",IF($B158="Subactividad","Sub","Macro"))</f>
        <v/>
      </c>
      <c r="W158" s="62">
        <f>IF($V158="Macro",COUNTIFS($U$5:$U$1000,ROW(),$V$5:$V$1000,"Sub"),"")</f>
        <v/>
      </c>
      <c r="X158" s="62">
        <f>IF($V158="","",IF(ISNUMBER($G158),1,IFERROR(LOOKUP(2,1/($I158:$L158&lt;&gt;""),$I158:$L158),0)))</f>
        <v/>
      </c>
      <c r="Y158" s="62">
        <f>IF($V158="","",IF(AND(ISNUMBER($G158),$G158&lt;=IF($S158=MesCiclo,InicioCiclo,$S158+MOD(2-WEEKDAY($S158),7))+6),1,IF(ISNUMBER($I158),$I158,0)))</f>
        <v/>
      </c>
      <c r="Z158" s="62">
        <f>IF($V158="","",IF(AND(ISNUMBER($G158),$G158&lt;=IF($S158=MesCiclo,InicioCiclo,$S158+MOD(2-WEEKDAY($S158),7))+13),1,IF(ISNUMBER($J158),$J158,$Y158)))</f>
        <v/>
      </c>
      <c r="AA158" s="62">
        <f>IF($V158="","",IF(AND(ISNUMBER($G158),$G158&lt;=IF($S158=MesCiclo,InicioCiclo,$S158+MOD(2-WEEKDAY($S158),7))+20),1,IF(ISNUMBER($K158),$K158,$Z158)))</f>
        <v/>
      </c>
      <c r="AB158" s="62">
        <f>IF($V158="","",IF(AND(ISNUMBER($G158),$G158&lt;=IF($S158=MesCiclo,InicioCiclo,$S158+MOD(2-WEEKDAY($S158),7))+27),1,IF(ISNUMBER($L158),$L158,$AA158)))</f>
        <v/>
      </c>
      <c r="AC158" s="62">
        <f>IF($V158="","",IF(AND(ISNUMBER($G158),$G158&lt;=IF($S158=MesCiclo,InicioCiclo,$S158+MOD(2-WEEKDAY($S158),7))+6),1,IF(N($W158)&gt;0,AVERAGEIFS($Y$5:$Y$1000,$U$5:$U$1000,ROW(),$V$5:$V$1000,"Sub"),$Y158)))</f>
        <v/>
      </c>
      <c r="AD158" s="62">
        <f>IF($V158="","",IF(AND(ISNUMBER($G158),$G158&lt;=IF($S158=MesCiclo,InicioCiclo,$S158+MOD(2-WEEKDAY($S158),7))+13),1,IF(N($W158)&gt;0,AVERAGEIFS($Z$5:$Z$1000,$U$5:$U$1000,ROW(),$V$5:$V$1000,"Sub"),$Z158)))</f>
        <v/>
      </c>
      <c r="AE158" s="62">
        <f>IF($V158="","",IF(AND(ISNUMBER($G158),$G158&lt;=IF($S158=MesCiclo,InicioCiclo,$S158+MOD(2-WEEKDAY($S158),7))+20),1,IF(N($W158)&gt;0,AVERAGEIFS($AA$5:$AA$1000,$U$5:$U$1000,ROW(),$V$5:$V$1000,"Sub"),$AA158)))</f>
        <v/>
      </c>
      <c r="AF158" s="62">
        <f>IF($V158="","",IF(AND(ISNUMBER($G158),$G158&lt;=IF($S158=MesCiclo,InicioCiclo,$S158+MOD(2-WEEKDAY($S158),7))+27),1,IF(N($W158)&gt;0,AVERAGEIFS($AB$5:$AB$1000,$U$5:$U$1000,ROW(),$V$5:$V$1000,"Sub"),$AB158)))</f>
        <v/>
      </c>
      <c r="AG158" s="62">
        <f>IF($V158&lt;&gt;"Macro","",IF(COUNTIFS($S$5:$S$1000,$S158,$V$5:$V$1000,"Macro",$H$5:$H$1000,"&gt;0")=0,1/COUNTIFS($S$5:$S$1000,$S158,$V$5:$V$1000,"Macro"),IF(AND(ISNUMBER($H158),N($H158)&gt;0),$H158,SUMIFS($H$5:$H$1000,$S$5:$S$1000,$S158,$V$5:$V$1000,"Macro")/COUNTIFS($S$5:$S$1000,$S158,$V$5:$V$1000,"Macro",$H$5:$H$1000,"&gt;0"))/(COUNTIFS($S$5:$S$1000,$S158,$V$5:$V$1000,"Macro")*SUMIFS($H$5:$H$1000,$S$5:$S$1000,$S158,$V$5:$V$1000,"Macro")/COUNTIFS($S$5:$S$1000,$S158,$V$5:$V$1000,"Macro",$H$5:$H$1000,"&gt;0"))))</f>
        <v/>
      </c>
      <c r="AH158" s="62">
        <f>IF(NOT(AND($D158&lt;&gt;"",$V158="Macro")),"",IFERROR(CHOOSE(MATCH($D158,ListaPuestos,0),MATCH("[Jefatura] "&amp;$C158,'Cronograma R. Operacional'!$C$5:$C$1000,0),MATCH("[Jefatura] "&amp;$C158,'Cronograma R. Normativo'!$C$5:$C$1000,0),MATCH("[Jefatura] "&amp;$C158,'Cronograma R. Financiero'!$C$5:$C$1000,0),MATCH("[Jefatura] "&amp;$C158,'Cronograma Asistente Técnico'!$C$5:$C$1000,0)),0))</f>
        <v/>
      </c>
      <c r="AI158" s="62">
        <f>IF(AND(AND($D158&lt;&gt;"",$V158="Macro"),$S158=MesCiclo),COUNTIFS($D$5:$D158,$D158,$S$5:$S158,MesCiclo,$V$5:$V158,"Macro"),"")</f>
        <v/>
      </c>
      <c r="AJ158" s="62">
        <f>IF($AI158="","",$D158&amp;"|"&amp;$AI158)</f>
        <v/>
      </c>
      <c r="AK158" s="62">
        <f>IF(AND($D158&lt;&gt;"",$V158="Macro"),$D158&amp;"|"&amp;$C158,"")</f>
        <v/>
      </c>
      <c r="AL158" s="62">
        <f>""</f>
        <v/>
      </c>
      <c r="AM158" s="62">
        <f>IF(N($AL158)&gt;0,INDEX(rIni_ADM,$AL158),IF(ISNUMBER($E158),$E158,""))</f>
        <v/>
      </c>
      <c r="AN158" s="62">
        <f>IF(N($AL158)&gt;0,INDEX(rLim_ADM,$AL158),IF(ISNUMBER($F158),$F158,""))</f>
        <v/>
      </c>
    </row>
    <row r="159">
      <c r="A159" s="56">
        <f>IF(NOT((COUNTA($B159:$D159)+COUNTA($G159:$L159)+COUNTA($Q159))&gt;0),"",IF($V159="Macro",COUNTIFS($V$5:$V159,"Macro",$S$5:$S159,$S159),IF(N($U159)=0,"?",COUNTIFS(INDEX($V$5:$V$1000,1):INDEX($V$5:$V$1000,$U159-4),"Macro",INDEX($S$5:$S$1000,1):INDEX($S$5:$S$1000,$U159-4),INDEX($S$5:$S$1000,$U159-4))&amp;"."&amp;COUNTIFS($U$5:$U159,$U159,$V$5:$V159,"Sub"))))</f>
        <v/>
      </c>
      <c r="B159" s="57" t="n"/>
      <c r="C159" s="58" t="n"/>
      <c r="D159" s="58" t="n"/>
      <c r="E159" s="59" t="n"/>
      <c r="F159" s="59" t="n"/>
      <c r="G159" s="59" t="n"/>
      <c r="H159" s="60" t="n"/>
      <c r="I159" s="60" t="n"/>
      <c r="J159" s="60" t="n"/>
      <c r="K159" s="60" t="n"/>
      <c r="L159" s="60" t="n"/>
      <c r="M159" s="61">
        <f>IF(NOT((COUNTA($B159:$D159)+COUNTA($G159:$L159)+COUNTA($Q159))&gt;0),"",IF(AND($D159&lt;&gt;"",$V159="Macro"),IF(N($AH159)&gt;0,N(CHOOSE(MATCH($D159,ListaPuestos,0),INDEX('Cronograma R. Operacional'!$M$5:$M$1000,$AH159),INDEX('Cronograma R. Normativo'!$M$5:$M$1000,$AH159),INDEX('Cronograma R. Financiero'!$M$5:$M$1000,$AH159),INDEX('Cronograma Asistente Técnico'!$M$5:$M$1000,$AH159))),0),IF(ISNUMBER($G159),1,IF(N($W159)&gt;0,AVERAGEIFS($X$5:$X$1000,$U$5:$U$1000,ROW(),$V$5:$V$1000,"Sub"),$X159))))</f>
        <v/>
      </c>
      <c r="N159" s="56">
        <f>IF($M159="","",IF($M159&gt;=1,"Completado",IF($M159&gt;0,"En curso","Pendiente")))</f>
        <v/>
      </c>
      <c r="O159" s="56">
        <f>IF(NOT((COUNTA($B159:$D159)+COUNTA($G159:$L159)+COUNTA($Q159))&gt;0),"",IF(AND(AND($D159&lt;&gt;"",$V159="Macro"),N($AH159)&gt;0),CHOOSE(MATCH($D159,ListaPuestos,0),INDEX('Cronograma R. Operacional'!$O$5:$O$1000,$AH159),INDEX('Cronograma R. Normativo'!$O$5:$O$1000,$AH159),INDEX('Cronograma R. Financiero'!$O$5:$O$1000,$AH159),INDEX('Cronograma Asistente Técnico'!$O$5:$O$1000,$AH159))&amp;"",IF(ISNUMBER($G159),IF(AND(ISNUMBER($AN159),$G159&gt;$AN159),"Cumplida con "&amp;($G159-$AN159)&amp;IF($G159-$AN159=1," día"," días")&amp;" de retraso","Cumplida"),IF(N($M159)&gt;=1,"Cumplida",IF(NOT(ISNUMBER($AN159)),"Sin fecha límite",IF($AN159&lt;FechaRef,"Vencida hace "&amp;(FechaRef-$AN159)&amp;IF(FechaRef-$AN159=1," día"," días"),IF($AN159=FechaRef,"Vence hoy",IF($AN159-FechaRef&lt;=DiasAlerta,"Vence en "&amp;($AN159-FechaRef)&amp;IF($AN159-FechaRef=1," día"," días"),"En plazo"))))))))</f>
        <v/>
      </c>
      <c r="P159" s="62">
        <f>IF(NOT((COUNTA($B159:$D159)+COUNTA($G159:$L159)+COUNTA($Q159))&gt;0),"",IF($D159="","Propia",IF($V159&lt;&gt;"Macro","Solo se delegan macroactividades",IF(N($AH159)&gt;0,"✔ Recibida por "&amp;$D159,"⚠ "&amp;$D159&amp;" aún no la agrega"))))</f>
        <v/>
      </c>
      <c r="Q159" s="58" t="n"/>
      <c r="R159" s="63">
        <f>IF(NOT((COUNTA($B159:$D159)+COUNTA($G159:$L159)+COUNTA($Q159))&gt;0),"",IF((IF($C159="","Falta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",""))="","✔ OK","⚠ "&amp;LEFT(IF($C159="","Falta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",""),LEN(IF($C159="","Falta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",""))-3)))</f>
        <v/>
      </c>
      <c r="S159" s="64">
        <f>IF(NOT((COUNTA($B159:$D159)+COUNTA($G159:$L159)+COUNTA($Q159))&gt;0),"",IF(AND($V159="Sub",N($U159)&gt;0),IF(ISNUMBER(INDEX($AM$5:$AM$1000,$U159-4)),DATE(YEAR(INDEX($AM$5:$AM$1000,$U159-4)),MONTH(INDEX($AM$5:$AM$1000,$U159-4)),1),IF(ISNUMBER(INDEX($AN$5:$AN$1000,$U159-4)),DATE(YEAR(INDEX($AN$5:$AN$1000,$U159-4)),MONTH(INDEX($AN$5:$AN$1000,$U159-4)),1),MesCiclo)),IF(ISNUMBER($AM159),DATE(YEAR($AM159),MONTH($AM159),1),IF(ISNUMBER($AN159),DATE(YEAR($AN159),MONTH($AN159),1),MesCiclo))))</f>
        <v/>
      </c>
      <c r="T159" s="62">
        <f>IF(OR($S159="",$S159&lt;&gt;MesCiclo),"",COUNTIF($S$5:$S159,MesCiclo))</f>
        <v/>
      </c>
      <c r="U159" s="62">
        <f>IF($V159="","",IF($V159="Macro",ROW(),IFERROR(LOOKUP(2,1/($V$5:$V159="Macro"),ROW($V$5:$V159)),0)))</f>
        <v/>
      </c>
      <c r="V159" s="62">
        <f>IF(NOT((COUNTA($B159:$D159)+COUNTA($G159:$L159)+COUNTA($Q159))&gt;0),"",IF($B159="Subactividad","Sub","Macro"))</f>
        <v/>
      </c>
      <c r="W159" s="62">
        <f>IF($V159="Macro",COUNTIFS($U$5:$U$1000,ROW(),$V$5:$V$1000,"Sub"),"")</f>
        <v/>
      </c>
      <c r="X159" s="62">
        <f>IF($V159="","",IF(ISNUMBER($G159),1,IFERROR(LOOKUP(2,1/($I159:$L159&lt;&gt;""),$I159:$L159),0)))</f>
        <v/>
      </c>
      <c r="Y159" s="62">
        <f>IF($V159="","",IF(AND(ISNUMBER($G159),$G159&lt;=IF($S159=MesCiclo,InicioCiclo,$S159+MOD(2-WEEKDAY($S159),7))+6),1,IF(ISNUMBER($I159),$I159,0)))</f>
        <v/>
      </c>
      <c r="Z159" s="62">
        <f>IF($V159="","",IF(AND(ISNUMBER($G159),$G159&lt;=IF($S159=MesCiclo,InicioCiclo,$S159+MOD(2-WEEKDAY($S159),7))+13),1,IF(ISNUMBER($J159),$J159,$Y159)))</f>
        <v/>
      </c>
      <c r="AA159" s="62">
        <f>IF($V159="","",IF(AND(ISNUMBER($G159),$G159&lt;=IF($S159=MesCiclo,InicioCiclo,$S159+MOD(2-WEEKDAY($S159),7))+20),1,IF(ISNUMBER($K159),$K159,$Z159)))</f>
        <v/>
      </c>
      <c r="AB159" s="62">
        <f>IF($V159="","",IF(AND(ISNUMBER($G159),$G159&lt;=IF($S159=MesCiclo,InicioCiclo,$S159+MOD(2-WEEKDAY($S159),7))+27),1,IF(ISNUMBER($L159),$L159,$AA159)))</f>
        <v/>
      </c>
      <c r="AC159" s="62">
        <f>IF($V159="","",IF(AND(ISNUMBER($G159),$G159&lt;=IF($S159=MesCiclo,InicioCiclo,$S159+MOD(2-WEEKDAY($S159),7))+6),1,IF(N($W159)&gt;0,AVERAGEIFS($Y$5:$Y$1000,$U$5:$U$1000,ROW(),$V$5:$V$1000,"Sub"),$Y159)))</f>
        <v/>
      </c>
      <c r="AD159" s="62">
        <f>IF($V159="","",IF(AND(ISNUMBER($G159),$G159&lt;=IF($S159=MesCiclo,InicioCiclo,$S159+MOD(2-WEEKDAY($S159),7))+13),1,IF(N($W159)&gt;0,AVERAGEIFS($Z$5:$Z$1000,$U$5:$U$1000,ROW(),$V$5:$V$1000,"Sub"),$Z159)))</f>
        <v/>
      </c>
      <c r="AE159" s="62">
        <f>IF($V159="","",IF(AND(ISNUMBER($G159),$G159&lt;=IF($S159=MesCiclo,InicioCiclo,$S159+MOD(2-WEEKDAY($S159),7))+20),1,IF(N($W159)&gt;0,AVERAGEIFS($AA$5:$AA$1000,$U$5:$U$1000,ROW(),$V$5:$V$1000,"Sub"),$AA159)))</f>
        <v/>
      </c>
      <c r="AF159" s="62">
        <f>IF($V159="","",IF(AND(ISNUMBER($G159),$G159&lt;=IF($S159=MesCiclo,InicioCiclo,$S159+MOD(2-WEEKDAY($S159),7))+27),1,IF(N($W159)&gt;0,AVERAGEIFS($AB$5:$AB$1000,$U$5:$U$1000,ROW(),$V$5:$V$1000,"Sub"),$AB159)))</f>
        <v/>
      </c>
      <c r="AG159" s="62">
        <f>IF($V159&lt;&gt;"Macro","",IF(COUNTIFS($S$5:$S$1000,$S159,$V$5:$V$1000,"Macro",$H$5:$H$1000,"&gt;0")=0,1/COUNTIFS($S$5:$S$1000,$S159,$V$5:$V$1000,"Macro"),IF(AND(ISNUMBER($H159),N($H159)&gt;0),$H159,SUMIFS($H$5:$H$1000,$S$5:$S$1000,$S159,$V$5:$V$1000,"Macro")/COUNTIFS($S$5:$S$1000,$S159,$V$5:$V$1000,"Macro",$H$5:$H$1000,"&gt;0"))/(COUNTIFS($S$5:$S$1000,$S159,$V$5:$V$1000,"Macro")*SUMIFS($H$5:$H$1000,$S$5:$S$1000,$S159,$V$5:$V$1000,"Macro")/COUNTIFS($S$5:$S$1000,$S159,$V$5:$V$1000,"Macro",$H$5:$H$1000,"&gt;0"))))</f>
        <v/>
      </c>
      <c r="AH159" s="62">
        <f>IF(NOT(AND($D159&lt;&gt;"",$V159="Macro")),"",IFERROR(CHOOSE(MATCH($D159,ListaPuestos,0),MATCH("[Jefatura] "&amp;$C159,'Cronograma R. Operacional'!$C$5:$C$1000,0),MATCH("[Jefatura] "&amp;$C159,'Cronograma R. Normativo'!$C$5:$C$1000,0),MATCH("[Jefatura] "&amp;$C159,'Cronograma R. Financiero'!$C$5:$C$1000,0),MATCH("[Jefatura] "&amp;$C159,'Cronograma Asistente Técnico'!$C$5:$C$1000,0)),0))</f>
        <v/>
      </c>
      <c r="AI159" s="62">
        <f>IF(AND(AND($D159&lt;&gt;"",$V159="Macro"),$S159=MesCiclo),COUNTIFS($D$5:$D159,$D159,$S$5:$S159,MesCiclo,$V$5:$V159,"Macro"),"")</f>
        <v/>
      </c>
      <c r="AJ159" s="62">
        <f>IF($AI159="","",$D159&amp;"|"&amp;$AI159)</f>
        <v/>
      </c>
      <c r="AK159" s="62">
        <f>IF(AND($D159&lt;&gt;"",$V159="Macro"),$D159&amp;"|"&amp;$C159,"")</f>
        <v/>
      </c>
      <c r="AL159" s="62">
        <f>""</f>
        <v/>
      </c>
      <c r="AM159" s="62">
        <f>IF(N($AL159)&gt;0,INDEX(rIni_ADM,$AL159),IF(ISNUMBER($E159),$E159,""))</f>
        <v/>
      </c>
      <c r="AN159" s="62">
        <f>IF(N($AL159)&gt;0,INDEX(rLim_ADM,$AL159),IF(ISNUMBER($F159),$F159,""))</f>
        <v/>
      </c>
    </row>
    <row r="160">
      <c r="A160" s="56">
        <f>IF(NOT((COUNTA($B160:$D160)+COUNTA($G160:$L160)+COUNTA($Q160))&gt;0),"",IF($V160="Macro",COUNTIFS($V$5:$V160,"Macro",$S$5:$S160,$S160),IF(N($U160)=0,"?",COUNTIFS(INDEX($V$5:$V$1000,1):INDEX($V$5:$V$1000,$U160-4),"Macro",INDEX($S$5:$S$1000,1):INDEX($S$5:$S$1000,$U160-4),INDEX($S$5:$S$1000,$U160-4))&amp;"."&amp;COUNTIFS($U$5:$U160,$U160,$V$5:$V160,"Sub"))))</f>
        <v/>
      </c>
      <c r="B160" s="57" t="n"/>
      <c r="C160" s="58" t="n"/>
      <c r="D160" s="58" t="n"/>
      <c r="E160" s="59" t="n"/>
      <c r="F160" s="59" t="n"/>
      <c r="G160" s="59" t="n"/>
      <c r="H160" s="60" t="n"/>
      <c r="I160" s="60" t="n"/>
      <c r="J160" s="60" t="n"/>
      <c r="K160" s="60" t="n"/>
      <c r="L160" s="60" t="n"/>
      <c r="M160" s="61">
        <f>IF(NOT((COUNTA($B160:$D160)+COUNTA($G160:$L160)+COUNTA($Q160))&gt;0),"",IF(AND($D160&lt;&gt;"",$V160="Macro"),IF(N($AH160)&gt;0,N(CHOOSE(MATCH($D160,ListaPuestos,0),INDEX('Cronograma R. Operacional'!$M$5:$M$1000,$AH160),INDEX('Cronograma R. Normativo'!$M$5:$M$1000,$AH160),INDEX('Cronograma R. Financiero'!$M$5:$M$1000,$AH160),INDEX('Cronograma Asistente Técnico'!$M$5:$M$1000,$AH160))),0),IF(ISNUMBER($G160),1,IF(N($W160)&gt;0,AVERAGEIFS($X$5:$X$1000,$U$5:$U$1000,ROW(),$V$5:$V$1000,"Sub"),$X160))))</f>
        <v/>
      </c>
      <c r="N160" s="56">
        <f>IF($M160="","",IF($M160&gt;=1,"Completado",IF($M160&gt;0,"En curso","Pendiente")))</f>
        <v/>
      </c>
      <c r="O160" s="56">
        <f>IF(NOT((COUNTA($B160:$D160)+COUNTA($G160:$L160)+COUNTA($Q160))&gt;0),"",IF(AND(AND($D160&lt;&gt;"",$V160="Macro"),N($AH160)&gt;0),CHOOSE(MATCH($D160,ListaPuestos,0),INDEX('Cronograma R. Operacional'!$O$5:$O$1000,$AH160),INDEX('Cronograma R. Normativo'!$O$5:$O$1000,$AH160),INDEX('Cronograma R. Financiero'!$O$5:$O$1000,$AH160),INDEX('Cronograma Asistente Técnico'!$O$5:$O$1000,$AH160))&amp;"",IF(ISNUMBER($G160),IF(AND(ISNUMBER($AN160),$G160&gt;$AN160),"Cumplida con "&amp;($G160-$AN160)&amp;IF($G160-$AN160=1," día"," días")&amp;" de retraso","Cumplida"),IF(N($M160)&gt;=1,"Cumplida",IF(NOT(ISNUMBER($AN160)),"Sin fecha límite",IF($AN160&lt;FechaRef,"Vencida hace "&amp;(FechaRef-$AN160)&amp;IF(FechaRef-$AN160=1," día"," días"),IF($AN160=FechaRef,"Vence hoy",IF($AN160-FechaRef&lt;=DiasAlerta,"Vence en "&amp;($AN160-FechaRef)&amp;IF($AN160-FechaRef=1," día"," días"),"En plazo"))))))))</f>
        <v/>
      </c>
      <c r="P160" s="62">
        <f>IF(NOT((COUNTA($B160:$D160)+COUNTA($G160:$L160)+COUNTA($Q160))&gt;0),"",IF($D160="","Propia",IF($V160&lt;&gt;"Macro","Solo se delegan macroactividades",IF(N($AH160)&gt;0,"✔ Recibida por "&amp;$D160,"⚠ "&amp;$D160&amp;" aún no la agrega"))))</f>
        <v/>
      </c>
      <c r="Q160" s="58" t="n"/>
      <c r="R160" s="63">
        <f>IF(NOT((COUNTA($B160:$D160)+COUNTA($G160:$L160)+COUNTA($Q160))&gt;0),"",IF((IF($C160="","Falta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",""))="","✔ OK","⚠ "&amp;LEFT(IF($C160="","Falta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",""),LEN(IF($C160="","Falta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",""))-3)))</f>
        <v/>
      </c>
      <c r="S160" s="64">
        <f>IF(NOT((COUNTA($B160:$D160)+COUNTA($G160:$L160)+COUNTA($Q160))&gt;0),"",IF(AND($V160="Sub",N($U160)&gt;0),IF(ISNUMBER(INDEX($AM$5:$AM$1000,$U160-4)),DATE(YEAR(INDEX($AM$5:$AM$1000,$U160-4)),MONTH(INDEX($AM$5:$AM$1000,$U160-4)),1),IF(ISNUMBER(INDEX($AN$5:$AN$1000,$U160-4)),DATE(YEAR(INDEX($AN$5:$AN$1000,$U160-4)),MONTH(INDEX($AN$5:$AN$1000,$U160-4)),1),MesCiclo)),IF(ISNUMBER($AM160),DATE(YEAR($AM160),MONTH($AM160),1),IF(ISNUMBER($AN160),DATE(YEAR($AN160),MONTH($AN160),1),MesCiclo))))</f>
        <v/>
      </c>
      <c r="T160" s="62">
        <f>IF(OR($S160="",$S160&lt;&gt;MesCiclo),"",COUNTIF($S$5:$S160,MesCiclo))</f>
        <v/>
      </c>
      <c r="U160" s="62">
        <f>IF($V160="","",IF($V160="Macro",ROW(),IFERROR(LOOKUP(2,1/($V$5:$V160="Macro"),ROW($V$5:$V160)),0)))</f>
        <v/>
      </c>
      <c r="V160" s="62">
        <f>IF(NOT((COUNTA($B160:$D160)+COUNTA($G160:$L160)+COUNTA($Q160))&gt;0),"",IF($B160="Subactividad","Sub","Macro"))</f>
        <v/>
      </c>
      <c r="W160" s="62">
        <f>IF($V160="Macro",COUNTIFS($U$5:$U$1000,ROW(),$V$5:$V$1000,"Sub"),"")</f>
        <v/>
      </c>
      <c r="X160" s="62">
        <f>IF($V160="","",IF(ISNUMBER($G160),1,IFERROR(LOOKUP(2,1/($I160:$L160&lt;&gt;""),$I160:$L160),0)))</f>
        <v/>
      </c>
      <c r="Y160" s="62">
        <f>IF($V160="","",IF(AND(ISNUMBER($G160),$G160&lt;=IF($S160=MesCiclo,InicioCiclo,$S160+MOD(2-WEEKDAY($S160),7))+6),1,IF(ISNUMBER($I160),$I160,0)))</f>
        <v/>
      </c>
      <c r="Z160" s="62">
        <f>IF($V160="","",IF(AND(ISNUMBER($G160),$G160&lt;=IF($S160=MesCiclo,InicioCiclo,$S160+MOD(2-WEEKDAY($S160),7))+13),1,IF(ISNUMBER($J160),$J160,$Y160)))</f>
        <v/>
      </c>
      <c r="AA160" s="62">
        <f>IF($V160="","",IF(AND(ISNUMBER($G160),$G160&lt;=IF($S160=MesCiclo,InicioCiclo,$S160+MOD(2-WEEKDAY($S160),7))+20),1,IF(ISNUMBER($K160),$K160,$Z160)))</f>
        <v/>
      </c>
      <c r="AB160" s="62">
        <f>IF($V160="","",IF(AND(ISNUMBER($G160),$G160&lt;=IF($S160=MesCiclo,InicioCiclo,$S160+MOD(2-WEEKDAY($S160),7))+27),1,IF(ISNUMBER($L160),$L160,$AA160)))</f>
        <v/>
      </c>
      <c r="AC160" s="62">
        <f>IF($V160="","",IF(AND(ISNUMBER($G160),$G160&lt;=IF($S160=MesCiclo,InicioCiclo,$S160+MOD(2-WEEKDAY($S160),7))+6),1,IF(N($W160)&gt;0,AVERAGEIFS($Y$5:$Y$1000,$U$5:$U$1000,ROW(),$V$5:$V$1000,"Sub"),$Y160)))</f>
        <v/>
      </c>
      <c r="AD160" s="62">
        <f>IF($V160="","",IF(AND(ISNUMBER($G160),$G160&lt;=IF($S160=MesCiclo,InicioCiclo,$S160+MOD(2-WEEKDAY($S160),7))+13),1,IF(N($W160)&gt;0,AVERAGEIFS($Z$5:$Z$1000,$U$5:$U$1000,ROW(),$V$5:$V$1000,"Sub"),$Z160)))</f>
        <v/>
      </c>
      <c r="AE160" s="62">
        <f>IF($V160="","",IF(AND(ISNUMBER($G160),$G160&lt;=IF($S160=MesCiclo,InicioCiclo,$S160+MOD(2-WEEKDAY($S160),7))+20),1,IF(N($W160)&gt;0,AVERAGEIFS($AA$5:$AA$1000,$U$5:$U$1000,ROW(),$V$5:$V$1000,"Sub"),$AA160)))</f>
        <v/>
      </c>
      <c r="AF160" s="62">
        <f>IF($V160="","",IF(AND(ISNUMBER($G160),$G160&lt;=IF($S160=MesCiclo,InicioCiclo,$S160+MOD(2-WEEKDAY($S160),7))+27),1,IF(N($W160)&gt;0,AVERAGEIFS($AB$5:$AB$1000,$U$5:$U$1000,ROW(),$V$5:$V$1000,"Sub"),$AB160)))</f>
        <v/>
      </c>
      <c r="AG160" s="62">
        <f>IF($V160&lt;&gt;"Macro","",IF(COUNTIFS($S$5:$S$1000,$S160,$V$5:$V$1000,"Macro",$H$5:$H$1000,"&gt;0")=0,1/COUNTIFS($S$5:$S$1000,$S160,$V$5:$V$1000,"Macro"),IF(AND(ISNUMBER($H160),N($H160)&gt;0),$H160,SUMIFS($H$5:$H$1000,$S$5:$S$1000,$S160,$V$5:$V$1000,"Macro")/COUNTIFS($S$5:$S$1000,$S160,$V$5:$V$1000,"Macro",$H$5:$H$1000,"&gt;0"))/(COUNTIFS($S$5:$S$1000,$S160,$V$5:$V$1000,"Macro")*SUMIFS($H$5:$H$1000,$S$5:$S$1000,$S160,$V$5:$V$1000,"Macro")/COUNTIFS($S$5:$S$1000,$S160,$V$5:$V$1000,"Macro",$H$5:$H$1000,"&gt;0"))))</f>
        <v/>
      </c>
      <c r="AH160" s="62">
        <f>IF(NOT(AND($D160&lt;&gt;"",$V160="Macro")),"",IFERROR(CHOOSE(MATCH($D160,ListaPuestos,0),MATCH("[Jefatura] "&amp;$C160,'Cronograma R. Operacional'!$C$5:$C$1000,0),MATCH("[Jefatura] "&amp;$C160,'Cronograma R. Normativo'!$C$5:$C$1000,0),MATCH("[Jefatura] "&amp;$C160,'Cronograma R. Financiero'!$C$5:$C$1000,0),MATCH("[Jefatura] "&amp;$C160,'Cronograma Asistente Técnico'!$C$5:$C$1000,0)),0))</f>
        <v/>
      </c>
      <c r="AI160" s="62">
        <f>IF(AND(AND($D160&lt;&gt;"",$V160="Macro"),$S160=MesCiclo),COUNTIFS($D$5:$D160,$D160,$S$5:$S160,MesCiclo,$V$5:$V160,"Macro"),"")</f>
        <v/>
      </c>
      <c r="AJ160" s="62">
        <f>IF($AI160="","",$D160&amp;"|"&amp;$AI160)</f>
        <v/>
      </c>
      <c r="AK160" s="62">
        <f>IF(AND($D160&lt;&gt;"",$V160="Macro"),$D160&amp;"|"&amp;$C160,"")</f>
        <v/>
      </c>
      <c r="AL160" s="62">
        <f>""</f>
        <v/>
      </c>
      <c r="AM160" s="62">
        <f>IF(N($AL160)&gt;0,INDEX(rIni_ADM,$AL160),IF(ISNUMBER($E160),$E160,""))</f>
        <v/>
      </c>
      <c r="AN160" s="62">
        <f>IF(N($AL160)&gt;0,INDEX(rLim_ADM,$AL160),IF(ISNUMBER($F160),$F160,""))</f>
        <v/>
      </c>
    </row>
    <row r="161">
      <c r="A161" s="56">
        <f>IF(NOT((COUNTA($B161:$D161)+COUNTA($G161:$L161)+COUNTA($Q161))&gt;0),"",IF($V161="Macro",COUNTIFS($V$5:$V161,"Macro",$S$5:$S161,$S161),IF(N($U161)=0,"?",COUNTIFS(INDEX($V$5:$V$1000,1):INDEX($V$5:$V$1000,$U161-4),"Macro",INDEX($S$5:$S$1000,1):INDEX($S$5:$S$1000,$U161-4),INDEX($S$5:$S$1000,$U161-4))&amp;"."&amp;COUNTIFS($U$5:$U161,$U161,$V$5:$V161,"Sub"))))</f>
        <v/>
      </c>
      <c r="B161" s="57" t="n"/>
      <c r="C161" s="58" t="n"/>
      <c r="D161" s="58" t="n"/>
      <c r="E161" s="59" t="n"/>
      <c r="F161" s="59" t="n"/>
      <c r="G161" s="59" t="n"/>
      <c r="H161" s="60" t="n"/>
      <c r="I161" s="60" t="n"/>
      <c r="J161" s="60" t="n"/>
      <c r="K161" s="60" t="n"/>
      <c r="L161" s="60" t="n"/>
      <c r="M161" s="61">
        <f>IF(NOT((COUNTA($B161:$D161)+COUNTA($G161:$L161)+COUNTA($Q161))&gt;0),"",IF(AND($D161&lt;&gt;"",$V161="Macro"),IF(N($AH161)&gt;0,N(CHOOSE(MATCH($D161,ListaPuestos,0),INDEX('Cronograma R. Operacional'!$M$5:$M$1000,$AH161),INDEX('Cronograma R. Normativo'!$M$5:$M$1000,$AH161),INDEX('Cronograma R. Financiero'!$M$5:$M$1000,$AH161),INDEX('Cronograma Asistente Técnico'!$M$5:$M$1000,$AH161))),0),IF(ISNUMBER($G161),1,IF(N($W161)&gt;0,AVERAGEIFS($X$5:$X$1000,$U$5:$U$1000,ROW(),$V$5:$V$1000,"Sub"),$X161))))</f>
        <v/>
      </c>
      <c r="N161" s="56">
        <f>IF($M161="","",IF($M161&gt;=1,"Completado",IF($M161&gt;0,"En curso","Pendiente")))</f>
        <v/>
      </c>
      <c r="O161" s="56">
        <f>IF(NOT((COUNTA($B161:$D161)+COUNTA($G161:$L161)+COUNTA($Q161))&gt;0),"",IF(AND(AND($D161&lt;&gt;"",$V161="Macro"),N($AH161)&gt;0),CHOOSE(MATCH($D161,ListaPuestos,0),INDEX('Cronograma R. Operacional'!$O$5:$O$1000,$AH161),INDEX('Cronograma R. Normativo'!$O$5:$O$1000,$AH161),INDEX('Cronograma R. Financiero'!$O$5:$O$1000,$AH161),INDEX('Cronograma Asistente Técnico'!$O$5:$O$1000,$AH161))&amp;"",IF(ISNUMBER($G161),IF(AND(ISNUMBER($AN161),$G161&gt;$AN161),"Cumplida con "&amp;($G161-$AN161)&amp;IF($G161-$AN161=1," día"," días")&amp;" de retraso","Cumplida"),IF(N($M161)&gt;=1,"Cumplida",IF(NOT(ISNUMBER($AN161)),"Sin fecha límite",IF($AN161&lt;FechaRef,"Vencida hace "&amp;(FechaRef-$AN161)&amp;IF(FechaRef-$AN161=1," día"," días"),IF($AN161=FechaRef,"Vence hoy",IF($AN161-FechaRef&lt;=DiasAlerta,"Vence en "&amp;($AN161-FechaRef)&amp;IF($AN161-FechaRef=1," día"," días"),"En plazo"))))))))</f>
        <v/>
      </c>
      <c r="P161" s="62">
        <f>IF(NOT((COUNTA($B161:$D161)+COUNTA($G161:$L161)+COUNTA($Q161))&gt;0),"",IF($D161="","Propia",IF($V161&lt;&gt;"Macro","Solo se delegan macroactividades",IF(N($AH161)&gt;0,"✔ Recibida por "&amp;$D161,"⚠ "&amp;$D161&amp;" aún no la agrega"))))</f>
        <v/>
      </c>
      <c r="Q161" s="58" t="n"/>
      <c r="R161" s="63">
        <f>IF(NOT((COUNTA($B161:$D161)+COUNTA($G161:$L161)+COUNTA($Q161))&gt;0),"",IF((IF($C161="","Falta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",""))="","✔ OK","⚠ "&amp;LEFT(IF($C161="","Falta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",""),LEN(IF($C161="","Falta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",""))-3)))</f>
        <v/>
      </c>
      <c r="S161" s="64">
        <f>IF(NOT((COUNTA($B161:$D161)+COUNTA($G161:$L161)+COUNTA($Q161))&gt;0),"",IF(AND($V161="Sub",N($U161)&gt;0),IF(ISNUMBER(INDEX($AM$5:$AM$1000,$U161-4)),DATE(YEAR(INDEX($AM$5:$AM$1000,$U161-4)),MONTH(INDEX($AM$5:$AM$1000,$U161-4)),1),IF(ISNUMBER(INDEX($AN$5:$AN$1000,$U161-4)),DATE(YEAR(INDEX($AN$5:$AN$1000,$U161-4)),MONTH(INDEX($AN$5:$AN$1000,$U161-4)),1),MesCiclo)),IF(ISNUMBER($AM161),DATE(YEAR($AM161),MONTH($AM161),1),IF(ISNUMBER($AN161),DATE(YEAR($AN161),MONTH($AN161),1),MesCiclo))))</f>
        <v/>
      </c>
      <c r="T161" s="62">
        <f>IF(OR($S161="",$S161&lt;&gt;MesCiclo),"",COUNTIF($S$5:$S161,MesCiclo))</f>
        <v/>
      </c>
      <c r="U161" s="62">
        <f>IF($V161="","",IF($V161="Macro",ROW(),IFERROR(LOOKUP(2,1/($V$5:$V161="Macro"),ROW($V$5:$V161)),0)))</f>
        <v/>
      </c>
      <c r="V161" s="62">
        <f>IF(NOT((COUNTA($B161:$D161)+COUNTA($G161:$L161)+COUNTA($Q161))&gt;0),"",IF($B161="Subactividad","Sub","Macro"))</f>
        <v/>
      </c>
      <c r="W161" s="62">
        <f>IF($V161="Macro",COUNTIFS($U$5:$U$1000,ROW(),$V$5:$V$1000,"Sub"),"")</f>
        <v/>
      </c>
      <c r="X161" s="62">
        <f>IF($V161="","",IF(ISNUMBER($G161),1,IFERROR(LOOKUP(2,1/($I161:$L161&lt;&gt;""),$I161:$L161),0)))</f>
        <v/>
      </c>
      <c r="Y161" s="62">
        <f>IF($V161="","",IF(AND(ISNUMBER($G161),$G161&lt;=IF($S161=MesCiclo,InicioCiclo,$S161+MOD(2-WEEKDAY($S161),7))+6),1,IF(ISNUMBER($I161),$I161,0)))</f>
        <v/>
      </c>
      <c r="Z161" s="62">
        <f>IF($V161="","",IF(AND(ISNUMBER($G161),$G161&lt;=IF($S161=MesCiclo,InicioCiclo,$S161+MOD(2-WEEKDAY($S161),7))+13),1,IF(ISNUMBER($J161),$J161,$Y161)))</f>
        <v/>
      </c>
      <c r="AA161" s="62">
        <f>IF($V161="","",IF(AND(ISNUMBER($G161),$G161&lt;=IF($S161=MesCiclo,InicioCiclo,$S161+MOD(2-WEEKDAY($S161),7))+20),1,IF(ISNUMBER($K161),$K161,$Z161)))</f>
        <v/>
      </c>
      <c r="AB161" s="62">
        <f>IF($V161="","",IF(AND(ISNUMBER($G161),$G161&lt;=IF($S161=MesCiclo,InicioCiclo,$S161+MOD(2-WEEKDAY($S161),7))+27),1,IF(ISNUMBER($L161),$L161,$AA161)))</f>
        <v/>
      </c>
      <c r="AC161" s="62">
        <f>IF($V161="","",IF(AND(ISNUMBER($G161),$G161&lt;=IF($S161=MesCiclo,InicioCiclo,$S161+MOD(2-WEEKDAY($S161),7))+6),1,IF(N($W161)&gt;0,AVERAGEIFS($Y$5:$Y$1000,$U$5:$U$1000,ROW(),$V$5:$V$1000,"Sub"),$Y161)))</f>
        <v/>
      </c>
      <c r="AD161" s="62">
        <f>IF($V161="","",IF(AND(ISNUMBER($G161),$G161&lt;=IF($S161=MesCiclo,InicioCiclo,$S161+MOD(2-WEEKDAY($S161),7))+13),1,IF(N($W161)&gt;0,AVERAGEIFS($Z$5:$Z$1000,$U$5:$U$1000,ROW(),$V$5:$V$1000,"Sub"),$Z161)))</f>
        <v/>
      </c>
      <c r="AE161" s="62">
        <f>IF($V161="","",IF(AND(ISNUMBER($G161),$G161&lt;=IF($S161=MesCiclo,InicioCiclo,$S161+MOD(2-WEEKDAY($S161),7))+20),1,IF(N($W161)&gt;0,AVERAGEIFS($AA$5:$AA$1000,$U$5:$U$1000,ROW(),$V$5:$V$1000,"Sub"),$AA161)))</f>
        <v/>
      </c>
      <c r="AF161" s="62">
        <f>IF($V161="","",IF(AND(ISNUMBER($G161),$G161&lt;=IF($S161=MesCiclo,InicioCiclo,$S161+MOD(2-WEEKDAY($S161),7))+27),1,IF(N($W161)&gt;0,AVERAGEIFS($AB$5:$AB$1000,$U$5:$U$1000,ROW(),$V$5:$V$1000,"Sub"),$AB161)))</f>
        <v/>
      </c>
      <c r="AG161" s="62">
        <f>IF($V161&lt;&gt;"Macro","",IF(COUNTIFS($S$5:$S$1000,$S161,$V$5:$V$1000,"Macro",$H$5:$H$1000,"&gt;0")=0,1/COUNTIFS($S$5:$S$1000,$S161,$V$5:$V$1000,"Macro"),IF(AND(ISNUMBER($H161),N($H161)&gt;0),$H161,SUMIFS($H$5:$H$1000,$S$5:$S$1000,$S161,$V$5:$V$1000,"Macro")/COUNTIFS($S$5:$S$1000,$S161,$V$5:$V$1000,"Macro",$H$5:$H$1000,"&gt;0"))/(COUNTIFS($S$5:$S$1000,$S161,$V$5:$V$1000,"Macro")*SUMIFS($H$5:$H$1000,$S$5:$S$1000,$S161,$V$5:$V$1000,"Macro")/COUNTIFS($S$5:$S$1000,$S161,$V$5:$V$1000,"Macro",$H$5:$H$1000,"&gt;0"))))</f>
        <v/>
      </c>
      <c r="AH161" s="62">
        <f>IF(NOT(AND($D161&lt;&gt;"",$V161="Macro")),"",IFERROR(CHOOSE(MATCH($D161,ListaPuestos,0),MATCH("[Jefatura] "&amp;$C161,'Cronograma R. Operacional'!$C$5:$C$1000,0),MATCH("[Jefatura] "&amp;$C161,'Cronograma R. Normativo'!$C$5:$C$1000,0),MATCH("[Jefatura] "&amp;$C161,'Cronograma R. Financiero'!$C$5:$C$1000,0),MATCH("[Jefatura] "&amp;$C161,'Cronograma Asistente Técnico'!$C$5:$C$1000,0)),0))</f>
        <v/>
      </c>
      <c r="AI161" s="62">
        <f>IF(AND(AND($D161&lt;&gt;"",$V161="Macro"),$S161=MesCiclo),COUNTIFS($D$5:$D161,$D161,$S$5:$S161,MesCiclo,$V$5:$V161,"Macro"),"")</f>
        <v/>
      </c>
      <c r="AJ161" s="62">
        <f>IF($AI161="","",$D161&amp;"|"&amp;$AI161)</f>
        <v/>
      </c>
      <c r="AK161" s="62">
        <f>IF(AND($D161&lt;&gt;"",$V161="Macro"),$D161&amp;"|"&amp;$C161,"")</f>
        <v/>
      </c>
      <c r="AL161" s="62">
        <f>""</f>
        <v/>
      </c>
      <c r="AM161" s="62">
        <f>IF(N($AL161)&gt;0,INDEX(rIni_ADM,$AL161),IF(ISNUMBER($E161),$E161,""))</f>
        <v/>
      </c>
      <c r="AN161" s="62">
        <f>IF(N($AL161)&gt;0,INDEX(rLim_ADM,$AL161),IF(ISNUMBER($F161),$F161,""))</f>
        <v/>
      </c>
    </row>
    <row r="162">
      <c r="A162" s="56">
        <f>IF(NOT((COUNTA($B162:$D162)+COUNTA($G162:$L162)+COUNTA($Q162))&gt;0),"",IF($V162="Macro",COUNTIFS($V$5:$V162,"Macro",$S$5:$S162,$S162),IF(N($U162)=0,"?",COUNTIFS(INDEX($V$5:$V$1000,1):INDEX($V$5:$V$1000,$U162-4),"Macro",INDEX($S$5:$S$1000,1):INDEX($S$5:$S$1000,$U162-4),INDEX($S$5:$S$1000,$U162-4))&amp;"."&amp;COUNTIFS($U$5:$U162,$U162,$V$5:$V162,"Sub"))))</f>
        <v/>
      </c>
      <c r="B162" s="57" t="n"/>
      <c r="C162" s="58" t="n"/>
      <c r="D162" s="58" t="n"/>
      <c r="E162" s="59" t="n"/>
      <c r="F162" s="59" t="n"/>
      <c r="G162" s="59" t="n"/>
      <c r="H162" s="60" t="n"/>
      <c r="I162" s="60" t="n"/>
      <c r="J162" s="60" t="n"/>
      <c r="K162" s="60" t="n"/>
      <c r="L162" s="60" t="n"/>
      <c r="M162" s="61">
        <f>IF(NOT((COUNTA($B162:$D162)+COUNTA($G162:$L162)+COUNTA($Q162))&gt;0),"",IF(AND($D162&lt;&gt;"",$V162="Macro"),IF(N($AH162)&gt;0,N(CHOOSE(MATCH($D162,ListaPuestos,0),INDEX('Cronograma R. Operacional'!$M$5:$M$1000,$AH162),INDEX('Cronograma R. Normativo'!$M$5:$M$1000,$AH162),INDEX('Cronograma R. Financiero'!$M$5:$M$1000,$AH162),INDEX('Cronograma Asistente Técnico'!$M$5:$M$1000,$AH162))),0),IF(ISNUMBER($G162),1,IF(N($W162)&gt;0,AVERAGEIFS($X$5:$X$1000,$U$5:$U$1000,ROW(),$V$5:$V$1000,"Sub"),$X162))))</f>
        <v/>
      </c>
      <c r="N162" s="56">
        <f>IF($M162="","",IF($M162&gt;=1,"Completado",IF($M162&gt;0,"En curso","Pendiente")))</f>
        <v/>
      </c>
      <c r="O162" s="56">
        <f>IF(NOT((COUNTA($B162:$D162)+COUNTA($G162:$L162)+COUNTA($Q162))&gt;0),"",IF(AND(AND($D162&lt;&gt;"",$V162="Macro"),N($AH162)&gt;0),CHOOSE(MATCH($D162,ListaPuestos,0),INDEX('Cronograma R. Operacional'!$O$5:$O$1000,$AH162),INDEX('Cronograma R. Normativo'!$O$5:$O$1000,$AH162),INDEX('Cronograma R. Financiero'!$O$5:$O$1000,$AH162),INDEX('Cronograma Asistente Técnico'!$O$5:$O$1000,$AH162))&amp;"",IF(ISNUMBER($G162),IF(AND(ISNUMBER($AN162),$G162&gt;$AN162),"Cumplida con "&amp;($G162-$AN162)&amp;IF($G162-$AN162=1," día"," días")&amp;" de retraso","Cumplida"),IF(N($M162)&gt;=1,"Cumplida",IF(NOT(ISNUMBER($AN162)),"Sin fecha límite",IF($AN162&lt;FechaRef,"Vencida hace "&amp;(FechaRef-$AN162)&amp;IF(FechaRef-$AN162=1," día"," días"),IF($AN162=FechaRef,"Vence hoy",IF($AN162-FechaRef&lt;=DiasAlerta,"Vence en "&amp;($AN162-FechaRef)&amp;IF($AN162-FechaRef=1," día"," días"),"En plazo"))))))))</f>
        <v/>
      </c>
      <c r="P162" s="62">
        <f>IF(NOT((COUNTA($B162:$D162)+COUNTA($G162:$L162)+COUNTA($Q162))&gt;0),"",IF($D162="","Propia",IF($V162&lt;&gt;"Macro","Solo se delegan macroactividades",IF(N($AH162)&gt;0,"✔ Recibida por "&amp;$D162,"⚠ "&amp;$D162&amp;" aún no la agrega"))))</f>
        <v/>
      </c>
      <c r="Q162" s="58" t="n"/>
      <c r="R162" s="63">
        <f>IF(NOT((COUNTA($B162:$D162)+COUNTA($G162:$L162)+COUNTA($Q162))&gt;0),"",IF((IF($C162="","Falta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",""))="","✔ OK","⚠ "&amp;LEFT(IF($C162="","Falta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",""),LEN(IF($C162="","Falta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",""))-3)))</f>
        <v/>
      </c>
      <c r="S162" s="64">
        <f>IF(NOT((COUNTA($B162:$D162)+COUNTA($G162:$L162)+COUNTA($Q162))&gt;0),"",IF(AND($V162="Sub",N($U162)&gt;0),IF(ISNUMBER(INDEX($AM$5:$AM$1000,$U162-4)),DATE(YEAR(INDEX($AM$5:$AM$1000,$U162-4)),MONTH(INDEX($AM$5:$AM$1000,$U162-4)),1),IF(ISNUMBER(INDEX($AN$5:$AN$1000,$U162-4)),DATE(YEAR(INDEX($AN$5:$AN$1000,$U162-4)),MONTH(INDEX($AN$5:$AN$1000,$U162-4)),1),MesCiclo)),IF(ISNUMBER($AM162),DATE(YEAR($AM162),MONTH($AM162),1),IF(ISNUMBER($AN162),DATE(YEAR($AN162),MONTH($AN162),1),MesCiclo))))</f>
        <v/>
      </c>
      <c r="T162" s="62">
        <f>IF(OR($S162="",$S162&lt;&gt;MesCiclo),"",COUNTIF($S$5:$S162,MesCiclo))</f>
        <v/>
      </c>
      <c r="U162" s="62">
        <f>IF($V162="","",IF($V162="Macro",ROW(),IFERROR(LOOKUP(2,1/($V$5:$V162="Macro"),ROW($V$5:$V162)),0)))</f>
        <v/>
      </c>
      <c r="V162" s="62">
        <f>IF(NOT((COUNTA($B162:$D162)+COUNTA($G162:$L162)+COUNTA($Q162))&gt;0),"",IF($B162="Subactividad","Sub","Macro"))</f>
        <v/>
      </c>
      <c r="W162" s="62">
        <f>IF($V162="Macro",COUNTIFS($U$5:$U$1000,ROW(),$V$5:$V$1000,"Sub"),"")</f>
        <v/>
      </c>
      <c r="X162" s="62">
        <f>IF($V162="","",IF(ISNUMBER($G162),1,IFERROR(LOOKUP(2,1/($I162:$L162&lt;&gt;""),$I162:$L162),0)))</f>
        <v/>
      </c>
      <c r="Y162" s="62">
        <f>IF($V162="","",IF(AND(ISNUMBER($G162),$G162&lt;=IF($S162=MesCiclo,InicioCiclo,$S162+MOD(2-WEEKDAY($S162),7))+6),1,IF(ISNUMBER($I162),$I162,0)))</f>
        <v/>
      </c>
      <c r="Z162" s="62">
        <f>IF($V162="","",IF(AND(ISNUMBER($G162),$G162&lt;=IF($S162=MesCiclo,InicioCiclo,$S162+MOD(2-WEEKDAY($S162),7))+13),1,IF(ISNUMBER($J162),$J162,$Y162)))</f>
        <v/>
      </c>
      <c r="AA162" s="62">
        <f>IF($V162="","",IF(AND(ISNUMBER($G162),$G162&lt;=IF($S162=MesCiclo,InicioCiclo,$S162+MOD(2-WEEKDAY($S162),7))+20),1,IF(ISNUMBER($K162),$K162,$Z162)))</f>
        <v/>
      </c>
      <c r="AB162" s="62">
        <f>IF($V162="","",IF(AND(ISNUMBER($G162),$G162&lt;=IF($S162=MesCiclo,InicioCiclo,$S162+MOD(2-WEEKDAY($S162),7))+27),1,IF(ISNUMBER($L162),$L162,$AA162)))</f>
        <v/>
      </c>
      <c r="AC162" s="62">
        <f>IF($V162="","",IF(AND(ISNUMBER($G162),$G162&lt;=IF($S162=MesCiclo,InicioCiclo,$S162+MOD(2-WEEKDAY($S162),7))+6),1,IF(N($W162)&gt;0,AVERAGEIFS($Y$5:$Y$1000,$U$5:$U$1000,ROW(),$V$5:$V$1000,"Sub"),$Y162)))</f>
        <v/>
      </c>
      <c r="AD162" s="62">
        <f>IF($V162="","",IF(AND(ISNUMBER($G162),$G162&lt;=IF($S162=MesCiclo,InicioCiclo,$S162+MOD(2-WEEKDAY($S162),7))+13),1,IF(N($W162)&gt;0,AVERAGEIFS($Z$5:$Z$1000,$U$5:$U$1000,ROW(),$V$5:$V$1000,"Sub"),$Z162)))</f>
        <v/>
      </c>
      <c r="AE162" s="62">
        <f>IF($V162="","",IF(AND(ISNUMBER($G162),$G162&lt;=IF($S162=MesCiclo,InicioCiclo,$S162+MOD(2-WEEKDAY($S162),7))+20),1,IF(N($W162)&gt;0,AVERAGEIFS($AA$5:$AA$1000,$U$5:$U$1000,ROW(),$V$5:$V$1000,"Sub"),$AA162)))</f>
        <v/>
      </c>
      <c r="AF162" s="62">
        <f>IF($V162="","",IF(AND(ISNUMBER($G162),$G162&lt;=IF($S162=MesCiclo,InicioCiclo,$S162+MOD(2-WEEKDAY($S162),7))+27),1,IF(N($W162)&gt;0,AVERAGEIFS($AB$5:$AB$1000,$U$5:$U$1000,ROW(),$V$5:$V$1000,"Sub"),$AB162)))</f>
        <v/>
      </c>
      <c r="AG162" s="62">
        <f>IF($V162&lt;&gt;"Macro","",IF(COUNTIFS($S$5:$S$1000,$S162,$V$5:$V$1000,"Macro",$H$5:$H$1000,"&gt;0")=0,1/COUNTIFS($S$5:$S$1000,$S162,$V$5:$V$1000,"Macro"),IF(AND(ISNUMBER($H162),N($H162)&gt;0),$H162,SUMIFS($H$5:$H$1000,$S$5:$S$1000,$S162,$V$5:$V$1000,"Macro")/COUNTIFS($S$5:$S$1000,$S162,$V$5:$V$1000,"Macro",$H$5:$H$1000,"&gt;0"))/(COUNTIFS($S$5:$S$1000,$S162,$V$5:$V$1000,"Macro")*SUMIFS($H$5:$H$1000,$S$5:$S$1000,$S162,$V$5:$V$1000,"Macro")/COUNTIFS($S$5:$S$1000,$S162,$V$5:$V$1000,"Macro",$H$5:$H$1000,"&gt;0"))))</f>
        <v/>
      </c>
      <c r="AH162" s="62">
        <f>IF(NOT(AND($D162&lt;&gt;"",$V162="Macro")),"",IFERROR(CHOOSE(MATCH($D162,ListaPuestos,0),MATCH("[Jefatura] "&amp;$C162,'Cronograma R. Operacional'!$C$5:$C$1000,0),MATCH("[Jefatura] "&amp;$C162,'Cronograma R. Normativo'!$C$5:$C$1000,0),MATCH("[Jefatura] "&amp;$C162,'Cronograma R. Financiero'!$C$5:$C$1000,0),MATCH("[Jefatura] "&amp;$C162,'Cronograma Asistente Técnico'!$C$5:$C$1000,0)),0))</f>
        <v/>
      </c>
      <c r="AI162" s="62">
        <f>IF(AND(AND($D162&lt;&gt;"",$V162="Macro"),$S162=MesCiclo),COUNTIFS($D$5:$D162,$D162,$S$5:$S162,MesCiclo,$V$5:$V162,"Macro"),"")</f>
        <v/>
      </c>
      <c r="AJ162" s="62">
        <f>IF($AI162="","",$D162&amp;"|"&amp;$AI162)</f>
        <v/>
      </c>
      <c r="AK162" s="62">
        <f>IF(AND($D162&lt;&gt;"",$V162="Macro"),$D162&amp;"|"&amp;$C162,"")</f>
        <v/>
      </c>
      <c r="AL162" s="62">
        <f>""</f>
        <v/>
      </c>
      <c r="AM162" s="62">
        <f>IF(N($AL162)&gt;0,INDEX(rIni_ADM,$AL162),IF(ISNUMBER($E162),$E162,""))</f>
        <v/>
      </c>
      <c r="AN162" s="62">
        <f>IF(N($AL162)&gt;0,INDEX(rLim_ADM,$AL162),IF(ISNUMBER($F162),$F162,""))</f>
        <v/>
      </c>
    </row>
    <row r="163">
      <c r="A163" s="56">
        <f>IF(NOT((COUNTA($B163:$D163)+COUNTA($G163:$L163)+COUNTA($Q163))&gt;0),"",IF($V163="Macro",COUNTIFS($V$5:$V163,"Macro",$S$5:$S163,$S163),IF(N($U163)=0,"?",COUNTIFS(INDEX($V$5:$V$1000,1):INDEX($V$5:$V$1000,$U163-4),"Macro",INDEX($S$5:$S$1000,1):INDEX($S$5:$S$1000,$U163-4),INDEX($S$5:$S$1000,$U163-4))&amp;"."&amp;COUNTIFS($U$5:$U163,$U163,$V$5:$V163,"Sub"))))</f>
        <v/>
      </c>
      <c r="B163" s="57" t="n"/>
      <c r="C163" s="58" t="n"/>
      <c r="D163" s="58" t="n"/>
      <c r="E163" s="59" t="n"/>
      <c r="F163" s="59" t="n"/>
      <c r="G163" s="59" t="n"/>
      <c r="H163" s="60" t="n"/>
      <c r="I163" s="60" t="n"/>
      <c r="J163" s="60" t="n"/>
      <c r="K163" s="60" t="n"/>
      <c r="L163" s="60" t="n"/>
      <c r="M163" s="61">
        <f>IF(NOT((COUNTA($B163:$D163)+COUNTA($G163:$L163)+COUNTA($Q163))&gt;0),"",IF(AND($D163&lt;&gt;"",$V163="Macro"),IF(N($AH163)&gt;0,N(CHOOSE(MATCH($D163,ListaPuestos,0),INDEX('Cronograma R. Operacional'!$M$5:$M$1000,$AH163),INDEX('Cronograma R. Normativo'!$M$5:$M$1000,$AH163),INDEX('Cronograma R. Financiero'!$M$5:$M$1000,$AH163),INDEX('Cronograma Asistente Técnico'!$M$5:$M$1000,$AH163))),0),IF(ISNUMBER($G163),1,IF(N($W163)&gt;0,AVERAGEIFS($X$5:$X$1000,$U$5:$U$1000,ROW(),$V$5:$V$1000,"Sub"),$X163))))</f>
        <v/>
      </c>
      <c r="N163" s="56">
        <f>IF($M163="","",IF($M163&gt;=1,"Completado",IF($M163&gt;0,"En curso","Pendiente")))</f>
        <v/>
      </c>
      <c r="O163" s="56">
        <f>IF(NOT((COUNTA($B163:$D163)+COUNTA($G163:$L163)+COUNTA($Q163))&gt;0),"",IF(AND(AND($D163&lt;&gt;"",$V163="Macro"),N($AH163)&gt;0),CHOOSE(MATCH($D163,ListaPuestos,0),INDEX('Cronograma R. Operacional'!$O$5:$O$1000,$AH163),INDEX('Cronograma R. Normativo'!$O$5:$O$1000,$AH163),INDEX('Cronograma R. Financiero'!$O$5:$O$1000,$AH163),INDEX('Cronograma Asistente Técnico'!$O$5:$O$1000,$AH163))&amp;"",IF(ISNUMBER($G163),IF(AND(ISNUMBER($AN163),$G163&gt;$AN163),"Cumplida con "&amp;($G163-$AN163)&amp;IF($G163-$AN163=1," día"," días")&amp;" de retraso","Cumplida"),IF(N($M163)&gt;=1,"Cumplida",IF(NOT(ISNUMBER($AN163)),"Sin fecha límite",IF($AN163&lt;FechaRef,"Vencida hace "&amp;(FechaRef-$AN163)&amp;IF(FechaRef-$AN163=1," día"," días"),IF($AN163=FechaRef,"Vence hoy",IF($AN163-FechaRef&lt;=DiasAlerta,"Vence en "&amp;($AN163-FechaRef)&amp;IF($AN163-FechaRef=1," día"," días"),"En plazo"))))))))</f>
        <v/>
      </c>
      <c r="P163" s="62">
        <f>IF(NOT((COUNTA($B163:$D163)+COUNTA($G163:$L163)+COUNTA($Q163))&gt;0),"",IF($D163="","Propia",IF($V163&lt;&gt;"Macro","Solo se delegan macroactividades",IF(N($AH163)&gt;0,"✔ Recibida por "&amp;$D163,"⚠ "&amp;$D163&amp;" aún no la agrega"))))</f>
        <v/>
      </c>
      <c r="Q163" s="58" t="n"/>
      <c r="R163" s="63">
        <f>IF(NOT((COUNTA($B163:$D163)+COUNTA($G163:$L163)+COUNTA($Q163))&gt;0),"",IF((IF($C163="","Falta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",""))="","✔ OK","⚠ "&amp;LEFT(IF($C163="","Falta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",""),LEN(IF($C163="","Falta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",""))-3)))</f>
        <v/>
      </c>
      <c r="S163" s="64">
        <f>IF(NOT((COUNTA($B163:$D163)+COUNTA($G163:$L163)+COUNTA($Q163))&gt;0),"",IF(AND($V163="Sub",N($U163)&gt;0),IF(ISNUMBER(INDEX($AM$5:$AM$1000,$U163-4)),DATE(YEAR(INDEX($AM$5:$AM$1000,$U163-4)),MONTH(INDEX($AM$5:$AM$1000,$U163-4)),1),IF(ISNUMBER(INDEX($AN$5:$AN$1000,$U163-4)),DATE(YEAR(INDEX($AN$5:$AN$1000,$U163-4)),MONTH(INDEX($AN$5:$AN$1000,$U163-4)),1),MesCiclo)),IF(ISNUMBER($AM163),DATE(YEAR($AM163),MONTH($AM163),1),IF(ISNUMBER($AN163),DATE(YEAR($AN163),MONTH($AN163),1),MesCiclo))))</f>
        <v/>
      </c>
      <c r="T163" s="62">
        <f>IF(OR($S163="",$S163&lt;&gt;MesCiclo),"",COUNTIF($S$5:$S163,MesCiclo))</f>
        <v/>
      </c>
      <c r="U163" s="62">
        <f>IF($V163="","",IF($V163="Macro",ROW(),IFERROR(LOOKUP(2,1/($V$5:$V163="Macro"),ROW($V$5:$V163)),0)))</f>
        <v/>
      </c>
      <c r="V163" s="62">
        <f>IF(NOT((COUNTA($B163:$D163)+COUNTA($G163:$L163)+COUNTA($Q163))&gt;0),"",IF($B163="Subactividad","Sub","Macro"))</f>
        <v/>
      </c>
      <c r="W163" s="62">
        <f>IF($V163="Macro",COUNTIFS($U$5:$U$1000,ROW(),$V$5:$V$1000,"Sub"),"")</f>
        <v/>
      </c>
      <c r="X163" s="62">
        <f>IF($V163="","",IF(ISNUMBER($G163),1,IFERROR(LOOKUP(2,1/($I163:$L163&lt;&gt;""),$I163:$L163),0)))</f>
        <v/>
      </c>
      <c r="Y163" s="62">
        <f>IF($V163="","",IF(AND(ISNUMBER($G163),$G163&lt;=IF($S163=MesCiclo,InicioCiclo,$S163+MOD(2-WEEKDAY($S163),7))+6),1,IF(ISNUMBER($I163),$I163,0)))</f>
        <v/>
      </c>
      <c r="Z163" s="62">
        <f>IF($V163="","",IF(AND(ISNUMBER($G163),$G163&lt;=IF($S163=MesCiclo,InicioCiclo,$S163+MOD(2-WEEKDAY($S163),7))+13),1,IF(ISNUMBER($J163),$J163,$Y163)))</f>
        <v/>
      </c>
      <c r="AA163" s="62">
        <f>IF($V163="","",IF(AND(ISNUMBER($G163),$G163&lt;=IF($S163=MesCiclo,InicioCiclo,$S163+MOD(2-WEEKDAY($S163),7))+20),1,IF(ISNUMBER($K163),$K163,$Z163)))</f>
        <v/>
      </c>
      <c r="AB163" s="62">
        <f>IF($V163="","",IF(AND(ISNUMBER($G163),$G163&lt;=IF($S163=MesCiclo,InicioCiclo,$S163+MOD(2-WEEKDAY($S163),7))+27),1,IF(ISNUMBER($L163),$L163,$AA163)))</f>
        <v/>
      </c>
      <c r="AC163" s="62">
        <f>IF($V163="","",IF(AND(ISNUMBER($G163),$G163&lt;=IF($S163=MesCiclo,InicioCiclo,$S163+MOD(2-WEEKDAY($S163),7))+6),1,IF(N($W163)&gt;0,AVERAGEIFS($Y$5:$Y$1000,$U$5:$U$1000,ROW(),$V$5:$V$1000,"Sub"),$Y163)))</f>
        <v/>
      </c>
      <c r="AD163" s="62">
        <f>IF($V163="","",IF(AND(ISNUMBER($G163),$G163&lt;=IF($S163=MesCiclo,InicioCiclo,$S163+MOD(2-WEEKDAY($S163),7))+13),1,IF(N($W163)&gt;0,AVERAGEIFS($Z$5:$Z$1000,$U$5:$U$1000,ROW(),$V$5:$V$1000,"Sub"),$Z163)))</f>
        <v/>
      </c>
      <c r="AE163" s="62">
        <f>IF($V163="","",IF(AND(ISNUMBER($G163),$G163&lt;=IF($S163=MesCiclo,InicioCiclo,$S163+MOD(2-WEEKDAY($S163),7))+20),1,IF(N($W163)&gt;0,AVERAGEIFS($AA$5:$AA$1000,$U$5:$U$1000,ROW(),$V$5:$V$1000,"Sub"),$AA163)))</f>
        <v/>
      </c>
      <c r="AF163" s="62">
        <f>IF($V163="","",IF(AND(ISNUMBER($G163),$G163&lt;=IF($S163=MesCiclo,InicioCiclo,$S163+MOD(2-WEEKDAY($S163),7))+27),1,IF(N($W163)&gt;0,AVERAGEIFS($AB$5:$AB$1000,$U$5:$U$1000,ROW(),$V$5:$V$1000,"Sub"),$AB163)))</f>
        <v/>
      </c>
      <c r="AG163" s="62">
        <f>IF($V163&lt;&gt;"Macro","",IF(COUNTIFS($S$5:$S$1000,$S163,$V$5:$V$1000,"Macro",$H$5:$H$1000,"&gt;0")=0,1/COUNTIFS($S$5:$S$1000,$S163,$V$5:$V$1000,"Macro"),IF(AND(ISNUMBER($H163),N($H163)&gt;0),$H163,SUMIFS($H$5:$H$1000,$S$5:$S$1000,$S163,$V$5:$V$1000,"Macro")/COUNTIFS($S$5:$S$1000,$S163,$V$5:$V$1000,"Macro",$H$5:$H$1000,"&gt;0"))/(COUNTIFS($S$5:$S$1000,$S163,$V$5:$V$1000,"Macro")*SUMIFS($H$5:$H$1000,$S$5:$S$1000,$S163,$V$5:$V$1000,"Macro")/COUNTIFS($S$5:$S$1000,$S163,$V$5:$V$1000,"Macro",$H$5:$H$1000,"&gt;0"))))</f>
        <v/>
      </c>
      <c r="AH163" s="62">
        <f>IF(NOT(AND($D163&lt;&gt;"",$V163="Macro")),"",IFERROR(CHOOSE(MATCH($D163,ListaPuestos,0),MATCH("[Jefatura] "&amp;$C163,'Cronograma R. Operacional'!$C$5:$C$1000,0),MATCH("[Jefatura] "&amp;$C163,'Cronograma R. Normativo'!$C$5:$C$1000,0),MATCH("[Jefatura] "&amp;$C163,'Cronograma R. Financiero'!$C$5:$C$1000,0),MATCH("[Jefatura] "&amp;$C163,'Cronograma Asistente Técnico'!$C$5:$C$1000,0)),0))</f>
        <v/>
      </c>
      <c r="AI163" s="62">
        <f>IF(AND(AND($D163&lt;&gt;"",$V163="Macro"),$S163=MesCiclo),COUNTIFS($D$5:$D163,$D163,$S$5:$S163,MesCiclo,$V$5:$V163,"Macro"),"")</f>
        <v/>
      </c>
      <c r="AJ163" s="62">
        <f>IF($AI163="","",$D163&amp;"|"&amp;$AI163)</f>
        <v/>
      </c>
      <c r="AK163" s="62">
        <f>IF(AND($D163&lt;&gt;"",$V163="Macro"),$D163&amp;"|"&amp;$C163,"")</f>
        <v/>
      </c>
      <c r="AL163" s="62">
        <f>""</f>
        <v/>
      </c>
      <c r="AM163" s="62">
        <f>IF(N($AL163)&gt;0,INDEX(rIni_ADM,$AL163),IF(ISNUMBER($E163),$E163,""))</f>
        <v/>
      </c>
      <c r="AN163" s="62">
        <f>IF(N($AL163)&gt;0,INDEX(rLim_ADM,$AL163),IF(ISNUMBER($F163),$F163,""))</f>
        <v/>
      </c>
    </row>
    <row r="164">
      <c r="A164" s="56">
        <f>IF(NOT((COUNTA($B164:$D164)+COUNTA($G164:$L164)+COUNTA($Q164))&gt;0),"",IF($V164="Macro",COUNTIFS($V$5:$V164,"Macro",$S$5:$S164,$S164),IF(N($U164)=0,"?",COUNTIFS(INDEX($V$5:$V$1000,1):INDEX($V$5:$V$1000,$U164-4),"Macro",INDEX($S$5:$S$1000,1):INDEX($S$5:$S$1000,$U164-4),INDEX($S$5:$S$1000,$U164-4))&amp;"."&amp;COUNTIFS($U$5:$U164,$U164,$V$5:$V164,"Sub"))))</f>
        <v/>
      </c>
      <c r="B164" s="57" t="n"/>
      <c r="C164" s="58" t="n"/>
      <c r="D164" s="58" t="n"/>
      <c r="E164" s="59" t="n"/>
      <c r="F164" s="59" t="n"/>
      <c r="G164" s="59" t="n"/>
      <c r="H164" s="60" t="n"/>
      <c r="I164" s="60" t="n"/>
      <c r="J164" s="60" t="n"/>
      <c r="K164" s="60" t="n"/>
      <c r="L164" s="60" t="n"/>
      <c r="M164" s="61">
        <f>IF(NOT((COUNTA($B164:$D164)+COUNTA($G164:$L164)+COUNTA($Q164))&gt;0),"",IF(AND($D164&lt;&gt;"",$V164="Macro"),IF(N($AH164)&gt;0,N(CHOOSE(MATCH($D164,ListaPuestos,0),INDEX('Cronograma R. Operacional'!$M$5:$M$1000,$AH164),INDEX('Cronograma R. Normativo'!$M$5:$M$1000,$AH164),INDEX('Cronograma R. Financiero'!$M$5:$M$1000,$AH164),INDEX('Cronograma Asistente Técnico'!$M$5:$M$1000,$AH164))),0),IF(ISNUMBER($G164),1,IF(N($W164)&gt;0,AVERAGEIFS($X$5:$X$1000,$U$5:$U$1000,ROW(),$V$5:$V$1000,"Sub"),$X164))))</f>
        <v/>
      </c>
      <c r="N164" s="56">
        <f>IF($M164="","",IF($M164&gt;=1,"Completado",IF($M164&gt;0,"En curso","Pendiente")))</f>
        <v/>
      </c>
      <c r="O164" s="56">
        <f>IF(NOT((COUNTA($B164:$D164)+COUNTA($G164:$L164)+COUNTA($Q164))&gt;0),"",IF(AND(AND($D164&lt;&gt;"",$V164="Macro"),N($AH164)&gt;0),CHOOSE(MATCH($D164,ListaPuestos,0),INDEX('Cronograma R. Operacional'!$O$5:$O$1000,$AH164),INDEX('Cronograma R. Normativo'!$O$5:$O$1000,$AH164),INDEX('Cronograma R. Financiero'!$O$5:$O$1000,$AH164),INDEX('Cronograma Asistente Técnico'!$O$5:$O$1000,$AH164))&amp;"",IF(ISNUMBER($G164),IF(AND(ISNUMBER($AN164),$G164&gt;$AN164),"Cumplida con "&amp;($G164-$AN164)&amp;IF($G164-$AN164=1," día"," días")&amp;" de retraso","Cumplida"),IF(N($M164)&gt;=1,"Cumplida",IF(NOT(ISNUMBER($AN164)),"Sin fecha límite",IF($AN164&lt;FechaRef,"Vencida hace "&amp;(FechaRef-$AN164)&amp;IF(FechaRef-$AN164=1," día"," días"),IF($AN164=FechaRef,"Vence hoy",IF($AN164-FechaRef&lt;=DiasAlerta,"Vence en "&amp;($AN164-FechaRef)&amp;IF($AN164-FechaRef=1," día"," días"),"En plazo"))))))))</f>
        <v/>
      </c>
      <c r="P164" s="62">
        <f>IF(NOT((COUNTA($B164:$D164)+COUNTA($G164:$L164)+COUNTA($Q164))&gt;0),"",IF($D164="","Propia",IF($V164&lt;&gt;"Macro","Solo se delegan macroactividades",IF(N($AH164)&gt;0,"✔ Recibida por "&amp;$D164,"⚠ "&amp;$D164&amp;" aún no la agrega"))))</f>
        <v/>
      </c>
      <c r="Q164" s="58" t="n"/>
      <c r="R164" s="63">
        <f>IF(NOT((COUNTA($B164:$D164)+COUNTA($G164:$L164)+COUNTA($Q164))&gt;0),"",IF((IF($C164="","Falta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",""))="","✔ OK","⚠ "&amp;LEFT(IF($C164="","Falta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",""),LEN(IF($C164="","Falta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",""))-3)))</f>
        <v/>
      </c>
      <c r="S164" s="64">
        <f>IF(NOT((COUNTA($B164:$D164)+COUNTA($G164:$L164)+COUNTA($Q164))&gt;0),"",IF(AND($V164="Sub",N($U164)&gt;0),IF(ISNUMBER(INDEX($AM$5:$AM$1000,$U164-4)),DATE(YEAR(INDEX($AM$5:$AM$1000,$U164-4)),MONTH(INDEX($AM$5:$AM$1000,$U164-4)),1),IF(ISNUMBER(INDEX($AN$5:$AN$1000,$U164-4)),DATE(YEAR(INDEX($AN$5:$AN$1000,$U164-4)),MONTH(INDEX($AN$5:$AN$1000,$U164-4)),1),MesCiclo)),IF(ISNUMBER($AM164),DATE(YEAR($AM164),MONTH($AM164),1),IF(ISNUMBER($AN164),DATE(YEAR($AN164),MONTH($AN164),1),MesCiclo))))</f>
        <v/>
      </c>
      <c r="T164" s="62">
        <f>IF(OR($S164="",$S164&lt;&gt;MesCiclo),"",COUNTIF($S$5:$S164,MesCiclo))</f>
        <v/>
      </c>
      <c r="U164" s="62">
        <f>IF($V164="","",IF($V164="Macro",ROW(),IFERROR(LOOKUP(2,1/($V$5:$V164="Macro"),ROW($V$5:$V164)),0)))</f>
        <v/>
      </c>
      <c r="V164" s="62">
        <f>IF(NOT((COUNTA($B164:$D164)+COUNTA($G164:$L164)+COUNTA($Q164))&gt;0),"",IF($B164="Subactividad","Sub","Macro"))</f>
        <v/>
      </c>
      <c r="W164" s="62">
        <f>IF($V164="Macro",COUNTIFS($U$5:$U$1000,ROW(),$V$5:$V$1000,"Sub"),"")</f>
        <v/>
      </c>
      <c r="X164" s="62">
        <f>IF($V164="","",IF(ISNUMBER($G164),1,IFERROR(LOOKUP(2,1/($I164:$L164&lt;&gt;""),$I164:$L164),0)))</f>
        <v/>
      </c>
      <c r="Y164" s="62">
        <f>IF($V164="","",IF(AND(ISNUMBER($G164),$G164&lt;=IF($S164=MesCiclo,InicioCiclo,$S164+MOD(2-WEEKDAY($S164),7))+6),1,IF(ISNUMBER($I164),$I164,0)))</f>
        <v/>
      </c>
      <c r="Z164" s="62">
        <f>IF($V164="","",IF(AND(ISNUMBER($G164),$G164&lt;=IF($S164=MesCiclo,InicioCiclo,$S164+MOD(2-WEEKDAY($S164),7))+13),1,IF(ISNUMBER($J164),$J164,$Y164)))</f>
        <v/>
      </c>
      <c r="AA164" s="62">
        <f>IF($V164="","",IF(AND(ISNUMBER($G164),$G164&lt;=IF($S164=MesCiclo,InicioCiclo,$S164+MOD(2-WEEKDAY($S164),7))+20),1,IF(ISNUMBER($K164),$K164,$Z164)))</f>
        <v/>
      </c>
      <c r="AB164" s="62">
        <f>IF($V164="","",IF(AND(ISNUMBER($G164),$G164&lt;=IF($S164=MesCiclo,InicioCiclo,$S164+MOD(2-WEEKDAY($S164),7))+27),1,IF(ISNUMBER($L164),$L164,$AA164)))</f>
        <v/>
      </c>
      <c r="AC164" s="62">
        <f>IF($V164="","",IF(AND(ISNUMBER($G164),$G164&lt;=IF($S164=MesCiclo,InicioCiclo,$S164+MOD(2-WEEKDAY($S164),7))+6),1,IF(N($W164)&gt;0,AVERAGEIFS($Y$5:$Y$1000,$U$5:$U$1000,ROW(),$V$5:$V$1000,"Sub"),$Y164)))</f>
        <v/>
      </c>
      <c r="AD164" s="62">
        <f>IF($V164="","",IF(AND(ISNUMBER($G164),$G164&lt;=IF($S164=MesCiclo,InicioCiclo,$S164+MOD(2-WEEKDAY($S164),7))+13),1,IF(N($W164)&gt;0,AVERAGEIFS($Z$5:$Z$1000,$U$5:$U$1000,ROW(),$V$5:$V$1000,"Sub"),$Z164)))</f>
        <v/>
      </c>
      <c r="AE164" s="62">
        <f>IF($V164="","",IF(AND(ISNUMBER($G164),$G164&lt;=IF($S164=MesCiclo,InicioCiclo,$S164+MOD(2-WEEKDAY($S164),7))+20),1,IF(N($W164)&gt;0,AVERAGEIFS($AA$5:$AA$1000,$U$5:$U$1000,ROW(),$V$5:$V$1000,"Sub"),$AA164)))</f>
        <v/>
      </c>
      <c r="AF164" s="62">
        <f>IF($V164="","",IF(AND(ISNUMBER($G164),$G164&lt;=IF($S164=MesCiclo,InicioCiclo,$S164+MOD(2-WEEKDAY($S164),7))+27),1,IF(N($W164)&gt;0,AVERAGEIFS($AB$5:$AB$1000,$U$5:$U$1000,ROW(),$V$5:$V$1000,"Sub"),$AB164)))</f>
        <v/>
      </c>
      <c r="AG164" s="62">
        <f>IF($V164&lt;&gt;"Macro","",IF(COUNTIFS($S$5:$S$1000,$S164,$V$5:$V$1000,"Macro",$H$5:$H$1000,"&gt;0")=0,1/COUNTIFS($S$5:$S$1000,$S164,$V$5:$V$1000,"Macro"),IF(AND(ISNUMBER($H164),N($H164)&gt;0),$H164,SUMIFS($H$5:$H$1000,$S$5:$S$1000,$S164,$V$5:$V$1000,"Macro")/COUNTIFS($S$5:$S$1000,$S164,$V$5:$V$1000,"Macro",$H$5:$H$1000,"&gt;0"))/(COUNTIFS($S$5:$S$1000,$S164,$V$5:$V$1000,"Macro")*SUMIFS($H$5:$H$1000,$S$5:$S$1000,$S164,$V$5:$V$1000,"Macro")/COUNTIFS($S$5:$S$1000,$S164,$V$5:$V$1000,"Macro",$H$5:$H$1000,"&gt;0"))))</f>
        <v/>
      </c>
      <c r="AH164" s="62">
        <f>IF(NOT(AND($D164&lt;&gt;"",$V164="Macro")),"",IFERROR(CHOOSE(MATCH($D164,ListaPuestos,0),MATCH("[Jefatura] "&amp;$C164,'Cronograma R. Operacional'!$C$5:$C$1000,0),MATCH("[Jefatura] "&amp;$C164,'Cronograma R. Normativo'!$C$5:$C$1000,0),MATCH("[Jefatura] "&amp;$C164,'Cronograma R. Financiero'!$C$5:$C$1000,0),MATCH("[Jefatura] "&amp;$C164,'Cronograma Asistente Técnico'!$C$5:$C$1000,0)),0))</f>
        <v/>
      </c>
      <c r="AI164" s="62">
        <f>IF(AND(AND($D164&lt;&gt;"",$V164="Macro"),$S164=MesCiclo),COUNTIFS($D$5:$D164,$D164,$S$5:$S164,MesCiclo,$V$5:$V164,"Macro"),"")</f>
        <v/>
      </c>
      <c r="AJ164" s="62">
        <f>IF($AI164="","",$D164&amp;"|"&amp;$AI164)</f>
        <v/>
      </c>
      <c r="AK164" s="62">
        <f>IF(AND($D164&lt;&gt;"",$V164="Macro"),$D164&amp;"|"&amp;$C164,"")</f>
        <v/>
      </c>
      <c r="AL164" s="62">
        <f>""</f>
        <v/>
      </c>
      <c r="AM164" s="62">
        <f>IF(N($AL164)&gt;0,INDEX(rIni_ADM,$AL164),IF(ISNUMBER($E164),$E164,""))</f>
        <v/>
      </c>
      <c r="AN164" s="62">
        <f>IF(N($AL164)&gt;0,INDEX(rLim_ADM,$AL164),IF(ISNUMBER($F164),$F164,""))</f>
        <v/>
      </c>
    </row>
    <row r="165">
      <c r="A165" s="56">
        <f>IF(NOT((COUNTA($B165:$D165)+COUNTA($G165:$L165)+COUNTA($Q165))&gt;0),"",IF($V165="Macro",COUNTIFS($V$5:$V165,"Macro",$S$5:$S165,$S165),IF(N($U165)=0,"?",COUNTIFS(INDEX($V$5:$V$1000,1):INDEX($V$5:$V$1000,$U165-4),"Macro",INDEX($S$5:$S$1000,1):INDEX($S$5:$S$1000,$U165-4),INDEX($S$5:$S$1000,$U165-4))&amp;"."&amp;COUNTIFS($U$5:$U165,$U165,$V$5:$V165,"Sub"))))</f>
        <v/>
      </c>
      <c r="B165" s="57" t="n"/>
      <c r="C165" s="58" t="n"/>
      <c r="D165" s="58" t="n"/>
      <c r="E165" s="59" t="n"/>
      <c r="F165" s="59" t="n"/>
      <c r="G165" s="59" t="n"/>
      <c r="H165" s="60" t="n"/>
      <c r="I165" s="60" t="n"/>
      <c r="J165" s="60" t="n"/>
      <c r="K165" s="60" t="n"/>
      <c r="L165" s="60" t="n"/>
      <c r="M165" s="61">
        <f>IF(NOT((COUNTA($B165:$D165)+COUNTA($G165:$L165)+COUNTA($Q165))&gt;0),"",IF(AND($D165&lt;&gt;"",$V165="Macro"),IF(N($AH165)&gt;0,N(CHOOSE(MATCH($D165,ListaPuestos,0),INDEX('Cronograma R. Operacional'!$M$5:$M$1000,$AH165),INDEX('Cronograma R. Normativo'!$M$5:$M$1000,$AH165),INDEX('Cronograma R. Financiero'!$M$5:$M$1000,$AH165),INDEX('Cronograma Asistente Técnico'!$M$5:$M$1000,$AH165))),0),IF(ISNUMBER($G165),1,IF(N($W165)&gt;0,AVERAGEIFS($X$5:$X$1000,$U$5:$U$1000,ROW(),$V$5:$V$1000,"Sub"),$X165))))</f>
        <v/>
      </c>
      <c r="N165" s="56">
        <f>IF($M165="","",IF($M165&gt;=1,"Completado",IF($M165&gt;0,"En curso","Pendiente")))</f>
        <v/>
      </c>
      <c r="O165" s="56">
        <f>IF(NOT((COUNTA($B165:$D165)+COUNTA($G165:$L165)+COUNTA($Q165))&gt;0),"",IF(AND(AND($D165&lt;&gt;"",$V165="Macro"),N($AH165)&gt;0),CHOOSE(MATCH($D165,ListaPuestos,0),INDEX('Cronograma R. Operacional'!$O$5:$O$1000,$AH165),INDEX('Cronograma R. Normativo'!$O$5:$O$1000,$AH165),INDEX('Cronograma R. Financiero'!$O$5:$O$1000,$AH165),INDEX('Cronograma Asistente Técnico'!$O$5:$O$1000,$AH165))&amp;"",IF(ISNUMBER($G165),IF(AND(ISNUMBER($AN165),$G165&gt;$AN165),"Cumplida con "&amp;($G165-$AN165)&amp;IF($G165-$AN165=1," día"," días")&amp;" de retraso","Cumplida"),IF(N($M165)&gt;=1,"Cumplida",IF(NOT(ISNUMBER($AN165)),"Sin fecha límite",IF($AN165&lt;FechaRef,"Vencida hace "&amp;(FechaRef-$AN165)&amp;IF(FechaRef-$AN165=1," día"," días"),IF($AN165=FechaRef,"Vence hoy",IF($AN165-FechaRef&lt;=DiasAlerta,"Vence en "&amp;($AN165-FechaRef)&amp;IF($AN165-FechaRef=1," día"," días"),"En plazo"))))))))</f>
        <v/>
      </c>
      <c r="P165" s="62">
        <f>IF(NOT((COUNTA($B165:$D165)+COUNTA($G165:$L165)+COUNTA($Q165))&gt;0),"",IF($D165="","Propia",IF($V165&lt;&gt;"Macro","Solo se delegan macroactividades",IF(N($AH165)&gt;0,"✔ Recibida por "&amp;$D165,"⚠ "&amp;$D165&amp;" aún no la agrega"))))</f>
        <v/>
      </c>
      <c r="Q165" s="58" t="n"/>
      <c r="R165" s="63">
        <f>IF(NOT((COUNTA($B165:$D165)+COUNTA($G165:$L165)+COUNTA($Q165))&gt;0),"",IF((IF($C165="","Falta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",""))="","✔ OK","⚠ "&amp;LEFT(IF($C165="","Falta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",""),LEN(IF($C165="","Falta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",""))-3)))</f>
        <v/>
      </c>
      <c r="S165" s="64">
        <f>IF(NOT((COUNTA($B165:$D165)+COUNTA($G165:$L165)+COUNTA($Q165))&gt;0),"",IF(AND($V165="Sub",N($U165)&gt;0),IF(ISNUMBER(INDEX($AM$5:$AM$1000,$U165-4)),DATE(YEAR(INDEX($AM$5:$AM$1000,$U165-4)),MONTH(INDEX($AM$5:$AM$1000,$U165-4)),1),IF(ISNUMBER(INDEX($AN$5:$AN$1000,$U165-4)),DATE(YEAR(INDEX($AN$5:$AN$1000,$U165-4)),MONTH(INDEX($AN$5:$AN$1000,$U165-4)),1),MesCiclo)),IF(ISNUMBER($AM165),DATE(YEAR($AM165),MONTH($AM165),1),IF(ISNUMBER($AN165),DATE(YEAR($AN165),MONTH($AN165),1),MesCiclo))))</f>
        <v/>
      </c>
      <c r="T165" s="62">
        <f>IF(OR($S165="",$S165&lt;&gt;MesCiclo),"",COUNTIF($S$5:$S165,MesCiclo))</f>
        <v/>
      </c>
      <c r="U165" s="62">
        <f>IF($V165="","",IF($V165="Macro",ROW(),IFERROR(LOOKUP(2,1/($V$5:$V165="Macro"),ROW($V$5:$V165)),0)))</f>
        <v/>
      </c>
      <c r="V165" s="62">
        <f>IF(NOT((COUNTA($B165:$D165)+COUNTA($G165:$L165)+COUNTA($Q165))&gt;0),"",IF($B165="Subactividad","Sub","Macro"))</f>
        <v/>
      </c>
      <c r="W165" s="62">
        <f>IF($V165="Macro",COUNTIFS($U$5:$U$1000,ROW(),$V$5:$V$1000,"Sub"),"")</f>
        <v/>
      </c>
      <c r="X165" s="62">
        <f>IF($V165="","",IF(ISNUMBER($G165),1,IFERROR(LOOKUP(2,1/($I165:$L165&lt;&gt;""),$I165:$L165),0)))</f>
        <v/>
      </c>
      <c r="Y165" s="62">
        <f>IF($V165="","",IF(AND(ISNUMBER($G165),$G165&lt;=IF($S165=MesCiclo,InicioCiclo,$S165+MOD(2-WEEKDAY($S165),7))+6),1,IF(ISNUMBER($I165),$I165,0)))</f>
        <v/>
      </c>
      <c r="Z165" s="62">
        <f>IF($V165="","",IF(AND(ISNUMBER($G165),$G165&lt;=IF($S165=MesCiclo,InicioCiclo,$S165+MOD(2-WEEKDAY($S165),7))+13),1,IF(ISNUMBER($J165),$J165,$Y165)))</f>
        <v/>
      </c>
      <c r="AA165" s="62">
        <f>IF($V165="","",IF(AND(ISNUMBER($G165),$G165&lt;=IF($S165=MesCiclo,InicioCiclo,$S165+MOD(2-WEEKDAY($S165),7))+20),1,IF(ISNUMBER($K165),$K165,$Z165)))</f>
        <v/>
      </c>
      <c r="AB165" s="62">
        <f>IF($V165="","",IF(AND(ISNUMBER($G165),$G165&lt;=IF($S165=MesCiclo,InicioCiclo,$S165+MOD(2-WEEKDAY($S165),7))+27),1,IF(ISNUMBER($L165),$L165,$AA165)))</f>
        <v/>
      </c>
      <c r="AC165" s="62">
        <f>IF($V165="","",IF(AND(ISNUMBER($G165),$G165&lt;=IF($S165=MesCiclo,InicioCiclo,$S165+MOD(2-WEEKDAY($S165),7))+6),1,IF(N($W165)&gt;0,AVERAGEIFS($Y$5:$Y$1000,$U$5:$U$1000,ROW(),$V$5:$V$1000,"Sub"),$Y165)))</f>
        <v/>
      </c>
      <c r="AD165" s="62">
        <f>IF($V165="","",IF(AND(ISNUMBER($G165),$G165&lt;=IF($S165=MesCiclo,InicioCiclo,$S165+MOD(2-WEEKDAY($S165),7))+13),1,IF(N($W165)&gt;0,AVERAGEIFS($Z$5:$Z$1000,$U$5:$U$1000,ROW(),$V$5:$V$1000,"Sub"),$Z165)))</f>
        <v/>
      </c>
      <c r="AE165" s="62">
        <f>IF($V165="","",IF(AND(ISNUMBER($G165),$G165&lt;=IF($S165=MesCiclo,InicioCiclo,$S165+MOD(2-WEEKDAY($S165),7))+20),1,IF(N($W165)&gt;0,AVERAGEIFS($AA$5:$AA$1000,$U$5:$U$1000,ROW(),$V$5:$V$1000,"Sub"),$AA165)))</f>
        <v/>
      </c>
      <c r="AF165" s="62">
        <f>IF($V165="","",IF(AND(ISNUMBER($G165),$G165&lt;=IF($S165=MesCiclo,InicioCiclo,$S165+MOD(2-WEEKDAY($S165),7))+27),1,IF(N($W165)&gt;0,AVERAGEIFS($AB$5:$AB$1000,$U$5:$U$1000,ROW(),$V$5:$V$1000,"Sub"),$AB165)))</f>
        <v/>
      </c>
      <c r="AG165" s="62">
        <f>IF($V165&lt;&gt;"Macro","",IF(COUNTIFS($S$5:$S$1000,$S165,$V$5:$V$1000,"Macro",$H$5:$H$1000,"&gt;0")=0,1/COUNTIFS($S$5:$S$1000,$S165,$V$5:$V$1000,"Macro"),IF(AND(ISNUMBER($H165),N($H165)&gt;0),$H165,SUMIFS($H$5:$H$1000,$S$5:$S$1000,$S165,$V$5:$V$1000,"Macro")/COUNTIFS($S$5:$S$1000,$S165,$V$5:$V$1000,"Macro",$H$5:$H$1000,"&gt;0"))/(COUNTIFS($S$5:$S$1000,$S165,$V$5:$V$1000,"Macro")*SUMIFS($H$5:$H$1000,$S$5:$S$1000,$S165,$V$5:$V$1000,"Macro")/COUNTIFS($S$5:$S$1000,$S165,$V$5:$V$1000,"Macro",$H$5:$H$1000,"&gt;0"))))</f>
        <v/>
      </c>
      <c r="AH165" s="62">
        <f>IF(NOT(AND($D165&lt;&gt;"",$V165="Macro")),"",IFERROR(CHOOSE(MATCH($D165,ListaPuestos,0),MATCH("[Jefatura] "&amp;$C165,'Cronograma R. Operacional'!$C$5:$C$1000,0),MATCH("[Jefatura] "&amp;$C165,'Cronograma R. Normativo'!$C$5:$C$1000,0),MATCH("[Jefatura] "&amp;$C165,'Cronograma R. Financiero'!$C$5:$C$1000,0),MATCH("[Jefatura] "&amp;$C165,'Cronograma Asistente Técnico'!$C$5:$C$1000,0)),0))</f>
        <v/>
      </c>
      <c r="AI165" s="62">
        <f>IF(AND(AND($D165&lt;&gt;"",$V165="Macro"),$S165=MesCiclo),COUNTIFS($D$5:$D165,$D165,$S$5:$S165,MesCiclo,$V$5:$V165,"Macro"),"")</f>
        <v/>
      </c>
      <c r="AJ165" s="62">
        <f>IF($AI165="","",$D165&amp;"|"&amp;$AI165)</f>
        <v/>
      </c>
      <c r="AK165" s="62">
        <f>IF(AND($D165&lt;&gt;"",$V165="Macro"),$D165&amp;"|"&amp;$C165,"")</f>
        <v/>
      </c>
      <c r="AL165" s="62">
        <f>""</f>
        <v/>
      </c>
      <c r="AM165" s="62">
        <f>IF(N($AL165)&gt;0,INDEX(rIni_ADM,$AL165),IF(ISNUMBER($E165),$E165,""))</f>
        <v/>
      </c>
      <c r="AN165" s="62">
        <f>IF(N($AL165)&gt;0,INDEX(rLim_ADM,$AL165),IF(ISNUMBER($F165),$F165,""))</f>
        <v/>
      </c>
    </row>
    <row r="166">
      <c r="A166" s="56">
        <f>IF(NOT((COUNTA($B166:$D166)+COUNTA($G166:$L166)+COUNTA($Q166))&gt;0),"",IF($V166="Macro",COUNTIFS($V$5:$V166,"Macro",$S$5:$S166,$S166),IF(N($U166)=0,"?",COUNTIFS(INDEX($V$5:$V$1000,1):INDEX($V$5:$V$1000,$U166-4),"Macro",INDEX($S$5:$S$1000,1):INDEX($S$5:$S$1000,$U166-4),INDEX($S$5:$S$1000,$U166-4))&amp;"."&amp;COUNTIFS($U$5:$U166,$U166,$V$5:$V166,"Sub"))))</f>
        <v/>
      </c>
      <c r="B166" s="57" t="n"/>
      <c r="C166" s="58" t="n"/>
      <c r="D166" s="58" t="n"/>
      <c r="E166" s="59" t="n"/>
      <c r="F166" s="59" t="n"/>
      <c r="G166" s="59" t="n"/>
      <c r="H166" s="60" t="n"/>
      <c r="I166" s="60" t="n"/>
      <c r="J166" s="60" t="n"/>
      <c r="K166" s="60" t="n"/>
      <c r="L166" s="60" t="n"/>
      <c r="M166" s="61">
        <f>IF(NOT((COUNTA($B166:$D166)+COUNTA($G166:$L166)+COUNTA($Q166))&gt;0),"",IF(AND($D166&lt;&gt;"",$V166="Macro"),IF(N($AH166)&gt;0,N(CHOOSE(MATCH($D166,ListaPuestos,0),INDEX('Cronograma R. Operacional'!$M$5:$M$1000,$AH166),INDEX('Cronograma R. Normativo'!$M$5:$M$1000,$AH166),INDEX('Cronograma R. Financiero'!$M$5:$M$1000,$AH166),INDEX('Cronograma Asistente Técnico'!$M$5:$M$1000,$AH166))),0),IF(ISNUMBER($G166),1,IF(N($W166)&gt;0,AVERAGEIFS($X$5:$X$1000,$U$5:$U$1000,ROW(),$V$5:$V$1000,"Sub"),$X166))))</f>
        <v/>
      </c>
      <c r="N166" s="56">
        <f>IF($M166="","",IF($M166&gt;=1,"Completado",IF($M166&gt;0,"En curso","Pendiente")))</f>
        <v/>
      </c>
      <c r="O166" s="56">
        <f>IF(NOT((COUNTA($B166:$D166)+COUNTA($G166:$L166)+COUNTA($Q166))&gt;0),"",IF(AND(AND($D166&lt;&gt;"",$V166="Macro"),N($AH166)&gt;0),CHOOSE(MATCH($D166,ListaPuestos,0),INDEX('Cronograma R. Operacional'!$O$5:$O$1000,$AH166),INDEX('Cronograma R. Normativo'!$O$5:$O$1000,$AH166),INDEX('Cronograma R. Financiero'!$O$5:$O$1000,$AH166),INDEX('Cronograma Asistente Técnico'!$O$5:$O$1000,$AH166))&amp;"",IF(ISNUMBER($G166),IF(AND(ISNUMBER($AN166),$G166&gt;$AN166),"Cumplida con "&amp;($G166-$AN166)&amp;IF($G166-$AN166=1," día"," días")&amp;" de retraso","Cumplida"),IF(N($M166)&gt;=1,"Cumplida",IF(NOT(ISNUMBER($AN166)),"Sin fecha límite",IF($AN166&lt;FechaRef,"Vencida hace "&amp;(FechaRef-$AN166)&amp;IF(FechaRef-$AN166=1," día"," días"),IF($AN166=FechaRef,"Vence hoy",IF($AN166-FechaRef&lt;=DiasAlerta,"Vence en "&amp;($AN166-FechaRef)&amp;IF($AN166-FechaRef=1," día"," días"),"En plazo"))))))))</f>
        <v/>
      </c>
      <c r="P166" s="62">
        <f>IF(NOT((COUNTA($B166:$D166)+COUNTA($G166:$L166)+COUNTA($Q166))&gt;0),"",IF($D166="","Propia",IF($V166&lt;&gt;"Macro","Solo se delegan macroactividades",IF(N($AH166)&gt;0,"✔ Recibida por "&amp;$D166,"⚠ "&amp;$D166&amp;" aún no la agrega"))))</f>
        <v/>
      </c>
      <c r="Q166" s="58" t="n"/>
      <c r="R166" s="63">
        <f>IF(NOT((COUNTA($B166:$D166)+COUNTA($G166:$L166)+COUNTA($Q166))&gt;0),"",IF((IF($C166="","Falta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",""))="","✔ OK","⚠ "&amp;LEFT(IF($C166="","Falta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",""),LEN(IF($C166="","Falta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",""))-3)))</f>
        <v/>
      </c>
      <c r="S166" s="64">
        <f>IF(NOT((COUNTA($B166:$D166)+COUNTA($G166:$L166)+COUNTA($Q166))&gt;0),"",IF(AND($V166="Sub",N($U166)&gt;0),IF(ISNUMBER(INDEX($AM$5:$AM$1000,$U166-4)),DATE(YEAR(INDEX($AM$5:$AM$1000,$U166-4)),MONTH(INDEX($AM$5:$AM$1000,$U166-4)),1),IF(ISNUMBER(INDEX($AN$5:$AN$1000,$U166-4)),DATE(YEAR(INDEX($AN$5:$AN$1000,$U166-4)),MONTH(INDEX($AN$5:$AN$1000,$U166-4)),1),MesCiclo)),IF(ISNUMBER($AM166),DATE(YEAR($AM166),MONTH($AM166),1),IF(ISNUMBER($AN166),DATE(YEAR($AN166),MONTH($AN166),1),MesCiclo))))</f>
        <v/>
      </c>
      <c r="T166" s="62">
        <f>IF(OR($S166="",$S166&lt;&gt;MesCiclo),"",COUNTIF($S$5:$S166,MesCiclo))</f>
        <v/>
      </c>
      <c r="U166" s="62">
        <f>IF($V166="","",IF($V166="Macro",ROW(),IFERROR(LOOKUP(2,1/($V$5:$V166="Macro"),ROW($V$5:$V166)),0)))</f>
        <v/>
      </c>
      <c r="V166" s="62">
        <f>IF(NOT((COUNTA($B166:$D166)+COUNTA($G166:$L166)+COUNTA($Q166))&gt;0),"",IF($B166="Subactividad","Sub","Macro"))</f>
        <v/>
      </c>
      <c r="W166" s="62">
        <f>IF($V166="Macro",COUNTIFS($U$5:$U$1000,ROW(),$V$5:$V$1000,"Sub"),"")</f>
        <v/>
      </c>
      <c r="X166" s="62">
        <f>IF($V166="","",IF(ISNUMBER($G166),1,IFERROR(LOOKUP(2,1/($I166:$L166&lt;&gt;""),$I166:$L166),0)))</f>
        <v/>
      </c>
      <c r="Y166" s="62">
        <f>IF($V166="","",IF(AND(ISNUMBER($G166),$G166&lt;=IF($S166=MesCiclo,InicioCiclo,$S166+MOD(2-WEEKDAY($S166),7))+6),1,IF(ISNUMBER($I166),$I166,0)))</f>
        <v/>
      </c>
      <c r="Z166" s="62">
        <f>IF($V166="","",IF(AND(ISNUMBER($G166),$G166&lt;=IF($S166=MesCiclo,InicioCiclo,$S166+MOD(2-WEEKDAY($S166),7))+13),1,IF(ISNUMBER($J166),$J166,$Y166)))</f>
        <v/>
      </c>
      <c r="AA166" s="62">
        <f>IF($V166="","",IF(AND(ISNUMBER($G166),$G166&lt;=IF($S166=MesCiclo,InicioCiclo,$S166+MOD(2-WEEKDAY($S166),7))+20),1,IF(ISNUMBER($K166),$K166,$Z166)))</f>
        <v/>
      </c>
      <c r="AB166" s="62">
        <f>IF($V166="","",IF(AND(ISNUMBER($G166),$G166&lt;=IF($S166=MesCiclo,InicioCiclo,$S166+MOD(2-WEEKDAY($S166),7))+27),1,IF(ISNUMBER($L166),$L166,$AA166)))</f>
        <v/>
      </c>
      <c r="AC166" s="62">
        <f>IF($V166="","",IF(AND(ISNUMBER($G166),$G166&lt;=IF($S166=MesCiclo,InicioCiclo,$S166+MOD(2-WEEKDAY($S166),7))+6),1,IF(N($W166)&gt;0,AVERAGEIFS($Y$5:$Y$1000,$U$5:$U$1000,ROW(),$V$5:$V$1000,"Sub"),$Y166)))</f>
        <v/>
      </c>
      <c r="AD166" s="62">
        <f>IF($V166="","",IF(AND(ISNUMBER($G166),$G166&lt;=IF($S166=MesCiclo,InicioCiclo,$S166+MOD(2-WEEKDAY($S166),7))+13),1,IF(N($W166)&gt;0,AVERAGEIFS($Z$5:$Z$1000,$U$5:$U$1000,ROW(),$V$5:$V$1000,"Sub"),$Z166)))</f>
        <v/>
      </c>
      <c r="AE166" s="62">
        <f>IF($V166="","",IF(AND(ISNUMBER($G166),$G166&lt;=IF($S166=MesCiclo,InicioCiclo,$S166+MOD(2-WEEKDAY($S166),7))+20),1,IF(N($W166)&gt;0,AVERAGEIFS($AA$5:$AA$1000,$U$5:$U$1000,ROW(),$V$5:$V$1000,"Sub"),$AA166)))</f>
        <v/>
      </c>
      <c r="AF166" s="62">
        <f>IF($V166="","",IF(AND(ISNUMBER($G166),$G166&lt;=IF($S166=MesCiclo,InicioCiclo,$S166+MOD(2-WEEKDAY($S166),7))+27),1,IF(N($W166)&gt;0,AVERAGEIFS($AB$5:$AB$1000,$U$5:$U$1000,ROW(),$V$5:$V$1000,"Sub"),$AB166)))</f>
        <v/>
      </c>
      <c r="AG166" s="62">
        <f>IF($V166&lt;&gt;"Macro","",IF(COUNTIFS($S$5:$S$1000,$S166,$V$5:$V$1000,"Macro",$H$5:$H$1000,"&gt;0")=0,1/COUNTIFS($S$5:$S$1000,$S166,$V$5:$V$1000,"Macro"),IF(AND(ISNUMBER($H166),N($H166)&gt;0),$H166,SUMIFS($H$5:$H$1000,$S$5:$S$1000,$S166,$V$5:$V$1000,"Macro")/COUNTIFS($S$5:$S$1000,$S166,$V$5:$V$1000,"Macro",$H$5:$H$1000,"&gt;0"))/(COUNTIFS($S$5:$S$1000,$S166,$V$5:$V$1000,"Macro")*SUMIFS($H$5:$H$1000,$S$5:$S$1000,$S166,$V$5:$V$1000,"Macro")/COUNTIFS($S$5:$S$1000,$S166,$V$5:$V$1000,"Macro",$H$5:$H$1000,"&gt;0"))))</f>
        <v/>
      </c>
      <c r="AH166" s="62">
        <f>IF(NOT(AND($D166&lt;&gt;"",$V166="Macro")),"",IFERROR(CHOOSE(MATCH($D166,ListaPuestos,0),MATCH("[Jefatura] "&amp;$C166,'Cronograma R. Operacional'!$C$5:$C$1000,0),MATCH("[Jefatura] "&amp;$C166,'Cronograma R. Normativo'!$C$5:$C$1000,0),MATCH("[Jefatura] "&amp;$C166,'Cronograma R. Financiero'!$C$5:$C$1000,0),MATCH("[Jefatura] "&amp;$C166,'Cronograma Asistente Técnico'!$C$5:$C$1000,0)),0))</f>
        <v/>
      </c>
      <c r="AI166" s="62">
        <f>IF(AND(AND($D166&lt;&gt;"",$V166="Macro"),$S166=MesCiclo),COUNTIFS($D$5:$D166,$D166,$S$5:$S166,MesCiclo,$V$5:$V166,"Macro"),"")</f>
        <v/>
      </c>
      <c r="AJ166" s="62">
        <f>IF($AI166="","",$D166&amp;"|"&amp;$AI166)</f>
        <v/>
      </c>
      <c r="AK166" s="62">
        <f>IF(AND($D166&lt;&gt;"",$V166="Macro"),$D166&amp;"|"&amp;$C166,"")</f>
        <v/>
      </c>
      <c r="AL166" s="62">
        <f>""</f>
        <v/>
      </c>
      <c r="AM166" s="62">
        <f>IF(N($AL166)&gt;0,INDEX(rIni_ADM,$AL166),IF(ISNUMBER($E166),$E166,""))</f>
        <v/>
      </c>
      <c r="AN166" s="62">
        <f>IF(N($AL166)&gt;0,INDEX(rLim_ADM,$AL166),IF(ISNUMBER($F166),$F166,""))</f>
        <v/>
      </c>
    </row>
    <row r="167">
      <c r="A167" s="56">
        <f>IF(NOT((COUNTA($B167:$D167)+COUNTA($G167:$L167)+COUNTA($Q167))&gt;0),"",IF($V167="Macro",COUNTIFS($V$5:$V167,"Macro",$S$5:$S167,$S167),IF(N($U167)=0,"?",COUNTIFS(INDEX($V$5:$V$1000,1):INDEX($V$5:$V$1000,$U167-4),"Macro",INDEX($S$5:$S$1000,1):INDEX($S$5:$S$1000,$U167-4),INDEX($S$5:$S$1000,$U167-4))&amp;"."&amp;COUNTIFS($U$5:$U167,$U167,$V$5:$V167,"Sub"))))</f>
        <v/>
      </c>
      <c r="B167" s="57" t="n"/>
      <c r="C167" s="58" t="n"/>
      <c r="D167" s="58" t="n"/>
      <c r="E167" s="59" t="n"/>
      <c r="F167" s="59" t="n"/>
      <c r="G167" s="59" t="n"/>
      <c r="H167" s="60" t="n"/>
      <c r="I167" s="60" t="n"/>
      <c r="J167" s="60" t="n"/>
      <c r="K167" s="60" t="n"/>
      <c r="L167" s="60" t="n"/>
      <c r="M167" s="61">
        <f>IF(NOT((COUNTA($B167:$D167)+COUNTA($G167:$L167)+COUNTA($Q167))&gt;0),"",IF(AND($D167&lt;&gt;"",$V167="Macro"),IF(N($AH167)&gt;0,N(CHOOSE(MATCH($D167,ListaPuestos,0),INDEX('Cronograma R. Operacional'!$M$5:$M$1000,$AH167),INDEX('Cronograma R. Normativo'!$M$5:$M$1000,$AH167),INDEX('Cronograma R. Financiero'!$M$5:$M$1000,$AH167),INDEX('Cronograma Asistente Técnico'!$M$5:$M$1000,$AH167))),0),IF(ISNUMBER($G167),1,IF(N($W167)&gt;0,AVERAGEIFS($X$5:$X$1000,$U$5:$U$1000,ROW(),$V$5:$V$1000,"Sub"),$X167))))</f>
        <v/>
      </c>
      <c r="N167" s="56">
        <f>IF($M167="","",IF($M167&gt;=1,"Completado",IF($M167&gt;0,"En curso","Pendiente")))</f>
        <v/>
      </c>
      <c r="O167" s="56">
        <f>IF(NOT((COUNTA($B167:$D167)+COUNTA($G167:$L167)+COUNTA($Q167))&gt;0),"",IF(AND(AND($D167&lt;&gt;"",$V167="Macro"),N($AH167)&gt;0),CHOOSE(MATCH($D167,ListaPuestos,0),INDEX('Cronograma R. Operacional'!$O$5:$O$1000,$AH167),INDEX('Cronograma R. Normativo'!$O$5:$O$1000,$AH167),INDEX('Cronograma R. Financiero'!$O$5:$O$1000,$AH167),INDEX('Cronograma Asistente Técnico'!$O$5:$O$1000,$AH167))&amp;"",IF(ISNUMBER($G167),IF(AND(ISNUMBER($AN167),$G167&gt;$AN167),"Cumplida con "&amp;($G167-$AN167)&amp;IF($G167-$AN167=1," día"," días")&amp;" de retraso","Cumplida"),IF(N($M167)&gt;=1,"Cumplida",IF(NOT(ISNUMBER($AN167)),"Sin fecha límite",IF($AN167&lt;FechaRef,"Vencida hace "&amp;(FechaRef-$AN167)&amp;IF(FechaRef-$AN167=1," día"," días"),IF($AN167=FechaRef,"Vence hoy",IF($AN167-FechaRef&lt;=DiasAlerta,"Vence en "&amp;($AN167-FechaRef)&amp;IF($AN167-FechaRef=1," día"," días"),"En plazo"))))))))</f>
        <v/>
      </c>
      <c r="P167" s="62">
        <f>IF(NOT((COUNTA($B167:$D167)+COUNTA($G167:$L167)+COUNTA($Q167))&gt;0),"",IF($D167="","Propia",IF($V167&lt;&gt;"Macro","Solo se delegan macroactividades",IF(N($AH167)&gt;0,"✔ Recibida por "&amp;$D167,"⚠ "&amp;$D167&amp;" aún no la agrega"))))</f>
        <v/>
      </c>
      <c r="Q167" s="58" t="n"/>
      <c r="R167" s="63">
        <f>IF(NOT((COUNTA($B167:$D167)+COUNTA($G167:$L167)+COUNTA($Q167))&gt;0),"",IF((IF($C167="","Falta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",""))="","✔ OK","⚠ "&amp;LEFT(IF($C167="","Falta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",""),LEN(IF($C167="","Falta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",""))-3)))</f>
        <v/>
      </c>
      <c r="S167" s="64">
        <f>IF(NOT((COUNTA($B167:$D167)+COUNTA($G167:$L167)+COUNTA($Q167))&gt;0),"",IF(AND($V167="Sub",N($U167)&gt;0),IF(ISNUMBER(INDEX($AM$5:$AM$1000,$U167-4)),DATE(YEAR(INDEX($AM$5:$AM$1000,$U167-4)),MONTH(INDEX($AM$5:$AM$1000,$U167-4)),1),IF(ISNUMBER(INDEX($AN$5:$AN$1000,$U167-4)),DATE(YEAR(INDEX($AN$5:$AN$1000,$U167-4)),MONTH(INDEX($AN$5:$AN$1000,$U167-4)),1),MesCiclo)),IF(ISNUMBER($AM167),DATE(YEAR($AM167),MONTH($AM167),1),IF(ISNUMBER($AN167),DATE(YEAR($AN167),MONTH($AN167),1),MesCiclo))))</f>
        <v/>
      </c>
      <c r="T167" s="62">
        <f>IF(OR($S167="",$S167&lt;&gt;MesCiclo),"",COUNTIF($S$5:$S167,MesCiclo))</f>
        <v/>
      </c>
      <c r="U167" s="62">
        <f>IF($V167="","",IF($V167="Macro",ROW(),IFERROR(LOOKUP(2,1/($V$5:$V167="Macro"),ROW($V$5:$V167)),0)))</f>
        <v/>
      </c>
      <c r="V167" s="62">
        <f>IF(NOT((COUNTA($B167:$D167)+COUNTA($G167:$L167)+COUNTA($Q167))&gt;0),"",IF($B167="Subactividad","Sub","Macro"))</f>
        <v/>
      </c>
      <c r="W167" s="62">
        <f>IF($V167="Macro",COUNTIFS($U$5:$U$1000,ROW(),$V$5:$V$1000,"Sub"),"")</f>
        <v/>
      </c>
      <c r="X167" s="62">
        <f>IF($V167="","",IF(ISNUMBER($G167),1,IFERROR(LOOKUP(2,1/($I167:$L167&lt;&gt;""),$I167:$L167),0)))</f>
        <v/>
      </c>
      <c r="Y167" s="62">
        <f>IF($V167="","",IF(AND(ISNUMBER($G167),$G167&lt;=IF($S167=MesCiclo,InicioCiclo,$S167+MOD(2-WEEKDAY($S167),7))+6),1,IF(ISNUMBER($I167),$I167,0)))</f>
        <v/>
      </c>
      <c r="Z167" s="62">
        <f>IF($V167="","",IF(AND(ISNUMBER($G167),$G167&lt;=IF($S167=MesCiclo,InicioCiclo,$S167+MOD(2-WEEKDAY($S167),7))+13),1,IF(ISNUMBER($J167),$J167,$Y167)))</f>
        <v/>
      </c>
      <c r="AA167" s="62">
        <f>IF($V167="","",IF(AND(ISNUMBER($G167),$G167&lt;=IF($S167=MesCiclo,InicioCiclo,$S167+MOD(2-WEEKDAY($S167),7))+20),1,IF(ISNUMBER($K167),$K167,$Z167)))</f>
        <v/>
      </c>
      <c r="AB167" s="62">
        <f>IF($V167="","",IF(AND(ISNUMBER($G167),$G167&lt;=IF($S167=MesCiclo,InicioCiclo,$S167+MOD(2-WEEKDAY($S167),7))+27),1,IF(ISNUMBER($L167),$L167,$AA167)))</f>
        <v/>
      </c>
      <c r="AC167" s="62">
        <f>IF($V167="","",IF(AND(ISNUMBER($G167),$G167&lt;=IF($S167=MesCiclo,InicioCiclo,$S167+MOD(2-WEEKDAY($S167),7))+6),1,IF(N($W167)&gt;0,AVERAGEIFS($Y$5:$Y$1000,$U$5:$U$1000,ROW(),$V$5:$V$1000,"Sub"),$Y167)))</f>
        <v/>
      </c>
      <c r="AD167" s="62">
        <f>IF($V167="","",IF(AND(ISNUMBER($G167),$G167&lt;=IF($S167=MesCiclo,InicioCiclo,$S167+MOD(2-WEEKDAY($S167),7))+13),1,IF(N($W167)&gt;0,AVERAGEIFS($Z$5:$Z$1000,$U$5:$U$1000,ROW(),$V$5:$V$1000,"Sub"),$Z167)))</f>
        <v/>
      </c>
      <c r="AE167" s="62">
        <f>IF($V167="","",IF(AND(ISNUMBER($G167),$G167&lt;=IF($S167=MesCiclo,InicioCiclo,$S167+MOD(2-WEEKDAY($S167),7))+20),1,IF(N($W167)&gt;0,AVERAGEIFS($AA$5:$AA$1000,$U$5:$U$1000,ROW(),$V$5:$V$1000,"Sub"),$AA167)))</f>
        <v/>
      </c>
      <c r="AF167" s="62">
        <f>IF($V167="","",IF(AND(ISNUMBER($G167),$G167&lt;=IF($S167=MesCiclo,InicioCiclo,$S167+MOD(2-WEEKDAY($S167),7))+27),1,IF(N($W167)&gt;0,AVERAGEIFS($AB$5:$AB$1000,$U$5:$U$1000,ROW(),$V$5:$V$1000,"Sub"),$AB167)))</f>
        <v/>
      </c>
      <c r="AG167" s="62">
        <f>IF($V167&lt;&gt;"Macro","",IF(COUNTIFS($S$5:$S$1000,$S167,$V$5:$V$1000,"Macro",$H$5:$H$1000,"&gt;0")=0,1/COUNTIFS($S$5:$S$1000,$S167,$V$5:$V$1000,"Macro"),IF(AND(ISNUMBER($H167),N($H167)&gt;0),$H167,SUMIFS($H$5:$H$1000,$S$5:$S$1000,$S167,$V$5:$V$1000,"Macro")/COUNTIFS($S$5:$S$1000,$S167,$V$5:$V$1000,"Macro",$H$5:$H$1000,"&gt;0"))/(COUNTIFS($S$5:$S$1000,$S167,$V$5:$V$1000,"Macro")*SUMIFS($H$5:$H$1000,$S$5:$S$1000,$S167,$V$5:$V$1000,"Macro")/COUNTIFS($S$5:$S$1000,$S167,$V$5:$V$1000,"Macro",$H$5:$H$1000,"&gt;0"))))</f>
        <v/>
      </c>
      <c r="AH167" s="62">
        <f>IF(NOT(AND($D167&lt;&gt;"",$V167="Macro")),"",IFERROR(CHOOSE(MATCH($D167,ListaPuestos,0),MATCH("[Jefatura] "&amp;$C167,'Cronograma R. Operacional'!$C$5:$C$1000,0),MATCH("[Jefatura] "&amp;$C167,'Cronograma R. Normativo'!$C$5:$C$1000,0),MATCH("[Jefatura] "&amp;$C167,'Cronograma R. Financiero'!$C$5:$C$1000,0),MATCH("[Jefatura] "&amp;$C167,'Cronograma Asistente Técnico'!$C$5:$C$1000,0)),0))</f>
        <v/>
      </c>
      <c r="AI167" s="62">
        <f>IF(AND(AND($D167&lt;&gt;"",$V167="Macro"),$S167=MesCiclo),COUNTIFS($D$5:$D167,$D167,$S$5:$S167,MesCiclo,$V$5:$V167,"Macro"),"")</f>
        <v/>
      </c>
      <c r="AJ167" s="62">
        <f>IF($AI167="","",$D167&amp;"|"&amp;$AI167)</f>
        <v/>
      </c>
      <c r="AK167" s="62">
        <f>IF(AND($D167&lt;&gt;"",$V167="Macro"),$D167&amp;"|"&amp;$C167,"")</f>
        <v/>
      </c>
      <c r="AL167" s="62">
        <f>""</f>
        <v/>
      </c>
      <c r="AM167" s="62">
        <f>IF(N($AL167)&gt;0,INDEX(rIni_ADM,$AL167),IF(ISNUMBER($E167),$E167,""))</f>
        <v/>
      </c>
      <c r="AN167" s="62">
        <f>IF(N($AL167)&gt;0,INDEX(rLim_ADM,$AL167),IF(ISNUMBER($F167),$F167,""))</f>
        <v/>
      </c>
    </row>
    <row r="168">
      <c r="A168" s="56">
        <f>IF(NOT((COUNTA($B168:$D168)+COUNTA($G168:$L168)+COUNTA($Q168))&gt;0),"",IF($V168="Macro",COUNTIFS($V$5:$V168,"Macro",$S$5:$S168,$S168),IF(N($U168)=0,"?",COUNTIFS(INDEX($V$5:$V$1000,1):INDEX($V$5:$V$1000,$U168-4),"Macro",INDEX($S$5:$S$1000,1):INDEX($S$5:$S$1000,$U168-4),INDEX($S$5:$S$1000,$U168-4))&amp;"."&amp;COUNTIFS($U$5:$U168,$U168,$V$5:$V168,"Sub"))))</f>
        <v/>
      </c>
      <c r="B168" s="57" t="n"/>
      <c r="C168" s="58" t="n"/>
      <c r="D168" s="58" t="n"/>
      <c r="E168" s="59" t="n"/>
      <c r="F168" s="59" t="n"/>
      <c r="G168" s="59" t="n"/>
      <c r="H168" s="60" t="n"/>
      <c r="I168" s="60" t="n"/>
      <c r="J168" s="60" t="n"/>
      <c r="K168" s="60" t="n"/>
      <c r="L168" s="60" t="n"/>
      <c r="M168" s="61">
        <f>IF(NOT((COUNTA($B168:$D168)+COUNTA($G168:$L168)+COUNTA($Q168))&gt;0),"",IF(AND($D168&lt;&gt;"",$V168="Macro"),IF(N($AH168)&gt;0,N(CHOOSE(MATCH($D168,ListaPuestos,0),INDEX('Cronograma R. Operacional'!$M$5:$M$1000,$AH168),INDEX('Cronograma R. Normativo'!$M$5:$M$1000,$AH168),INDEX('Cronograma R. Financiero'!$M$5:$M$1000,$AH168),INDEX('Cronograma Asistente Técnico'!$M$5:$M$1000,$AH168))),0),IF(ISNUMBER($G168),1,IF(N($W168)&gt;0,AVERAGEIFS($X$5:$X$1000,$U$5:$U$1000,ROW(),$V$5:$V$1000,"Sub"),$X168))))</f>
        <v/>
      </c>
      <c r="N168" s="56">
        <f>IF($M168="","",IF($M168&gt;=1,"Completado",IF($M168&gt;0,"En curso","Pendiente")))</f>
        <v/>
      </c>
      <c r="O168" s="56">
        <f>IF(NOT((COUNTA($B168:$D168)+COUNTA($G168:$L168)+COUNTA($Q168))&gt;0),"",IF(AND(AND($D168&lt;&gt;"",$V168="Macro"),N($AH168)&gt;0),CHOOSE(MATCH($D168,ListaPuestos,0),INDEX('Cronograma R. Operacional'!$O$5:$O$1000,$AH168),INDEX('Cronograma R. Normativo'!$O$5:$O$1000,$AH168),INDEX('Cronograma R. Financiero'!$O$5:$O$1000,$AH168),INDEX('Cronograma Asistente Técnico'!$O$5:$O$1000,$AH168))&amp;"",IF(ISNUMBER($G168),IF(AND(ISNUMBER($AN168),$G168&gt;$AN168),"Cumplida con "&amp;($G168-$AN168)&amp;IF($G168-$AN168=1," día"," días")&amp;" de retraso","Cumplida"),IF(N($M168)&gt;=1,"Cumplida",IF(NOT(ISNUMBER($AN168)),"Sin fecha límite",IF($AN168&lt;FechaRef,"Vencida hace "&amp;(FechaRef-$AN168)&amp;IF(FechaRef-$AN168=1," día"," días"),IF($AN168=FechaRef,"Vence hoy",IF($AN168-FechaRef&lt;=DiasAlerta,"Vence en "&amp;($AN168-FechaRef)&amp;IF($AN168-FechaRef=1," día"," días"),"En plazo"))))))))</f>
        <v/>
      </c>
      <c r="P168" s="62">
        <f>IF(NOT((COUNTA($B168:$D168)+COUNTA($G168:$L168)+COUNTA($Q168))&gt;0),"",IF($D168="","Propia",IF($V168&lt;&gt;"Macro","Solo se delegan macroactividades",IF(N($AH168)&gt;0,"✔ Recibida por "&amp;$D168,"⚠ "&amp;$D168&amp;" aún no la agrega"))))</f>
        <v/>
      </c>
      <c r="Q168" s="58" t="n"/>
      <c r="R168" s="63">
        <f>IF(NOT((COUNTA($B168:$D168)+COUNTA($G168:$L168)+COUNTA($Q168))&gt;0),"",IF((IF($C168="","Falta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",""))="","✔ OK","⚠ "&amp;LEFT(IF($C168="","Falta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",""),LEN(IF($C168="","Falta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",""))-3)))</f>
        <v/>
      </c>
      <c r="S168" s="64">
        <f>IF(NOT((COUNTA($B168:$D168)+COUNTA($G168:$L168)+COUNTA($Q168))&gt;0),"",IF(AND($V168="Sub",N($U168)&gt;0),IF(ISNUMBER(INDEX($AM$5:$AM$1000,$U168-4)),DATE(YEAR(INDEX($AM$5:$AM$1000,$U168-4)),MONTH(INDEX($AM$5:$AM$1000,$U168-4)),1),IF(ISNUMBER(INDEX($AN$5:$AN$1000,$U168-4)),DATE(YEAR(INDEX($AN$5:$AN$1000,$U168-4)),MONTH(INDEX($AN$5:$AN$1000,$U168-4)),1),MesCiclo)),IF(ISNUMBER($AM168),DATE(YEAR($AM168),MONTH($AM168),1),IF(ISNUMBER($AN168),DATE(YEAR($AN168),MONTH($AN168),1),MesCiclo))))</f>
        <v/>
      </c>
      <c r="T168" s="62">
        <f>IF(OR($S168="",$S168&lt;&gt;MesCiclo),"",COUNTIF($S$5:$S168,MesCiclo))</f>
        <v/>
      </c>
      <c r="U168" s="62">
        <f>IF($V168="","",IF($V168="Macro",ROW(),IFERROR(LOOKUP(2,1/($V$5:$V168="Macro"),ROW($V$5:$V168)),0)))</f>
        <v/>
      </c>
      <c r="V168" s="62">
        <f>IF(NOT((COUNTA($B168:$D168)+COUNTA($G168:$L168)+COUNTA($Q168))&gt;0),"",IF($B168="Subactividad","Sub","Macro"))</f>
        <v/>
      </c>
      <c r="W168" s="62">
        <f>IF($V168="Macro",COUNTIFS($U$5:$U$1000,ROW(),$V$5:$V$1000,"Sub"),"")</f>
        <v/>
      </c>
      <c r="X168" s="62">
        <f>IF($V168="","",IF(ISNUMBER($G168),1,IFERROR(LOOKUP(2,1/($I168:$L168&lt;&gt;""),$I168:$L168),0)))</f>
        <v/>
      </c>
      <c r="Y168" s="62">
        <f>IF($V168="","",IF(AND(ISNUMBER($G168),$G168&lt;=IF($S168=MesCiclo,InicioCiclo,$S168+MOD(2-WEEKDAY($S168),7))+6),1,IF(ISNUMBER($I168),$I168,0)))</f>
        <v/>
      </c>
      <c r="Z168" s="62">
        <f>IF($V168="","",IF(AND(ISNUMBER($G168),$G168&lt;=IF($S168=MesCiclo,InicioCiclo,$S168+MOD(2-WEEKDAY($S168),7))+13),1,IF(ISNUMBER($J168),$J168,$Y168)))</f>
        <v/>
      </c>
      <c r="AA168" s="62">
        <f>IF($V168="","",IF(AND(ISNUMBER($G168),$G168&lt;=IF($S168=MesCiclo,InicioCiclo,$S168+MOD(2-WEEKDAY($S168),7))+20),1,IF(ISNUMBER($K168),$K168,$Z168)))</f>
        <v/>
      </c>
      <c r="AB168" s="62">
        <f>IF($V168="","",IF(AND(ISNUMBER($G168),$G168&lt;=IF($S168=MesCiclo,InicioCiclo,$S168+MOD(2-WEEKDAY($S168),7))+27),1,IF(ISNUMBER($L168),$L168,$AA168)))</f>
        <v/>
      </c>
      <c r="AC168" s="62">
        <f>IF($V168="","",IF(AND(ISNUMBER($G168),$G168&lt;=IF($S168=MesCiclo,InicioCiclo,$S168+MOD(2-WEEKDAY($S168),7))+6),1,IF(N($W168)&gt;0,AVERAGEIFS($Y$5:$Y$1000,$U$5:$U$1000,ROW(),$V$5:$V$1000,"Sub"),$Y168)))</f>
        <v/>
      </c>
      <c r="AD168" s="62">
        <f>IF($V168="","",IF(AND(ISNUMBER($G168),$G168&lt;=IF($S168=MesCiclo,InicioCiclo,$S168+MOD(2-WEEKDAY($S168),7))+13),1,IF(N($W168)&gt;0,AVERAGEIFS($Z$5:$Z$1000,$U$5:$U$1000,ROW(),$V$5:$V$1000,"Sub"),$Z168)))</f>
        <v/>
      </c>
      <c r="AE168" s="62">
        <f>IF($V168="","",IF(AND(ISNUMBER($G168),$G168&lt;=IF($S168=MesCiclo,InicioCiclo,$S168+MOD(2-WEEKDAY($S168),7))+20),1,IF(N($W168)&gt;0,AVERAGEIFS($AA$5:$AA$1000,$U$5:$U$1000,ROW(),$V$5:$V$1000,"Sub"),$AA168)))</f>
        <v/>
      </c>
      <c r="AF168" s="62">
        <f>IF($V168="","",IF(AND(ISNUMBER($G168),$G168&lt;=IF($S168=MesCiclo,InicioCiclo,$S168+MOD(2-WEEKDAY($S168),7))+27),1,IF(N($W168)&gt;0,AVERAGEIFS($AB$5:$AB$1000,$U$5:$U$1000,ROW(),$V$5:$V$1000,"Sub"),$AB168)))</f>
        <v/>
      </c>
      <c r="AG168" s="62">
        <f>IF($V168&lt;&gt;"Macro","",IF(COUNTIFS($S$5:$S$1000,$S168,$V$5:$V$1000,"Macro",$H$5:$H$1000,"&gt;0")=0,1/COUNTIFS($S$5:$S$1000,$S168,$V$5:$V$1000,"Macro"),IF(AND(ISNUMBER($H168),N($H168)&gt;0),$H168,SUMIFS($H$5:$H$1000,$S$5:$S$1000,$S168,$V$5:$V$1000,"Macro")/COUNTIFS($S$5:$S$1000,$S168,$V$5:$V$1000,"Macro",$H$5:$H$1000,"&gt;0"))/(COUNTIFS($S$5:$S$1000,$S168,$V$5:$V$1000,"Macro")*SUMIFS($H$5:$H$1000,$S$5:$S$1000,$S168,$V$5:$V$1000,"Macro")/COUNTIFS($S$5:$S$1000,$S168,$V$5:$V$1000,"Macro",$H$5:$H$1000,"&gt;0"))))</f>
        <v/>
      </c>
      <c r="AH168" s="62">
        <f>IF(NOT(AND($D168&lt;&gt;"",$V168="Macro")),"",IFERROR(CHOOSE(MATCH($D168,ListaPuestos,0),MATCH("[Jefatura] "&amp;$C168,'Cronograma R. Operacional'!$C$5:$C$1000,0),MATCH("[Jefatura] "&amp;$C168,'Cronograma R. Normativo'!$C$5:$C$1000,0),MATCH("[Jefatura] "&amp;$C168,'Cronograma R. Financiero'!$C$5:$C$1000,0),MATCH("[Jefatura] "&amp;$C168,'Cronograma Asistente Técnico'!$C$5:$C$1000,0)),0))</f>
        <v/>
      </c>
      <c r="AI168" s="62">
        <f>IF(AND(AND($D168&lt;&gt;"",$V168="Macro"),$S168=MesCiclo),COUNTIFS($D$5:$D168,$D168,$S$5:$S168,MesCiclo,$V$5:$V168,"Macro"),"")</f>
        <v/>
      </c>
      <c r="AJ168" s="62">
        <f>IF($AI168="","",$D168&amp;"|"&amp;$AI168)</f>
        <v/>
      </c>
      <c r="AK168" s="62">
        <f>IF(AND($D168&lt;&gt;"",$V168="Macro"),$D168&amp;"|"&amp;$C168,"")</f>
        <v/>
      </c>
      <c r="AL168" s="62">
        <f>""</f>
        <v/>
      </c>
      <c r="AM168" s="62">
        <f>IF(N($AL168)&gt;0,INDEX(rIni_ADM,$AL168),IF(ISNUMBER($E168),$E168,""))</f>
        <v/>
      </c>
      <c r="AN168" s="62">
        <f>IF(N($AL168)&gt;0,INDEX(rLim_ADM,$AL168),IF(ISNUMBER($F168),$F168,""))</f>
        <v/>
      </c>
    </row>
    <row r="169">
      <c r="A169" s="56">
        <f>IF(NOT((COUNTA($B169:$D169)+COUNTA($G169:$L169)+COUNTA($Q169))&gt;0),"",IF($V169="Macro",COUNTIFS($V$5:$V169,"Macro",$S$5:$S169,$S169),IF(N($U169)=0,"?",COUNTIFS(INDEX($V$5:$V$1000,1):INDEX($V$5:$V$1000,$U169-4),"Macro",INDEX($S$5:$S$1000,1):INDEX($S$5:$S$1000,$U169-4),INDEX($S$5:$S$1000,$U169-4))&amp;"."&amp;COUNTIFS($U$5:$U169,$U169,$V$5:$V169,"Sub"))))</f>
        <v/>
      </c>
      <c r="B169" s="57" t="n"/>
      <c r="C169" s="58" t="n"/>
      <c r="D169" s="58" t="n"/>
      <c r="E169" s="59" t="n"/>
      <c r="F169" s="59" t="n"/>
      <c r="G169" s="59" t="n"/>
      <c r="H169" s="60" t="n"/>
      <c r="I169" s="60" t="n"/>
      <c r="J169" s="60" t="n"/>
      <c r="K169" s="60" t="n"/>
      <c r="L169" s="60" t="n"/>
      <c r="M169" s="61">
        <f>IF(NOT((COUNTA($B169:$D169)+COUNTA($G169:$L169)+COUNTA($Q169))&gt;0),"",IF(AND($D169&lt;&gt;"",$V169="Macro"),IF(N($AH169)&gt;0,N(CHOOSE(MATCH($D169,ListaPuestos,0),INDEX('Cronograma R. Operacional'!$M$5:$M$1000,$AH169),INDEX('Cronograma R. Normativo'!$M$5:$M$1000,$AH169),INDEX('Cronograma R. Financiero'!$M$5:$M$1000,$AH169),INDEX('Cronograma Asistente Técnico'!$M$5:$M$1000,$AH169))),0),IF(ISNUMBER($G169),1,IF(N($W169)&gt;0,AVERAGEIFS($X$5:$X$1000,$U$5:$U$1000,ROW(),$V$5:$V$1000,"Sub"),$X169))))</f>
        <v/>
      </c>
      <c r="N169" s="56">
        <f>IF($M169="","",IF($M169&gt;=1,"Completado",IF($M169&gt;0,"En curso","Pendiente")))</f>
        <v/>
      </c>
      <c r="O169" s="56">
        <f>IF(NOT((COUNTA($B169:$D169)+COUNTA($G169:$L169)+COUNTA($Q169))&gt;0),"",IF(AND(AND($D169&lt;&gt;"",$V169="Macro"),N($AH169)&gt;0),CHOOSE(MATCH($D169,ListaPuestos,0),INDEX('Cronograma R. Operacional'!$O$5:$O$1000,$AH169),INDEX('Cronograma R. Normativo'!$O$5:$O$1000,$AH169),INDEX('Cronograma R. Financiero'!$O$5:$O$1000,$AH169),INDEX('Cronograma Asistente Técnico'!$O$5:$O$1000,$AH169))&amp;"",IF(ISNUMBER($G169),IF(AND(ISNUMBER($AN169),$G169&gt;$AN169),"Cumplida con "&amp;($G169-$AN169)&amp;IF($G169-$AN169=1," día"," días")&amp;" de retraso","Cumplida"),IF(N($M169)&gt;=1,"Cumplida",IF(NOT(ISNUMBER($AN169)),"Sin fecha límite",IF($AN169&lt;FechaRef,"Vencida hace "&amp;(FechaRef-$AN169)&amp;IF(FechaRef-$AN169=1," día"," días"),IF($AN169=FechaRef,"Vence hoy",IF($AN169-FechaRef&lt;=DiasAlerta,"Vence en "&amp;($AN169-FechaRef)&amp;IF($AN169-FechaRef=1," día"," días"),"En plazo"))))))))</f>
        <v/>
      </c>
      <c r="P169" s="62">
        <f>IF(NOT((COUNTA($B169:$D169)+COUNTA($G169:$L169)+COUNTA($Q169))&gt;0),"",IF($D169="","Propia",IF($V169&lt;&gt;"Macro","Solo se delegan macroactividades",IF(N($AH169)&gt;0,"✔ Recibida por "&amp;$D169,"⚠ "&amp;$D169&amp;" aún no la agrega"))))</f>
        <v/>
      </c>
      <c r="Q169" s="58" t="n"/>
      <c r="R169" s="63">
        <f>IF(NOT((COUNTA($B169:$D169)+COUNTA($G169:$L169)+COUNTA($Q169))&gt;0),"",IF((IF($C169="","Falta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",""))="","✔ OK","⚠ "&amp;LEFT(IF($C169="","Falta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",""),LEN(IF($C169="","Falta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",""))-3)))</f>
        <v/>
      </c>
      <c r="S169" s="64">
        <f>IF(NOT((COUNTA($B169:$D169)+COUNTA($G169:$L169)+COUNTA($Q169))&gt;0),"",IF(AND($V169="Sub",N($U169)&gt;0),IF(ISNUMBER(INDEX($AM$5:$AM$1000,$U169-4)),DATE(YEAR(INDEX($AM$5:$AM$1000,$U169-4)),MONTH(INDEX($AM$5:$AM$1000,$U169-4)),1),IF(ISNUMBER(INDEX($AN$5:$AN$1000,$U169-4)),DATE(YEAR(INDEX($AN$5:$AN$1000,$U169-4)),MONTH(INDEX($AN$5:$AN$1000,$U169-4)),1),MesCiclo)),IF(ISNUMBER($AM169),DATE(YEAR($AM169),MONTH($AM169),1),IF(ISNUMBER($AN169),DATE(YEAR($AN169),MONTH($AN169),1),MesCiclo))))</f>
        <v/>
      </c>
      <c r="T169" s="62">
        <f>IF(OR($S169="",$S169&lt;&gt;MesCiclo),"",COUNTIF($S$5:$S169,MesCiclo))</f>
        <v/>
      </c>
      <c r="U169" s="62">
        <f>IF($V169="","",IF($V169="Macro",ROW(),IFERROR(LOOKUP(2,1/($V$5:$V169="Macro"),ROW($V$5:$V169)),0)))</f>
        <v/>
      </c>
      <c r="V169" s="62">
        <f>IF(NOT((COUNTA($B169:$D169)+COUNTA($G169:$L169)+COUNTA($Q169))&gt;0),"",IF($B169="Subactividad","Sub","Macro"))</f>
        <v/>
      </c>
      <c r="W169" s="62">
        <f>IF($V169="Macro",COUNTIFS($U$5:$U$1000,ROW(),$V$5:$V$1000,"Sub"),"")</f>
        <v/>
      </c>
      <c r="X169" s="62">
        <f>IF($V169="","",IF(ISNUMBER($G169),1,IFERROR(LOOKUP(2,1/($I169:$L169&lt;&gt;""),$I169:$L169),0)))</f>
        <v/>
      </c>
      <c r="Y169" s="62">
        <f>IF($V169="","",IF(AND(ISNUMBER($G169),$G169&lt;=IF($S169=MesCiclo,InicioCiclo,$S169+MOD(2-WEEKDAY($S169),7))+6),1,IF(ISNUMBER($I169),$I169,0)))</f>
        <v/>
      </c>
      <c r="Z169" s="62">
        <f>IF($V169="","",IF(AND(ISNUMBER($G169),$G169&lt;=IF($S169=MesCiclo,InicioCiclo,$S169+MOD(2-WEEKDAY($S169),7))+13),1,IF(ISNUMBER($J169),$J169,$Y169)))</f>
        <v/>
      </c>
      <c r="AA169" s="62">
        <f>IF($V169="","",IF(AND(ISNUMBER($G169),$G169&lt;=IF($S169=MesCiclo,InicioCiclo,$S169+MOD(2-WEEKDAY($S169),7))+20),1,IF(ISNUMBER($K169),$K169,$Z169)))</f>
        <v/>
      </c>
      <c r="AB169" s="62">
        <f>IF($V169="","",IF(AND(ISNUMBER($G169),$G169&lt;=IF($S169=MesCiclo,InicioCiclo,$S169+MOD(2-WEEKDAY($S169),7))+27),1,IF(ISNUMBER($L169),$L169,$AA169)))</f>
        <v/>
      </c>
      <c r="AC169" s="62">
        <f>IF($V169="","",IF(AND(ISNUMBER($G169),$G169&lt;=IF($S169=MesCiclo,InicioCiclo,$S169+MOD(2-WEEKDAY($S169),7))+6),1,IF(N($W169)&gt;0,AVERAGEIFS($Y$5:$Y$1000,$U$5:$U$1000,ROW(),$V$5:$V$1000,"Sub"),$Y169)))</f>
        <v/>
      </c>
      <c r="AD169" s="62">
        <f>IF($V169="","",IF(AND(ISNUMBER($G169),$G169&lt;=IF($S169=MesCiclo,InicioCiclo,$S169+MOD(2-WEEKDAY($S169),7))+13),1,IF(N($W169)&gt;0,AVERAGEIFS($Z$5:$Z$1000,$U$5:$U$1000,ROW(),$V$5:$V$1000,"Sub"),$Z169)))</f>
        <v/>
      </c>
      <c r="AE169" s="62">
        <f>IF($V169="","",IF(AND(ISNUMBER($G169),$G169&lt;=IF($S169=MesCiclo,InicioCiclo,$S169+MOD(2-WEEKDAY($S169),7))+20),1,IF(N($W169)&gt;0,AVERAGEIFS($AA$5:$AA$1000,$U$5:$U$1000,ROW(),$V$5:$V$1000,"Sub"),$AA169)))</f>
        <v/>
      </c>
      <c r="AF169" s="62">
        <f>IF($V169="","",IF(AND(ISNUMBER($G169),$G169&lt;=IF($S169=MesCiclo,InicioCiclo,$S169+MOD(2-WEEKDAY($S169),7))+27),1,IF(N($W169)&gt;0,AVERAGEIFS($AB$5:$AB$1000,$U$5:$U$1000,ROW(),$V$5:$V$1000,"Sub"),$AB169)))</f>
        <v/>
      </c>
      <c r="AG169" s="62">
        <f>IF($V169&lt;&gt;"Macro","",IF(COUNTIFS($S$5:$S$1000,$S169,$V$5:$V$1000,"Macro",$H$5:$H$1000,"&gt;0")=0,1/COUNTIFS($S$5:$S$1000,$S169,$V$5:$V$1000,"Macro"),IF(AND(ISNUMBER($H169),N($H169)&gt;0),$H169,SUMIFS($H$5:$H$1000,$S$5:$S$1000,$S169,$V$5:$V$1000,"Macro")/COUNTIFS($S$5:$S$1000,$S169,$V$5:$V$1000,"Macro",$H$5:$H$1000,"&gt;0"))/(COUNTIFS($S$5:$S$1000,$S169,$V$5:$V$1000,"Macro")*SUMIFS($H$5:$H$1000,$S$5:$S$1000,$S169,$V$5:$V$1000,"Macro")/COUNTIFS($S$5:$S$1000,$S169,$V$5:$V$1000,"Macro",$H$5:$H$1000,"&gt;0"))))</f>
        <v/>
      </c>
      <c r="AH169" s="62">
        <f>IF(NOT(AND($D169&lt;&gt;"",$V169="Macro")),"",IFERROR(CHOOSE(MATCH($D169,ListaPuestos,0),MATCH("[Jefatura] "&amp;$C169,'Cronograma R. Operacional'!$C$5:$C$1000,0),MATCH("[Jefatura] "&amp;$C169,'Cronograma R. Normativo'!$C$5:$C$1000,0),MATCH("[Jefatura] "&amp;$C169,'Cronograma R. Financiero'!$C$5:$C$1000,0),MATCH("[Jefatura] "&amp;$C169,'Cronograma Asistente Técnico'!$C$5:$C$1000,0)),0))</f>
        <v/>
      </c>
      <c r="AI169" s="62">
        <f>IF(AND(AND($D169&lt;&gt;"",$V169="Macro"),$S169=MesCiclo),COUNTIFS($D$5:$D169,$D169,$S$5:$S169,MesCiclo,$V$5:$V169,"Macro"),"")</f>
        <v/>
      </c>
      <c r="AJ169" s="62">
        <f>IF($AI169="","",$D169&amp;"|"&amp;$AI169)</f>
        <v/>
      </c>
      <c r="AK169" s="62">
        <f>IF(AND($D169&lt;&gt;"",$V169="Macro"),$D169&amp;"|"&amp;$C169,"")</f>
        <v/>
      </c>
      <c r="AL169" s="62">
        <f>""</f>
        <v/>
      </c>
      <c r="AM169" s="62">
        <f>IF(N($AL169)&gt;0,INDEX(rIni_ADM,$AL169),IF(ISNUMBER($E169),$E169,""))</f>
        <v/>
      </c>
      <c r="AN169" s="62">
        <f>IF(N($AL169)&gt;0,INDEX(rLim_ADM,$AL169),IF(ISNUMBER($F169),$F169,""))</f>
        <v/>
      </c>
    </row>
    <row r="170">
      <c r="A170" s="56">
        <f>IF(NOT((COUNTA($B170:$D170)+COUNTA($G170:$L170)+COUNTA($Q170))&gt;0),"",IF($V170="Macro",COUNTIFS($V$5:$V170,"Macro",$S$5:$S170,$S170),IF(N($U170)=0,"?",COUNTIFS(INDEX($V$5:$V$1000,1):INDEX($V$5:$V$1000,$U170-4),"Macro",INDEX($S$5:$S$1000,1):INDEX($S$5:$S$1000,$U170-4),INDEX($S$5:$S$1000,$U170-4))&amp;"."&amp;COUNTIFS($U$5:$U170,$U170,$V$5:$V170,"Sub"))))</f>
        <v/>
      </c>
      <c r="B170" s="57" t="n"/>
      <c r="C170" s="58" t="n"/>
      <c r="D170" s="58" t="n"/>
      <c r="E170" s="59" t="n"/>
      <c r="F170" s="59" t="n"/>
      <c r="G170" s="59" t="n"/>
      <c r="H170" s="60" t="n"/>
      <c r="I170" s="60" t="n"/>
      <c r="J170" s="60" t="n"/>
      <c r="K170" s="60" t="n"/>
      <c r="L170" s="60" t="n"/>
      <c r="M170" s="61">
        <f>IF(NOT((COUNTA($B170:$D170)+COUNTA($G170:$L170)+COUNTA($Q170))&gt;0),"",IF(AND($D170&lt;&gt;"",$V170="Macro"),IF(N($AH170)&gt;0,N(CHOOSE(MATCH($D170,ListaPuestos,0),INDEX('Cronograma R. Operacional'!$M$5:$M$1000,$AH170),INDEX('Cronograma R. Normativo'!$M$5:$M$1000,$AH170),INDEX('Cronograma R. Financiero'!$M$5:$M$1000,$AH170),INDEX('Cronograma Asistente Técnico'!$M$5:$M$1000,$AH170))),0),IF(ISNUMBER($G170),1,IF(N($W170)&gt;0,AVERAGEIFS($X$5:$X$1000,$U$5:$U$1000,ROW(),$V$5:$V$1000,"Sub"),$X170))))</f>
        <v/>
      </c>
      <c r="N170" s="56">
        <f>IF($M170="","",IF($M170&gt;=1,"Completado",IF($M170&gt;0,"En curso","Pendiente")))</f>
        <v/>
      </c>
      <c r="O170" s="56">
        <f>IF(NOT((COUNTA($B170:$D170)+COUNTA($G170:$L170)+COUNTA($Q170))&gt;0),"",IF(AND(AND($D170&lt;&gt;"",$V170="Macro"),N($AH170)&gt;0),CHOOSE(MATCH($D170,ListaPuestos,0),INDEX('Cronograma R. Operacional'!$O$5:$O$1000,$AH170),INDEX('Cronograma R. Normativo'!$O$5:$O$1000,$AH170),INDEX('Cronograma R. Financiero'!$O$5:$O$1000,$AH170),INDEX('Cronograma Asistente Técnico'!$O$5:$O$1000,$AH170))&amp;"",IF(ISNUMBER($G170),IF(AND(ISNUMBER($AN170),$G170&gt;$AN170),"Cumplida con "&amp;($G170-$AN170)&amp;IF($G170-$AN170=1," día"," días")&amp;" de retraso","Cumplida"),IF(N($M170)&gt;=1,"Cumplida",IF(NOT(ISNUMBER($AN170)),"Sin fecha límite",IF($AN170&lt;FechaRef,"Vencida hace "&amp;(FechaRef-$AN170)&amp;IF(FechaRef-$AN170=1," día"," días"),IF($AN170=FechaRef,"Vence hoy",IF($AN170-FechaRef&lt;=DiasAlerta,"Vence en "&amp;($AN170-FechaRef)&amp;IF($AN170-FechaRef=1," día"," días"),"En plazo"))))))))</f>
        <v/>
      </c>
      <c r="P170" s="62">
        <f>IF(NOT((COUNTA($B170:$D170)+COUNTA($G170:$L170)+COUNTA($Q170))&gt;0),"",IF($D170="","Propia",IF($V170&lt;&gt;"Macro","Solo se delegan macroactividades",IF(N($AH170)&gt;0,"✔ Recibida por "&amp;$D170,"⚠ "&amp;$D170&amp;" aún no la agrega"))))</f>
        <v/>
      </c>
      <c r="Q170" s="58" t="n"/>
      <c r="R170" s="63">
        <f>IF(NOT((COUNTA($B170:$D170)+COUNTA($G170:$L170)+COUNTA($Q170))&gt;0),"",IF((IF($C170="","Falta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",""))="","✔ OK","⚠ "&amp;LEFT(IF($C170="","Falta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",""),LEN(IF($C170="","Falta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",""))-3)))</f>
        <v/>
      </c>
      <c r="S170" s="64">
        <f>IF(NOT((COUNTA($B170:$D170)+COUNTA($G170:$L170)+COUNTA($Q170))&gt;0),"",IF(AND($V170="Sub",N($U170)&gt;0),IF(ISNUMBER(INDEX($AM$5:$AM$1000,$U170-4)),DATE(YEAR(INDEX($AM$5:$AM$1000,$U170-4)),MONTH(INDEX($AM$5:$AM$1000,$U170-4)),1),IF(ISNUMBER(INDEX($AN$5:$AN$1000,$U170-4)),DATE(YEAR(INDEX($AN$5:$AN$1000,$U170-4)),MONTH(INDEX($AN$5:$AN$1000,$U170-4)),1),MesCiclo)),IF(ISNUMBER($AM170),DATE(YEAR($AM170),MONTH($AM170),1),IF(ISNUMBER($AN170),DATE(YEAR($AN170),MONTH($AN170),1),MesCiclo))))</f>
        <v/>
      </c>
      <c r="T170" s="62">
        <f>IF(OR($S170="",$S170&lt;&gt;MesCiclo),"",COUNTIF($S$5:$S170,MesCiclo))</f>
        <v/>
      </c>
      <c r="U170" s="62">
        <f>IF($V170="","",IF($V170="Macro",ROW(),IFERROR(LOOKUP(2,1/($V$5:$V170="Macro"),ROW($V$5:$V170)),0)))</f>
        <v/>
      </c>
      <c r="V170" s="62">
        <f>IF(NOT((COUNTA($B170:$D170)+COUNTA($G170:$L170)+COUNTA($Q170))&gt;0),"",IF($B170="Subactividad","Sub","Macro"))</f>
        <v/>
      </c>
      <c r="W170" s="62">
        <f>IF($V170="Macro",COUNTIFS($U$5:$U$1000,ROW(),$V$5:$V$1000,"Sub"),"")</f>
        <v/>
      </c>
      <c r="X170" s="62">
        <f>IF($V170="","",IF(ISNUMBER($G170),1,IFERROR(LOOKUP(2,1/($I170:$L170&lt;&gt;""),$I170:$L170),0)))</f>
        <v/>
      </c>
      <c r="Y170" s="62">
        <f>IF($V170="","",IF(AND(ISNUMBER($G170),$G170&lt;=IF($S170=MesCiclo,InicioCiclo,$S170+MOD(2-WEEKDAY($S170),7))+6),1,IF(ISNUMBER($I170),$I170,0)))</f>
        <v/>
      </c>
      <c r="Z170" s="62">
        <f>IF($V170="","",IF(AND(ISNUMBER($G170),$G170&lt;=IF($S170=MesCiclo,InicioCiclo,$S170+MOD(2-WEEKDAY($S170),7))+13),1,IF(ISNUMBER($J170),$J170,$Y170)))</f>
        <v/>
      </c>
      <c r="AA170" s="62">
        <f>IF($V170="","",IF(AND(ISNUMBER($G170),$G170&lt;=IF($S170=MesCiclo,InicioCiclo,$S170+MOD(2-WEEKDAY($S170),7))+20),1,IF(ISNUMBER($K170),$K170,$Z170)))</f>
        <v/>
      </c>
      <c r="AB170" s="62">
        <f>IF($V170="","",IF(AND(ISNUMBER($G170),$G170&lt;=IF($S170=MesCiclo,InicioCiclo,$S170+MOD(2-WEEKDAY($S170),7))+27),1,IF(ISNUMBER($L170),$L170,$AA170)))</f>
        <v/>
      </c>
      <c r="AC170" s="62">
        <f>IF($V170="","",IF(AND(ISNUMBER($G170),$G170&lt;=IF($S170=MesCiclo,InicioCiclo,$S170+MOD(2-WEEKDAY($S170),7))+6),1,IF(N($W170)&gt;0,AVERAGEIFS($Y$5:$Y$1000,$U$5:$U$1000,ROW(),$V$5:$V$1000,"Sub"),$Y170)))</f>
        <v/>
      </c>
      <c r="AD170" s="62">
        <f>IF($V170="","",IF(AND(ISNUMBER($G170),$G170&lt;=IF($S170=MesCiclo,InicioCiclo,$S170+MOD(2-WEEKDAY($S170),7))+13),1,IF(N($W170)&gt;0,AVERAGEIFS($Z$5:$Z$1000,$U$5:$U$1000,ROW(),$V$5:$V$1000,"Sub"),$Z170)))</f>
        <v/>
      </c>
      <c r="AE170" s="62">
        <f>IF($V170="","",IF(AND(ISNUMBER($G170),$G170&lt;=IF($S170=MesCiclo,InicioCiclo,$S170+MOD(2-WEEKDAY($S170),7))+20),1,IF(N($W170)&gt;0,AVERAGEIFS($AA$5:$AA$1000,$U$5:$U$1000,ROW(),$V$5:$V$1000,"Sub"),$AA170)))</f>
        <v/>
      </c>
      <c r="AF170" s="62">
        <f>IF($V170="","",IF(AND(ISNUMBER($G170),$G170&lt;=IF($S170=MesCiclo,InicioCiclo,$S170+MOD(2-WEEKDAY($S170),7))+27),1,IF(N($W170)&gt;0,AVERAGEIFS($AB$5:$AB$1000,$U$5:$U$1000,ROW(),$V$5:$V$1000,"Sub"),$AB170)))</f>
        <v/>
      </c>
      <c r="AG170" s="62">
        <f>IF($V170&lt;&gt;"Macro","",IF(COUNTIFS($S$5:$S$1000,$S170,$V$5:$V$1000,"Macro",$H$5:$H$1000,"&gt;0")=0,1/COUNTIFS($S$5:$S$1000,$S170,$V$5:$V$1000,"Macro"),IF(AND(ISNUMBER($H170),N($H170)&gt;0),$H170,SUMIFS($H$5:$H$1000,$S$5:$S$1000,$S170,$V$5:$V$1000,"Macro")/COUNTIFS($S$5:$S$1000,$S170,$V$5:$V$1000,"Macro",$H$5:$H$1000,"&gt;0"))/(COUNTIFS($S$5:$S$1000,$S170,$V$5:$V$1000,"Macro")*SUMIFS($H$5:$H$1000,$S$5:$S$1000,$S170,$V$5:$V$1000,"Macro")/COUNTIFS($S$5:$S$1000,$S170,$V$5:$V$1000,"Macro",$H$5:$H$1000,"&gt;0"))))</f>
        <v/>
      </c>
      <c r="AH170" s="62">
        <f>IF(NOT(AND($D170&lt;&gt;"",$V170="Macro")),"",IFERROR(CHOOSE(MATCH($D170,ListaPuestos,0),MATCH("[Jefatura] "&amp;$C170,'Cronograma R. Operacional'!$C$5:$C$1000,0),MATCH("[Jefatura] "&amp;$C170,'Cronograma R. Normativo'!$C$5:$C$1000,0),MATCH("[Jefatura] "&amp;$C170,'Cronograma R. Financiero'!$C$5:$C$1000,0),MATCH("[Jefatura] "&amp;$C170,'Cronograma Asistente Técnico'!$C$5:$C$1000,0)),0))</f>
        <v/>
      </c>
      <c r="AI170" s="62">
        <f>IF(AND(AND($D170&lt;&gt;"",$V170="Macro"),$S170=MesCiclo),COUNTIFS($D$5:$D170,$D170,$S$5:$S170,MesCiclo,$V$5:$V170,"Macro"),"")</f>
        <v/>
      </c>
      <c r="AJ170" s="62">
        <f>IF($AI170="","",$D170&amp;"|"&amp;$AI170)</f>
        <v/>
      </c>
      <c r="AK170" s="62">
        <f>IF(AND($D170&lt;&gt;"",$V170="Macro"),$D170&amp;"|"&amp;$C170,"")</f>
        <v/>
      </c>
      <c r="AL170" s="62">
        <f>""</f>
        <v/>
      </c>
      <c r="AM170" s="62">
        <f>IF(N($AL170)&gt;0,INDEX(rIni_ADM,$AL170),IF(ISNUMBER($E170),$E170,""))</f>
        <v/>
      </c>
      <c r="AN170" s="62">
        <f>IF(N($AL170)&gt;0,INDEX(rLim_ADM,$AL170),IF(ISNUMBER($F170),$F170,""))</f>
        <v/>
      </c>
    </row>
    <row r="171">
      <c r="A171" s="56">
        <f>IF(NOT((COUNTA($B171:$D171)+COUNTA($G171:$L171)+COUNTA($Q171))&gt;0),"",IF($V171="Macro",COUNTIFS($V$5:$V171,"Macro",$S$5:$S171,$S171),IF(N($U171)=0,"?",COUNTIFS(INDEX($V$5:$V$1000,1):INDEX($V$5:$V$1000,$U171-4),"Macro",INDEX($S$5:$S$1000,1):INDEX($S$5:$S$1000,$U171-4),INDEX($S$5:$S$1000,$U171-4))&amp;"."&amp;COUNTIFS($U$5:$U171,$U171,$V$5:$V171,"Sub"))))</f>
        <v/>
      </c>
      <c r="B171" s="57" t="n"/>
      <c r="C171" s="58" t="n"/>
      <c r="D171" s="58" t="n"/>
      <c r="E171" s="59" t="n"/>
      <c r="F171" s="59" t="n"/>
      <c r="G171" s="59" t="n"/>
      <c r="H171" s="60" t="n"/>
      <c r="I171" s="60" t="n"/>
      <c r="J171" s="60" t="n"/>
      <c r="K171" s="60" t="n"/>
      <c r="L171" s="60" t="n"/>
      <c r="M171" s="61">
        <f>IF(NOT((COUNTA($B171:$D171)+COUNTA($G171:$L171)+COUNTA($Q171))&gt;0),"",IF(AND($D171&lt;&gt;"",$V171="Macro"),IF(N($AH171)&gt;0,N(CHOOSE(MATCH($D171,ListaPuestos,0),INDEX('Cronograma R. Operacional'!$M$5:$M$1000,$AH171),INDEX('Cronograma R. Normativo'!$M$5:$M$1000,$AH171),INDEX('Cronograma R. Financiero'!$M$5:$M$1000,$AH171),INDEX('Cronograma Asistente Técnico'!$M$5:$M$1000,$AH171))),0),IF(ISNUMBER($G171),1,IF(N($W171)&gt;0,AVERAGEIFS($X$5:$X$1000,$U$5:$U$1000,ROW(),$V$5:$V$1000,"Sub"),$X171))))</f>
        <v/>
      </c>
      <c r="N171" s="56">
        <f>IF($M171="","",IF($M171&gt;=1,"Completado",IF($M171&gt;0,"En curso","Pendiente")))</f>
        <v/>
      </c>
      <c r="O171" s="56">
        <f>IF(NOT((COUNTA($B171:$D171)+COUNTA($G171:$L171)+COUNTA($Q171))&gt;0),"",IF(AND(AND($D171&lt;&gt;"",$V171="Macro"),N($AH171)&gt;0),CHOOSE(MATCH($D171,ListaPuestos,0),INDEX('Cronograma R. Operacional'!$O$5:$O$1000,$AH171),INDEX('Cronograma R. Normativo'!$O$5:$O$1000,$AH171),INDEX('Cronograma R. Financiero'!$O$5:$O$1000,$AH171),INDEX('Cronograma Asistente Técnico'!$O$5:$O$1000,$AH171))&amp;"",IF(ISNUMBER($G171),IF(AND(ISNUMBER($AN171),$G171&gt;$AN171),"Cumplida con "&amp;($G171-$AN171)&amp;IF($G171-$AN171=1," día"," días")&amp;" de retraso","Cumplida"),IF(N($M171)&gt;=1,"Cumplida",IF(NOT(ISNUMBER($AN171)),"Sin fecha límite",IF($AN171&lt;FechaRef,"Vencida hace "&amp;(FechaRef-$AN171)&amp;IF(FechaRef-$AN171=1," día"," días"),IF($AN171=FechaRef,"Vence hoy",IF($AN171-FechaRef&lt;=DiasAlerta,"Vence en "&amp;($AN171-FechaRef)&amp;IF($AN171-FechaRef=1," día"," días"),"En plazo"))))))))</f>
        <v/>
      </c>
      <c r="P171" s="62">
        <f>IF(NOT((COUNTA($B171:$D171)+COUNTA($G171:$L171)+COUNTA($Q171))&gt;0),"",IF($D171="","Propia",IF($V171&lt;&gt;"Macro","Solo se delegan macroactividades",IF(N($AH171)&gt;0,"✔ Recibida por "&amp;$D171,"⚠ "&amp;$D171&amp;" aún no la agrega"))))</f>
        <v/>
      </c>
      <c r="Q171" s="58" t="n"/>
      <c r="R171" s="63">
        <f>IF(NOT((COUNTA($B171:$D171)+COUNTA($G171:$L171)+COUNTA($Q171))&gt;0),"",IF((IF($C171="","Falta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",""))="","✔ OK","⚠ "&amp;LEFT(IF($C171="","Falta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",""),LEN(IF($C171="","Falta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",""))-3)))</f>
        <v/>
      </c>
      <c r="S171" s="64">
        <f>IF(NOT((COUNTA($B171:$D171)+COUNTA($G171:$L171)+COUNTA($Q171))&gt;0),"",IF(AND($V171="Sub",N($U171)&gt;0),IF(ISNUMBER(INDEX($AM$5:$AM$1000,$U171-4)),DATE(YEAR(INDEX($AM$5:$AM$1000,$U171-4)),MONTH(INDEX($AM$5:$AM$1000,$U171-4)),1),IF(ISNUMBER(INDEX($AN$5:$AN$1000,$U171-4)),DATE(YEAR(INDEX($AN$5:$AN$1000,$U171-4)),MONTH(INDEX($AN$5:$AN$1000,$U171-4)),1),MesCiclo)),IF(ISNUMBER($AM171),DATE(YEAR($AM171),MONTH($AM171),1),IF(ISNUMBER($AN171),DATE(YEAR($AN171),MONTH($AN171),1),MesCiclo))))</f>
        <v/>
      </c>
      <c r="T171" s="62">
        <f>IF(OR($S171="",$S171&lt;&gt;MesCiclo),"",COUNTIF($S$5:$S171,MesCiclo))</f>
        <v/>
      </c>
      <c r="U171" s="62">
        <f>IF($V171="","",IF($V171="Macro",ROW(),IFERROR(LOOKUP(2,1/($V$5:$V171="Macro"),ROW($V$5:$V171)),0)))</f>
        <v/>
      </c>
      <c r="V171" s="62">
        <f>IF(NOT((COUNTA($B171:$D171)+COUNTA($G171:$L171)+COUNTA($Q171))&gt;0),"",IF($B171="Subactividad","Sub","Macro"))</f>
        <v/>
      </c>
      <c r="W171" s="62">
        <f>IF($V171="Macro",COUNTIFS($U$5:$U$1000,ROW(),$V$5:$V$1000,"Sub"),"")</f>
        <v/>
      </c>
      <c r="X171" s="62">
        <f>IF($V171="","",IF(ISNUMBER($G171),1,IFERROR(LOOKUP(2,1/($I171:$L171&lt;&gt;""),$I171:$L171),0)))</f>
        <v/>
      </c>
      <c r="Y171" s="62">
        <f>IF($V171="","",IF(AND(ISNUMBER($G171),$G171&lt;=IF($S171=MesCiclo,InicioCiclo,$S171+MOD(2-WEEKDAY($S171),7))+6),1,IF(ISNUMBER($I171),$I171,0)))</f>
        <v/>
      </c>
      <c r="Z171" s="62">
        <f>IF($V171="","",IF(AND(ISNUMBER($G171),$G171&lt;=IF($S171=MesCiclo,InicioCiclo,$S171+MOD(2-WEEKDAY($S171),7))+13),1,IF(ISNUMBER($J171),$J171,$Y171)))</f>
        <v/>
      </c>
      <c r="AA171" s="62">
        <f>IF($V171="","",IF(AND(ISNUMBER($G171),$G171&lt;=IF($S171=MesCiclo,InicioCiclo,$S171+MOD(2-WEEKDAY($S171),7))+20),1,IF(ISNUMBER($K171),$K171,$Z171)))</f>
        <v/>
      </c>
      <c r="AB171" s="62">
        <f>IF($V171="","",IF(AND(ISNUMBER($G171),$G171&lt;=IF($S171=MesCiclo,InicioCiclo,$S171+MOD(2-WEEKDAY($S171),7))+27),1,IF(ISNUMBER($L171),$L171,$AA171)))</f>
        <v/>
      </c>
      <c r="AC171" s="62">
        <f>IF($V171="","",IF(AND(ISNUMBER($G171),$G171&lt;=IF($S171=MesCiclo,InicioCiclo,$S171+MOD(2-WEEKDAY($S171),7))+6),1,IF(N($W171)&gt;0,AVERAGEIFS($Y$5:$Y$1000,$U$5:$U$1000,ROW(),$V$5:$V$1000,"Sub"),$Y171)))</f>
        <v/>
      </c>
      <c r="AD171" s="62">
        <f>IF($V171="","",IF(AND(ISNUMBER($G171),$G171&lt;=IF($S171=MesCiclo,InicioCiclo,$S171+MOD(2-WEEKDAY($S171),7))+13),1,IF(N($W171)&gt;0,AVERAGEIFS($Z$5:$Z$1000,$U$5:$U$1000,ROW(),$V$5:$V$1000,"Sub"),$Z171)))</f>
        <v/>
      </c>
      <c r="AE171" s="62">
        <f>IF($V171="","",IF(AND(ISNUMBER($G171),$G171&lt;=IF($S171=MesCiclo,InicioCiclo,$S171+MOD(2-WEEKDAY($S171),7))+20),1,IF(N($W171)&gt;0,AVERAGEIFS($AA$5:$AA$1000,$U$5:$U$1000,ROW(),$V$5:$V$1000,"Sub"),$AA171)))</f>
        <v/>
      </c>
      <c r="AF171" s="62">
        <f>IF($V171="","",IF(AND(ISNUMBER($G171),$G171&lt;=IF($S171=MesCiclo,InicioCiclo,$S171+MOD(2-WEEKDAY($S171),7))+27),1,IF(N($W171)&gt;0,AVERAGEIFS($AB$5:$AB$1000,$U$5:$U$1000,ROW(),$V$5:$V$1000,"Sub"),$AB171)))</f>
        <v/>
      </c>
      <c r="AG171" s="62">
        <f>IF($V171&lt;&gt;"Macro","",IF(COUNTIFS($S$5:$S$1000,$S171,$V$5:$V$1000,"Macro",$H$5:$H$1000,"&gt;0")=0,1/COUNTIFS($S$5:$S$1000,$S171,$V$5:$V$1000,"Macro"),IF(AND(ISNUMBER($H171),N($H171)&gt;0),$H171,SUMIFS($H$5:$H$1000,$S$5:$S$1000,$S171,$V$5:$V$1000,"Macro")/COUNTIFS($S$5:$S$1000,$S171,$V$5:$V$1000,"Macro",$H$5:$H$1000,"&gt;0"))/(COUNTIFS($S$5:$S$1000,$S171,$V$5:$V$1000,"Macro")*SUMIFS($H$5:$H$1000,$S$5:$S$1000,$S171,$V$5:$V$1000,"Macro")/COUNTIFS($S$5:$S$1000,$S171,$V$5:$V$1000,"Macro",$H$5:$H$1000,"&gt;0"))))</f>
        <v/>
      </c>
      <c r="AH171" s="62">
        <f>IF(NOT(AND($D171&lt;&gt;"",$V171="Macro")),"",IFERROR(CHOOSE(MATCH($D171,ListaPuestos,0),MATCH("[Jefatura] "&amp;$C171,'Cronograma R. Operacional'!$C$5:$C$1000,0),MATCH("[Jefatura] "&amp;$C171,'Cronograma R. Normativo'!$C$5:$C$1000,0),MATCH("[Jefatura] "&amp;$C171,'Cronograma R. Financiero'!$C$5:$C$1000,0),MATCH("[Jefatura] "&amp;$C171,'Cronograma Asistente Técnico'!$C$5:$C$1000,0)),0))</f>
        <v/>
      </c>
      <c r="AI171" s="62">
        <f>IF(AND(AND($D171&lt;&gt;"",$V171="Macro"),$S171=MesCiclo),COUNTIFS($D$5:$D171,$D171,$S$5:$S171,MesCiclo,$V$5:$V171,"Macro"),"")</f>
        <v/>
      </c>
      <c r="AJ171" s="62">
        <f>IF($AI171="","",$D171&amp;"|"&amp;$AI171)</f>
        <v/>
      </c>
      <c r="AK171" s="62">
        <f>IF(AND($D171&lt;&gt;"",$V171="Macro"),$D171&amp;"|"&amp;$C171,"")</f>
        <v/>
      </c>
      <c r="AL171" s="62">
        <f>""</f>
        <v/>
      </c>
      <c r="AM171" s="62">
        <f>IF(N($AL171)&gt;0,INDEX(rIni_ADM,$AL171),IF(ISNUMBER($E171),$E171,""))</f>
        <v/>
      </c>
      <c r="AN171" s="62">
        <f>IF(N($AL171)&gt;0,INDEX(rLim_ADM,$AL171),IF(ISNUMBER($F171),$F171,""))</f>
        <v/>
      </c>
    </row>
    <row r="172">
      <c r="A172" s="56">
        <f>IF(NOT((COUNTA($B172:$D172)+COUNTA($G172:$L172)+COUNTA($Q172))&gt;0),"",IF($V172="Macro",COUNTIFS($V$5:$V172,"Macro",$S$5:$S172,$S172),IF(N($U172)=0,"?",COUNTIFS(INDEX($V$5:$V$1000,1):INDEX($V$5:$V$1000,$U172-4),"Macro",INDEX($S$5:$S$1000,1):INDEX($S$5:$S$1000,$U172-4),INDEX($S$5:$S$1000,$U172-4))&amp;"."&amp;COUNTIFS($U$5:$U172,$U172,$V$5:$V172,"Sub"))))</f>
        <v/>
      </c>
      <c r="B172" s="57" t="n"/>
      <c r="C172" s="58" t="n"/>
      <c r="D172" s="58" t="n"/>
      <c r="E172" s="59" t="n"/>
      <c r="F172" s="59" t="n"/>
      <c r="G172" s="59" t="n"/>
      <c r="H172" s="60" t="n"/>
      <c r="I172" s="60" t="n"/>
      <c r="J172" s="60" t="n"/>
      <c r="K172" s="60" t="n"/>
      <c r="L172" s="60" t="n"/>
      <c r="M172" s="61">
        <f>IF(NOT((COUNTA($B172:$D172)+COUNTA($G172:$L172)+COUNTA($Q172))&gt;0),"",IF(AND($D172&lt;&gt;"",$V172="Macro"),IF(N($AH172)&gt;0,N(CHOOSE(MATCH($D172,ListaPuestos,0),INDEX('Cronograma R. Operacional'!$M$5:$M$1000,$AH172),INDEX('Cronograma R. Normativo'!$M$5:$M$1000,$AH172),INDEX('Cronograma R. Financiero'!$M$5:$M$1000,$AH172),INDEX('Cronograma Asistente Técnico'!$M$5:$M$1000,$AH172))),0),IF(ISNUMBER($G172),1,IF(N($W172)&gt;0,AVERAGEIFS($X$5:$X$1000,$U$5:$U$1000,ROW(),$V$5:$V$1000,"Sub"),$X172))))</f>
        <v/>
      </c>
      <c r="N172" s="56">
        <f>IF($M172="","",IF($M172&gt;=1,"Completado",IF($M172&gt;0,"En curso","Pendiente")))</f>
        <v/>
      </c>
      <c r="O172" s="56">
        <f>IF(NOT((COUNTA($B172:$D172)+COUNTA($G172:$L172)+COUNTA($Q172))&gt;0),"",IF(AND(AND($D172&lt;&gt;"",$V172="Macro"),N($AH172)&gt;0),CHOOSE(MATCH($D172,ListaPuestos,0),INDEX('Cronograma R. Operacional'!$O$5:$O$1000,$AH172),INDEX('Cronograma R. Normativo'!$O$5:$O$1000,$AH172),INDEX('Cronograma R. Financiero'!$O$5:$O$1000,$AH172),INDEX('Cronograma Asistente Técnico'!$O$5:$O$1000,$AH172))&amp;"",IF(ISNUMBER($G172),IF(AND(ISNUMBER($AN172),$G172&gt;$AN172),"Cumplida con "&amp;($G172-$AN172)&amp;IF($G172-$AN172=1," día"," días")&amp;" de retraso","Cumplida"),IF(N($M172)&gt;=1,"Cumplida",IF(NOT(ISNUMBER($AN172)),"Sin fecha límite",IF($AN172&lt;FechaRef,"Vencida hace "&amp;(FechaRef-$AN172)&amp;IF(FechaRef-$AN172=1," día"," días"),IF($AN172=FechaRef,"Vence hoy",IF($AN172-FechaRef&lt;=DiasAlerta,"Vence en "&amp;($AN172-FechaRef)&amp;IF($AN172-FechaRef=1," día"," días"),"En plazo"))))))))</f>
        <v/>
      </c>
      <c r="P172" s="62">
        <f>IF(NOT((COUNTA($B172:$D172)+COUNTA($G172:$L172)+COUNTA($Q172))&gt;0),"",IF($D172="","Propia",IF($V172&lt;&gt;"Macro","Solo se delegan macroactividades",IF(N($AH172)&gt;0,"✔ Recibida por "&amp;$D172,"⚠ "&amp;$D172&amp;" aún no la agrega"))))</f>
        <v/>
      </c>
      <c r="Q172" s="58" t="n"/>
      <c r="R172" s="63">
        <f>IF(NOT((COUNTA($B172:$D172)+COUNTA($G172:$L172)+COUNTA($Q172))&gt;0),"",IF((IF($C172="","Falta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",""))="","✔ OK","⚠ "&amp;LEFT(IF($C172="","Falta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",""),LEN(IF($C172="","Falta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",""))-3)))</f>
        <v/>
      </c>
      <c r="S172" s="64">
        <f>IF(NOT((COUNTA($B172:$D172)+COUNTA($G172:$L172)+COUNTA($Q172))&gt;0),"",IF(AND($V172="Sub",N($U172)&gt;0),IF(ISNUMBER(INDEX($AM$5:$AM$1000,$U172-4)),DATE(YEAR(INDEX($AM$5:$AM$1000,$U172-4)),MONTH(INDEX($AM$5:$AM$1000,$U172-4)),1),IF(ISNUMBER(INDEX($AN$5:$AN$1000,$U172-4)),DATE(YEAR(INDEX($AN$5:$AN$1000,$U172-4)),MONTH(INDEX($AN$5:$AN$1000,$U172-4)),1),MesCiclo)),IF(ISNUMBER($AM172),DATE(YEAR($AM172),MONTH($AM172),1),IF(ISNUMBER($AN172),DATE(YEAR($AN172),MONTH($AN172),1),MesCiclo))))</f>
        <v/>
      </c>
      <c r="T172" s="62">
        <f>IF(OR($S172="",$S172&lt;&gt;MesCiclo),"",COUNTIF($S$5:$S172,MesCiclo))</f>
        <v/>
      </c>
      <c r="U172" s="62">
        <f>IF($V172="","",IF($V172="Macro",ROW(),IFERROR(LOOKUP(2,1/($V$5:$V172="Macro"),ROW($V$5:$V172)),0)))</f>
        <v/>
      </c>
      <c r="V172" s="62">
        <f>IF(NOT((COUNTA($B172:$D172)+COUNTA($G172:$L172)+COUNTA($Q172))&gt;0),"",IF($B172="Subactividad","Sub","Macro"))</f>
        <v/>
      </c>
      <c r="W172" s="62">
        <f>IF($V172="Macro",COUNTIFS($U$5:$U$1000,ROW(),$V$5:$V$1000,"Sub"),"")</f>
        <v/>
      </c>
      <c r="X172" s="62">
        <f>IF($V172="","",IF(ISNUMBER($G172),1,IFERROR(LOOKUP(2,1/($I172:$L172&lt;&gt;""),$I172:$L172),0)))</f>
        <v/>
      </c>
      <c r="Y172" s="62">
        <f>IF($V172="","",IF(AND(ISNUMBER($G172),$G172&lt;=IF($S172=MesCiclo,InicioCiclo,$S172+MOD(2-WEEKDAY($S172),7))+6),1,IF(ISNUMBER($I172),$I172,0)))</f>
        <v/>
      </c>
      <c r="Z172" s="62">
        <f>IF($V172="","",IF(AND(ISNUMBER($G172),$G172&lt;=IF($S172=MesCiclo,InicioCiclo,$S172+MOD(2-WEEKDAY($S172),7))+13),1,IF(ISNUMBER($J172),$J172,$Y172)))</f>
        <v/>
      </c>
      <c r="AA172" s="62">
        <f>IF($V172="","",IF(AND(ISNUMBER($G172),$G172&lt;=IF($S172=MesCiclo,InicioCiclo,$S172+MOD(2-WEEKDAY($S172),7))+20),1,IF(ISNUMBER($K172),$K172,$Z172)))</f>
        <v/>
      </c>
      <c r="AB172" s="62">
        <f>IF($V172="","",IF(AND(ISNUMBER($G172),$G172&lt;=IF($S172=MesCiclo,InicioCiclo,$S172+MOD(2-WEEKDAY($S172),7))+27),1,IF(ISNUMBER($L172),$L172,$AA172)))</f>
        <v/>
      </c>
      <c r="AC172" s="62">
        <f>IF($V172="","",IF(AND(ISNUMBER($G172),$G172&lt;=IF($S172=MesCiclo,InicioCiclo,$S172+MOD(2-WEEKDAY($S172),7))+6),1,IF(N($W172)&gt;0,AVERAGEIFS($Y$5:$Y$1000,$U$5:$U$1000,ROW(),$V$5:$V$1000,"Sub"),$Y172)))</f>
        <v/>
      </c>
      <c r="AD172" s="62">
        <f>IF($V172="","",IF(AND(ISNUMBER($G172),$G172&lt;=IF($S172=MesCiclo,InicioCiclo,$S172+MOD(2-WEEKDAY($S172),7))+13),1,IF(N($W172)&gt;0,AVERAGEIFS($Z$5:$Z$1000,$U$5:$U$1000,ROW(),$V$5:$V$1000,"Sub"),$Z172)))</f>
        <v/>
      </c>
      <c r="AE172" s="62">
        <f>IF($V172="","",IF(AND(ISNUMBER($G172),$G172&lt;=IF($S172=MesCiclo,InicioCiclo,$S172+MOD(2-WEEKDAY($S172),7))+20),1,IF(N($W172)&gt;0,AVERAGEIFS($AA$5:$AA$1000,$U$5:$U$1000,ROW(),$V$5:$V$1000,"Sub"),$AA172)))</f>
        <v/>
      </c>
      <c r="AF172" s="62">
        <f>IF($V172="","",IF(AND(ISNUMBER($G172),$G172&lt;=IF($S172=MesCiclo,InicioCiclo,$S172+MOD(2-WEEKDAY($S172),7))+27),1,IF(N($W172)&gt;0,AVERAGEIFS($AB$5:$AB$1000,$U$5:$U$1000,ROW(),$V$5:$V$1000,"Sub"),$AB172)))</f>
        <v/>
      </c>
      <c r="AG172" s="62">
        <f>IF($V172&lt;&gt;"Macro","",IF(COUNTIFS($S$5:$S$1000,$S172,$V$5:$V$1000,"Macro",$H$5:$H$1000,"&gt;0")=0,1/COUNTIFS($S$5:$S$1000,$S172,$V$5:$V$1000,"Macro"),IF(AND(ISNUMBER($H172),N($H172)&gt;0),$H172,SUMIFS($H$5:$H$1000,$S$5:$S$1000,$S172,$V$5:$V$1000,"Macro")/COUNTIFS($S$5:$S$1000,$S172,$V$5:$V$1000,"Macro",$H$5:$H$1000,"&gt;0"))/(COUNTIFS($S$5:$S$1000,$S172,$V$5:$V$1000,"Macro")*SUMIFS($H$5:$H$1000,$S$5:$S$1000,$S172,$V$5:$V$1000,"Macro")/COUNTIFS($S$5:$S$1000,$S172,$V$5:$V$1000,"Macro",$H$5:$H$1000,"&gt;0"))))</f>
        <v/>
      </c>
      <c r="AH172" s="62">
        <f>IF(NOT(AND($D172&lt;&gt;"",$V172="Macro")),"",IFERROR(CHOOSE(MATCH($D172,ListaPuestos,0),MATCH("[Jefatura] "&amp;$C172,'Cronograma R. Operacional'!$C$5:$C$1000,0),MATCH("[Jefatura] "&amp;$C172,'Cronograma R. Normativo'!$C$5:$C$1000,0),MATCH("[Jefatura] "&amp;$C172,'Cronograma R. Financiero'!$C$5:$C$1000,0),MATCH("[Jefatura] "&amp;$C172,'Cronograma Asistente Técnico'!$C$5:$C$1000,0)),0))</f>
        <v/>
      </c>
      <c r="AI172" s="62">
        <f>IF(AND(AND($D172&lt;&gt;"",$V172="Macro"),$S172=MesCiclo),COUNTIFS($D$5:$D172,$D172,$S$5:$S172,MesCiclo,$V$5:$V172,"Macro"),"")</f>
        <v/>
      </c>
      <c r="AJ172" s="62">
        <f>IF($AI172="","",$D172&amp;"|"&amp;$AI172)</f>
        <v/>
      </c>
      <c r="AK172" s="62">
        <f>IF(AND($D172&lt;&gt;"",$V172="Macro"),$D172&amp;"|"&amp;$C172,"")</f>
        <v/>
      </c>
      <c r="AL172" s="62">
        <f>""</f>
        <v/>
      </c>
      <c r="AM172" s="62">
        <f>IF(N($AL172)&gt;0,INDEX(rIni_ADM,$AL172),IF(ISNUMBER($E172),$E172,""))</f>
        <v/>
      </c>
      <c r="AN172" s="62">
        <f>IF(N($AL172)&gt;0,INDEX(rLim_ADM,$AL172),IF(ISNUMBER($F172),$F172,""))</f>
        <v/>
      </c>
    </row>
    <row r="173">
      <c r="A173" s="56">
        <f>IF(NOT((COUNTA($B173:$D173)+COUNTA($G173:$L173)+COUNTA($Q173))&gt;0),"",IF($V173="Macro",COUNTIFS($V$5:$V173,"Macro",$S$5:$S173,$S173),IF(N($U173)=0,"?",COUNTIFS(INDEX($V$5:$V$1000,1):INDEX($V$5:$V$1000,$U173-4),"Macro",INDEX($S$5:$S$1000,1):INDEX($S$5:$S$1000,$U173-4),INDEX($S$5:$S$1000,$U173-4))&amp;"."&amp;COUNTIFS($U$5:$U173,$U173,$V$5:$V173,"Sub"))))</f>
        <v/>
      </c>
      <c r="B173" s="57" t="n"/>
      <c r="C173" s="58" t="n"/>
      <c r="D173" s="58" t="n"/>
      <c r="E173" s="59" t="n"/>
      <c r="F173" s="59" t="n"/>
      <c r="G173" s="59" t="n"/>
      <c r="H173" s="60" t="n"/>
      <c r="I173" s="60" t="n"/>
      <c r="J173" s="60" t="n"/>
      <c r="K173" s="60" t="n"/>
      <c r="L173" s="60" t="n"/>
      <c r="M173" s="61">
        <f>IF(NOT((COUNTA($B173:$D173)+COUNTA($G173:$L173)+COUNTA($Q173))&gt;0),"",IF(AND($D173&lt;&gt;"",$V173="Macro"),IF(N($AH173)&gt;0,N(CHOOSE(MATCH($D173,ListaPuestos,0),INDEX('Cronograma R. Operacional'!$M$5:$M$1000,$AH173),INDEX('Cronograma R. Normativo'!$M$5:$M$1000,$AH173),INDEX('Cronograma R. Financiero'!$M$5:$M$1000,$AH173),INDEX('Cronograma Asistente Técnico'!$M$5:$M$1000,$AH173))),0),IF(ISNUMBER($G173),1,IF(N($W173)&gt;0,AVERAGEIFS($X$5:$X$1000,$U$5:$U$1000,ROW(),$V$5:$V$1000,"Sub"),$X173))))</f>
        <v/>
      </c>
      <c r="N173" s="56">
        <f>IF($M173="","",IF($M173&gt;=1,"Completado",IF($M173&gt;0,"En curso","Pendiente")))</f>
        <v/>
      </c>
      <c r="O173" s="56">
        <f>IF(NOT((COUNTA($B173:$D173)+COUNTA($G173:$L173)+COUNTA($Q173))&gt;0),"",IF(AND(AND($D173&lt;&gt;"",$V173="Macro"),N($AH173)&gt;0),CHOOSE(MATCH($D173,ListaPuestos,0),INDEX('Cronograma R. Operacional'!$O$5:$O$1000,$AH173),INDEX('Cronograma R. Normativo'!$O$5:$O$1000,$AH173),INDEX('Cronograma R. Financiero'!$O$5:$O$1000,$AH173),INDEX('Cronograma Asistente Técnico'!$O$5:$O$1000,$AH173))&amp;"",IF(ISNUMBER($G173),IF(AND(ISNUMBER($AN173),$G173&gt;$AN173),"Cumplida con "&amp;($G173-$AN173)&amp;IF($G173-$AN173=1," día"," días")&amp;" de retraso","Cumplida"),IF(N($M173)&gt;=1,"Cumplida",IF(NOT(ISNUMBER($AN173)),"Sin fecha límite",IF($AN173&lt;FechaRef,"Vencida hace "&amp;(FechaRef-$AN173)&amp;IF(FechaRef-$AN173=1," día"," días"),IF($AN173=FechaRef,"Vence hoy",IF($AN173-FechaRef&lt;=DiasAlerta,"Vence en "&amp;($AN173-FechaRef)&amp;IF($AN173-FechaRef=1," día"," días"),"En plazo"))))))))</f>
        <v/>
      </c>
      <c r="P173" s="62">
        <f>IF(NOT((COUNTA($B173:$D173)+COUNTA($G173:$L173)+COUNTA($Q173))&gt;0),"",IF($D173="","Propia",IF($V173&lt;&gt;"Macro","Solo se delegan macroactividades",IF(N($AH173)&gt;0,"✔ Recibida por "&amp;$D173,"⚠ "&amp;$D173&amp;" aún no la agrega"))))</f>
        <v/>
      </c>
      <c r="Q173" s="58" t="n"/>
      <c r="R173" s="63">
        <f>IF(NOT((COUNTA($B173:$D173)+COUNTA($G173:$L173)+COUNTA($Q173))&gt;0),"",IF((IF($C173="","Falta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",""))="","✔ OK","⚠ "&amp;LEFT(IF($C173="","Falta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",""),LEN(IF($C173="","Falta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",""))-3)))</f>
        <v/>
      </c>
      <c r="S173" s="64">
        <f>IF(NOT((COUNTA($B173:$D173)+COUNTA($G173:$L173)+COUNTA($Q173))&gt;0),"",IF(AND($V173="Sub",N($U173)&gt;0),IF(ISNUMBER(INDEX($AM$5:$AM$1000,$U173-4)),DATE(YEAR(INDEX($AM$5:$AM$1000,$U173-4)),MONTH(INDEX($AM$5:$AM$1000,$U173-4)),1),IF(ISNUMBER(INDEX($AN$5:$AN$1000,$U173-4)),DATE(YEAR(INDEX($AN$5:$AN$1000,$U173-4)),MONTH(INDEX($AN$5:$AN$1000,$U173-4)),1),MesCiclo)),IF(ISNUMBER($AM173),DATE(YEAR($AM173),MONTH($AM173),1),IF(ISNUMBER($AN173),DATE(YEAR($AN173),MONTH($AN173),1),MesCiclo))))</f>
        <v/>
      </c>
      <c r="T173" s="62">
        <f>IF(OR($S173="",$S173&lt;&gt;MesCiclo),"",COUNTIF($S$5:$S173,MesCiclo))</f>
        <v/>
      </c>
      <c r="U173" s="62">
        <f>IF($V173="","",IF($V173="Macro",ROW(),IFERROR(LOOKUP(2,1/($V$5:$V173="Macro"),ROW($V$5:$V173)),0)))</f>
        <v/>
      </c>
      <c r="V173" s="62">
        <f>IF(NOT((COUNTA($B173:$D173)+COUNTA($G173:$L173)+COUNTA($Q173))&gt;0),"",IF($B173="Subactividad","Sub","Macro"))</f>
        <v/>
      </c>
      <c r="W173" s="62">
        <f>IF($V173="Macro",COUNTIFS($U$5:$U$1000,ROW(),$V$5:$V$1000,"Sub"),"")</f>
        <v/>
      </c>
      <c r="X173" s="62">
        <f>IF($V173="","",IF(ISNUMBER($G173),1,IFERROR(LOOKUP(2,1/($I173:$L173&lt;&gt;""),$I173:$L173),0)))</f>
        <v/>
      </c>
      <c r="Y173" s="62">
        <f>IF($V173="","",IF(AND(ISNUMBER($G173),$G173&lt;=IF($S173=MesCiclo,InicioCiclo,$S173+MOD(2-WEEKDAY($S173),7))+6),1,IF(ISNUMBER($I173),$I173,0)))</f>
        <v/>
      </c>
      <c r="Z173" s="62">
        <f>IF($V173="","",IF(AND(ISNUMBER($G173),$G173&lt;=IF($S173=MesCiclo,InicioCiclo,$S173+MOD(2-WEEKDAY($S173),7))+13),1,IF(ISNUMBER($J173),$J173,$Y173)))</f>
        <v/>
      </c>
      <c r="AA173" s="62">
        <f>IF($V173="","",IF(AND(ISNUMBER($G173),$G173&lt;=IF($S173=MesCiclo,InicioCiclo,$S173+MOD(2-WEEKDAY($S173),7))+20),1,IF(ISNUMBER($K173),$K173,$Z173)))</f>
        <v/>
      </c>
      <c r="AB173" s="62">
        <f>IF($V173="","",IF(AND(ISNUMBER($G173),$G173&lt;=IF($S173=MesCiclo,InicioCiclo,$S173+MOD(2-WEEKDAY($S173),7))+27),1,IF(ISNUMBER($L173),$L173,$AA173)))</f>
        <v/>
      </c>
      <c r="AC173" s="62">
        <f>IF($V173="","",IF(AND(ISNUMBER($G173),$G173&lt;=IF($S173=MesCiclo,InicioCiclo,$S173+MOD(2-WEEKDAY($S173),7))+6),1,IF(N($W173)&gt;0,AVERAGEIFS($Y$5:$Y$1000,$U$5:$U$1000,ROW(),$V$5:$V$1000,"Sub"),$Y173)))</f>
        <v/>
      </c>
      <c r="AD173" s="62">
        <f>IF($V173="","",IF(AND(ISNUMBER($G173),$G173&lt;=IF($S173=MesCiclo,InicioCiclo,$S173+MOD(2-WEEKDAY($S173),7))+13),1,IF(N($W173)&gt;0,AVERAGEIFS($Z$5:$Z$1000,$U$5:$U$1000,ROW(),$V$5:$V$1000,"Sub"),$Z173)))</f>
        <v/>
      </c>
      <c r="AE173" s="62">
        <f>IF($V173="","",IF(AND(ISNUMBER($G173),$G173&lt;=IF($S173=MesCiclo,InicioCiclo,$S173+MOD(2-WEEKDAY($S173),7))+20),1,IF(N($W173)&gt;0,AVERAGEIFS($AA$5:$AA$1000,$U$5:$U$1000,ROW(),$V$5:$V$1000,"Sub"),$AA173)))</f>
        <v/>
      </c>
      <c r="AF173" s="62">
        <f>IF($V173="","",IF(AND(ISNUMBER($G173),$G173&lt;=IF($S173=MesCiclo,InicioCiclo,$S173+MOD(2-WEEKDAY($S173),7))+27),1,IF(N($W173)&gt;0,AVERAGEIFS($AB$5:$AB$1000,$U$5:$U$1000,ROW(),$V$5:$V$1000,"Sub"),$AB173)))</f>
        <v/>
      </c>
      <c r="AG173" s="62">
        <f>IF($V173&lt;&gt;"Macro","",IF(COUNTIFS($S$5:$S$1000,$S173,$V$5:$V$1000,"Macro",$H$5:$H$1000,"&gt;0")=0,1/COUNTIFS($S$5:$S$1000,$S173,$V$5:$V$1000,"Macro"),IF(AND(ISNUMBER($H173),N($H173)&gt;0),$H173,SUMIFS($H$5:$H$1000,$S$5:$S$1000,$S173,$V$5:$V$1000,"Macro")/COUNTIFS($S$5:$S$1000,$S173,$V$5:$V$1000,"Macro",$H$5:$H$1000,"&gt;0"))/(COUNTIFS($S$5:$S$1000,$S173,$V$5:$V$1000,"Macro")*SUMIFS($H$5:$H$1000,$S$5:$S$1000,$S173,$V$5:$V$1000,"Macro")/COUNTIFS($S$5:$S$1000,$S173,$V$5:$V$1000,"Macro",$H$5:$H$1000,"&gt;0"))))</f>
        <v/>
      </c>
      <c r="AH173" s="62">
        <f>IF(NOT(AND($D173&lt;&gt;"",$V173="Macro")),"",IFERROR(CHOOSE(MATCH($D173,ListaPuestos,0),MATCH("[Jefatura] "&amp;$C173,'Cronograma R. Operacional'!$C$5:$C$1000,0),MATCH("[Jefatura] "&amp;$C173,'Cronograma R. Normativo'!$C$5:$C$1000,0),MATCH("[Jefatura] "&amp;$C173,'Cronograma R. Financiero'!$C$5:$C$1000,0),MATCH("[Jefatura] "&amp;$C173,'Cronograma Asistente Técnico'!$C$5:$C$1000,0)),0))</f>
        <v/>
      </c>
      <c r="AI173" s="62">
        <f>IF(AND(AND($D173&lt;&gt;"",$V173="Macro"),$S173=MesCiclo),COUNTIFS($D$5:$D173,$D173,$S$5:$S173,MesCiclo,$V$5:$V173,"Macro"),"")</f>
        <v/>
      </c>
      <c r="AJ173" s="62">
        <f>IF($AI173="","",$D173&amp;"|"&amp;$AI173)</f>
        <v/>
      </c>
      <c r="AK173" s="62">
        <f>IF(AND($D173&lt;&gt;"",$V173="Macro"),$D173&amp;"|"&amp;$C173,"")</f>
        <v/>
      </c>
      <c r="AL173" s="62">
        <f>""</f>
        <v/>
      </c>
      <c r="AM173" s="62">
        <f>IF(N($AL173)&gt;0,INDEX(rIni_ADM,$AL173),IF(ISNUMBER($E173),$E173,""))</f>
        <v/>
      </c>
      <c r="AN173" s="62">
        <f>IF(N($AL173)&gt;0,INDEX(rLim_ADM,$AL173),IF(ISNUMBER($F173),$F173,""))</f>
        <v/>
      </c>
    </row>
    <row r="174">
      <c r="A174" s="56">
        <f>IF(NOT((COUNTA($B174:$D174)+COUNTA($G174:$L174)+COUNTA($Q174))&gt;0),"",IF($V174="Macro",COUNTIFS($V$5:$V174,"Macro",$S$5:$S174,$S174),IF(N($U174)=0,"?",COUNTIFS(INDEX($V$5:$V$1000,1):INDEX($V$5:$V$1000,$U174-4),"Macro",INDEX($S$5:$S$1000,1):INDEX($S$5:$S$1000,$U174-4),INDEX($S$5:$S$1000,$U174-4))&amp;"."&amp;COUNTIFS($U$5:$U174,$U174,$V$5:$V174,"Sub"))))</f>
        <v/>
      </c>
      <c r="B174" s="57" t="n"/>
      <c r="C174" s="58" t="n"/>
      <c r="D174" s="58" t="n"/>
      <c r="E174" s="59" t="n"/>
      <c r="F174" s="59" t="n"/>
      <c r="G174" s="59" t="n"/>
      <c r="H174" s="60" t="n"/>
      <c r="I174" s="60" t="n"/>
      <c r="J174" s="60" t="n"/>
      <c r="K174" s="60" t="n"/>
      <c r="L174" s="60" t="n"/>
      <c r="M174" s="61">
        <f>IF(NOT((COUNTA($B174:$D174)+COUNTA($G174:$L174)+COUNTA($Q174))&gt;0),"",IF(AND($D174&lt;&gt;"",$V174="Macro"),IF(N($AH174)&gt;0,N(CHOOSE(MATCH($D174,ListaPuestos,0),INDEX('Cronograma R. Operacional'!$M$5:$M$1000,$AH174),INDEX('Cronograma R. Normativo'!$M$5:$M$1000,$AH174),INDEX('Cronograma R. Financiero'!$M$5:$M$1000,$AH174),INDEX('Cronograma Asistente Técnico'!$M$5:$M$1000,$AH174))),0),IF(ISNUMBER($G174),1,IF(N($W174)&gt;0,AVERAGEIFS($X$5:$X$1000,$U$5:$U$1000,ROW(),$V$5:$V$1000,"Sub"),$X174))))</f>
        <v/>
      </c>
      <c r="N174" s="56">
        <f>IF($M174="","",IF($M174&gt;=1,"Completado",IF($M174&gt;0,"En curso","Pendiente")))</f>
        <v/>
      </c>
      <c r="O174" s="56">
        <f>IF(NOT((COUNTA($B174:$D174)+COUNTA($G174:$L174)+COUNTA($Q174))&gt;0),"",IF(AND(AND($D174&lt;&gt;"",$V174="Macro"),N($AH174)&gt;0),CHOOSE(MATCH($D174,ListaPuestos,0),INDEX('Cronograma R. Operacional'!$O$5:$O$1000,$AH174),INDEX('Cronograma R. Normativo'!$O$5:$O$1000,$AH174),INDEX('Cronograma R. Financiero'!$O$5:$O$1000,$AH174),INDEX('Cronograma Asistente Técnico'!$O$5:$O$1000,$AH174))&amp;"",IF(ISNUMBER($G174),IF(AND(ISNUMBER($AN174),$G174&gt;$AN174),"Cumplida con "&amp;($G174-$AN174)&amp;IF($G174-$AN174=1," día"," días")&amp;" de retraso","Cumplida"),IF(N($M174)&gt;=1,"Cumplida",IF(NOT(ISNUMBER($AN174)),"Sin fecha límite",IF($AN174&lt;FechaRef,"Vencida hace "&amp;(FechaRef-$AN174)&amp;IF(FechaRef-$AN174=1," día"," días"),IF($AN174=FechaRef,"Vence hoy",IF($AN174-FechaRef&lt;=DiasAlerta,"Vence en "&amp;($AN174-FechaRef)&amp;IF($AN174-FechaRef=1," día"," días"),"En plazo"))))))))</f>
        <v/>
      </c>
      <c r="P174" s="62">
        <f>IF(NOT((COUNTA($B174:$D174)+COUNTA($G174:$L174)+COUNTA($Q174))&gt;0),"",IF($D174="","Propia",IF($V174&lt;&gt;"Macro","Solo se delegan macroactividades",IF(N($AH174)&gt;0,"✔ Recibida por "&amp;$D174,"⚠ "&amp;$D174&amp;" aún no la agrega"))))</f>
        <v/>
      </c>
      <c r="Q174" s="58" t="n"/>
      <c r="R174" s="63">
        <f>IF(NOT((COUNTA($B174:$D174)+COUNTA($G174:$L174)+COUNTA($Q174))&gt;0),"",IF((IF($C174="","Falta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",""))="","✔ OK","⚠ "&amp;LEFT(IF($C174="","Falta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",""),LEN(IF($C174="","Falta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",""))-3)))</f>
        <v/>
      </c>
      <c r="S174" s="64">
        <f>IF(NOT((COUNTA($B174:$D174)+COUNTA($G174:$L174)+COUNTA($Q174))&gt;0),"",IF(AND($V174="Sub",N($U174)&gt;0),IF(ISNUMBER(INDEX($AM$5:$AM$1000,$U174-4)),DATE(YEAR(INDEX($AM$5:$AM$1000,$U174-4)),MONTH(INDEX($AM$5:$AM$1000,$U174-4)),1),IF(ISNUMBER(INDEX($AN$5:$AN$1000,$U174-4)),DATE(YEAR(INDEX($AN$5:$AN$1000,$U174-4)),MONTH(INDEX($AN$5:$AN$1000,$U174-4)),1),MesCiclo)),IF(ISNUMBER($AM174),DATE(YEAR($AM174),MONTH($AM174),1),IF(ISNUMBER($AN174),DATE(YEAR($AN174),MONTH($AN174),1),MesCiclo))))</f>
        <v/>
      </c>
      <c r="T174" s="62">
        <f>IF(OR($S174="",$S174&lt;&gt;MesCiclo),"",COUNTIF($S$5:$S174,MesCiclo))</f>
        <v/>
      </c>
      <c r="U174" s="62">
        <f>IF($V174="","",IF($V174="Macro",ROW(),IFERROR(LOOKUP(2,1/($V$5:$V174="Macro"),ROW($V$5:$V174)),0)))</f>
        <v/>
      </c>
      <c r="V174" s="62">
        <f>IF(NOT((COUNTA($B174:$D174)+COUNTA($G174:$L174)+COUNTA($Q174))&gt;0),"",IF($B174="Subactividad","Sub","Macro"))</f>
        <v/>
      </c>
      <c r="W174" s="62">
        <f>IF($V174="Macro",COUNTIFS($U$5:$U$1000,ROW(),$V$5:$V$1000,"Sub"),"")</f>
        <v/>
      </c>
      <c r="X174" s="62">
        <f>IF($V174="","",IF(ISNUMBER($G174),1,IFERROR(LOOKUP(2,1/($I174:$L174&lt;&gt;""),$I174:$L174),0)))</f>
        <v/>
      </c>
      <c r="Y174" s="62">
        <f>IF($V174="","",IF(AND(ISNUMBER($G174),$G174&lt;=IF($S174=MesCiclo,InicioCiclo,$S174+MOD(2-WEEKDAY($S174),7))+6),1,IF(ISNUMBER($I174),$I174,0)))</f>
        <v/>
      </c>
      <c r="Z174" s="62">
        <f>IF($V174="","",IF(AND(ISNUMBER($G174),$G174&lt;=IF($S174=MesCiclo,InicioCiclo,$S174+MOD(2-WEEKDAY($S174),7))+13),1,IF(ISNUMBER($J174),$J174,$Y174)))</f>
        <v/>
      </c>
      <c r="AA174" s="62">
        <f>IF($V174="","",IF(AND(ISNUMBER($G174),$G174&lt;=IF($S174=MesCiclo,InicioCiclo,$S174+MOD(2-WEEKDAY($S174),7))+20),1,IF(ISNUMBER($K174),$K174,$Z174)))</f>
        <v/>
      </c>
      <c r="AB174" s="62">
        <f>IF($V174="","",IF(AND(ISNUMBER($G174),$G174&lt;=IF($S174=MesCiclo,InicioCiclo,$S174+MOD(2-WEEKDAY($S174),7))+27),1,IF(ISNUMBER($L174),$L174,$AA174)))</f>
        <v/>
      </c>
      <c r="AC174" s="62">
        <f>IF($V174="","",IF(AND(ISNUMBER($G174),$G174&lt;=IF($S174=MesCiclo,InicioCiclo,$S174+MOD(2-WEEKDAY($S174),7))+6),1,IF(N($W174)&gt;0,AVERAGEIFS($Y$5:$Y$1000,$U$5:$U$1000,ROW(),$V$5:$V$1000,"Sub"),$Y174)))</f>
        <v/>
      </c>
      <c r="AD174" s="62">
        <f>IF($V174="","",IF(AND(ISNUMBER($G174),$G174&lt;=IF($S174=MesCiclo,InicioCiclo,$S174+MOD(2-WEEKDAY($S174),7))+13),1,IF(N($W174)&gt;0,AVERAGEIFS($Z$5:$Z$1000,$U$5:$U$1000,ROW(),$V$5:$V$1000,"Sub"),$Z174)))</f>
        <v/>
      </c>
      <c r="AE174" s="62">
        <f>IF($V174="","",IF(AND(ISNUMBER($G174),$G174&lt;=IF($S174=MesCiclo,InicioCiclo,$S174+MOD(2-WEEKDAY($S174),7))+20),1,IF(N($W174)&gt;0,AVERAGEIFS($AA$5:$AA$1000,$U$5:$U$1000,ROW(),$V$5:$V$1000,"Sub"),$AA174)))</f>
        <v/>
      </c>
      <c r="AF174" s="62">
        <f>IF($V174="","",IF(AND(ISNUMBER($G174),$G174&lt;=IF($S174=MesCiclo,InicioCiclo,$S174+MOD(2-WEEKDAY($S174),7))+27),1,IF(N($W174)&gt;0,AVERAGEIFS($AB$5:$AB$1000,$U$5:$U$1000,ROW(),$V$5:$V$1000,"Sub"),$AB174)))</f>
        <v/>
      </c>
      <c r="AG174" s="62">
        <f>IF($V174&lt;&gt;"Macro","",IF(COUNTIFS($S$5:$S$1000,$S174,$V$5:$V$1000,"Macro",$H$5:$H$1000,"&gt;0")=0,1/COUNTIFS($S$5:$S$1000,$S174,$V$5:$V$1000,"Macro"),IF(AND(ISNUMBER($H174),N($H174)&gt;0),$H174,SUMIFS($H$5:$H$1000,$S$5:$S$1000,$S174,$V$5:$V$1000,"Macro")/COUNTIFS($S$5:$S$1000,$S174,$V$5:$V$1000,"Macro",$H$5:$H$1000,"&gt;0"))/(COUNTIFS($S$5:$S$1000,$S174,$V$5:$V$1000,"Macro")*SUMIFS($H$5:$H$1000,$S$5:$S$1000,$S174,$V$5:$V$1000,"Macro")/COUNTIFS($S$5:$S$1000,$S174,$V$5:$V$1000,"Macro",$H$5:$H$1000,"&gt;0"))))</f>
        <v/>
      </c>
      <c r="AH174" s="62">
        <f>IF(NOT(AND($D174&lt;&gt;"",$V174="Macro")),"",IFERROR(CHOOSE(MATCH($D174,ListaPuestos,0),MATCH("[Jefatura] "&amp;$C174,'Cronograma R. Operacional'!$C$5:$C$1000,0),MATCH("[Jefatura] "&amp;$C174,'Cronograma R. Normativo'!$C$5:$C$1000,0),MATCH("[Jefatura] "&amp;$C174,'Cronograma R. Financiero'!$C$5:$C$1000,0),MATCH("[Jefatura] "&amp;$C174,'Cronograma Asistente Técnico'!$C$5:$C$1000,0)),0))</f>
        <v/>
      </c>
      <c r="AI174" s="62">
        <f>IF(AND(AND($D174&lt;&gt;"",$V174="Macro"),$S174=MesCiclo),COUNTIFS($D$5:$D174,$D174,$S$5:$S174,MesCiclo,$V$5:$V174,"Macro"),"")</f>
        <v/>
      </c>
      <c r="AJ174" s="62">
        <f>IF($AI174="","",$D174&amp;"|"&amp;$AI174)</f>
        <v/>
      </c>
      <c r="AK174" s="62">
        <f>IF(AND($D174&lt;&gt;"",$V174="Macro"),$D174&amp;"|"&amp;$C174,"")</f>
        <v/>
      </c>
      <c r="AL174" s="62">
        <f>""</f>
        <v/>
      </c>
      <c r="AM174" s="62">
        <f>IF(N($AL174)&gt;0,INDEX(rIni_ADM,$AL174),IF(ISNUMBER($E174),$E174,""))</f>
        <v/>
      </c>
      <c r="AN174" s="62">
        <f>IF(N($AL174)&gt;0,INDEX(rLim_ADM,$AL174),IF(ISNUMBER($F174),$F174,""))</f>
        <v/>
      </c>
    </row>
    <row r="175">
      <c r="A175" s="56">
        <f>IF(NOT((COUNTA($B175:$D175)+COUNTA($G175:$L175)+COUNTA($Q175))&gt;0),"",IF($V175="Macro",COUNTIFS($V$5:$V175,"Macro",$S$5:$S175,$S175),IF(N($U175)=0,"?",COUNTIFS(INDEX($V$5:$V$1000,1):INDEX($V$5:$V$1000,$U175-4),"Macro",INDEX($S$5:$S$1000,1):INDEX($S$5:$S$1000,$U175-4),INDEX($S$5:$S$1000,$U175-4))&amp;"."&amp;COUNTIFS($U$5:$U175,$U175,$V$5:$V175,"Sub"))))</f>
        <v/>
      </c>
      <c r="B175" s="57" t="n"/>
      <c r="C175" s="58" t="n"/>
      <c r="D175" s="58" t="n"/>
      <c r="E175" s="59" t="n"/>
      <c r="F175" s="59" t="n"/>
      <c r="G175" s="59" t="n"/>
      <c r="H175" s="60" t="n"/>
      <c r="I175" s="60" t="n"/>
      <c r="J175" s="60" t="n"/>
      <c r="K175" s="60" t="n"/>
      <c r="L175" s="60" t="n"/>
      <c r="M175" s="61">
        <f>IF(NOT((COUNTA($B175:$D175)+COUNTA($G175:$L175)+COUNTA($Q175))&gt;0),"",IF(AND($D175&lt;&gt;"",$V175="Macro"),IF(N($AH175)&gt;0,N(CHOOSE(MATCH($D175,ListaPuestos,0),INDEX('Cronograma R. Operacional'!$M$5:$M$1000,$AH175),INDEX('Cronograma R. Normativo'!$M$5:$M$1000,$AH175),INDEX('Cronograma R. Financiero'!$M$5:$M$1000,$AH175),INDEX('Cronograma Asistente Técnico'!$M$5:$M$1000,$AH175))),0),IF(ISNUMBER($G175),1,IF(N($W175)&gt;0,AVERAGEIFS($X$5:$X$1000,$U$5:$U$1000,ROW(),$V$5:$V$1000,"Sub"),$X175))))</f>
        <v/>
      </c>
      <c r="N175" s="56">
        <f>IF($M175="","",IF($M175&gt;=1,"Completado",IF($M175&gt;0,"En curso","Pendiente")))</f>
        <v/>
      </c>
      <c r="O175" s="56">
        <f>IF(NOT((COUNTA($B175:$D175)+COUNTA($G175:$L175)+COUNTA($Q175))&gt;0),"",IF(AND(AND($D175&lt;&gt;"",$V175="Macro"),N($AH175)&gt;0),CHOOSE(MATCH($D175,ListaPuestos,0),INDEX('Cronograma R. Operacional'!$O$5:$O$1000,$AH175),INDEX('Cronograma R. Normativo'!$O$5:$O$1000,$AH175),INDEX('Cronograma R. Financiero'!$O$5:$O$1000,$AH175),INDEX('Cronograma Asistente Técnico'!$O$5:$O$1000,$AH175))&amp;"",IF(ISNUMBER($G175),IF(AND(ISNUMBER($AN175),$G175&gt;$AN175),"Cumplida con "&amp;($G175-$AN175)&amp;IF($G175-$AN175=1," día"," días")&amp;" de retraso","Cumplida"),IF(N($M175)&gt;=1,"Cumplida",IF(NOT(ISNUMBER($AN175)),"Sin fecha límite",IF($AN175&lt;FechaRef,"Vencida hace "&amp;(FechaRef-$AN175)&amp;IF(FechaRef-$AN175=1," día"," días"),IF($AN175=FechaRef,"Vence hoy",IF($AN175-FechaRef&lt;=DiasAlerta,"Vence en "&amp;($AN175-FechaRef)&amp;IF($AN175-FechaRef=1," día"," días"),"En plazo"))))))))</f>
        <v/>
      </c>
      <c r="P175" s="62">
        <f>IF(NOT((COUNTA($B175:$D175)+COUNTA($G175:$L175)+COUNTA($Q175))&gt;0),"",IF($D175="","Propia",IF($V175&lt;&gt;"Macro","Solo se delegan macroactividades",IF(N($AH175)&gt;0,"✔ Recibida por "&amp;$D175,"⚠ "&amp;$D175&amp;" aún no la agrega"))))</f>
        <v/>
      </c>
      <c r="Q175" s="58" t="n"/>
      <c r="R175" s="63">
        <f>IF(NOT((COUNTA($B175:$D175)+COUNTA($G175:$L175)+COUNTA($Q175))&gt;0),"",IF((IF($C175="","Falta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",""))="","✔ OK","⚠ "&amp;LEFT(IF($C175="","Falta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",""),LEN(IF($C175="","Falta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",""))-3)))</f>
        <v/>
      </c>
      <c r="S175" s="64">
        <f>IF(NOT((COUNTA($B175:$D175)+COUNTA($G175:$L175)+COUNTA($Q175))&gt;0),"",IF(AND($V175="Sub",N($U175)&gt;0),IF(ISNUMBER(INDEX($AM$5:$AM$1000,$U175-4)),DATE(YEAR(INDEX($AM$5:$AM$1000,$U175-4)),MONTH(INDEX($AM$5:$AM$1000,$U175-4)),1),IF(ISNUMBER(INDEX($AN$5:$AN$1000,$U175-4)),DATE(YEAR(INDEX($AN$5:$AN$1000,$U175-4)),MONTH(INDEX($AN$5:$AN$1000,$U175-4)),1),MesCiclo)),IF(ISNUMBER($AM175),DATE(YEAR($AM175),MONTH($AM175),1),IF(ISNUMBER($AN175),DATE(YEAR($AN175),MONTH($AN175),1),MesCiclo))))</f>
        <v/>
      </c>
      <c r="T175" s="62">
        <f>IF(OR($S175="",$S175&lt;&gt;MesCiclo),"",COUNTIF($S$5:$S175,MesCiclo))</f>
        <v/>
      </c>
      <c r="U175" s="62">
        <f>IF($V175="","",IF($V175="Macro",ROW(),IFERROR(LOOKUP(2,1/($V$5:$V175="Macro"),ROW($V$5:$V175)),0)))</f>
        <v/>
      </c>
      <c r="V175" s="62">
        <f>IF(NOT((COUNTA($B175:$D175)+COUNTA($G175:$L175)+COUNTA($Q175))&gt;0),"",IF($B175="Subactividad","Sub","Macro"))</f>
        <v/>
      </c>
      <c r="W175" s="62">
        <f>IF($V175="Macro",COUNTIFS($U$5:$U$1000,ROW(),$V$5:$V$1000,"Sub"),"")</f>
        <v/>
      </c>
      <c r="X175" s="62">
        <f>IF($V175="","",IF(ISNUMBER($G175),1,IFERROR(LOOKUP(2,1/($I175:$L175&lt;&gt;""),$I175:$L175),0)))</f>
        <v/>
      </c>
      <c r="Y175" s="62">
        <f>IF($V175="","",IF(AND(ISNUMBER($G175),$G175&lt;=IF($S175=MesCiclo,InicioCiclo,$S175+MOD(2-WEEKDAY($S175),7))+6),1,IF(ISNUMBER($I175),$I175,0)))</f>
        <v/>
      </c>
      <c r="Z175" s="62">
        <f>IF($V175="","",IF(AND(ISNUMBER($G175),$G175&lt;=IF($S175=MesCiclo,InicioCiclo,$S175+MOD(2-WEEKDAY($S175),7))+13),1,IF(ISNUMBER($J175),$J175,$Y175)))</f>
        <v/>
      </c>
      <c r="AA175" s="62">
        <f>IF($V175="","",IF(AND(ISNUMBER($G175),$G175&lt;=IF($S175=MesCiclo,InicioCiclo,$S175+MOD(2-WEEKDAY($S175),7))+20),1,IF(ISNUMBER($K175),$K175,$Z175)))</f>
        <v/>
      </c>
      <c r="AB175" s="62">
        <f>IF($V175="","",IF(AND(ISNUMBER($G175),$G175&lt;=IF($S175=MesCiclo,InicioCiclo,$S175+MOD(2-WEEKDAY($S175),7))+27),1,IF(ISNUMBER($L175),$L175,$AA175)))</f>
        <v/>
      </c>
      <c r="AC175" s="62">
        <f>IF($V175="","",IF(AND(ISNUMBER($G175),$G175&lt;=IF($S175=MesCiclo,InicioCiclo,$S175+MOD(2-WEEKDAY($S175),7))+6),1,IF(N($W175)&gt;0,AVERAGEIFS($Y$5:$Y$1000,$U$5:$U$1000,ROW(),$V$5:$V$1000,"Sub"),$Y175)))</f>
        <v/>
      </c>
      <c r="AD175" s="62">
        <f>IF($V175="","",IF(AND(ISNUMBER($G175),$G175&lt;=IF($S175=MesCiclo,InicioCiclo,$S175+MOD(2-WEEKDAY($S175),7))+13),1,IF(N($W175)&gt;0,AVERAGEIFS($Z$5:$Z$1000,$U$5:$U$1000,ROW(),$V$5:$V$1000,"Sub"),$Z175)))</f>
        <v/>
      </c>
      <c r="AE175" s="62">
        <f>IF($V175="","",IF(AND(ISNUMBER($G175),$G175&lt;=IF($S175=MesCiclo,InicioCiclo,$S175+MOD(2-WEEKDAY($S175),7))+20),1,IF(N($W175)&gt;0,AVERAGEIFS($AA$5:$AA$1000,$U$5:$U$1000,ROW(),$V$5:$V$1000,"Sub"),$AA175)))</f>
        <v/>
      </c>
      <c r="AF175" s="62">
        <f>IF($V175="","",IF(AND(ISNUMBER($G175),$G175&lt;=IF($S175=MesCiclo,InicioCiclo,$S175+MOD(2-WEEKDAY($S175),7))+27),1,IF(N($W175)&gt;0,AVERAGEIFS($AB$5:$AB$1000,$U$5:$U$1000,ROW(),$V$5:$V$1000,"Sub"),$AB175)))</f>
        <v/>
      </c>
      <c r="AG175" s="62">
        <f>IF($V175&lt;&gt;"Macro","",IF(COUNTIFS($S$5:$S$1000,$S175,$V$5:$V$1000,"Macro",$H$5:$H$1000,"&gt;0")=0,1/COUNTIFS($S$5:$S$1000,$S175,$V$5:$V$1000,"Macro"),IF(AND(ISNUMBER($H175),N($H175)&gt;0),$H175,SUMIFS($H$5:$H$1000,$S$5:$S$1000,$S175,$V$5:$V$1000,"Macro")/COUNTIFS($S$5:$S$1000,$S175,$V$5:$V$1000,"Macro",$H$5:$H$1000,"&gt;0"))/(COUNTIFS($S$5:$S$1000,$S175,$V$5:$V$1000,"Macro")*SUMIFS($H$5:$H$1000,$S$5:$S$1000,$S175,$V$5:$V$1000,"Macro")/COUNTIFS($S$5:$S$1000,$S175,$V$5:$V$1000,"Macro",$H$5:$H$1000,"&gt;0"))))</f>
        <v/>
      </c>
      <c r="AH175" s="62">
        <f>IF(NOT(AND($D175&lt;&gt;"",$V175="Macro")),"",IFERROR(CHOOSE(MATCH($D175,ListaPuestos,0),MATCH("[Jefatura] "&amp;$C175,'Cronograma R. Operacional'!$C$5:$C$1000,0),MATCH("[Jefatura] "&amp;$C175,'Cronograma R. Normativo'!$C$5:$C$1000,0),MATCH("[Jefatura] "&amp;$C175,'Cronograma R. Financiero'!$C$5:$C$1000,0),MATCH("[Jefatura] "&amp;$C175,'Cronograma Asistente Técnico'!$C$5:$C$1000,0)),0))</f>
        <v/>
      </c>
      <c r="AI175" s="62">
        <f>IF(AND(AND($D175&lt;&gt;"",$V175="Macro"),$S175=MesCiclo),COUNTIFS($D$5:$D175,$D175,$S$5:$S175,MesCiclo,$V$5:$V175,"Macro"),"")</f>
        <v/>
      </c>
      <c r="AJ175" s="62">
        <f>IF($AI175="","",$D175&amp;"|"&amp;$AI175)</f>
        <v/>
      </c>
      <c r="AK175" s="62">
        <f>IF(AND($D175&lt;&gt;"",$V175="Macro"),$D175&amp;"|"&amp;$C175,"")</f>
        <v/>
      </c>
      <c r="AL175" s="62">
        <f>""</f>
        <v/>
      </c>
      <c r="AM175" s="62">
        <f>IF(N($AL175)&gt;0,INDEX(rIni_ADM,$AL175),IF(ISNUMBER($E175),$E175,""))</f>
        <v/>
      </c>
      <c r="AN175" s="62">
        <f>IF(N($AL175)&gt;0,INDEX(rLim_ADM,$AL175),IF(ISNUMBER($F175),$F175,""))</f>
        <v/>
      </c>
    </row>
    <row r="176">
      <c r="A176" s="56">
        <f>IF(NOT((COUNTA($B176:$D176)+COUNTA($G176:$L176)+COUNTA($Q176))&gt;0),"",IF($V176="Macro",COUNTIFS($V$5:$V176,"Macro",$S$5:$S176,$S176),IF(N($U176)=0,"?",COUNTIFS(INDEX($V$5:$V$1000,1):INDEX($V$5:$V$1000,$U176-4),"Macro",INDEX($S$5:$S$1000,1):INDEX($S$5:$S$1000,$U176-4),INDEX($S$5:$S$1000,$U176-4))&amp;"."&amp;COUNTIFS($U$5:$U176,$U176,$V$5:$V176,"Sub"))))</f>
        <v/>
      </c>
      <c r="B176" s="57" t="n"/>
      <c r="C176" s="58" t="n"/>
      <c r="D176" s="58" t="n"/>
      <c r="E176" s="59" t="n"/>
      <c r="F176" s="59" t="n"/>
      <c r="G176" s="59" t="n"/>
      <c r="H176" s="60" t="n"/>
      <c r="I176" s="60" t="n"/>
      <c r="J176" s="60" t="n"/>
      <c r="K176" s="60" t="n"/>
      <c r="L176" s="60" t="n"/>
      <c r="M176" s="61">
        <f>IF(NOT((COUNTA($B176:$D176)+COUNTA($G176:$L176)+COUNTA($Q176))&gt;0),"",IF(AND($D176&lt;&gt;"",$V176="Macro"),IF(N($AH176)&gt;0,N(CHOOSE(MATCH($D176,ListaPuestos,0),INDEX('Cronograma R. Operacional'!$M$5:$M$1000,$AH176),INDEX('Cronograma R. Normativo'!$M$5:$M$1000,$AH176),INDEX('Cronograma R. Financiero'!$M$5:$M$1000,$AH176),INDEX('Cronograma Asistente Técnico'!$M$5:$M$1000,$AH176))),0),IF(ISNUMBER($G176),1,IF(N($W176)&gt;0,AVERAGEIFS($X$5:$X$1000,$U$5:$U$1000,ROW(),$V$5:$V$1000,"Sub"),$X176))))</f>
        <v/>
      </c>
      <c r="N176" s="56">
        <f>IF($M176="","",IF($M176&gt;=1,"Completado",IF($M176&gt;0,"En curso","Pendiente")))</f>
        <v/>
      </c>
      <c r="O176" s="56">
        <f>IF(NOT((COUNTA($B176:$D176)+COUNTA($G176:$L176)+COUNTA($Q176))&gt;0),"",IF(AND(AND($D176&lt;&gt;"",$V176="Macro"),N($AH176)&gt;0),CHOOSE(MATCH($D176,ListaPuestos,0),INDEX('Cronograma R. Operacional'!$O$5:$O$1000,$AH176),INDEX('Cronograma R. Normativo'!$O$5:$O$1000,$AH176),INDEX('Cronograma R. Financiero'!$O$5:$O$1000,$AH176),INDEX('Cronograma Asistente Técnico'!$O$5:$O$1000,$AH176))&amp;"",IF(ISNUMBER($G176),IF(AND(ISNUMBER($AN176),$G176&gt;$AN176),"Cumplida con "&amp;($G176-$AN176)&amp;IF($G176-$AN176=1," día"," días")&amp;" de retraso","Cumplida"),IF(N($M176)&gt;=1,"Cumplida",IF(NOT(ISNUMBER($AN176)),"Sin fecha límite",IF($AN176&lt;FechaRef,"Vencida hace "&amp;(FechaRef-$AN176)&amp;IF(FechaRef-$AN176=1," día"," días"),IF($AN176=FechaRef,"Vence hoy",IF($AN176-FechaRef&lt;=DiasAlerta,"Vence en "&amp;($AN176-FechaRef)&amp;IF($AN176-FechaRef=1," día"," días"),"En plazo"))))))))</f>
        <v/>
      </c>
      <c r="P176" s="62">
        <f>IF(NOT((COUNTA($B176:$D176)+COUNTA($G176:$L176)+COUNTA($Q176))&gt;0),"",IF($D176="","Propia",IF($V176&lt;&gt;"Macro","Solo se delegan macroactividades",IF(N($AH176)&gt;0,"✔ Recibida por "&amp;$D176,"⚠ "&amp;$D176&amp;" aún no la agrega"))))</f>
        <v/>
      </c>
      <c r="Q176" s="58" t="n"/>
      <c r="R176" s="63">
        <f>IF(NOT((COUNTA($B176:$D176)+COUNTA($G176:$L176)+COUNTA($Q176))&gt;0),"",IF((IF($C176="","Falta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",""))="","✔ OK","⚠ "&amp;LEFT(IF($C176="","Falta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",""),LEN(IF($C176="","Falta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",""))-3)))</f>
        <v/>
      </c>
      <c r="S176" s="64">
        <f>IF(NOT((COUNTA($B176:$D176)+COUNTA($G176:$L176)+COUNTA($Q176))&gt;0),"",IF(AND($V176="Sub",N($U176)&gt;0),IF(ISNUMBER(INDEX($AM$5:$AM$1000,$U176-4)),DATE(YEAR(INDEX($AM$5:$AM$1000,$U176-4)),MONTH(INDEX($AM$5:$AM$1000,$U176-4)),1),IF(ISNUMBER(INDEX($AN$5:$AN$1000,$U176-4)),DATE(YEAR(INDEX($AN$5:$AN$1000,$U176-4)),MONTH(INDEX($AN$5:$AN$1000,$U176-4)),1),MesCiclo)),IF(ISNUMBER($AM176),DATE(YEAR($AM176),MONTH($AM176),1),IF(ISNUMBER($AN176),DATE(YEAR($AN176),MONTH($AN176),1),MesCiclo))))</f>
        <v/>
      </c>
      <c r="T176" s="62">
        <f>IF(OR($S176="",$S176&lt;&gt;MesCiclo),"",COUNTIF($S$5:$S176,MesCiclo))</f>
        <v/>
      </c>
      <c r="U176" s="62">
        <f>IF($V176="","",IF($V176="Macro",ROW(),IFERROR(LOOKUP(2,1/($V$5:$V176="Macro"),ROW($V$5:$V176)),0)))</f>
        <v/>
      </c>
      <c r="V176" s="62">
        <f>IF(NOT((COUNTA($B176:$D176)+COUNTA($G176:$L176)+COUNTA($Q176))&gt;0),"",IF($B176="Subactividad","Sub","Macro"))</f>
        <v/>
      </c>
      <c r="W176" s="62">
        <f>IF($V176="Macro",COUNTIFS($U$5:$U$1000,ROW(),$V$5:$V$1000,"Sub"),"")</f>
        <v/>
      </c>
      <c r="X176" s="62">
        <f>IF($V176="","",IF(ISNUMBER($G176),1,IFERROR(LOOKUP(2,1/($I176:$L176&lt;&gt;""),$I176:$L176),0)))</f>
        <v/>
      </c>
      <c r="Y176" s="62">
        <f>IF($V176="","",IF(AND(ISNUMBER($G176),$G176&lt;=IF($S176=MesCiclo,InicioCiclo,$S176+MOD(2-WEEKDAY($S176),7))+6),1,IF(ISNUMBER($I176),$I176,0)))</f>
        <v/>
      </c>
      <c r="Z176" s="62">
        <f>IF($V176="","",IF(AND(ISNUMBER($G176),$G176&lt;=IF($S176=MesCiclo,InicioCiclo,$S176+MOD(2-WEEKDAY($S176),7))+13),1,IF(ISNUMBER($J176),$J176,$Y176)))</f>
        <v/>
      </c>
      <c r="AA176" s="62">
        <f>IF($V176="","",IF(AND(ISNUMBER($G176),$G176&lt;=IF($S176=MesCiclo,InicioCiclo,$S176+MOD(2-WEEKDAY($S176),7))+20),1,IF(ISNUMBER($K176),$K176,$Z176)))</f>
        <v/>
      </c>
      <c r="AB176" s="62">
        <f>IF($V176="","",IF(AND(ISNUMBER($G176),$G176&lt;=IF($S176=MesCiclo,InicioCiclo,$S176+MOD(2-WEEKDAY($S176),7))+27),1,IF(ISNUMBER($L176),$L176,$AA176)))</f>
        <v/>
      </c>
      <c r="AC176" s="62">
        <f>IF($V176="","",IF(AND(ISNUMBER($G176),$G176&lt;=IF($S176=MesCiclo,InicioCiclo,$S176+MOD(2-WEEKDAY($S176),7))+6),1,IF(N($W176)&gt;0,AVERAGEIFS($Y$5:$Y$1000,$U$5:$U$1000,ROW(),$V$5:$V$1000,"Sub"),$Y176)))</f>
        <v/>
      </c>
      <c r="AD176" s="62">
        <f>IF($V176="","",IF(AND(ISNUMBER($G176),$G176&lt;=IF($S176=MesCiclo,InicioCiclo,$S176+MOD(2-WEEKDAY($S176),7))+13),1,IF(N($W176)&gt;0,AVERAGEIFS($Z$5:$Z$1000,$U$5:$U$1000,ROW(),$V$5:$V$1000,"Sub"),$Z176)))</f>
        <v/>
      </c>
      <c r="AE176" s="62">
        <f>IF($V176="","",IF(AND(ISNUMBER($G176),$G176&lt;=IF($S176=MesCiclo,InicioCiclo,$S176+MOD(2-WEEKDAY($S176),7))+20),1,IF(N($W176)&gt;0,AVERAGEIFS($AA$5:$AA$1000,$U$5:$U$1000,ROW(),$V$5:$V$1000,"Sub"),$AA176)))</f>
        <v/>
      </c>
      <c r="AF176" s="62">
        <f>IF($V176="","",IF(AND(ISNUMBER($G176),$G176&lt;=IF($S176=MesCiclo,InicioCiclo,$S176+MOD(2-WEEKDAY($S176),7))+27),1,IF(N($W176)&gt;0,AVERAGEIFS($AB$5:$AB$1000,$U$5:$U$1000,ROW(),$V$5:$V$1000,"Sub"),$AB176)))</f>
        <v/>
      </c>
      <c r="AG176" s="62">
        <f>IF($V176&lt;&gt;"Macro","",IF(COUNTIFS($S$5:$S$1000,$S176,$V$5:$V$1000,"Macro",$H$5:$H$1000,"&gt;0")=0,1/COUNTIFS($S$5:$S$1000,$S176,$V$5:$V$1000,"Macro"),IF(AND(ISNUMBER($H176),N($H176)&gt;0),$H176,SUMIFS($H$5:$H$1000,$S$5:$S$1000,$S176,$V$5:$V$1000,"Macro")/COUNTIFS($S$5:$S$1000,$S176,$V$5:$V$1000,"Macro",$H$5:$H$1000,"&gt;0"))/(COUNTIFS($S$5:$S$1000,$S176,$V$5:$V$1000,"Macro")*SUMIFS($H$5:$H$1000,$S$5:$S$1000,$S176,$V$5:$V$1000,"Macro")/COUNTIFS($S$5:$S$1000,$S176,$V$5:$V$1000,"Macro",$H$5:$H$1000,"&gt;0"))))</f>
        <v/>
      </c>
      <c r="AH176" s="62">
        <f>IF(NOT(AND($D176&lt;&gt;"",$V176="Macro")),"",IFERROR(CHOOSE(MATCH($D176,ListaPuestos,0),MATCH("[Jefatura] "&amp;$C176,'Cronograma R. Operacional'!$C$5:$C$1000,0),MATCH("[Jefatura] "&amp;$C176,'Cronograma R. Normativo'!$C$5:$C$1000,0),MATCH("[Jefatura] "&amp;$C176,'Cronograma R. Financiero'!$C$5:$C$1000,0),MATCH("[Jefatura] "&amp;$C176,'Cronograma Asistente Técnico'!$C$5:$C$1000,0)),0))</f>
        <v/>
      </c>
      <c r="AI176" s="62">
        <f>IF(AND(AND($D176&lt;&gt;"",$V176="Macro"),$S176=MesCiclo),COUNTIFS($D$5:$D176,$D176,$S$5:$S176,MesCiclo,$V$5:$V176,"Macro"),"")</f>
        <v/>
      </c>
      <c r="AJ176" s="62">
        <f>IF($AI176="","",$D176&amp;"|"&amp;$AI176)</f>
        <v/>
      </c>
      <c r="AK176" s="62">
        <f>IF(AND($D176&lt;&gt;"",$V176="Macro"),$D176&amp;"|"&amp;$C176,"")</f>
        <v/>
      </c>
      <c r="AL176" s="62">
        <f>""</f>
        <v/>
      </c>
      <c r="AM176" s="62">
        <f>IF(N($AL176)&gt;0,INDEX(rIni_ADM,$AL176),IF(ISNUMBER($E176),$E176,""))</f>
        <v/>
      </c>
      <c r="AN176" s="62">
        <f>IF(N($AL176)&gt;0,INDEX(rLim_ADM,$AL176),IF(ISNUMBER($F176),$F176,""))</f>
        <v/>
      </c>
    </row>
    <row r="177">
      <c r="A177" s="56">
        <f>IF(NOT((COUNTA($B177:$D177)+COUNTA($G177:$L177)+COUNTA($Q177))&gt;0),"",IF($V177="Macro",COUNTIFS($V$5:$V177,"Macro",$S$5:$S177,$S177),IF(N($U177)=0,"?",COUNTIFS(INDEX($V$5:$V$1000,1):INDEX($V$5:$V$1000,$U177-4),"Macro",INDEX($S$5:$S$1000,1):INDEX($S$5:$S$1000,$U177-4),INDEX($S$5:$S$1000,$U177-4))&amp;"."&amp;COUNTIFS($U$5:$U177,$U177,$V$5:$V177,"Sub"))))</f>
        <v/>
      </c>
      <c r="B177" s="57" t="n"/>
      <c r="C177" s="58" t="n"/>
      <c r="D177" s="58" t="n"/>
      <c r="E177" s="59" t="n"/>
      <c r="F177" s="59" t="n"/>
      <c r="G177" s="59" t="n"/>
      <c r="H177" s="60" t="n"/>
      <c r="I177" s="60" t="n"/>
      <c r="J177" s="60" t="n"/>
      <c r="K177" s="60" t="n"/>
      <c r="L177" s="60" t="n"/>
      <c r="M177" s="61">
        <f>IF(NOT((COUNTA($B177:$D177)+COUNTA($G177:$L177)+COUNTA($Q177))&gt;0),"",IF(AND($D177&lt;&gt;"",$V177="Macro"),IF(N($AH177)&gt;0,N(CHOOSE(MATCH($D177,ListaPuestos,0),INDEX('Cronograma R. Operacional'!$M$5:$M$1000,$AH177),INDEX('Cronograma R. Normativo'!$M$5:$M$1000,$AH177),INDEX('Cronograma R. Financiero'!$M$5:$M$1000,$AH177),INDEX('Cronograma Asistente Técnico'!$M$5:$M$1000,$AH177))),0),IF(ISNUMBER($G177),1,IF(N($W177)&gt;0,AVERAGEIFS($X$5:$X$1000,$U$5:$U$1000,ROW(),$V$5:$V$1000,"Sub"),$X177))))</f>
        <v/>
      </c>
      <c r="N177" s="56">
        <f>IF($M177="","",IF($M177&gt;=1,"Completado",IF($M177&gt;0,"En curso","Pendiente")))</f>
        <v/>
      </c>
      <c r="O177" s="56">
        <f>IF(NOT((COUNTA($B177:$D177)+COUNTA($G177:$L177)+COUNTA($Q177))&gt;0),"",IF(AND(AND($D177&lt;&gt;"",$V177="Macro"),N($AH177)&gt;0),CHOOSE(MATCH($D177,ListaPuestos,0),INDEX('Cronograma R. Operacional'!$O$5:$O$1000,$AH177),INDEX('Cronograma R. Normativo'!$O$5:$O$1000,$AH177),INDEX('Cronograma R. Financiero'!$O$5:$O$1000,$AH177),INDEX('Cronograma Asistente Técnico'!$O$5:$O$1000,$AH177))&amp;"",IF(ISNUMBER($G177),IF(AND(ISNUMBER($AN177),$G177&gt;$AN177),"Cumplida con "&amp;($G177-$AN177)&amp;IF($G177-$AN177=1," día"," días")&amp;" de retraso","Cumplida"),IF(N($M177)&gt;=1,"Cumplida",IF(NOT(ISNUMBER($AN177)),"Sin fecha límite",IF($AN177&lt;FechaRef,"Vencida hace "&amp;(FechaRef-$AN177)&amp;IF(FechaRef-$AN177=1," día"," días"),IF($AN177=FechaRef,"Vence hoy",IF($AN177-FechaRef&lt;=DiasAlerta,"Vence en "&amp;($AN177-FechaRef)&amp;IF($AN177-FechaRef=1," día"," días"),"En plazo"))))))))</f>
        <v/>
      </c>
      <c r="P177" s="62">
        <f>IF(NOT((COUNTA($B177:$D177)+COUNTA($G177:$L177)+COUNTA($Q177))&gt;0),"",IF($D177="","Propia",IF($V177&lt;&gt;"Macro","Solo se delegan macroactividades",IF(N($AH177)&gt;0,"✔ Recibida por "&amp;$D177,"⚠ "&amp;$D177&amp;" aún no la agrega"))))</f>
        <v/>
      </c>
      <c r="Q177" s="58" t="n"/>
      <c r="R177" s="63">
        <f>IF(NOT((COUNTA($B177:$D177)+COUNTA($G177:$L177)+COUNTA($Q177))&gt;0),"",IF((IF($C177="","Falta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",""))="","✔ OK","⚠ "&amp;LEFT(IF($C177="","Falta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",""),LEN(IF($C177="","Falta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",""))-3)))</f>
        <v/>
      </c>
      <c r="S177" s="64">
        <f>IF(NOT((COUNTA($B177:$D177)+COUNTA($G177:$L177)+COUNTA($Q177))&gt;0),"",IF(AND($V177="Sub",N($U177)&gt;0),IF(ISNUMBER(INDEX($AM$5:$AM$1000,$U177-4)),DATE(YEAR(INDEX($AM$5:$AM$1000,$U177-4)),MONTH(INDEX($AM$5:$AM$1000,$U177-4)),1),IF(ISNUMBER(INDEX($AN$5:$AN$1000,$U177-4)),DATE(YEAR(INDEX($AN$5:$AN$1000,$U177-4)),MONTH(INDEX($AN$5:$AN$1000,$U177-4)),1),MesCiclo)),IF(ISNUMBER($AM177),DATE(YEAR($AM177),MONTH($AM177),1),IF(ISNUMBER($AN177),DATE(YEAR($AN177),MONTH($AN177),1),MesCiclo))))</f>
        <v/>
      </c>
      <c r="T177" s="62">
        <f>IF(OR($S177="",$S177&lt;&gt;MesCiclo),"",COUNTIF($S$5:$S177,MesCiclo))</f>
        <v/>
      </c>
      <c r="U177" s="62">
        <f>IF($V177="","",IF($V177="Macro",ROW(),IFERROR(LOOKUP(2,1/($V$5:$V177="Macro"),ROW($V$5:$V177)),0)))</f>
        <v/>
      </c>
      <c r="V177" s="62">
        <f>IF(NOT((COUNTA($B177:$D177)+COUNTA($G177:$L177)+COUNTA($Q177))&gt;0),"",IF($B177="Subactividad","Sub","Macro"))</f>
        <v/>
      </c>
      <c r="W177" s="62">
        <f>IF($V177="Macro",COUNTIFS($U$5:$U$1000,ROW(),$V$5:$V$1000,"Sub"),"")</f>
        <v/>
      </c>
      <c r="X177" s="62">
        <f>IF($V177="","",IF(ISNUMBER($G177),1,IFERROR(LOOKUP(2,1/($I177:$L177&lt;&gt;""),$I177:$L177),0)))</f>
        <v/>
      </c>
      <c r="Y177" s="62">
        <f>IF($V177="","",IF(AND(ISNUMBER($G177),$G177&lt;=IF($S177=MesCiclo,InicioCiclo,$S177+MOD(2-WEEKDAY($S177),7))+6),1,IF(ISNUMBER($I177),$I177,0)))</f>
        <v/>
      </c>
      <c r="Z177" s="62">
        <f>IF($V177="","",IF(AND(ISNUMBER($G177),$G177&lt;=IF($S177=MesCiclo,InicioCiclo,$S177+MOD(2-WEEKDAY($S177),7))+13),1,IF(ISNUMBER($J177),$J177,$Y177)))</f>
        <v/>
      </c>
      <c r="AA177" s="62">
        <f>IF($V177="","",IF(AND(ISNUMBER($G177),$G177&lt;=IF($S177=MesCiclo,InicioCiclo,$S177+MOD(2-WEEKDAY($S177),7))+20),1,IF(ISNUMBER($K177),$K177,$Z177)))</f>
        <v/>
      </c>
      <c r="AB177" s="62">
        <f>IF($V177="","",IF(AND(ISNUMBER($G177),$G177&lt;=IF($S177=MesCiclo,InicioCiclo,$S177+MOD(2-WEEKDAY($S177),7))+27),1,IF(ISNUMBER($L177),$L177,$AA177)))</f>
        <v/>
      </c>
      <c r="AC177" s="62">
        <f>IF($V177="","",IF(AND(ISNUMBER($G177),$G177&lt;=IF($S177=MesCiclo,InicioCiclo,$S177+MOD(2-WEEKDAY($S177),7))+6),1,IF(N($W177)&gt;0,AVERAGEIFS($Y$5:$Y$1000,$U$5:$U$1000,ROW(),$V$5:$V$1000,"Sub"),$Y177)))</f>
        <v/>
      </c>
      <c r="AD177" s="62">
        <f>IF($V177="","",IF(AND(ISNUMBER($G177),$G177&lt;=IF($S177=MesCiclo,InicioCiclo,$S177+MOD(2-WEEKDAY($S177),7))+13),1,IF(N($W177)&gt;0,AVERAGEIFS($Z$5:$Z$1000,$U$5:$U$1000,ROW(),$V$5:$V$1000,"Sub"),$Z177)))</f>
        <v/>
      </c>
      <c r="AE177" s="62">
        <f>IF($V177="","",IF(AND(ISNUMBER($G177),$G177&lt;=IF($S177=MesCiclo,InicioCiclo,$S177+MOD(2-WEEKDAY($S177),7))+20),1,IF(N($W177)&gt;0,AVERAGEIFS($AA$5:$AA$1000,$U$5:$U$1000,ROW(),$V$5:$V$1000,"Sub"),$AA177)))</f>
        <v/>
      </c>
      <c r="AF177" s="62">
        <f>IF($V177="","",IF(AND(ISNUMBER($G177),$G177&lt;=IF($S177=MesCiclo,InicioCiclo,$S177+MOD(2-WEEKDAY($S177),7))+27),1,IF(N($W177)&gt;0,AVERAGEIFS($AB$5:$AB$1000,$U$5:$U$1000,ROW(),$V$5:$V$1000,"Sub"),$AB177)))</f>
        <v/>
      </c>
      <c r="AG177" s="62">
        <f>IF($V177&lt;&gt;"Macro","",IF(COUNTIFS($S$5:$S$1000,$S177,$V$5:$V$1000,"Macro",$H$5:$H$1000,"&gt;0")=0,1/COUNTIFS($S$5:$S$1000,$S177,$V$5:$V$1000,"Macro"),IF(AND(ISNUMBER($H177),N($H177)&gt;0),$H177,SUMIFS($H$5:$H$1000,$S$5:$S$1000,$S177,$V$5:$V$1000,"Macro")/COUNTIFS($S$5:$S$1000,$S177,$V$5:$V$1000,"Macro",$H$5:$H$1000,"&gt;0"))/(COUNTIFS($S$5:$S$1000,$S177,$V$5:$V$1000,"Macro")*SUMIFS($H$5:$H$1000,$S$5:$S$1000,$S177,$V$5:$V$1000,"Macro")/COUNTIFS($S$5:$S$1000,$S177,$V$5:$V$1000,"Macro",$H$5:$H$1000,"&gt;0"))))</f>
        <v/>
      </c>
      <c r="AH177" s="62">
        <f>IF(NOT(AND($D177&lt;&gt;"",$V177="Macro")),"",IFERROR(CHOOSE(MATCH($D177,ListaPuestos,0),MATCH("[Jefatura] "&amp;$C177,'Cronograma R. Operacional'!$C$5:$C$1000,0),MATCH("[Jefatura] "&amp;$C177,'Cronograma R. Normativo'!$C$5:$C$1000,0),MATCH("[Jefatura] "&amp;$C177,'Cronograma R. Financiero'!$C$5:$C$1000,0),MATCH("[Jefatura] "&amp;$C177,'Cronograma Asistente Técnico'!$C$5:$C$1000,0)),0))</f>
        <v/>
      </c>
      <c r="AI177" s="62">
        <f>IF(AND(AND($D177&lt;&gt;"",$V177="Macro"),$S177=MesCiclo),COUNTIFS($D$5:$D177,$D177,$S$5:$S177,MesCiclo,$V$5:$V177,"Macro"),"")</f>
        <v/>
      </c>
      <c r="AJ177" s="62">
        <f>IF($AI177="","",$D177&amp;"|"&amp;$AI177)</f>
        <v/>
      </c>
      <c r="AK177" s="62">
        <f>IF(AND($D177&lt;&gt;"",$V177="Macro"),$D177&amp;"|"&amp;$C177,"")</f>
        <v/>
      </c>
      <c r="AL177" s="62">
        <f>""</f>
        <v/>
      </c>
      <c r="AM177" s="62">
        <f>IF(N($AL177)&gt;0,INDEX(rIni_ADM,$AL177),IF(ISNUMBER($E177),$E177,""))</f>
        <v/>
      </c>
      <c r="AN177" s="62">
        <f>IF(N($AL177)&gt;0,INDEX(rLim_ADM,$AL177),IF(ISNUMBER($F177),$F177,""))</f>
        <v/>
      </c>
    </row>
    <row r="178">
      <c r="A178" s="56">
        <f>IF(NOT((COUNTA($B178:$D178)+COUNTA($G178:$L178)+COUNTA($Q178))&gt;0),"",IF($V178="Macro",COUNTIFS($V$5:$V178,"Macro",$S$5:$S178,$S178),IF(N($U178)=0,"?",COUNTIFS(INDEX($V$5:$V$1000,1):INDEX($V$5:$V$1000,$U178-4),"Macro",INDEX($S$5:$S$1000,1):INDEX($S$5:$S$1000,$U178-4),INDEX($S$5:$S$1000,$U178-4))&amp;"."&amp;COUNTIFS($U$5:$U178,$U178,$V$5:$V178,"Sub"))))</f>
        <v/>
      </c>
      <c r="B178" s="57" t="n"/>
      <c r="C178" s="58" t="n"/>
      <c r="D178" s="58" t="n"/>
      <c r="E178" s="59" t="n"/>
      <c r="F178" s="59" t="n"/>
      <c r="G178" s="59" t="n"/>
      <c r="H178" s="60" t="n"/>
      <c r="I178" s="60" t="n"/>
      <c r="J178" s="60" t="n"/>
      <c r="K178" s="60" t="n"/>
      <c r="L178" s="60" t="n"/>
      <c r="M178" s="61">
        <f>IF(NOT((COUNTA($B178:$D178)+COUNTA($G178:$L178)+COUNTA($Q178))&gt;0),"",IF(AND($D178&lt;&gt;"",$V178="Macro"),IF(N($AH178)&gt;0,N(CHOOSE(MATCH($D178,ListaPuestos,0),INDEX('Cronograma R. Operacional'!$M$5:$M$1000,$AH178),INDEX('Cronograma R. Normativo'!$M$5:$M$1000,$AH178),INDEX('Cronograma R. Financiero'!$M$5:$M$1000,$AH178),INDEX('Cronograma Asistente Técnico'!$M$5:$M$1000,$AH178))),0),IF(ISNUMBER($G178),1,IF(N($W178)&gt;0,AVERAGEIFS($X$5:$X$1000,$U$5:$U$1000,ROW(),$V$5:$V$1000,"Sub"),$X178))))</f>
        <v/>
      </c>
      <c r="N178" s="56">
        <f>IF($M178="","",IF($M178&gt;=1,"Completado",IF($M178&gt;0,"En curso","Pendiente")))</f>
        <v/>
      </c>
      <c r="O178" s="56">
        <f>IF(NOT((COUNTA($B178:$D178)+COUNTA($G178:$L178)+COUNTA($Q178))&gt;0),"",IF(AND(AND($D178&lt;&gt;"",$V178="Macro"),N($AH178)&gt;0),CHOOSE(MATCH($D178,ListaPuestos,0),INDEX('Cronograma R. Operacional'!$O$5:$O$1000,$AH178),INDEX('Cronograma R. Normativo'!$O$5:$O$1000,$AH178),INDEX('Cronograma R. Financiero'!$O$5:$O$1000,$AH178),INDEX('Cronograma Asistente Técnico'!$O$5:$O$1000,$AH178))&amp;"",IF(ISNUMBER($G178),IF(AND(ISNUMBER($AN178),$G178&gt;$AN178),"Cumplida con "&amp;($G178-$AN178)&amp;IF($G178-$AN178=1," día"," días")&amp;" de retraso","Cumplida"),IF(N($M178)&gt;=1,"Cumplida",IF(NOT(ISNUMBER($AN178)),"Sin fecha límite",IF($AN178&lt;FechaRef,"Vencida hace "&amp;(FechaRef-$AN178)&amp;IF(FechaRef-$AN178=1," día"," días"),IF($AN178=FechaRef,"Vence hoy",IF($AN178-FechaRef&lt;=DiasAlerta,"Vence en "&amp;($AN178-FechaRef)&amp;IF($AN178-FechaRef=1," día"," días"),"En plazo"))))))))</f>
        <v/>
      </c>
      <c r="P178" s="62">
        <f>IF(NOT((COUNTA($B178:$D178)+COUNTA($G178:$L178)+COUNTA($Q178))&gt;0),"",IF($D178="","Propia",IF($V178&lt;&gt;"Macro","Solo se delegan macroactividades",IF(N($AH178)&gt;0,"✔ Recibida por "&amp;$D178,"⚠ "&amp;$D178&amp;" aún no la agrega"))))</f>
        <v/>
      </c>
      <c r="Q178" s="58" t="n"/>
      <c r="R178" s="63">
        <f>IF(NOT((COUNTA($B178:$D178)+COUNTA($G178:$L178)+COUNTA($Q178))&gt;0),"",IF((IF($C178="","Falta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",""))="","✔ OK","⚠ "&amp;LEFT(IF($C178="","Falta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",""),LEN(IF($C178="","Falta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",""))-3)))</f>
        <v/>
      </c>
      <c r="S178" s="64">
        <f>IF(NOT((COUNTA($B178:$D178)+COUNTA($G178:$L178)+COUNTA($Q178))&gt;0),"",IF(AND($V178="Sub",N($U178)&gt;0),IF(ISNUMBER(INDEX($AM$5:$AM$1000,$U178-4)),DATE(YEAR(INDEX($AM$5:$AM$1000,$U178-4)),MONTH(INDEX($AM$5:$AM$1000,$U178-4)),1),IF(ISNUMBER(INDEX($AN$5:$AN$1000,$U178-4)),DATE(YEAR(INDEX($AN$5:$AN$1000,$U178-4)),MONTH(INDEX($AN$5:$AN$1000,$U178-4)),1),MesCiclo)),IF(ISNUMBER($AM178),DATE(YEAR($AM178),MONTH($AM178),1),IF(ISNUMBER($AN178),DATE(YEAR($AN178),MONTH($AN178),1),MesCiclo))))</f>
        <v/>
      </c>
      <c r="T178" s="62">
        <f>IF(OR($S178="",$S178&lt;&gt;MesCiclo),"",COUNTIF($S$5:$S178,MesCiclo))</f>
        <v/>
      </c>
      <c r="U178" s="62">
        <f>IF($V178="","",IF($V178="Macro",ROW(),IFERROR(LOOKUP(2,1/($V$5:$V178="Macro"),ROW($V$5:$V178)),0)))</f>
        <v/>
      </c>
      <c r="V178" s="62">
        <f>IF(NOT((COUNTA($B178:$D178)+COUNTA($G178:$L178)+COUNTA($Q178))&gt;0),"",IF($B178="Subactividad","Sub","Macro"))</f>
        <v/>
      </c>
      <c r="W178" s="62">
        <f>IF($V178="Macro",COUNTIFS($U$5:$U$1000,ROW(),$V$5:$V$1000,"Sub"),"")</f>
        <v/>
      </c>
      <c r="X178" s="62">
        <f>IF($V178="","",IF(ISNUMBER($G178),1,IFERROR(LOOKUP(2,1/($I178:$L178&lt;&gt;""),$I178:$L178),0)))</f>
        <v/>
      </c>
      <c r="Y178" s="62">
        <f>IF($V178="","",IF(AND(ISNUMBER($G178),$G178&lt;=IF($S178=MesCiclo,InicioCiclo,$S178+MOD(2-WEEKDAY($S178),7))+6),1,IF(ISNUMBER($I178),$I178,0)))</f>
        <v/>
      </c>
      <c r="Z178" s="62">
        <f>IF($V178="","",IF(AND(ISNUMBER($G178),$G178&lt;=IF($S178=MesCiclo,InicioCiclo,$S178+MOD(2-WEEKDAY($S178),7))+13),1,IF(ISNUMBER($J178),$J178,$Y178)))</f>
        <v/>
      </c>
      <c r="AA178" s="62">
        <f>IF($V178="","",IF(AND(ISNUMBER($G178),$G178&lt;=IF($S178=MesCiclo,InicioCiclo,$S178+MOD(2-WEEKDAY($S178),7))+20),1,IF(ISNUMBER($K178),$K178,$Z178)))</f>
        <v/>
      </c>
      <c r="AB178" s="62">
        <f>IF($V178="","",IF(AND(ISNUMBER($G178),$G178&lt;=IF($S178=MesCiclo,InicioCiclo,$S178+MOD(2-WEEKDAY($S178),7))+27),1,IF(ISNUMBER($L178),$L178,$AA178)))</f>
        <v/>
      </c>
      <c r="AC178" s="62">
        <f>IF($V178="","",IF(AND(ISNUMBER($G178),$G178&lt;=IF($S178=MesCiclo,InicioCiclo,$S178+MOD(2-WEEKDAY($S178),7))+6),1,IF(N($W178)&gt;0,AVERAGEIFS($Y$5:$Y$1000,$U$5:$U$1000,ROW(),$V$5:$V$1000,"Sub"),$Y178)))</f>
        <v/>
      </c>
      <c r="AD178" s="62">
        <f>IF($V178="","",IF(AND(ISNUMBER($G178),$G178&lt;=IF($S178=MesCiclo,InicioCiclo,$S178+MOD(2-WEEKDAY($S178),7))+13),1,IF(N($W178)&gt;0,AVERAGEIFS($Z$5:$Z$1000,$U$5:$U$1000,ROW(),$V$5:$V$1000,"Sub"),$Z178)))</f>
        <v/>
      </c>
      <c r="AE178" s="62">
        <f>IF($V178="","",IF(AND(ISNUMBER($G178),$G178&lt;=IF($S178=MesCiclo,InicioCiclo,$S178+MOD(2-WEEKDAY($S178),7))+20),1,IF(N($W178)&gt;0,AVERAGEIFS($AA$5:$AA$1000,$U$5:$U$1000,ROW(),$V$5:$V$1000,"Sub"),$AA178)))</f>
        <v/>
      </c>
      <c r="AF178" s="62">
        <f>IF($V178="","",IF(AND(ISNUMBER($G178),$G178&lt;=IF($S178=MesCiclo,InicioCiclo,$S178+MOD(2-WEEKDAY($S178),7))+27),1,IF(N($W178)&gt;0,AVERAGEIFS($AB$5:$AB$1000,$U$5:$U$1000,ROW(),$V$5:$V$1000,"Sub"),$AB178)))</f>
        <v/>
      </c>
      <c r="AG178" s="62">
        <f>IF($V178&lt;&gt;"Macro","",IF(COUNTIFS($S$5:$S$1000,$S178,$V$5:$V$1000,"Macro",$H$5:$H$1000,"&gt;0")=0,1/COUNTIFS($S$5:$S$1000,$S178,$V$5:$V$1000,"Macro"),IF(AND(ISNUMBER($H178),N($H178)&gt;0),$H178,SUMIFS($H$5:$H$1000,$S$5:$S$1000,$S178,$V$5:$V$1000,"Macro")/COUNTIFS($S$5:$S$1000,$S178,$V$5:$V$1000,"Macro",$H$5:$H$1000,"&gt;0"))/(COUNTIFS($S$5:$S$1000,$S178,$V$5:$V$1000,"Macro")*SUMIFS($H$5:$H$1000,$S$5:$S$1000,$S178,$V$5:$V$1000,"Macro")/COUNTIFS($S$5:$S$1000,$S178,$V$5:$V$1000,"Macro",$H$5:$H$1000,"&gt;0"))))</f>
        <v/>
      </c>
      <c r="AH178" s="62">
        <f>IF(NOT(AND($D178&lt;&gt;"",$V178="Macro")),"",IFERROR(CHOOSE(MATCH($D178,ListaPuestos,0),MATCH("[Jefatura] "&amp;$C178,'Cronograma R. Operacional'!$C$5:$C$1000,0),MATCH("[Jefatura] "&amp;$C178,'Cronograma R. Normativo'!$C$5:$C$1000,0),MATCH("[Jefatura] "&amp;$C178,'Cronograma R. Financiero'!$C$5:$C$1000,0),MATCH("[Jefatura] "&amp;$C178,'Cronograma Asistente Técnico'!$C$5:$C$1000,0)),0))</f>
        <v/>
      </c>
      <c r="AI178" s="62">
        <f>IF(AND(AND($D178&lt;&gt;"",$V178="Macro"),$S178=MesCiclo),COUNTIFS($D$5:$D178,$D178,$S$5:$S178,MesCiclo,$V$5:$V178,"Macro"),"")</f>
        <v/>
      </c>
      <c r="AJ178" s="62">
        <f>IF($AI178="","",$D178&amp;"|"&amp;$AI178)</f>
        <v/>
      </c>
      <c r="AK178" s="62">
        <f>IF(AND($D178&lt;&gt;"",$V178="Macro"),$D178&amp;"|"&amp;$C178,"")</f>
        <v/>
      </c>
      <c r="AL178" s="62">
        <f>""</f>
        <v/>
      </c>
      <c r="AM178" s="62">
        <f>IF(N($AL178)&gt;0,INDEX(rIni_ADM,$AL178),IF(ISNUMBER($E178),$E178,""))</f>
        <v/>
      </c>
      <c r="AN178" s="62">
        <f>IF(N($AL178)&gt;0,INDEX(rLim_ADM,$AL178),IF(ISNUMBER($F178),$F178,""))</f>
        <v/>
      </c>
    </row>
    <row r="179">
      <c r="A179" s="56">
        <f>IF(NOT((COUNTA($B179:$D179)+COUNTA($G179:$L179)+COUNTA($Q179))&gt;0),"",IF($V179="Macro",COUNTIFS($V$5:$V179,"Macro",$S$5:$S179,$S179),IF(N($U179)=0,"?",COUNTIFS(INDEX($V$5:$V$1000,1):INDEX($V$5:$V$1000,$U179-4),"Macro",INDEX($S$5:$S$1000,1):INDEX($S$5:$S$1000,$U179-4),INDEX($S$5:$S$1000,$U179-4))&amp;"."&amp;COUNTIFS($U$5:$U179,$U179,$V$5:$V179,"Sub"))))</f>
        <v/>
      </c>
      <c r="B179" s="57" t="n"/>
      <c r="C179" s="58" t="n"/>
      <c r="D179" s="58" t="n"/>
      <c r="E179" s="59" t="n"/>
      <c r="F179" s="59" t="n"/>
      <c r="G179" s="59" t="n"/>
      <c r="H179" s="60" t="n"/>
      <c r="I179" s="60" t="n"/>
      <c r="J179" s="60" t="n"/>
      <c r="K179" s="60" t="n"/>
      <c r="L179" s="60" t="n"/>
      <c r="M179" s="61">
        <f>IF(NOT((COUNTA($B179:$D179)+COUNTA($G179:$L179)+COUNTA($Q179))&gt;0),"",IF(AND($D179&lt;&gt;"",$V179="Macro"),IF(N($AH179)&gt;0,N(CHOOSE(MATCH($D179,ListaPuestos,0),INDEX('Cronograma R. Operacional'!$M$5:$M$1000,$AH179),INDEX('Cronograma R. Normativo'!$M$5:$M$1000,$AH179),INDEX('Cronograma R. Financiero'!$M$5:$M$1000,$AH179),INDEX('Cronograma Asistente Técnico'!$M$5:$M$1000,$AH179))),0),IF(ISNUMBER($G179),1,IF(N($W179)&gt;0,AVERAGEIFS($X$5:$X$1000,$U$5:$U$1000,ROW(),$V$5:$V$1000,"Sub"),$X179))))</f>
        <v/>
      </c>
      <c r="N179" s="56">
        <f>IF($M179="","",IF($M179&gt;=1,"Completado",IF($M179&gt;0,"En curso","Pendiente")))</f>
        <v/>
      </c>
      <c r="O179" s="56">
        <f>IF(NOT((COUNTA($B179:$D179)+COUNTA($G179:$L179)+COUNTA($Q179))&gt;0),"",IF(AND(AND($D179&lt;&gt;"",$V179="Macro"),N($AH179)&gt;0),CHOOSE(MATCH($D179,ListaPuestos,0),INDEX('Cronograma R. Operacional'!$O$5:$O$1000,$AH179),INDEX('Cronograma R. Normativo'!$O$5:$O$1000,$AH179),INDEX('Cronograma R. Financiero'!$O$5:$O$1000,$AH179),INDEX('Cronograma Asistente Técnico'!$O$5:$O$1000,$AH179))&amp;"",IF(ISNUMBER($G179),IF(AND(ISNUMBER($AN179),$G179&gt;$AN179),"Cumplida con "&amp;($G179-$AN179)&amp;IF($G179-$AN179=1," día"," días")&amp;" de retraso","Cumplida"),IF(N($M179)&gt;=1,"Cumplida",IF(NOT(ISNUMBER($AN179)),"Sin fecha límite",IF($AN179&lt;FechaRef,"Vencida hace "&amp;(FechaRef-$AN179)&amp;IF(FechaRef-$AN179=1," día"," días"),IF($AN179=FechaRef,"Vence hoy",IF($AN179-FechaRef&lt;=DiasAlerta,"Vence en "&amp;($AN179-FechaRef)&amp;IF($AN179-FechaRef=1," día"," días"),"En plazo"))))))))</f>
        <v/>
      </c>
      <c r="P179" s="62">
        <f>IF(NOT((COUNTA($B179:$D179)+COUNTA($G179:$L179)+COUNTA($Q179))&gt;0),"",IF($D179="","Propia",IF($V179&lt;&gt;"Macro","Solo se delegan macroactividades",IF(N($AH179)&gt;0,"✔ Recibida por "&amp;$D179,"⚠ "&amp;$D179&amp;" aún no la agrega"))))</f>
        <v/>
      </c>
      <c r="Q179" s="58" t="n"/>
      <c r="R179" s="63">
        <f>IF(NOT((COUNTA($B179:$D179)+COUNTA($G179:$L179)+COUNTA($Q179))&gt;0),"",IF((IF($C179="","Falta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",""))="","✔ OK","⚠ "&amp;LEFT(IF($C179="","Falta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",""),LEN(IF($C179="","Falta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",""))-3)))</f>
        <v/>
      </c>
      <c r="S179" s="64">
        <f>IF(NOT((COUNTA($B179:$D179)+COUNTA($G179:$L179)+COUNTA($Q179))&gt;0),"",IF(AND($V179="Sub",N($U179)&gt;0),IF(ISNUMBER(INDEX($AM$5:$AM$1000,$U179-4)),DATE(YEAR(INDEX($AM$5:$AM$1000,$U179-4)),MONTH(INDEX($AM$5:$AM$1000,$U179-4)),1),IF(ISNUMBER(INDEX($AN$5:$AN$1000,$U179-4)),DATE(YEAR(INDEX($AN$5:$AN$1000,$U179-4)),MONTH(INDEX($AN$5:$AN$1000,$U179-4)),1),MesCiclo)),IF(ISNUMBER($AM179),DATE(YEAR($AM179),MONTH($AM179),1),IF(ISNUMBER($AN179),DATE(YEAR($AN179),MONTH($AN179),1),MesCiclo))))</f>
        <v/>
      </c>
      <c r="T179" s="62">
        <f>IF(OR($S179="",$S179&lt;&gt;MesCiclo),"",COUNTIF($S$5:$S179,MesCiclo))</f>
        <v/>
      </c>
      <c r="U179" s="62">
        <f>IF($V179="","",IF($V179="Macro",ROW(),IFERROR(LOOKUP(2,1/($V$5:$V179="Macro"),ROW($V$5:$V179)),0)))</f>
        <v/>
      </c>
      <c r="V179" s="62">
        <f>IF(NOT((COUNTA($B179:$D179)+COUNTA($G179:$L179)+COUNTA($Q179))&gt;0),"",IF($B179="Subactividad","Sub","Macro"))</f>
        <v/>
      </c>
      <c r="W179" s="62">
        <f>IF($V179="Macro",COUNTIFS($U$5:$U$1000,ROW(),$V$5:$V$1000,"Sub"),"")</f>
        <v/>
      </c>
      <c r="X179" s="62">
        <f>IF($V179="","",IF(ISNUMBER($G179),1,IFERROR(LOOKUP(2,1/($I179:$L179&lt;&gt;""),$I179:$L179),0)))</f>
        <v/>
      </c>
      <c r="Y179" s="62">
        <f>IF($V179="","",IF(AND(ISNUMBER($G179),$G179&lt;=IF($S179=MesCiclo,InicioCiclo,$S179+MOD(2-WEEKDAY($S179),7))+6),1,IF(ISNUMBER($I179),$I179,0)))</f>
        <v/>
      </c>
      <c r="Z179" s="62">
        <f>IF($V179="","",IF(AND(ISNUMBER($G179),$G179&lt;=IF($S179=MesCiclo,InicioCiclo,$S179+MOD(2-WEEKDAY($S179),7))+13),1,IF(ISNUMBER($J179),$J179,$Y179)))</f>
        <v/>
      </c>
      <c r="AA179" s="62">
        <f>IF($V179="","",IF(AND(ISNUMBER($G179),$G179&lt;=IF($S179=MesCiclo,InicioCiclo,$S179+MOD(2-WEEKDAY($S179),7))+20),1,IF(ISNUMBER($K179),$K179,$Z179)))</f>
        <v/>
      </c>
      <c r="AB179" s="62">
        <f>IF($V179="","",IF(AND(ISNUMBER($G179),$G179&lt;=IF($S179=MesCiclo,InicioCiclo,$S179+MOD(2-WEEKDAY($S179),7))+27),1,IF(ISNUMBER($L179),$L179,$AA179)))</f>
        <v/>
      </c>
      <c r="AC179" s="62">
        <f>IF($V179="","",IF(AND(ISNUMBER($G179),$G179&lt;=IF($S179=MesCiclo,InicioCiclo,$S179+MOD(2-WEEKDAY($S179),7))+6),1,IF(N($W179)&gt;0,AVERAGEIFS($Y$5:$Y$1000,$U$5:$U$1000,ROW(),$V$5:$V$1000,"Sub"),$Y179)))</f>
        <v/>
      </c>
      <c r="AD179" s="62">
        <f>IF($V179="","",IF(AND(ISNUMBER($G179),$G179&lt;=IF($S179=MesCiclo,InicioCiclo,$S179+MOD(2-WEEKDAY($S179),7))+13),1,IF(N($W179)&gt;0,AVERAGEIFS($Z$5:$Z$1000,$U$5:$U$1000,ROW(),$V$5:$V$1000,"Sub"),$Z179)))</f>
        <v/>
      </c>
      <c r="AE179" s="62">
        <f>IF($V179="","",IF(AND(ISNUMBER($G179),$G179&lt;=IF($S179=MesCiclo,InicioCiclo,$S179+MOD(2-WEEKDAY($S179),7))+20),1,IF(N($W179)&gt;0,AVERAGEIFS($AA$5:$AA$1000,$U$5:$U$1000,ROW(),$V$5:$V$1000,"Sub"),$AA179)))</f>
        <v/>
      </c>
      <c r="AF179" s="62">
        <f>IF($V179="","",IF(AND(ISNUMBER($G179),$G179&lt;=IF($S179=MesCiclo,InicioCiclo,$S179+MOD(2-WEEKDAY($S179),7))+27),1,IF(N($W179)&gt;0,AVERAGEIFS($AB$5:$AB$1000,$U$5:$U$1000,ROW(),$V$5:$V$1000,"Sub"),$AB179)))</f>
        <v/>
      </c>
      <c r="AG179" s="62">
        <f>IF($V179&lt;&gt;"Macro","",IF(COUNTIFS($S$5:$S$1000,$S179,$V$5:$V$1000,"Macro",$H$5:$H$1000,"&gt;0")=0,1/COUNTIFS($S$5:$S$1000,$S179,$V$5:$V$1000,"Macro"),IF(AND(ISNUMBER($H179),N($H179)&gt;0),$H179,SUMIFS($H$5:$H$1000,$S$5:$S$1000,$S179,$V$5:$V$1000,"Macro")/COUNTIFS($S$5:$S$1000,$S179,$V$5:$V$1000,"Macro",$H$5:$H$1000,"&gt;0"))/(COUNTIFS($S$5:$S$1000,$S179,$V$5:$V$1000,"Macro")*SUMIFS($H$5:$H$1000,$S$5:$S$1000,$S179,$V$5:$V$1000,"Macro")/COUNTIFS($S$5:$S$1000,$S179,$V$5:$V$1000,"Macro",$H$5:$H$1000,"&gt;0"))))</f>
        <v/>
      </c>
      <c r="AH179" s="62">
        <f>IF(NOT(AND($D179&lt;&gt;"",$V179="Macro")),"",IFERROR(CHOOSE(MATCH($D179,ListaPuestos,0),MATCH("[Jefatura] "&amp;$C179,'Cronograma R. Operacional'!$C$5:$C$1000,0),MATCH("[Jefatura] "&amp;$C179,'Cronograma R. Normativo'!$C$5:$C$1000,0),MATCH("[Jefatura] "&amp;$C179,'Cronograma R. Financiero'!$C$5:$C$1000,0),MATCH("[Jefatura] "&amp;$C179,'Cronograma Asistente Técnico'!$C$5:$C$1000,0)),0))</f>
        <v/>
      </c>
      <c r="AI179" s="62">
        <f>IF(AND(AND($D179&lt;&gt;"",$V179="Macro"),$S179=MesCiclo),COUNTIFS($D$5:$D179,$D179,$S$5:$S179,MesCiclo,$V$5:$V179,"Macro"),"")</f>
        <v/>
      </c>
      <c r="AJ179" s="62">
        <f>IF($AI179="","",$D179&amp;"|"&amp;$AI179)</f>
        <v/>
      </c>
      <c r="AK179" s="62">
        <f>IF(AND($D179&lt;&gt;"",$V179="Macro"),$D179&amp;"|"&amp;$C179,"")</f>
        <v/>
      </c>
      <c r="AL179" s="62">
        <f>""</f>
        <v/>
      </c>
      <c r="AM179" s="62">
        <f>IF(N($AL179)&gt;0,INDEX(rIni_ADM,$AL179),IF(ISNUMBER($E179),$E179,""))</f>
        <v/>
      </c>
      <c r="AN179" s="62">
        <f>IF(N($AL179)&gt;0,INDEX(rLim_ADM,$AL179),IF(ISNUMBER($F179),$F179,""))</f>
        <v/>
      </c>
    </row>
    <row r="180">
      <c r="A180" s="56">
        <f>IF(NOT((COUNTA($B180:$D180)+COUNTA($G180:$L180)+COUNTA($Q180))&gt;0),"",IF($V180="Macro",COUNTIFS($V$5:$V180,"Macro",$S$5:$S180,$S180),IF(N($U180)=0,"?",COUNTIFS(INDEX($V$5:$V$1000,1):INDEX($V$5:$V$1000,$U180-4),"Macro",INDEX($S$5:$S$1000,1):INDEX($S$5:$S$1000,$U180-4),INDEX($S$5:$S$1000,$U180-4))&amp;"."&amp;COUNTIFS($U$5:$U180,$U180,$V$5:$V180,"Sub"))))</f>
        <v/>
      </c>
      <c r="B180" s="57" t="n"/>
      <c r="C180" s="58" t="n"/>
      <c r="D180" s="58" t="n"/>
      <c r="E180" s="59" t="n"/>
      <c r="F180" s="59" t="n"/>
      <c r="G180" s="59" t="n"/>
      <c r="H180" s="60" t="n"/>
      <c r="I180" s="60" t="n"/>
      <c r="J180" s="60" t="n"/>
      <c r="K180" s="60" t="n"/>
      <c r="L180" s="60" t="n"/>
      <c r="M180" s="61">
        <f>IF(NOT((COUNTA($B180:$D180)+COUNTA($G180:$L180)+COUNTA($Q180))&gt;0),"",IF(AND($D180&lt;&gt;"",$V180="Macro"),IF(N($AH180)&gt;0,N(CHOOSE(MATCH($D180,ListaPuestos,0),INDEX('Cronograma R. Operacional'!$M$5:$M$1000,$AH180),INDEX('Cronograma R. Normativo'!$M$5:$M$1000,$AH180),INDEX('Cronograma R. Financiero'!$M$5:$M$1000,$AH180),INDEX('Cronograma Asistente Técnico'!$M$5:$M$1000,$AH180))),0),IF(ISNUMBER($G180),1,IF(N($W180)&gt;0,AVERAGEIFS($X$5:$X$1000,$U$5:$U$1000,ROW(),$V$5:$V$1000,"Sub"),$X180))))</f>
        <v/>
      </c>
      <c r="N180" s="56">
        <f>IF($M180="","",IF($M180&gt;=1,"Completado",IF($M180&gt;0,"En curso","Pendiente")))</f>
        <v/>
      </c>
      <c r="O180" s="56">
        <f>IF(NOT((COUNTA($B180:$D180)+COUNTA($G180:$L180)+COUNTA($Q180))&gt;0),"",IF(AND(AND($D180&lt;&gt;"",$V180="Macro"),N($AH180)&gt;0),CHOOSE(MATCH($D180,ListaPuestos,0),INDEX('Cronograma R. Operacional'!$O$5:$O$1000,$AH180),INDEX('Cronograma R. Normativo'!$O$5:$O$1000,$AH180),INDEX('Cronograma R. Financiero'!$O$5:$O$1000,$AH180),INDEX('Cronograma Asistente Técnico'!$O$5:$O$1000,$AH180))&amp;"",IF(ISNUMBER($G180),IF(AND(ISNUMBER($AN180),$G180&gt;$AN180),"Cumplida con "&amp;($G180-$AN180)&amp;IF($G180-$AN180=1," día"," días")&amp;" de retraso","Cumplida"),IF(N($M180)&gt;=1,"Cumplida",IF(NOT(ISNUMBER($AN180)),"Sin fecha límite",IF($AN180&lt;FechaRef,"Vencida hace "&amp;(FechaRef-$AN180)&amp;IF(FechaRef-$AN180=1," día"," días"),IF($AN180=FechaRef,"Vence hoy",IF($AN180-FechaRef&lt;=DiasAlerta,"Vence en "&amp;($AN180-FechaRef)&amp;IF($AN180-FechaRef=1," día"," días"),"En plazo"))))))))</f>
        <v/>
      </c>
      <c r="P180" s="62">
        <f>IF(NOT((COUNTA($B180:$D180)+COUNTA($G180:$L180)+COUNTA($Q180))&gt;0),"",IF($D180="","Propia",IF($V180&lt;&gt;"Macro","Solo se delegan macroactividades",IF(N($AH180)&gt;0,"✔ Recibida por "&amp;$D180,"⚠ "&amp;$D180&amp;" aún no la agrega"))))</f>
        <v/>
      </c>
      <c r="Q180" s="58" t="n"/>
      <c r="R180" s="63">
        <f>IF(NOT((COUNTA($B180:$D180)+COUNTA($G180:$L180)+COUNTA($Q180))&gt;0),"",IF((IF($C180="","Falta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",""))="","✔ OK","⚠ "&amp;LEFT(IF($C180="","Falta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",""),LEN(IF($C180="","Falta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",""))-3)))</f>
        <v/>
      </c>
      <c r="S180" s="64">
        <f>IF(NOT((COUNTA($B180:$D180)+COUNTA($G180:$L180)+COUNTA($Q180))&gt;0),"",IF(AND($V180="Sub",N($U180)&gt;0),IF(ISNUMBER(INDEX($AM$5:$AM$1000,$U180-4)),DATE(YEAR(INDEX($AM$5:$AM$1000,$U180-4)),MONTH(INDEX($AM$5:$AM$1000,$U180-4)),1),IF(ISNUMBER(INDEX($AN$5:$AN$1000,$U180-4)),DATE(YEAR(INDEX($AN$5:$AN$1000,$U180-4)),MONTH(INDEX($AN$5:$AN$1000,$U180-4)),1),MesCiclo)),IF(ISNUMBER($AM180),DATE(YEAR($AM180),MONTH($AM180),1),IF(ISNUMBER($AN180),DATE(YEAR($AN180),MONTH($AN180),1),MesCiclo))))</f>
        <v/>
      </c>
      <c r="T180" s="62">
        <f>IF(OR($S180="",$S180&lt;&gt;MesCiclo),"",COUNTIF($S$5:$S180,MesCiclo))</f>
        <v/>
      </c>
      <c r="U180" s="62">
        <f>IF($V180="","",IF($V180="Macro",ROW(),IFERROR(LOOKUP(2,1/($V$5:$V180="Macro"),ROW($V$5:$V180)),0)))</f>
        <v/>
      </c>
      <c r="V180" s="62">
        <f>IF(NOT((COUNTA($B180:$D180)+COUNTA($G180:$L180)+COUNTA($Q180))&gt;0),"",IF($B180="Subactividad","Sub","Macro"))</f>
        <v/>
      </c>
      <c r="W180" s="62">
        <f>IF($V180="Macro",COUNTIFS($U$5:$U$1000,ROW(),$V$5:$V$1000,"Sub"),"")</f>
        <v/>
      </c>
      <c r="X180" s="62">
        <f>IF($V180="","",IF(ISNUMBER($G180),1,IFERROR(LOOKUP(2,1/($I180:$L180&lt;&gt;""),$I180:$L180),0)))</f>
        <v/>
      </c>
      <c r="Y180" s="62">
        <f>IF($V180="","",IF(AND(ISNUMBER($G180),$G180&lt;=IF($S180=MesCiclo,InicioCiclo,$S180+MOD(2-WEEKDAY($S180),7))+6),1,IF(ISNUMBER($I180),$I180,0)))</f>
        <v/>
      </c>
      <c r="Z180" s="62">
        <f>IF($V180="","",IF(AND(ISNUMBER($G180),$G180&lt;=IF($S180=MesCiclo,InicioCiclo,$S180+MOD(2-WEEKDAY($S180),7))+13),1,IF(ISNUMBER($J180),$J180,$Y180)))</f>
        <v/>
      </c>
      <c r="AA180" s="62">
        <f>IF($V180="","",IF(AND(ISNUMBER($G180),$G180&lt;=IF($S180=MesCiclo,InicioCiclo,$S180+MOD(2-WEEKDAY($S180),7))+20),1,IF(ISNUMBER($K180),$K180,$Z180)))</f>
        <v/>
      </c>
      <c r="AB180" s="62">
        <f>IF($V180="","",IF(AND(ISNUMBER($G180),$G180&lt;=IF($S180=MesCiclo,InicioCiclo,$S180+MOD(2-WEEKDAY($S180),7))+27),1,IF(ISNUMBER($L180),$L180,$AA180)))</f>
        <v/>
      </c>
      <c r="AC180" s="62">
        <f>IF($V180="","",IF(AND(ISNUMBER($G180),$G180&lt;=IF($S180=MesCiclo,InicioCiclo,$S180+MOD(2-WEEKDAY($S180),7))+6),1,IF(N($W180)&gt;0,AVERAGEIFS($Y$5:$Y$1000,$U$5:$U$1000,ROW(),$V$5:$V$1000,"Sub"),$Y180)))</f>
        <v/>
      </c>
      <c r="AD180" s="62">
        <f>IF($V180="","",IF(AND(ISNUMBER($G180),$G180&lt;=IF($S180=MesCiclo,InicioCiclo,$S180+MOD(2-WEEKDAY($S180),7))+13),1,IF(N($W180)&gt;0,AVERAGEIFS($Z$5:$Z$1000,$U$5:$U$1000,ROW(),$V$5:$V$1000,"Sub"),$Z180)))</f>
        <v/>
      </c>
      <c r="AE180" s="62">
        <f>IF($V180="","",IF(AND(ISNUMBER($G180),$G180&lt;=IF($S180=MesCiclo,InicioCiclo,$S180+MOD(2-WEEKDAY($S180),7))+20),1,IF(N($W180)&gt;0,AVERAGEIFS($AA$5:$AA$1000,$U$5:$U$1000,ROW(),$V$5:$V$1000,"Sub"),$AA180)))</f>
        <v/>
      </c>
      <c r="AF180" s="62">
        <f>IF($V180="","",IF(AND(ISNUMBER($G180),$G180&lt;=IF($S180=MesCiclo,InicioCiclo,$S180+MOD(2-WEEKDAY($S180),7))+27),1,IF(N($W180)&gt;0,AVERAGEIFS($AB$5:$AB$1000,$U$5:$U$1000,ROW(),$V$5:$V$1000,"Sub"),$AB180)))</f>
        <v/>
      </c>
      <c r="AG180" s="62">
        <f>IF($V180&lt;&gt;"Macro","",IF(COUNTIFS($S$5:$S$1000,$S180,$V$5:$V$1000,"Macro",$H$5:$H$1000,"&gt;0")=0,1/COUNTIFS($S$5:$S$1000,$S180,$V$5:$V$1000,"Macro"),IF(AND(ISNUMBER($H180),N($H180)&gt;0),$H180,SUMIFS($H$5:$H$1000,$S$5:$S$1000,$S180,$V$5:$V$1000,"Macro")/COUNTIFS($S$5:$S$1000,$S180,$V$5:$V$1000,"Macro",$H$5:$H$1000,"&gt;0"))/(COUNTIFS($S$5:$S$1000,$S180,$V$5:$V$1000,"Macro")*SUMIFS($H$5:$H$1000,$S$5:$S$1000,$S180,$V$5:$V$1000,"Macro")/COUNTIFS($S$5:$S$1000,$S180,$V$5:$V$1000,"Macro",$H$5:$H$1000,"&gt;0"))))</f>
        <v/>
      </c>
      <c r="AH180" s="62">
        <f>IF(NOT(AND($D180&lt;&gt;"",$V180="Macro")),"",IFERROR(CHOOSE(MATCH($D180,ListaPuestos,0),MATCH("[Jefatura] "&amp;$C180,'Cronograma R. Operacional'!$C$5:$C$1000,0),MATCH("[Jefatura] "&amp;$C180,'Cronograma R. Normativo'!$C$5:$C$1000,0),MATCH("[Jefatura] "&amp;$C180,'Cronograma R. Financiero'!$C$5:$C$1000,0),MATCH("[Jefatura] "&amp;$C180,'Cronograma Asistente Técnico'!$C$5:$C$1000,0)),0))</f>
        <v/>
      </c>
      <c r="AI180" s="62">
        <f>IF(AND(AND($D180&lt;&gt;"",$V180="Macro"),$S180=MesCiclo),COUNTIFS($D$5:$D180,$D180,$S$5:$S180,MesCiclo,$V$5:$V180,"Macro"),"")</f>
        <v/>
      </c>
      <c r="AJ180" s="62">
        <f>IF($AI180="","",$D180&amp;"|"&amp;$AI180)</f>
        <v/>
      </c>
      <c r="AK180" s="62">
        <f>IF(AND($D180&lt;&gt;"",$V180="Macro"),$D180&amp;"|"&amp;$C180,"")</f>
        <v/>
      </c>
      <c r="AL180" s="62">
        <f>""</f>
        <v/>
      </c>
      <c r="AM180" s="62">
        <f>IF(N($AL180)&gt;0,INDEX(rIni_ADM,$AL180),IF(ISNUMBER($E180),$E180,""))</f>
        <v/>
      </c>
      <c r="AN180" s="62">
        <f>IF(N($AL180)&gt;0,INDEX(rLim_ADM,$AL180),IF(ISNUMBER($F180),$F180,""))</f>
        <v/>
      </c>
    </row>
    <row r="181">
      <c r="A181" s="56">
        <f>IF(NOT((COUNTA($B181:$D181)+COUNTA($G181:$L181)+COUNTA($Q181))&gt;0),"",IF($V181="Macro",COUNTIFS($V$5:$V181,"Macro",$S$5:$S181,$S181),IF(N($U181)=0,"?",COUNTIFS(INDEX($V$5:$V$1000,1):INDEX($V$5:$V$1000,$U181-4),"Macro",INDEX($S$5:$S$1000,1):INDEX($S$5:$S$1000,$U181-4),INDEX($S$5:$S$1000,$U181-4))&amp;"."&amp;COUNTIFS($U$5:$U181,$U181,$V$5:$V181,"Sub"))))</f>
        <v/>
      </c>
      <c r="B181" s="57" t="n"/>
      <c r="C181" s="58" t="n"/>
      <c r="D181" s="58" t="n"/>
      <c r="E181" s="59" t="n"/>
      <c r="F181" s="59" t="n"/>
      <c r="G181" s="59" t="n"/>
      <c r="H181" s="60" t="n"/>
      <c r="I181" s="60" t="n"/>
      <c r="J181" s="60" t="n"/>
      <c r="K181" s="60" t="n"/>
      <c r="L181" s="60" t="n"/>
      <c r="M181" s="61">
        <f>IF(NOT((COUNTA($B181:$D181)+COUNTA($G181:$L181)+COUNTA($Q181))&gt;0),"",IF(AND($D181&lt;&gt;"",$V181="Macro"),IF(N($AH181)&gt;0,N(CHOOSE(MATCH($D181,ListaPuestos,0),INDEX('Cronograma R. Operacional'!$M$5:$M$1000,$AH181),INDEX('Cronograma R. Normativo'!$M$5:$M$1000,$AH181),INDEX('Cronograma R. Financiero'!$M$5:$M$1000,$AH181),INDEX('Cronograma Asistente Técnico'!$M$5:$M$1000,$AH181))),0),IF(ISNUMBER($G181),1,IF(N($W181)&gt;0,AVERAGEIFS($X$5:$X$1000,$U$5:$U$1000,ROW(),$V$5:$V$1000,"Sub"),$X181))))</f>
        <v/>
      </c>
      <c r="N181" s="56">
        <f>IF($M181="","",IF($M181&gt;=1,"Completado",IF($M181&gt;0,"En curso","Pendiente")))</f>
        <v/>
      </c>
      <c r="O181" s="56">
        <f>IF(NOT((COUNTA($B181:$D181)+COUNTA($G181:$L181)+COUNTA($Q181))&gt;0),"",IF(AND(AND($D181&lt;&gt;"",$V181="Macro"),N($AH181)&gt;0),CHOOSE(MATCH($D181,ListaPuestos,0),INDEX('Cronograma R. Operacional'!$O$5:$O$1000,$AH181),INDEX('Cronograma R. Normativo'!$O$5:$O$1000,$AH181),INDEX('Cronograma R. Financiero'!$O$5:$O$1000,$AH181),INDEX('Cronograma Asistente Técnico'!$O$5:$O$1000,$AH181))&amp;"",IF(ISNUMBER($G181),IF(AND(ISNUMBER($AN181),$G181&gt;$AN181),"Cumplida con "&amp;($G181-$AN181)&amp;IF($G181-$AN181=1," día"," días")&amp;" de retraso","Cumplida"),IF(N($M181)&gt;=1,"Cumplida",IF(NOT(ISNUMBER($AN181)),"Sin fecha límite",IF($AN181&lt;FechaRef,"Vencida hace "&amp;(FechaRef-$AN181)&amp;IF(FechaRef-$AN181=1," día"," días"),IF($AN181=FechaRef,"Vence hoy",IF($AN181-FechaRef&lt;=DiasAlerta,"Vence en "&amp;($AN181-FechaRef)&amp;IF($AN181-FechaRef=1," día"," días"),"En plazo"))))))))</f>
        <v/>
      </c>
      <c r="P181" s="62">
        <f>IF(NOT((COUNTA($B181:$D181)+COUNTA($G181:$L181)+COUNTA($Q181))&gt;0),"",IF($D181="","Propia",IF($V181&lt;&gt;"Macro","Solo se delegan macroactividades",IF(N($AH181)&gt;0,"✔ Recibida por "&amp;$D181,"⚠ "&amp;$D181&amp;" aún no la agrega"))))</f>
        <v/>
      </c>
      <c r="Q181" s="58" t="n"/>
      <c r="R181" s="63">
        <f>IF(NOT((COUNTA($B181:$D181)+COUNTA($G181:$L181)+COUNTA($Q181))&gt;0),"",IF((IF($C181="","Falta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",""))="","✔ OK","⚠ "&amp;LEFT(IF($C181="","Falta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",""),LEN(IF($C181="","Falta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",""))-3)))</f>
        <v/>
      </c>
      <c r="S181" s="64">
        <f>IF(NOT((COUNTA($B181:$D181)+COUNTA($G181:$L181)+COUNTA($Q181))&gt;0),"",IF(AND($V181="Sub",N($U181)&gt;0),IF(ISNUMBER(INDEX($AM$5:$AM$1000,$U181-4)),DATE(YEAR(INDEX($AM$5:$AM$1000,$U181-4)),MONTH(INDEX($AM$5:$AM$1000,$U181-4)),1),IF(ISNUMBER(INDEX($AN$5:$AN$1000,$U181-4)),DATE(YEAR(INDEX($AN$5:$AN$1000,$U181-4)),MONTH(INDEX($AN$5:$AN$1000,$U181-4)),1),MesCiclo)),IF(ISNUMBER($AM181),DATE(YEAR($AM181),MONTH($AM181),1),IF(ISNUMBER($AN181),DATE(YEAR($AN181),MONTH($AN181),1),MesCiclo))))</f>
        <v/>
      </c>
      <c r="T181" s="62">
        <f>IF(OR($S181="",$S181&lt;&gt;MesCiclo),"",COUNTIF($S$5:$S181,MesCiclo))</f>
        <v/>
      </c>
      <c r="U181" s="62">
        <f>IF($V181="","",IF($V181="Macro",ROW(),IFERROR(LOOKUP(2,1/($V$5:$V181="Macro"),ROW($V$5:$V181)),0)))</f>
        <v/>
      </c>
      <c r="V181" s="62">
        <f>IF(NOT((COUNTA($B181:$D181)+COUNTA($G181:$L181)+COUNTA($Q181))&gt;0),"",IF($B181="Subactividad","Sub","Macro"))</f>
        <v/>
      </c>
      <c r="W181" s="62">
        <f>IF($V181="Macro",COUNTIFS($U$5:$U$1000,ROW(),$V$5:$V$1000,"Sub"),"")</f>
        <v/>
      </c>
      <c r="X181" s="62">
        <f>IF($V181="","",IF(ISNUMBER($G181),1,IFERROR(LOOKUP(2,1/($I181:$L181&lt;&gt;""),$I181:$L181),0)))</f>
        <v/>
      </c>
      <c r="Y181" s="62">
        <f>IF($V181="","",IF(AND(ISNUMBER($G181),$G181&lt;=IF($S181=MesCiclo,InicioCiclo,$S181+MOD(2-WEEKDAY($S181),7))+6),1,IF(ISNUMBER($I181),$I181,0)))</f>
        <v/>
      </c>
      <c r="Z181" s="62">
        <f>IF($V181="","",IF(AND(ISNUMBER($G181),$G181&lt;=IF($S181=MesCiclo,InicioCiclo,$S181+MOD(2-WEEKDAY($S181),7))+13),1,IF(ISNUMBER($J181),$J181,$Y181)))</f>
        <v/>
      </c>
      <c r="AA181" s="62">
        <f>IF($V181="","",IF(AND(ISNUMBER($G181),$G181&lt;=IF($S181=MesCiclo,InicioCiclo,$S181+MOD(2-WEEKDAY($S181),7))+20),1,IF(ISNUMBER($K181),$K181,$Z181)))</f>
        <v/>
      </c>
      <c r="AB181" s="62">
        <f>IF($V181="","",IF(AND(ISNUMBER($G181),$G181&lt;=IF($S181=MesCiclo,InicioCiclo,$S181+MOD(2-WEEKDAY($S181),7))+27),1,IF(ISNUMBER($L181),$L181,$AA181)))</f>
        <v/>
      </c>
      <c r="AC181" s="62">
        <f>IF($V181="","",IF(AND(ISNUMBER($G181),$G181&lt;=IF($S181=MesCiclo,InicioCiclo,$S181+MOD(2-WEEKDAY($S181),7))+6),1,IF(N($W181)&gt;0,AVERAGEIFS($Y$5:$Y$1000,$U$5:$U$1000,ROW(),$V$5:$V$1000,"Sub"),$Y181)))</f>
        <v/>
      </c>
      <c r="AD181" s="62">
        <f>IF($V181="","",IF(AND(ISNUMBER($G181),$G181&lt;=IF($S181=MesCiclo,InicioCiclo,$S181+MOD(2-WEEKDAY($S181),7))+13),1,IF(N($W181)&gt;0,AVERAGEIFS($Z$5:$Z$1000,$U$5:$U$1000,ROW(),$V$5:$V$1000,"Sub"),$Z181)))</f>
        <v/>
      </c>
      <c r="AE181" s="62">
        <f>IF($V181="","",IF(AND(ISNUMBER($G181),$G181&lt;=IF($S181=MesCiclo,InicioCiclo,$S181+MOD(2-WEEKDAY($S181),7))+20),1,IF(N($W181)&gt;0,AVERAGEIFS($AA$5:$AA$1000,$U$5:$U$1000,ROW(),$V$5:$V$1000,"Sub"),$AA181)))</f>
        <v/>
      </c>
      <c r="AF181" s="62">
        <f>IF($V181="","",IF(AND(ISNUMBER($G181),$G181&lt;=IF($S181=MesCiclo,InicioCiclo,$S181+MOD(2-WEEKDAY($S181),7))+27),1,IF(N($W181)&gt;0,AVERAGEIFS($AB$5:$AB$1000,$U$5:$U$1000,ROW(),$V$5:$V$1000,"Sub"),$AB181)))</f>
        <v/>
      </c>
      <c r="AG181" s="62">
        <f>IF($V181&lt;&gt;"Macro","",IF(COUNTIFS($S$5:$S$1000,$S181,$V$5:$V$1000,"Macro",$H$5:$H$1000,"&gt;0")=0,1/COUNTIFS($S$5:$S$1000,$S181,$V$5:$V$1000,"Macro"),IF(AND(ISNUMBER($H181),N($H181)&gt;0),$H181,SUMIFS($H$5:$H$1000,$S$5:$S$1000,$S181,$V$5:$V$1000,"Macro")/COUNTIFS($S$5:$S$1000,$S181,$V$5:$V$1000,"Macro",$H$5:$H$1000,"&gt;0"))/(COUNTIFS($S$5:$S$1000,$S181,$V$5:$V$1000,"Macro")*SUMIFS($H$5:$H$1000,$S$5:$S$1000,$S181,$V$5:$V$1000,"Macro")/COUNTIFS($S$5:$S$1000,$S181,$V$5:$V$1000,"Macro",$H$5:$H$1000,"&gt;0"))))</f>
        <v/>
      </c>
      <c r="AH181" s="62">
        <f>IF(NOT(AND($D181&lt;&gt;"",$V181="Macro")),"",IFERROR(CHOOSE(MATCH($D181,ListaPuestos,0),MATCH("[Jefatura] "&amp;$C181,'Cronograma R. Operacional'!$C$5:$C$1000,0),MATCH("[Jefatura] "&amp;$C181,'Cronograma R. Normativo'!$C$5:$C$1000,0),MATCH("[Jefatura] "&amp;$C181,'Cronograma R. Financiero'!$C$5:$C$1000,0),MATCH("[Jefatura] "&amp;$C181,'Cronograma Asistente Técnico'!$C$5:$C$1000,0)),0))</f>
        <v/>
      </c>
      <c r="AI181" s="62">
        <f>IF(AND(AND($D181&lt;&gt;"",$V181="Macro"),$S181=MesCiclo),COUNTIFS($D$5:$D181,$D181,$S$5:$S181,MesCiclo,$V$5:$V181,"Macro"),"")</f>
        <v/>
      </c>
      <c r="AJ181" s="62">
        <f>IF($AI181="","",$D181&amp;"|"&amp;$AI181)</f>
        <v/>
      </c>
      <c r="AK181" s="62">
        <f>IF(AND($D181&lt;&gt;"",$V181="Macro"),$D181&amp;"|"&amp;$C181,"")</f>
        <v/>
      </c>
      <c r="AL181" s="62">
        <f>""</f>
        <v/>
      </c>
      <c r="AM181" s="62">
        <f>IF(N($AL181)&gt;0,INDEX(rIni_ADM,$AL181),IF(ISNUMBER($E181),$E181,""))</f>
        <v/>
      </c>
      <c r="AN181" s="62">
        <f>IF(N($AL181)&gt;0,INDEX(rLim_ADM,$AL181),IF(ISNUMBER($F181),$F181,""))</f>
        <v/>
      </c>
    </row>
    <row r="182">
      <c r="A182" s="56">
        <f>IF(NOT((COUNTA($B182:$D182)+COUNTA($G182:$L182)+COUNTA($Q182))&gt;0),"",IF($V182="Macro",COUNTIFS($V$5:$V182,"Macro",$S$5:$S182,$S182),IF(N($U182)=0,"?",COUNTIFS(INDEX($V$5:$V$1000,1):INDEX($V$5:$V$1000,$U182-4),"Macro",INDEX($S$5:$S$1000,1):INDEX($S$5:$S$1000,$U182-4),INDEX($S$5:$S$1000,$U182-4))&amp;"."&amp;COUNTIFS($U$5:$U182,$U182,$V$5:$V182,"Sub"))))</f>
        <v/>
      </c>
      <c r="B182" s="57" t="n"/>
      <c r="C182" s="58" t="n"/>
      <c r="D182" s="58" t="n"/>
      <c r="E182" s="59" t="n"/>
      <c r="F182" s="59" t="n"/>
      <c r="G182" s="59" t="n"/>
      <c r="H182" s="60" t="n"/>
      <c r="I182" s="60" t="n"/>
      <c r="J182" s="60" t="n"/>
      <c r="K182" s="60" t="n"/>
      <c r="L182" s="60" t="n"/>
      <c r="M182" s="61">
        <f>IF(NOT((COUNTA($B182:$D182)+COUNTA($G182:$L182)+COUNTA($Q182))&gt;0),"",IF(AND($D182&lt;&gt;"",$V182="Macro"),IF(N($AH182)&gt;0,N(CHOOSE(MATCH($D182,ListaPuestos,0),INDEX('Cronograma R. Operacional'!$M$5:$M$1000,$AH182),INDEX('Cronograma R. Normativo'!$M$5:$M$1000,$AH182),INDEX('Cronograma R. Financiero'!$M$5:$M$1000,$AH182),INDEX('Cronograma Asistente Técnico'!$M$5:$M$1000,$AH182))),0),IF(ISNUMBER($G182),1,IF(N($W182)&gt;0,AVERAGEIFS($X$5:$X$1000,$U$5:$U$1000,ROW(),$V$5:$V$1000,"Sub"),$X182))))</f>
        <v/>
      </c>
      <c r="N182" s="56">
        <f>IF($M182="","",IF($M182&gt;=1,"Completado",IF($M182&gt;0,"En curso","Pendiente")))</f>
        <v/>
      </c>
      <c r="O182" s="56">
        <f>IF(NOT((COUNTA($B182:$D182)+COUNTA($G182:$L182)+COUNTA($Q182))&gt;0),"",IF(AND(AND($D182&lt;&gt;"",$V182="Macro"),N($AH182)&gt;0),CHOOSE(MATCH($D182,ListaPuestos,0),INDEX('Cronograma R. Operacional'!$O$5:$O$1000,$AH182),INDEX('Cronograma R. Normativo'!$O$5:$O$1000,$AH182),INDEX('Cronograma R. Financiero'!$O$5:$O$1000,$AH182),INDEX('Cronograma Asistente Técnico'!$O$5:$O$1000,$AH182))&amp;"",IF(ISNUMBER($G182),IF(AND(ISNUMBER($AN182),$G182&gt;$AN182),"Cumplida con "&amp;($G182-$AN182)&amp;IF($G182-$AN182=1," día"," días")&amp;" de retraso","Cumplida"),IF(N($M182)&gt;=1,"Cumplida",IF(NOT(ISNUMBER($AN182)),"Sin fecha límite",IF($AN182&lt;FechaRef,"Vencida hace "&amp;(FechaRef-$AN182)&amp;IF(FechaRef-$AN182=1," día"," días"),IF($AN182=FechaRef,"Vence hoy",IF($AN182-FechaRef&lt;=DiasAlerta,"Vence en "&amp;($AN182-FechaRef)&amp;IF($AN182-FechaRef=1," día"," días"),"En plazo"))))))))</f>
        <v/>
      </c>
      <c r="P182" s="62">
        <f>IF(NOT((COUNTA($B182:$D182)+COUNTA($G182:$L182)+COUNTA($Q182))&gt;0),"",IF($D182="","Propia",IF($V182&lt;&gt;"Macro","Solo se delegan macroactividades",IF(N($AH182)&gt;0,"✔ Recibida por "&amp;$D182,"⚠ "&amp;$D182&amp;" aún no la agrega"))))</f>
        <v/>
      </c>
      <c r="Q182" s="58" t="n"/>
      <c r="R182" s="63">
        <f>IF(NOT((COUNTA($B182:$D182)+COUNTA($G182:$L182)+COUNTA($Q182))&gt;0),"",IF((IF($C182="","Falta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",""))="","✔ OK","⚠ "&amp;LEFT(IF($C182="","Falta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",""),LEN(IF($C182="","Falta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",""))-3)))</f>
        <v/>
      </c>
      <c r="S182" s="64">
        <f>IF(NOT((COUNTA($B182:$D182)+COUNTA($G182:$L182)+COUNTA($Q182))&gt;0),"",IF(AND($V182="Sub",N($U182)&gt;0),IF(ISNUMBER(INDEX($AM$5:$AM$1000,$U182-4)),DATE(YEAR(INDEX($AM$5:$AM$1000,$U182-4)),MONTH(INDEX($AM$5:$AM$1000,$U182-4)),1),IF(ISNUMBER(INDEX($AN$5:$AN$1000,$U182-4)),DATE(YEAR(INDEX($AN$5:$AN$1000,$U182-4)),MONTH(INDEX($AN$5:$AN$1000,$U182-4)),1),MesCiclo)),IF(ISNUMBER($AM182),DATE(YEAR($AM182),MONTH($AM182),1),IF(ISNUMBER($AN182),DATE(YEAR($AN182),MONTH($AN182),1),MesCiclo))))</f>
        <v/>
      </c>
      <c r="T182" s="62">
        <f>IF(OR($S182="",$S182&lt;&gt;MesCiclo),"",COUNTIF($S$5:$S182,MesCiclo))</f>
        <v/>
      </c>
      <c r="U182" s="62">
        <f>IF($V182="","",IF($V182="Macro",ROW(),IFERROR(LOOKUP(2,1/($V$5:$V182="Macro"),ROW($V$5:$V182)),0)))</f>
        <v/>
      </c>
      <c r="V182" s="62">
        <f>IF(NOT((COUNTA($B182:$D182)+COUNTA($G182:$L182)+COUNTA($Q182))&gt;0),"",IF($B182="Subactividad","Sub","Macro"))</f>
        <v/>
      </c>
      <c r="W182" s="62">
        <f>IF($V182="Macro",COUNTIFS($U$5:$U$1000,ROW(),$V$5:$V$1000,"Sub"),"")</f>
        <v/>
      </c>
      <c r="X182" s="62">
        <f>IF($V182="","",IF(ISNUMBER($G182),1,IFERROR(LOOKUP(2,1/($I182:$L182&lt;&gt;""),$I182:$L182),0)))</f>
        <v/>
      </c>
      <c r="Y182" s="62">
        <f>IF($V182="","",IF(AND(ISNUMBER($G182),$G182&lt;=IF($S182=MesCiclo,InicioCiclo,$S182+MOD(2-WEEKDAY($S182),7))+6),1,IF(ISNUMBER($I182),$I182,0)))</f>
        <v/>
      </c>
      <c r="Z182" s="62">
        <f>IF($V182="","",IF(AND(ISNUMBER($G182),$G182&lt;=IF($S182=MesCiclo,InicioCiclo,$S182+MOD(2-WEEKDAY($S182),7))+13),1,IF(ISNUMBER($J182),$J182,$Y182)))</f>
        <v/>
      </c>
      <c r="AA182" s="62">
        <f>IF($V182="","",IF(AND(ISNUMBER($G182),$G182&lt;=IF($S182=MesCiclo,InicioCiclo,$S182+MOD(2-WEEKDAY($S182),7))+20),1,IF(ISNUMBER($K182),$K182,$Z182)))</f>
        <v/>
      </c>
      <c r="AB182" s="62">
        <f>IF($V182="","",IF(AND(ISNUMBER($G182),$G182&lt;=IF($S182=MesCiclo,InicioCiclo,$S182+MOD(2-WEEKDAY($S182),7))+27),1,IF(ISNUMBER($L182),$L182,$AA182)))</f>
        <v/>
      </c>
      <c r="AC182" s="62">
        <f>IF($V182="","",IF(AND(ISNUMBER($G182),$G182&lt;=IF($S182=MesCiclo,InicioCiclo,$S182+MOD(2-WEEKDAY($S182),7))+6),1,IF(N($W182)&gt;0,AVERAGEIFS($Y$5:$Y$1000,$U$5:$U$1000,ROW(),$V$5:$V$1000,"Sub"),$Y182)))</f>
        <v/>
      </c>
      <c r="AD182" s="62">
        <f>IF($V182="","",IF(AND(ISNUMBER($G182),$G182&lt;=IF($S182=MesCiclo,InicioCiclo,$S182+MOD(2-WEEKDAY($S182),7))+13),1,IF(N($W182)&gt;0,AVERAGEIFS($Z$5:$Z$1000,$U$5:$U$1000,ROW(),$V$5:$V$1000,"Sub"),$Z182)))</f>
        <v/>
      </c>
      <c r="AE182" s="62">
        <f>IF($V182="","",IF(AND(ISNUMBER($G182),$G182&lt;=IF($S182=MesCiclo,InicioCiclo,$S182+MOD(2-WEEKDAY($S182),7))+20),1,IF(N($W182)&gt;0,AVERAGEIFS($AA$5:$AA$1000,$U$5:$U$1000,ROW(),$V$5:$V$1000,"Sub"),$AA182)))</f>
        <v/>
      </c>
      <c r="AF182" s="62">
        <f>IF($V182="","",IF(AND(ISNUMBER($G182),$G182&lt;=IF($S182=MesCiclo,InicioCiclo,$S182+MOD(2-WEEKDAY($S182),7))+27),1,IF(N($W182)&gt;0,AVERAGEIFS($AB$5:$AB$1000,$U$5:$U$1000,ROW(),$V$5:$V$1000,"Sub"),$AB182)))</f>
        <v/>
      </c>
      <c r="AG182" s="62">
        <f>IF($V182&lt;&gt;"Macro","",IF(COUNTIFS($S$5:$S$1000,$S182,$V$5:$V$1000,"Macro",$H$5:$H$1000,"&gt;0")=0,1/COUNTIFS($S$5:$S$1000,$S182,$V$5:$V$1000,"Macro"),IF(AND(ISNUMBER($H182),N($H182)&gt;0),$H182,SUMIFS($H$5:$H$1000,$S$5:$S$1000,$S182,$V$5:$V$1000,"Macro")/COUNTIFS($S$5:$S$1000,$S182,$V$5:$V$1000,"Macro",$H$5:$H$1000,"&gt;0"))/(COUNTIFS($S$5:$S$1000,$S182,$V$5:$V$1000,"Macro")*SUMIFS($H$5:$H$1000,$S$5:$S$1000,$S182,$V$5:$V$1000,"Macro")/COUNTIFS($S$5:$S$1000,$S182,$V$5:$V$1000,"Macro",$H$5:$H$1000,"&gt;0"))))</f>
        <v/>
      </c>
      <c r="AH182" s="62">
        <f>IF(NOT(AND($D182&lt;&gt;"",$V182="Macro")),"",IFERROR(CHOOSE(MATCH($D182,ListaPuestos,0),MATCH("[Jefatura] "&amp;$C182,'Cronograma R. Operacional'!$C$5:$C$1000,0),MATCH("[Jefatura] "&amp;$C182,'Cronograma R. Normativo'!$C$5:$C$1000,0),MATCH("[Jefatura] "&amp;$C182,'Cronograma R. Financiero'!$C$5:$C$1000,0),MATCH("[Jefatura] "&amp;$C182,'Cronograma Asistente Técnico'!$C$5:$C$1000,0)),0))</f>
        <v/>
      </c>
      <c r="AI182" s="62">
        <f>IF(AND(AND($D182&lt;&gt;"",$V182="Macro"),$S182=MesCiclo),COUNTIFS($D$5:$D182,$D182,$S$5:$S182,MesCiclo,$V$5:$V182,"Macro"),"")</f>
        <v/>
      </c>
      <c r="AJ182" s="62">
        <f>IF($AI182="","",$D182&amp;"|"&amp;$AI182)</f>
        <v/>
      </c>
      <c r="AK182" s="62">
        <f>IF(AND($D182&lt;&gt;"",$V182="Macro"),$D182&amp;"|"&amp;$C182,"")</f>
        <v/>
      </c>
      <c r="AL182" s="62">
        <f>""</f>
        <v/>
      </c>
      <c r="AM182" s="62">
        <f>IF(N($AL182)&gt;0,INDEX(rIni_ADM,$AL182),IF(ISNUMBER($E182),$E182,""))</f>
        <v/>
      </c>
      <c r="AN182" s="62">
        <f>IF(N($AL182)&gt;0,INDEX(rLim_ADM,$AL182),IF(ISNUMBER($F182),$F182,""))</f>
        <v/>
      </c>
    </row>
    <row r="183">
      <c r="A183" s="56">
        <f>IF(NOT((COUNTA($B183:$D183)+COUNTA($G183:$L183)+COUNTA($Q183))&gt;0),"",IF($V183="Macro",COUNTIFS($V$5:$V183,"Macro",$S$5:$S183,$S183),IF(N($U183)=0,"?",COUNTIFS(INDEX($V$5:$V$1000,1):INDEX($V$5:$V$1000,$U183-4),"Macro",INDEX($S$5:$S$1000,1):INDEX($S$5:$S$1000,$U183-4),INDEX($S$5:$S$1000,$U183-4))&amp;"."&amp;COUNTIFS($U$5:$U183,$U183,$V$5:$V183,"Sub"))))</f>
        <v/>
      </c>
      <c r="B183" s="57" t="n"/>
      <c r="C183" s="58" t="n"/>
      <c r="D183" s="58" t="n"/>
      <c r="E183" s="59" t="n"/>
      <c r="F183" s="59" t="n"/>
      <c r="G183" s="59" t="n"/>
      <c r="H183" s="60" t="n"/>
      <c r="I183" s="60" t="n"/>
      <c r="J183" s="60" t="n"/>
      <c r="K183" s="60" t="n"/>
      <c r="L183" s="60" t="n"/>
      <c r="M183" s="61">
        <f>IF(NOT((COUNTA($B183:$D183)+COUNTA($G183:$L183)+COUNTA($Q183))&gt;0),"",IF(AND($D183&lt;&gt;"",$V183="Macro"),IF(N($AH183)&gt;0,N(CHOOSE(MATCH($D183,ListaPuestos,0),INDEX('Cronograma R. Operacional'!$M$5:$M$1000,$AH183),INDEX('Cronograma R. Normativo'!$M$5:$M$1000,$AH183),INDEX('Cronograma R. Financiero'!$M$5:$M$1000,$AH183),INDEX('Cronograma Asistente Técnico'!$M$5:$M$1000,$AH183))),0),IF(ISNUMBER($G183),1,IF(N($W183)&gt;0,AVERAGEIFS($X$5:$X$1000,$U$5:$U$1000,ROW(),$V$5:$V$1000,"Sub"),$X183))))</f>
        <v/>
      </c>
      <c r="N183" s="56">
        <f>IF($M183="","",IF($M183&gt;=1,"Completado",IF($M183&gt;0,"En curso","Pendiente")))</f>
        <v/>
      </c>
      <c r="O183" s="56">
        <f>IF(NOT((COUNTA($B183:$D183)+COUNTA($G183:$L183)+COUNTA($Q183))&gt;0),"",IF(AND(AND($D183&lt;&gt;"",$V183="Macro"),N($AH183)&gt;0),CHOOSE(MATCH($D183,ListaPuestos,0),INDEX('Cronograma R. Operacional'!$O$5:$O$1000,$AH183),INDEX('Cronograma R. Normativo'!$O$5:$O$1000,$AH183),INDEX('Cronograma R. Financiero'!$O$5:$O$1000,$AH183),INDEX('Cronograma Asistente Técnico'!$O$5:$O$1000,$AH183))&amp;"",IF(ISNUMBER($G183),IF(AND(ISNUMBER($AN183),$G183&gt;$AN183),"Cumplida con "&amp;($G183-$AN183)&amp;IF($G183-$AN183=1," día"," días")&amp;" de retraso","Cumplida"),IF(N($M183)&gt;=1,"Cumplida",IF(NOT(ISNUMBER($AN183)),"Sin fecha límite",IF($AN183&lt;FechaRef,"Vencida hace "&amp;(FechaRef-$AN183)&amp;IF(FechaRef-$AN183=1," día"," días"),IF($AN183=FechaRef,"Vence hoy",IF($AN183-FechaRef&lt;=DiasAlerta,"Vence en "&amp;($AN183-FechaRef)&amp;IF($AN183-FechaRef=1," día"," días"),"En plazo"))))))))</f>
        <v/>
      </c>
      <c r="P183" s="62">
        <f>IF(NOT((COUNTA($B183:$D183)+COUNTA($G183:$L183)+COUNTA($Q183))&gt;0),"",IF($D183="","Propia",IF($V183&lt;&gt;"Macro","Solo se delegan macroactividades",IF(N($AH183)&gt;0,"✔ Recibida por "&amp;$D183,"⚠ "&amp;$D183&amp;" aún no la agrega"))))</f>
        <v/>
      </c>
      <c r="Q183" s="58" t="n"/>
      <c r="R183" s="63">
        <f>IF(NOT((COUNTA($B183:$D183)+COUNTA($G183:$L183)+COUNTA($Q183))&gt;0),"",IF((IF($C183="","Falta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",""))="","✔ OK","⚠ "&amp;LEFT(IF($C183="","Falta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",""),LEN(IF($C183="","Falta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",""))-3)))</f>
        <v/>
      </c>
      <c r="S183" s="64">
        <f>IF(NOT((COUNTA($B183:$D183)+COUNTA($G183:$L183)+COUNTA($Q183))&gt;0),"",IF(AND($V183="Sub",N($U183)&gt;0),IF(ISNUMBER(INDEX($AM$5:$AM$1000,$U183-4)),DATE(YEAR(INDEX($AM$5:$AM$1000,$U183-4)),MONTH(INDEX($AM$5:$AM$1000,$U183-4)),1),IF(ISNUMBER(INDEX($AN$5:$AN$1000,$U183-4)),DATE(YEAR(INDEX($AN$5:$AN$1000,$U183-4)),MONTH(INDEX($AN$5:$AN$1000,$U183-4)),1),MesCiclo)),IF(ISNUMBER($AM183),DATE(YEAR($AM183),MONTH($AM183),1),IF(ISNUMBER($AN183),DATE(YEAR($AN183),MONTH($AN183),1),MesCiclo))))</f>
        <v/>
      </c>
      <c r="T183" s="62">
        <f>IF(OR($S183="",$S183&lt;&gt;MesCiclo),"",COUNTIF($S$5:$S183,MesCiclo))</f>
        <v/>
      </c>
      <c r="U183" s="62">
        <f>IF($V183="","",IF($V183="Macro",ROW(),IFERROR(LOOKUP(2,1/($V$5:$V183="Macro"),ROW($V$5:$V183)),0)))</f>
        <v/>
      </c>
      <c r="V183" s="62">
        <f>IF(NOT((COUNTA($B183:$D183)+COUNTA($G183:$L183)+COUNTA($Q183))&gt;0),"",IF($B183="Subactividad","Sub","Macro"))</f>
        <v/>
      </c>
      <c r="W183" s="62">
        <f>IF($V183="Macro",COUNTIFS($U$5:$U$1000,ROW(),$V$5:$V$1000,"Sub"),"")</f>
        <v/>
      </c>
      <c r="X183" s="62">
        <f>IF($V183="","",IF(ISNUMBER($G183),1,IFERROR(LOOKUP(2,1/($I183:$L183&lt;&gt;""),$I183:$L183),0)))</f>
        <v/>
      </c>
      <c r="Y183" s="62">
        <f>IF($V183="","",IF(AND(ISNUMBER($G183),$G183&lt;=IF($S183=MesCiclo,InicioCiclo,$S183+MOD(2-WEEKDAY($S183),7))+6),1,IF(ISNUMBER($I183),$I183,0)))</f>
        <v/>
      </c>
      <c r="Z183" s="62">
        <f>IF($V183="","",IF(AND(ISNUMBER($G183),$G183&lt;=IF($S183=MesCiclo,InicioCiclo,$S183+MOD(2-WEEKDAY($S183),7))+13),1,IF(ISNUMBER($J183),$J183,$Y183)))</f>
        <v/>
      </c>
      <c r="AA183" s="62">
        <f>IF($V183="","",IF(AND(ISNUMBER($G183),$G183&lt;=IF($S183=MesCiclo,InicioCiclo,$S183+MOD(2-WEEKDAY($S183),7))+20),1,IF(ISNUMBER($K183),$K183,$Z183)))</f>
        <v/>
      </c>
      <c r="AB183" s="62">
        <f>IF($V183="","",IF(AND(ISNUMBER($G183),$G183&lt;=IF($S183=MesCiclo,InicioCiclo,$S183+MOD(2-WEEKDAY($S183),7))+27),1,IF(ISNUMBER($L183),$L183,$AA183)))</f>
        <v/>
      </c>
      <c r="AC183" s="62">
        <f>IF($V183="","",IF(AND(ISNUMBER($G183),$G183&lt;=IF($S183=MesCiclo,InicioCiclo,$S183+MOD(2-WEEKDAY($S183),7))+6),1,IF(N($W183)&gt;0,AVERAGEIFS($Y$5:$Y$1000,$U$5:$U$1000,ROW(),$V$5:$V$1000,"Sub"),$Y183)))</f>
        <v/>
      </c>
      <c r="AD183" s="62">
        <f>IF($V183="","",IF(AND(ISNUMBER($G183),$G183&lt;=IF($S183=MesCiclo,InicioCiclo,$S183+MOD(2-WEEKDAY($S183),7))+13),1,IF(N($W183)&gt;0,AVERAGEIFS($Z$5:$Z$1000,$U$5:$U$1000,ROW(),$V$5:$V$1000,"Sub"),$Z183)))</f>
        <v/>
      </c>
      <c r="AE183" s="62">
        <f>IF($V183="","",IF(AND(ISNUMBER($G183),$G183&lt;=IF($S183=MesCiclo,InicioCiclo,$S183+MOD(2-WEEKDAY($S183),7))+20),1,IF(N($W183)&gt;0,AVERAGEIFS($AA$5:$AA$1000,$U$5:$U$1000,ROW(),$V$5:$V$1000,"Sub"),$AA183)))</f>
        <v/>
      </c>
      <c r="AF183" s="62">
        <f>IF($V183="","",IF(AND(ISNUMBER($G183),$G183&lt;=IF($S183=MesCiclo,InicioCiclo,$S183+MOD(2-WEEKDAY($S183),7))+27),1,IF(N($W183)&gt;0,AVERAGEIFS($AB$5:$AB$1000,$U$5:$U$1000,ROW(),$V$5:$V$1000,"Sub"),$AB183)))</f>
        <v/>
      </c>
      <c r="AG183" s="62">
        <f>IF($V183&lt;&gt;"Macro","",IF(COUNTIFS($S$5:$S$1000,$S183,$V$5:$V$1000,"Macro",$H$5:$H$1000,"&gt;0")=0,1/COUNTIFS($S$5:$S$1000,$S183,$V$5:$V$1000,"Macro"),IF(AND(ISNUMBER($H183),N($H183)&gt;0),$H183,SUMIFS($H$5:$H$1000,$S$5:$S$1000,$S183,$V$5:$V$1000,"Macro")/COUNTIFS($S$5:$S$1000,$S183,$V$5:$V$1000,"Macro",$H$5:$H$1000,"&gt;0"))/(COUNTIFS($S$5:$S$1000,$S183,$V$5:$V$1000,"Macro")*SUMIFS($H$5:$H$1000,$S$5:$S$1000,$S183,$V$5:$V$1000,"Macro")/COUNTIFS($S$5:$S$1000,$S183,$V$5:$V$1000,"Macro",$H$5:$H$1000,"&gt;0"))))</f>
        <v/>
      </c>
      <c r="AH183" s="62">
        <f>IF(NOT(AND($D183&lt;&gt;"",$V183="Macro")),"",IFERROR(CHOOSE(MATCH($D183,ListaPuestos,0),MATCH("[Jefatura] "&amp;$C183,'Cronograma R. Operacional'!$C$5:$C$1000,0),MATCH("[Jefatura] "&amp;$C183,'Cronograma R. Normativo'!$C$5:$C$1000,0),MATCH("[Jefatura] "&amp;$C183,'Cronograma R. Financiero'!$C$5:$C$1000,0),MATCH("[Jefatura] "&amp;$C183,'Cronograma Asistente Técnico'!$C$5:$C$1000,0)),0))</f>
        <v/>
      </c>
      <c r="AI183" s="62">
        <f>IF(AND(AND($D183&lt;&gt;"",$V183="Macro"),$S183=MesCiclo),COUNTIFS($D$5:$D183,$D183,$S$5:$S183,MesCiclo,$V$5:$V183,"Macro"),"")</f>
        <v/>
      </c>
      <c r="AJ183" s="62">
        <f>IF($AI183="","",$D183&amp;"|"&amp;$AI183)</f>
        <v/>
      </c>
      <c r="AK183" s="62">
        <f>IF(AND($D183&lt;&gt;"",$V183="Macro"),$D183&amp;"|"&amp;$C183,"")</f>
        <v/>
      </c>
      <c r="AL183" s="62">
        <f>""</f>
        <v/>
      </c>
      <c r="AM183" s="62">
        <f>IF(N($AL183)&gt;0,INDEX(rIni_ADM,$AL183),IF(ISNUMBER($E183),$E183,""))</f>
        <v/>
      </c>
      <c r="AN183" s="62">
        <f>IF(N($AL183)&gt;0,INDEX(rLim_ADM,$AL183),IF(ISNUMBER($F183),$F183,""))</f>
        <v/>
      </c>
    </row>
    <row r="184">
      <c r="A184" s="56">
        <f>IF(NOT((COUNTA($B184:$D184)+COUNTA($G184:$L184)+COUNTA($Q184))&gt;0),"",IF($V184="Macro",COUNTIFS($V$5:$V184,"Macro",$S$5:$S184,$S184),IF(N($U184)=0,"?",COUNTIFS(INDEX($V$5:$V$1000,1):INDEX($V$5:$V$1000,$U184-4),"Macro",INDEX($S$5:$S$1000,1):INDEX($S$5:$S$1000,$U184-4),INDEX($S$5:$S$1000,$U184-4))&amp;"."&amp;COUNTIFS($U$5:$U184,$U184,$V$5:$V184,"Sub"))))</f>
        <v/>
      </c>
      <c r="B184" s="57" t="n"/>
      <c r="C184" s="58" t="n"/>
      <c r="D184" s="58" t="n"/>
      <c r="E184" s="59" t="n"/>
      <c r="F184" s="59" t="n"/>
      <c r="G184" s="59" t="n"/>
      <c r="H184" s="60" t="n"/>
      <c r="I184" s="60" t="n"/>
      <c r="J184" s="60" t="n"/>
      <c r="K184" s="60" t="n"/>
      <c r="L184" s="60" t="n"/>
      <c r="M184" s="61">
        <f>IF(NOT((COUNTA($B184:$D184)+COUNTA($G184:$L184)+COUNTA($Q184))&gt;0),"",IF(AND($D184&lt;&gt;"",$V184="Macro"),IF(N($AH184)&gt;0,N(CHOOSE(MATCH($D184,ListaPuestos,0),INDEX('Cronograma R. Operacional'!$M$5:$M$1000,$AH184),INDEX('Cronograma R. Normativo'!$M$5:$M$1000,$AH184),INDEX('Cronograma R. Financiero'!$M$5:$M$1000,$AH184),INDEX('Cronograma Asistente Técnico'!$M$5:$M$1000,$AH184))),0),IF(ISNUMBER($G184),1,IF(N($W184)&gt;0,AVERAGEIFS($X$5:$X$1000,$U$5:$U$1000,ROW(),$V$5:$V$1000,"Sub"),$X184))))</f>
        <v/>
      </c>
      <c r="N184" s="56">
        <f>IF($M184="","",IF($M184&gt;=1,"Completado",IF($M184&gt;0,"En curso","Pendiente")))</f>
        <v/>
      </c>
      <c r="O184" s="56">
        <f>IF(NOT((COUNTA($B184:$D184)+COUNTA($G184:$L184)+COUNTA($Q184))&gt;0),"",IF(AND(AND($D184&lt;&gt;"",$V184="Macro"),N($AH184)&gt;0),CHOOSE(MATCH($D184,ListaPuestos,0),INDEX('Cronograma R. Operacional'!$O$5:$O$1000,$AH184),INDEX('Cronograma R. Normativo'!$O$5:$O$1000,$AH184),INDEX('Cronograma R. Financiero'!$O$5:$O$1000,$AH184),INDEX('Cronograma Asistente Técnico'!$O$5:$O$1000,$AH184))&amp;"",IF(ISNUMBER($G184),IF(AND(ISNUMBER($AN184),$G184&gt;$AN184),"Cumplida con "&amp;($G184-$AN184)&amp;IF($G184-$AN184=1," día"," días")&amp;" de retraso","Cumplida"),IF(N($M184)&gt;=1,"Cumplida",IF(NOT(ISNUMBER($AN184)),"Sin fecha límite",IF($AN184&lt;FechaRef,"Vencida hace "&amp;(FechaRef-$AN184)&amp;IF(FechaRef-$AN184=1," día"," días"),IF($AN184=FechaRef,"Vence hoy",IF($AN184-FechaRef&lt;=DiasAlerta,"Vence en "&amp;($AN184-FechaRef)&amp;IF($AN184-FechaRef=1," día"," días"),"En plazo"))))))))</f>
        <v/>
      </c>
      <c r="P184" s="62">
        <f>IF(NOT((COUNTA($B184:$D184)+COUNTA($G184:$L184)+COUNTA($Q184))&gt;0),"",IF($D184="","Propia",IF($V184&lt;&gt;"Macro","Solo se delegan macroactividades",IF(N($AH184)&gt;0,"✔ Recibida por "&amp;$D184,"⚠ "&amp;$D184&amp;" aún no la agrega"))))</f>
        <v/>
      </c>
      <c r="Q184" s="58" t="n"/>
      <c r="R184" s="63">
        <f>IF(NOT((COUNTA($B184:$D184)+COUNTA($G184:$L184)+COUNTA($Q184))&gt;0),"",IF((IF($C184="","Falta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",""))="","✔ OK","⚠ "&amp;LEFT(IF($C184="","Falta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",""),LEN(IF($C184="","Falta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",""))-3)))</f>
        <v/>
      </c>
      <c r="S184" s="64">
        <f>IF(NOT((COUNTA($B184:$D184)+COUNTA($G184:$L184)+COUNTA($Q184))&gt;0),"",IF(AND($V184="Sub",N($U184)&gt;0),IF(ISNUMBER(INDEX($AM$5:$AM$1000,$U184-4)),DATE(YEAR(INDEX($AM$5:$AM$1000,$U184-4)),MONTH(INDEX($AM$5:$AM$1000,$U184-4)),1),IF(ISNUMBER(INDEX($AN$5:$AN$1000,$U184-4)),DATE(YEAR(INDEX($AN$5:$AN$1000,$U184-4)),MONTH(INDEX($AN$5:$AN$1000,$U184-4)),1),MesCiclo)),IF(ISNUMBER($AM184),DATE(YEAR($AM184),MONTH($AM184),1),IF(ISNUMBER($AN184),DATE(YEAR($AN184),MONTH($AN184),1),MesCiclo))))</f>
        <v/>
      </c>
      <c r="T184" s="62">
        <f>IF(OR($S184="",$S184&lt;&gt;MesCiclo),"",COUNTIF($S$5:$S184,MesCiclo))</f>
        <v/>
      </c>
      <c r="U184" s="62">
        <f>IF($V184="","",IF($V184="Macro",ROW(),IFERROR(LOOKUP(2,1/($V$5:$V184="Macro"),ROW($V$5:$V184)),0)))</f>
        <v/>
      </c>
      <c r="V184" s="62">
        <f>IF(NOT((COUNTA($B184:$D184)+COUNTA($G184:$L184)+COUNTA($Q184))&gt;0),"",IF($B184="Subactividad","Sub","Macro"))</f>
        <v/>
      </c>
      <c r="W184" s="62">
        <f>IF($V184="Macro",COUNTIFS($U$5:$U$1000,ROW(),$V$5:$V$1000,"Sub"),"")</f>
        <v/>
      </c>
      <c r="X184" s="62">
        <f>IF($V184="","",IF(ISNUMBER($G184),1,IFERROR(LOOKUP(2,1/($I184:$L184&lt;&gt;""),$I184:$L184),0)))</f>
        <v/>
      </c>
      <c r="Y184" s="62">
        <f>IF($V184="","",IF(AND(ISNUMBER($G184),$G184&lt;=IF($S184=MesCiclo,InicioCiclo,$S184+MOD(2-WEEKDAY($S184),7))+6),1,IF(ISNUMBER($I184),$I184,0)))</f>
        <v/>
      </c>
      <c r="Z184" s="62">
        <f>IF($V184="","",IF(AND(ISNUMBER($G184),$G184&lt;=IF($S184=MesCiclo,InicioCiclo,$S184+MOD(2-WEEKDAY($S184),7))+13),1,IF(ISNUMBER($J184),$J184,$Y184)))</f>
        <v/>
      </c>
      <c r="AA184" s="62">
        <f>IF($V184="","",IF(AND(ISNUMBER($G184),$G184&lt;=IF($S184=MesCiclo,InicioCiclo,$S184+MOD(2-WEEKDAY($S184),7))+20),1,IF(ISNUMBER($K184),$K184,$Z184)))</f>
        <v/>
      </c>
      <c r="AB184" s="62">
        <f>IF($V184="","",IF(AND(ISNUMBER($G184),$G184&lt;=IF($S184=MesCiclo,InicioCiclo,$S184+MOD(2-WEEKDAY($S184),7))+27),1,IF(ISNUMBER($L184),$L184,$AA184)))</f>
        <v/>
      </c>
      <c r="AC184" s="62">
        <f>IF($V184="","",IF(AND(ISNUMBER($G184),$G184&lt;=IF($S184=MesCiclo,InicioCiclo,$S184+MOD(2-WEEKDAY($S184),7))+6),1,IF(N($W184)&gt;0,AVERAGEIFS($Y$5:$Y$1000,$U$5:$U$1000,ROW(),$V$5:$V$1000,"Sub"),$Y184)))</f>
        <v/>
      </c>
      <c r="AD184" s="62">
        <f>IF($V184="","",IF(AND(ISNUMBER($G184),$G184&lt;=IF($S184=MesCiclo,InicioCiclo,$S184+MOD(2-WEEKDAY($S184),7))+13),1,IF(N($W184)&gt;0,AVERAGEIFS($Z$5:$Z$1000,$U$5:$U$1000,ROW(),$V$5:$V$1000,"Sub"),$Z184)))</f>
        <v/>
      </c>
      <c r="AE184" s="62">
        <f>IF($V184="","",IF(AND(ISNUMBER($G184),$G184&lt;=IF($S184=MesCiclo,InicioCiclo,$S184+MOD(2-WEEKDAY($S184),7))+20),1,IF(N($W184)&gt;0,AVERAGEIFS($AA$5:$AA$1000,$U$5:$U$1000,ROW(),$V$5:$V$1000,"Sub"),$AA184)))</f>
        <v/>
      </c>
      <c r="AF184" s="62">
        <f>IF($V184="","",IF(AND(ISNUMBER($G184),$G184&lt;=IF($S184=MesCiclo,InicioCiclo,$S184+MOD(2-WEEKDAY($S184),7))+27),1,IF(N($W184)&gt;0,AVERAGEIFS($AB$5:$AB$1000,$U$5:$U$1000,ROW(),$V$5:$V$1000,"Sub"),$AB184)))</f>
        <v/>
      </c>
      <c r="AG184" s="62">
        <f>IF($V184&lt;&gt;"Macro","",IF(COUNTIFS($S$5:$S$1000,$S184,$V$5:$V$1000,"Macro",$H$5:$H$1000,"&gt;0")=0,1/COUNTIFS($S$5:$S$1000,$S184,$V$5:$V$1000,"Macro"),IF(AND(ISNUMBER($H184),N($H184)&gt;0),$H184,SUMIFS($H$5:$H$1000,$S$5:$S$1000,$S184,$V$5:$V$1000,"Macro")/COUNTIFS($S$5:$S$1000,$S184,$V$5:$V$1000,"Macro",$H$5:$H$1000,"&gt;0"))/(COUNTIFS($S$5:$S$1000,$S184,$V$5:$V$1000,"Macro")*SUMIFS($H$5:$H$1000,$S$5:$S$1000,$S184,$V$5:$V$1000,"Macro")/COUNTIFS($S$5:$S$1000,$S184,$V$5:$V$1000,"Macro",$H$5:$H$1000,"&gt;0"))))</f>
        <v/>
      </c>
      <c r="AH184" s="62">
        <f>IF(NOT(AND($D184&lt;&gt;"",$V184="Macro")),"",IFERROR(CHOOSE(MATCH($D184,ListaPuestos,0),MATCH("[Jefatura] "&amp;$C184,'Cronograma R. Operacional'!$C$5:$C$1000,0),MATCH("[Jefatura] "&amp;$C184,'Cronograma R. Normativo'!$C$5:$C$1000,0),MATCH("[Jefatura] "&amp;$C184,'Cronograma R. Financiero'!$C$5:$C$1000,0),MATCH("[Jefatura] "&amp;$C184,'Cronograma Asistente Técnico'!$C$5:$C$1000,0)),0))</f>
        <v/>
      </c>
      <c r="AI184" s="62">
        <f>IF(AND(AND($D184&lt;&gt;"",$V184="Macro"),$S184=MesCiclo),COUNTIFS($D$5:$D184,$D184,$S$5:$S184,MesCiclo,$V$5:$V184,"Macro"),"")</f>
        <v/>
      </c>
      <c r="AJ184" s="62">
        <f>IF($AI184="","",$D184&amp;"|"&amp;$AI184)</f>
        <v/>
      </c>
      <c r="AK184" s="62">
        <f>IF(AND($D184&lt;&gt;"",$V184="Macro"),$D184&amp;"|"&amp;$C184,"")</f>
        <v/>
      </c>
      <c r="AL184" s="62">
        <f>""</f>
        <v/>
      </c>
      <c r="AM184" s="62">
        <f>IF(N($AL184)&gt;0,INDEX(rIni_ADM,$AL184),IF(ISNUMBER($E184),$E184,""))</f>
        <v/>
      </c>
      <c r="AN184" s="62">
        <f>IF(N($AL184)&gt;0,INDEX(rLim_ADM,$AL184),IF(ISNUMBER($F184),$F184,""))</f>
        <v/>
      </c>
    </row>
    <row r="185">
      <c r="A185" s="56">
        <f>IF(NOT((COUNTA($B185:$D185)+COUNTA($G185:$L185)+COUNTA($Q185))&gt;0),"",IF($V185="Macro",COUNTIFS($V$5:$V185,"Macro",$S$5:$S185,$S185),IF(N($U185)=0,"?",COUNTIFS(INDEX($V$5:$V$1000,1):INDEX($V$5:$V$1000,$U185-4),"Macro",INDEX($S$5:$S$1000,1):INDEX($S$5:$S$1000,$U185-4),INDEX($S$5:$S$1000,$U185-4))&amp;"."&amp;COUNTIFS($U$5:$U185,$U185,$V$5:$V185,"Sub"))))</f>
        <v/>
      </c>
      <c r="B185" s="57" t="n"/>
      <c r="C185" s="58" t="n"/>
      <c r="D185" s="58" t="n"/>
      <c r="E185" s="59" t="n"/>
      <c r="F185" s="59" t="n"/>
      <c r="G185" s="59" t="n"/>
      <c r="H185" s="60" t="n"/>
      <c r="I185" s="60" t="n"/>
      <c r="J185" s="60" t="n"/>
      <c r="K185" s="60" t="n"/>
      <c r="L185" s="60" t="n"/>
      <c r="M185" s="61">
        <f>IF(NOT((COUNTA($B185:$D185)+COUNTA($G185:$L185)+COUNTA($Q185))&gt;0),"",IF(AND($D185&lt;&gt;"",$V185="Macro"),IF(N($AH185)&gt;0,N(CHOOSE(MATCH($D185,ListaPuestos,0),INDEX('Cronograma R. Operacional'!$M$5:$M$1000,$AH185),INDEX('Cronograma R. Normativo'!$M$5:$M$1000,$AH185),INDEX('Cronograma R. Financiero'!$M$5:$M$1000,$AH185),INDEX('Cronograma Asistente Técnico'!$M$5:$M$1000,$AH185))),0),IF(ISNUMBER($G185),1,IF(N($W185)&gt;0,AVERAGEIFS($X$5:$X$1000,$U$5:$U$1000,ROW(),$V$5:$V$1000,"Sub"),$X185))))</f>
        <v/>
      </c>
      <c r="N185" s="56">
        <f>IF($M185="","",IF($M185&gt;=1,"Completado",IF($M185&gt;0,"En curso","Pendiente")))</f>
        <v/>
      </c>
      <c r="O185" s="56">
        <f>IF(NOT((COUNTA($B185:$D185)+COUNTA($G185:$L185)+COUNTA($Q185))&gt;0),"",IF(AND(AND($D185&lt;&gt;"",$V185="Macro"),N($AH185)&gt;0),CHOOSE(MATCH($D185,ListaPuestos,0),INDEX('Cronograma R. Operacional'!$O$5:$O$1000,$AH185),INDEX('Cronograma R. Normativo'!$O$5:$O$1000,$AH185),INDEX('Cronograma R. Financiero'!$O$5:$O$1000,$AH185),INDEX('Cronograma Asistente Técnico'!$O$5:$O$1000,$AH185))&amp;"",IF(ISNUMBER($G185),IF(AND(ISNUMBER($AN185),$G185&gt;$AN185),"Cumplida con "&amp;($G185-$AN185)&amp;IF($G185-$AN185=1," día"," días")&amp;" de retraso","Cumplida"),IF(N($M185)&gt;=1,"Cumplida",IF(NOT(ISNUMBER($AN185)),"Sin fecha límite",IF($AN185&lt;FechaRef,"Vencida hace "&amp;(FechaRef-$AN185)&amp;IF(FechaRef-$AN185=1," día"," días"),IF($AN185=FechaRef,"Vence hoy",IF($AN185-FechaRef&lt;=DiasAlerta,"Vence en "&amp;($AN185-FechaRef)&amp;IF($AN185-FechaRef=1," día"," días"),"En plazo"))))))))</f>
        <v/>
      </c>
      <c r="P185" s="62">
        <f>IF(NOT((COUNTA($B185:$D185)+COUNTA($G185:$L185)+COUNTA($Q185))&gt;0),"",IF($D185="","Propia",IF($V185&lt;&gt;"Macro","Solo se delegan macroactividades",IF(N($AH185)&gt;0,"✔ Recibida por "&amp;$D185,"⚠ "&amp;$D185&amp;" aún no la agrega"))))</f>
        <v/>
      </c>
      <c r="Q185" s="58" t="n"/>
      <c r="R185" s="63">
        <f>IF(NOT((COUNTA($B185:$D185)+COUNTA($G185:$L185)+COUNTA($Q185))&gt;0),"",IF((IF($C185="","Falta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",""))="","✔ OK","⚠ "&amp;LEFT(IF($C185="","Falta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",""),LEN(IF($C185="","Falta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",""))-3)))</f>
        <v/>
      </c>
      <c r="S185" s="64">
        <f>IF(NOT((COUNTA($B185:$D185)+COUNTA($G185:$L185)+COUNTA($Q185))&gt;0),"",IF(AND($V185="Sub",N($U185)&gt;0),IF(ISNUMBER(INDEX($AM$5:$AM$1000,$U185-4)),DATE(YEAR(INDEX($AM$5:$AM$1000,$U185-4)),MONTH(INDEX($AM$5:$AM$1000,$U185-4)),1),IF(ISNUMBER(INDEX($AN$5:$AN$1000,$U185-4)),DATE(YEAR(INDEX($AN$5:$AN$1000,$U185-4)),MONTH(INDEX($AN$5:$AN$1000,$U185-4)),1),MesCiclo)),IF(ISNUMBER($AM185),DATE(YEAR($AM185),MONTH($AM185),1),IF(ISNUMBER($AN185),DATE(YEAR($AN185),MONTH($AN185),1),MesCiclo))))</f>
        <v/>
      </c>
      <c r="T185" s="62">
        <f>IF(OR($S185="",$S185&lt;&gt;MesCiclo),"",COUNTIF($S$5:$S185,MesCiclo))</f>
        <v/>
      </c>
      <c r="U185" s="62">
        <f>IF($V185="","",IF($V185="Macro",ROW(),IFERROR(LOOKUP(2,1/($V$5:$V185="Macro"),ROW($V$5:$V185)),0)))</f>
        <v/>
      </c>
      <c r="V185" s="62">
        <f>IF(NOT((COUNTA($B185:$D185)+COUNTA($G185:$L185)+COUNTA($Q185))&gt;0),"",IF($B185="Subactividad","Sub","Macro"))</f>
        <v/>
      </c>
      <c r="W185" s="62">
        <f>IF($V185="Macro",COUNTIFS($U$5:$U$1000,ROW(),$V$5:$V$1000,"Sub"),"")</f>
        <v/>
      </c>
      <c r="X185" s="62">
        <f>IF($V185="","",IF(ISNUMBER($G185),1,IFERROR(LOOKUP(2,1/($I185:$L185&lt;&gt;""),$I185:$L185),0)))</f>
        <v/>
      </c>
      <c r="Y185" s="62">
        <f>IF($V185="","",IF(AND(ISNUMBER($G185),$G185&lt;=IF($S185=MesCiclo,InicioCiclo,$S185+MOD(2-WEEKDAY($S185),7))+6),1,IF(ISNUMBER($I185),$I185,0)))</f>
        <v/>
      </c>
      <c r="Z185" s="62">
        <f>IF($V185="","",IF(AND(ISNUMBER($G185),$G185&lt;=IF($S185=MesCiclo,InicioCiclo,$S185+MOD(2-WEEKDAY($S185),7))+13),1,IF(ISNUMBER($J185),$J185,$Y185)))</f>
        <v/>
      </c>
      <c r="AA185" s="62">
        <f>IF($V185="","",IF(AND(ISNUMBER($G185),$G185&lt;=IF($S185=MesCiclo,InicioCiclo,$S185+MOD(2-WEEKDAY($S185),7))+20),1,IF(ISNUMBER($K185),$K185,$Z185)))</f>
        <v/>
      </c>
      <c r="AB185" s="62">
        <f>IF($V185="","",IF(AND(ISNUMBER($G185),$G185&lt;=IF($S185=MesCiclo,InicioCiclo,$S185+MOD(2-WEEKDAY($S185),7))+27),1,IF(ISNUMBER($L185),$L185,$AA185)))</f>
        <v/>
      </c>
      <c r="AC185" s="62">
        <f>IF($V185="","",IF(AND(ISNUMBER($G185),$G185&lt;=IF($S185=MesCiclo,InicioCiclo,$S185+MOD(2-WEEKDAY($S185),7))+6),1,IF(N($W185)&gt;0,AVERAGEIFS($Y$5:$Y$1000,$U$5:$U$1000,ROW(),$V$5:$V$1000,"Sub"),$Y185)))</f>
        <v/>
      </c>
      <c r="AD185" s="62">
        <f>IF($V185="","",IF(AND(ISNUMBER($G185),$G185&lt;=IF($S185=MesCiclo,InicioCiclo,$S185+MOD(2-WEEKDAY($S185),7))+13),1,IF(N($W185)&gt;0,AVERAGEIFS($Z$5:$Z$1000,$U$5:$U$1000,ROW(),$V$5:$V$1000,"Sub"),$Z185)))</f>
        <v/>
      </c>
      <c r="AE185" s="62">
        <f>IF($V185="","",IF(AND(ISNUMBER($G185),$G185&lt;=IF($S185=MesCiclo,InicioCiclo,$S185+MOD(2-WEEKDAY($S185),7))+20),1,IF(N($W185)&gt;0,AVERAGEIFS($AA$5:$AA$1000,$U$5:$U$1000,ROW(),$V$5:$V$1000,"Sub"),$AA185)))</f>
        <v/>
      </c>
      <c r="AF185" s="62">
        <f>IF($V185="","",IF(AND(ISNUMBER($G185),$G185&lt;=IF($S185=MesCiclo,InicioCiclo,$S185+MOD(2-WEEKDAY($S185),7))+27),1,IF(N($W185)&gt;0,AVERAGEIFS($AB$5:$AB$1000,$U$5:$U$1000,ROW(),$V$5:$V$1000,"Sub"),$AB185)))</f>
        <v/>
      </c>
      <c r="AG185" s="62">
        <f>IF($V185&lt;&gt;"Macro","",IF(COUNTIFS($S$5:$S$1000,$S185,$V$5:$V$1000,"Macro",$H$5:$H$1000,"&gt;0")=0,1/COUNTIFS($S$5:$S$1000,$S185,$V$5:$V$1000,"Macro"),IF(AND(ISNUMBER($H185),N($H185)&gt;0),$H185,SUMIFS($H$5:$H$1000,$S$5:$S$1000,$S185,$V$5:$V$1000,"Macro")/COUNTIFS($S$5:$S$1000,$S185,$V$5:$V$1000,"Macro",$H$5:$H$1000,"&gt;0"))/(COUNTIFS($S$5:$S$1000,$S185,$V$5:$V$1000,"Macro")*SUMIFS($H$5:$H$1000,$S$5:$S$1000,$S185,$V$5:$V$1000,"Macro")/COUNTIFS($S$5:$S$1000,$S185,$V$5:$V$1000,"Macro",$H$5:$H$1000,"&gt;0"))))</f>
        <v/>
      </c>
      <c r="AH185" s="62">
        <f>IF(NOT(AND($D185&lt;&gt;"",$V185="Macro")),"",IFERROR(CHOOSE(MATCH($D185,ListaPuestos,0),MATCH("[Jefatura] "&amp;$C185,'Cronograma R. Operacional'!$C$5:$C$1000,0),MATCH("[Jefatura] "&amp;$C185,'Cronograma R. Normativo'!$C$5:$C$1000,0),MATCH("[Jefatura] "&amp;$C185,'Cronograma R. Financiero'!$C$5:$C$1000,0),MATCH("[Jefatura] "&amp;$C185,'Cronograma Asistente Técnico'!$C$5:$C$1000,0)),0))</f>
        <v/>
      </c>
      <c r="AI185" s="62">
        <f>IF(AND(AND($D185&lt;&gt;"",$V185="Macro"),$S185=MesCiclo),COUNTIFS($D$5:$D185,$D185,$S$5:$S185,MesCiclo,$V$5:$V185,"Macro"),"")</f>
        <v/>
      </c>
      <c r="AJ185" s="62">
        <f>IF($AI185="","",$D185&amp;"|"&amp;$AI185)</f>
        <v/>
      </c>
      <c r="AK185" s="62">
        <f>IF(AND($D185&lt;&gt;"",$V185="Macro"),$D185&amp;"|"&amp;$C185,"")</f>
        <v/>
      </c>
      <c r="AL185" s="62">
        <f>""</f>
        <v/>
      </c>
      <c r="AM185" s="62">
        <f>IF(N($AL185)&gt;0,INDEX(rIni_ADM,$AL185),IF(ISNUMBER($E185),$E185,""))</f>
        <v/>
      </c>
      <c r="AN185" s="62">
        <f>IF(N($AL185)&gt;0,INDEX(rLim_ADM,$AL185),IF(ISNUMBER($F185),$F185,""))</f>
        <v/>
      </c>
    </row>
    <row r="186">
      <c r="A186" s="56">
        <f>IF(NOT((COUNTA($B186:$D186)+COUNTA($G186:$L186)+COUNTA($Q186))&gt;0),"",IF($V186="Macro",COUNTIFS($V$5:$V186,"Macro",$S$5:$S186,$S186),IF(N($U186)=0,"?",COUNTIFS(INDEX($V$5:$V$1000,1):INDEX($V$5:$V$1000,$U186-4),"Macro",INDEX($S$5:$S$1000,1):INDEX($S$5:$S$1000,$U186-4),INDEX($S$5:$S$1000,$U186-4))&amp;"."&amp;COUNTIFS($U$5:$U186,$U186,$V$5:$V186,"Sub"))))</f>
        <v/>
      </c>
      <c r="B186" s="57" t="n"/>
      <c r="C186" s="58" t="n"/>
      <c r="D186" s="58" t="n"/>
      <c r="E186" s="59" t="n"/>
      <c r="F186" s="59" t="n"/>
      <c r="G186" s="59" t="n"/>
      <c r="H186" s="60" t="n"/>
      <c r="I186" s="60" t="n"/>
      <c r="J186" s="60" t="n"/>
      <c r="K186" s="60" t="n"/>
      <c r="L186" s="60" t="n"/>
      <c r="M186" s="61">
        <f>IF(NOT((COUNTA($B186:$D186)+COUNTA($G186:$L186)+COUNTA($Q186))&gt;0),"",IF(AND($D186&lt;&gt;"",$V186="Macro"),IF(N($AH186)&gt;0,N(CHOOSE(MATCH($D186,ListaPuestos,0),INDEX('Cronograma R. Operacional'!$M$5:$M$1000,$AH186),INDEX('Cronograma R. Normativo'!$M$5:$M$1000,$AH186),INDEX('Cronograma R. Financiero'!$M$5:$M$1000,$AH186),INDEX('Cronograma Asistente Técnico'!$M$5:$M$1000,$AH186))),0),IF(ISNUMBER($G186),1,IF(N($W186)&gt;0,AVERAGEIFS($X$5:$X$1000,$U$5:$U$1000,ROW(),$V$5:$V$1000,"Sub"),$X186))))</f>
        <v/>
      </c>
      <c r="N186" s="56">
        <f>IF($M186="","",IF($M186&gt;=1,"Completado",IF($M186&gt;0,"En curso","Pendiente")))</f>
        <v/>
      </c>
      <c r="O186" s="56">
        <f>IF(NOT((COUNTA($B186:$D186)+COUNTA($G186:$L186)+COUNTA($Q186))&gt;0),"",IF(AND(AND($D186&lt;&gt;"",$V186="Macro"),N($AH186)&gt;0),CHOOSE(MATCH($D186,ListaPuestos,0),INDEX('Cronograma R. Operacional'!$O$5:$O$1000,$AH186),INDEX('Cronograma R. Normativo'!$O$5:$O$1000,$AH186),INDEX('Cronograma R. Financiero'!$O$5:$O$1000,$AH186),INDEX('Cronograma Asistente Técnico'!$O$5:$O$1000,$AH186))&amp;"",IF(ISNUMBER($G186),IF(AND(ISNUMBER($AN186),$G186&gt;$AN186),"Cumplida con "&amp;($G186-$AN186)&amp;IF($G186-$AN186=1," día"," días")&amp;" de retraso","Cumplida"),IF(N($M186)&gt;=1,"Cumplida",IF(NOT(ISNUMBER($AN186)),"Sin fecha límite",IF($AN186&lt;FechaRef,"Vencida hace "&amp;(FechaRef-$AN186)&amp;IF(FechaRef-$AN186=1," día"," días"),IF($AN186=FechaRef,"Vence hoy",IF($AN186-FechaRef&lt;=DiasAlerta,"Vence en "&amp;($AN186-FechaRef)&amp;IF($AN186-FechaRef=1," día"," días"),"En plazo"))))))))</f>
        <v/>
      </c>
      <c r="P186" s="62">
        <f>IF(NOT((COUNTA($B186:$D186)+COUNTA($G186:$L186)+COUNTA($Q186))&gt;0),"",IF($D186="","Propia",IF($V186&lt;&gt;"Macro","Solo se delegan macroactividades",IF(N($AH186)&gt;0,"✔ Recibida por "&amp;$D186,"⚠ "&amp;$D186&amp;" aún no la agrega"))))</f>
        <v/>
      </c>
      <c r="Q186" s="58" t="n"/>
      <c r="R186" s="63">
        <f>IF(NOT((COUNTA($B186:$D186)+COUNTA($G186:$L186)+COUNTA($Q186))&gt;0),"",IF((IF($C186="","Falta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",""))="","✔ OK","⚠ "&amp;LEFT(IF($C186="","Falta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",""),LEN(IF($C186="","Falta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",""))-3)))</f>
        <v/>
      </c>
      <c r="S186" s="64">
        <f>IF(NOT((COUNTA($B186:$D186)+COUNTA($G186:$L186)+COUNTA($Q186))&gt;0),"",IF(AND($V186="Sub",N($U186)&gt;0),IF(ISNUMBER(INDEX($AM$5:$AM$1000,$U186-4)),DATE(YEAR(INDEX($AM$5:$AM$1000,$U186-4)),MONTH(INDEX($AM$5:$AM$1000,$U186-4)),1),IF(ISNUMBER(INDEX($AN$5:$AN$1000,$U186-4)),DATE(YEAR(INDEX($AN$5:$AN$1000,$U186-4)),MONTH(INDEX($AN$5:$AN$1000,$U186-4)),1),MesCiclo)),IF(ISNUMBER($AM186),DATE(YEAR($AM186),MONTH($AM186),1),IF(ISNUMBER($AN186),DATE(YEAR($AN186),MONTH($AN186),1),MesCiclo))))</f>
        <v/>
      </c>
      <c r="T186" s="62">
        <f>IF(OR($S186="",$S186&lt;&gt;MesCiclo),"",COUNTIF($S$5:$S186,MesCiclo))</f>
        <v/>
      </c>
      <c r="U186" s="62">
        <f>IF($V186="","",IF($V186="Macro",ROW(),IFERROR(LOOKUP(2,1/($V$5:$V186="Macro"),ROW($V$5:$V186)),0)))</f>
        <v/>
      </c>
      <c r="V186" s="62">
        <f>IF(NOT((COUNTA($B186:$D186)+COUNTA($G186:$L186)+COUNTA($Q186))&gt;0),"",IF($B186="Subactividad","Sub","Macro"))</f>
        <v/>
      </c>
      <c r="W186" s="62">
        <f>IF($V186="Macro",COUNTIFS($U$5:$U$1000,ROW(),$V$5:$V$1000,"Sub"),"")</f>
        <v/>
      </c>
      <c r="X186" s="62">
        <f>IF($V186="","",IF(ISNUMBER($G186),1,IFERROR(LOOKUP(2,1/($I186:$L186&lt;&gt;""),$I186:$L186),0)))</f>
        <v/>
      </c>
      <c r="Y186" s="62">
        <f>IF($V186="","",IF(AND(ISNUMBER($G186),$G186&lt;=IF($S186=MesCiclo,InicioCiclo,$S186+MOD(2-WEEKDAY($S186),7))+6),1,IF(ISNUMBER($I186),$I186,0)))</f>
        <v/>
      </c>
      <c r="Z186" s="62">
        <f>IF($V186="","",IF(AND(ISNUMBER($G186),$G186&lt;=IF($S186=MesCiclo,InicioCiclo,$S186+MOD(2-WEEKDAY($S186),7))+13),1,IF(ISNUMBER($J186),$J186,$Y186)))</f>
        <v/>
      </c>
      <c r="AA186" s="62">
        <f>IF($V186="","",IF(AND(ISNUMBER($G186),$G186&lt;=IF($S186=MesCiclo,InicioCiclo,$S186+MOD(2-WEEKDAY($S186),7))+20),1,IF(ISNUMBER($K186),$K186,$Z186)))</f>
        <v/>
      </c>
      <c r="AB186" s="62">
        <f>IF($V186="","",IF(AND(ISNUMBER($G186),$G186&lt;=IF($S186=MesCiclo,InicioCiclo,$S186+MOD(2-WEEKDAY($S186),7))+27),1,IF(ISNUMBER($L186),$L186,$AA186)))</f>
        <v/>
      </c>
      <c r="AC186" s="62">
        <f>IF($V186="","",IF(AND(ISNUMBER($G186),$G186&lt;=IF($S186=MesCiclo,InicioCiclo,$S186+MOD(2-WEEKDAY($S186),7))+6),1,IF(N($W186)&gt;0,AVERAGEIFS($Y$5:$Y$1000,$U$5:$U$1000,ROW(),$V$5:$V$1000,"Sub"),$Y186)))</f>
        <v/>
      </c>
      <c r="AD186" s="62">
        <f>IF($V186="","",IF(AND(ISNUMBER($G186),$G186&lt;=IF($S186=MesCiclo,InicioCiclo,$S186+MOD(2-WEEKDAY($S186),7))+13),1,IF(N($W186)&gt;0,AVERAGEIFS($Z$5:$Z$1000,$U$5:$U$1000,ROW(),$V$5:$V$1000,"Sub"),$Z186)))</f>
        <v/>
      </c>
      <c r="AE186" s="62">
        <f>IF($V186="","",IF(AND(ISNUMBER($G186),$G186&lt;=IF($S186=MesCiclo,InicioCiclo,$S186+MOD(2-WEEKDAY($S186),7))+20),1,IF(N($W186)&gt;0,AVERAGEIFS($AA$5:$AA$1000,$U$5:$U$1000,ROW(),$V$5:$V$1000,"Sub"),$AA186)))</f>
        <v/>
      </c>
      <c r="AF186" s="62">
        <f>IF($V186="","",IF(AND(ISNUMBER($G186),$G186&lt;=IF($S186=MesCiclo,InicioCiclo,$S186+MOD(2-WEEKDAY($S186),7))+27),1,IF(N($W186)&gt;0,AVERAGEIFS($AB$5:$AB$1000,$U$5:$U$1000,ROW(),$V$5:$V$1000,"Sub"),$AB186)))</f>
        <v/>
      </c>
      <c r="AG186" s="62">
        <f>IF($V186&lt;&gt;"Macro","",IF(COUNTIFS($S$5:$S$1000,$S186,$V$5:$V$1000,"Macro",$H$5:$H$1000,"&gt;0")=0,1/COUNTIFS($S$5:$S$1000,$S186,$V$5:$V$1000,"Macro"),IF(AND(ISNUMBER($H186),N($H186)&gt;0),$H186,SUMIFS($H$5:$H$1000,$S$5:$S$1000,$S186,$V$5:$V$1000,"Macro")/COUNTIFS($S$5:$S$1000,$S186,$V$5:$V$1000,"Macro",$H$5:$H$1000,"&gt;0"))/(COUNTIFS($S$5:$S$1000,$S186,$V$5:$V$1000,"Macro")*SUMIFS($H$5:$H$1000,$S$5:$S$1000,$S186,$V$5:$V$1000,"Macro")/COUNTIFS($S$5:$S$1000,$S186,$V$5:$V$1000,"Macro",$H$5:$H$1000,"&gt;0"))))</f>
        <v/>
      </c>
      <c r="AH186" s="62">
        <f>IF(NOT(AND($D186&lt;&gt;"",$V186="Macro")),"",IFERROR(CHOOSE(MATCH($D186,ListaPuestos,0),MATCH("[Jefatura] "&amp;$C186,'Cronograma R. Operacional'!$C$5:$C$1000,0),MATCH("[Jefatura] "&amp;$C186,'Cronograma R. Normativo'!$C$5:$C$1000,0),MATCH("[Jefatura] "&amp;$C186,'Cronograma R. Financiero'!$C$5:$C$1000,0),MATCH("[Jefatura] "&amp;$C186,'Cronograma Asistente Técnico'!$C$5:$C$1000,0)),0))</f>
        <v/>
      </c>
      <c r="AI186" s="62">
        <f>IF(AND(AND($D186&lt;&gt;"",$V186="Macro"),$S186=MesCiclo),COUNTIFS($D$5:$D186,$D186,$S$5:$S186,MesCiclo,$V$5:$V186,"Macro"),"")</f>
        <v/>
      </c>
      <c r="AJ186" s="62">
        <f>IF($AI186="","",$D186&amp;"|"&amp;$AI186)</f>
        <v/>
      </c>
      <c r="AK186" s="62">
        <f>IF(AND($D186&lt;&gt;"",$V186="Macro"),$D186&amp;"|"&amp;$C186,"")</f>
        <v/>
      </c>
      <c r="AL186" s="62">
        <f>""</f>
        <v/>
      </c>
      <c r="AM186" s="62">
        <f>IF(N($AL186)&gt;0,INDEX(rIni_ADM,$AL186),IF(ISNUMBER($E186),$E186,""))</f>
        <v/>
      </c>
      <c r="AN186" s="62">
        <f>IF(N($AL186)&gt;0,INDEX(rLim_ADM,$AL186),IF(ISNUMBER($F186),$F186,""))</f>
        <v/>
      </c>
    </row>
    <row r="187">
      <c r="A187" s="56">
        <f>IF(NOT((COUNTA($B187:$D187)+COUNTA($G187:$L187)+COUNTA($Q187))&gt;0),"",IF($V187="Macro",COUNTIFS($V$5:$V187,"Macro",$S$5:$S187,$S187),IF(N($U187)=0,"?",COUNTIFS(INDEX($V$5:$V$1000,1):INDEX($V$5:$V$1000,$U187-4),"Macro",INDEX($S$5:$S$1000,1):INDEX($S$5:$S$1000,$U187-4),INDEX($S$5:$S$1000,$U187-4))&amp;"."&amp;COUNTIFS($U$5:$U187,$U187,$V$5:$V187,"Sub"))))</f>
        <v/>
      </c>
      <c r="B187" s="57" t="n"/>
      <c r="C187" s="58" t="n"/>
      <c r="D187" s="58" t="n"/>
      <c r="E187" s="59" t="n"/>
      <c r="F187" s="59" t="n"/>
      <c r="G187" s="59" t="n"/>
      <c r="H187" s="60" t="n"/>
      <c r="I187" s="60" t="n"/>
      <c r="J187" s="60" t="n"/>
      <c r="K187" s="60" t="n"/>
      <c r="L187" s="60" t="n"/>
      <c r="M187" s="61">
        <f>IF(NOT((COUNTA($B187:$D187)+COUNTA($G187:$L187)+COUNTA($Q187))&gt;0),"",IF(AND($D187&lt;&gt;"",$V187="Macro"),IF(N($AH187)&gt;0,N(CHOOSE(MATCH($D187,ListaPuestos,0),INDEX('Cronograma R. Operacional'!$M$5:$M$1000,$AH187),INDEX('Cronograma R. Normativo'!$M$5:$M$1000,$AH187),INDEX('Cronograma R. Financiero'!$M$5:$M$1000,$AH187),INDEX('Cronograma Asistente Técnico'!$M$5:$M$1000,$AH187))),0),IF(ISNUMBER($G187),1,IF(N($W187)&gt;0,AVERAGEIFS($X$5:$X$1000,$U$5:$U$1000,ROW(),$V$5:$V$1000,"Sub"),$X187))))</f>
        <v/>
      </c>
      <c r="N187" s="56">
        <f>IF($M187="","",IF($M187&gt;=1,"Completado",IF($M187&gt;0,"En curso","Pendiente")))</f>
        <v/>
      </c>
      <c r="O187" s="56">
        <f>IF(NOT((COUNTA($B187:$D187)+COUNTA($G187:$L187)+COUNTA($Q187))&gt;0),"",IF(AND(AND($D187&lt;&gt;"",$V187="Macro"),N($AH187)&gt;0),CHOOSE(MATCH($D187,ListaPuestos,0),INDEX('Cronograma R. Operacional'!$O$5:$O$1000,$AH187),INDEX('Cronograma R. Normativo'!$O$5:$O$1000,$AH187),INDEX('Cronograma R. Financiero'!$O$5:$O$1000,$AH187),INDEX('Cronograma Asistente Técnico'!$O$5:$O$1000,$AH187))&amp;"",IF(ISNUMBER($G187),IF(AND(ISNUMBER($AN187),$G187&gt;$AN187),"Cumplida con "&amp;($G187-$AN187)&amp;IF($G187-$AN187=1," día"," días")&amp;" de retraso","Cumplida"),IF(N($M187)&gt;=1,"Cumplida",IF(NOT(ISNUMBER($AN187)),"Sin fecha límite",IF($AN187&lt;FechaRef,"Vencida hace "&amp;(FechaRef-$AN187)&amp;IF(FechaRef-$AN187=1," día"," días"),IF($AN187=FechaRef,"Vence hoy",IF($AN187-FechaRef&lt;=DiasAlerta,"Vence en "&amp;($AN187-FechaRef)&amp;IF($AN187-FechaRef=1," día"," días"),"En plazo"))))))))</f>
        <v/>
      </c>
      <c r="P187" s="62">
        <f>IF(NOT((COUNTA($B187:$D187)+COUNTA($G187:$L187)+COUNTA($Q187))&gt;0),"",IF($D187="","Propia",IF($V187&lt;&gt;"Macro","Solo se delegan macroactividades",IF(N($AH187)&gt;0,"✔ Recibida por "&amp;$D187,"⚠ "&amp;$D187&amp;" aún no la agrega"))))</f>
        <v/>
      </c>
      <c r="Q187" s="58" t="n"/>
      <c r="R187" s="63">
        <f>IF(NOT((COUNTA($B187:$D187)+COUNTA($G187:$L187)+COUNTA($Q187))&gt;0),"",IF((IF($C187="","Falta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",""))="","✔ OK","⚠ "&amp;LEFT(IF($C187="","Falta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",""),LEN(IF($C187="","Falta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",""))-3)))</f>
        <v/>
      </c>
      <c r="S187" s="64">
        <f>IF(NOT((COUNTA($B187:$D187)+COUNTA($G187:$L187)+COUNTA($Q187))&gt;0),"",IF(AND($V187="Sub",N($U187)&gt;0),IF(ISNUMBER(INDEX($AM$5:$AM$1000,$U187-4)),DATE(YEAR(INDEX($AM$5:$AM$1000,$U187-4)),MONTH(INDEX($AM$5:$AM$1000,$U187-4)),1),IF(ISNUMBER(INDEX($AN$5:$AN$1000,$U187-4)),DATE(YEAR(INDEX($AN$5:$AN$1000,$U187-4)),MONTH(INDEX($AN$5:$AN$1000,$U187-4)),1),MesCiclo)),IF(ISNUMBER($AM187),DATE(YEAR($AM187),MONTH($AM187),1),IF(ISNUMBER($AN187),DATE(YEAR($AN187),MONTH($AN187),1),MesCiclo))))</f>
        <v/>
      </c>
      <c r="T187" s="62">
        <f>IF(OR($S187="",$S187&lt;&gt;MesCiclo),"",COUNTIF($S$5:$S187,MesCiclo))</f>
        <v/>
      </c>
      <c r="U187" s="62">
        <f>IF($V187="","",IF($V187="Macro",ROW(),IFERROR(LOOKUP(2,1/($V$5:$V187="Macro"),ROW($V$5:$V187)),0)))</f>
        <v/>
      </c>
      <c r="V187" s="62">
        <f>IF(NOT((COUNTA($B187:$D187)+COUNTA($G187:$L187)+COUNTA($Q187))&gt;0),"",IF($B187="Subactividad","Sub","Macro"))</f>
        <v/>
      </c>
      <c r="W187" s="62">
        <f>IF($V187="Macro",COUNTIFS($U$5:$U$1000,ROW(),$V$5:$V$1000,"Sub"),"")</f>
        <v/>
      </c>
      <c r="X187" s="62">
        <f>IF($V187="","",IF(ISNUMBER($G187),1,IFERROR(LOOKUP(2,1/($I187:$L187&lt;&gt;""),$I187:$L187),0)))</f>
        <v/>
      </c>
      <c r="Y187" s="62">
        <f>IF($V187="","",IF(AND(ISNUMBER($G187),$G187&lt;=IF($S187=MesCiclo,InicioCiclo,$S187+MOD(2-WEEKDAY($S187),7))+6),1,IF(ISNUMBER($I187),$I187,0)))</f>
        <v/>
      </c>
      <c r="Z187" s="62">
        <f>IF($V187="","",IF(AND(ISNUMBER($G187),$G187&lt;=IF($S187=MesCiclo,InicioCiclo,$S187+MOD(2-WEEKDAY($S187),7))+13),1,IF(ISNUMBER($J187),$J187,$Y187)))</f>
        <v/>
      </c>
      <c r="AA187" s="62">
        <f>IF($V187="","",IF(AND(ISNUMBER($G187),$G187&lt;=IF($S187=MesCiclo,InicioCiclo,$S187+MOD(2-WEEKDAY($S187),7))+20),1,IF(ISNUMBER($K187),$K187,$Z187)))</f>
        <v/>
      </c>
      <c r="AB187" s="62">
        <f>IF($V187="","",IF(AND(ISNUMBER($G187),$G187&lt;=IF($S187=MesCiclo,InicioCiclo,$S187+MOD(2-WEEKDAY($S187),7))+27),1,IF(ISNUMBER($L187),$L187,$AA187)))</f>
        <v/>
      </c>
      <c r="AC187" s="62">
        <f>IF($V187="","",IF(AND(ISNUMBER($G187),$G187&lt;=IF($S187=MesCiclo,InicioCiclo,$S187+MOD(2-WEEKDAY($S187),7))+6),1,IF(N($W187)&gt;0,AVERAGEIFS($Y$5:$Y$1000,$U$5:$U$1000,ROW(),$V$5:$V$1000,"Sub"),$Y187)))</f>
        <v/>
      </c>
      <c r="AD187" s="62">
        <f>IF($V187="","",IF(AND(ISNUMBER($G187),$G187&lt;=IF($S187=MesCiclo,InicioCiclo,$S187+MOD(2-WEEKDAY($S187),7))+13),1,IF(N($W187)&gt;0,AVERAGEIFS($Z$5:$Z$1000,$U$5:$U$1000,ROW(),$V$5:$V$1000,"Sub"),$Z187)))</f>
        <v/>
      </c>
      <c r="AE187" s="62">
        <f>IF($V187="","",IF(AND(ISNUMBER($G187),$G187&lt;=IF($S187=MesCiclo,InicioCiclo,$S187+MOD(2-WEEKDAY($S187),7))+20),1,IF(N($W187)&gt;0,AVERAGEIFS($AA$5:$AA$1000,$U$5:$U$1000,ROW(),$V$5:$V$1000,"Sub"),$AA187)))</f>
        <v/>
      </c>
      <c r="AF187" s="62">
        <f>IF($V187="","",IF(AND(ISNUMBER($G187),$G187&lt;=IF($S187=MesCiclo,InicioCiclo,$S187+MOD(2-WEEKDAY($S187),7))+27),1,IF(N($W187)&gt;0,AVERAGEIFS($AB$5:$AB$1000,$U$5:$U$1000,ROW(),$V$5:$V$1000,"Sub"),$AB187)))</f>
        <v/>
      </c>
      <c r="AG187" s="62">
        <f>IF($V187&lt;&gt;"Macro","",IF(COUNTIFS($S$5:$S$1000,$S187,$V$5:$V$1000,"Macro",$H$5:$H$1000,"&gt;0")=0,1/COUNTIFS($S$5:$S$1000,$S187,$V$5:$V$1000,"Macro"),IF(AND(ISNUMBER($H187),N($H187)&gt;0),$H187,SUMIFS($H$5:$H$1000,$S$5:$S$1000,$S187,$V$5:$V$1000,"Macro")/COUNTIFS($S$5:$S$1000,$S187,$V$5:$V$1000,"Macro",$H$5:$H$1000,"&gt;0"))/(COUNTIFS($S$5:$S$1000,$S187,$V$5:$V$1000,"Macro")*SUMIFS($H$5:$H$1000,$S$5:$S$1000,$S187,$V$5:$V$1000,"Macro")/COUNTIFS($S$5:$S$1000,$S187,$V$5:$V$1000,"Macro",$H$5:$H$1000,"&gt;0"))))</f>
        <v/>
      </c>
      <c r="AH187" s="62">
        <f>IF(NOT(AND($D187&lt;&gt;"",$V187="Macro")),"",IFERROR(CHOOSE(MATCH($D187,ListaPuestos,0),MATCH("[Jefatura] "&amp;$C187,'Cronograma R. Operacional'!$C$5:$C$1000,0),MATCH("[Jefatura] "&amp;$C187,'Cronograma R. Normativo'!$C$5:$C$1000,0),MATCH("[Jefatura] "&amp;$C187,'Cronograma R. Financiero'!$C$5:$C$1000,0),MATCH("[Jefatura] "&amp;$C187,'Cronograma Asistente Técnico'!$C$5:$C$1000,0)),0))</f>
        <v/>
      </c>
      <c r="AI187" s="62">
        <f>IF(AND(AND($D187&lt;&gt;"",$V187="Macro"),$S187=MesCiclo),COUNTIFS($D$5:$D187,$D187,$S$5:$S187,MesCiclo,$V$5:$V187,"Macro"),"")</f>
        <v/>
      </c>
      <c r="AJ187" s="62">
        <f>IF($AI187="","",$D187&amp;"|"&amp;$AI187)</f>
        <v/>
      </c>
      <c r="AK187" s="62">
        <f>IF(AND($D187&lt;&gt;"",$V187="Macro"),$D187&amp;"|"&amp;$C187,"")</f>
        <v/>
      </c>
      <c r="AL187" s="62">
        <f>""</f>
        <v/>
      </c>
      <c r="AM187" s="62">
        <f>IF(N($AL187)&gt;0,INDEX(rIni_ADM,$AL187),IF(ISNUMBER($E187),$E187,""))</f>
        <v/>
      </c>
      <c r="AN187" s="62">
        <f>IF(N($AL187)&gt;0,INDEX(rLim_ADM,$AL187),IF(ISNUMBER($F187),$F187,""))</f>
        <v/>
      </c>
    </row>
    <row r="188">
      <c r="A188" s="56">
        <f>IF(NOT((COUNTA($B188:$D188)+COUNTA($G188:$L188)+COUNTA($Q188))&gt;0),"",IF($V188="Macro",COUNTIFS($V$5:$V188,"Macro",$S$5:$S188,$S188),IF(N($U188)=0,"?",COUNTIFS(INDEX($V$5:$V$1000,1):INDEX($V$5:$V$1000,$U188-4),"Macro",INDEX($S$5:$S$1000,1):INDEX($S$5:$S$1000,$U188-4),INDEX($S$5:$S$1000,$U188-4))&amp;"."&amp;COUNTIFS($U$5:$U188,$U188,$V$5:$V188,"Sub"))))</f>
        <v/>
      </c>
      <c r="B188" s="57" t="n"/>
      <c r="C188" s="58" t="n"/>
      <c r="D188" s="58" t="n"/>
      <c r="E188" s="59" t="n"/>
      <c r="F188" s="59" t="n"/>
      <c r="G188" s="59" t="n"/>
      <c r="H188" s="60" t="n"/>
      <c r="I188" s="60" t="n"/>
      <c r="J188" s="60" t="n"/>
      <c r="K188" s="60" t="n"/>
      <c r="L188" s="60" t="n"/>
      <c r="M188" s="61">
        <f>IF(NOT((COUNTA($B188:$D188)+COUNTA($G188:$L188)+COUNTA($Q188))&gt;0),"",IF(AND($D188&lt;&gt;"",$V188="Macro"),IF(N($AH188)&gt;0,N(CHOOSE(MATCH($D188,ListaPuestos,0),INDEX('Cronograma R. Operacional'!$M$5:$M$1000,$AH188),INDEX('Cronograma R. Normativo'!$M$5:$M$1000,$AH188),INDEX('Cronograma R. Financiero'!$M$5:$M$1000,$AH188),INDEX('Cronograma Asistente Técnico'!$M$5:$M$1000,$AH188))),0),IF(ISNUMBER($G188),1,IF(N($W188)&gt;0,AVERAGEIFS($X$5:$X$1000,$U$5:$U$1000,ROW(),$V$5:$V$1000,"Sub"),$X188))))</f>
        <v/>
      </c>
      <c r="N188" s="56">
        <f>IF($M188="","",IF($M188&gt;=1,"Completado",IF($M188&gt;0,"En curso","Pendiente")))</f>
        <v/>
      </c>
      <c r="O188" s="56">
        <f>IF(NOT((COUNTA($B188:$D188)+COUNTA($G188:$L188)+COUNTA($Q188))&gt;0),"",IF(AND(AND($D188&lt;&gt;"",$V188="Macro"),N($AH188)&gt;0),CHOOSE(MATCH($D188,ListaPuestos,0),INDEX('Cronograma R. Operacional'!$O$5:$O$1000,$AH188),INDEX('Cronograma R. Normativo'!$O$5:$O$1000,$AH188),INDEX('Cronograma R. Financiero'!$O$5:$O$1000,$AH188),INDEX('Cronograma Asistente Técnico'!$O$5:$O$1000,$AH188))&amp;"",IF(ISNUMBER($G188),IF(AND(ISNUMBER($AN188),$G188&gt;$AN188),"Cumplida con "&amp;($G188-$AN188)&amp;IF($G188-$AN188=1," día"," días")&amp;" de retraso","Cumplida"),IF(N($M188)&gt;=1,"Cumplida",IF(NOT(ISNUMBER($AN188)),"Sin fecha límite",IF($AN188&lt;FechaRef,"Vencida hace "&amp;(FechaRef-$AN188)&amp;IF(FechaRef-$AN188=1," día"," días"),IF($AN188=FechaRef,"Vence hoy",IF($AN188-FechaRef&lt;=DiasAlerta,"Vence en "&amp;($AN188-FechaRef)&amp;IF($AN188-FechaRef=1," día"," días"),"En plazo"))))))))</f>
        <v/>
      </c>
      <c r="P188" s="62">
        <f>IF(NOT((COUNTA($B188:$D188)+COUNTA($G188:$L188)+COUNTA($Q188))&gt;0),"",IF($D188="","Propia",IF($V188&lt;&gt;"Macro","Solo se delegan macroactividades",IF(N($AH188)&gt;0,"✔ Recibida por "&amp;$D188,"⚠ "&amp;$D188&amp;" aún no la agrega"))))</f>
        <v/>
      </c>
      <c r="Q188" s="58" t="n"/>
      <c r="R188" s="63">
        <f>IF(NOT((COUNTA($B188:$D188)+COUNTA($G188:$L188)+COUNTA($Q188))&gt;0),"",IF((IF($C188="","Falta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",""))="","✔ OK","⚠ "&amp;LEFT(IF($C188="","Falta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",""),LEN(IF($C188="","Falta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",""))-3)))</f>
        <v/>
      </c>
      <c r="S188" s="64">
        <f>IF(NOT((COUNTA($B188:$D188)+COUNTA($G188:$L188)+COUNTA($Q188))&gt;0),"",IF(AND($V188="Sub",N($U188)&gt;0),IF(ISNUMBER(INDEX($AM$5:$AM$1000,$U188-4)),DATE(YEAR(INDEX($AM$5:$AM$1000,$U188-4)),MONTH(INDEX($AM$5:$AM$1000,$U188-4)),1),IF(ISNUMBER(INDEX($AN$5:$AN$1000,$U188-4)),DATE(YEAR(INDEX($AN$5:$AN$1000,$U188-4)),MONTH(INDEX($AN$5:$AN$1000,$U188-4)),1),MesCiclo)),IF(ISNUMBER($AM188),DATE(YEAR($AM188),MONTH($AM188),1),IF(ISNUMBER($AN188),DATE(YEAR($AN188),MONTH($AN188),1),MesCiclo))))</f>
        <v/>
      </c>
      <c r="T188" s="62">
        <f>IF(OR($S188="",$S188&lt;&gt;MesCiclo),"",COUNTIF($S$5:$S188,MesCiclo))</f>
        <v/>
      </c>
      <c r="U188" s="62">
        <f>IF($V188="","",IF($V188="Macro",ROW(),IFERROR(LOOKUP(2,1/($V$5:$V188="Macro"),ROW($V$5:$V188)),0)))</f>
        <v/>
      </c>
      <c r="V188" s="62">
        <f>IF(NOT((COUNTA($B188:$D188)+COUNTA($G188:$L188)+COUNTA($Q188))&gt;0),"",IF($B188="Subactividad","Sub","Macro"))</f>
        <v/>
      </c>
      <c r="W188" s="62">
        <f>IF($V188="Macro",COUNTIFS($U$5:$U$1000,ROW(),$V$5:$V$1000,"Sub"),"")</f>
        <v/>
      </c>
      <c r="X188" s="62">
        <f>IF($V188="","",IF(ISNUMBER($G188),1,IFERROR(LOOKUP(2,1/($I188:$L188&lt;&gt;""),$I188:$L188),0)))</f>
        <v/>
      </c>
      <c r="Y188" s="62">
        <f>IF($V188="","",IF(AND(ISNUMBER($G188),$G188&lt;=IF($S188=MesCiclo,InicioCiclo,$S188+MOD(2-WEEKDAY($S188),7))+6),1,IF(ISNUMBER($I188),$I188,0)))</f>
        <v/>
      </c>
      <c r="Z188" s="62">
        <f>IF($V188="","",IF(AND(ISNUMBER($G188),$G188&lt;=IF($S188=MesCiclo,InicioCiclo,$S188+MOD(2-WEEKDAY($S188),7))+13),1,IF(ISNUMBER($J188),$J188,$Y188)))</f>
        <v/>
      </c>
      <c r="AA188" s="62">
        <f>IF($V188="","",IF(AND(ISNUMBER($G188),$G188&lt;=IF($S188=MesCiclo,InicioCiclo,$S188+MOD(2-WEEKDAY($S188),7))+20),1,IF(ISNUMBER($K188),$K188,$Z188)))</f>
        <v/>
      </c>
      <c r="AB188" s="62">
        <f>IF($V188="","",IF(AND(ISNUMBER($G188),$G188&lt;=IF($S188=MesCiclo,InicioCiclo,$S188+MOD(2-WEEKDAY($S188),7))+27),1,IF(ISNUMBER($L188),$L188,$AA188)))</f>
        <v/>
      </c>
      <c r="AC188" s="62">
        <f>IF($V188="","",IF(AND(ISNUMBER($G188),$G188&lt;=IF($S188=MesCiclo,InicioCiclo,$S188+MOD(2-WEEKDAY($S188),7))+6),1,IF(N($W188)&gt;0,AVERAGEIFS($Y$5:$Y$1000,$U$5:$U$1000,ROW(),$V$5:$V$1000,"Sub"),$Y188)))</f>
        <v/>
      </c>
      <c r="AD188" s="62">
        <f>IF($V188="","",IF(AND(ISNUMBER($G188),$G188&lt;=IF($S188=MesCiclo,InicioCiclo,$S188+MOD(2-WEEKDAY($S188),7))+13),1,IF(N($W188)&gt;0,AVERAGEIFS($Z$5:$Z$1000,$U$5:$U$1000,ROW(),$V$5:$V$1000,"Sub"),$Z188)))</f>
        <v/>
      </c>
      <c r="AE188" s="62">
        <f>IF($V188="","",IF(AND(ISNUMBER($G188),$G188&lt;=IF($S188=MesCiclo,InicioCiclo,$S188+MOD(2-WEEKDAY($S188),7))+20),1,IF(N($W188)&gt;0,AVERAGEIFS($AA$5:$AA$1000,$U$5:$U$1000,ROW(),$V$5:$V$1000,"Sub"),$AA188)))</f>
        <v/>
      </c>
      <c r="AF188" s="62">
        <f>IF($V188="","",IF(AND(ISNUMBER($G188),$G188&lt;=IF($S188=MesCiclo,InicioCiclo,$S188+MOD(2-WEEKDAY($S188),7))+27),1,IF(N($W188)&gt;0,AVERAGEIFS($AB$5:$AB$1000,$U$5:$U$1000,ROW(),$V$5:$V$1000,"Sub"),$AB188)))</f>
        <v/>
      </c>
      <c r="AG188" s="62">
        <f>IF($V188&lt;&gt;"Macro","",IF(COUNTIFS($S$5:$S$1000,$S188,$V$5:$V$1000,"Macro",$H$5:$H$1000,"&gt;0")=0,1/COUNTIFS($S$5:$S$1000,$S188,$V$5:$V$1000,"Macro"),IF(AND(ISNUMBER($H188),N($H188)&gt;0),$H188,SUMIFS($H$5:$H$1000,$S$5:$S$1000,$S188,$V$5:$V$1000,"Macro")/COUNTIFS($S$5:$S$1000,$S188,$V$5:$V$1000,"Macro",$H$5:$H$1000,"&gt;0"))/(COUNTIFS($S$5:$S$1000,$S188,$V$5:$V$1000,"Macro")*SUMIFS($H$5:$H$1000,$S$5:$S$1000,$S188,$V$5:$V$1000,"Macro")/COUNTIFS($S$5:$S$1000,$S188,$V$5:$V$1000,"Macro",$H$5:$H$1000,"&gt;0"))))</f>
        <v/>
      </c>
      <c r="AH188" s="62">
        <f>IF(NOT(AND($D188&lt;&gt;"",$V188="Macro")),"",IFERROR(CHOOSE(MATCH($D188,ListaPuestos,0),MATCH("[Jefatura] "&amp;$C188,'Cronograma R. Operacional'!$C$5:$C$1000,0),MATCH("[Jefatura] "&amp;$C188,'Cronograma R. Normativo'!$C$5:$C$1000,0),MATCH("[Jefatura] "&amp;$C188,'Cronograma R. Financiero'!$C$5:$C$1000,0),MATCH("[Jefatura] "&amp;$C188,'Cronograma Asistente Técnico'!$C$5:$C$1000,0)),0))</f>
        <v/>
      </c>
      <c r="AI188" s="62">
        <f>IF(AND(AND($D188&lt;&gt;"",$V188="Macro"),$S188=MesCiclo),COUNTIFS($D$5:$D188,$D188,$S$5:$S188,MesCiclo,$V$5:$V188,"Macro"),"")</f>
        <v/>
      </c>
      <c r="AJ188" s="62">
        <f>IF($AI188="","",$D188&amp;"|"&amp;$AI188)</f>
        <v/>
      </c>
      <c r="AK188" s="62">
        <f>IF(AND($D188&lt;&gt;"",$V188="Macro"),$D188&amp;"|"&amp;$C188,"")</f>
        <v/>
      </c>
      <c r="AL188" s="62">
        <f>""</f>
        <v/>
      </c>
      <c r="AM188" s="62">
        <f>IF(N($AL188)&gt;0,INDEX(rIni_ADM,$AL188),IF(ISNUMBER($E188),$E188,""))</f>
        <v/>
      </c>
      <c r="AN188" s="62">
        <f>IF(N($AL188)&gt;0,INDEX(rLim_ADM,$AL188),IF(ISNUMBER($F188),$F188,""))</f>
        <v/>
      </c>
    </row>
    <row r="189">
      <c r="A189" s="56">
        <f>IF(NOT((COUNTA($B189:$D189)+COUNTA($G189:$L189)+COUNTA($Q189))&gt;0),"",IF($V189="Macro",COUNTIFS($V$5:$V189,"Macro",$S$5:$S189,$S189),IF(N($U189)=0,"?",COUNTIFS(INDEX($V$5:$V$1000,1):INDEX($V$5:$V$1000,$U189-4),"Macro",INDEX($S$5:$S$1000,1):INDEX($S$5:$S$1000,$U189-4),INDEX($S$5:$S$1000,$U189-4))&amp;"."&amp;COUNTIFS($U$5:$U189,$U189,$V$5:$V189,"Sub"))))</f>
        <v/>
      </c>
      <c r="B189" s="57" t="n"/>
      <c r="C189" s="58" t="n"/>
      <c r="D189" s="58" t="n"/>
      <c r="E189" s="59" t="n"/>
      <c r="F189" s="59" t="n"/>
      <c r="G189" s="59" t="n"/>
      <c r="H189" s="60" t="n"/>
      <c r="I189" s="60" t="n"/>
      <c r="J189" s="60" t="n"/>
      <c r="K189" s="60" t="n"/>
      <c r="L189" s="60" t="n"/>
      <c r="M189" s="61">
        <f>IF(NOT((COUNTA($B189:$D189)+COUNTA($G189:$L189)+COUNTA($Q189))&gt;0),"",IF(AND($D189&lt;&gt;"",$V189="Macro"),IF(N($AH189)&gt;0,N(CHOOSE(MATCH($D189,ListaPuestos,0),INDEX('Cronograma R. Operacional'!$M$5:$M$1000,$AH189),INDEX('Cronograma R. Normativo'!$M$5:$M$1000,$AH189),INDEX('Cronograma R. Financiero'!$M$5:$M$1000,$AH189),INDEX('Cronograma Asistente Técnico'!$M$5:$M$1000,$AH189))),0),IF(ISNUMBER($G189),1,IF(N($W189)&gt;0,AVERAGEIFS($X$5:$X$1000,$U$5:$U$1000,ROW(),$V$5:$V$1000,"Sub"),$X189))))</f>
        <v/>
      </c>
      <c r="N189" s="56">
        <f>IF($M189="","",IF($M189&gt;=1,"Completado",IF($M189&gt;0,"En curso","Pendiente")))</f>
        <v/>
      </c>
      <c r="O189" s="56">
        <f>IF(NOT((COUNTA($B189:$D189)+COUNTA($G189:$L189)+COUNTA($Q189))&gt;0),"",IF(AND(AND($D189&lt;&gt;"",$V189="Macro"),N($AH189)&gt;0),CHOOSE(MATCH($D189,ListaPuestos,0),INDEX('Cronograma R. Operacional'!$O$5:$O$1000,$AH189),INDEX('Cronograma R. Normativo'!$O$5:$O$1000,$AH189),INDEX('Cronograma R. Financiero'!$O$5:$O$1000,$AH189),INDEX('Cronograma Asistente Técnico'!$O$5:$O$1000,$AH189))&amp;"",IF(ISNUMBER($G189),IF(AND(ISNUMBER($AN189),$G189&gt;$AN189),"Cumplida con "&amp;($G189-$AN189)&amp;IF($G189-$AN189=1," día"," días")&amp;" de retraso","Cumplida"),IF(N($M189)&gt;=1,"Cumplida",IF(NOT(ISNUMBER($AN189)),"Sin fecha límite",IF($AN189&lt;FechaRef,"Vencida hace "&amp;(FechaRef-$AN189)&amp;IF(FechaRef-$AN189=1," día"," días"),IF($AN189=FechaRef,"Vence hoy",IF($AN189-FechaRef&lt;=DiasAlerta,"Vence en "&amp;($AN189-FechaRef)&amp;IF($AN189-FechaRef=1," día"," días"),"En plazo"))))))))</f>
        <v/>
      </c>
      <c r="P189" s="62">
        <f>IF(NOT((COUNTA($B189:$D189)+COUNTA($G189:$L189)+COUNTA($Q189))&gt;0),"",IF($D189="","Propia",IF($V189&lt;&gt;"Macro","Solo se delegan macroactividades",IF(N($AH189)&gt;0,"✔ Recibida por "&amp;$D189,"⚠ "&amp;$D189&amp;" aún no la agrega"))))</f>
        <v/>
      </c>
      <c r="Q189" s="58" t="n"/>
      <c r="R189" s="63">
        <f>IF(NOT((COUNTA($B189:$D189)+COUNTA($G189:$L189)+COUNTA($Q189))&gt;0),"",IF((IF($C189="","Falta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",""))="","✔ OK","⚠ "&amp;LEFT(IF($C189="","Falta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",""),LEN(IF($C189="","Falta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",""))-3)))</f>
        <v/>
      </c>
      <c r="S189" s="64">
        <f>IF(NOT((COUNTA($B189:$D189)+COUNTA($G189:$L189)+COUNTA($Q189))&gt;0),"",IF(AND($V189="Sub",N($U189)&gt;0),IF(ISNUMBER(INDEX($AM$5:$AM$1000,$U189-4)),DATE(YEAR(INDEX($AM$5:$AM$1000,$U189-4)),MONTH(INDEX($AM$5:$AM$1000,$U189-4)),1),IF(ISNUMBER(INDEX($AN$5:$AN$1000,$U189-4)),DATE(YEAR(INDEX($AN$5:$AN$1000,$U189-4)),MONTH(INDEX($AN$5:$AN$1000,$U189-4)),1),MesCiclo)),IF(ISNUMBER($AM189),DATE(YEAR($AM189),MONTH($AM189),1),IF(ISNUMBER($AN189),DATE(YEAR($AN189),MONTH($AN189),1),MesCiclo))))</f>
        <v/>
      </c>
      <c r="T189" s="62">
        <f>IF(OR($S189="",$S189&lt;&gt;MesCiclo),"",COUNTIF($S$5:$S189,MesCiclo))</f>
        <v/>
      </c>
      <c r="U189" s="62">
        <f>IF($V189="","",IF($V189="Macro",ROW(),IFERROR(LOOKUP(2,1/($V$5:$V189="Macro"),ROW($V$5:$V189)),0)))</f>
        <v/>
      </c>
      <c r="V189" s="62">
        <f>IF(NOT((COUNTA($B189:$D189)+COUNTA($G189:$L189)+COUNTA($Q189))&gt;0),"",IF($B189="Subactividad","Sub","Macro"))</f>
        <v/>
      </c>
      <c r="W189" s="62">
        <f>IF($V189="Macro",COUNTIFS($U$5:$U$1000,ROW(),$V$5:$V$1000,"Sub"),"")</f>
        <v/>
      </c>
      <c r="X189" s="62">
        <f>IF($V189="","",IF(ISNUMBER($G189),1,IFERROR(LOOKUP(2,1/($I189:$L189&lt;&gt;""),$I189:$L189),0)))</f>
        <v/>
      </c>
      <c r="Y189" s="62">
        <f>IF($V189="","",IF(AND(ISNUMBER($G189),$G189&lt;=IF($S189=MesCiclo,InicioCiclo,$S189+MOD(2-WEEKDAY($S189),7))+6),1,IF(ISNUMBER($I189),$I189,0)))</f>
        <v/>
      </c>
      <c r="Z189" s="62">
        <f>IF($V189="","",IF(AND(ISNUMBER($G189),$G189&lt;=IF($S189=MesCiclo,InicioCiclo,$S189+MOD(2-WEEKDAY($S189),7))+13),1,IF(ISNUMBER($J189),$J189,$Y189)))</f>
        <v/>
      </c>
      <c r="AA189" s="62">
        <f>IF($V189="","",IF(AND(ISNUMBER($G189),$G189&lt;=IF($S189=MesCiclo,InicioCiclo,$S189+MOD(2-WEEKDAY($S189),7))+20),1,IF(ISNUMBER($K189),$K189,$Z189)))</f>
        <v/>
      </c>
      <c r="AB189" s="62">
        <f>IF($V189="","",IF(AND(ISNUMBER($G189),$G189&lt;=IF($S189=MesCiclo,InicioCiclo,$S189+MOD(2-WEEKDAY($S189),7))+27),1,IF(ISNUMBER($L189),$L189,$AA189)))</f>
        <v/>
      </c>
      <c r="AC189" s="62">
        <f>IF($V189="","",IF(AND(ISNUMBER($G189),$G189&lt;=IF($S189=MesCiclo,InicioCiclo,$S189+MOD(2-WEEKDAY($S189),7))+6),1,IF(N($W189)&gt;0,AVERAGEIFS($Y$5:$Y$1000,$U$5:$U$1000,ROW(),$V$5:$V$1000,"Sub"),$Y189)))</f>
        <v/>
      </c>
      <c r="AD189" s="62">
        <f>IF($V189="","",IF(AND(ISNUMBER($G189),$G189&lt;=IF($S189=MesCiclo,InicioCiclo,$S189+MOD(2-WEEKDAY($S189),7))+13),1,IF(N($W189)&gt;0,AVERAGEIFS($Z$5:$Z$1000,$U$5:$U$1000,ROW(),$V$5:$V$1000,"Sub"),$Z189)))</f>
        <v/>
      </c>
      <c r="AE189" s="62">
        <f>IF($V189="","",IF(AND(ISNUMBER($G189),$G189&lt;=IF($S189=MesCiclo,InicioCiclo,$S189+MOD(2-WEEKDAY($S189),7))+20),1,IF(N($W189)&gt;0,AVERAGEIFS($AA$5:$AA$1000,$U$5:$U$1000,ROW(),$V$5:$V$1000,"Sub"),$AA189)))</f>
        <v/>
      </c>
      <c r="AF189" s="62">
        <f>IF($V189="","",IF(AND(ISNUMBER($G189),$G189&lt;=IF($S189=MesCiclo,InicioCiclo,$S189+MOD(2-WEEKDAY($S189),7))+27),1,IF(N($W189)&gt;0,AVERAGEIFS($AB$5:$AB$1000,$U$5:$U$1000,ROW(),$V$5:$V$1000,"Sub"),$AB189)))</f>
        <v/>
      </c>
      <c r="AG189" s="62">
        <f>IF($V189&lt;&gt;"Macro","",IF(COUNTIFS($S$5:$S$1000,$S189,$V$5:$V$1000,"Macro",$H$5:$H$1000,"&gt;0")=0,1/COUNTIFS($S$5:$S$1000,$S189,$V$5:$V$1000,"Macro"),IF(AND(ISNUMBER($H189),N($H189)&gt;0),$H189,SUMIFS($H$5:$H$1000,$S$5:$S$1000,$S189,$V$5:$V$1000,"Macro")/COUNTIFS($S$5:$S$1000,$S189,$V$5:$V$1000,"Macro",$H$5:$H$1000,"&gt;0"))/(COUNTIFS($S$5:$S$1000,$S189,$V$5:$V$1000,"Macro")*SUMIFS($H$5:$H$1000,$S$5:$S$1000,$S189,$V$5:$V$1000,"Macro")/COUNTIFS($S$5:$S$1000,$S189,$V$5:$V$1000,"Macro",$H$5:$H$1000,"&gt;0"))))</f>
        <v/>
      </c>
      <c r="AH189" s="62">
        <f>IF(NOT(AND($D189&lt;&gt;"",$V189="Macro")),"",IFERROR(CHOOSE(MATCH($D189,ListaPuestos,0),MATCH("[Jefatura] "&amp;$C189,'Cronograma R. Operacional'!$C$5:$C$1000,0),MATCH("[Jefatura] "&amp;$C189,'Cronograma R. Normativo'!$C$5:$C$1000,0),MATCH("[Jefatura] "&amp;$C189,'Cronograma R. Financiero'!$C$5:$C$1000,0),MATCH("[Jefatura] "&amp;$C189,'Cronograma Asistente Técnico'!$C$5:$C$1000,0)),0))</f>
        <v/>
      </c>
      <c r="AI189" s="62">
        <f>IF(AND(AND($D189&lt;&gt;"",$V189="Macro"),$S189=MesCiclo),COUNTIFS($D$5:$D189,$D189,$S$5:$S189,MesCiclo,$V$5:$V189,"Macro"),"")</f>
        <v/>
      </c>
      <c r="AJ189" s="62">
        <f>IF($AI189="","",$D189&amp;"|"&amp;$AI189)</f>
        <v/>
      </c>
      <c r="AK189" s="62">
        <f>IF(AND($D189&lt;&gt;"",$V189="Macro"),$D189&amp;"|"&amp;$C189,"")</f>
        <v/>
      </c>
      <c r="AL189" s="62">
        <f>""</f>
        <v/>
      </c>
      <c r="AM189" s="62">
        <f>IF(N($AL189)&gt;0,INDEX(rIni_ADM,$AL189),IF(ISNUMBER($E189),$E189,""))</f>
        <v/>
      </c>
      <c r="AN189" s="62">
        <f>IF(N($AL189)&gt;0,INDEX(rLim_ADM,$AL189),IF(ISNUMBER($F189),$F189,""))</f>
        <v/>
      </c>
    </row>
    <row r="190">
      <c r="A190" s="56">
        <f>IF(NOT((COUNTA($B190:$D190)+COUNTA($G190:$L190)+COUNTA($Q190))&gt;0),"",IF($V190="Macro",COUNTIFS($V$5:$V190,"Macro",$S$5:$S190,$S190),IF(N($U190)=0,"?",COUNTIFS(INDEX($V$5:$V$1000,1):INDEX($V$5:$V$1000,$U190-4),"Macro",INDEX($S$5:$S$1000,1):INDEX($S$5:$S$1000,$U190-4),INDEX($S$5:$S$1000,$U190-4))&amp;"."&amp;COUNTIFS($U$5:$U190,$U190,$V$5:$V190,"Sub"))))</f>
        <v/>
      </c>
      <c r="B190" s="57" t="n"/>
      <c r="C190" s="58" t="n"/>
      <c r="D190" s="58" t="n"/>
      <c r="E190" s="59" t="n"/>
      <c r="F190" s="59" t="n"/>
      <c r="G190" s="59" t="n"/>
      <c r="H190" s="60" t="n"/>
      <c r="I190" s="60" t="n"/>
      <c r="J190" s="60" t="n"/>
      <c r="K190" s="60" t="n"/>
      <c r="L190" s="60" t="n"/>
      <c r="M190" s="61">
        <f>IF(NOT((COUNTA($B190:$D190)+COUNTA($G190:$L190)+COUNTA($Q190))&gt;0),"",IF(AND($D190&lt;&gt;"",$V190="Macro"),IF(N($AH190)&gt;0,N(CHOOSE(MATCH($D190,ListaPuestos,0),INDEX('Cronograma R. Operacional'!$M$5:$M$1000,$AH190),INDEX('Cronograma R. Normativo'!$M$5:$M$1000,$AH190),INDEX('Cronograma R. Financiero'!$M$5:$M$1000,$AH190),INDEX('Cronograma Asistente Técnico'!$M$5:$M$1000,$AH190))),0),IF(ISNUMBER($G190),1,IF(N($W190)&gt;0,AVERAGEIFS($X$5:$X$1000,$U$5:$U$1000,ROW(),$V$5:$V$1000,"Sub"),$X190))))</f>
        <v/>
      </c>
      <c r="N190" s="56">
        <f>IF($M190="","",IF($M190&gt;=1,"Completado",IF($M190&gt;0,"En curso","Pendiente")))</f>
        <v/>
      </c>
      <c r="O190" s="56">
        <f>IF(NOT((COUNTA($B190:$D190)+COUNTA($G190:$L190)+COUNTA($Q190))&gt;0),"",IF(AND(AND($D190&lt;&gt;"",$V190="Macro"),N($AH190)&gt;0),CHOOSE(MATCH($D190,ListaPuestos,0),INDEX('Cronograma R. Operacional'!$O$5:$O$1000,$AH190),INDEX('Cronograma R. Normativo'!$O$5:$O$1000,$AH190),INDEX('Cronograma R. Financiero'!$O$5:$O$1000,$AH190),INDEX('Cronograma Asistente Técnico'!$O$5:$O$1000,$AH190))&amp;"",IF(ISNUMBER($G190),IF(AND(ISNUMBER($AN190),$G190&gt;$AN190),"Cumplida con "&amp;($G190-$AN190)&amp;IF($G190-$AN190=1," día"," días")&amp;" de retraso","Cumplida"),IF(N($M190)&gt;=1,"Cumplida",IF(NOT(ISNUMBER($AN190)),"Sin fecha límite",IF($AN190&lt;FechaRef,"Vencida hace "&amp;(FechaRef-$AN190)&amp;IF(FechaRef-$AN190=1," día"," días"),IF($AN190=FechaRef,"Vence hoy",IF($AN190-FechaRef&lt;=DiasAlerta,"Vence en "&amp;($AN190-FechaRef)&amp;IF($AN190-FechaRef=1," día"," días"),"En plazo"))))))))</f>
        <v/>
      </c>
      <c r="P190" s="62">
        <f>IF(NOT((COUNTA($B190:$D190)+COUNTA($G190:$L190)+COUNTA($Q190))&gt;0),"",IF($D190="","Propia",IF($V190&lt;&gt;"Macro","Solo se delegan macroactividades",IF(N($AH190)&gt;0,"✔ Recibida por "&amp;$D190,"⚠ "&amp;$D190&amp;" aún no la agrega"))))</f>
        <v/>
      </c>
      <c r="Q190" s="58" t="n"/>
      <c r="R190" s="63">
        <f>IF(NOT((COUNTA($B190:$D190)+COUNTA($G190:$L190)+COUNTA($Q190))&gt;0),"",IF((IF($C190="","Falta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",""))="","✔ OK","⚠ "&amp;LEFT(IF($C190="","Falta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",""),LEN(IF($C190="","Falta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",""))-3)))</f>
        <v/>
      </c>
      <c r="S190" s="64">
        <f>IF(NOT((COUNTA($B190:$D190)+COUNTA($G190:$L190)+COUNTA($Q190))&gt;0),"",IF(AND($V190="Sub",N($U190)&gt;0),IF(ISNUMBER(INDEX($AM$5:$AM$1000,$U190-4)),DATE(YEAR(INDEX($AM$5:$AM$1000,$U190-4)),MONTH(INDEX($AM$5:$AM$1000,$U190-4)),1),IF(ISNUMBER(INDEX($AN$5:$AN$1000,$U190-4)),DATE(YEAR(INDEX($AN$5:$AN$1000,$U190-4)),MONTH(INDEX($AN$5:$AN$1000,$U190-4)),1),MesCiclo)),IF(ISNUMBER($AM190),DATE(YEAR($AM190),MONTH($AM190),1),IF(ISNUMBER($AN190),DATE(YEAR($AN190),MONTH($AN190),1),MesCiclo))))</f>
        <v/>
      </c>
      <c r="T190" s="62">
        <f>IF(OR($S190="",$S190&lt;&gt;MesCiclo),"",COUNTIF($S$5:$S190,MesCiclo))</f>
        <v/>
      </c>
      <c r="U190" s="62">
        <f>IF($V190="","",IF($V190="Macro",ROW(),IFERROR(LOOKUP(2,1/($V$5:$V190="Macro"),ROW($V$5:$V190)),0)))</f>
        <v/>
      </c>
      <c r="V190" s="62">
        <f>IF(NOT((COUNTA($B190:$D190)+COUNTA($G190:$L190)+COUNTA($Q190))&gt;0),"",IF($B190="Subactividad","Sub","Macro"))</f>
        <v/>
      </c>
      <c r="W190" s="62">
        <f>IF($V190="Macro",COUNTIFS($U$5:$U$1000,ROW(),$V$5:$V$1000,"Sub"),"")</f>
        <v/>
      </c>
      <c r="X190" s="62">
        <f>IF($V190="","",IF(ISNUMBER($G190),1,IFERROR(LOOKUP(2,1/($I190:$L190&lt;&gt;""),$I190:$L190),0)))</f>
        <v/>
      </c>
      <c r="Y190" s="62">
        <f>IF($V190="","",IF(AND(ISNUMBER($G190),$G190&lt;=IF($S190=MesCiclo,InicioCiclo,$S190+MOD(2-WEEKDAY($S190),7))+6),1,IF(ISNUMBER($I190),$I190,0)))</f>
        <v/>
      </c>
      <c r="Z190" s="62">
        <f>IF($V190="","",IF(AND(ISNUMBER($G190),$G190&lt;=IF($S190=MesCiclo,InicioCiclo,$S190+MOD(2-WEEKDAY($S190),7))+13),1,IF(ISNUMBER($J190),$J190,$Y190)))</f>
        <v/>
      </c>
      <c r="AA190" s="62">
        <f>IF($V190="","",IF(AND(ISNUMBER($G190),$G190&lt;=IF($S190=MesCiclo,InicioCiclo,$S190+MOD(2-WEEKDAY($S190),7))+20),1,IF(ISNUMBER($K190),$K190,$Z190)))</f>
        <v/>
      </c>
      <c r="AB190" s="62">
        <f>IF($V190="","",IF(AND(ISNUMBER($G190),$G190&lt;=IF($S190=MesCiclo,InicioCiclo,$S190+MOD(2-WEEKDAY($S190),7))+27),1,IF(ISNUMBER($L190),$L190,$AA190)))</f>
        <v/>
      </c>
      <c r="AC190" s="62">
        <f>IF($V190="","",IF(AND(ISNUMBER($G190),$G190&lt;=IF($S190=MesCiclo,InicioCiclo,$S190+MOD(2-WEEKDAY($S190),7))+6),1,IF(N($W190)&gt;0,AVERAGEIFS($Y$5:$Y$1000,$U$5:$U$1000,ROW(),$V$5:$V$1000,"Sub"),$Y190)))</f>
        <v/>
      </c>
      <c r="AD190" s="62">
        <f>IF($V190="","",IF(AND(ISNUMBER($G190),$G190&lt;=IF($S190=MesCiclo,InicioCiclo,$S190+MOD(2-WEEKDAY($S190),7))+13),1,IF(N($W190)&gt;0,AVERAGEIFS($Z$5:$Z$1000,$U$5:$U$1000,ROW(),$V$5:$V$1000,"Sub"),$Z190)))</f>
        <v/>
      </c>
      <c r="AE190" s="62">
        <f>IF($V190="","",IF(AND(ISNUMBER($G190),$G190&lt;=IF($S190=MesCiclo,InicioCiclo,$S190+MOD(2-WEEKDAY($S190),7))+20),1,IF(N($W190)&gt;0,AVERAGEIFS($AA$5:$AA$1000,$U$5:$U$1000,ROW(),$V$5:$V$1000,"Sub"),$AA190)))</f>
        <v/>
      </c>
      <c r="AF190" s="62">
        <f>IF($V190="","",IF(AND(ISNUMBER($G190),$G190&lt;=IF($S190=MesCiclo,InicioCiclo,$S190+MOD(2-WEEKDAY($S190),7))+27),1,IF(N($W190)&gt;0,AVERAGEIFS($AB$5:$AB$1000,$U$5:$U$1000,ROW(),$V$5:$V$1000,"Sub"),$AB190)))</f>
        <v/>
      </c>
      <c r="AG190" s="62">
        <f>IF($V190&lt;&gt;"Macro","",IF(COUNTIFS($S$5:$S$1000,$S190,$V$5:$V$1000,"Macro",$H$5:$H$1000,"&gt;0")=0,1/COUNTIFS($S$5:$S$1000,$S190,$V$5:$V$1000,"Macro"),IF(AND(ISNUMBER($H190),N($H190)&gt;0),$H190,SUMIFS($H$5:$H$1000,$S$5:$S$1000,$S190,$V$5:$V$1000,"Macro")/COUNTIFS($S$5:$S$1000,$S190,$V$5:$V$1000,"Macro",$H$5:$H$1000,"&gt;0"))/(COUNTIFS($S$5:$S$1000,$S190,$V$5:$V$1000,"Macro")*SUMIFS($H$5:$H$1000,$S$5:$S$1000,$S190,$V$5:$V$1000,"Macro")/COUNTIFS($S$5:$S$1000,$S190,$V$5:$V$1000,"Macro",$H$5:$H$1000,"&gt;0"))))</f>
        <v/>
      </c>
      <c r="AH190" s="62">
        <f>IF(NOT(AND($D190&lt;&gt;"",$V190="Macro")),"",IFERROR(CHOOSE(MATCH($D190,ListaPuestos,0),MATCH("[Jefatura] "&amp;$C190,'Cronograma R. Operacional'!$C$5:$C$1000,0),MATCH("[Jefatura] "&amp;$C190,'Cronograma R. Normativo'!$C$5:$C$1000,0),MATCH("[Jefatura] "&amp;$C190,'Cronograma R. Financiero'!$C$5:$C$1000,0),MATCH("[Jefatura] "&amp;$C190,'Cronograma Asistente Técnico'!$C$5:$C$1000,0)),0))</f>
        <v/>
      </c>
      <c r="AI190" s="62">
        <f>IF(AND(AND($D190&lt;&gt;"",$V190="Macro"),$S190=MesCiclo),COUNTIFS($D$5:$D190,$D190,$S$5:$S190,MesCiclo,$V$5:$V190,"Macro"),"")</f>
        <v/>
      </c>
      <c r="AJ190" s="62">
        <f>IF($AI190="","",$D190&amp;"|"&amp;$AI190)</f>
        <v/>
      </c>
      <c r="AK190" s="62">
        <f>IF(AND($D190&lt;&gt;"",$V190="Macro"),$D190&amp;"|"&amp;$C190,"")</f>
        <v/>
      </c>
      <c r="AL190" s="62">
        <f>""</f>
        <v/>
      </c>
      <c r="AM190" s="62">
        <f>IF(N($AL190)&gt;0,INDEX(rIni_ADM,$AL190),IF(ISNUMBER($E190),$E190,""))</f>
        <v/>
      </c>
      <c r="AN190" s="62">
        <f>IF(N($AL190)&gt;0,INDEX(rLim_ADM,$AL190),IF(ISNUMBER($F190),$F190,""))</f>
        <v/>
      </c>
    </row>
    <row r="191">
      <c r="A191" s="56">
        <f>IF(NOT((COUNTA($B191:$D191)+COUNTA($G191:$L191)+COUNTA($Q191))&gt;0),"",IF($V191="Macro",COUNTIFS($V$5:$V191,"Macro",$S$5:$S191,$S191),IF(N($U191)=0,"?",COUNTIFS(INDEX($V$5:$V$1000,1):INDEX($V$5:$V$1000,$U191-4),"Macro",INDEX($S$5:$S$1000,1):INDEX($S$5:$S$1000,$U191-4),INDEX($S$5:$S$1000,$U191-4))&amp;"."&amp;COUNTIFS($U$5:$U191,$U191,$V$5:$V191,"Sub"))))</f>
        <v/>
      </c>
      <c r="B191" s="57" t="n"/>
      <c r="C191" s="58" t="n"/>
      <c r="D191" s="58" t="n"/>
      <c r="E191" s="59" t="n"/>
      <c r="F191" s="59" t="n"/>
      <c r="G191" s="59" t="n"/>
      <c r="H191" s="60" t="n"/>
      <c r="I191" s="60" t="n"/>
      <c r="J191" s="60" t="n"/>
      <c r="K191" s="60" t="n"/>
      <c r="L191" s="60" t="n"/>
      <c r="M191" s="61">
        <f>IF(NOT((COUNTA($B191:$D191)+COUNTA($G191:$L191)+COUNTA($Q191))&gt;0),"",IF(AND($D191&lt;&gt;"",$V191="Macro"),IF(N($AH191)&gt;0,N(CHOOSE(MATCH($D191,ListaPuestos,0),INDEX('Cronograma R. Operacional'!$M$5:$M$1000,$AH191),INDEX('Cronograma R. Normativo'!$M$5:$M$1000,$AH191),INDEX('Cronograma R. Financiero'!$M$5:$M$1000,$AH191),INDEX('Cronograma Asistente Técnico'!$M$5:$M$1000,$AH191))),0),IF(ISNUMBER($G191),1,IF(N($W191)&gt;0,AVERAGEIFS($X$5:$X$1000,$U$5:$U$1000,ROW(),$V$5:$V$1000,"Sub"),$X191))))</f>
        <v/>
      </c>
      <c r="N191" s="56">
        <f>IF($M191="","",IF($M191&gt;=1,"Completado",IF($M191&gt;0,"En curso","Pendiente")))</f>
        <v/>
      </c>
      <c r="O191" s="56">
        <f>IF(NOT((COUNTA($B191:$D191)+COUNTA($G191:$L191)+COUNTA($Q191))&gt;0),"",IF(AND(AND($D191&lt;&gt;"",$V191="Macro"),N($AH191)&gt;0),CHOOSE(MATCH($D191,ListaPuestos,0),INDEX('Cronograma R. Operacional'!$O$5:$O$1000,$AH191),INDEX('Cronograma R. Normativo'!$O$5:$O$1000,$AH191),INDEX('Cronograma R. Financiero'!$O$5:$O$1000,$AH191),INDEX('Cronograma Asistente Técnico'!$O$5:$O$1000,$AH191))&amp;"",IF(ISNUMBER($G191),IF(AND(ISNUMBER($AN191),$G191&gt;$AN191),"Cumplida con "&amp;($G191-$AN191)&amp;IF($G191-$AN191=1," día"," días")&amp;" de retraso","Cumplida"),IF(N($M191)&gt;=1,"Cumplida",IF(NOT(ISNUMBER($AN191)),"Sin fecha límite",IF($AN191&lt;FechaRef,"Vencida hace "&amp;(FechaRef-$AN191)&amp;IF(FechaRef-$AN191=1," día"," días"),IF($AN191=FechaRef,"Vence hoy",IF($AN191-FechaRef&lt;=DiasAlerta,"Vence en "&amp;($AN191-FechaRef)&amp;IF($AN191-FechaRef=1," día"," días"),"En plazo"))))))))</f>
        <v/>
      </c>
      <c r="P191" s="62">
        <f>IF(NOT((COUNTA($B191:$D191)+COUNTA($G191:$L191)+COUNTA($Q191))&gt;0),"",IF($D191="","Propia",IF($V191&lt;&gt;"Macro","Solo se delegan macroactividades",IF(N($AH191)&gt;0,"✔ Recibida por "&amp;$D191,"⚠ "&amp;$D191&amp;" aún no la agrega"))))</f>
        <v/>
      </c>
      <c r="Q191" s="58" t="n"/>
      <c r="R191" s="63">
        <f>IF(NOT((COUNTA($B191:$D191)+COUNTA($G191:$L191)+COUNTA($Q191))&gt;0),"",IF((IF($C191="","Falta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",""))="","✔ OK","⚠ "&amp;LEFT(IF($C191="","Falta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",""),LEN(IF($C191="","Falta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",""))-3)))</f>
        <v/>
      </c>
      <c r="S191" s="64">
        <f>IF(NOT((COUNTA($B191:$D191)+COUNTA($G191:$L191)+COUNTA($Q191))&gt;0),"",IF(AND($V191="Sub",N($U191)&gt;0),IF(ISNUMBER(INDEX($AM$5:$AM$1000,$U191-4)),DATE(YEAR(INDEX($AM$5:$AM$1000,$U191-4)),MONTH(INDEX($AM$5:$AM$1000,$U191-4)),1),IF(ISNUMBER(INDEX($AN$5:$AN$1000,$U191-4)),DATE(YEAR(INDEX($AN$5:$AN$1000,$U191-4)),MONTH(INDEX($AN$5:$AN$1000,$U191-4)),1),MesCiclo)),IF(ISNUMBER($AM191),DATE(YEAR($AM191),MONTH($AM191),1),IF(ISNUMBER($AN191),DATE(YEAR($AN191),MONTH($AN191),1),MesCiclo))))</f>
        <v/>
      </c>
      <c r="T191" s="62">
        <f>IF(OR($S191="",$S191&lt;&gt;MesCiclo),"",COUNTIF($S$5:$S191,MesCiclo))</f>
        <v/>
      </c>
      <c r="U191" s="62">
        <f>IF($V191="","",IF($V191="Macro",ROW(),IFERROR(LOOKUP(2,1/($V$5:$V191="Macro"),ROW($V$5:$V191)),0)))</f>
        <v/>
      </c>
      <c r="V191" s="62">
        <f>IF(NOT((COUNTA($B191:$D191)+COUNTA($G191:$L191)+COUNTA($Q191))&gt;0),"",IF($B191="Subactividad","Sub","Macro"))</f>
        <v/>
      </c>
      <c r="W191" s="62">
        <f>IF($V191="Macro",COUNTIFS($U$5:$U$1000,ROW(),$V$5:$V$1000,"Sub"),"")</f>
        <v/>
      </c>
      <c r="X191" s="62">
        <f>IF($V191="","",IF(ISNUMBER($G191),1,IFERROR(LOOKUP(2,1/($I191:$L191&lt;&gt;""),$I191:$L191),0)))</f>
        <v/>
      </c>
      <c r="Y191" s="62">
        <f>IF($V191="","",IF(AND(ISNUMBER($G191),$G191&lt;=IF($S191=MesCiclo,InicioCiclo,$S191+MOD(2-WEEKDAY($S191),7))+6),1,IF(ISNUMBER($I191),$I191,0)))</f>
        <v/>
      </c>
      <c r="Z191" s="62">
        <f>IF($V191="","",IF(AND(ISNUMBER($G191),$G191&lt;=IF($S191=MesCiclo,InicioCiclo,$S191+MOD(2-WEEKDAY($S191),7))+13),1,IF(ISNUMBER($J191),$J191,$Y191)))</f>
        <v/>
      </c>
      <c r="AA191" s="62">
        <f>IF($V191="","",IF(AND(ISNUMBER($G191),$G191&lt;=IF($S191=MesCiclo,InicioCiclo,$S191+MOD(2-WEEKDAY($S191),7))+20),1,IF(ISNUMBER($K191),$K191,$Z191)))</f>
        <v/>
      </c>
      <c r="AB191" s="62">
        <f>IF($V191="","",IF(AND(ISNUMBER($G191),$G191&lt;=IF($S191=MesCiclo,InicioCiclo,$S191+MOD(2-WEEKDAY($S191),7))+27),1,IF(ISNUMBER($L191),$L191,$AA191)))</f>
        <v/>
      </c>
      <c r="AC191" s="62">
        <f>IF($V191="","",IF(AND(ISNUMBER($G191),$G191&lt;=IF($S191=MesCiclo,InicioCiclo,$S191+MOD(2-WEEKDAY($S191),7))+6),1,IF(N($W191)&gt;0,AVERAGEIFS($Y$5:$Y$1000,$U$5:$U$1000,ROW(),$V$5:$V$1000,"Sub"),$Y191)))</f>
        <v/>
      </c>
      <c r="AD191" s="62">
        <f>IF($V191="","",IF(AND(ISNUMBER($G191),$G191&lt;=IF($S191=MesCiclo,InicioCiclo,$S191+MOD(2-WEEKDAY($S191),7))+13),1,IF(N($W191)&gt;0,AVERAGEIFS($Z$5:$Z$1000,$U$5:$U$1000,ROW(),$V$5:$V$1000,"Sub"),$Z191)))</f>
        <v/>
      </c>
      <c r="AE191" s="62">
        <f>IF($V191="","",IF(AND(ISNUMBER($G191),$G191&lt;=IF($S191=MesCiclo,InicioCiclo,$S191+MOD(2-WEEKDAY($S191),7))+20),1,IF(N($W191)&gt;0,AVERAGEIFS($AA$5:$AA$1000,$U$5:$U$1000,ROW(),$V$5:$V$1000,"Sub"),$AA191)))</f>
        <v/>
      </c>
      <c r="AF191" s="62">
        <f>IF($V191="","",IF(AND(ISNUMBER($G191),$G191&lt;=IF($S191=MesCiclo,InicioCiclo,$S191+MOD(2-WEEKDAY($S191),7))+27),1,IF(N($W191)&gt;0,AVERAGEIFS($AB$5:$AB$1000,$U$5:$U$1000,ROW(),$V$5:$V$1000,"Sub"),$AB191)))</f>
        <v/>
      </c>
      <c r="AG191" s="62">
        <f>IF($V191&lt;&gt;"Macro","",IF(COUNTIFS($S$5:$S$1000,$S191,$V$5:$V$1000,"Macro",$H$5:$H$1000,"&gt;0")=0,1/COUNTIFS($S$5:$S$1000,$S191,$V$5:$V$1000,"Macro"),IF(AND(ISNUMBER($H191),N($H191)&gt;0),$H191,SUMIFS($H$5:$H$1000,$S$5:$S$1000,$S191,$V$5:$V$1000,"Macro")/COUNTIFS($S$5:$S$1000,$S191,$V$5:$V$1000,"Macro",$H$5:$H$1000,"&gt;0"))/(COUNTIFS($S$5:$S$1000,$S191,$V$5:$V$1000,"Macro")*SUMIFS($H$5:$H$1000,$S$5:$S$1000,$S191,$V$5:$V$1000,"Macro")/COUNTIFS($S$5:$S$1000,$S191,$V$5:$V$1000,"Macro",$H$5:$H$1000,"&gt;0"))))</f>
        <v/>
      </c>
      <c r="AH191" s="62">
        <f>IF(NOT(AND($D191&lt;&gt;"",$V191="Macro")),"",IFERROR(CHOOSE(MATCH($D191,ListaPuestos,0),MATCH("[Jefatura] "&amp;$C191,'Cronograma R. Operacional'!$C$5:$C$1000,0),MATCH("[Jefatura] "&amp;$C191,'Cronograma R. Normativo'!$C$5:$C$1000,0),MATCH("[Jefatura] "&amp;$C191,'Cronograma R. Financiero'!$C$5:$C$1000,0),MATCH("[Jefatura] "&amp;$C191,'Cronograma Asistente Técnico'!$C$5:$C$1000,0)),0))</f>
        <v/>
      </c>
      <c r="AI191" s="62">
        <f>IF(AND(AND($D191&lt;&gt;"",$V191="Macro"),$S191=MesCiclo),COUNTIFS($D$5:$D191,$D191,$S$5:$S191,MesCiclo,$V$5:$V191,"Macro"),"")</f>
        <v/>
      </c>
      <c r="AJ191" s="62">
        <f>IF($AI191="","",$D191&amp;"|"&amp;$AI191)</f>
        <v/>
      </c>
      <c r="AK191" s="62">
        <f>IF(AND($D191&lt;&gt;"",$V191="Macro"),$D191&amp;"|"&amp;$C191,"")</f>
        <v/>
      </c>
      <c r="AL191" s="62">
        <f>""</f>
        <v/>
      </c>
      <c r="AM191" s="62">
        <f>IF(N($AL191)&gt;0,INDEX(rIni_ADM,$AL191),IF(ISNUMBER($E191),$E191,""))</f>
        <v/>
      </c>
      <c r="AN191" s="62">
        <f>IF(N($AL191)&gt;0,INDEX(rLim_ADM,$AL191),IF(ISNUMBER($F191),$F191,""))</f>
        <v/>
      </c>
    </row>
    <row r="192">
      <c r="A192" s="56">
        <f>IF(NOT((COUNTA($B192:$D192)+COUNTA($G192:$L192)+COUNTA($Q192))&gt;0),"",IF($V192="Macro",COUNTIFS($V$5:$V192,"Macro",$S$5:$S192,$S192),IF(N($U192)=0,"?",COUNTIFS(INDEX($V$5:$V$1000,1):INDEX($V$5:$V$1000,$U192-4),"Macro",INDEX($S$5:$S$1000,1):INDEX($S$5:$S$1000,$U192-4),INDEX($S$5:$S$1000,$U192-4))&amp;"."&amp;COUNTIFS($U$5:$U192,$U192,$V$5:$V192,"Sub"))))</f>
        <v/>
      </c>
      <c r="B192" s="57" t="n"/>
      <c r="C192" s="58" t="n"/>
      <c r="D192" s="58" t="n"/>
      <c r="E192" s="59" t="n"/>
      <c r="F192" s="59" t="n"/>
      <c r="G192" s="59" t="n"/>
      <c r="H192" s="60" t="n"/>
      <c r="I192" s="60" t="n"/>
      <c r="J192" s="60" t="n"/>
      <c r="K192" s="60" t="n"/>
      <c r="L192" s="60" t="n"/>
      <c r="M192" s="61">
        <f>IF(NOT((COUNTA($B192:$D192)+COUNTA($G192:$L192)+COUNTA($Q192))&gt;0),"",IF(AND($D192&lt;&gt;"",$V192="Macro"),IF(N($AH192)&gt;0,N(CHOOSE(MATCH($D192,ListaPuestos,0),INDEX('Cronograma R. Operacional'!$M$5:$M$1000,$AH192),INDEX('Cronograma R. Normativo'!$M$5:$M$1000,$AH192),INDEX('Cronograma R. Financiero'!$M$5:$M$1000,$AH192),INDEX('Cronograma Asistente Técnico'!$M$5:$M$1000,$AH192))),0),IF(ISNUMBER($G192),1,IF(N($W192)&gt;0,AVERAGEIFS($X$5:$X$1000,$U$5:$U$1000,ROW(),$V$5:$V$1000,"Sub"),$X192))))</f>
        <v/>
      </c>
      <c r="N192" s="56">
        <f>IF($M192="","",IF($M192&gt;=1,"Completado",IF($M192&gt;0,"En curso","Pendiente")))</f>
        <v/>
      </c>
      <c r="O192" s="56">
        <f>IF(NOT((COUNTA($B192:$D192)+COUNTA($G192:$L192)+COUNTA($Q192))&gt;0),"",IF(AND(AND($D192&lt;&gt;"",$V192="Macro"),N($AH192)&gt;0),CHOOSE(MATCH($D192,ListaPuestos,0),INDEX('Cronograma R. Operacional'!$O$5:$O$1000,$AH192),INDEX('Cronograma R. Normativo'!$O$5:$O$1000,$AH192),INDEX('Cronograma R. Financiero'!$O$5:$O$1000,$AH192),INDEX('Cronograma Asistente Técnico'!$O$5:$O$1000,$AH192))&amp;"",IF(ISNUMBER($G192),IF(AND(ISNUMBER($AN192),$G192&gt;$AN192),"Cumplida con "&amp;($G192-$AN192)&amp;IF($G192-$AN192=1," día"," días")&amp;" de retraso","Cumplida"),IF(N($M192)&gt;=1,"Cumplida",IF(NOT(ISNUMBER($AN192)),"Sin fecha límite",IF($AN192&lt;FechaRef,"Vencida hace "&amp;(FechaRef-$AN192)&amp;IF(FechaRef-$AN192=1," día"," días"),IF($AN192=FechaRef,"Vence hoy",IF($AN192-FechaRef&lt;=DiasAlerta,"Vence en "&amp;($AN192-FechaRef)&amp;IF($AN192-FechaRef=1," día"," días"),"En plazo"))))))))</f>
        <v/>
      </c>
      <c r="P192" s="62">
        <f>IF(NOT((COUNTA($B192:$D192)+COUNTA($G192:$L192)+COUNTA($Q192))&gt;0),"",IF($D192="","Propia",IF($V192&lt;&gt;"Macro","Solo se delegan macroactividades",IF(N($AH192)&gt;0,"✔ Recibida por "&amp;$D192,"⚠ "&amp;$D192&amp;" aún no la agrega"))))</f>
        <v/>
      </c>
      <c r="Q192" s="58" t="n"/>
      <c r="R192" s="63">
        <f>IF(NOT((COUNTA($B192:$D192)+COUNTA($G192:$L192)+COUNTA($Q192))&gt;0),"",IF((IF($C192="","Falta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",""))="","✔ OK","⚠ "&amp;LEFT(IF($C192="","Falta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",""),LEN(IF($C192="","Falta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",""))-3)))</f>
        <v/>
      </c>
      <c r="S192" s="64">
        <f>IF(NOT((COUNTA($B192:$D192)+COUNTA($G192:$L192)+COUNTA($Q192))&gt;0),"",IF(AND($V192="Sub",N($U192)&gt;0),IF(ISNUMBER(INDEX($AM$5:$AM$1000,$U192-4)),DATE(YEAR(INDEX($AM$5:$AM$1000,$U192-4)),MONTH(INDEX($AM$5:$AM$1000,$U192-4)),1),IF(ISNUMBER(INDEX($AN$5:$AN$1000,$U192-4)),DATE(YEAR(INDEX($AN$5:$AN$1000,$U192-4)),MONTH(INDEX($AN$5:$AN$1000,$U192-4)),1),MesCiclo)),IF(ISNUMBER($AM192),DATE(YEAR($AM192),MONTH($AM192),1),IF(ISNUMBER($AN192),DATE(YEAR($AN192),MONTH($AN192),1),MesCiclo))))</f>
        <v/>
      </c>
      <c r="T192" s="62">
        <f>IF(OR($S192="",$S192&lt;&gt;MesCiclo),"",COUNTIF($S$5:$S192,MesCiclo))</f>
        <v/>
      </c>
      <c r="U192" s="62">
        <f>IF($V192="","",IF($V192="Macro",ROW(),IFERROR(LOOKUP(2,1/($V$5:$V192="Macro"),ROW($V$5:$V192)),0)))</f>
        <v/>
      </c>
      <c r="V192" s="62">
        <f>IF(NOT((COUNTA($B192:$D192)+COUNTA($G192:$L192)+COUNTA($Q192))&gt;0),"",IF($B192="Subactividad","Sub","Macro"))</f>
        <v/>
      </c>
      <c r="W192" s="62">
        <f>IF($V192="Macro",COUNTIFS($U$5:$U$1000,ROW(),$V$5:$V$1000,"Sub"),"")</f>
        <v/>
      </c>
      <c r="X192" s="62">
        <f>IF($V192="","",IF(ISNUMBER($G192),1,IFERROR(LOOKUP(2,1/($I192:$L192&lt;&gt;""),$I192:$L192),0)))</f>
        <v/>
      </c>
      <c r="Y192" s="62">
        <f>IF($V192="","",IF(AND(ISNUMBER($G192),$G192&lt;=IF($S192=MesCiclo,InicioCiclo,$S192+MOD(2-WEEKDAY($S192),7))+6),1,IF(ISNUMBER($I192),$I192,0)))</f>
        <v/>
      </c>
      <c r="Z192" s="62">
        <f>IF($V192="","",IF(AND(ISNUMBER($G192),$G192&lt;=IF($S192=MesCiclo,InicioCiclo,$S192+MOD(2-WEEKDAY($S192),7))+13),1,IF(ISNUMBER($J192),$J192,$Y192)))</f>
        <v/>
      </c>
      <c r="AA192" s="62">
        <f>IF($V192="","",IF(AND(ISNUMBER($G192),$G192&lt;=IF($S192=MesCiclo,InicioCiclo,$S192+MOD(2-WEEKDAY($S192),7))+20),1,IF(ISNUMBER($K192),$K192,$Z192)))</f>
        <v/>
      </c>
      <c r="AB192" s="62">
        <f>IF($V192="","",IF(AND(ISNUMBER($G192),$G192&lt;=IF($S192=MesCiclo,InicioCiclo,$S192+MOD(2-WEEKDAY($S192),7))+27),1,IF(ISNUMBER($L192),$L192,$AA192)))</f>
        <v/>
      </c>
      <c r="AC192" s="62">
        <f>IF($V192="","",IF(AND(ISNUMBER($G192),$G192&lt;=IF($S192=MesCiclo,InicioCiclo,$S192+MOD(2-WEEKDAY($S192),7))+6),1,IF(N($W192)&gt;0,AVERAGEIFS($Y$5:$Y$1000,$U$5:$U$1000,ROW(),$V$5:$V$1000,"Sub"),$Y192)))</f>
        <v/>
      </c>
      <c r="AD192" s="62">
        <f>IF($V192="","",IF(AND(ISNUMBER($G192),$G192&lt;=IF($S192=MesCiclo,InicioCiclo,$S192+MOD(2-WEEKDAY($S192),7))+13),1,IF(N($W192)&gt;0,AVERAGEIFS($Z$5:$Z$1000,$U$5:$U$1000,ROW(),$V$5:$V$1000,"Sub"),$Z192)))</f>
        <v/>
      </c>
      <c r="AE192" s="62">
        <f>IF($V192="","",IF(AND(ISNUMBER($G192),$G192&lt;=IF($S192=MesCiclo,InicioCiclo,$S192+MOD(2-WEEKDAY($S192),7))+20),1,IF(N($W192)&gt;0,AVERAGEIFS($AA$5:$AA$1000,$U$5:$U$1000,ROW(),$V$5:$V$1000,"Sub"),$AA192)))</f>
        <v/>
      </c>
      <c r="AF192" s="62">
        <f>IF($V192="","",IF(AND(ISNUMBER($G192),$G192&lt;=IF($S192=MesCiclo,InicioCiclo,$S192+MOD(2-WEEKDAY($S192),7))+27),1,IF(N($W192)&gt;0,AVERAGEIFS($AB$5:$AB$1000,$U$5:$U$1000,ROW(),$V$5:$V$1000,"Sub"),$AB192)))</f>
        <v/>
      </c>
      <c r="AG192" s="62">
        <f>IF($V192&lt;&gt;"Macro","",IF(COUNTIFS($S$5:$S$1000,$S192,$V$5:$V$1000,"Macro",$H$5:$H$1000,"&gt;0")=0,1/COUNTIFS($S$5:$S$1000,$S192,$V$5:$V$1000,"Macro"),IF(AND(ISNUMBER($H192),N($H192)&gt;0),$H192,SUMIFS($H$5:$H$1000,$S$5:$S$1000,$S192,$V$5:$V$1000,"Macro")/COUNTIFS($S$5:$S$1000,$S192,$V$5:$V$1000,"Macro",$H$5:$H$1000,"&gt;0"))/(COUNTIFS($S$5:$S$1000,$S192,$V$5:$V$1000,"Macro")*SUMIFS($H$5:$H$1000,$S$5:$S$1000,$S192,$V$5:$V$1000,"Macro")/COUNTIFS($S$5:$S$1000,$S192,$V$5:$V$1000,"Macro",$H$5:$H$1000,"&gt;0"))))</f>
        <v/>
      </c>
      <c r="AH192" s="62">
        <f>IF(NOT(AND($D192&lt;&gt;"",$V192="Macro")),"",IFERROR(CHOOSE(MATCH($D192,ListaPuestos,0),MATCH("[Jefatura] "&amp;$C192,'Cronograma R. Operacional'!$C$5:$C$1000,0),MATCH("[Jefatura] "&amp;$C192,'Cronograma R. Normativo'!$C$5:$C$1000,0),MATCH("[Jefatura] "&amp;$C192,'Cronograma R. Financiero'!$C$5:$C$1000,0),MATCH("[Jefatura] "&amp;$C192,'Cronograma Asistente Técnico'!$C$5:$C$1000,0)),0))</f>
        <v/>
      </c>
      <c r="AI192" s="62">
        <f>IF(AND(AND($D192&lt;&gt;"",$V192="Macro"),$S192=MesCiclo),COUNTIFS($D$5:$D192,$D192,$S$5:$S192,MesCiclo,$V$5:$V192,"Macro"),"")</f>
        <v/>
      </c>
      <c r="AJ192" s="62">
        <f>IF($AI192="","",$D192&amp;"|"&amp;$AI192)</f>
        <v/>
      </c>
      <c r="AK192" s="62">
        <f>IF(AND($D192&lt;&gt;"",$V192="Macro"),$D192&amp;"|"&amp;$C192,"")</f>
        <v/>
      </c>
      <c r="AL192" s="62">
        <f>""</f>
        <v/>
      </c>
      <c r="AM192" s="62">
        <f>IF(N($AL192)&gt;0,INDEX(rIni_ADM,$AL192),IF(ISNUMBER($E192),$E192,""))</f>
        <v/>
      </c>
      <c r="AN192" s="62">
        <f>IF(N($AL192)&gt;0,INDEX(rLim_ADM,$AL192),IF(ISNUMBER($F192),$F192,""))</f>
        <v/>
      </c>
    </row>
    <row r="193">
      <c r="A193" s="56">
        <f>IF(NOT((COUNTA($B193:$D193)+COUNTA($G193:$L193)+COUNTA($Q193))&gt;0),"",IF($V193="Macro",COUNTIFS($V$5:$V193,"Macro",$S$5:$S193,$S193),IF(N($U193)=0,"?",COUNTIFS(INDEX($V$5:$V$1000,1):INDEX($V$5:$V$1000,$U193-4),"Macro",INDEX($S$5:$S$1000,1):INDEX($S$5:$S$1000,$U193-4),INDEX($S$5:$S$1000,$U193-4))&amp;"."&amp;COUNTIFS($U$5:$U193,$U193,$V$5:$V193,"Sub"))))</f>
        <v/>
      </c>
      <c r="B193" s="57" t="n"/>
      <c r="C193" s="58" t="n"/>
      <c r="D193" s="58" t="n"/>
      <c r="E193" s="59" t="n"/>
      <c r="F193" s="59" t="n"/>
      <c r="G193" s="59" t="n"/>
      <c r="H193" s="60" t="n"/>
      <c r="I193" s="60" t="n"/>
      <c r="J193" s="60" t="n"/>
      <c r="K193" s="60" t="n"/>
      <c r="L193" s="60" t="n"/>
      <c r="M193" s="61">
        <f>IF(NOT((COUNTA($B193:$D193)+COUNTA($G193:$L193)+COUNTA($Q193))&gt;0),"",IF(AND($D193&lt;&gt;"",$V193="Macro"),IF(N($AH193)&gt;0,N(CHOOSE(MATCH($D193,ListaPuestos,0),INDEX('Cronograma R. Operacional'!$M$5:$M$1000,$AH193),INDEX('Cronograma R. Normativo'!$M$5:$M$1000,$AH193),INDEX('Cronograma R. Financiero'!$M$5:$M$1000,$AH193),INDEX('Cronograma Asistente Técnico'!$M$5:$M$1000,$AH193))),0),IF(ISNUMBER($G193),1,IF(N($W193)&gt;0,AVERAGEIFS($X$5:$X$1000,$U$5:$U$1000,ROW(),$V$5:$V$1000,"Sub"),$X193))))</f>
        <v/>
      </c>
      <c r="N193" s="56">
        <f>IF($M193="","",IF($M193&gt;=1,"Completado",IF($M193&gt;0,"En curso","Pendiente")))</f>
        <v/>
      </c>
      <c r="O193" s="56">
        <f>IF(NOT((COUNTA($B193:$D193)+COUNTA($G193:$L193)+COUNTA($Q193))&gt;0),"",IF(AND(AND($D193&lt;&gt;"",$V193="Macro"),N($AH193)&gt;0),CHOOSE(MATCH($D193,ListaPuestos,0),INDEX('Cronograma R. Operacional'!$O$5:$O$1000,$AH193),INDEX('Cronograma R. Normativo'!$O$5:$O$1000,$AH193),INDEX('Cronograma R. Financiero'!$O$5:$O$1000,$AH193),INDEX('Cronograma Asistente Técnico'!$O$5:$O$1000,$AH193))&amp;"",IF(ISNUMBER($G193),IF(AND(ISNUMBER($AN193),$G193&gt;$AN193),"Cumplida con "&amp;($G193-$AN193)&amp;IF($G193-$AN193=1," día"," días")&amp;" de retraso","Cumplida"),IF(N($M193)&gt;=1,"Cumplida",IF(NOT(ISNUMBER($AN193)),"Sin fecha límite",IF($AN193&lt;FechaRef,"Vencida hace "&amp;(FechaRef-$AN193)&amp;IF(FechaRef-$AN193=1," día"," días"),IF($AN193=FechaRef,"Vence hoy",IF($AN193-FechaRef&lt;=DiasAlerta,"Vence en "&amp;($AN193-FechaRef)&amp;IF($AN193-FechaRef=1," día"," días"),"En plazo"))))))))</f>
        <v/>
      </c>
      <c r="P193" s="62">
        <f>IF(NOT((COUNTA($B193:$D193)+COUNTA($G193:$L193)+COUNTA($Q193))&gt;0),"",IF($D193="","Propia",IF($V193&lt;&gt;"Macro","Solo se delegan macroactividades",IF(N($AH193)&gt;0,"✔ Recibida por "&amp;$D193,"⚠ "&amp;$D193&amp;" aún no la agrega"))))</f>
        <v/>
      </c>
      <c r="Q193" s="58" t="n"/>
      <c r="R193" s="63">
        <f>IF(NOT((COUNTA($B193:$D193)+COUNTA($G193:$L193)+COUNTA($Q193))&gt;0),"",IF((IF($C193="","Falta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",""))="","✔ OK","⚠ "&amp;LEFT(IF($C193="","Falta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",""),LEN(IF($C193="","Falta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",""))-3)))</f>
        <v/>
      </c>
      <c r="S193" s="64">
        <f>IF(NOT((COUNTA($B193:$D193)+COUNTA($G193:$L193)+COUNTA($Q193))&gt;0),"",IF(AND($V193="Sub",N($U193)&gt;0),IF(ISNUMBER(INDEX($AM$5:$AM$1000,$U193-4)),DATE(YEAR(INDEX($AM$5:$AM$1000,$U193-4)),MONTH(INDEX($AM$5:$AM$1000,$U193-4)),1),IF(ISNUMBER(INDEX($AN$5:$AN$1000,$U193-4)),DATE(YEAR(INDEX($AN$5:$AN$1000,$U193-4)),MONTH(INDEX($AN$5:$AN$1000,$U193-4)),1),MesCiclo)),IF(ISNUMBER($AM193),DATE(YEAR($AM193),MONTH($AM193),1),IF(ISNUMBER($AN193),DATE(YEAR($AN193),MONTH($AN193),1),MesCiclo))))</f>
        <v/>
      </c>
      <c r="T193" s="62">
        <f>IF(OR($S193="",$S193&lt;&gt;MesCiclo),"",COUNTIF($S$5:$S193,MesCiclo))</f>
        <v/>
      </c>
      <c r="U193" s="62">
        <f>IF($V193="","",IF($V193="Macro",ROW(),IFERROR(LOOKUP(2,1/($V$5:$V193="Macro"),ROW($V$5:$V193)),0)))</f>
        <v/>
      </c>
      <c r="V193" s="62">
        <f>IF(NOT((COUNTA($B193:$D193)+COUNTA($G193:$L193)+COUNTA($Q193))&gt;0),"",IF($B193="Subactividad","Sub","Macro"))</f>
        <v/>
      </c>
      <c r="W193" s="62">
        <f>IF($V193="Macro",COUNTIFS($U$5:$U$1000,ROW(),$V$5:$V$1000,"Sub"),"")</f>
        <v/>
      </c>
      <c r="X193" s="62">
        <f>IF($V193="","",IF(ISNUMBER($G193),1,IFERROR(LOOKUP(2,1/($I193:$L193&lt;&gt;""),$I193:$L193),0)))</f>
        <v/>
      </c>
      <c r="Y193" s="62">
        <f>IF($V193="","",IF(AND(ISNUMBER($G193),$G193&lt;=IF($S193=MesCiclo,InicioCiclo,$S193+MOD(2-WEEKDAY($S193),7))+6),1,IF(ISNUMBER($I193),$I193,0)))</f>
        <v/>
      </c>
      <c r="Z193" s="62">
        <f>IF($V193="","",IF(AND(ISNUMBER($G193),$G193&lt;=IF($S193=MesCiclo,InicioCiclo,$S193+MOD(2-WEEKDAY($S193),7))+13),1,IF(ISNUMBER($J193),$J193,$Y193)))</f>
        <v/>
      </c>
      <c r="AA193" s="62">
        <f>IF($V193="","",IF(AND(ISNUMBER($G193),$G193&lt;=IF($S193=MesCiclo,InicioCiclo,$S193+MOD(2-WEEKDAY($S193),7))+20),1,IF(ISNUMBER($K193),$K193,$Z193)))</f>
        <v/>
      </c>
      <c r="AB193" s="62">
        <f>IF($V193="","",IF(AND(ISNUMBER($G193),$G193&lt;=IF($S193=MesCiclo,InicioCiclo,$S193+MOD(2-WEEKDAY($S193),7))+27),1,IF(ISNUMBER($L193),$L193,$AA193)))</f>
        <v/>
      </c>
      <c r="AC193" s="62">
        <f>IF($V193="","",IF(AND(ISNUMBER($G193),$G193&lt;=IF($S193=MesCiclo,InicioCiclo,$S193+MOD(2-WEEKDAY($S193),7))+6),1,IF(N($W193)&gt;0,AVERAGEIFS($Y$5:$Y$1000,$U$5:$U$1000,ROW(),$V$5:$V$1000,"Sub"),$Y193)))</f>
        <v/>
      </c>
      <c r="AD193" s="62">
        <f>IF($V193="","",IF(AND(ISNUMBER($G193),$G193&lt;=IF($S193=MesCiclo,InicioCiclo,$S193+MOD(2-WEEKDAY($S193),7))+13),1,IF(N($W193)&gt;0,AVERAGEIFS($Z$5:$Z$1000,$U$5:$U$1000,ROW(),$V$5:$V$1000,"Sub"),$Z193)))</f>
        <v/>
      </c>
      <c r="AE193" s="62">
        <f>IF($V193="","",IF(AND(ISNUMBER($G193),$G193&lt;=IF($S193=MesCiclo,InicioCiclo,$S193+MOD(2-WEEKDAY($S193),7))+20),1,IF(N($W193)&gt;0,AVERAGEIFS($AA$5:$AA$1000,$U$5:$U$1000,ROW(),$V$5:$V$1000,"Sub"),$AA193)))</f>
        <v/>
      </c>
      <c r="AF193" s="62">
        <f>IF($V193="","",IF(AND(ISNUMBER($G193),$G193&lt;=IF($S193=MesCiclo,InicioCiclo,$S193+MOD(2-WEEKDAY($S193),7))+27),1,IF(N($W193)&gt;0,AVERAGEIFS($AB$5:$AB$1000,$U$5:$U$1000,ROW(),$V$5:$V$1000,"Sub"),$AB193)))</f>
        <v/>
      </c>
      <c r="AG193" s="62">
        <f>IF($V193&lt;&gt;"Macro","",IF(COUNTIFS($S$5:$S$1000,$S193,$V$5:$V$1000,"Macro",$H$5:$H$1000,"&gt;0")=0,1/COUNTIFS($S$5:$S$1000,$S193,$V$5:$V$1000,"Macro"),IF(AND(ISNUMBER($H193),N($H193)&gt;0),$H193,SUMIFS($H$5:$H$1000,$S$5:$S$1000,$S193,$V$5:$V$1000,"Macro")/COUNTIFS($S$5:$S$1000,$S193,$V$5:$V$1000,"Macro",$H$5:$H$1000,"&gt;0"))/(COUNTIFS($S$5:$S$1000,$S193,$V$5:$V$1000,"Macro")*SUMIFS($H$5:$H$1000,$S$5:$S$1000,$S193,$V$5:$V$1000,"Macro")/COUNTIFS($S$5:$S$1000,$S193,$V$5:$V$1000,"Macro",$H$5:$H$1000,"&gt;0"))))</f>
        <v/>
      </c>
      <c r="AH193" s="62">
        <f>IF(NOT(AND($D193&lt;&gt;"",$V193="Macro")),"",IFERROR(CHOOSE(MATCH($D193,ListaPuestos,0),MATCH("[Jefatura] "&amp;$C193,'Cronograma R. Operacional'!$C$5:$C$1000,0),MATCH("[Jefatura] "&amp;$C193,'Cronograma R. Normativo'!$C$5:$C$1000,0),MATCH("[Jefatura] "&amp;$C193,'Cronograma R. Financiero'!$C$5:$C$1000,0),MATCH("[Jefatura] "&amp;$C193,'Cronograma Asistente Técnico'!$C$5:$C$1000,0)),0))</f>
        <v/>
      </c>
      <c r="AI193" s="62">
        <f>IF(AND(AND($D193&lt;&gt;"",$V193="Macro"),$S193=MesCiclo),COUNTIFS($D$5:$D193,$D193,$S$5:$S193,MesCiclo,$V$5:$V193,"Macro"),"")</f>
        <v/>
      </c>
      <c r="AJ193" s="62">
        <f>IF($AI193="","",$D193&amp;"|"&amp;$AI193)</f>
        <v/>
      </c>
      <c r="AK193" s="62">
        <f>IF(AND($D193&lt;&gt;"",$V193="Macro"),$D193&amp;"|"&amp;$C193,"")</f>
        <v/>
      </c>
      <c r="AL193" s="62">
        <f>""</f>
        <v/>
      </c>
      <c r="AM193" s="62">
        <f>IF(N($AL193)&gt;0,INDEX(rIni_ADM,$AL193),IF(ISNUMBER($E193),$E193,""))</f>
        <v/>
      </c>
      <c r="AN193" s="62">
        <f>IF(N($AL193)&gt;0,INDEX(rLim_ADM,$AL193),IF(ISNUMBER($F193),$F193,""))</f>
        <v/>
      </c>
    </row>
    <row r="194">
      <c r="A194" s="56">
        <f>IF(NOT((COUNTA($B194:$D194)+COUNTA($G194:$L194)+COUNTA($Q194))&gt;0),"",IF($V194="Macro",COUNTIFS($V$5:$V194,"Macro",$S$5:$S194,$S194),IF(N($U194)=0,"?",COUNTIFS(INDEX($V$5:$V$1000,1):INDEX($V$5:$V$1000,$U194-4),"Macro",INDEX($S$5:$S$1000,1):INDEX($S$5:$S$1000,$U194-4),INDEX($S$5:$S$1000,$U194-4))&amp;"."&amp;COUNTIFS($U$5:$U194,$U194,$V$5:$V194,"Sub"))))</f>
        <v/>
      </c>
      <c r="B194" s="57" t="n"/>
      <c r="C194" s="58" t="n"/>
      <c r="D194" s="58" t="n"/>
      <c r="E194" s="59" t="n"/>
      <c r="F194" s="59" t="n"/>
      <c r="G194" s="59" t="n"/>
      <c r="H194" s="60" t="n"/>
      <c r="I194" s="60" t="n"/>
      <c r="J194" s="60" t="n"/>
      <c r="K194" s="60" t="n"/>
      <c r="L194" s="60" t="n"/>
      <c r="M194" s="61">
        <f>IF(NOT((COUNTA($B194:$D194)+COUNTA($G194:$L194)+COUNTA($Q194))&gt;0),"",IF(AND($D194&lt;&gt;"",$V194="Macro"),IF(N($AH194)&gt;0,N(CHOOSE(MATCH($D194,ListaPuestos,0),INDEX('Cronograma R. Operacional'!$M$5:$M$1000,$AH194),INDEX('Cronograma R. Normativo'!$M$5:$M$1000,$AH194),INDEX('Cronograma R. Financiero'!$M$5:$M$1000,$AH194),INDEX('Cronograma Asistente Técnico'!$M$5:$M$1000,$AH194))),0),IF(ISNUMBER($G194),1,IF(N($W194)&gt;0,AVERAGEIFS($X$5:$X$1000,$U$5:$U$1000,ROW(),$V$5:$V$1000,"Sub"),$X194))))</f>
        <v/>
      </c>
      <c r="N194" s="56">
        <f>IF($M194="","",IF($M194&gt;=1,"Completado",IF($M194&gt;0,"En curso","Pendiente")))</f>
        <v/>
      </c>
      <c r="O194" s="56">
        <f>IF(NOT((COUNTA($B194:$D194)+COUNTA($G194:$L194)+COUNTA($Q194))&gt;0),"",IF(AND(AND($D194&lt;&gt;"",$V194="Macro"),N($AH194)&gt;0),CHOOSE(MATCH($D194,ListaPuestos,0),INDEX('Cronograma R. Operacional'!$O$5:$O$1000,$AH194),INDEX('Cronograma R. Normativo'!$O$5:$O$1000,$AH194),INDEX('Cronograma R. Financiero'!$O$5:$O$1000,$AH194),INDEX('Cronograma Asistente Técnico'!$O$5:$O$1000,$AH194))&amp;"",IF(ISNUMBER($G194),IF(AND(ISNUMBER($AN194),$G194&gt;$AN194),"Cumplida con "&amp;($G194-$AN194)&amp;IF($G194-$AN194=1," día"," días")&amp;" de retraso","Cumplida"),IF(N($M194)&gt;=1,"Cumplida",IF(NOT(ISNUMBER($AN194)),"Sin fecha límite",IF($AN194&lt;FechaRef,"Vencida hace "&amp;(FechaRef-$AN194)&amp;IF(FechaRef-$AN194=1," día"," días"),IF($AN194=FechaRef,"Vence hoy",IF($AN194-FechaRef&lt;=DiasAlerta,"Vence en "&amp;($AN194-FechaRef)&amp;IF($AN194-FechaRef=1," día"," días"),"En plazo"))))))))</f>
        <v/>
      </c>
      <c r="P194" s="62">
        <f>IF(NOT((COUNTA($B194:$D194)+COUNTA($G194:$L194)+COUNTA($Q194))&gt;0),"",IF($D194="","Propia",IF($V194&lt;&gt;"Macro","Solo se delegan macroactividades",IF(N($AH194)&gt;0,"✔ Recibida por "&amp;$D194,"⚠ "&amp;$D194&amp;" aún no la agrega"))))</f>
        <v/>
      </c>
      <c r="Q194" s="58" t="n"/>
      <c r="R194" s="63">
        <f>IF(NOT((COUNTA($B194:$D194)+COUNTA($G194:$L194)+COUNTA($Q194))&gt;0),"",IF((IF($C194="","Falta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",""))="","✔ OK","⚠ "&amp;LEFT(IF($C194="","Falta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",""),LEN(IF($C194="","Falta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",""))-3)))</f>
        <v/>
      </c>
      <c r="S194" s="64">
        <f>IF(NOT((COUNTA($B194:$D194)+COUNTA($G194:$L194)+COUNTA($Q194))&gt;0),"",IF(AND($V194="Sub",N($U194)&gt;0),IF(ISNUMBER(INDEX($AM$5:$AM$1000,$U194-4)),DATE(YEAR(INDEX($AM$5:$AM$1000,$U194-4)),MONTH(INDEX($AM$5:$AM$1000,$U194-4)),1),IF(ISNUMBER(INDEX($AN$5:$AN$1000,$U194-4)),DATE(YEAR(INDEX($AN$5:$AN$1000,$U194-4)),MONTH(INDEX($AN$5:$AN$1000,$U194-4)),1),MesCiclo)),IF(ISNUMBER($AM194),DATE(YEAR($AM194),MONTH($AM194),1),IF(ISNUMBER($AN194),DATE(YEAR($AN194),MONTH($AN194),1),MesCiclo))))</f>
        <v/>
      </c>
      <c r="T194" s="62">
        <f>IF(OR($S194="",$S194&lt;&gt;MesCiclo),"",COUNTIF($S$5:$S194,MesCiclo))</f>
        <v/>
      </c>
      <c r="U194" s="62">
        <f>IF($V194="","",IF($V194="Macro",ROW(),IFERROR(LOOKUP(2,1/($V$5:$V194="Macro"),ROW($V$5:$V194)),0)))</f>
        <v/>
      </c>
      <c r="V194" s="62">
        <f>IF(NOT((COUNTA($B194:$D194)+COUNTA($G194:$L194)+COUNTA($Q194))&gt;0),"",IF($B194="Subactividad","Sub","Macro"))</f>
        <v/>
      </c>
      <c r="W194" s="62">
        <f>IF($V194="Macro",COUNTIFS($U$5:$U$1000,ROW(),$V$5:$V$1000,"Sub"),"")</f>
        <v/>
      </c>
      <c r="X194" s="62">
        <f>IF($V194="","",IF(ISNUMBER($G194),1,IFERROR(LOOKUP(2,1/($I194:$L194&lt;&gt;""),$I194:$L194),0)))</f>
        <v/>
      </c>
      <c r="Y194" s="62">
        <f>IF($V194="","",IF(AND(ISNUMBER($G194),$G194&lt;=IF($S194=MesCiclo,InicioCiclo,$S194+MOD(2-WEEKDAY($S194),7))+6),1,IF(ISNUMBER($I194),$I194,0)))</f>
        <v/>
      </c>
      <c r="Z194" s="62">
        <f>IF($V194="","",IF(AND(ISNUMBER($G194),$G194&lt;=IF($S194=MesCiclo,InicioCiclo,$S194+MOD(2-WEEKDAY($S194),7))+13),1,IF(ISNUMBER($J194),$J194,$Y194)))</f>
        <v/>
      </c>
      <c r="AA194" s="62">
        <f>IF($V194="","",IF(AND(ISNUMBER($G194),$G194&lt;=IF($S194=MesCiclo,InicioCiclo,$S194+MOD(2-WEEKDAY($S194),7))+20),1,IF(ISNUMBER($K194),$K194,$Z194)))</f>
        <v/>
      </c>
      <c r="AB194" s="62">
        <f>IF($V194="","",IF(AND(ISNUMBER($G194),$G194&lt;=IF($S194=MesCiclo,InicioCiclo,$S194+MOD(2-WEEKDAY($S194),7))+27),1,IF(ISNUMBER($L194),$L194,$AA194)))</f>
        <v/>
      </c>
      <c r="AC194" s="62">
        <f>IF($V194="","",IF(AND(ISNUMBER($G194),$G194&lt;=IF($S194=MesCiclo,InicioCiclo,$S194+MOD(2-WEEKDAY($S194),7))+6),1,IF(N($W194)&gt;0,AVERAGEIFS($Y$5:$Y$1000,$U$5:$U$1000,ROW(),$V$5:$V$1000,"Sub"),$Y194)))</f>
        <v/>
      </c>
      <c r="AD194" s="62">
        <f>IF($V194="","",IF(AND(ISNUMBER($G194),$G194&lt;=IF($S194=MesCiclo,InicioCiclo,$S194+MOD(2-WEEKDAY($S194),7))+13),1,IF(N($W194)&gt;0,AVERAGEIFS($Z$5:$Z$1000,$U$5:$U$1000,ROW(),$V$5:$V$1000,"Sub"),$Z194)))</f>
        <v/>
      </c>
      <c r="AE194" s="62">
        <f>IF($V194="","",IF(AND(ISNUMBER($G194),$G194&lt;=IF($S194=MesCiclo,InicioCiclo,$S194+MOD(2-WEEKDAY($S194),7))+20),1,IF(N($W194)&gt;0,AVERAGEIFS($AA$5:$AA$1000,$U$5:$U$1000,ROW(),$V$5:$V$1000,"Sub"),$AA194)))</f>
        <v/>
      </c>
      <c r="AF194" s="62">
        <f>IF($V194="","",IF(AND(ISNUMBER($G194),$G194&lt;=IF($S194=MesCiclo,InicioCiclo,$S194+MOD(2-WEEKDAY($S194),7))+27),1,IF(N($W194)&gt;0,AVERAGEIFS($AB$5:$AB$1000,$U$5:$U$1000,ROW(),$V$5:$V$1000,"Sub"),$AB194)))</f>
        <v/>
      </c>
      <c r="AG194" s="62">
        <f>IF($V194&lt;&gt;"Macro","",IF(COUNTIFS($S$5:$S$1000,$S194,$V$5:$V$1000,"Macro",$H$5:$H$1000,"&gt;0")=0,1/COUNTIFS($S$5:$S$1000,$S194,$V$5:$V$1000,"Macro"),IF(AND(ISNUMBER($H194),N($H194)&gt;0),$H194,SUMIFS($H$5:$H$1000,$S$5:$S$1000,$S194,$V$5:$V$1000,"Macro")/COUNTIFS($S$5:$S$1000,$S194,$V$5:$V$1000,"Macro",$H$5:$H$1000,"&gt;0"))/(COUNTIFS($S$5:$S$1000,$S194,$V$5:$V$1000,"Macro")*SUMIFS($H$5:$H$1000,$S$5:$S$1000,$S194,$V$5:$V$1000,"Macro")/COUNTIFS($S$5:$S$1000,$S194,$V$5:$V$1000,"Macro",$H$5:$H$1000,"&gt;0"))))</f>
        <v/>
      </c>
      <c r="AH194" s="62">
        <f>IF(NOT(AND($D194&lt;&gt;"",$V194="Macro")),"",IFERROR(CHOOSE(MATCH($D194,ListaPuestos,0),MATCH("[Jefatura] "&amp;$C194,'Cronograma R. Operacional'!$C$5:$C$1000,0),MATCH("[Jefatura] "&amp;$C194,'Cronograma R. Normativo'!$C$5:$C$1000,0),MATCH("[Jefatura] "&amp;$C194,'Cronograma R. Financiero'!$C$5:$C$1000,0),MATCH("[Jefatura] "&amp;$C194,'Cronograma Asistente Técnico'!$C$5:$C$1000,0)),0))</f>
        <v/>
      </c>
      <c r="AI194" s="62">
        <f>IF(AND(AND($D194&lt;&gt;"",$V194="Macro"),$S194=MesCiclo),COUNTIFS($D$5:$D194,$D194,$S$5:$S194,MesCiclo,$V$5:$V194,"Macro"),"")</f>
        <v/>
      </c>
      <c r="AJ194" s="62">
        <f>IF($AI194="","",$D194&amp;"|"&amp;$AI194)</f>
        <v/>
      </c>
      <c r="AK194" s="62">
        <f>IF(AND($D194&lt;&gt;"",$V194="Macro"),$D194&amp;"|"&amp;$C194,"")</f>
        <v/>
      </c>
      <c r="AL194" s="62">
        <f>""</f>
        <v/>
      </c>
      <c r="AM194" s="62">
        <f>IF(N($AL194)&gt;0,INDEX(rIni_ADM,$AL194),IF(ISNUMBER($E194),$E194,""))</f>
        <v/>
      </c>
      <c r="AN194" s="62">
        <f>IF(N($AL194)&gt;0,INDEX(rLim_ADM,$AL194),IF(ISNUMBER($F194),$F194,""))</f>
        <v/>
      </c>
    </row>
    <row r="195">
      <c r="A195" s="56">
        <f>IF(NOT((COUNTA($B195:$D195)+COUNTA($G195:$L195)+COUNTA($Q195))&gt;0),"",IF($V195="Macro",COUNTIFS($V$5:$V195,"Macro",$S$5:$S195,$S195),IF(N($U195)=0,"?",COUNTIFS(INDEX($V$5:$V$1000,1):INDEX($V$5:$V$1000,$U195-4),"Macro",INDEX($S$5:$S$1000,1):INDEX($S$5:$S$1000,$U195-4),INDEX($S$5:$S$1000,$U195-4))&amp;"."&amp;COUNTIFS($U$5:$U195,$U195,$V$5:$V195,"Sub"))))</f>
        <v/>
      </c>
      <c r="B195" s="57" t="n"/>
      <c r="C195" s="58" t="n"/>
      <c r="D195" s="58" t="n"/>
      <c r="E195" s="59" t="n"/>
      <c r="F195" s="59" t="n"/>
      <c r="G195" s="59" t="n"/>
      <c r="H195" s="60" t="n"/>
      <c r="I195" s="60" t="n"/>
      <c r="J195" s="60" t="n"/>
      <c r="K195" s="60" t="n"/>
      <c r="L195" s="60" t="n"/>
      <c r="M195" s="61">
        <f>IF(NOT((COUNTA($B195:$D195)+COUNTA($G195:$L195)+COUNTA($Q195))&gt;0),"",IF(AND($D195&lt;&gt;"",$V195="Macro"),IF(N($AH195)&gt;0,N(CHOOSE(MATCH($D195,ListaPuestos,0),INDEX('Cronograma R. Operacional'!$M$5:$M$1000,$AH195),INDEX('Cronograma R. Normativo'!$M$5:$M$1000,$AH195),INDEX('Cronograma R. Financiero'!$M$5:$M$1000,$AH195),INDEX('Cronograma Asistente Técnico'!$M$5:$M$1000,$AH195))),0),IF(ISNUMBER($G195),1,IF(N($W195)&gt;0,AVERAGEIFS($X$5:$X$1000,$U$5:$U$1000,ROW(),$V$5:$V$1000,"Sub"),$X195))))</f>
        <v/>
      </c>
      <c r="N195" s="56">
        <f>IF($M195="","",IF($M195&gt;=1,"Completado",IF($M195&gt;0,"En curso","Pendiente")))</f>
        <v/>
      </c>
      <c r="O195" s="56">
        <f>IF(NOT((COUNTA($B195:$D195)+COUNTA($G195:$L195)+COUNTA($Q195))&gt;0),"",IF(AND(AND($D195&lt;&gt;"",$V195="Macro"),N($AH195)&gt;0),CHOOSE(MATCH($D195,ListaPuestos,0),INDEX('Cronograma R. Operacional'!$O$5:$O$1000,$AH195),INDEX('Cronograma R. Normativo'!$O$5:$O$1000,$AH195),INDEX('Cronograma R. Financiero'!$O$5:$O$1000,$AH195),INDEX('Cronograma Asistente Técnico'!$O$5:$O$1000,$AH195))&amp;"",IF(ISNUMBER($G195),IF(AND(ISNUMBER($AN195),$G195&gt;$AN195),"Cumplida con "&amp;($G195-$AN195)&amp;IF($G195-$AN195=1," día"," días")&amp;" de retraso","Cumplida"),IF(N($M195)&gt;=1,"Cumplida",IF(NOT(ISNUMBER($AN195)),"Sin fecha límite",IF($AN195&lt;FechaRef,"Vencida hace "&amp;(FechaRef-$AN195)&amp;IF(FechaRef-$AN195=1," día"," días"),IF($AN195=FechaRef,"Vence hoy",IF($AN195-FechaRef&lt;=DiasAlerta,"Vence en "&amp;($AN195-FechaRef)&amp;IF($AN195-FechaRef=1," día"," días"),"En plazo"))))))))</f>
        <v/>
      </c>
      <c r="P195" s="62">
        <f>IF(NOT((COUNTA($B195:$D195)+COUNTA($G195:$L195)+COUNTA($Q195))&gt;0),"",IF($D195="","Propia",IF($V195&lt;&gt;"Macro","Solo se delegan macroactividades",IF(N($AH195)&gt;0,"✔ Recibida por "&amp;$D195,"⚠ "&amp;$D195&amp;" aún no la agrega"))))</f>
        <v/>
      </c>
      <c r="Q195" s="58" t="n"/>
      <c r="R195" s="63">
        <f>IF(NOT((COUNTA($B195:$D195)+COUNTA($G195:$L195)+COUNTA($Q195))&gt;0),"",IF((IF($C195="","Falta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",""))="","✔ OK","⚠ "&amp;LEFT(IF($C195="","Falta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",""),LEN(IF($C195="","Falta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",""))-3)))</f>
        <v/>
      </c>
      <c r="S195" s="64">
        <f>IF(NOT((COUNTA($B195:$D195)+COUNTA($G195:$L195)+COUNTA($Q195))&gt;0),"",IF(AND($V195="Sub",N($U195)&gt;0),IF(ISNUMBER(INDEX($AM$5:$AM$1000,$U195-4)),DATE(YEAR(INDEX($AM$5:$AM$1000,$U195-4)),MONTH(INDEX($AM$5:$AM$1000,$U195-4)),1),IF(ISNUMBER(INDEX($AN$5:$AN$1000,$U195-4)),DATE(YEAR(INDEX($AN$5:$AN$1000,$U195-4)),MONTH(INDEX($AN$5:$AN$1000,$U195-4)),1),MesCiclo)),IF(ISNUMBER($AM195),DATE(YEAR($AM195),MONTH($AM195),1),IF(ISNUMBER($AN195),DATE(YEAR($AN195),MONTH($AN195),1),MesCiclo))))</f>
        <v/>
      </c>
      <c r="T195" s="62">
        <f>IF(OR($S195="",$S195&lt;&gt;MesCiclo),"",COUNTIF($S$5:$S195,MesCiclo))</f>
        <v/>
      </c>
      <c r="U195" s="62">
        <f>IF($V195="","",IF($V195="Macro",ROW(),IFERROR(LOOKUP(2,1/($V$5:$V195="Macro"),ROW($V$5:$V195)),0)))</f>
        <v/>
      </c>
      <c r="V195" s="62">
        <f>IF(NOT((COUNTA($B195:$D195)+COUNTA($G195:$L195)+COUNTA($Q195))&gt;0),"",IF($B195="Subactividad","Sub","Macro"))</f>
        <v/>
      </c>
      <c r="W195" s="62">
        <f>IF($V195="Macro",COUNTIFS($U$5:$U$1000,ROW(),$V$5:$V$1000,"Sub"),"")</f>
        <v/>
      </c>
      <c r="X195" s="62">
        <f>IF($V195="","",IF(ISNUMBER($G195),1,IFERROR(LOOKUP(2,1/($I195:$L195&lt;&gt;""),$I195:$L195),0)))</f>
        <v/>
      </c>
      <c r="Y195" s="62">
        <f>IF($V195="","",IF(AND(ISNUMBER($G195),$G195&lt;=IF($S195=MesCiclo,InicioCiclo,$S195+MOD(2-WEEKDAY($S195),7))+6),1,IF(ISNUMBER($I195),$I195,0)))</f>
        <v/>
      </c>
      <c r="Z195" s="62">
        <f>IF($V195="","",IF(AND(ISNUMBER($G195),$G195&lt;=IF($S195=MesCiclo,InicioCiclo,$S195+MOD(2-WEEKDAY($S195),7))+13),1,IF(ISNUMBER($J195),$J195,$Y195)))</f>
        <v/>
      </c>
      <c r="AA195" s="62">
        <f>IF($V195="","",IF(AND(ISNUMBER($G195),$G195&lt;=IF($S195=MesCiclo,InicioCiclo,$S195+MOD(2-WEEKDAY($S195),7))+20),1,IF(ISNUMBER($K195),$K195,$Z195)))</f>
        <v/>
      </c>
      <c r="AB195" s="62">
        <f>IF($V195="","",IF(AND(ISNUMBER($G195),$G195&lt;=IF($S195=MesCiclo,InicioCiclo,$S195+MOD(2-WEEKDAY($S195),7))+27),1,IF(ISNUMBER($L195),$L195,$AA195)))</f>
        <v/>
      </c>
      <c r="AC195" s="62">
        <f>IF($V195="","",IF(AND(ISNUMBER($G195),$G195&lt;=IF($S195=MesCiclo,InicioCiclo,$S195+MOD(2-WEEKDAY($S195),7))+6),1,IF(N($W195)&gt;0,AVERAGEIFS($Y$5:$Y$1000,$U$5:$U$1000,ROW(),$V$5:$V$1000,"Sub"),$Y195)))</f>
        <v/>
      </c>
      <c r="AD195" s="62">
        <f>IF($V195="","",IF(AND(ISNUMBER($G195),$G195&lt;=IF($S195=MesCiclo,InicioCiclo,$S195+MOD(2-WEEKDAY($S195),7))+13),1,IF(N($W195)&gt;0,AVERAGEIFS($Z$5:$Z$1000,$U$5:$U$1000,ROW(),$V$5:$V$1000,"Sub"),$Z195)))</f>
        <v/>
      </c>
      <c r="AE195" s="62">
        <f>IF($V195="","",IF(AND(ISNUMBER($G195),$G195&lt;=IF($S195=MesCiclo,InicioCiclo,$S195+MOD(2-WEEKDAY($S195),7))+20),1,IF(N($W195)&gt;0,AVERAGEIFS($AA$5:$AA$1000,$U$5:$U$1000,ROW(),$V$5:$V$1000,"Sub"),$AA195)))</f>
        <v/>
      </c>
      <c r="AF195" s="62">
        <f>IF($V195="","",IF(AND(ISNUMBER($G195),$G195&lt;=IF($S195=MesCiclo,InicioCiclo,$S195+MOD(2-WEEKDAY($S195),7))+27),1,IF(N($W195)&gt;0,AVERAGEIFS($AB$5:$AB$1000,$U$5:$U$1000,ROW(),$V$5:$V$1000,"Sub"),$AB195)))</f>
        <v/>
      </c>
      <c r="AG195" s="62">
        <f>IF($V195&lt;&gt;"Macro","",IF(COUNTIFS($S$5:$S$1000,$S195,$V$5:$V$1000,"Macro",$H$5:$H$1000,"&gt;0")=0,1/COUNTIFS($S$5:$S$1000,$S195,$V$5:$V$1000,"Macro"),IF(AND(ISNUMBER($H195),N($H195)&gt;0),$H195,SUMIFS($H$5:$H$1000,$S$5:$S$1000,$S195,$V$5:$V$1000,"Macro")/COUNTIFS($S$5:$S$1000,$S195,$V$5:$V$1000,"Macro",$H$5:$H$1000,"&gt;0"))/(COUNTIFS($S$5:$S$1000,$S195,$V$5:$V$1000,"Macro")*SUMIFS($H$5:$H$1000,$S$5:$S$1000,$S195,$V$5:$V$1000,"Macro")/COUNTIFS($S$5:$S$1000,$S195,$V$5:$V$1000,"Macro",$H$5:$H$1000,"&gt;0"))))</f>
        <v/>
      </c>
      <c r="AH195" s="62">
        <f>IF(NOT(AND($D195&lt;&gt;"",$V195="Macro")),"",IFERROR(CHOOSE(MATCH($D195,ListaPuestos,0),MATCH("[Jefatura] "&amp;$C195,'Cronograma R. Operacional'!$C$5:$C$1000,0),MATCH("[Jefatura] "&amp;$C195,'Cronograma R. Normativo'!$C$5:$C$1000,0),MATCH("[Jefatura] "&amp;$C195,'Cronograma R. Financiero'!$C$5:$C$1000,0),MATCH("[Jefatura] "&amp;$C195,'Cronograma Asistente Técnico'!$C$5:$C$1000,0)),0))</f>
        <v/>
      </c>
      <c r="AI195" s="62">
        <f>IF(AND(AND($D195&lt;&gt;"",$V195="Macro"),$S195=MesCiclo),COUNTIFS($D$5:$D195,$D195,$S$5:$S195,MesCiclo,$V$5:$V195,"Macro"),"")</f>
        <v/>
      </c>
      <c r="AJ195" s="62">
        <f>IF($AI195="","",$D195&amp;"|"&amp;$AI195)</f>
        <v/>
      </c>
      <c r="AK195" s="62">
        <f>IF(AND($D195&lt;&gt;"",$V195="Macro"),$D195&amp;"|"&amp;$C195,"")</f>
        <v/>
      </c>
      <c r="AL195" s="62">
        <f>""</f>
        <v/>
      </c>
      <c r="AM195" s="62">
        <f>IF(N($AL195)&gt;0,INDEX(rIni_ADM,$AL195),IF(ISNUMBER($E195),$E195,""))</f>
        <v/>
      </c>
      <c r="AN195" s="62">
        <f>IF(N($AL195)&gt;0,INDEX(rLim_ADM,$AL195),IF(ISNUMBER($F195),$F195,""))</f>
        <v/>
      </c>
    </row>
    <row r="196">
      <c r="A196" s="56">
        <f>IF(NOT((COUNTA($B196:$D196)+COUNTA($G196:$L196)+COUNTA($Q196))&gt;0),"",IF($V196="Macro",COUNTIFS($V$5:$V196,"Macro",$S$5:$S196,$S196),IF(N($U196)=0,"?",COUNTIFS(INDEX($V$5:$V$1000,1):INDEX($V$5:$V$1000,$U196-4),"Macro",INDEX($S$5:$S$1000,1):INDEX($S$5:$S$1000,$U196-4),INDEX($S$5:$S$1000,$U196-4))&amp;"."&amp;COUNTIFS($U$5:$U196,$U196,$V$5:$V196,"Sub"))))</f>
        <v/>
      </c>
      <c r="B196" s="57" t="n"/>
      <c r="C196" s="58" t="n"/>
      <c r="D196" s="58" t="n"/>
      <c r="E196" s="59" t="n"/>
      <c r="F196" s="59" t="n"/>
      <c r="G196" s="59" t="n"/>
      <c r="H196" s="60" t="n"/>
      <c r="I196" s="60" t="n"/>
      <c r="J196" s="60" t="n"/>
      <c r="K196" s="60" t="n"/>
      <c r="L196" s="60" t="n"/>
      <c r="M196" s="61">
        <f>IF(NOT((COUNTA($B196:$D196)+COUNTA($G196:$L196)+COUNTA($Q196))&gt;0),"",IF(AND($D196&lt;&gt;"",$V196="Macro"),IF(N($AH196)&gt;0,N(CHOOSE(MATCH($D196,ListaPuestos,0),INDEX('Cronograma R. Operacional'!$M$5:$M$1000,$AH196),INDEX('Cronograma R. Normativo'!$M$5:$M$1000,$AH196),INDEX('Cronograma R. Financiero'!$M$5:$M$1000,$AH196),INDEX('Cronograma Asistente Técnico'!$M$5:$M$1000,$AH196))),0),IF(ISNUMBER($G196),1,IF(N($W196)&gt;0,AVERAGEIFS($X$5:$X$1000,$U$5:$U$1000,ROW(),$V$5:$V$1000,"Sub"),$X196))))</f>
        <v/>
      </c>
      <c r="N196" s="56">
        <f>IF($M196="","",IF($M196&gt;=1,"Completado",IF($M196&gt;0,"En curso","Pendiente")))</f>
        <v/>
      </c>
      <c r="O196" s="56">
        <f>IF(NOT((COUNTA($B196:$D196)+COUNTA($G196:$L196)+COUNTA($Q196))&gt;0),"",IF(AND(AND($D196&lt;&gt;"",$V196="Macro"),N($AH196)&gt;0),CHOOSE(MATCH($D196,ListaPuestos,0),INDEX('Cronograma R. Operacional'!$O$5:$O$1000,$AH196),INDEX('Cronograma R. Normativo'!$O$5:$O$1000,$AH196),INDEX('Cronograma R. Financiero'!$O$5:$O$1000,$AH196),INDEX('Cronograma Asistente Técnico'!$O$5:$O$1000,$AH196))&amp;"",IF(ISNUMBER($G196),IF(AND(ISNUMBER($AN196),$G196&gt;$AN196),"Cumplida con "&amp;($G196-$AN196)&amp;IF($G196-$AN196=1," día"," días")&amp;" de retraso","Cumplida"),IF(N($M196)&gt;=1,"Cumplida",IF(NOT(ISNUMBER($AN196)),"Sin fecha límite",IF($AN196&lt;FechaRef,"Vencida hace "&amp;(FechaRef-$AN196)&amp;IF(FechaRef-$AN196=1," día"," días"),IF($AN196=FechaRef,"Vence hoy",IF($AN196-FechaRef&lt;=DiasAlerta,"Vence en "&amp;($AN196-FechaRef)&amp;IF($AN196-FechaRef=1," día"," días"),"En plazo"))))))))</f>
        <v/>
      </c>
      <c r="P196" s="62">
        <f>IF(NOT((COUNTA($B196:$D196)+COUNTA($G196:$L196)+COUNTA($Q196))&gt;0),"",IF($D196="","Propia",IF($V196&lt;&gt;"Macro","Solo se delegan macroactividades",IF(N($AH196)&gt;0,"✔ Recibida por "&amp;$D196,"⚠ "&amp;$D196&amp;" aún no la agrega"))))</f>
        <v/>
      </c>
      <c r="Q196" s="58" t="n"/>
      <c r="R196" s="63">
        <f>IF(NOT((COUNTA($B196:$D196)+COUNTA($G196:$L196)+COUNTA($Q196))&gt;0),"",IF((IF($C196="","Falta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",""))="","✔ OK","⚠ "&amp;LEFT(IF($C196="","Falta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",""),LEN(IF($C196="","Falta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",""))-3)))</f>
        <v/>
      </c>
      <c r="S196" s="64">
        <f>IF(NOT((COUNTA($B196:$D196)+COUNTA($G196:$L196)+COUNTA($Q196))&gt;0),"",IF(AND($V196="Sub",N($U196)&gt;0),IF(ISNUMBER(INDEX($AM$5:$AM$1000,$U196-4)),DATE(YEAR(INDEX($AM$5:$AM$1000,$U196-4)),MONTH(INDEX($AM$5:$AM$1000,$U196-4)),1),IF(ISNUMBER(INDEX($AN$5:$AN$1000,$U196-4)),DATE(YEAR(INDEX($AN$5:$AN$1000,$U196-4)),MONTH(INDEX($AN$5:$AN$1000,$U196-4)),1),MesCiclo)),IF(ISNUMBER($AM196),DATE(YEAR($AM196),MONTH($AM196),1),IF(ISNUMBER($AN196),DATE(YEAR($AN196),MONTH($AN196),1),MesCiclo))))</f>
        <v/>
      </c>
      <c r="T196" s="62">
        <f>IF(OR($S196="",$S196&lt;&gt;MesCiclo),"",COUNTIF($S$5:$S196,MesCiclo))</f>
        <v/>
      </c>
      <c r="U196" s="62">
        <f>IF($V196="","",IF($V196="Macro",ROW(),IFERROR(LOOKUP(2,1/($V$5:$V196="Macro"),ROW($V$5:$V196)),0)))</f>
        <v/>
      </c>
      <c r="V196" s="62">
        <f>IF(NOT((COUNTA($B196:$D196)+COUNTA($G196:$L196)+COUNTA($Q196))&gt;0),"",IF($B196="Subactividad","Sub","Macro"))</f>
        <v/>
      </c>
      <c r="W196" s="62">
        <f>IF($V196="Macro",COUNTIFS($U$5:$U$1000,ROW(),$V$5:$V$1000,"Sub"),"")</f>
        <v/>
      </c>
      <c r="X196" s="62">
        <f>IF($V196="","",IF(ISNUMBER($G196),1,IFERROR(LOOKUP(2,1/($I196:$L196&lt;&gt;""),$I196:$L196),0)))</f>
        <v/>
      </c>
      <c r="Y196" s="62">
        <f>IF($V196="","",IF(AND(ISNUMBER($G196),$G196&lt;=IF($S196=MesCiclo,InicioCiclo,$S196+MOD(2-WEEKDAY($S196),7))+6),1,IF(ISNUMBER($I196),$I196,0)))</f>
        <v/>
      </c>
      <c r="Z196" s="62">
        <f>IF($V196="","",IF(AND(ISNUMBER($G196),$G196&lt;=IF($S196=MesCiclo,InicioCiclo,$S196+MOD(2-WEEKDAY($S196),7))+13),1,IF(ISNUMBER($J196),$J196,$Y196)))</f>
        <v/>
      </c>
      <c r="AA196" s="62">
        <f>IF($V196="","",IF(AND(ISNUMBER($G196),$G196&lt;=IF($S196=MesCiclo,InicioCiclo,$S196+MOD(2-WEEKDAY($S196),7))+20),1,IF(ISNUMBER($K196),$K196,$Z196)))</f>
        <v/>
      </c>
      <c r="AB196" s="62">
        <f>IF($V196="","",IF(AND(ISNUMBER($G196),$G196&lt;=IF($S196=MesCiclo,InicioCiclo,$S196+MOD(2-WEEKDAY($S196),7))+27),1,IF(ISNUMBER($L196),$L196,$AA196)))</f>
        <v/>
      </c>
      <c r="AC196" s="62">
        <f>IF($V196="","",IF(AND(ISNUMBER($G196),$G196&lt;=IF($S196=MesCiclo,InicioCiclo,$S196+MOD(2-WEEKDAY($S196),7))+6),1,IF(N($W196)&gt;0,AVERAGEIFS($Y$5:$Y$1000,$U$5:$U$1000,ROW(),$V$5:$V$1000,"Sub"),$Y196)))</f>
        <v/>
      </c>
      <c r="AD196" s="62">
        <f>IF($V196="","",IF(AND(ISNUMBER($G196),$G196&lt;=IF($S196=MesCiclo,InicioCiclo,$S196+MOD(2-WEEKDAY($S196),7))+13),1,IF(N($W196)&gt;0,AVERAGEIFS($Z$5:$Z$1000,$U$5:$U$1000,ROW(),$V$5:$V$1000,"Sub"),$Z196)))</f>
        <v/>
      </c>
      <c r="AE196" s="62">
        <f>IF($V196="","",IF(AND(ISNUMBER($G196),$G196&lt;=IF($S196=MesCiclo,InicioCiclo,$S196+MOD(2-WEEKDAY($S196),7))+20),1,IF(N($W196)&gt;0,AVERAGEIFS($AA$5:$AA$1000,$U$5:$U$1000,ROW(),$V$5:$V$1000,"Sub"),$AA196)))</f>
        <v/>
      </c>
      <c r="AF196" s="62">
        <f>IF($V196="","",IF(AND(ISNUMBER($G196),$G196&lt;=IF($S196=MesCiclo,InicioCiclo,$S196+MOD(2-WEEKDAY($S196),7))+27),1,IF(N($W196)&gt;0,AVERAGEIFS($AB$5:$AB$1000,$U$5:$U$1000,ROW(),$V$5:$V$1000,"Sub"),$AB196)))</f>
        <v/>
      </c>
      <c r="AG196" s="62">
        <f>IF($V196&lt;&gt;"Macro","",IF(COUNTIFS($S$5:$S$1000,$S196,$V$5:$V$1000,"Macro",$H$5:$H$1000,"&gt;0")=0,1/COUNTIFS($S$5:$S$1000,$S196,$V$5:$V$1000,"Macro"),IF(AND(ISNUMBER($H196),N($H196)&gt;0),$H196,SUMIFS($H$5:$H$1000,$S$5:$S$1000,$S196,$V$5:$V$1000,"Macro")/COUNTIFS($S$5:$S$1000,$S196,$V$5:$V$1000,"Macro",$H$5:$H$1000,"&gt;0"))/(COUNTIFS($S$5:$S$1000,$S196,$V$5:$V$1000,"Macro")*SUMIFS($H$5:$H$1000,$S$5:$S$1000,$S196,$V$5:$V$1000,"Macro")/COUNTIFS($S$5:$S$1000,$S196,$V$5:$V$1000,"Macro",$H$5:$H$1000,"&gt;0"))))</f>
        <v/>
      </c>
      <c r="AH196" s="62">
        <f>IF(NOT(AND($D196&lt;&gt;"",$V196="Macro")),"",IFERROR(CHOOSE(MATCH($D196,ListaPuestos,0),MATCH("[Jefatura] "&amp;$C196,'Cronograma R. Operacional'!$C$5:$C$1000,0),MATCH("[Jefatura] "&amp;$C196,'Cronograma R. Normativo'!$C$5:$C$1000,0),MATCH("[Jefatura] "&amp;$C196,'Cronograma R. Financiero'!$C$5:$C$1000,0),MATCH("[Jefatura] "&amp;$C196,'Cronograma Asistente Técnico'!$C$5:$C$1000,0)),0))</f>
        <v/>
      </c>
      <c r="AI196" s="62">
        <f>IF(AND(AND($D196&lt;&gt;"",$V196="Macro"),$S196=MesCiclo),COUNTIFS($D$5:$D196,$D196,$S$5:$S196,MesCiclo,$V$5:$V196,"Macro"),"")</f>
        <v/>
      </c>
      <c r="AJ196" s="62">
        <f>IF($AI196="","",$D196&amp;"|"&amp;$AI196)</f>
        <v/>
      </c>
      <c r="AK196" s="62">
        <f>IF(AND($D196&lt;&gt;"",$V196="Macro"),$D196&amp;"|"&amp;$C196,"")</f>
        <v/>
      </c>
      <c r="AL196" s="62">
        <f>""</f>
        <v/>
      </c>
      <c r="AM196" s="62">
        <f>IF(N($AL196)&gt;0,INDEX(rIni_ADM,$AL196),IF(ISNUMBER($E196),$E196,""))</f>
        <v/>
      </c>
      <c r="AN196" s="62">
        <f>IF(N($AL196)&gt;0,INDEX(rLim_ADM,$AL196),IF(ISNUMBER($F196),$F196,""))</f>
        <v/>
      </c>
    </row>
    <row r="197">
      <c r="A197" s="56">
        <f>IF(NOT((COUNTA($B197:$D197)+COUNTA($G197:$L197)+COUNTA($Q197))&gt;0),"",IF($V197="Macro",COUNTIFS($V$5:$V197,"Macro",$S$5:$S197,$S197),IF(N($U197)=0,"?",COUNTIFS(INDEX($V$5:$V$1000,1):INDEX($V$5:$V$1000,$U197-4),"Macro",INDEX($S$5:$S$1000,1):INDEX($S$5:$S$1000,$U197-4),INDEX($S$5:$S$1000,$U197-4))&amp;"."&amp;COUNTIFS($U$5:$U197,$U197,$V$5:$V197,"Sub"))))</f>
        <v/>
      </c>
      <c r="B197" s="57" t="n"/>
      <c r="C197" s="58" t="n"/>
      <c r="D197" s="58" t="n"/>
      <c r="E197" s="59" t="n"/>
      <c r="F197" s="59" t="n"/>
      <c r="G197" s="59" t="n"/>
      <c r="H197" s="60" t="n"/>
      <c r="I197" s="60" t="n"/>
      <c r="J197" s="60" t="n"/>
      <c r="K197" s="60" t="n"/>
      <c r="L197" s="60" t="n"/>
      <c r="M197" s="61">
        <f>IF(NOT((COUNTA($B197:$D197)+COUNTA($G197:$L197)+COUNTA($Q197))&gt;0),"",IF(AND($D197&lt;&gt;"",$V197="Macro"),IF(N($AH197)&gt;0,N(CHOOSE(MATCH($D197,ListaPuestos,0),INDEX('Cronograma R. Operacional'!$M$5:$M$1000,$AH197),INDEX('Cronograma R. Normativo'!$M$5:$M$1000,$AH197),INDEX('Cronograma R. Financiero'!$M$5:$M$1000,$AH197),INDEX('Cronograma Asistente Técnico'!$M$5:$M$1000,$AH197))),0),IF(ISNUMBER($G197),1,IF(N($W197)&gt;0,AVERAGEIFS($X$5:$X$1000,$U$5:$U$1000,ROW(),$V$5:$V$1000,"Sub"),$X197))))</f>
        <v/>
      </c>
      <c r="N197" s="56">
        <f>IF($M197="","",IF($M197&gt;=1,"Completado",IF($M197&gt;0,"En curso","Pendiente")))</f>
        <v/>
      </c>
      <c r="O197" s="56">
        <f>IF(NOT((COUNTA($B197:$D197)+COUNTA($G197:$L197)+COUNTA($Q197))&gt;0),"",IF(AND(AND($D197&lt;&gt;"",$V197="Macro"),N($AH197)&gt;0),CHOOSE(MATCH($D197,ListaPuestos,0),INDEX('Cronograma R. Operacional'!$O$5:$O$1000,$AH197),INDEX('Cronograma R. Normativo'!$O$5:$O$1000,$AH197),INDEX('Cronograma R. Financiero'!$O$5:$O$1000,$AH197),INDEX('Cronograma Asistente Técnico'!$O$5:$O$1000,$AH197))&amp;"",IF(ISNUMBER($G197),IF(AND(ISNUMBER($AN197),$G197&gt;$AN197),"Cumplida con "&amp;($G197-$AN197)&amp;IF($G197-$AN197=1," día"," días")&amp;" de retraso","Cumplida"),IF(N($M197)&gt;=1,"Cumplida",IF(NOT(ISNUMBER($AN197)),"Sin fecha límite",IF($AN197&lt;FechaRef,"Vencida hace "&amp;(FechaRef-$AN197)&amp;IF(FechaRef-$AN197=1," día"," días"),IF($AN197=FechaRef,"Vence hoy",IF($AN197-FechaRef&lt;=DiasAlerta,"Vence en "&amp;($AN197-FechaRef)&amp;IF($AN197-FechaRef=1," día"," días"),"En plazo"))))))))</f>
        <v/>
      </c>
      <c r="P197" s="62">
        <f>IF(NOT((COUNTA($B197:$D197)+COUNTA($G197:$L197)+COUNTA($Q197))&gt;0),"",IF($D197="","Propia",IF($V197&lt;&gt;"Macro","Solo se delegan macroactividades",IF(N($AH197)&gt;0,"✔ Recibida por "&amp;$D197,"⚠ "&amp;$D197&amp;" aún no la agrega"))))</f>
        <v/>
      </c>
      <c r="Q197" s="58" t="n"/>
      <c r="R197" s="63">
        <f>IF(NOT((COUNTA($B197:$D197)+COUNTA($G197:$L197)+COUNTA($Q197))&gt;0),"",IF((IF($C197="","Falta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",""))="","✔ OK","⚠ "&amp;LEFT(IF($C197="","Falta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",""),LEN(IF($C197="","Falta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",""))-3)))</f>
        <v/>
      </c>
      <c r="S197" s="64">
        <f>IF(NOT((COUNTA($B197:$D197)+COUNTA($G197:$L197)+COUNTA($Q197))&gt;0),"",IF(AND($V197="Sub",N($U197)&gt;0),IF(ISNUMBER(INDEX($AM$5:$AM$1000,$U197-4)),DATE(YEAR(INDEX($AM$5:$AM$1000,$U197-4)),MONTH(INDEX($AM$5:$AM$1000,$U197-4)),1),IF(ISNUMBER(INDEX($AN$5:$AN$1000,$U197-4)),DATE(YEAR(INDEX($AN$5:$AN$1000,$U197-4)),MONTH(INDEX($AN$5:$AN$1000,$U197-4)),1),MesCiclo)),IF(ISNUMBER($AM197),DATE(YEAR($AM197),MONTH($AM197),1),IF(ISNUMBER($AN197),DATE(YEAR($AN197),MONTH($AN197),1),MesCiclo))))</f>
        <v/>
      </c>
      <c r="T197" s="62">
        <f>IF(OR($S197="",$S197&lt;&gt;MesCiclo),"",COUNTIF($S$5:$S197,MesCiclo))</f>
        <v/>
      </c>
      <c r="U197" s="62">
        <f>IF($V197="","",IF($V197="Macro",ROW(),IFERROR(LOOKUP(2,1/($V$5:$V197="Macro"),ROW($V$5:$V197)),0)))</f>
        <v/>
      </c>
      <c r="V197" s="62">
        <f>IF(NOT((COUNTA($B197:$D197)+COUNTA($G197:$L197)+COUNTA($Q197))&gt;0),"",IF($B197="Subactividad","Sub","Macro"))</f>
        <v/>
      </c>
      <c r="W197" s="62">
        <f>IF($V197="Macro",COUNTIFS($U$5:$U$1000,ROW(),$V$5:$V$1000,"Sub"),"")</f>
        <v/>
      </c>
      <c r="X197" s="62">
        <f>IF($V197="","",IF(ISNUMBER($G197),1,IFERROR(LOOKUP(2,1/($I197:$L197&lt;&gt;""),$I197:$L197),0)))</f>
        <v/>
      </c>
      <c r="Y197" s="62">
        <f>IF($V197="","",IF(AND(ISNUMBER($G197),$G197&lt;=IF($S197=MesCiclo,InicioCiclo,$S197+MOD(2-WEEKDAY($S197),7))+6),1,IF(ISNUMBER($I197),$I197,0)))</f>
        <v/>
      </c>
      <c r="Z197" s="62">
        <f>IF($V197="","",IF(AND(ISNUMBER($G197),$G197&lt;=IF($S197=MesCiclo,InicioCiclo,$S197+MOD(2-WEEKDAY($S197),7))+13),1,IF(ISNUMBER($J197),$J197,$Y197)))</f>
        <v/>
      </c>
      <c r="AA197" s="62">
        <f>IF($V197="","",IF(AND(ISNUMBER($G197),$G197&lt;=IF($S197=MesCiclo,InicioCiclo,$S197+MOD(2-WEEKDAY($S197),7))+20),1,IF(ISNUMBER($K197),$K197,$Z197)))</f>
        <v/>
      </c>
      <c r="AB197" s="62">
        <f>IF($V197="","",IF(AND(ISNUMBER($G197),$G197&lt;=IF($S197=MesCiclo,InicioCiclo,$S197+MOD(2-WEEKDAY($S197),7))+27),1,IF(ISNUMBER($L197),$L197,$AA197)))</f>
        <v/>
      </c>
      <c r="AC197" s="62">
        <f>IF($V197="","",IF(AND(ISNUMBER($G197),$G197&lt;=IF($S197=MesCiclo,InicioCiclo,$S197+MOD(2-WEEKDAY($S197),7))+6),1,IF(N($W197)&gt;0,AVERAGEIFS($Y$5:$Y$1000,$U$5:$U$1000,ROW(),$V$5:$V$1000,"Sub"),$Y197)))</f>
        <v/>
      </c>
      <c r="AD197" s="62">
        <f>IF($V197="","",IF(AND(ISNUMBER($G197),$G197&lt;=IF($S197=MesCiclo,InicioCiclo,$S197+MOD(2-WEEKDAY($S197),7))+13),1,IF(N($W197)&gt;0,AVERAGEIFS($Z$5:$Z$1000,$U$5:$U$1000,ROW(),$V$5:$V$1000,"Sub"),$Z197)))</f>
        <v/>
      </c>
      <c r="AE197" s="62">
        <f>IF($V197="","",IF(AND(ISNUMBER($G197),$G197&lt;=IF($S197=MesCiclo,InicioCiclo,$S197+MOD(2-WEEKDAY($S197),7))+20),1,IF(N($W197)&gt;0,AVERAGEIFS($AA$5:$AA$1000,$U$5:$U$1000,ROW(),$V$5:$V$1000,"Sub"),$AA197)))</f>
        <v/>
      </c>
      <c r="AF197" s="62">
        <f>IF($V197="","",IF(AND(ISNUMBER($G197),$G197&lt;=IF($S197=MesCiclo,InicioCiclo,$S197+MOD(2-WEEKDAY($S197),7))+27),1,IF(N($W197)&gt;0,AVERAGEIFS($AB$5:$AB$1000,$U$5:$U$1000,ROW(),$V$5:$V$1000,"Sub"),$AB197)))</f>
        <v/>
      </c>
      <c r="AG197" s="62">
        <f>IF($V197&lt;&gt;"Macro","",IF(COUNTIFS($S$5:$S$1000,$S197,$V$5:$V$1000,"Macro",$H$5:$H$1000,"&gt;0")=0,1/COUNTIFS($S$5:$S$1000,$S197,$V$5:$V$1000,"Macro"),IF(AND(ISNUMBER($H197),N($H197)&gt;0),$H197,SUMIFS($H$5:$H$1000,$S$5:$S$1000,$S197,$V$5:$V$1000,"Macro")/COUNTIFS($S$5:$S$1000,$S197,$V$5:$V$1000,"Macro",$H$5:$H$1000,"&gt;0"))/(COUNTIFS($S$5:$S$1000,$S197,$V$5:$V$1000,"Macro")*SUMIFS($H$5:$H$1000,$S$5:$S$1000,$S197,$V$5:$V$1000,"Macro")/COUNTIFS($S$5:$S$1000,$S197,$V$5:$V$1000,"Macro",$H$5:$H$1000,"&gt;0"))))</f>
        <v/>
      </c>
      <c r="AH197" s="62">
        <f>IF(NOT(AND($D197&lt;&gt;"",$V197="Macro")),"",IFERROR(CHOOSE(MATCH($D197,ListaPuestos,0),MATCH("[Jefatura] "&amp;$C197,'Cronograma R. Operacional'!$C$5:$C$1000,0),MATCH("[Jefatura] "&amp;$C197,'Cronograma R. Normativo'!$C$5:$C$1000,0),MATCH("[Jefatura] "&amp;$C197,'Cronograma R. Financiero'!$C$5:$C$1000,0),MATCH("[Jefatura] "&amp;$C197,'Cronograma Asistente Técnico'!$C$5:$C$1000,0)),0))</f>
        <v/>
      </c>
      <c r="AI197" s="62">
        <f>IF(AND(AND($D197&lt;&gt;"",$V197="Macro"),$S197=MesCiclo),COUNTIFS($D$5:$D197,$D197,$S$5:$S197,MesCiclo,$V$5:$V197,"Macro"),"")</f>
        <v/>
      </c>
      <c r="AJ197" s="62">
        <f>IF($AI197="","",$D197&amp;"|"&amp;$AI197)</f>
        <v/>
      </c>
      <c r="AK197" s="62">
        <f>IF(AND($D197&lt;&gt;"",$V197="Macro"),$D197&amp;"|"&amp;$C197,"")</f>
        <v/>
      </c>
      <c r="AL197" s="62">
        <f>""</f>
        <v/>
      </c>
      <c r="AM197" s="62">
        <f>IF(N($AL197)&gt;0,INDEX(rIni_ADM,$AL197),IF(ISNUMBER($E197),$E197,""))</f>
        <v/>
      </c>
      <c r="AN197" s="62">
        <f>IF(N($AL197)&gt;0,INDEX(rLim_ADM,$AL197),IF(ISNUMBER($F197),$F197,""))</f>
        <v/>
      </c>
    </row>
    <row r="198">
      <c r="A198" s="56">
        <f>IF(NOT((COUNTA($B198:$D198)+COUNTA($G198:$L198)+COUNTA($Q198))&gt;0),"",IF($V198="Macro",COUNTIFS($V$5:$V198,"Macro",$S$5:$S198,$S198),IF(N($U198)=0,"?",COUNTIFS(INDEX($V$5:$V$1000,1):INDEX($V$5:$V$1000,$U198-4),"Macro",INDEX($S$5:$S$1000,1):INDEX($S$5:$S$1000,$U198-4),INDEX($S$5:$S$1000,$U198-4))&amp;"."&amp;COUNTIFS($U$5:$U198,$U198,$V$5:$V198,"Sub"))))</f>
        <v/>
      </c>
      <c r="B198" s="57" t="n"/>
      <c r="C198" s="58" t="n"/>
      <c r="D198" s="58" t="n"/>
      <c r="E198" s="59" t="n"/>
      <c r="F198" s="59" t="n"/>
      <c r="G198" s="59" t="n"/>
      <c r="H198" s="60" t="n"/>
      <c r="I198" s="60" t="n"/>
      <c r="J198" s="60" t="n"/>
      <c r="K198" s="60" t="n"/>
      <c r="L198" s="60" t="n"/>
      <c r="M198" s="61">
        <f>IF(NOT((COUNTA($B198:$D198)+COUNTA($G198:$L198)+COUNTA($Q198))&gt;0),"",IF(AND($D198&lt;&gt;"",$V198="Macro"),IF(N($AH198)&gt;0,N(CHOOSE(MATCH($D198,ListaPuestos,0),INDEX('Cronograma R. Operacional'!$M$5:$M$1000,$AH198),INDEX('Cronograma R. Normativo'!$M$5:$M$1000,$AH198),INDEX('Cronograma R. Financiero'!$M$5:$M$1000,$AH198),INDEX('Cronograma Asistente Técnico'!$M$5:$M$1000,$AH198))),0),IF(ISNUMBER($G198),1,IF(N($W198)&gt;0,AVERAGEIFS($X$5:$X$1000,$U$5:$U$1000,ROW(),$V$5:$V$1000,"Sub"),$X198))))</f>
        <v/>
      </c>
      <c r="N198" s="56">
        <f>IF($M198="","",IF($M198&gt;=1,"Completado",IF($M198&gt;0,"En curso","Pendiente")))</f>
        <v/>
      </c>
      <c r="O198" s="56">
        <f>IF(NOT((COUNTA($B198:$D198)+COUNTA($G198:$L198)+COUNTA($Q198))&gt;0),"",IF(AND(AND($D198&lt;&gt;"",$V198="Macro"),N($AH198)&gt;0),CHOOSE(MATCH($D198,ListaPuestos,0),INDEX('Cronograma R. Operacional'!$O$5:$O$1000,$AH198),INDEX('Cronograma R. Normativo'!$O$5:$O$1000,$AH198),INDEX('Cronograma R. Financiero'!$O$5:$O$1000,$AH198),INDEX('Cronograma Asistente Técnico'!$O$5:$O$1000,$AH198))&amp;"",IF(ISNUMBER($G198),IF(AND(ISNUMBER($AN198),$G198&gt;$AN198),"Cumplida con "&amp;($G198-$AN198)&amp;IF($G198-$AN198=1," día"," días")&amp;" de retraso","Cumplida"),IF(N($M198)&gt;=1,"Cumplida",IF(NOT(ISNUMBER($AN198)),"Sin fecha límite",IF($AN198&lt;FechaRef,"Vencida hace "&amp;(FechaRef-$AN198)&amp;IF(FechaRef-$AN198=1," día"," días"),IF($AN198=FechaRef,"Vence hoy",IF($AN198-FechaRef&lt;=DiasAlerta,"Vence en "&amp;($AN198-FechaRef)&amp;IF($AN198-FechaRef=1," día"," días"),"En plazo"))))))))</f>
        <v/>
      </c>
      <c r="P198" s="62">
        <f>IF(NOT((COUNTA($B198:$D198)+COUNTA($G198:$L198)+COUNTA($Q198))&gt;0),"",IF($D198="","Propia",IF($V198&lt;&gt;"Macro","Solo se delegan macroactividades",IF(N($AH198)&gt;0,"✔ Recibida por "&amp;$D198,"⚠ "&amp;$D198&amp;" aún no la agrega"))))</f>
        <v/>
      </c>
      <c r="Q198" s="58" t="n"/>
      <c r="R198" s="63">
        <f>IF(NOT((COUNTA($B198:$D198)+COUNTA($G198:$L198)+COUNTA($Q198))&gt;0),"",IF((IF($C198="","Falta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",""))="","✔ OK","⚠ "&amp;LEFT(IF($C198="","Falta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",""),LEN(IF($C198="","Falta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",""))-3)))</f>
        <v/>
      </c>
      <c r="S198" s="64">
        <f>IF(NOT((COUNTA($B198:$D198)+COUNTA($G198:$L198)+COUNTA($Q198))&gt;0),"",IF(AND($V198="Sub",N($U198)&gt;0),IF(ISNUMBER(INDEX($AM$5:$AM$1000,$U198-4)),DATE(YEAR(INDEX($AM$5:$AM$1000,$U198-4)),MONTH(INDEX($AM$5:$AM$1000,$U198-4)),1),IF(ISNUMBER(INDEX($AN$5:$AN$1000,$U198-4)),DATE(YEAR(INDEX($AN$5:$AN$1000,$U198-4)),MONTH(INDEX($AN$5:$AN$1000,$U198-4)),1),MesCiclo)),IF(ISNUMBER($AM198),DATE(YEAR($AM198),MONTH($AM198),1),IF(ISNUMBER($AN198),DATE(YEAR($AN198),MONTH($AN198),1),MesCiclo))))</f>
        <v/>
      </c>
      <c r="T198" s="62">
        <f>IF(OR($S198="",$S198&lt;&gt;MesCiclo),"",COUNTIF($S$5:$S198,MesCiclo))</f>
        <v/>
      </c>
      <c r="U198" s="62">
        <f>IF($V198="","",IF($V198="Macro",ROW(),IFERROR(LOOKUP(2,1/($V$5:$V198="Macro"),ROW($V$5:$V198)),0)))</f>
        <v/>
      </c>
      <c r="V198" s="62">
        <f>IF(NOT((COUNTA($B198:$D198)+COUNTA($G198:$L198)+COUNTA($Q198))&gt;0),"",IF($B198="Subactividad","Sub","Macro"))</f>
        <v/>
      </c>
      <c r="W198" s="62">
        <f>IF($V198="Macro",COUNTIFS($U$5:$U$1000,ROW(),$V$5:$V$1000,"Sub"),"")</f>
        <v/>
      </c>
      <c r="X198" s="62">
        <f>IF($V198="","",IF(ISNUMBER($G198),1,IFERROR(LOOKUP(2,1/($I198:$L198&lt;&gt;""),$I198:$L198),0)))</f>
        <v/>
      </c>
      <c r="Y198" s="62">
        <f>IF($V198="","",IF(AND(ISNUMBER($G198),$G198&lt;=IF($S198=MesCiclo,InicioCiclo,$S198+MOD(2-WEEKDAY($S198),7))+6),1,IF(ISNUMBER($I198),$I198,0)))</f>
        <v/>
      </c>
      <c r="Z198" s="62">
        <f>IF($V198="","",IF(AND(ISNUMBER($G198),$G198&lt;=IF($S198=MesCiclo,InicioCiclo,$S198+MOD(2-WEEKDAY($S198),7))+13),1,IF(ISNUMBER($J198),$J198,$Y198)))</f>
        <v/>
      </c>
      <c r="AA198" s="62">
        <f>IF($V198="","",IF(AND(ISNUMBER($G198),$G198&lt;=IF($S198=MesCiclo,InicioCiclo,$S198+MOD(2-WEEKDAY($S198),7))+20),1,IF(ISNUMBER($K198),$K198,$Z198)))</f>
        <v/>
      </c>
      <c r="AB198" s="62">
        <f>IF($V198="","",IF(AND(ISNUMBER($G198),$G198&lt;=IF($S198=MesCiclo,InicioCiclo,$S198+MOD(2-WEEKDAY($S198),7))+27),1,IF(ISNUMBER($L198),$L198,$AA198)))</f>
        <v/>
      </c>
      <c r="AC198" s="62">
        <f>IF($V198="","",IF(AND(ISNUMBER($G198),$G198&lt;=IF($S198=MesCiclo,InicioCiclo,$S198+MOD(2-WEEKDAY($S198),7))+6),1,IF(N($W198)&gt;0,AVERAGEIFS($Y$5:$Y$1000,$U$5:$U$1000,ROW(),$V$5:$V$1000,"Sub"),$Y198)))</f>
        <v/>
      </c>
      <c r="AD198" s="62">
        <f>IF($V198="","",IF(AND(ISNUMBER($G198),$G198&lt;=IF($S198=MesCiclo,InicioCiclo,$S198+MOD(2-WEEKDAY($S198),7))+13),1,IF(N($W198)&gt;0,AVERAGEIFS($Z$5:$Z$1000,$U$5:$U$1000,ROW(),$V$5:$V$1000,"Sub"),$Z198)))</f>
        <v/>
      </c>
      <c r="AE198" s="62">
        <f>IF($V198="","",IF(AND(ISNUMBER($G198),$G198&lt;=IF($S198=MesCiclo,InicioCiclo,$S198+MOD(2-WEEKDAY($S198),7))+20),1,IF(N($W198)&gt;0,AVERAGEIFS($AA$5:$AA$1000,$U$5:$U$1000,ROW(),$V$5:$V$1000,"Sub"),$AA198)))</f>
        <v/>
      </c>
      <c r="AF198" s="62">
        <f>IF($V198="","",IF(AND(ISNUMBER($G198),$G198&lt;=IF($S198=MesCiclo,InicioCiclo,$S198+MOD(2-WEEKDAY($S198),7))+27),1,IF(N($W198)&gt;0,AVERAGEIFS($AB$5:$AB$1000,$U$5:$U$1000,ROW(),$V$5:$V$1000,"Sub"),$AB198)))</f>
        <v/>
      </c>
      <c r="AG198" s="62">
        <f>IF($V198&lt;&gt;"Macro","",IF(COUNTIFS($S$5:$S$1000,$S198,$V$5:$V$1000,"Macro",$H$5:$H$1000,"&gt;0")=0,1/COUNTIFS($S$5:$S$1000,$S198,$V$5:$V$1000,"Macro"),IF(AND(ISNUMBER($H198),N($H198)&gt;0),$H198,SUMIFS($H$5:$H$1000,$S$5:$S$1000,$S198,$V$5:$V$1000,"Macro")/COUNTIFS($S$5:$S$1000,$S198,$V$5:$V$1000,"Macro",$H$5:$H$1000,"&gt;0"))/(COUNTIFS($S$5:$S$1000,$S198,$V$5:$V$1000,"Macro")*SUMIFS($H$5:$H$1000,$S$5:$S$1000,$S198,$V$5:$V$1000,"Macro")/COUNTIFS($S$5:$S$1000,$S198,$V$5:$V$1000,"Macro",$H$5:$H$1000,"&gt;0"))))</f>
        <v/>
      </c>
      <c r="AH198" s="62">
        <f>IF(NOT(AND($D198&lt;&gt;"",$V198="Macro")),"",IFERROR(CHOOSE(MATCH($D198,ListaPuestos,0),MATCH("[Jefatura] "&amp;$C198,'Cronograma R. Operacional'!$C$5:$C$1000,0),MATCH("[Jefatura] "&amp;$C198,'Cronograma R. Normativo'!$C$5:$C$1000,0),MATCH("[Jefatura] "&amp;$C198,'Cronograma R. Financiero'!$C$5:$C$1000,0),MATCH("[Jefatura] "&amp;$C198,'Cronograma Asistente Técnico'!$C$5:$C$1000,0)),0))</f>
        <v/>
      </c>
      <c r="AI198" s="62">
        <f>IF(AND(AND($D198&lt;&gt;"",$V198="Macro"),$S198=MesCiclo),COUNTIFS($D$5:$D198,$D198,$S$5:$S198,MesCiclo,$V$5:$V198,"Macro"),"")</f>
        <v/>
      </c>
      <c r="AJ198" s="62">
        <f>IF($AI198="","",$D198&amp;"|"&amp;$AI198)</f>
        <v/>
      </c>
      <c r="AK198" s="62">
        <f>IF(AND($D198&lt;&gt;"",$V198="Macro"),$D198&amp;"|"&amp;$C198,"")</f>
        <v/>
      </c>
      <c r="AL198" s="62">
        <f>""</f>
        <v/>
      </c>
      <c r="AM198" s="62">
        <f>IF(N($AL198)&gt;0,INDEX(rIni_ADM,$AL198),IF(ISNUMBER($E198),$E198,""))</f>
        <v/>
      </c>
      <c r="AN198" s="62">
        <f>IF(N($AL198)&gt;0,INDEX(rLim_ADM,$AL198),IF(ISNUMBER($F198),$F198,""))</f>
        <v/>
      </c>
    </row>
    <row r="199">
      <c r="A199" s="56">
        <f>IF(NOT((COUNTA($B199:$D199)+COUNTA($G199:$L199)+COUNTA($Q199))&gt;0),"",IF($V199="Macro",COUNTIFS($V$5:$V199,"Macro",$S$5:$S199,$S199),IF(N($U199)=0,"?",COUNTIFS(INDEX($V$5:$V$1000,1):INDEX($V$5:$V$1000,$U199-4),"Macro",INDEX($S$5:$S$1000,1):INDEX($S$5:$S$1000,$U199-4),INDEX($S$5:$S$1000,$U199-4))&amp;"."&amp;COUNTIFS($U$5:$U199,$U199,$V$5:$V199,"Sub"))))</f>
        <v/>
      </c>
      <c r="B199" s="57" t="n"/>
      <c r="C199" s="58" t="n"/>
      <c r="D199" s="58" t="n"/>
      <c r="E199" s="59" t="n"/>
      <c r="F199" s="59" t="n"/>
      <c r="G199" s="59" t="n"/>
      <c r="H199" s="60" t="n"/>
      <c r="I199" s="60" t="n"/>
      <c r="J199" s="60" t="n"/>
      <c r="K199" s="60" t="n"/>
      <c r="L199" s="60" t="n"/>
      <c r="M199" s="61">
        <f>IF(NOT((COUNTA($B199:$D199)+COUNTA($G199:$L199)+COUNTA($Q199))&gt;0),"",IF(AND($D199&lt;&gt;"",$V199="Macro"),IF(N($AH199)&gt;0,N(CHOOSE(MATCH($D199,ListaPuestos,0),INDEX('Cronograma R. Operacional'!$M$5:$M$1000,$AH199),INDEX('Cronograma R. Normativo'!$M$5:$M$1000,$AH199),INDEX('Cronograma R. Financiero'!$M$5:$M$1000,$AH199),INDEX('Cronograma Asistente Técnico'!$M$5:$M$1000,$AH199))),0),IF(ISNUMBER($G199),1,IF(N($W199)&gt;0,AVERAGEIFS($X$5:$X$1000,$U$5:$U$1000,ROW(),$V$5:$V$1000,"Sub"),$X199))))</f>
        <v/>
      </c>
      <c r="N199" s="56">
        <f>IF($M199="","",IF($M199&gt;=1,"Completado",IF($M199&gt;0,"En curso","Pendiente")))</f>
        <v/>
      </c>
      <c r="O199" s="56">
        <f>IF(NOT((COUNTA($B199:$D199)+COUNTA($G199:$L199)+COUNTA($Q199))&gt;0),"",IF(AND(AND($D199&lt;&gt;"",$V199="Macro"),N($AH199)&gt;0),CHOOSE(MATCH($D199,ListaPuestos,0),INDEX('Cronograma R. Operacional'!$O$5:$O$1000,$AH199),INDEX('Cronograma R. Normativo'!$O$5:$O$1000,$AH199),INDEX('Cronograma R. Financiero'!$O$5:$O$1000,$AH199),INDEX('Cronograma Asistente Técnico'!$O$5:$O$1000,$AH199))&amp;"",IF(ISNUMBER($G199),IF(AND(ISNUMBER($AN199),$G199&gt;$AN199),"Cumplida con "&amp;($G199-$AN199)&amp;IF($G199-$AN199=1," día"," días")&amp;" de retraso","Cumplida"),IF(N($M199)&gt;=1,"Cumplida",IF(NOT(ISNUMBER($AN199)),"Sin fecha límite",IF($AN199&lt;FechaRef,"Vencida hace "&amp;(FechaRef-$AN199)&amp;IF(FechaRef-$AN199=1," día"," días"),IF($AN199=FechaRef,"Vence hoy",IF($AN199-FechaRef&lt;=DiasAlerta,"Vence en "&amp;($AN199-FechaRef)&amp;IF($AN199-FechaRef=1," día"," días"),"En plazo"))))))))</f>
        <v/>
      </c>
      <c r="P199" s="62">
        <f>IF(NOT((COUNTA($B199:$D199)+COUNTA($G199:$L199)+COUNTA($Q199))&gt;0),"",IF($D199="","Propia",IF($V199&lt;&gt;"Macro","Solo se delegan macroactividades",IF(N($AH199)&gt;0,"✔ Recibida por "&amp;$D199,"⚠ "&amp;$D199&amp;" aún no la agrega"))))</f>
        <v/>
      </c>
      <c r="Q199" s="58" t="n"/>
      <c r="R199" s="63">
        <f>IF(NOT((COUNTA($B199:$D199)+COUNTA($G199:$L199)+COUNTA($Q199))&gt;0),"",IF((IF($C199="","Falta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",""))="","✔ OK","⚠ "&amp;LEFT(IF($C199="","Falta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",""),LEN(IF($C199="","Falta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",""))-3)))</f>
        <v/>
      </c>
      <c r="S199" s="64">
        <f>IF(NOT((COUNTA($B199:$D199)+COUNTA($G199:$L199)+COUNTA($Q199))&gt;0),"",IF(AND($V199="Sub",N($U199)&gt;0),IF(ISNUMBER(INDEX($AM$5:$AM$1000,$U199-4)),DATE(YEAR(INDEX($AM$5:$AM$1000,$U199-4)),MONTH(INDEX($AM$5:$AM$1000,$U199-4)),1),IF(ISNUMBER(INDEX($AN$5:$AN$1000,$U199-4)),DATE(YEAR(INDEX($AN$5:$AN$1000,$U199-4)),MONTH(INDEX($AN$5:$AN$1000,$U199-4)),1),MesCiclo)),IF(ISNUMBER($AM199),DATE(YEAR($AM199),MONTH($AM199),1),IF(ISNUMBER($AN199),DATE(YEAR($AN199),MONTH($AN199),1),MesCiclo))))</f>
        <v/>
      </c>
      <c r="T199" s="62">
        <f>IF(OR($S199="",$S199&lt;&gt;MesCiclo),"",COUNTIF($S$5:$S199,MesCiclo))</f>
        <v/>
      </c>
      <c r="U199" s="62">
        <f>IF($V199="","",IF($V199="Macro",ROW(),IFERROR(LOOKUP(2,1/($V$5:$V199="Macro"),ROW($V$5:$V199)),0)))</f>
        <v/>
      </c>
      <c r="V199" s="62">
        <f>IF(NOT((COUNTA($B199:$D199)+COUNTA($G199:$L199)+COUNTA($Q199))&gt;0),"",IF($B199="Subactividad","Sub","Macro"))</f>
        <v/>
      </c>
      <c r="W199" s="62">
        <f>IF($V199="Macro",COUNTIFS($U$5:$U$1000,ROW(),$V$5:$V$1000,"Sub"),"")</f>
        <v/>
      </c>
      <c r="X199" s="62">
        <f>IF($V199="","",IF(ISNUMBER($G199),1,IFERROR(LOOKUP(2,1/($I199:$L199&lt;&gt;""),$I199:$L199),0)))</f>
        <v/>
      </c>
      <c r="Y199" s="62">
        <f>IF($V199="","",IF(AND(ISNUMBER($G199),$G199&lt;=IF($S199=MesCiclo,InicioCiclo,$S199+MOD(2-WEEKDAY($S199),7))+6),1,IF(ISNUMBER($I199),$I199,0)))</f>
        <v/>
      </c>
      <c r="Z199" s="62">
        <f>IF($V199="","",IF(AND(ISNUMBER($G199),$G199&lt;=IF($S199=MesCiclo,InicioCiclo,$S199+MOD(2-WEEKDAY($S199),7))+13),1,IF(ISNUMBER($J199),$J199,$Y199)))</f>
        <v/>
      </c>
      <c r="AA199" s="62">
        <f>IF($V199="","",IF(AND(ISNUMBER($G199),$G199&lt;=IF($S199=MesCiclo,InicioCiclo,$S199+MOD(2-WEEKDAY($S199),7))+20),1,IF(ISNUMBER($K199),$K199,$Z199)))</f>
        <v/>
      </c>
      <c r="AB199" s="62">
        <f>IF($V199="","",IF(AND(ISNUMBER($G199),$G199&lt;=IF($S199=MesCiclo,InicioCiclo,$S199+MOD(2-WEEKDAY($S199),7))+27),1,IF(ISNUMBER($L199),$L199,$AA199)))</f>
        <v/>
      </c>
      <c r="AC199" s="62">
        <f>IF($V199="","",IF(AND(ISNUMBER($G199),$G199&lt;=IF($S199=MesCiclo,InicioCiclo,$S199+MOD(2-WEEKDAY($S199),7))+6),1,IF(N($W199)&gt;0,AVERAGEIFS($Y$5:$Y$1000,$U$5:$U$1000,ROW(),$V$5:$V$1000,"Sub"),$Y199)))</f>
        <v/>
      </c>
      <c r="AD199" s="62">
        <f>IF($V199="","",IF(AND(ISNUMBER($G199),$G199&lt;=IF($S199=MesCiclo,InicioCiclo,$S199+MOD(2-WEEKDAY($S199),7))+13),1,IF(N($W199)&gt;0,AVERAGEIFS($Z$5:$Z$1000,$U$5:$U$1000,ROW(),$V$5:$V$1000,"Sub"),$Z199)))</f>
        <v/>
      </c>
      <c r="AE199" s="62">
        <f>IF($V199="","",IF(AND(ISNUMBER($G199),$G199&lt;=IF($S199=MesCiclo,InicioCiclo,$S199+MOD(2-WEEKDAY($S199),7))+20),1,IF(N($W199)&gt;0,AVERAGEIFS($AA$5:$AA$1000,$U$5:$U$1000,ROW(),$V$5:$V$1000,"Sub"),$AA199)))</f>
        <v/>
      </c>
      <c r="AF199" s="62">
        <f>IF($V199="","",IF(AND(ISNUMBER($G199),$G199&lt;=IF($S199=MesCiclo,InicioCiclo,$S199+MOD(2-WEEKDAY($S199),7))+27),1,IF(N($W199)&gt;0,AVERAGEIFS($AB$5:$AB$1000,$U$5:$U$1000,ROW(),$V$5:$V$1000,"Sub"),$AB199)))</f>
        <v/>
      </c>
      <c r="AG199" s="62">
        <f>IF($V199&lt;&gt;"Macro","",IF(COUNTIFS($S$5:$S$1000,$S199,$V$5:$V$1000,"Macro",$H$5:$H$1000,"&gt;0")=0,1/COUNTIFS($S$5:$S$1000,$S199,$V$5:$V$1000,"Macro"),IF(AND(ISNUMBER($H199),N($H199)&gt;0),$H199,SUMIFS($H$5:$H$1000,$S$5:$S$1000,$S199,$V$5:$V$1000,"Macro")/COUNTIFS($S$5:$S$1000,$S199,$V$5:$V$1000,"Macro",$H$5:$H$1000,"&gt;0"))/(COUNTIFS($S$5:$S$1000,$S199,$V$5:$V$1000,"Macro")*SUMIFS($H$5:$H$1000,$S$5:$S$1000,$S199,$V$5:$V$1000,"Macro")/COUNTIFS($S$5:$S$1000,$S199,$V$5:$V$1000,"Macro",$H$5:$H$1000,"&gt;0"))))</f>
        <v/>
      </c>
      <c r="AH199" s="62">
        <f>IF(NOT(AND($D199&lt;&gt;"",$V199="Macro")),"",IFERROR(CHOOSE(MATCH($D199,ListaPuestos,0),MATCH("[Jefatura] "&amp;$C199,'Cronograma R. Operacional'!$C$5:$C$1000,0),MATCH("[Jefatura] "&amp;$C199,'Cronograma R. Normativo'!$C$5:$C$1000,0),MATCH("[Jefatura] "&amp;$C199,'Cronograma R. Financiero'!$C$5:$C$1000,0),MATCH("[Jefatura] "&amp;$C199,'Cronograma Asistente Técnico'!$C$5:$C$1000,0)),0))</f>
        <v/>
      </c>
      <c r="AI199" s="62">
        <f>IF(AND(AND($D199&lt;&gt;"",$V199="Macro"),$S199=MesCiclo),COUNTIFS($D$5:$D199,$D199,$S$5:$S199,MesCiclo,$V$5:$V199,"Macro"),"")</f>
        <v/>
      </c>
      <c r="AJ199" s="62">
        <f>IF($AI199="","",$D199&amp;"|"&amp;$AI199)</f>
        <v/>
      </c>
      <c r="AK199" s="62">
        <f>IF(AND($D199&lt;&gt;"",$V199="Macro"),$D199&amp;"|"&amp;$C199,"")</f>
        <v/>
      </c>
      <c r="AL199" s="62">
        <f>""</f>
        <v/>
      </c>
      <c r="AM199" s="62">
        <f>IF(N($AL199)&gt;0,INDEX(rIni_ADM,$AL199),IF(ISNUMBER($E199),$E199,""))</f>
        <v/>
      </c>
      <c r="AN199" s="62">
        <f>IF(N($AL199)&gt;0,INDEX(rLim_ADM,$AL199),IF(ISNUMBER($F199),$F199,""))</f>
        <v/>
      </c>
    </row>
    <row r="200">
      <c r="A200" s="56">
        <f>IF(NOT((COUNTA($B200:$D200)+COUNTA($G200:$L200)+COUNTA($Q200))&gt;0),"",IF($V200="Macro",COUNTIFS($V$5:$V200,"Macro",$S$5:$S200,$S200),IF(N($U200)=0,"?",COUNTIFS(INDEX($V$5:$V$1000,1):INDEX($V$5:$V$1000,$U200-4),"Macro",INDEX($S$5:$S$1000,1):INDEX($S$5:$S$1000,$U200-4),INDEX($S$5:$S$1000,$U200-4))&amp;"."&amp;COUNTIFS($U$5:$U200,$U200,$V$5:$V200,"Sub"))))</f>
        <v/>
      </c>
      <c r="B200" s="57" t="n"/>
      <c r="C200" s="58" t="n"/>
      <c r="D200" s="58" t="n"/>
      <c r="E200" s="59" t="n"/>
      <c r="F200" s="59" t="n"/>
      <c r="G200" s="59" t="n"/>
      <c r="H200" s="60" t="n"/>
      <c r="I200" s="60" t="n"/>
      <c r="J200" s="60" t="n"/>
      <c r="K200" s="60" t="n"/>
      <c r="L200" s="60" t="n"/>
      <c r="M200" s="61">
        <f>IF(NOT((COUNTA($B200:$D200)+COUNTA($G200:$L200)+COUNTA($Q200))&gt;0),"",IF(AND($D200&lt;&gt;"",$V200="Macro"),IF(N($AH200)&gt;0,N(CHOOSE(MATCH($D200,ListaPuestos,0),INDEX('Cronograma R. Operacional'!$M$5:$M$1000,$AH200),INDEX('Cronograma R. Normativo'!$M$5:$M$1000,$AH200),INDEX('Cronograma R. Financiero'!$M$5:$M$1000,$AH200),INDEX('Cronograma Asistente Técnico'!$M$5:$M$1000,$AH200))),0),IF(ISNUMBER($G200),1,IF(N($W200)&gt;0,AVERAGEIFS($X$5:$X$1000,$U$5:$U$1000,ROW(),$V$5:$V$1000,"Sub"),$X200))))</f>
        <v/>
      </c>
      <c r="N200" s="56">
        <f>IF($M200="","",IF($M200&gt;=1,"Completado",IF($M200&gt;0,"En curso","Pendiente")))</f>
        <v/>
      </c>
      <c r="O200" s="56">
        <f>IF(NOT((COUNTA($B200:$D200)+COUNTA($G200:$L200)+COUNTA($Q200))&gt;0),"",IF(AND(AND($D200&lt;&gt;"",$V200="Macro"),N($AH200)&gt;0),CHOOSE(MATCH($D200,ListaPuestos,0),INDEX('Cronograma R. Operacional'!$O$5:$O$1000,$AH200),INDEX('Cronograma R. Normativo'!$O$5:$O$1000,$AH200),INDEX('Cronograma R. Financiero'!$O$5:$O$1000,$AH200),INDEX('Cronograma Asistente Técnico'!$O$5:$O$1000,$AH200))&amp;"",IF(ISNUMBER($G200),IF(AND(ISNUMBER($AN200),$G200&gt;$AN200),"Cumplida con "&amp;($G200-$AN200)&amp;IF($G200-$AN200=1," día"," días")&amp;" de retraso","Cumplida"),IF(N($M200)&gt;=1,"Cumplida",IF(NOT(ISNUMBER($AN200)),"Sin fecha límite",IF($AN200&lt;FechaRef,"Vencida hace "&amp;(FechaRef-$AN200)&amp;IF(FechaRef-$AN200=1," día"," días"),IF($AN200=FechaRef,"Vence hoy",IF($AN200-FechaRef&lt;=DiasAlerta,"Vence en "&amp;($AN200-FechaRef)&amp;IF($AN200-FechaRef=1," día"," días"),"En plazo"))))))))</f>
        <v/>
      </c>
      <c r="P200" s="62">
        <f>IF(NOT((COUNTA($B200:$D200)+COUNTA($G200:$L200)+COUNTA($Q200))&gt;0),"",IF($D200="","Propia",IF($V200&lt;&gt;"Macro","Solo se delegan macroactividades",IF(N($AH200)&gt;0,"✔ Recibida por "&amp;$D200,"⚠ "&amp;$D200&amp;" aún no la agrega"))))</f>
        <v/>
      </c>
      <c r="Q200" s="58" t="n"/>
      <c r="R200" s="63">
        <f>IF(NOT((COUNTA($B200:$D200)+COUNTA($G200:$L200)+COUNTA($Q200))&gt;0),"",IF((IF($C200="","Falta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",""))="","✔ OK","⚠ "&amp;LEFT(IF($C200="","Falta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",""),LEN(IF($C200="","Falta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",""))-3)))</f>
        <v/>
      </c>
      <c r="S200" s="64">
        <f>IF(NOT((COUNTA($B200:$D200)+COUNTA($G200:$L200)+COUNTA($Q200))&gt;0),"",IF(AND($V200="Sub",N($U200)&gt;0),IF(ISNUMBER(INDEX($AM$5:$AM$1000,$U200-4)),DATE(YEAR(INDEX($AM$5:$AM$1000,$U200-4)),MONTH(INDEX($AM$5:$AM$1000,$U200-4)),1),IF(ISNUMBER(INDEX($AN$5:$AN$1000,$U200-4)),DATE(YEAR(INDEX($AN$5:$AN$1000,$U200-4)),MONTH(INDEX($AN$5:$AN$1000,$U200-4)),1),MesCiclo)),IF(ISNUMBER($AM200),DATE(YEAR($AM200),MONTH($AM200),1),IF(ISNUMBER($AN200),DATE(YEAR($AN200),MONTH($AN200),1),MesCiclo))))</f>
        <v/>
      </c>
      <c r="T200" s="62">
        <f>IF(OR($S200="",$S200&lt;&gt;MesCiclo),"",COUNTIF($S$5:$S200,MesCiclo))</f>
        <v/>
      </c>
      <c r="U200" s="62">
        <f>IF($V200="","",IF($V200="Macro",ROW(),IFERROR(LOOKUP(2,1/($V$5:$V200="Macro"),ROW($V$5:$V200)),0)))</f>
        <v/>
      </c>
      <c r="V200" s="62">
        <f>IF(NOT((COUNTA($B200:$D200)+COUNTA($G200:$L200)+COUNTA($Q200))&gt;0),"",IF($B200="Subactividad","Sub","Macro"))</f>
        <v/>
      </c>
      <c r="W200" s="62">
        <f>IF($V200="Macro",COUNTIFS($U$5:$U$1000,ROW(),$V$5:$V$1000,"Sub"),"")</f>
        <v/>
      </c>
      <c r="X200" s="62">
        <f>IF($V200="","",IF(ISNUMBER($G200),1,IFERROR(LOOKUP(2,1/($I200:$L200&lt;&gt;""),$I200:$L200),0)))</f>
        <v/>
      </c>
      <c r="Y200" s="62">
        <f>IF($V200="","",IF(AND(ISNUMBER($G200),$G200&lt;=IF($S200=MesCiclo,InicioCiclo,$S200+MOD(2-WEEKDAY($S200),7))+6),1,IF(ISNUMBER($I200),$I200,0)))</f>
        <v/>
      </c>
      <c r="Z200" s="62">
        <f>IF($V200="","",IF(AND(ISNUMBER($G200),$G200&lt;=IF($S200=MesCiclo,InicioCiclo,$S200+MOD(2-WEEKDAY($S200),7))+13),1,IF(ISNUMBER($J200),$J200,$Y200)))</f>
        <v/>
      </c>
      <c r="AA200" s="62">
        <f>IF($V200="","",IF(AND(ISNUMBER($G200),$G200&lt;=IF($S200=MesCiclo,InicioCiclo,$S200+MOD(2-WEEKDAY($S200),7))+20),1,IF(ISNUMBER($K200),$K200,$Z200)))</f>
        <v/>
      </c>
      <c r="AB200" s="62">
        <f>IF($V200="","",IF(AND(ISNUMBER($G200),$G200&lt;=IF($S200=MesCiclo,InicioCiclo,$S200+MOD(2-WEEKDAY($S200),7))+27),1,IF(ISNUMBER($L200),$L200,$AA200)))</f>
        <v/>
      </c>
      <c r="AC200" s="62">
        <f>IF($V200="","",IF(AND(ISNUMBER($G200),$G200&lt;=IF($S200=MesCiclo,InicioCiclo,$S200+MOD(2-WEEKDAY($S200),7))+6),1,IF(N($W200)&gt;0,AVERAGEIFS($Y$5:$Y$1000,$U$5:$U$1000,ROW(),$V$5:$V$1000,"Sub"),$Y200)))</f>
        <v/>
      </c>
      <c r="AD200" s="62">
        <f>IF($V200="","",IF(AND(ISNUMBER($G200),$G200&lt;=IF($S200=MesCiclo,InicioCiclo,$S200+MOD(2-WEEKDAY($S200),7))+13),1,IF(N($W200)&gt;0,AVERAGEIFS($Z$5:$Z$1000,$U$5:$U$1000,ROW(),$V$5:$V$1000,"Sub"),$Z200)))</f>
        <v/>
      </c>
      <c r="AE200" s="62">
        <f>IF($V200="","",IF(AND(ISNUMBER($G200),$G200&lt;=IF($S200=MesCiclo,InicioCiclo,$S200+MOD(2-WEEKDAY($S200),7))+20),1,IF(N($W200)&gt;0,AVERAGEIFS($AA$5:$AA$1000,$U$5:$U$1000,ROW(),$V$5:$V$1000,"Sub"),$AA200)))</f>
        <v/>
      </c>
      <c r="AF200" s="62">
        <f>IF($V200="","",IF(AND(ISNUMBER($G200),$G200&lt;=IF($S200=MesCiclo,InicioCiclo,$S200+MOD(2-WEEKDAY($S200),7))+27),1,IF(N($W200)&gt;0,AVERAGEIFS($AB$5:$AB$1000,$U$5:$U$1000,ROW(),$V$5:$V$1000,"Sub"),$AB200)))</f>
        <v/>
      </c>
      <c r="AG200" s="62">
        <f>IF($V200&lt;&gt;"Macro","",IF(COUNTIFS($S$5:$S$1000,$S200,$V$5:$V$1000,"Macro",$H$5:$H$1000,"&gt;0")=0,1/COUNTIFS($S$5:$S$1000,$S200,$V$5:$V$1000,"Macro"),IF(AND(ISNUMBER($H200),N($H200)&gt;0),$H200,SUMIFS($H$5:$H$1000,$S$5:$S$1000,$S200,$V$5:$V$1000,"Macro")/COUNTIFS($S$5:$S$1000,$S200,$V$5:$V$1000,"Macro",$H$5:$H$1000,"&gt;0"))/(COUNTIFS($S$5:$S$1000,$S200,$V$5:$V$1000,"Macro")*SUMIFS($H$5:$H$1000,$S$5:$S$1000,$S200,$V$5:$V$1000,"Macro")/COUNTIFS($S$5:$S$1000,$S200,$V$5:$V$1000,"Macro",$H$5:$H$1000,"&gt;0"))))</f>
        <v/>
      </c>
      <c r="AH200" s="62">
        <f>IF(NOT(AND($D200&lt;&gt;"",$V200="Macro")),"",IFERROR(CHOOSE(MATCH($D200,ListaPuestos,0),MATCH("[Jefatura] "&amp;$C200,'Cronograma R. Operacional'!$C$5:$C$1000,0),MATCH("[Jefatura] "&amp;$C200,'Cronograma R. Normativo'!$C$5:$C$1000,0),MATCH("[Jefatura] "&amp;$C200,'Cronograma R. Financiero'!$C$5:$C$1000,0),MATCH("[Jefatura] "&amp;$C200,'Cronograma Asistente Técnico'!$C$5:$C$1000,0)),0))</f>
        <v/>
      </c>
      <c r="AI200" s="62">
        <f>IF(AND(AND($D200&lt;&gt;"",$V200="Macro"),$S200=MesCiclo),COUNTIFS($D$5:$D200,$D200,$S$5:$S200,MesCiclo,$V$5:$V200,"Macro"),"")</f>
        <v/>
      </c>
      <c r="AJ200" s="62">
        <f>IF($AI200="","",$D200&amp;"|"&amp;$AI200)</f>
        <v/>
      </c>
      <c r="AK200" s="62">
        <f>IF(AND($D200&lt;&gt;"",$V200="Macro"),$D200&amp;"|"&amp;$C200,"")</f>
        <v/>
      </c>
      <c r="AL200" s="62">
        <f>""</f>
        <v/>
      </c>
      <c r="AM200" s="62">
        <f>IF(N($AL200)&gt;0,INDEX(rIni_ADM,$AL200),IF(ISNUMBER($E200),$E200,""))</f>
        <v/>
      </c>
      <c r="AN200" s="62">
        <f>IF(N($AL200)&gt;0,INDEX(rLim_ADM,$AL200),IF(ISNUMBER($F200),$F200,""))</f>
        <v/>
      </c>
    </row>
    <row r="201">
      <c r="A201" s="56">
        <f>IF(NOT((COUNTA($B201:$D201)+COUNTA($G201:$L201)+COUNTA($Q201))&gt;0),"",IF($V201="Macro",COUNTIFS($V$5:$V201,"Macro",$S$5:$S201,$S201),IF(N($U201)=0,"?",COUNTIFS(INDEX($V$5:$V$1000,1):INDEX($V$5:$V$1000,$U201-4),"Macro",INDEX($S$5:$S$1000,1):INDEX($S$5:$S$1000,$U201-4),INDEX($S$5:$S$1000,$U201-4))&amp;"."&amp;COUNTIFS($U$5:$U201,$U201,$V$5:$V201,"Sub"))))</f>
        <v/>
      </c>
      <c r="B201" s="57" t="n"/>
      <c r="C201" s="58" t="n"/>
      <c r="D201" s="58" t="n"/>
      <c r="E201" s="59" t="n"/>
      <c r="F201" s="59" t="n"/>
      <c r="G201" s="59" t="n"/>
      <c r="H201" s="60" t="n"/>
      <c r="I201" s="60" t="n"/>
      <c r="J201" s="60" t="n"/>
      <c r="K201" s="60" t="n"/>
      <c r="L201" s="60" t="n"/>
      <c r="M201" s="61">
        <f>IF(NOT((COUNTA($B201:$D201)+COUNTA($G201:$L201)+COUNTA($Q201))&gt;0),"",IF(AND($D201&lt;&gt;"",$V201="Macro"),IF(N($AH201)&gt;0,N(CHOOSE(MATCH($D201,ListaPuestos,0),INDEX('Cronograma R. Operacional'!$M$5:$M$1000,$AH201),INDEX('Cronograma R. Normativo'!$M$5:$M$1000,$AH201),INDEX('Cronograma R. Financiero'!$M$5:$M$1000,$AH201),INDEX('Cronograma Asistente Técnico'!$M$5:$M$1000,$AH201))),0),IF(ISNUMBER($G201),1,IF(N($W201)&gt;0,AVERAGEIFS($X$5:$X$1000,$U$5:$U$1000,ROW(),$V$5:$V$1000,"Sub"),$X201))))</f>
        <v/>
      </c>
      <c r="N201" s="56">
        <f>IF($M201="","",IF($M201&gt;=1,"Completado",IF($M201&gt;0,"En curso","Pendiente")))</f>
        <v/>
      </c>
      <c r="O201" s="56">
        <f>IF(NOT((COUNTA($B201:$D201)+COUNTA($G201:$L201)+COUNTA($Q201))&gt;0),"",IF(AND(AND($D201&lt;&gt;"",$V201="Macro"),N($AH201)&gt;0),CHOOSE(MATCH($D201,ListaPuestos,0),INDEX('Cronograma R. Operacional'!$O$5:$O$1000,$AH201),INDEX('Cronograma R. Normativo'!$O$5:$O$1000,$AH201),INDEX('Cronograma R. Financiero'!$O$5:$O$1000,$AH201),INDEX('Cronograma Asistente Técnico'!$O$5:$O$1000,$AH201))&amp;"",IF(ISNUMBER($G201),IF(AND(ISNUMBER($AN201),$G201&gt;$AN201),"Cumplida con "&amp;($G201-$AN201)&amp;IF($G201-$AN201=1," día"," días")&amp;" de retraso","Cumplida"),IF(N($M201)&gt;=1,"Cumplida",IF(NOT(ISNUMBER($AN201)),"Sin fecha límite",IF($AN201&lt;FechaRef,"Vencida hace "&amp;(FechaRef-$AN201)&amp;IF(FechaRef-$AN201=1," día"," días"),IF($AN201=FechaRef,"Vence hoy",IF($AN201-FechaRef&lt;=DiasAlerta,"Vence en "&amp;($AN201-FechaRef)&amp;IF($AN201-FechaRef=1," día"," días"),"En plazo"))))))))</f>
        <v/>
      </c>
      <c r="P201" s="62">
        <f>IF(NOT((COUNTA($B201:$D201)+COUNTA($G201:$L201)+COUNTA($Q201))&gt;0),"",IF($D201="","Propia",IF($V201&lt;&gt;"Macro","Solo se delegan macroactividades",IF(N($AH201)&gt;0,"✔ Recibida por "&amp;$D201,"⚠ "&amp;$D201&amp;" aún no la agrega"))))</f>
        <v/>
      </c>
      <c r="Q201" s="58" t="n"/>
      <c r="R201" s="63">
        <f>IF(NOT((COUNTA($B201:$D201)+COUNTA($G201:$L201)+COUNTA($Q201))&gt;0),"",IF((IF($C201="","Falta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",""))="","✔ OK","⚠ "&amp;LEFT(IF($C201="","Falta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",""),LEN(IF($C201="","Falta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",""))-3)))</f>
        <v/>
      </c>
      <c r="S201" s="64">
        <f>IF(NOT((COUNTA($B201:$D201)+COUNTA($G201:$L201)+COUNTA($Q201))&gt;0),"",IF(AND($V201="Sub",N($U201)&gt;0),IF(ISNUMBER(INDEX($AM$5:$AM$1000,$U201-4)),DATE(YEAR(INDEX($AM$5:$AM$1000,$U201-4)),MONTH(INDEX($AM$5:$AM$1000,$U201-4)),1),IF(ISNUMBER(INDEX($AN$5:$AN$1000,$U201-4)),DATE(YEAR(INDEX($AN$5:$AN$1000,$U201-4)),MONTH(INDEX($AN$5:$AN$1000,$U201-4)),1),MesCiclo)),IF(ISNUMBER($AM201),DATE(YEAR($AM201),MONTH($AM201),1),IF(ISNUMBER($AN201),DATE(YEAR($AN201),MONTH($AN201),1),MesCiclo))))</f>
        <v/>
      </c>
      <c r="T201" s="62">
        <f>IF(OR($S201="",$S201&lt;&gt;MesCiclo),"",COUNTIF($S$5:$S201,MesCiclo))</f>
        <v/>
      </c>
      <c r="U201" s="62">
        <f>IF($V201="","",IF($V201="Macro",ROW(),IFERROR(LOOKUP(2,1/($V$5:$V201="Macro"),ROW($V$5:$V201)),0)))</f>
        <v/>
      </c>
      <c r="V201" s="62">
        <f>IF(NOT((COUNTA($B201:$D201)+COUNTA($G201:$L201)+COUNTA($Q201))&gt;0),"",IF($B201="Subactividad","Sub","Macro"))</f>
        <v/>
      </c>
      <c r="W201" s="62">
        <f>IF($V201="Macro",COUNTIFS($U$5:$U$1000,ROW(),$V$5:$V$1000,"Sub"),"")</f>
        <v/>
      </c>
      <c r="X201" s="62">
        <f>IF($V201="","",IF(ISNUMBER($G201),1,IFERROR(LOOKUP(2,1/($I201:$L201&lt;&gt;""),$I201:$L201),0)))</f>
        <v/>
      </c>
      <c r="Y201" s="62">
        <f>IF($V201="","",IF(AND(ISNUMBER($G201),$G201&lt;=IF($S201=MesCiclo,InicioCiclo,$S201+MOD(2-WEEKDAY($S201),7))+6),1,IF(ISNUMBER($I201),$I201,0)))</f>
        <v/>
      </c>
      <c r="Z201" s="62">
        <f>IF($V201="","",IF(AND(ISNUMBER($G201),$G201&lt;=IF($S201=MesCiclo,InicioCiclo,$S201+MOD(2-WEEKDAY($S201),7))+13),1,IF(ISNUMBER($J201),$J201,$Y201)))</f>
        <v/>
      </c>
      <c r="AA201" s="62">
        <f>IF($V201="","",IF(AND(ISNUMBER($G201),$G201&lt;=IF($S201=MesCiclo,InicioCiclo,$S201+MOD(2-WEEKDAY($S201),7))+20),1,IF(ISNUMBER($K201),$K201,$Z201)))</f>
        <v/>
      </c>
      <c r="AB201" s="62">
        <f>IF($V201="","",IF(AND(ISNUMBER($G201),$G201&lt;=IF($S201=MesCiclo,InicioCiclo,$S201+MOD(2-WEEKDAY($S201),7))+27),1,IF(ISNUMBER($L201),$L201,$AA201)))</f>
        <v/>
      </c>
      <c r="AC201" s="62">
        <f>IF($V201="","",IF(AND(ISNUMBER($G201),$G201&lt;=IF($S201=MesCiclo,InicioCiclo,$S201+MOD(2-WEEKDAY($S201),7))+6),1,IF(N($W201)&gt;0,AVERAGEIFS($Y$5:$Y$1000,$U$5:$U$1000,ROW(),$V$5:$V$1000,"Sub"),$Y201)))</f>
        <v/>
      </c>
      <c r="AD201" s="62">
        <f>IF($V201="","",IF(AND(ISNUMBER($G201),$G201&lt;=IF($S201=MesCiclo,InicioCiclo,$S201+MOD(2-WEEKDAY($S201),7))+13),1,IF(N($W201)&gt;0,AVERAGEIFS($Z$5:$Z$1000,$U$5:$U$1000,ROW(),$V$5:$V$1000,"Sub"),$Z201)))</f>
        <v/>
      </c>
      <c r="AE201" s="62">
        <f>IF($V201="","",IF(AND(ISNUMBER($G201),$G201&lt;=IF($S201=MesCiclo,InicioCiclo,$S201+MOD(2-WEEKDAY($S201),7))+20),1,IF(N($W201)&gt;0,AVERAGEIFS($AA$5:$AA$1000,$U$5:$U$1000,ROW(),$V$5:$V$1000,"Sub"),$AA201)))</f>
        <v/>
      </c>
      <c r="AF201" s="62">
        <f>IF($V201="","",IF(AND(ISNUMBER($G201),$G201&lt;=IF($S201=MesCiclo,InicioCiclo,$S201+MOD(2-WEEKDAY($S201),7))+27),1,IF(N($W201)&gt;0,AVERAGEIFS($AB$5:$AB$1000,$U$5:$U$1000,ROW(),$V$5:$V$1000,"Sub"),$AB201)))</f>
        <v/>
      </c>
      <c r="AG201" s="62">
        <f>IF($V201&lt;&gt;"Macro","",IF(COUNTIFS($S$5:$S$1000,$S201,$V$5:$V$1000,"Macro",$H$5:$H$1000,"&gt;0")=0,1/COUNTIFS($S$5:$S$1000,$S201,$V$5:$V$1000,"Macro"),IF(AND(ISNUMBER($H201),N($H201)&gt;0),$H201,SUMIFS($H$5:$H$1000,$S$5:$S$1000,$S201,$V$5:$V$1000,"Macro")/COUNTIFS($S$5:$S$1000,$S201,$V$5:$V$1000,"Macro",$H$5:$H$1000,"&gt;0"))/(COUNTIFS($S$5:$S$1000,$S201,$V$5:$V$1000,"Macro")*SUMIFS($H$5:$H$1000,$S$5:$S$1000,$S201,$V$5:$V$1000,"Macro")/COUNTIFS($S$5:$S$1000,$S201,$V$5:$V$1000,"Macro",$H$5:$H$1000,"&gt;0"))))</f>
        <v/>
      </c>
      <c r="AH201" s="62">
        <f>IF(NOT(AND($D201&lt;&gt;"",$V201="Macro")),"",IFERROR(CHOOSE(MATCH($D201,ListaPuestos,0),MATCH("[Jefatura] "&amp;$C201,'Cronograma R. Operacional'!$C$5:$C$1000,0),MATCH("[Jefatura] "&amp;$C201,'Cronograma R. Normativo'!$C$5:$C$1000,0),MATCH("[Jefatura] "&amp;$C201,'Cronograma R. Financiero'!$C$5:$C$1000,0),MATCH("[Jefatura] "&amp;$C201,'Cronograma Asistente Técnico'!$C$5:$C$1000,0)),0))</f>
        <v/>
      </c>
      <c r="AI201" s="62">
        <f>IF(AND(AND($D201&lt;&gt;"",$V201="Macro"),$S201=MesCiclo),COUNTIFS($D$5:$D201,$D201,$S$5:$S201,MesCiclo,$V$5:$V201,"Macro"),"")</f>
        <v/>
      </c>
      <c r="AJ201" s="62">
        <f>IF($AI201="","",$D201&amp;"|"&amp;$AI201)</f>
        <v/>
      </c>
      <c r="AK201" s="62">
        <f>IF(AND($D201&lt;&gt;"",$V201="Macro"),$D201&amp;"|"&amp;$C201,"")</f>
        <v/>
      </c>
      <c r="AL201" s="62">
        <f>""</f>
        <v/>
      </c>
      <c r="AM201" s="62">
        <f>IF(N($AL201)&gt;0,INDEX(rIni_ADM,$AL201),IF(ISNUMBER($E201),$E201,""))</f>
        <v/>
      </c>
      <c r="AN201" s="62">
        <f>IF(N($AL201)&gt;0,INDEX(rLim_ADM,$AL201),IF(ISNUMBER($F201),$F201,""))</f>
        <v/>
      </c>
    </row>
    <row r="202">
      <c r="A202" s="56">
        <f>IF(NOT((COUNTA($B202:$D202)+COUNTA($G202:$L202)+COUNTA($Q202))&gt;0),"",IF($V202="Macro",COUNTIFS($V$5:$V202,"Macro",$S$5:$S202,$S202),IF(N($U202)=0,"?",COUNTIFS(INDEX($V$5:$V$1000,1):INDEX($V$5:$V$1000,$U202-4),"Macro",INDEX($S$5:$S$1000,1):INDEX($S$5:$S$1000,$U202-4),INDEX($S$5:$S$1000,$U202-4))&amp;"."&amp;COUNTIFS($U$5:$U202,$U202,$V$5:$V202,"Sub"))))</f>
        <v/>
      </c>
      <c r="B202" s="57" t="n"/>
      <c r="C202" s="58" t="n"/>
      <c r="D202" s="58" t="n"/>
      <c r="E202" s="59" t="n"/>
      <c r="F202" s="59" t="n"/>
      <c r="G202" s="59" t="n"/>
      <c r="H202" s="60" t="n"/>
      <c r="I202" s="60" t="n"/>
      <c r="J202" s="60" t="n"/>
      <c r="K202" s="60" t="n"/>
      <c r="L202" s="60" t="n"/>
      <c r="M202" s="61">
        <f>IF(NOT((COUNTA($B202:$D202)+COUNTA($G202:$L202)+COUNTA($Q202))&gt;0),"",IF(AND($D202&lt;&gt;"",$V202="Macro"),IF(N($AH202)&gt;0,N(CHOOSE(MATCH($D202,ListaPuestos,0),INDEX('Cronograma R. Operacional'!$M$5:$M$1000,$AH202),INDEX('Cronograma R. Normativo'!$M$5:$M$1000,$AH202),INDEX('Cronograma R. Financiero'!$M$5:$M$1000,$AH202),INDEX('Cronograma Asistente Técnico'!$M$5:$M$1000,$AH202))),0),IF(ISNUMBER($G202),1,IF(N($W202)&gt;0,AVERAGEIFS($X$5:$X$1000,$U$5:$U$1000,ROW(),$V$5:$V$1000,"Sub"),$X202))))</f>
        <v/>
      </c>
      <c r="N202" s="56">
        <f>IF($M202="","",IF($M202&gt;=1,"Completado",IF($M202&gt;0,"En curso","Pendiente")))</f>
        <v/>
      </c>
      <c r="O202" s="56">
        <f>IF(NOT((COUNTA($B202:$D202)+COUNTA($G202:$L202)+COUNTA($Q202))&gt;0),"",IF(AND(AND($D202&lt;&gt;"",$V202="Macro"),N($AH202)&gt;0),CHOOSE(MATCH($D202,ListaPuestos,0),INDEX('Cronograma R. Operacional'!$O$5:$O$1000,$AH202),INDEX('Cronograma R. Normativo'!$O$5:$O$1000,$AH202),INDEX('Cronograma R. Financiero'!$O$5:$O$1000,$AH202),INDEX('Cronograma Asistente Técnico'!$O$5:$O$1000,$AH202))&amp;"",IF(ISNUMBER($G202),IF(AND(ISNUMBER($AN202),$G202&gt;$AN202),"Cumplida con "&amp;($G202-$AN202)&amp;IF($G202-$AN202=1," día"," días")&amp;" de retraso","Cumplida"),IF(N($M202)&gt;=1,"Cumplida",IF(NOT(ISNUMBER($AN202)),"Sin fecha límite",IF($AN202&lt;FechaRef,"Vencida hace "&amp;(FechaRef-$AN202)&amp;IF(FechaRef-$AN202=1," día"," días"),IF($AN202=FechaRef,"Vence hoy",IF($AN202-FechaRef&lt;=DiasAlerta,"Vence en "&amp;($AN202-FechaRef)&amp;IF($AN202-FechaRef=1," día"," días"),"En plazo"))))))))</f>
        <v/>
      </c>
      <c r="P202" s="62">
        <f>IF(NOT((COUNTA($B202:$D202)+COUNTA($G202:$L202)+COUNTA($Q202))&gt;0),"",IF($D202="","Propia",IF($V202&lt;&gt;"Macro","Solo se delegan macroactividades",IF(N($AH202)&gt;0,"✔ Recibida por "&amp;$D202,"⚠ "&amp;$D202&amp;" aún no la agrega"))))</f>
        <v/>
      </c>
      <c r="Q202" s="58" t="n"/>
      <c r="R202" s="63">
        <f>IF(NOT((COUNTA($B202:$D202)+COUNTA($G202:$L202)+COUNTA($Q202))&gt;0),"",IF((IF($C202="","Falta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",""))="","✔ OK","⚠ "&amp;LEFT(IF($C202="","Falta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",""),LEN(IF($C202="","Falta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",""))-3)))</f>
        <v/>
      </c>
      <c r="S202" s="64">
        <f>IF(NOT((COUNTA($B202:$D202)+COUNTA($G202:$L202)+COUNTA($Q202))&gt;0),"",IF(AND($V202="Sub",N($U202)&gt;0),IF(ISNUMBER(INDEX($AM$5:$AM$1000,$U202-4)),DATE(YEAR(INDEX($AM$5:$AM$1000,$U202-4)),MONTH(INDEX($AM$5:$AM$1000,$U202-4)),1),IF(ISNUMBER(INDEX($AN$5:$AN$1000,$U202-4)),DATE(YEAR(INDEX($AN$5:$AN$1000,$U202-4)),MONTH(INDEX($AN$5:$AN$1000,$U202-4)),1),MesCiclo)),IF(ISNUMBER($AM202),DATE(YEAR($AM202),MONTH($AM202),1),IF(ISNUMBER($AN202),DATE(YEAR($AN202),MONTH($AN202),1),MesCiclo))))</f>
        <v/>
      </c>
      <c r="T202" s="62">
        <f>IF(OR($S202="",$S202&lt;&gt;MesCiclo),"",COUNTIF($S$5:$S202,MesCiclo))</f>
        <v/>
      </c>
      <c r="U202" s="62">
        <f>IF($V202="","",IF($V202="Macro",ROW(),IFERROR(LOOKUP(2,1/($V$5:$V202="Macro"),ROW($V$5:$V202)),0)))</f>
        <v/>
      </c>
      <c r="V202" s="62">
        <f>IF(NOT((COUNTA($B202:$D202)+COUNTA($G202:$L202)+COUNTA($Q202))&gt;0),"",IF($B202="Subactividad","Sub","Macro"))</f>
        <v/>
      </c>
      <c r="W202" s="62">
        <f>IF($V202="Macro",COUNTIFS($U$5:$U$1000,ROW(),$V$5:$V$1000,"Sub"),"")</f>
        <v/>
      </c>
      <c r="X202" s="62">
        <f>IF($V202="","",IF(ISNUMBER($G202),1,IFERROR(LOOKUP(2,1/($I202:$L202&lt;&gt;""),$I202:$L202),0)))</f>
        <v/>
      </c>
      <c r="Y202" s="62">
        <f>IF($V202="","",IF(AND(ISNUMBER($G202),$G202&lt;=IF($S202=MesCiclo,InicioCiclo,$S202+MOD(2-WEEKDAY($S202),7))+6),1,IF(ISNUMBER($I202),$I202,0)))</f>
        <v/>
      </c>
      <c r="Z202" s="62">
        <f>IF($V202="","",IF(AND(ISNUMBER($G202),$G202&lt;=IF($S202=MesCiclo,InicioCiclo,$S202+MOD(2-WEEKDAY($S202),7))+13),1,IF(ISNUMBER($J202),$J202,$Y202)))</f>
        <v/>
      </c>
      <c r="AA202" s="62">
        <f>IF($V202="","",IF(AND(ISNUMBER($G202),$G202&lt;=IF($S202=MesCiclo,InicioCiclo,$S202+MOD(2-WEEKDAY($S202),7))+20),1,IF(ISNUMBER($K202),$K202,$Z202)))</f>
        <v/>
      </c>
      <c r="AB202" s="62">
        <f>IF($V202="","",IF(AND(ISNUMBER($G202),$G202&lt;=IF($S202=MesCiclo,InicioCiclo,$S202+MOD(2-WEEKDAY($S202),7))+27),1,IF(ISNUMBER($L202),$L202,$AA202)))</f>
        <v/>
      </c>
      <c r="AC202" s="62">
        <f>IF($V202="","",IF(AND(ISNUMBER($G202),$G202&lt;=IF($S202=MesCiclo,InicioCiclo,$S202+MOD(2-WEEKDAY($S202),7))+6),1,IF(N($W202)&gt;0,AVERAGEIFS($Y$5:$Y$1000,$U$5:$U$1000,ROW(),$V$5:$V$1000,"Sub"),$Y202)))</f>
        <v/>
      </c>
      <c r="AD202" s="62">
        <f>IF($V202="","",IF(AND(ISNUMBER($G202),$G202&lt;=IF($S202=MesCiclo,InicioCiclo,$S202+MOD(2-WEEKDAY($S202),7))+13),1,IF(N($W202)&gt;0,AVERAGEIFS($Z$5:$Z$1000,$U$5:$U$1000,ROW(),$V$5:$V$1000,"Sub"),$Z202)))</f>
        <v/>
      </c>
      <c r="AE202" s="62">
        <f>IF($V202="","",IF(AND(ISNUMBER($G202),$G202&lt;=IF($S202=MesCiclo,InicioCiclo,$S202+MOD(2-WEEKDAY($S202),7))+20),1,IF(N($W202)&gt;0,AVERAGEIFS($AA$5:$AA$1000,$U$5:$U$1000,ROW(),$V$5:$V$1000,"Sub"),$AA202)))</f>
        <v/>
      </c>
      <c r="AF202" s="62">
        <f>IF($V202="","",IF(AND(ISNUMBER($G202),$G202&lt;=IF($S202=MesCiclo,InicioCiclo,$S202+MOD(2-WEEKDAY($S202),7))+27),1,IF(N($W202)&gt;0,AVERAGEIFS($AB$5:$AB$1000,$U$5:$U$1000,ROW(),$V$5:$V$1000,"Sub"),$AB202)))</f>
        <v/>
      </c>
      <c r="AG202" s="62">
        <f>IF($V202&lt;&gt;"Macro","",IF(COUNTIFS($S$5:$S$1000,$S202,$V$5:$V$1000,"Macro",$H$5:$H$1000,"&gt;0")=0,1/COUNTIFS($S$5:$S$1000,$S202,$V$5:$V$1000,"Macro"),IF(AND(ISNUMBER($H202),N($H202)&gt;0),$H202,SUMIFS($H$5:$H$1000,$S$5:$S$1000,$S202,$V$5:$V$1000,"Macro")/COUNTIFS($S$5:$S$1000,$S202,$V$5:$V$1000,"Macro",$H$5:$H$1000,"&gt;0"))/(COUNTIFS($S$5:$S$1000,$S202,$V$5:$V$1000,"Macro")*SUMIFS($H$5:$H$1000,$S$5:$S$1000,$S202,$V$5:$V$1000,"Macro")/COUNTIFS($S$5:$S$1000,$S202,$V$5:$V$1000,"Macro",$H$5:$H$1000,"&gt;0"))))</f>
        <v/>
      </c>
      <c r="AH202" s="62">
        <f>IF(NOT(AND($D202&lt;&gt;"",$V202="Macro")),"",IFERROR(CHOOSE(MATCH($D202,ListaPuestos,0),MATCH("[Jefatura] "&amp;$C202,'Cronograma R. Operacional'!$C$5:$C$1000,0),MATCH("[Jefatura] "&amp;$C202,'Cronograma R. Normativo'!$C$5:$C$1000,0),MATCH("[Jefatura] "&amp;$C202,'Cronograma R. Financiero'!$C$5:$C$1000,0),MATCH("[Jefatura] "&amp;$C202,'Cronograma Asistente Técnico'!$C$5:$C$1000,0)),0))</f>
        <v/>
      </c>
      <c r="AI202" s="62">
        <f>IF(AND(AND($D202&lt;&gt;"",$V202="Macro"),$S202=MesCiclo),COUNTIFS($D$5:$D202,$D202,$S$5:$S202,MesCiclo,$V$5:$V202,"Macro"),"")</f>
        <v/>
      </c>
      <c r="AJ202" s="62">
        <f>IF($AI202="","",$D202&amp;"|"&amp;$AI202)</f>
        <v/>
      </c>
      <c r="AK202" s="62">
        <f>IF(AND($D202&lt;&gt;"",$V202="Macro"),$D202&amp;"|"&amp;$C202,"")</f>
        <v/>
      </c>
      <c r="AL202" s="62">
        <f>""</f>
        <v/>
      </c>
      <c r="AM202" s="62">
        <f>IF(N($AL202)&gt;0,INDEX(rIni_ADM,$AL202),IF(ISNUMBER($E202),$E202,""))</f>
        <v/>
      </c>
      <c r="AN202" s="62">
        <f>IF(N($AL202)&gt;0,INDEX(rLim_ADM,$AL202),IF(ISNUMBER($F202),$F202,""))</f>
        <v/>
      </c>
    </row>
    <row r="203">
      <c r="A203" s="56">
        <f>IF(NOT((COUNTA($B203:$D203)+COUNTA($G203:$L203)+COUNTA($Q203))&gt;0),"",IF($V203="Macro",COUNTIFS($V$5:$V203,"Macro",$S$5:$S203,$S203),IF(N($U203)=0,"?",COUNTIFS(INDEX($V$5:$V$1000,1):INDEX($V$5:$V$1000,$U203-4),"Macro",INDEX($S$5:$S$1000,1):INDEX($S$5:$S$1000,$U203-4),INDEX($S$5:$S$1000,$U203-4))&amp;"."&amp;COUNTIFS($U$5:$U203,$U203,$V$5:$V203,"Sub"))))</f>
        <v/>
      </c>
      <c r="B203" s="57" t="n"/>
      <c r="C203" s="58" t="n"/>
      <c r="D203" s="58" t="n"/>
      <c r="E203" s="59" t="n"/>
      <c r="F203" s="59" t="n"/>
      <c r="G203" s="59" t="n"/>
      <c r="H203" s="60" t="n"/>
      <c r="I203" s="60" t="n"/>
      <c r="J203" s="60" t="n"/>
      <c r="K203" s="60" t="n"/>
      <c r="L203" s="60" t="n"/>
      <c r="M203" s="61">
        <f>IF(NOT((COUNTA($B203:$D203)+COUNTA($G203:$L203)+COUNTA($Q203))&gt;0),"",IF(AND($D203&lt;&gt;"",$V203="Macro"),IF(N($AH203)&gt;0,N(CHOOSE(MATCH($D203,ListaPuestos,0),INDEX('Cronograma R. Operacional'!$M$5:$M$1000,$AH203),INDEX('Cronograma R. Normativo'!$M$5:$M$1000,$AH203),INDEX('Cronograma R. Financiero'!$M$5:$M$1000,$AH203),INDEX('Cronograma Asistente Técnico'!$M$5:$M$1000,$AH203))),0),IF(ISNUMBER($G203),1,IF(N($W203)&gt;0,AVERAGEIFS($X$5:$X$1000,$U$5:$U$1000,ROW(),$V$5:$V$1000,"Sub"),$X203))))</f>
        <v/>
      </c>
      <c r="N203" s="56">
        <f>IF($M203="","",IF($M203&gt;=1,"Completado",IF($M203&gt;0,"En curso","Pendiente")))</f>
        <v/>
      </c>
      <c r="O203" s="56">
        <f>IF(NOT((COUNTA($B203:$D203)+COUNTA($G203:$L203)+COUNTA($Q203))&gt;0),"",IF(AND(AND($D203&lt;&gt;"",$V203="Macro"),N($AH203)&gt;0),CHOOSE(MATCH($D203,ListaPuestos,0),INDEX('Cronograma R. Operacional'!$O$5:$O$1000,$AH203),INDEX('Cronograma R. Normativo'!$O$5:$O$1000,$AH203),INDEX('Cronograma R. Financiero'!$O$5:$O$1000,$AH203),INDEX('Cronograma Asistente Técnico'!$O$5:$O$1000,$AH203))&amp;"",IF(ISNUMBER($G203),IF(AND(ISNUMBER($AN203),$G203&gt;$AN203),"Cumplida con "&amp;($G203-$AN203)&amp;IF($G203-$AN203=1," día"," días")&amp;" de retraso","Cumplida"),IF(N($M203)&gt;=1,"Cumplida",IF(NOT(ISNUMBER($AN203)),"Sin fecha límite",IF($AN203&lt;FechaRef,"Vencida hace "&amp;(FechaRef-$AN203)&amp;IF(FechaRef-$AN203=1," día"," días"),IF($AN203=FechaRef,"Vence hoy",IF($AN203-FechaRef&lt;=DiasAlerta,"Vence en "&amp;($AN203-FechaRef)&amp;IF($AN203-FechaRef=1," día"," días"),"En plazo"))))))))</f>
        <v/>
      </c>
      <c r="P203" s="62">
        <f>IF(NOT((COUNTA($B203:$D203)+COUNTA($G203:$L203)+COUNTA($Q203))&gt;0),"",IF($D203="","Propia",IF($V203&lt;&gt;"Macro","Solo se delegan macroactividades",IF(N($AH203)&gt;0,"✔ Recibida por "&amp;$D203,"⚠ "&amp;$D203&amp;" aún no la agrega"))))</f>
        <v/>
      </c>
      <c r="Q203" s="58" t="n"/>
      <c r="R203" s="63">
        <f>IF(NOT((COUNTA($B203:$D203)+COUNTA($G203:$L203)+COUNTA($Q203))&gt;0),"",IF((IF($C203="","Falta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",""))="","✔ OK","⚠ "&amp;LEFT(IF($C203="","Falta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",""),LEN(IF($C203="","Falta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",""))-3)))</f>
        <v/>
      </c>
      <c r="S203" s="64">
        <f>IF(NOT((COUNTA($B203:$D203)+COUNTA($G203:$L203)+COUNTA($Q203))&gt;0),"",IF(AND($V203="Sub",N($U203)&gt;0),IF(ISNUMBER(INDEX($AM$5:$AM$1000,$U203-4)),DATE(YEAR(INDEX($AM$5:$AM$1000,$U203-4)),MONTH(INDEX($AM$5:$AM$1000,$U203-4)),1),IF(ISNUMBER(INDEX($AN$5:$AN$1000,$U203-4)),DATE(YEAR(INDEX($AN$5:$AN$1000,$U203-4)),MONTH(INDEX($AN$5:$AN$1000,$U203-4)),1),MesCiclo)),IF(ISNUMBER($AM203),DATE(YEAR($AM203),MONTH($AM203),1),IF(ISNUMBER($AN203),DATE(YEAR($AN203),MONTH($AN203),1),MesCiclo))))</f>
        <v/>
      </c>
      <c r="T203" s="62">
        <f>IF(OR($S203="",$S203&lt;&gt;MesCiclo),"",COUNTIF($S$5:$S203,MesCiclo))</f>
        <v/>
      </c>
      <c r="U203" s="62">
        <f>IF($V203="","",IF($V203="Macro",ROW(),IFERROR(LOOKUP(2,1/($V$5:$V203="Macro"),ROW($V$5:$V203)),0)))</f>
        <v/>
      </c>
      <c r="V203" s="62">
        <f>IF(NOT((COUNTA($B203:$D203)+COUNTA($G203:$L203)+COUNTA($Q203))&gt;0),"",IF($B203="Subactividad","Sub","Macro"))</f>
        <v/>
      </c>
      <c r="W203" s="62">
        <f>IF($V203="Macro",COUNTIFS($U$5:$U$1000,ROW(),$V$5:$V$1000,"Sub"),"")</f>
        <v/>
      </c>
      <c r="X203" s="62">
        <f>IF($V203="","",IF(ISNUMBER($G203),1,IFERROR(LOOKUP(2,1/($I203:$L203&lt;&gt;""),$I203:$L203),0)))</f>
        <v/>
      </c>
      <c r="Y203" s="62">
        <f>IF($V203="","",IF(AND(ISNUMBER($G203),$G203&lt;=IF($S203=MesCiclo,InicioCiclo,$S203+MOD(2-WEEKDAY($S203),7))+6),1,IF(ISNUMBER($I203),$I203,0)))</f>
        <v/>
      </c>
      <c r="Z203" s="62">
        <f>IF($V203="","",IF(AND(ISNUMBER($G203),$G203&lt;=IF($S203=MesCiclo,InicioCiclo,$S203+MOD(2-WEEKDAY($S203),7))+13),1,IF(ISNUMBER($J203),$J203,$Y203)))</f>
        <v/>
      </c>
      <c r="AA203" s="62">
        <f>IF($V203="","",IF(AND(ISNUMBER($G203),$G203&lt;=IF($S203=MesCiclo,InicioCiclo,$S203+MOD(2-WEEKDAY($S203),7))+20),1,IF(ISNUMBER($K203),$K203,$Z203)))</f>
        <v/>
      </c>
      <c r="AB203" s="62">
        <f>IF($V203="","",IF(AND(ISNUMBER($G203),$G203&lt;=IF($S203=MesCiclo,InicioCiclo,$S203+MOD(2-WEEKDAY($S203),7))+27),1,IF(ISNUMBER($L203),$L203,$AA203)))</f>
        <v/>
      </c>
      <c r="AC203" s="62">
        <f>IF($V203="","",IF(AND(ISNUMBER($G203),$G203&lt;=IF($S203=MesCiclo,InicioCiclo,$S203+MOD(2-WEEKDAY($S203),7))+6),1,IF(N($W203)&gt;0,AVERAGEIFS($Y$5:$Y$1000,$U$5:$U$1000,ROW(),$V$5:$V$1000,"Sub"),$Y203)))</f>
        <v/>
      </c>
      <c r="AD203" s="62">
        <f>IF($V203="","",IF(AND(ISNUMBER($G203),$G203&lt;=IF($S203=MesCiclo,InicioCiclo,$S203+MOD(2-WEEKDAY($S203),7))+13),1,IF(N($W203)&gt;0,AVERAGEIFS($Z$5:$Z$1000,$U$5:$U$1000,ROW(),$V$5:$V$1000,"Sub"),$Z203)))</f>
        <v/>
      </c>
      <c r="AE203" s="62">
        <f>IF($V203="","",IF(AND(ISNUMBER($G203),$G203&lt;=IF($S203=MesCiclo,InicioCiclo,$S203+MOD(2-WEEKDAY($S203),7))+20),1,IF(N($W203)&gt;0,AVERAGEIFS($AA$5:$AA$1000,$U$5:$U$1000,ROW(),$V$5:$V$1000,"Sub"),$AA203)))</f>
        <v/>
      </c>
      <c r="AF203" s="62">
        <f>IF($V203="","",IF(AND(ISNUMBER($G203),$G203&lt;=IF($S203=MesCiclo,InicioCiclo,$S203+MOD(2-WEEKDAY($S203),7))+27),1,IF(N($W203)&gt;0,AVERAGEIFS($AB$5:$AB$1000,$U$5:$U$1000,ROW(),$V$5:$V$1000,"Sub"),$AB203)))</f>
        <v/>
      </c>
      <c r="AG203" s="62">
        <f>IF($V203&lt;&gt;"Macro","",IF(COUNTIFS($S$5:$S$1000,$S203,$V$5:$V$1000,"Macro",$H$5:$H$1000,"&gt;0")=0,1/COUNTIFS($S$5:$S$1000,$S203,$V$5:$V$1000,"Macro"),IF(AND(ISNUMBER($H203),N($H203)&gt;0),$H203,SUMIFS($H$5:$H$1000,$S$5:$S$1000,$S203,$V$5:$V$1000,"Macro")/COUNTIFS($S$5:$S$1000,$S203,$V$5:$V$1000,"Macro",$H$5:$H$1000,"&gt;0"))/(COUNTIFS($S$5:$S$1000,$S203,$V$5:$V$1000,"Macro")*SUMIFS($H$5:$H$1000,$S$5:$S$1000,$S203,$V$5:$V$1000,"Macro")/COUNTIFS($S$5:$S$1000,$S203,$V$5:$V$1000,"Macro",$H$5:$H$1000,"&gt;0"))))</f>
        <v/>
      </c>
      <c r="AH203" s="62">
        <f>IF(NOT(AND($D203&lt;&gt;"",$V203="Macro")),"",IFERROR(CHOOSE(MATCH($D203,ListaPuestos,0),MATCH("[Jefatura] "&amp;$C203,'Cronograma R. Operacional'!$C$5:$C$1000,0),MATCH("[Jefatura] "&amp;$C203,'Cronograma R. Normativo'!$C$5:$C$1000,0),MATCH("[Jefatura] "&amp;$C203,'Cronograma R. Financiero'!$C$5:$C$1000,0),MATCH("[Jefatura] "&amp;$C203,'Cronograma Asistente Técnico'!$C$5:$C$1000,0)),0))</f>
        <v/>
      </c>
      <c r="AI203" s="62">
        <f>IF(AND(AND($D203&lt;&gt;"",$V203="Macro"),$S203=MesCiclo),COUNTIFS($D$5:$D203,$D203,$S$5:$S203,MesCiclo,$V$5:$V203,"Macro"),"")</f>
        <v/>
      </c>
      <c r="AJ203" s="62">
        <f>IF($AI203="","",$D203&amp;"|"&amp;$AI203)</f>
        <v/>
      </c>
      <c r="AK203" s="62">
        <f>IF(AND($D203&lt;&gt;"",$V203="Macro"),$D203&amp;"|"&amp;$C203,"")</f>
        <v/>
      </c>
      <c r="AL203" s="62">
        <f>""</f>
        <v/>
      </c>
      <c r="AM203" s="62">
        <f>IF(N($AL203)&gt;0,INDEX(rIni_ADM,$AL203),IF(ISNUMBER($E203),$E203,""))</f>
        <v/>
      </c>
      <c r="AN203" s="62">
        <f>IF(N($AL203)&gt;0,INDEX(rLim_ADM,$AL203),IF(ISNUMBER($F203),$F203,""))</f>
        <v/>
      </c>
    </row>
    <row r="204">
      <c r="A204" s="56">
        <f>IF(NOT((COUNTA($B204:$D204)+COUNTA($G204:$L204)+COUNTA($Q204))&gt;0),"",IF($V204="Macro",COUNTIFS($V$5:$V204,"Macro",$S$5:$S204,$S204),IF(N($U204)=0,"?",COUNTIFS(INDEX($V$5:$V$1000,1):INDEX($V$5:$V$1000,$U204-4),"Macro",INDEX($S$5:$S$1000,1):INDEX($S$5:$S$1000,$U204-4),INDEX($S$5:$S$1000,$U204-4))&amp;"."&amp;COUNTIFS($U$5:$U204,$U204,$V$5:$V204,"Sub"))))</f>
        <v/>
      </c>
      <c r="B204" s="57" t="n"/>
      <c r="C204" s="58" t="n"/>
      <c r="D204" s="58" t="n"/>
      <c r="E204" s="59" t="n"/>
      <c r="F204" s="59" t="n"/>
      <c r="G204" s="59" t="n"/>
      <c r="H204" s="60" t="n"/>
      <c r="I204" s="60" t="n"/>
      <c r="J204" s="60" t="n"/>
      <c r="K204" s="60" t="n"/>
      <c r="L204" s="60" t="n"/>
      <c r="M204" s="61">
        <f>IF(NOT((COUNTA($B204:$D204)+COUNTA($G204:$L204)+COUNTA($Q204))&gt;0),"",IF(AND($D204&lt;&gt;"",$V204="Macro"),IF(N($AH204)&gt;0,N(CHOOSE(MATCH($D204,ListaPuestos,0),INDEX('Cronograma R. Operacional'!$M$5:$M$1000,$AH204),INDEX('Cronograma R. Normativo'!$M$5:$M$1000,$AH204),INDEX('Cronograma R. Financiero'!$M$5:$M$1000,$AH204),INDEX('Cronograma Asistente Técnico'!$M$5:$M$1000,$AH204))),0),IF(ISNUMBER($G204),1,IF(N($W204)&gt;0,AVERAGEIFS($X$5:$X$1000,$U$5:$U$1000,ROW(),$V$5:$V$1000,"Sub"),$X204))))</f>
        <v/>
      </c>
      <c r="N204" s="56">
        <f>IF($M204="","",IF($M204&gt;=1,"Completado",IF($M204&gt;0,"En curso","Pendiente")))</f>
        <v/>
      </c>
      <c r="O204" s="56">
        <f>IF(NOT((COUNTA($B204:$D204)+COUNTA($G204:$L204)+COUNTA($Q204))&gt;0),"",IF(AND(AND($D204&lt;&gt;"",$V204="Macro"),N($AH204)&gt;0),CHOOSE(MATCH($D204,ListaPuestos,0),INDEX('Cronograma R. Operacional'!$O$5:$O$1000,$AH204),INDEX('Cronograma R. Normativo'!$O$5:$O$1000,$AH204),INDEX('Cronograma R. Financiero'!$O$5:$O$1000,$AH204),INDEX('Cronograma Asistente Técnico'!$O$5:$O$1000,$AH204))&amp;"",IF(ISNUMBER($G204),IF(AND(ISNUMBER($AN204),$G204&gt;$AN204),"Cumplida con "&amp;($G204-$AN204)&amp;IF($G204-$AN204=1," día"," días")&amp;" de retraso","Cumplida"),IF(N($M204)&gt;=1,"Cumplida",IF(NOT(ISNUMBER($AN204)),"Sin fecha límite",IF($AN204&lt;FechaRef,"Vencida hace "&amp;(FechaRef-$AN204)&amp;IF(FechaRef-$AN204=1," día"," días"),IF($AN204=FechaRef,"Vence hoy",IF($AN204-FechaRef&lt;=DiasAlerta,"Vence en "&amp;($AN204-FechaRef)&amp;IF($AN204-FechaRef=1," día"," días"),"En plazo"))))))))</f>
        <v/>
      </c>
      <c r="P204" s="62">
        <f>IF(NOT((COUNTA($B204:$D204)+COUNTA($G204:$L204)+COUNTA($Q204))&gt;0),"",IF($D204="","Propia",IF($V204&lt;&gt;"Macro","Solo se delegan macroactividades",IF(N($AH204)&gt;0,"✔ Recibida por "&amp;$D204,"⚠ "&amp;$D204&amp;" aún no la agrega"))))</f>
        <v/>
      </c>
      <c r="Q204" s="58" t="n"/>
      <c r="R204" s="63">
        <f>IF(NOT((COUNTA($B204:$D204)+COUNTA($G204:$L204)+COUNTA($Q204))&gt;0),"",IF((IF($C204="","Falta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",""))="","✔ OK","⚠ "&amp;LEFT(IF($C204="","Falta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",""),LEN(IF($C204="","Falta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",""))-3)))</f>
        <v/>
      </c>
      <c r="S204" s="64">
        <f>IF(NOT((COUNTA($B204:$D204)+COUNTA($G204:$L204)+COUNTA($Q204))&gt;0),"",IF(AND($V204="Sub",N($U204)&gt;0),IF(ISNUMBER(INDEX($AM$5:$AM$1000,$U204-4)),DATE(YEAR(INDEX($AM$5:$AM$1000,$U204-4)),MONTH(INDEX($AM$5:$AM$1000,$U204-4)),1),IF(ISNUMBER(INDEX($AN$5:$AN$1000,$U204-4)),DATE(YEAR(INDEX($AN$5:$AN$1000,$U204-4)),MONTH(INDEX($AN$5:$AN$1000,$U204-4)),1),MesCiclo)),IF(ISNUMBER($AM204),DATE(YEAR($AM204),MONTH($AM204),1),IF(ISNUMBER($AN204),DATE(YEAR($AN204),MONTH($AN204),1),MesCiclo))))</f>
        <v/>
      </c>
      <c r="T204" s="62">
        <f>IF(OR($S204="",$S204&lt;&gt;MesCiclo),"",COUNTIF($S$5:$S204,MesCiclo))</f>
        <v/>
      </c>
      <c r="U204" s="62">
        <f>IF($V204="","",IF($V204="Macro",ROW(),IFERROR(LOOKUP(2,1/($V$5:$V204="Macro"),ROW($V$5:$V204)),0)))</f>
        <v/>
      </c>
      <c r="V204" s="62">
        <f>IF(NOT((COUNTA($B204:$D204)+COUNTA($G204:$L204)+COUNTA($Q204))&gt;0),"",IF($B204="Subactividad","Sub","Macro"))</f>
        <v/>
      </c>
      <c r="W204" s="62">
        <f>IF($V204="Macro",COUNTIFS($U$5:$U$1000,ROW(),$V$5:$V$1000,"Sub"),"")</f>
        <v/>
      </c>
      <c r="X204" s="62">
        <f>IF($V204="","",IF(ISNUMBER($G204),1,IFERROR(LOOKUP(2,1/($I204:$L204&lt;&gt;""),$I204:$L204),0)))</f>
        <v/>
      </c>
      <c r="Y204" s="62">
        <f>IF($V204="","",IF(AND(ISNUMBER($G204),$G204&lt;=IF($S204=MesCiclo,InicioCiclo,$S204+MOD(2-WEEKDAY($S204),7))+6),1,IF(ISNUMBER($I204),$I204,0)))</f>
        <v/>
      </c>
      <c r="Z204" s="62">
        <f>IF($V204="","",IF(AND(ISNUMBER($G204),$G204&lt;=IF($S204=MesCiclo,InicioCiclo,$S204+MOD(2-WEEKDAY($S204),7))+13),1,IF(ISNUMBER($J204),$J204,$Y204)))</f>
        <v/>
      </c>
      <c r="AA204" s="62">
        <f>IF($V204="","",IF(AND(ISNUMBER($G204),$G204&lt;=IF($S204=MesCiclo,InicioCiclo,$S204+MOD(2-WEEKDAY($S204),7))+20),1,IF(ISNUMBER($K204),$K204,$Z204)))</f>
        <v/>
      </c>
      <c r="AB204" s="62">
        <f>IF($V204="","",IF(AND(ISNUMBER($G204),$G204&lt;=IF($S204=MesCiclo,InicioCiclo,$S204+MOD(2-WEEKDAY($S204),7))+27),1,IF(ISNUMBER($L204),$L204,$AA204)))</f>
        <v/>
      </c>
      <c r="AC204" s="62">
        <f>IF($V204="","",IF(AND(ISNUMBER($G204),$G204&lt;=IF($S204=MesCiclo,InicioCiclo,$S204+MOD(2-WEEKDAY($S204),7))+6),1,IF(N($W204)&gt;0,AVERAGEIFS($Y$5:$Y$1000,$U$5:$U$1000,ROW(),$V$5:$V$1000,"Sub"),$Y204)))</f>
        <v/>
      </c>
      <c r="AD204" s="62">
        <f>IF($V204="","",IF(AND(ISNUMBER($G204),$G204&lt;=IF($S204=MesCiclo,InicioCiclo,$S204+MOD(2-WEEKDAY($S204),7))+13),1,IF(N($W204)&gt;0,AVERAGEIFS($Z$5:$Z$1000,$U$5:$U$1000,ROW(),$V$5:$V$1000,"Sub"),$Z204)))</f>
        <v/>
      </c>
      <c r="AE204" s="62">
        <f>IF($V204="","",IF(AND(ISNUMBER($G204),$G204&lt;=IF($S204=MesCiclo,InicioCiclo,$S204+MOD(2-WEEKDAY($S204),7))+20),1,IF(N($W204)&gt;0,AVERAGEIFS($AA$5:$AA$1000,$U$5:$U$1000,ROW(),$V$5:$V$1000,"Sub"),$AA204)))</f>
        <v/>
      </c>
      <c r="AF204" s="62">
        <f>IF($V204="","",IF(AND(ISNUMBER($G204),$G204&lt;=IF($S204=MesCiclo,InicioCiclo,$S204+MOD(2-WEEKDAY($S204),7))+27),1,IF(N($W204)&gt;0,AVERAGEIFS($AB$5:$AB$1000,$U$5:$U$1000,ROW(),$V$5:$V$1000,"Sub"),$AB204)))</f>
        <v/>
      </c>
      <c r="AG204" s="62">
        <f>IF($V204&lt;&gt;"Macro","",IF(COUNTIFS($S$5:$S$1000,$S204,$V$5:$V$1000,"Macro",$H$5:$H$1000,"&gt;0")=0,1/COUNTIFS($S$5:$S$1000,$S204,$V$5:$V$1000,"Macro"),IF(AND(ISNUMBER($H204),N($H204)&gt;0),$H204,SUMIFS($H$5:$H$1000,$S$5:$S$1000,$S204,$V$5:$V$1000,"Macro")/COUNTIFS($S$5:$S$1000,$S204,$V$5:$V$1000,"Macro",$H$5:$H$1000,"&gt;0"))/(COUNTIFS($S$5:$S$1000,$S204,$V$5:$V$1000,"Macro")*SUMIFS($H$5:$H$1000,$S$5:$S$1000,$S204,$V$5:$V$1000,"Macro")/COUNTIFS($S$5:$S$1000,$S204,$V$5:$V$1000,"Macro",$H$5:$H$1000,"&gt;0"))))</f>
        <v/>
      </c>
      <c r="AH204" s="62">
        <f>IF(NOT(AND($D204&lt;&gt;"",$V204="Macro")),"",IFERROR(CHOOSE(MATCH($D204,ListaPuestos,0),MATCH("[Jefatura] "&amp;$C204,'Cronograma R. Operacional'!$C$5:$C$1000,0),MATCH("[Jefatura] "&amp;$C204,'Cronograma R. Normativo'!$C$5:$C$1000,0),MATCH("[Jefatura] "&amp;$C204,'Cronograma R. Financiero'!$C$5:$C$1000,0),MATCH("[Jefatura] "&amp;$C204,'Cronograma Asistente Técnico'!$C$5:$C$1000,0)),0))</f>
        <v/>
      </c>
      <c r="AI204" s="62">
        <f>IF(AND(AND($D204&lt;&gt;"",$V204="Macro"),$S204=MesCiclo),COUNTIFS($D$5:$D204,$D204,$S$5:$S204,MesCiclo,$V$5:$V204,"Macro"),"")</f>
        <v/>
      </c>
      <c r="AJ204" s="62">
        <f>IF($AI204="","",$D204&amp;"|"&amp;$AI204)</f>
        <v/>
      </c>
      <c r="AK204" s="62">
        <f>IF(AND($D204&lt;&gt;"",$V204="Macro"),$D204&amp;"|"&amp;$C204,"")</f>
        <v/>
      </c>
      <c r="AL204" s="62">
        <f>""</f>
        <v/>
      </c>
      <c r="AM204" s="62">
        <f>IF(N($AL204)&gt;0,INDEX(rIni_ADM,$AL204),IF(ISNUMBER($E204),$E204,""))</f>
        <v/>
      </c>
      <c r="AN204" s="62">
        <f>IF(N($AL204)&gt;0,INDEX(rLim_ADM,$AL204),IF(ISNUMBER($F204),$F204,""))</f>
        <v/>
      </c>
    </row>
    <row r="205">
      <c r="A205" s="56">
        <f>IF(NOT((COUNTA($B205:$D205)+COUNTA($G205:$L205)+COUNTA($Q205))&gt;0),"",IF($V205="Macro",COUNTIFS($V$5:$V205,"Macro",$S$5:$S205,$S205),IF(N($U205)=0,"?",COUNTIFS(INDEX($V$5:$V$1000,1):INDEX($V$5:$V$1000,$U205-4),"Macro",INDEX($S$5:$S$1000,1):INDEX($S$5:$S$1000,$U205-4),INDEX($S$5:$S$1000,$U205-4))&amp;"."&amp;COUNTIFS($U$5:$U205,$U205,$V$5:$V205,"Sub"))))</f>
        <v/>
      </c>
      <c r="B205" s="57" t="n"/>
      <c r="C205" s="58" t="n"/>
      <c r="D205" s="58" t="n"/>
      <c r="E205" s="59" t="n"/>
      <c r="F205" s="59" t="n"/>
      <c r="G205" s="59" t="n"/>
      <c r="H205" s="60" t="n"/>
      <c r="I205" s="60" t="n"/>
      <c r="J205" s="60" t="n"/>
      <c r="K205" s="60" t="n"/>
      <c r="L205" s="60" t="n"/>
      <c r="M205" s="61">
        <f>IF(NOT((COUNTA($B205:$D205)+COUNTA($G205:$L205)+COUNTA($Q205))&gt;0),"",IF(AND($D205&lt;&gt;"",$V205="Macro"),IF(N($AH205)&gt;0,N(CHOOSE(MATCH($D205,ListaPuestos,0),INDEX('Cronograma R. Operacional'!$M$5:$M$1000,$AH205),INDEX('Cronograma R. Normativo'!$M$5:$M$1000,$AH205),INDEX('Cronograma R. Financiero'!$M$5:$M$1000,$AH205),INDEX('Cronograma Asistente Técnico'!$M$5:$M$1000,$AH205))),0),IF(ISNUMBER($G205),1,IF(N($W205)&gt;0,AVERAGEIFS($X$5:$X$1000,$U$5:$U$1000,ROW(),$V$5:$V$1000,"Sub"),$X205))))</f>
        <v/>
      </c>
      <c r="N205" s="56">
        <f>IF($M205="","",IF($M205&gt;=1,"Completado",IF($M205&gt;0,"En curso","Pendiente")))</f>
        <v/>
      </c>
      <c r="O205" s="56">
        <f>IF(NOT((COUNTA($B205:$D205)+COUNTA($G205:$L205)+COUNTA($Q205))&gt;0),"",IF(AND(AND($D205&lt;&gt;"",$V205="Macro"),N($AH205)&gt;0),CHOOSE(MATCH($D205,ListaPuestos,0),INDEX('Cronograma R. Operacional'!$O$5:$O$1000,$AH205),INDEX('Cronograma R. Normativo'!$O$5:$O$1000,$AH205),INDEX('Cronograma R. Financiero'!$O$5:$O$1000,$AH205),INDEX('Cronograma Asistente Técnico'!$O$5:$O$1000,$AH205))&amp;"",IF(ISNUMBER($G205),IF(AND(ISNUMBER($AN205),$G205&gt;$AN205),"Cumplida con "&amp;($G205-$AN205)&amp;IF($G205-$AN205=1," día"," días")&amp;" de retraso","Cumplida"),IF(N($M205)&gt;=1,"Cumplida",IF(NOT(ISNUMBER($AN205)),"Sin fecha límite",IF($AN205&lt;FechaRef,"Vencida hace "&amp;(FechaRef-$AN205)&amp;IF(FechaRef-$AN205=1," día"," días"),IF($AN205=FechaRef,"Vence hoy",IF($AN205-FechaRef&lt;=DiasAlerta,"Vence en "&amp;($AN205-FechaRef)&amp;IF($AN205-FechaRef=1," día"," días"),"En plazo"))))))))</f>
        <v/>
      </c>
      <c r="P205" s="62">
        <f>IF(NOT((COUNTA($B205:$D205)+COUNTA($G205:$L205)+COUNTA($Q205))&gt;0),"",IF($D205="","Propia",IF($V205&lt;&gt;"Macro","Solo se delegan macroactividades",IF(N($AH205)&gt;0,"✔ Recibida por "&amp;$D205,"⚠ "&amp;$D205&amp;" aún no la agrega"))))</f>
        <v/>
      </c>
      <c r="Q205" s="58" t="n"/>
      <c r="R205" s="63">
        <f>IF(NOT((COUNTA($B205:$D205)+COUNTA($G205:$L205)+COUNTA($Q205))&gt;0),"",IF((IF($C205="","Falta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",""))="","✔ OK","⚠ "&amp;LEFT(IF($C205="","Falta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",""),LEN(IF($C205="","Falta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",""))-3)))</f>
        <v/>
      </c>
      <c r="S205" s="64">
        <f>IF(NOT((COUNTA($B205:$D205)+COUNTA($G205:$L205)+COUNTA($Q205))&gt;0),"",IF(AND($V205="Sub",N($U205)&gt;0),IF(ISNUMBER(INDEX($AM$5:$AM$1000,$U205-4)),DATE(YEAR(INDEX($AM$5:$AM$1000,$U205-4)),MONTH(INDEX($AM$5:$AM$1000,$U205-4)),1),IF(ISNUMBER(INDEX($AN$5:$AN$1000,$U205-4)),DATE(YEAR(INDEX($AN$5:$AN$1000,$U205-4)),MONTH(INDEX($AN$5:$AN$1000,$U205-4)),1),MesCiclo)),IF(ISNUMBER($AM205),DATE(YEAR($AM205),MONTH($AM205),1),IF(ISNUMBER($AN205),DATE(YEAR($AN205),MONTH($AN205),1),MesCiclo))))</f>
        <v/>
      </c>
      <c r="T205" s="62">
        <f>IF(OR($S205="",$S205&lt;&gt;MesCiclo),"",COUNTIF($S$5:$S205,MesCiclo))</f>
        <v/>
      </c>
      <c r="U205" s="62">
        <f>IF($V205="","",IF($V205="Macro",ROW(),IFERROR(LOOKUP(2,1/($V$5:$V205="Macro"),ROW($V$5:$V205)),0)))</f>
        <v/>
      </c>
      <c r="V205" s="62">
        <f>IF(NOT((COUNTA($B205:$D205)+COUNTA($G205:$L205)+COUNTA($Q205))&gt;0),"",IF($B205="Subactividad","Sub","Macro"))</f>
        <v/>
      </c>
      <c r="W205" s="62">
        <f>IF($V205="Macro",COUNTIFS($U$5:$U$1000,ROW(),$V$5:$V$1000,"Sub"),"")</f>
        <v/>
      </c>
      <c r="X205" s="62">
        <f>IF($V205="","",IF(ISNUMBER($G205),1,IFERROR(LOOKUP(2,1/($I205:$L205&lt;&gt;""),$I205:$L205),0)))</f>
        <v/>
      </c>
      <c r="Y205" s="62">
        <f>IF($V205="","",IF(AND(ISNUMBER($G205),$G205&lt;=IF($S205=MesCiclo,InicioCiclo,$S205+MOD(2-WEEKDAY($S205),7))+6),1,IF(ISNUMBER($I205),$I205,0)))</f>
        <v/>
      </c>
      <c r="Z205" s="62">
        <f>IF($V205="","",IF(AND(ISNUMBER($G205),$G205&lt;=IF($S205=MesCiclo,InicioCiclo,$S205+MOD(2-WEEKDAY($S205),7))+13),1,IF(ISNUMBER($J205),$J205,$Y205)))</f>
        <v/>
      </c>
      <c r="AA205" s="62">
        <f>IF($V205="","",IF(AND(ISNUMBER($G205),$G205&lt;=IF($S205=MesCiclo,InicioCiclo,$S205+MOD(2-WEEKDAY($S205),7))+20),1,IF(ISNUMBER($K205),$K205,$Z205)))</f>
        <v/>
      </c>
      <c r="AB205" s="62">
        <f>IF($V205="","",IF(AND(ISNUMBER($G205),$G205&lt;=IF($S205=MesCiclo,InicioCiclo,$S205+MOD(2-WEEKDAY($S205),7))+27),1,IF(ISNUMBER($L205),$L205,$AA205)))</f>
        <v/>
      </c>
      <c r="AC205" s="62">
        <f>IF($V205="","",IF(AND(ISNUMBER($G205),$G205&lt;=IF($S205=MesCiclo,InicioCiclo,$S205+MOD(2-WEEKDAY($S205),7))+6),1,IF(N($W205)&gt;0,AVERAGEIFS($Y$5:$Y$1000,$U$5:$U$1000,ROW(),$V$5:$V$1000,"Sub"),$Y205)))</f>
        <v/>
      </c>
      <c r="AD205" s="62">
        <f>IF($V205="","",IF(AND(ISNUMBER($G205),$G205&lt;=IF($S205=MesCiclo,InicioCiclo,$S205+MOD(2-WEEKDAY($S205),7))+13),1,IF(N($W205)&gt;0,AVERAGEIFS($Z$5:$Z$1000,$U$5:$U$1000,ROW(),$V$5:$V$1000,"Sub"),$Z205)))</f>
        <v/>
      </c>
      <c r="AE205" s="62">
        <f>IF($V205="","",IF(AND(ISNUMBER($G205),$G205&lt;=IF($S205=MesCiclo,InicioCiclo,$S205+MOD(2-WEEKDAY($S205),7))+20),1,IF(N($W205)&gt;0,AVERAGEIFS($AA$5:$AA$1000,$U$5:$U$1000,ROW(),$V$5:$V$1000,"Sub"),$AA205)))</f>
        <v/>
      </c>
      <c r="AF205" s="62">
        <f>IF($V205="","",IF(AND(ISNUMBER($G205),$G205&lt;=IF($S205=MesCiclo,InicioCiclo,$S205+MOD(2-WEEKDAY($S205),7))+27),1,IF(N($W205)&gt;0,AVERAGEIFS($AB$5:$AB$1000,$U$5:$U$1000,ROW(),$V$5:$V$1000,"Sub"),$AB205)))</f>
        <v/>
      </c>
      <c r="AG205" s="62">
        <f>IF($V205&lt;&gt;"Macro","",IF(COUNTIFS($S$5:$S$1000,$S205,$V$5:$V$1000,"Macro",$H$5:$H$1000,"&gt;0")=0,1/COUNTIFS($S$5:$S$1000,$S205,$V$5:$V$1000,"Macro"),IF(AND(ISNUMBER($H205),N($H205)&gt;0),$H205,SUMIFS($H$5:$H$1000,$S$5:$S$1000,$S205,$V$5:$V$1000,"Macro")/COUNTIFS($S$5:$S$1000,$S205,$V$5:$V$1000,"Macro",$H$5:$H$1000,"&gt;0"))/(COUNTIFS($S$5:$S$1000,$S205,$V$5:$V$1000,"Macro")*SUMIFS($H$5:$H$1000,$S$5:$S$1000,$S205,$V$5:$V$1000,"Macro")/COUNTIFS($S$5:$S$1000,$S205,$V$5:$V$1000,"Macro",$H$5:$H$1000,"&gt;0"))))</f>
        <v/>
      </c>
      <c r="AH205" s="62">
        <f>IF(NOT(AND($D205&lt;&gt;"",$V205="Macro")),"",IFERROR(CHOOSE(MATCH($D205,ListaPuestos,0),MATCH("[Jefatura] "&amp;$C205,'Cronograma R. Operacional'!$C$5:$C$1000,0),MATCH("[Jefatura] "&amp;$C205,'Cronograma R. Normativo'!$C$5:$C$1000,0),MATCH("[Jefatura] "&amp;$C205,'Cronograma R. Financiero'!$C$5:$C$1000,0),MATCH("[Jefatura] "&amp;$C205,'Cronograma Asistente Técnico'!$C$5:$C$1000,0)),0))</f>
        <v/>
      </c>
      <c r="AI205" s="62">
        <f>IF(AND(AND($D205&lt;&gt;"",$V205="Macro"),$S205=MesCiclo),COUNTIFS($D$5:$D205,$D205,$S$5:$S205,MesCiclo,$V$5:$V205,"Macro"),"")</f>
        <v/>
      </c>
      <c r="AJ205" s="62">
        <f>IF($AI205="","",$D205&amp;"|"&amp;$AI205)</f>
        <v/>
      </c>
      <c r="AK205" s="62">
        <f>IF(AND($D205&lt;&gt;"",$V205="Macro"),$D205&amp;"|"&amp;$C205,"")</f>
        <v/>
      </c>
      <c r="AL205" s="62">
        <f>""</f>
        <v/>
      </c>
      <c r="AM205" s="62">
        <f>IF(N($AL205)&gt;0,INDEX(rIni_ADM,$AL205),IF(ISNUMBER($E205),$E205,""))</f>
        <v/>
      </c>
      <c r="AN205" s="62">
        <f>IF(N($AL205)&gt;0,INDEX(rLim_ADM,$AL205),IF(ISNUMBER($F205),$F205,""))</f>
        <v/>
      </c>
    </row>
    <row r="206">
      <c r="A206" s="56">
        <f>IF(NOT((COUNTA($B206:$D206)+COUNTA($G206:$L206)+COUNTA($Q206))&gt;0),"",IF($V206="Macro",COUNTIFS($V$5:$V206,"Macro",$S$5:$S206,$S206),IF(N($U206)=0,"?",COUNTIFS(INDEX($V$5:$V$1000,1):INDEX($V$5:$V$1000,$U206-4),"Macro",INDEX($S$5:$S$1000,1):INDEX($S$5:$S$1000,$U206-4),INDEX($S$5:$S$1000,$U206-4))&amp;"."&amp;COUNTIFS($U$5:$U206,$U206,$V$5:$V206,"Sub"))))</f>
        <v/>
      </c>
      <c r="B206" s="57" t="n"/>
      <c r="C206" s="58" t="n"/>
      <c r="D206" s="58" t="n"/>
      <c r="E206" s="59" t="n"/>
      <c r="F206" s="59" t="n"/>
      <c r="G206" s="59" t="n"/>
      <c r="H206" s="60" t="n"/>
      <c r="I206" s="60" t="n"/>
      <c r="J206" s="60" t="n"/>
      <c r="K206" s="60" t="n"/>
      <c r="L206" s="60" t="n"/>
      <c r="M206" s="61">
        <f>IF(NOT((COUNTA($B206:$D206)+COUNTA($G206:$L206)+COUNTA($Q206))&gt;0),"",IF(AND($D206&lt;&gt;"",$V206="Macro"),IF(N($AH206)&gt;0,N(CHOOSE(MATCH($D206,ListaPuestos,0),INDEX('Cronograma R. Operacional'!$M$5:$M$1000,$AH206),INDEX('Cronograma R. Normativo'!$M$5:$M$1000,$AH206),INDEX('Cronograma R. Financiero'!$M$5:$M$1000,$AH206),INDEX('Cronograma Asistente Técnico'!$M$5:$M$1000,$AH206))),0),IF(ISNUMBER($G206),1,IF(N($W206)&gt;0,AVERAGEIFS($X$5:$X$1000,$U$5:$U$1000,ROW(),$V$5:$V$1000,"Sub"),$X206))))</f>
        <v/>
      </c>
      <c r="N206" s="56">
        <f>IF($M206="","",IF($M206&gt;=1,"Completado",IF($M206&gt;0,"En curso","Pendiente")))</f>
        <v/>
      </c>
      <c r="O206" s="56">
        <f>IF(NOT((COUNTA($B206:$D206)+COUNTA($G206:$L206)+COUNTA($Q206))&gt;0),"",IF(AND(AND($D206&lt;&gt;"",$V206="Macro"),N($AH206)&gt;0),CHOOSE(MATCH($D206,ListaPuestos,0),INDEX('Cronograma R. Operacional'!$O$5:$O$1000,$AH206),INDEX('Cronograma R. Normativo'!$O$5:$O$1000,$AH206),INDEX('Cronograma R. Financiero'!$O$5:$O$1000,$AH206),INDEX('Cronograma Asistente Técnico'!$O$5:$O$1000,$AH206))&amp;"",IF(ISNUMBER($G206),IF(AND(ISNUMBER($AN206),$G206&gt;$AN206),"Cumplida con "&amp;($G206-$AN206)&amp;IF($G206-$AN206=1," día"," días")&amp;" de retraso","Cumplida"),IF(N($M206)&gt;=1,"Cumplida",IF(NOT(ISNUMBER($AN206)),"Sin fecha límite",IF($AN206&lt;FechaRef,"Vencida hace "&amp;(FechaRef-$AN206)&amp;IF(FechaRef-$AN206=1," día"," días"),IF($AN206=FechaRef,"Vence hoy",IF($AN206-FechaRef&lt;=DiasAlerta,"Vence en "&amp;($AN206-FechaRef)&amp;IF($AN206-FechaRef=1," día"," días"),"En plazo"))))))))</f>
        <v/>
      </c>
      <c r="P206" s="62">
        <f>IF(NOT((COUNTA($B206:$D206)+COUNTA($G206:$L206)+COUNTA($Q206))&gt;0),"",IF($D206="","Propia",IF($V206&lt;&gt;"Macro","Solo se delegan macroactividades",IF(N($AH206)&gt;0,"✔ Recibida por "&amp;$D206,"⚠ "&amp;$D206&amp;" aún no la agrega"))))</f>
        <v/>
      </c>
      <c r="Q206" s="58" t="n"/>
      <c r="R206" s="63">
        <f>IF(NOT((COUNTA($B206:$D206)+COUNTA($G206:$L206)+COUNTA($Q206))&gt;0),"",IF((IF($C206="","Falta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",""))="","✔ OK","⚠ "&amp;LEFT(IF($C206="","Falta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",""),LEN(IF($C206="","Falta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",""))-3)))</f>
        <v/>
      </c>
      <c r="S206" s="64">
        <f>IF(NOT((COUNTA($B206:$D206)+COUNTA($G206:$L206)+COUNTA($Q206))&gt;0),"",IF(AND($V206="Sub",N($U206)&gt;0),IF(ISNUMBER(INDEX($AM$5:$AM$1000,$U206-4)),DATE(YEAR(INDEX($AM$5:$AM$1000,$U206-4)),MONTH(INDEX($AM$5:$AM$1000,$U206-4)),1),IF(ISNUMBER(INDEX($AN$5:$AN$1000,$U206-4)),DATE(YEAR(INDEX($AN$5:$AN$1000,$U206-4)),MONTH(INDEX($AN$5:$AN$1000,$U206-4)),1),MesCiclo)),IF(ISNUMBER($AM206),DATE(YEAR($AM206),MONTH($AM206),1),IF(ISNUMBER($AN206),DATE(YEAR($AN206),MONTH($AN206),1),MesCiclo))))</f>
        <v/>
      </c>
      <c r="T206" s="62">
        <f>IF(OR($S206="",$S206&lt;&gt;MesCiclo),"",COUNTIF($S$5:$S206,MesCiclo))</f>
        <v/>
      </c>
      <c r="U206" s="62">
        <f>IF($V206="","",IF($V206="Macro",ROW(),IFERROR(LOOKUP(2,1/($V$5:$V206="Macro"),ROW($V$5:$V206)),0)))</f>
        <v/>
      </c>
      <c r="V206" s="62">
        <f>IF(NOT((COUNTA($B206:$D206)+COUNTA($G206:$L206)+COUNTA($Q206))&gt;0),"",IF($B206="Subactividad","Sub","Macro"))</f>
        <v/>
      </c>
      <c r="W206" s="62">
        <f>IF($V206="Macro",COUNTIFS($U$5:$U$1000,ROW(),$V$5:$V$1000,"Sub"),"")</f>
        <v/>
      </c>
      <c r="X206" s="62">
        <f>IF($V206="","",IF(ISNUMBER($G206),1,IFERROR(LOOKUP(2,1/($I206:$L206&lt;&gt;""),$I206:$L206),0)))</f>
        <v/>
      </c>
      <c r="Y206" s="62">
        <f>IF($V206="","",IF(AND(ISNUMBER($G206),$G206&lt;=IF($S206=MesCiclo,InicioCiclo,$S206+MOD(2-WEEKDAY($S206),7))+6),1,IF(ISNUMBER($I206),$I206,0)))</f>
        <v/>
      </c>
      <c r="Z206" s="62">
        <f>IF($V206="","",IF(AND(ISNUMBER($G206),$G206&lt;=IF($S206=MesCiclo,InicioCiclo,$S206+MOD(2-WEEKDAY($S206),7))+13),1,IF(ISNUMBER($J206),$J206,$Y206)))</f>
        <v/>
      </c>
      <c r="AA206" s="62">
        <f>IF($V206="","",IF(AND(ISNUMBER($G206),$G206&lt;=IF($S206=MesCiclo,InicioCiclo,$S206+MOD(2-WEEKDAY($S206),7))+20),1,IF(ISNUMBER($K206),$K206,$Z206)))</f>
        <v/>
      </c>
      <c r="AB206" s="62">
        <f>IF($V206="","",IF(AND(ISNUMBER($G206),$G206&lt;=IF($S206=MesCiclo,InicioCiclo,$S206+MOD(2-WEEKDAY($S206),7))+27),1,IF(ISNUMBER($L206),$L206,$AA206)))</f>
        <v/>
      </c>
      <c r="AC206" s="62">
        <f>IF($V206="","",IF(AND(ISNUMBER($G206),$G206&lt;=IF($S206=MesCiclo,InicioCiclo,$S206+MOD(2-WEEKDAY($S206),7))+6),1,IF(N($W206)&gt;0,AVERAGEIFS($Y$5:$Y$1000,$U$5:$U$1000,ROW(),$V$5:$V$1000,"Sub"),$Y206)))</f>
        <v/>
      </c>
      <c r="AD206" s="62">
        <f>IF($V206="","",IF(AND(ISNUMBER($G206),$G206&lt;=IF($S206=MesCiclo,InicioCiclo,$S206+MOD(2-WEEKDAY($S206),7))+13),1,IF(N($W206)&gt;0,AVERAGEIFS($Z$5:$Z$1000,$U$5:$U$1000,ROW(),$V$5:$V$1000,"Sub"),$Z206)))</f>
        <v/>
      </c>
      <c r="AE206" s="62">
        <f>IF($V206="","",IF(AND(ISNUMBER($G206),$G206&lt;=IF($S206=MesCiclo,InicioCiclo,$S206+MOD(2-WEEKDAY($S206),7))+20),1,IF(N($W206)&gt;0,AVERAGEIFS($AA$5:$AA$1000,$U$5:$U$1000,ROW(),$V$5:$V$1000,"Sub"),$AA206)))</f>
        <v/>
      </c>
      <c r="AF206" s="62">
        <f>IF($V206="","",IF(AND(ISNUMBER($G206),$G206&lt;=IF($S206=MesCiclo,InicioCiclo,$S206+MOD(2-WEEKDAY($S206),7))+27),1,IF(N($W206)&gt;0,AVERAGEIFS($AB$5:$AB$1000,$U$5:$U$1000,ROW(),$V$5:$V$1000,"Sub"),$AB206)))</f>
        <v/>
      </c>
      <c r="AG206" s="62">
        <f>IF($V206&lt;&gt;"Macro","",IF(COUNTIFS($S$5:$S$1000,$S206,$V$5:$V$1000,"Macro",$H$5:$H$1000,"&gt;0")=0,1/COUNTIFS($S$5:$S$1000,$S206,$V$5:$V$1000,"Macro"),IF(AND(ISNUMBER($H206),N($H206)&gt;0),$H206,SUMIFS($H$5:$H$1000,$S$5:$S$1000,$S206,$V$5:$V$1000,"Macro")/COUNTIFS($S$5:$S$1000,$S206,$V$5:$V$1000,"Macro",$H$5:$H$1000,"&gt;0"))/(COUNTIFS($S$5:$S$1000,$S206,$V$5:$V$1000,"Macro")*SUMIFS($H$5:$H$1000,$S$5:$S$1000,$S206,$V$5:$V$1000,"Macro")/COUNTIFS($S$5:$S$1000,$S206,$V$5:$V$1000,"Macro",$H$5:$H$1000,"&gt;0"))))</f>
        <v/>
      </c>
      <c r="AH206" s="62">
        <f>IF(NOT(AND($D206&lt;&gt;"",$V206="Macro")),"",IFERROR(CHOOSE(MATCH($D206,ListaPuestos,0),MATCH("[Jefatura] "&amp;$C206,'Cronograma R. Operacional'!$C$5:$C$1000,0),MATCH("[Jefatura] "&amp;$C206,'Cronograma R. Normativo'!$C$5:$C$1000,0),MATCH("[Jefatura] "&amp;$C206,'Cronograma R. Financiero'!$C$5:$C$1000,0),MATCH("[Jefatura] "&amp;$C206,'Cronograma Asistente Técnico'!$C$5:$C$1000,0)),0))</f>
        <v/>
      </c>
      <c r="AI206" s="62">
        <f>IF(AND(AND($D206&lt;&gt;"",$V206="Macro"),$S206=MesCiclo),COUNTIFS($D$5:$D206,$D206,$S$5:$S206,MesCiclo,$V$5:$V206,"Macro"),"")</f>
        <v/>
      </c>
      <c r="AJ206" s="62">
        <f>IF($AI206="","",$D206&amp;"|"&amp;$AI206)</f>
        <v/>
      </c>
      <c r="AK206" s="62">
        <f>IF(AND($D206&lt;&gt;"",$V206="Macro"),$D206&amp;"|"&amp;$C206,"")</f>
        <v/>
      </c>
      <c r="AL206" s="62">
        <f>""</f>
        <v/>
      </c>
      <c r="AM206" s="62">
        <f>IF(N($AL206)&gt;0,INDEX(rIni_ADM,$AL206),IF(ISNUMBER($E206),$E206,""))</f>
        <v/>
      </c>
      <c r="AN206" s="62">
        <f>IF(N($AL206)&gt;0,INDEX(rLim_ADM,$AL206),IF(ISNUMBER($F206),$F206,""))</f>
        <v/>
      </c>
    </row>
    <row r="207">
      <c r="A207" s="56">
        <f>IF(NOT((COUNTA($B207:$D207)+COUNTA($G207:$L207)+COUNTA($Q207))&gt;0),"",IF($V207="Macro",COUNTIFS($V$5:$V207,"Macro",$S$5:$S207,$S207),IF(N($U207)=0,"?",COUNTIFS(INDEX($V$5:$V$1000,1):INDEX($V$5:$V$1000,$U207-4),"Macro",INDEX($S$5:$S$1000,1):INDEX($S$5:$S$1000,$U207-4),INDEX($S$5:$S$1000,$U207-4))&amp;"."&amp;COUNTIFS($U$5:$U207,$U207,$V$5:$V207,"Sub"))))</f>
        <v/>
      </c>
      <c r="B207" s="57" t="n"/>
      <c r="C207" s="58" t="n"/>
      <c r="D207" s="58" t="n"/>
      <c r="E207" s="59" t="n"/>
      <c r="F207" s="59" t="n"/>
      <c r="G207" s="59" t="n"/>
      <c r="H207" s="60" t="n"/>
      <c r="I207" s="60" t="n"/>
      <c r="J207" s="60" t="n"/>
      <c r="K207" s="60" t="n"/>
      <c r="L207" s="60" t="n"/>
      <c r="M207" s="61">
        <f>IF(NOT((COUNTA($B207:$D207)+COUNTA($G207:$L207)+COUNTA($Q207))&gt;0),"",IF(AND($D207&lt;&gt;"",$V207="Macro"),IF(N($AH207)&gt;0,N(CHOOSE(MATCH($D207,ListaPuestos,0),INDEX('Cronograma R. Operacional'!$M$5:$M$1000,$AH207),INDEX('Cronograma R. Normativo'!$M$5:$M$1000,$AH207),INDEX('Cronograma R. Financiero'!$M$5:$M$1000,$AH207),INDEX('Cronograma Asistente Técnico'!$M$5:$M$1000,$AH207))),0),IF(ISNUMBER($G207),1,IF(N($W207)&gt;0,AVERAGEIFS($X$5:$X$1000,$U$5:$U$1000,ROW(),$V$5:$V$1000,"Sub"),$X207))))</f>
        <v/>
      </c>
      <c r="N207" s="56">
        <f>IF($M207="","",IF($M207&gt;=1,"Completado",IF($M207&gt;0,"En curso","Pendiente")))</f>
        <v/>
      </c>
      <c r="O207" s="56">
        <f>IF(NOT((COUNTA($B207:$D207)+COUNTA($G207:$L207)+COUNTA($Q207))&gt;0),"",IF(AND(AND($D207&lt;&gt;"",$V207="Macro"),N($AH207)&gt;0),CHOOSE(MATCH($D207,ListaPuestos,0),INDEX('Cronograma R. Operacional'!$O$5:$O$1000,$AH207),INDEX('Cronograma R. Normativo'!$O$5:$O$1000,$AH207),INDEX('Cronograma R. Financiero'!$O$5:$O$1000,$AH207),INDEX('Cronograma Asistente Técnico'!$O$5:$O$1000,$AH207))&amp;"",IF(ISNUMBER($G207),IF(AND(ISNUMBER($AN207),$G207&gt;$AN207),"Cumplida con "&amp;($G207-$AN207)&amp;IF($G207-$AN207=1," día"," días")&amp;" de retraso","Cumplida"),IF(N($M207)&gt;=1,"Cumplida",IF(NOT(ISNUMBER($AN207)),"Sin fecha límite",IF($AN207&lt;FechaRef,"Vencida hace "&amp;(FechaRef-$AN207)&amp;IF(FechaRef-$AN207=1," día"," días"),IF($AN207=FechaRef,"Vence hoy",IF($AN207-FechaRef&lt;=DiasAlerta,"Vence en "&amp;($AN207-FechaRef)&amp;IF($AN207-FechaRef=1," día"," días"),"En plazo"))))))))</f>
        <v/>
      </c>
      <c r="P207" s="62">
        <f>IF(NOT((COUNTA($B207:$D207)+COUNTA($G207:$L207)+COUNTA($Q207))&gt;0),"",IF($D207="","Propia",IF($V207&lt;&gt;"Macro","Solo se delegan macroactividades",IF(N($AH207)&gt;0,"✔ Recibida por "&amp;$D207,"⚠ "&amp;$D207&amp;" aún no la agrega"))))</f>
        <v/>
      </c>
      <c r="Q207" s="58" t="n"/>
      <c r="R207" s="63">
        <f>IF(NOT((COUNTA($B207:$D207)+COUNTA($G207:$L207)+COUNTA($Q207))&gt;0),"",IF((IF($C207="","Falta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",""))="","✔ OK","⚠ "&amp;LEFT(IF($C207="","Falta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",""),LEN(IF($C207="","Falta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",""))-3)))</f>
        <v/>
      </c>
      <c r="S207" s="64">
        <f>IF(NOT((COUNTA($B207:$D207)+COUNTA($G207:$L207)+COUNTA($Q207))&gt;0),"",IF(AND($V207="Sub",N($U207)&gt;0),IF(ISNUMBER(INDEX($AM$5:$AM$1000,$U207-4)),DATE(YEAR(INDEX($AM$5:$AM$1000,$U207-4)),MONTH(INDEX($AM$5:$AM$1000,$U207-4)),1),IF(ISNUMBER(INDEX($AN$5:$AN$1000,$U207-4)),DATE(YEAR(INDEX($AN$5:$AN$1000,$U207-4)),MONTH(INDEX($AN$5:$AN$1000,$U207-4)),1),MesCiclo)),IF(ISNUMBER($AM207),DATE(YEAR($AM207),MONTH($AM207),1),IF(ISNUMBER($AN207),DATE(YEAR($AN207),MONTH($AN207),1),MesCiclo))))</f>
        <v/>
      </c>
      <c r="T207" s="62">
        <f>IF(OR($S207="",$S207&lt;&gt;MesCiclo),"",COUNTIF($S$5:$S207,MesCiclo))</f>
        <v/>
      </c>
      <c r="U207" s="62">
        <f>IF($V207="","",IF($V207="Macro",ROW(),IFERROR(LOOKUP(2,1/($V$5:$V207="Macro"),ROW($V$5:$V207)),0)))</f>
        <v/>
      </c>
      <c r="V207" s="62">
        <f>IF(NOT((COUNTA($B207:$D207)+COUNTA($G207:$L207)+COUNTA($Q207))&gt;0),"",IF($B207="Subactividad","Sub","Macro"))</f>
        <v/>
      </c>
      <c r="W207" s="62">
        <f>IF($V207="Macro",COUNTIFS($U$5:$U$1000,ROW(),$V$5:$V$1000,"Sub"),"")</f>
        <v/>
      </c>
      <c r="X207" s="62">
        <f>IF($V207="","",IF(ISNUMBER($G207),1,IFERROR(LOOKUP(2,1/($I207:$L207&lt;&gt;""),$I207:$L207),0)))</f>
        <v/>
      </c>
      <c r="Y207" s="62">
        <f>IF($V207="","",IF(AND(ISNUMBER($G207),$G207&lt;=IF($S207=MesCiclo,InicioCiclo,$S207+MOD(2-WEEKDAY($S207),7))+6),1,IF(ISNUMBER($I207),$I207,0)))</f>
        <v/>
      </c>
      <c r="Z207" s="62">
        <f>IF($V207="","",IF(AND(ISNUMBER($G207),$G207&lt;=IF($S207=MesCiclo,InicioCiclo,$S207+MOD(2-WEEKDAY($S207),7))+13),1,IF(ISNUMBER($J207),$J207,$Y207)))</f>
        <v/>
      </c>
      <c r="AA207" s="62">
        <f>IF($V207="","",IF(AND(ISNUMBER($G207),$G207&lt;=IF($S207=MesCiclo,InicioCiclo,$S207+MOD(2-WEEKDAY($S207),7))+20),1,IF(ISNUMBER($K207),$K207,$Z207)))</f>
        <v/>
      </c>
      <c r="AB207" s="62">
        <f>IF($V207="","",IF(AND(ISNUMBER($G207),$G207&lt;=IF($S207=MesCiclo,InicioCiclo,$S207+MOD(2-WEEKDAY($S207),7))+27),1,IF(ISNUMBER($L207),$L207,$AA207)))</f>
        <v/>
      </c>
      <c r="AC207" s="62">
        <f>IF($V207="","",IF(AND(ISNUMBER($G207),$G207&lt;=IF($S207=MesCiclo,InicioCiclo,$S207+MOD(2-WEEKDAY($S207),7))+6),1,IF(N($W207)&gt;0,AVERAGEIFS($Y$5:$Y$1000,$U$5:$U$1000,ROW(),$V$5:$V$1000,"Sub"),$Y207)))</f>
        <v/>
      </c>
      <c r="AD207" s="62">
        <f>IF($V207="","",IF(AND(ISNUMBER($G207),$G207&lt;=IF($S207=MesCiclo,InicioCiclo,$S207+MOD(2-WEEKDAY($S207),7))+13),1,IF(N($W207)&gt;0,AVERAGEIFS($Z$5:$Z$1000,$U$5:$U$1000,ROW(),$V$5:$V$1000,"Sub"),$Z207)))</f>
        <v/>
      </c>
      <c r="AE207" s="62">
        <f>IF($V207="","",IF(AND(ISNUMBER($G207),$G207&lt;=IF($S207=MesCiclo,InicioCiclo,$S207+MOD(2-WEEKDAY($S207),7))+20),1,IF(N($W207)&gt;0,AVERAGEIFS($AA$5:$AA$1000,$U$5:$U$1000,ROW(),$V$5:$V$1000,"Sub"),$AA207)))</f>
        <v/>
      </c>
      <c r="AF207" s="62">
        <f>IF($V207="","",IF(AND(ISNUMBER($G207),$G207&lt;=IF($S207=MesCiclo,InicioCiclo,$S207+MOD(2-WEEKDAY($S207),7))+27),1,IF(N($W207)&gt;0,AVERAGEIFS($AB$5:$AB$1000,$U$5:$U$1000,ROW(),$V$5:$V$1000,"Sub"),$AB207)))</f>
        <v/>
      </c>
      <c r="AG207" s="62">
        <f>IF($V207&lt;&gt;"Macro","",IF(COUNTIFS($S$5:$S$1000,$S207,$V$5:$V$1000,"Macro",$H$5:$H$1000,"&gt;0")=0,1/COUNTIFS($S$5:$S$1000,$S207,$V$5:$V$1000,"Macro"),IF(AND(ISNUMBER($H207),N($H207)&gt;0),$H207,SUMIFS($H$5:$H$1000,$S$5:$S$1000,$S207,$V$5:$V$1000,"Macro")/COUNTIFS($S$5:$S$1000,$S207,$V$5:$V$1000,"Macro",$H$5:$H$1000,"&gt;0"))/(COUNTIFS($S$5:$S$1000,$S207,$V$5:$V$1000,"Macro")*SUMIFS($H$5:$H$1000,$S$5:$S$1000,$S207,$V$5:$V$1000,"Macro")/COUNTIFS($S$5:$S$1000,$S207,$V$5:$V$1000,"Macro",$H$5:$H$1000,"&gt;0"))))</f>
        <v/>
      </c>
      <c r="AH207" s="62">
        <f>IF(NOT(AND($D207&lt;&gt;"",$V207="Macro")),"",IFERROR(CHOOSE(MATCH($D207,ListaPuestos,0),MATCH("[Jefatura] "&amp;$C207,'Cronograma R. Operacional'!$C$5:$C$1000,0),MATCH("[Jefatura] "&amp;$C207,'Cronograma R. Normativo'!$C$5:$C$1000,0),MATCH("[Jefatura] "&amp;$C207,'Cronograma R. Financiero'!$C$5:$C$1000,0),MATCH("[Jefatura] "&amp;$C207,'Cronograma Asistente Técnico'!$C$5:$C$1000,0)),0))</f>
        <v/>
      </c>
      <c r="AI207" s="62">
        <f>IF(AND(AND($D207&lt;&gt;"",$V207="Macro"),$S207=MesCiclo),COUNTIFS($D$5:$D207,$D207,$S$5:$S207,MesCiclo,$V$5:$V207,"Macro"),"")</f>
        <v/>
      </c>
      <c r="AJ207" s="62">
        <f>IF($AI207="","",$D207&amp;"|"&amp;$AI207)</f>
        <v/>
      </c>
      <c r="AK207" s="62">
        <f>IF(AND($D207&lt;&gt;"",$V207="Macro"),$D207&amp;"|"&amp;$C207,"")</f>
        <v/>
      </c>
      <c r="AL207" s="62">
        <f>""</f>
        <v/>
      </c>
      <c r="AM207" s="62">
        <f>IF(N($AL207)&gt;0,INDEX(rIni_ADM,$AL207),IF(ISNUMBER($E207),$E207,""))</f>
        <v/>
      </c>
      <c r="AN207" s="62">
        <f>IF(N($AL207)&gt;0,INDEX(rLim_ADM,$AL207),IF(ISNUMBER($F207),$F207,""))</f>
        <v/>
      </c>
    </row>
    <row r="208">
      <c r="A208" s="56">
        <f>IF(NOT((COUNTA($B208:$D208)+COUNTA($G208:$L208)+COUNTA($Q208))&gt;0),"",IF($V208="Macro",COUNTIFS($V$5:$V208,"Macro",$S$5:$S208,$S208),IF(N($U208)=0,"?",COUNTIFS(INDEX($V$5:$V$1000,1):INDEX($V$5:$V$1000,$U208-4),"Macro",INDEX($S$5:$S$1000,1):INDEX($S$5:$S$1000,$U208-4),INDEX($S$5:$S$1000,$U208-4))&amp;"."&amp;COUNTIFS($U$5:$U208,$U208,$V$5:$V208,"Sub"))))</f>
        <v/>
      </c>
      <c r="B208" s="57" t="n"/>
      <c r="C208" s="58" t="n"/>
      <c r="D208" s="58" t="n"/>
      <c r="E208" s="59" t="n"/>
      <c r="F208" s="59" t="n"/>
      <c r="G208" s="59" t="n"/>
      <c r="H208" s="60" t="n"/>
      <c r="I208" s="60" t="n"/>
      <c r="J208" s="60" t="n"/>
      <c r="K208" s="60" t="n"/>
      <c r="L208" s="60" t="n"/>
      <c r="M208" s="61">
        <f>IF(NOT((COUNTA($B208:$D208)+COUNTA($G208:$L208)+COUNTA($Q208))&gt;0),"",IF(AND($D208&lt;&gt;"",$V208="Macro"),IF(N($AH208)&gt;0,N(CHOOSE(MATCH($D208,ListaPuestos,0),INDEX('Cronograma R. Operacional'!$M$5:$M$1000,$AH208),INDEX('Cronograma R. Normativo'!$M$5:$M$1000,$AH208),INDEX('Cronograma R. Financiero'!$M$5:$M$1000,$AH208),INDEX('Cronograma Asistente Técnico'!$M$5:$M$1000,$AH208))),0),IF(ISNUMBER($G208),1,IF(N($W208)&gt;0,AVERAGEIFS($X$5:$X$1000,$U$5:$U$1000,ROW(),$V$5:$V$1000,"Sub"),$X208))))</f>
        <v/>
      </c>
      <c r="N208" s="56">
        <f>IF($M208="","",IF($M208&gt;=1,"Completado",IF($M208&gt;0,"En curso","Pendiente")))</f>
        <v/>
      </c>
      <c r="O208" s="56">
        <f>IF(NOT((COUNTA($B208:$D208)+COUNTA($G208:$L208)+COUNTA($Q208))&gt;0),"",IF(AND(AND($D208&lt;&gt;"",$V208="Macro"),N($AH208)&gt;0),CHOOSE(MATCH($D208,ListaPuestos,0),INDEX('Cronograma R. Operacional'!$O$5:$O$1000,$AH208),INDEX('Cronograma R. Normativo'!$O$5:$O$1000,$AH208),INDEX('Cronograma R. Financiero'!$O$5:$O$1000,$AH208),INDEX('Cronograma Asistente Técnico'!$O$5:$O$1000,$AH208))&amp;"",IF(ISNUMBER($G208),IF(AND(ISNUMBER($AN208),$G208&gt;$AN208),"Cumplida con "&amp;($G208-$AN208)&amp;IF($G208-$AN208=1," día"," días")&amp;" de retraso","Cumplida"),IF(N($M208)&gt;=1,"Cumplida",IF(NOT(ISNUMBER($AN208)),"Sin fecha límite",IF($AN208&lt;FechaRef,"Vencida hace "&amp;(FechaRef-$AN208)&amp;IF(FechaRef-$AN208=1," día"," días"),IF($AN208=FechaRef,"Vence hoy",IF($AN208-FechaRef&lt;=DiasAlerta,"Vence en "&amp;($AN208-FechaRef)&amp;IF($AN208-FechaRef=1," día"," días"),"En plazo"))))))))</f>
        <v/>
      </c>
      <c r="P208" s="62">
        <f>IF(NOT((COUNTA($B208:$D208)+COUNTA($G208:$L208)+COUNTA($Q208))&gt;0),"",IF($D208="","Propia",IF($V208&lt;&gt;"Macro","Solo se delegan macroactividades",IF(N($AH208)&gt;0,"✔ Recibida por "&amp;$D208,"⚠ "&amp;$D208&amp;" aún no la agrega"))))</f>
        <v/>
      </c>
      <c r="Q208" s="58" t="n"/>
      <c r="R208" s="63">
        <f>IF(NOT((COUNTA($B208:$D208)+COUNTA($G208:$L208)+COUNTA($Q208))&gt;0),"",IF((IF($C208="","Falta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",""))="","✔ OK","⚠ "&amp;LEFT(IF($C208="","Falta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",""),LEN(IF($C208="","Falta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",""))-3)))</f>
        <v/>
      </c>
      <c r="S208" s="64">
        <f>IF(NOT((COUNTA($B208:$D208)+COUNTA($G208:$L208)+COUNTA($Q208))&gt;0),"",IF(AND($V208="Sub",N($U208)&gt;0),IF(ISNUMBER(INDEX($AM$5:$AM$1000,$U208-4)),DATE(YEAR(INDEX($AM$5:$AM$1000,$U208-4)),MONTH(INDEX($AM$5:$AM$1000,$U208-4)),1),IF(ISNUMBER(INDEX($AN$5:$AN$1000,$U208-4)),DATE(YEAR(INDEX($AN$5:$AN$1000,$U208-4)),MONTH(INDEX($AN$5:$AN$1000,$U208-4)),1),MesCiclo)),IF(ISNUMBER($AM208),DATE(YEAR($AM208),MONTH($AM208),1),IF(ISNUMBER($AN208),DATE(YEAR($AN208),MONTH($AN208),1),MesCiclo))))</f>
        <v/>
      </c>
      <c r="T208" s="62">
        <f>IF(OR($S208="",$S208&lt;&gt;MesCiclo),"",COUNTIF($S$5:$S208,MesCiclo))</f>
        <v/>
      </c>
      <c r="U208" s="62">
        <f>IF($V208="","",IF($V208="Macro",ROW(),IFERROR(LOOKUP(2,1/($V$5:$V208="Macro"),ROW($V$5:$V208)),0)))</f>
        <v/>
      </c>
      <c r="V208" s="62">
        <f>IF(NOT((COUNTA($B208:$D208)+COUNTA($G208:$L208)+COUNTA($Q208))&gt;0),"",IF($B208="Subactividad","Sub","Macro"))</f>
        <v/>
      </c>
      <c r="W208" s="62">
        <f>IF($V208="Macro",COUNTIFS($U$5:$U$1000,ROW(),$V$5:$V$1000,"Sub"),"")</f>
        <v/>
      </c>
      <c r="X208" s="62">
        <f>IF($V208="","",IF(ISNUMBER($G208),1,IFERROR(LOOKUP(2,1/($I208:$L208&lt;&gt;""),$I208:$L208),0)))</f>
        <v/>
      </c>
      <c r="Y208" s="62">
        <f>IF($V208="","",IF(AND(ISNUMBER($G208),$G208&lt;=IF($S208=MesCiclo,InicioCiclo,$S208+MOD(2-WEEKDAY($S208),7))+6),1,IF(ISNUMBER($I208),$I208,0)))</f>
        <v/>
      </c>
      <c r="Z208" s="62">
        <f>IF($V208="","",IF(AND(ISNUMBER($G208),$G208&lt;=IF($S208=MesCiclo,InicioCiclo,$S208+MOD(2-WEEKDAY($S208),7))+13),1,IF(ISNUMBER($J208),$J208,$Y208)))</f>
        <v/>
      </c>
      <c r="AA208" s="62">
        <f>IF($V208="","",IF(AND(ISNUMBER($G208),$G208&lt;=IF($S208=MesCiclo,InicioCiclo,$S208+MOD(2-WEEKDAY($S208),7))+20),1,IF(ISNUMBER($K208),$K208,$Z208)))</f>
        <v/>
      </c>
      <c r="AB208" s="62">
        <f>IF($V208="","",IF(AND(ISNUMBER($G208),$G208&lt;=IF($S208=MesCiclo,InicioCiclo,$S208+MOD(2-WEEKDAY($S208),7))+27),1,IF(ISNUMBER($L208),$L208,$AA208)))</f>
        <v/>
      </c>
      <c r="AC208" s="62">
        <f>IF($V208="","",IF(AND(ISNUMBER($G208),$G208&lt;=IF($S208=MesCiclo,InicioCiclo,$S208+MOD(2-WEEKDAY($S208),7))+6),1,IF(N($W208)&gt;0,AVERAGEIFS($Y$5:$Y$1000,$U$5:$U$1000,ROW(),$V$5:$V$1000,"Sub"),$Y208)))</f>
        <v/>
      </c>
      <c r="AD208" s="62">
        <f>IF($V208="","",IF(AND(ISNUMBER($G208),$G208&lt;=IF($S208=MesCiclo,InicioCiclo,$S208+MOD(2-WEEKDAY($S208),7))+13),1,IF(N($W208)&gt;0,AVERAGEIFS($Z$5:$Z$1000,$U$5:$U$1000,ROW(),$V$5:$V$1000,"Sub"),$Z208)))</f>
        <v/>
      </c>
      <c r="AE208" s="62">
        <f>IF($V208="","",IF(AND(ISNUMBER($G208),$G208&lt;=IF($S208=MesCiclo,InicioCiclo,$S208+MOD(2-WEEKDAY($S208),7))+20),1,IF(N($W208)&gt;0,AVERAGEIFS($AA$5:$AA$1000,$U$5:$U$1000,ROW(),$V$5:$V$1000,"Sub"),$AA208)))</f>
        <v/>
      </c>
      <c r="AF208" s="62">
        <f>IF($V208="","",IF(AND(ISNUMBER($G208),$G208&lt;=IF($S208=MesCiclo,InicioCiclo,$S208+MOD(2-WEEKDAY($S208),7))+27),1,IF(N($W208)&gt;0,AVERAGEIFS($AB$5:$AB$1000,$U$5:$U$1000,ROW(),$V$5:$V$1000,"Sub"),$AB208)))</f>
        <v/>
      </c>
      <c r="AG208" s="62">
        <f>IF($V208&lt;&gt;"Macro","",IF(COUNTIFS($S$5:$S$1000,$S208,$V$5:$V$1000,"Macro",$H$5:$H$1000,"&gt;0")=0,1/COUNTIFS($S$5:$S$1000,$S208,$V$5:$V$1000,"Macro"),IF(AND(ISNUMBER($H208),N($H208)&gt;0),$H208,SUMIFS($H$5:$H$1000,$S$5:$S$1000,$S208,$V$5:$V$1000,"Macro")/COUNTIFS($S$5:$S$1000,$S208,$V$5:$V$1000,"Macro",$H$5:$H$1000,"&gt;0"))/(COUNTIFS($S$5:$S$1000,$S208,$V$5:$V$1000,"Macro")*SUMIFS($H$5:$H$1000,$S$5:$S$1000,$S208,$V$5:$V$1000,"Macro")/COUNTIFS($S$5:$S$1000,$S208,$V$5:$V$1000,"Macro",$H$5:$H$1000,"&gt;0"))))</f>
        <v/>
      </c>
      <c r="AH208" s="62">
        <f>IF(NOT(AND($D208&lt;&gt;"",$V208="Macro")),"",IFERROR(CHOOSE(MATCH($D208,ListaPuestos,0),MATCH("[Jefatura] "&amp;$C208,'Cronograma R. Operacional'!$C$5:$C$1000,0),MATCH("[Jefatura] "&amp;$C208,'Cronograma R. Normativo'!$C$5:$C$1000,0),MATCH("[Jefatura] "&amp;$C208,'Cronograma R. Financiero'!$C$5:$C$1000,0),MATCH("[Jefatura] "&amp;$C208,'Cronograma Asistente Técnico'!$C$5:$C$1000,0)),0))</f>
        <v/>
      </c>
      <c r="AI208" s="62">
        <f>IF(AND(AND($D208&lt;&gt;"",$V208="Macro"),$S208=MesCiclo),COUNTIFS($D$5:$D208,$D208,$S$5:$S208,MesCiclo,$V$5:$V208,"Macro"),"")</f>
        <v/>
      </c>
      <c r="AJ208" s="62">
        <f>IF($AI208="","",$D208&amp;"|"&amp;$AI208)</f>
        <v/>
      </c>
      <c r="AK208" s="62">
        <f>IF(AND($D208&lt;&gt;"",$V208="Macro"),$D208&amp;"|"&amp;$C208,"")</f>
        <v/>
      </c>
      <c r="AL208" s="62">
        <f>""</f>
        <v/>
      </c>
      <c r="AM208" s="62">
        <f>IF(N($AL208)&gt;0,INDEX(rIni_ADM,$AL208),IF(ISNUMBER($E208),$E208,""))</f>
        <v/>
      </c>
      <c r="AN208" s="62">
        <f>IF(N($AL208)&gt;0,INDEX(rLim_ADM,$AL208),IF(ISNUMBER($F208),$F208,""))</f>
        <v/>
      </c>
    </row>
    <row r="209">
      <c r="A209" s="56">
        <f>IF(NOT((COUNTA($B209:$D209)+COUNTA($G209:$L209)+COUNTA($Q209))&gt;0),"",IF($V209="Macro",COUNTIFS($V$5:$V209,"Macro",$S$5:$S209,$S209),IF(N($U209)=0,"?",COUNTIFS(INDEX($V$5:$V$1000,1):INDEX($V$5:$V$1000,$U209-4),"Macro",INDEX($S$5:$S$1000,1):INDEX($S$5:$S$1000,$U209-4),INDEX($S$5:$S$1000,$U209-4))&amp;"."&amp;COUNTIFS($U$5:$U209,$U209,$V$5:$V209,"Sub"))))</f>
        <v/>
      </c>
      <c r="B209" s="57" t="n"/>
      <c r="C209" s="58" t="n"/>
      <c r="D209" s="58" t="n"/>
      <c r="E209" s="59" t="n"/>
      <c r="F209" s="59" t="n"/>
      <c r="G209" s="59" t="n"/>
      <c r="H209" s="60" t="n"/>
      <c r="I209" s="60" t="n"/>
      <c r="J209" s="60" t="n"/>
      <c r="K209" s="60" t="n"/>
      <c r="L209" s="60" t="n"/>
      <c r="M209" s="61">
        <f>IF(NOT((COUNTA($B209:$D209)+COUNTA($G209:$L209)+COUNTA($Q209))&gt;0),"",IF(AND($D209&lt;&gt;"",$V209="Macro"),IF(N($AH209)&gt;0,N(CHOOSE(MATCH($D209,ListaPuestos,0),INDEX('Cronograma R. Operacional'!$M$5:$M$1000,$AH209),INDEX('Cronograma R. Normativo'!$M$5:$M$1000,$AH209),INDEX('Cronograma R. Financiero'!$M$5:$M$1000,$AH209),INDEX('Cronograma Asistente Técnico'!$M$5:$M$1000,$AH209))),0),IF(ISNUMBER($G209),1,IF(N($W209)&gt;0,AVERAGEIFS($X$5:$X$1000,$U$5:$U$1000,ROW(),$V$5:$V$1000,"Sub"),$X209))))</f>
        <v/>
      </c>
      <c r="N209" s="56">
        <f>IF($M209="","",IF($M209&gt;=1,"Completado",IF($M209&gt;0,"En curso","Pendiente")))</f>
        <v/>
      </c>
      <c r="O209" s="56">
        <f>IF(NOT((COUNTA($B209:$D209)+COUNTA($G209:$L209)+COUNTA($Q209))&gt;0),"",IF(AND(AND($D209&lt;&gt;"",$V209="Macro"),N($AH209)&gt;0),CHOOSE(MATCH($D209,ListaPuestos,0),INDEX('Cronograma R. Operacional'!$O$5:$O$1000,$AH209),INDEX('Cronograma R. Normativo'!$O$5:$O$1000,$AH209),INDEX('Cronograma R. Financiero'!$O$5:$O$1000,$AH209),INDEX('Cronograma Asistente Técnico'!$O$5:$O$1000,$AH209))&amp;"",IF(ISNUMBER($G209),IF(AND(ISNUMBER($AN209),$G209&gt;$AN209),"Cumplida con "&amp;($G209-$AN209)&amp;IF($G209-$AN209=1," día"," días")&amp;" de retraso","Cumplida"),IF(N($M209)&gt;=1,"Cumplida",IF(NOT(ISNUMBER($AN209)),"Sin fecha límite",IF($AN209&lt;FechaRef,"Vencida hace "&amp;(FechaRef-$AN209)&amp;IF(FechaRef-$AN209=1," día"," días"),IF($AN209=FechaRef,"Vence hoy",IF($AN209-FechaRef&lt;=DiasAlerta,"Vence en "&amp;($AN209-FechaRef)&amp;IF($AN209-FechaRef=1," día"," días"),"En plazo"))))))))</f>
        <v/>
      </c>
      <c r="P209" s="62">
        <f>IF(NOT((COUNTA($B209:$D209)+COUNTA($G209:$L209)+COUNTA($Q209))&gt;0),"",IF($D209="","Propia",IF($V209&lt;&gt;"Macro","Solo se delegan macroactividades",IF(N($AH209)&gt;0,"✔ Recibida por "&amp;$D209,"⚠ "&amp;$D209&amp;" aún no la agrega"))))</f>
        <v/>
      </c>
      <c r="Q209" s="58" t="n"/>
      <c r="R209" s="63">
        <f>IF(NOT((COUNTA($B209:$D209)+COUNTA($G209:$L209)+COUNTA($Q209))&gt;0),"",IF((IF($C209="","Falta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",""))="","✔ OK","⚠ "&amp;LEFT(IF($C209="","Falta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",""),LEN(IF($C209="","Falta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",""))-3)))</f>
        <v/>
      </c>
      <c r="S209" s="64">
        <f>IF(NOT((COUNTA($B209:$D209)+COUNTA($G209:$L209)+COUNTA($Q209))&gt;0),"",IF(AND($V209="Sub",N($U209)&gt;0),IF(ISNUMBER(INDEX($AM$5:$AM$1000,$U209-4)),DATE(YEAR(INDEX($AM$5:$AM$1000,$U209-4)),MONTH(INDEX($AM$5:$AM$1000,$U209-4)),1),IF(ISNUMBER(INDEX($AN$5:$AN$1000,$U209-4)),DATE(YEAR(INDEX($AN$5:$AN$1000,$U209-4)),MONTH(INDEX($AN$5:$AN$1000,$U209-4)),1),MesCiclo)),IF(ISNUMBER($AM209),DATE(YEAR($AM209),MONTH($AM209),1),IF(ISNUMBER($AN209),DATE(YEAR($AN209),MONTH($AN209),1),MesCiclo))))</f>
        <v/>
      </c>
      <c r="T209" s="62">
        <f>IF(OR($S209="",$S209&lt;&gt;MesCiclo),"",COUNTIF($S$5:$S209,MesCiclo))</f>
        <v/>
      </c>
      <c r="U209" s="62">
        <f>IF($V209="","",IF($V209="Macro",ROW(),IFERROR(LOOKUP(2,1/($V$5:$V209="Macro"),ROW($V$5:$V209)),0)))</f>
        <v/>
      </c>
      <c r="V209" s="62">
        <f>IF(NOT((COUNTA($B209:$D209)+COUNTA($G209:$L209)+COUNTA($Q209))&gt;0),"",IF($B209="Subactividad","Sub","Macro"))</f>
        <v/>
      </c>
      <c r="W209" s="62">
        <f>IF($V209="Macro",COUNTIFS($U$5:$U$1000,ROW(),$V$5:$V$1000,"Sub"),"")</f>
        <v/>
      </c>
      <c r="X209" s="62">
        <f>IF($V209="","",IF(ISNUMBER($G209),1,IFERROR(LOOKUP(2,1/($I209:$L209&lt;&gt;""),$I209:$L209),0)))</f>
        <v/>
      </c>
      <c r="Y209" s="62">
        <f>IF($V209="","",IF(AND(ISNUMBER($G209),$G209&lt;=IF($S209=MesCiclo,InicioCiclo,$S209+MOD(2-WEEKDAY($S209),7))+6),1,IF(ISNUMBER($I209),$I209,0)))</f>
        <v/>
      </c>
      <c r="Z209" s="62">
        <f>IF($V209="","",IF(AND(ISNUMBER($G209),$G209&lt;=IF($S209=MesCiclo,InicioCiclo,$S209+MOD(2-WEEKDAY($S209),7))+13),1,IF(ISNUMBER($J209),$J209,$Y209)))</f>
        <v/>
      </c>
      <c r="AA209" s="62">
        <f>IF($V209="","",IF(AND(ISNUMBER($G209),$G209&lt;=IF($S209=MesCiclo,InicioCiclo,$S209+MOD(2-WEEKDAY($S209),7))+20),1,IF(ISNUMBER($K209),$K209,$Z209)))</f>
        <v/>
      </c>
      <c r="AB209" s="62">
        <f>IF($V209="","",IF(AND(ISNUMBER($G209),$G209&lt;=IF($S209=MesCiclo,InicioCiclo,$S209+MOD(2-WEEKDAY($S209),7))+27),1,IF(ISNUMBER($L209),$L209,$AA209)))</f>
        <v/>
      </c>
      <c r="AC209" s="62">
        <f>IF($V209="","",IF(AND(ISNUMBER($G209),$G209&lt;=IF($S209=MesCiclo,InicioCiclo,$S209+MOD(2-WEEKDAY($S209),7))+6),1,IF(N($W209)&gt;0,AVERAGEIFS($Y$5:$Y$1000,$U$5:$U$1000,ROW(),$V$5:$V$1000,"Sub"),$Y209)))</f>
        <v/>
      </c>
      <c r="AD209" s="62">
        <f>IF($V209="","",IF(AND(ISNUMBER($G209),$G209&lt;=IF($S209=MesCiclo,InicioCiclo,$S209+MOD(2-WEEKDAY($S209),7))+13),1,IF(N($W209)&gt;0,AVERAGEIFS($Z$5:$Z$1000,$U$5:$U$1000,ROW(),$V$5:$V$1000,"Sub"),$Z209)))</f>
        <v/>
      </c>
      <c r="AE209" s="62">
        <f>IF($V209="","",IF(AND(ISNUMBER($G209),$G209&lt;=IF($S209=MesCiclo,InicioCiclo,$S209+MOD(2-WEEKDAY($S209),7))+20),1,IF(N($W209)&gt;0,AVERAGEIFS($AA$5:$AA$1000,$U$5:$U$1000,ROW(),$V$5:$V$1000,"Sub"),$AA209)))</f>
        <v/>
      </c>
      <c r="AF209" s="62">
        <f>IF($V209="","",IF(AND(ISNUMBER($G209),$G209&lt;=IF($S209=MesCiclo,InicioCiclo,$S209+MOD(2-WEEKDAY($S209),7))+27),1,IF(N($W209)&gt;0,AVERAGEIFS($AB$5:$AB$1000,$U$5:$U$1000,ROW(),$V$5:$V$1000,"Sub"),$AB209)))</f>
        <v/>
      </c>
      <c r="AG209" s="62">
        <f>IF($V209&lt;&gt;"Macro","",IF(COUNTIFS($S$5:$S$1000,$S209,$V$5:$V$1000,"Macro",$H$5:$H$1000,"&gt;0")=0,1/COUNTIFS($S$5:$S$1000,$S209,$V$5:$V$1000,"Macro"),IF(AND(ISNUMBER($H209),N($H209)&gt;0),$H209,SUMIFS($H$5:$H$1000,$S$5:$S$1000,$S209,$V$5:$V$1000,"Macro")/COUNTIFS($S$5:$S$1000,$S209,$V$5:$V$1000,"Macro",$H$5:$H$1000,"&gt;0"))/(COUNTIFS($S$5:$S$1000,$S209,$V$5:$V$1000,"Macro")*SUMIFS($H$5:$H$1000,$S$5:$S$1000,$S209,$V$5:$V$1000,"Macro")/COUNTIFS($S$5:$S$1000,$S209,$V$5:$V$1000,"Macro",$H$5:$H$1000,"&gt;0"))))</f>
        <v/>
      </c>
      <c r="AH209" s="62">
        <f>IF(NOT(AND($D209&lt;&gt;"",$V209="Macro")),"",IFERROR(CHOOSE(MATCH($D209,ListaPuestos,0),MATCH("[Jefatura] "&amp;$C209,'Cronograma R. Operacional'!$C$5:$C$1000,0),MATCH("[Jefatura] "&amp;$C209,'Cronograma R. Normativo'!$C$5:$C$1000,0),MATCH("[Jefatura] "&amp;$C209,'Cronograma R. Financiero'!$C$5:$C$1000,0),MATCH("[Jefatura] "&amp;$C209,'Cronograma Asistente Técnico'!$C$5:$C$1000,0)),0))</f>
        <v/>
      </c>
      <c r="AI209" s="62">
        <f>IF(AND(AND($D209&lt;&gt;"",$V209="Macro"),$S209=MesCiclo),COUNTIFS($D$5:$D209,$D209,$S$5:$S209,MesCiclo,$V$5:$V209,"Macro"),"")</f>
        <v/>
      </c>
      <c r="AJ209" s="62">
        <f>IF($AI209="","",$D209&amp;"|"&amp;$AI209)</f>
        <v/>
      </c>
      <c r="AK209" s="62">
        <f>IF(AND($D209&lt;&gt;"",$V209="Macro"),$D209&amp;"|"&amp;$C209,"")</f>
        <v/>
      </c>
      <c r="AL209" s="62">
        <f>""</f>
        <v/>
      </c>
      <c r="AM209" s="62">
        <f>IF(N($AL209)&gt;0,INDEX(rIni_ADM,$AL209),IF(ISNUMBER($E209),$E209,""))</f>
        <v/>
      </c>
      <c r="AN209" s="62">
        <f>IF(N($AL209)&gt;0,INDEX(rLim_ADM,$AL209),IF(ISNUMBER($F209),$F209,""))</f>
        <v/>
      </c>
    </row>
    <row r="210">
      <c r="A210" s="56">
        <f>IF(NOT((COUNTA($B210:$D210)+COUNTA($G210:$L210)+COUNTA($Q210))&gt;0),"",IF($V210="Macro",COUNTIFS($V$5:$V210,"Macro",$S$5:$S210,$S210),IF(N($U210)=0,"?",COUNTIFS(INDEX($V$5:$V$1000,1):INDEX($V$5:$V$1000,$U210-4),"Macro",INDEX($S$5:$S$1000,1):INDEX($S$5:$S$1000,$U210-4),INDEX($S$5:$S$1000,$U210-4))&amp;"."&amp;COUNTIFS($U$5:$U210,$U210,$V$5:$V210,"Sub"))))</f>
        <v/>
      </c>
      <c r="B210" s="57" t="n"/>
      <c r="C210" s="58" t="n"/>
      <c r="D210" s="58" t="n"/>
      <c r="E210" s="59" t="n"/>
      <c r="F210" s="59" t="n"/>
      <c r="G210" s="59" t="n"/>
      <c r="H210" s="60" t="n"/>
      <c r="I210" s="60" t="n"/>
      <c r="J210" s="60" t="n"/>
      <c r="K210" s="60" t="n"/>
      <c r="L210" s="60" t="n"/>
      <c r="M210" s="61">
        <f>IF(NOT((COUNTA($B210:$D210)+COUNTA($G210:$L210)+COUNTA($Q210))&gt;0),"",IF(AND($D210&lt;&gt;"",$V210="Macro"),IF(N($AH210)&gt;0,N(CHOOSE(MATCH($D210,ListaPuestos,0),INDEX('Cronograma R. Operacional'!$M$5:$M$1000,$AH210),INDEX('Cronograma R. Normativo'!$M$5:$M$1000,$AH210),INDEX('Cronograma R. Financiero'!$M$5:$M$1000,$AH210),INDEX('Cronograma Asistente Técnico'!$M$5:$M$1000,$AH210))),0),IF(ISNUMBER($G210),1,IF(N($W210)&gt;0,AVERAGEIFS($X$5:$X$1000,$U$5:$U$1000,ROW(),$V$5:$V$1000,"Sub"),$X210))))</f>
        <v/>
      </c>
      <c r="N210" s="56">
        <f>IF($M210="","",IF($M210&gt;=1,"Completado",IF($M210&gt;0,"En curso","Pendiente")))</f>
        <v/>
      </c>
      <c r="O210" s="56">
        <f>IF(NOT((COUNTA($B210:$D210)+COUNTA($G210:$L210)+COUNTA($Q210))&gt;0),"",IF(AND(AND($D210&lt;&gt;"",$V210="Macro"),N($AH210)&gt;0),CHOOSE(MATCH($D210,ListaPuestos,0),INDEX('Cronograma R. Operacional'!$O$5:$O$1000,$AH210),INDEX('Cronograma R. Normativo'!$O$5:$O$1000,$AH210),INDEX('Cronograma R. Financiero'!$O$5:$O$1000,$AH210),INDEX('Cronograma Asistente Técnico'!$O$5:$O$1000,$AH210))&amp;"",IF(ISNUMBER($G210),IF(AND(ISNUMBER($AN210),$G210&gt;$AN210),"Cumplida con "&amp;($G210-$AN210)&amp;IF($G210-$AN210=1," día"," días")&amp;" de retraso","Cumplida"),IF(N($M210)&gt;=1,"Cumplida",IF(NOT(ISNUMBER($AN210)),"Sin fecha límite",IF($AN210&lt;FechaRef,"Vencida hace "&amp;(FechaRef-$AN210)&amp;IF(FechaRef-$AN210=1," día"," días"),IF($AN210=FechaRef,"Vence hoy",IF($AN210-FechaRef&lt;=DiasAlerta,"Vence en "&amp;($AN210-FechaRef)&amp;IF($AN210-FechaRef=1," día"," días"),"En plazo"))))))))</f>
        <v/>
      </c>
      <c r="P210" s="62">
        <f>IF(NOT((COUNTA($B210:$D210)+COUNTA($G210:$L210)+COUNTA($Q210))&gt;0),"",IF($D210="","Propia",IF($V210&lt;&gt;"Macro","Solo se delegan macroactividades",IF(N($AH210)&gt;0,"✔ Recibida por "&amp;$D210,"⚠ "&amp;$D210&amp;" aún no la agrega"))))</f>
        <v/>
      </c>
      <c r="Q210" s="58" t="n"/>
      <c r="R210" s="63">
        <f>IF(NOT((COUNTA($B210:$D210)+COUNTA($G210:$L210)+COUNTA($Q210))&gt;0),"",IF((IF($C210="","Falta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",""))="","✔ OK","⚠ "&amp;LEFT(IF($C210="","Falta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",""),LEN(IF($C210="","Falta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",""))-3)))</f>
        <v/>
      </c>
      <c r="S210" s="64">
        <f>IF(NOT((COUNTA($B210:$D210)+COUNTA($G210:$L210)+COUNTA($Q210))&gt;0),"",IF(AND($V210="Sub",N($U210)&gt;0),IF(ISNUMBER(INDEX($AM$5:$AM$1000,$U210-4)),DATE(YEAR(INDEX($AM$5:$AM$1000,$U210-4)),MONTH(INDEX($AM$5:$AM$1000,$U210-4)),1),IF(ISNUMBER(INDEX($AN$5:$AN$1000,$U210-4)),DATE(YEAR(INDEX($AN$5:$AN$1000,$U210-4)),MONTH(INDEX($AN$5:$AN$1000,$U210-4)),1),MesCiclo)),IF(ISNUMBER($AM210),DATE(YEAR($AM210),MONTH($AM210),1),IF(ISNUMBER($AN210),DATE(YEAR($AN210),MONTH($AN210),1),MesCiclo))))</f>
        <v/>
      </c>
      <c r="T210" s="62">
        <f>IF(OR($S210="",$S210&lt;&gt;MesCiclo),"",COUNTIF($S$5:$S210,MesCiclo))</f>
        <v/>
      </c>
      <c r="U210" s="62">
        <f>IF($V210="","",IF($V210="Macro",ROW(),IFERROR(LOOKUP(2,1/($V$5:$V210="Macro"),ROW($V$5:$V210)),0)))</f>
        <v/>
      </c>
      <c r="V210" s="62">
        <f>IF(NOT((COUNTA($B210:$D210)+COUNTA($G210:$L210)+COUNTA($Q210))&gt;0),"",IF($B210="Subactividad","Sub","Macro"))</f>
        <v/>
      </c>
      <c r="W210" s="62">
        <f>IF($V210="Macro",COUNTIFS($U$5:$U$1000,ROW(),$V$5:$V$1000,"Sub"),"")</f>
        <v/>
      </c>
      <c r="X210" s="62">
        <f>IF($V210="","",IF(ISNUMBER($G210),1,IFERROR(LOOKUP(2,1/($I210:$L210&lt;&gt;""),$I210:$L210),0)))</f>
        <v/>
      </c>
      <c r="Y210" s="62">
        <f>IF($V210="","",IF(AND(ISNUMBER($G210),$G210&lt;=IF($S210=MesCiclo,InicioCiclo,$S210+MOD(2-WEEKDAY($S210),7))+6),1,IF(ISNUMBER($I210),$I210,0)))</f>
        <v/>
      </c>
      <c r="Z210" s="62">
        <f>IF($V210="","",IF(AND(ISNUMBER($G210),$G210&lt;=IF($S210=MesCiclo,InicioCiclo,$S210+MOD(2-WEEKDAY($S210),7))+13),1,IF(ISNUMBER($J210),$J210,$Y210)))</f>
        <v/>
      </c>
      <c r="AA210" s="62">
        <f>IF($V210="","",IF(AND(ISNUMBER($G210),$G210&lt;=IF($S210=MesCiclo,InicioCiclo,$S210+MOD(2-WEEKDAY($S210),7))+20),1,IF(ISNUMBER($K210),$K210,$Z210)))</f>
        <v/>
      </c>
      <c r="AB210" s="62">
        <f>IF($V210="","",IF(AND(ISNUMBER($G210),$G210&lt;=IF($S210=MesCiclo,InicioCiclo,$S210+MOD(2-WEEKDAY($S210),7))+27),1,IF(ISNUMBER($L210),$L210,$AA210)))</f>
        <v/>
      </c>
      <c r="AC210" s="62">
        <f>IF($V210="","",IF(AND(ISNUMBER($G210),$G210&lt;=IF($S210=MesCiclo,InicioCiclo,$S210+MOD(2-WEEKDAY($S210),7))+6),1,IF(N($W210)&gt;0,AVERAGEIFS($Y$5:$Y$1000,$U$5:$U$1000,ROW(),$V$5:$V$1000,"Sub"),$Y210)))</f>
        <v/>
      </c>
      <c r="AD210" s="62">
        <f>IF($V210="","",IF(AND(ISNUMBER($G210),$G210&lt;=IF($S210=MesCiclo,InicioCiclo,$S210+MOD(2-WEEKDAY($S210),7))+13),1,IF(N($W210)&gt;0,AVERAGEIFS($Z$5:$Z$1000,$U$5:$U$1000,ROW(),$V$5:$V$1000,"Sub"),$Z210)))</f>
        <v/>
      </c>
      <c r="AE210" s="62">
        <f>IF($V210="","",IF(AND(ISNUMBER($G210),$G210&lt;=IF($S210=MesCiclo,InicioCiclo,$S210+MOD(2-WEEKDAY($S210),7))+20),1,IF(N($W210)&gt;0,AVERAGEIFS($AA$5:$AA$1000,$U$5:$U$1000,ROW(),$V$5:$V$1000,"Sub"),$AA210)))</f>
        <v/>
      </c>
      <c r="AF210" s="62">
        <f>IF($V210="","",IF(AND(ISNUMBER($G210),$G210&lt;=IF($S210=MesCiclo,InicioCiclo,$S210+MOD(2-WEEKDAY($S210),7))+27),1,IF(N($W210)&gt;0,AVERAGEIFS($AB$5:$AB$1000,$U$5:$U$1000,ROW(),$V$5:$V$1000,"Sub"),$AB210)))</f>
        <v/>
      </c>
      <c r="AG210" s="62">
        <f>IF($V210&lt;&gt;"Macro","",IF(COUNTIFS($S$5:$S$1000,$S210,$V$5:$V$1000,"Macro",$H$5:$H$1000,"&gt;0")=0,1/COUNTIFS($S$5:$S$1000,$S210,$V$5:$V$1000,"Macro"),IF(AND(ISNUMBER($H210),N($H210)&gt;0),$H210,SUMIFS($H$5:$H$1000,$S$5:$S$1000,$S210,$V$5:$V$1000,"Macro")/COUNTIFS($S$5:$S$1000,$S210,$V$5:$V$1000,"Macro",$H$5:$H$1000,"&gt;0"))/(COUNTIFS($S$5:$S$1000,$S210,$V$5:$V$1000,"Macro")*SUMIFS($H$5:$H$1000,$S$5:$S$1000,$S210,$V$5:$V$1000,"Macro")/COUNTIFS($S$5:$S$1000,$S210,$V$5:$V$1000,"Macro",$H$5:$H$1000,"&gt;0"))))</f>
        <v/>
      </c>
      <c r="AH210" s="62">
        <f>IF(NOT(AND($D210&lt;&gt;"",$V210="Macro")),"",IFERROR(CHOOSE(MATCH($D210,ListaPuestos,0),MATCH("[Jefatura] "&amp;$C210,'Cronograma R. Operacional'!$C$5:$C$1000,0),MATCH("[Jefatura] "&amp;$C210,'Cronograma R. Normativo'!$C$5:$C$1000,0),MATCH("[Jefatura] "&amp;$C210,'Cronograma R. Financiero'!$C$5:$C$1000,0),MATCH("[Jefatura] "&amp;$C210,'Cronograma Asistente Técnico'!$C$5:$C$1000,0)),0))</f>
        <v/>
      </c>
      <c r="AI210" s="62">
        <f>IF(AND(AND($D210&lt;&gt;"",$V210="Macro"),$S210=MesCiclo),COUNTIFS($D$5:$D210,$D210,$S$5:$S210,MesCiclo,$V$5:$V210,"Macro"),"")</f>
        <v/>
      </c>
      <c r="AJ210" s="62">
        <f>IF($AI210="","",$D210&amp;"|"&amp;$AI210)</f>
        <v/>
      </c>
      <c r="AK210" s="62">
        <f>IF(AND($D210&lt;&gt;"",$V210="Macro"),$D210&amp;"|"&amp;$C210,"")</f>
        <v/>
      </c>
      <c r="AL210" s="62">
        <f>""</f>
        <v/>
      </c>
      <c r="AM210" s="62">
        <f>IF(N($AL210)&gt;0,INDEX(rIni_ADM,$AL210),IF(ISNUMBER($E210),$E210,""))</f>
        <v/>
      </c>
      <c r="AN210" s="62">
        <f>IF(N($AL210)&gt;0,INDEX(rLim_ADM,$AL210),IF(ISNUMBER($F210),$F210,""))</f>
        <v/>
      </c>
    </row>
    <row r="211">
      <c r="A211" s="56">
        <f>IF(NOT((COUNTA($B211:$D211)+COUNTA($G211:$L211)+COUNTA($Q211))&gt;0),"",IF($V211="Macro",COUNTIFS($V$5:$V211,"Macro",$S$5:$S211,$S211),IF(N($U211)=0,"?",COUNTIFS(INDEX($V$5:$V$1000,1):INDEX($V$5:$V$1000,$U211-4),"Macro",INDEX($S$5:$S$1000,1):INDEX($S$5:$S$1000,$U211-4),INDEX($S$5:$S$1000,$U211-4))&amp;"."&amp;COUNTIFS($U$5:$U211,$U211,$V$5:$V211,"Sub"))))</f>
        <v/>
      </c>
      <c r="B211" s="57" t="n"/>
      <c r="C211" s="58" t="n"/>
      <c r="D211" s="58" t="n"/>
      <c r="E211" s="59" t="n"/>
      <c r="F211" s="59" t="n"/>
      <c r="G211" s="59" t="n"/>
      <c r="H211" s="60" t="n"/>
      <c r="I211" s="60" t="n"/>
      <c r="J211" s="60" t="n"/>
      <c r="K211" s="60" t="n"/>
      <c r="L211" s="60" t="n"/>
      <c r="M211" s="61">
        <f>IF(NOT((COUNTA($B211:$D211)+COUNTA($G211:$L211)+COUNTA($Q211))&gt;0),"",IF(AND($D211&lt;&gt;"",$V211="Macro"),IF(N($AH211)&gt;0,N(CHOOSE(MATCH($D211,ListaPuestos,0),INDEX('Cronograma R. Operacional'!$M$5:$M$1000,$AH211),INDEX('Cronograma R. Normativo'!$M$5:$M$1000,$AH211),INDEX('Cronograma R. Financiero'!$M$5:$M$1000,$AH211),INDEX('Cronograma Asistente Técnico'!$M$5:$M$1000,$AH211))),0),IF(ISNUMBER($G211),1,IF(N($W211)&gt;0,AVERAGEIFS($X$5:$X$1000,$U$5:$U$1000,ROW(),$V$5:$V$1000,"Sub"),$X211))))</f>
        <v/>
      </c>
      <c r="N211" s="56">
        <f>IF($M211="","",IF($M211&gt;=1,"Completado",IF($M211&gt;0,"En curso","Pendiente")))</f>
        <v/>
      </c>
      <c r="O211" s="56">
        <f>IF(NOT((COUNTA($B211:$D211)+COUNTA($G211:$L211)+COUNTA($Q211))&gt;0),"",IF(AND(AND($D211&lt;&gt;"",$V211="Macro"),N($AH211)&gt;0),CHOOSE(MATCH($D211,ListaPuestos,0),INDEX('Cronograma R. Operacional'!$O$5:$O$1000,$AH211),INDEX('Cronograma R. Normativo'!$O$5:$O$1000,$AH211),INDEX('Cronograma R. Financiero'!$O$5:$O$1000,$AH211),INDEX('Cronograma Asistente Técnico'!$O$5:$O$1000,$AH211))&amp;"",IF(ISNUMBER($G211),IF(AND(ISNUMBER($AN211),$G211&gt;$AN211),"Cumplida con "&amp;($G211-$AN211)&amp;IF($G211-$AN211=1," día"," días")&amp;" de retraso","Cumplida"),IF(N($M211)&gt;=1,"Cumplida",IF(NOT(ISNUMBER($AN211)),"Sin fecha límite",IF($AN211&lt;FechaRef,"Vencida hace "&amp;(FechaRef-$AN211)&amp;IF(FechaRef-$AN211=1," día"," días"),IF($AN211=FechaRef,"Vence hoy",IF($AN211-FechaRef&lt;=DiasAlerta,"Vence en "&amp;($AN211-FechaRef)&amp;IF($AN211-FechaRef=1," día"," días"),"En plazo"))))))))</f>
        <v/>
      </c>
      <c r="P211" s="62">
        <f>IF(NOT((COUNTA($B211:$D211)+COUNTA($G211:$L211)+COUNTA($Q211))&gt;0),"",IF($D211="","Propia",IF($V211&lt;&gt;"Macro","Solo se delegan macroactividades",IF(N($AH211)&gt;0,"✔ Recibida por "&amp;$D211,"⚠ "&amp;$D211&amp;" aún no la agrega"))))</f>
        <v/>
      </c>
      <c r="Q211" s="58" t="n"/>
      <c r="R211" s="63">
        <f>IF(NOT((COUNTA($B211:$D211)+COUNTA($G211:$L211)+COUNTA($Q211))&gt;0),"",IF((IF($C211="","Falta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",""))="","✔ OK","⚠ "&amp;LEFT(IF($C211="","Falta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",""),LEN(IF($C211="","Falta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",""))-3)))</f>
        <v/>
      </c>
      <c r="S211" s="64">
        <f>IF(NOT((COUNTA($B211:$D211)+COUNTA($G211:$L211)+COUNTA($Q211))&gt;0),"",IF(AND($V211="Sub",N($U211)&gt;0),IF(ISNUMBER(INDEX($AM$5:$AM$1000,$U211-4)),DATE(YEAR(INDEX($AM$5:$AM$1000,$U211-4)),MONTH(INDEX($AM$5:$AM$1000,$U211-4)),1),IF(ISNUMBER(INDEX($AN$5:$AN$1000,$U211-4)),DATE(YEAR(INDEX($AN$5:$AN$1000,$U211-4)),MONTH(INDEX($AN$5:$AN$1000,$U211-4)),1),MesCiclo)),IF(ISNUMBER($AM211),DATE(YEAR($AM211),MONTH($AM211),1),IF(ISNUMBER($AN211),DATE(YEAR($AN211),MONTH($AN211),1),MesCiclo))))</f>
        <v/>
      </c>
      <c r="T211" s="62">
        <f>IF(OR($S211="",$S211&lt;&gt;MesCiclo),"",COUNTIF($S$5:$S211,MesCiclo))</f>
        <v/>
      </c>
      <c r="U211" s="62">
        <f>IF($V211="","",IF($V211="Macro",ROW(),IFERROR(LOOKUP(2,1/($V$5:$V211="Macro"),ROW($V$5:$V211)),0)))</f>
        <v/>
      </c>
      <c r="V211" s="62">
        <f>IF(NOT((COUNTA($B211:$D211)+COUNTA($G211:$L211)+COUNTA($Q211))&gt;0),"",IF($B211="Subactividad","Sub","Macro"))</f>
        <v/>
      </c>
      <c r="W211" s="62">
        <f>IF($V211="Macro",COUNTIFS($U$5:$U$1000,ROW(),$V$5:$V$1000,"Sub"),"")</f>
        <v/>
      </c>
      <c r="X211" s="62">
        <f>IF($V211="","",IF(ISNUMBER($G211),1,IFERROR(LOOKUP(2,1/($I211:$L211&lt;&gt;""),$I211:$L211),0)))</f>
        <v/>
      </c>
      <c r="Y211" s="62">
        <f>IF($V211="","",IF(AND(ISNUMBER($G211),$G211&lt;=IF($S211=MesCiclo,InicioCiclo,$S211+MOD(2-WEEKDAY($S211),7))+6),1,IF(ISNUMBER($I211),$I211,0)))</f>
        <v/>
      </c>
      <c r="Z211" s="62">
        <f>IF($V211="","",IF(AND(ISNUMBER($G211),$G211&lt;=IF($S211=MesCiclo,InicioCiclo,$S211+MOD(2-WEEKDAY($S211),7))+13),1,IF(ISNUMBER($J211),$J211,$Y211)))</f>
        <v/>
      </c>
      <c r="AA211" s="62">
        <f>IF($V211="","",IF(AND(ISNUMBER($G211),$G211&lt;=IF($S211=MesCiclo,InicioCiclo,$S211+MOD(2-WEEKDAY($S211),7))+20),1,IF(ISNUMBER($K211),$K211,$Z211)))</f>
        <v/>
      </c>
      <c r="AB211" s="62">
        <f>IF($V211="","",IF(AND(ISNUMBER($G211),$G211&lt;=IF($S211=MesCiclo,InicioCiclo,$S211+MOD(2-WEEKDAY($S211),7))+27),1,IF(ISNUMBER($L211),$L211,$AA211)))</f>
        <v/>
      </c>
      <c r="AC211" s="62">
        <f>IF($V211="","",IF(AND(ISNUMBER($G211),$G211&lt;=IF($S211=MesCiclo,InicioCiclo,$S211+MOD(2-WEEKDAY($S211),7))+6),1,IF(N($W211)&gt;0,AVERAGEIFS($Y$5:$Y$1000,$U$5:$U$1000,ROW(),$V$5:$V$1000,"Sub"),$Y211)))</f>
        <v/>
      </c>
      <c r="AD211" s="62">
        <f>IF($V211="","",IF(AND(ISNUMBER($G211),$G211&lt;=IF($S211=MesCiclo,InicioCiclo,$S211+MOD(2-WEEKDAY($S211),7))+13),1,IF(N($W211)&gt;0,AVERAGEIFS($Z$5:$Z$1000,$U$5:$U$1000,ROW(),$V$5:$V$1000,"Sub"),$Z211)))</f>
        <v/>
      </c>
      <c r="AE211" s="62">
        <f>IF($V211="","",IF(AND(ISNUMBER($G211),$G211&lt;=IF($S211=MesCiclo,InicioCiclo,$S211+MOD(2-WEEKDAY($S211),7))+20),1,IF(N($W211)&gt;0,AVERAGEIFS($AA$5:$AA$1000,$U$5:$U$1000,ROW(),$V$5:$V$1000,"Sub"),$AA211)))</f>
        <v/>
      </c>
      <c r="AF211" s="62">
        <f>IF($V211="","",IF(AND(ISNUMBER($G211),$G211&lt;=IF($S211=MesCiclo,InicioCiclo,$S211+MOD(2-WEEKDAY($S211),7))+27),1,IF(N($W211)&gt;0,AVERAGEIFS($AB$5:$AB$1000,$U$5:$U$1000,ROW(),$V$5:$V$1000,"Sub"),$AB211)))</f>
        <v/>
      </c>
      <c r="AG211" s="62">
        <f>IF($V211&lt;&gt;"Macro","",IF(COUNTIFS($S$5:$S$1000,$S211,$V$5:$V$1000,"Macro",$H$5:$H$1000,"&gt;0")=0,1/COUNTIFS($S$5:$S$1000,$S211,$V$5:$V$1000,"Macro"),IF(AND(ISNUMBER($H211),N($H211)&gt;0),$H211,SUMIFS($H$5:$H$1000,$S$5:$S$1000,$S211,$V$5:$V$1000,"Macro")/COUNTIFS($S$5:$S$1000,$S211,$V$5:$V$1000,"Macro",$H$5:$H$1000,"&gt;0"))/(COUNTIFS($S$5:$S$1000,$S211,$V$5:$V$1000,"Macro")*SUMIFS($H$5:$H$1000,$S$5:$S$1000,$S211,$V$5:$V$1000,"Macro")/COUNTIFS($S$5:$S$1000,$S211,$V$5:$V$1000,"Macro",$H$5:$H$1000,"&gt;0"))))</f>
        <v/>
      </c>
      <c r="AH211" s="62">
        <f>IF(NOT(AND($D211&lt;&gt;"",$V211="Macro")),"",IFERROR(CHOOSE(MATCH($D211,ListaPuestos,0),MATCH("[Jefatura] "&amp;$C211,'Cronograma R. Operacional'!$C$5:$C$1000,0),MATCH("[Jefatura] "&amp;$C211,'Cronograma R. Normativo'!$C$5:$C$1000,0),MATCH("[Jefatura] "&amp;$C211,'Cronograma R. Financiero'!$C$5:$C$1000,0),MATCH("[Jefatura] "&amp;$C211,'Cronograma Asistente Técnico'!$C$5:$C$1000,0)),0))</f>
        <v/>
      </c>
      <c r="AI211" s="62">
        <f>IF(AND(AND($D211&lt;&gt;"",$V211="Macro"),$S211=MesCiclo),COUNTIFS($D$5:$D211,$D211,$S$5:$S211,MesCiclo,$V$5:$V211,"Macro"),"")</f>
        <v/>
      </c>
      <c r="AJ211" s="62">
        <f>IF($AI211="","",$D211&amp;"|"&amp;$AI211)</f>
        <v/>
      </c>
      <c r="AK211" s="62">
        <f>IF(AND($D211&lt;&gt;"",$V211="Macro"),$D211&amp;"|"&amp;$C211,"")</f>
        <v/>
      </c>
      <c r="AL211" s="62">
        <f>""</f>
        <v/>
      </c>
      <c r="AM211" s="62">
        <f>IF(N($AL211)&gt;0,INDEX(rIni_ADM,$AL211),IF(ISNUMBER($E211),$E211,""))</f>
        <v/>
      </c>
      <c r="AN211" s="62">
        <f>IF(N($AL211)&gt;0,INDEX(rLim_ADM,$AL211),IF(ISNUMBER($F211),$F211,""))</f>
        <v/>
      </c>
    </row>
    <row r="212">
      <c r="A212" s="56">
        <f>IF(NOT((COUNTA($B212:$D212)+COUNTA($G212:$L212)+COUNTA($Q212))&gt;0),"",IF($V212="Macro",COUNTIFS($V$5:$V212,"Macro",$S$5:$S212,$S212),IF(N($U212)=0,"?",COUNTIFS(INDEX($V$5:$V$1000,1):INDEX($V$5:$V$1000,$U212-4),"Macro",INDEX($S$5:$S$1000,1):INDEX($S$5:$S$1000,$U212-4),INDEX($S$5:$S$1000,$U212-4))&amp;"."&amp;COUNTIFS($U$5:$U212,$U212,$V$5:$V212,"Sub"))))</f>
        <v/>
      </c>
      <c r="B212" s="57" t="n"/>
      <c r="C212" s="58" t="n"/>
      <c r="D212" s="58" t="n"/>
      <c r="E212" s="59" t="n"/>
      <c r="F212" s="59" t="n"/>
      <c r="G212" s="59" t="n"/>
      <c r="H212" s="60" t="n"/>
      <c r="I212" s="60" t="n"/>
      <c r="J212" s="60" t="n"/>
      <c r="K212" s="60" t="n"/>
      <c r="L212" s="60" t="n"/>
      <c r="M212" s="61">
        <f>IF(NOT((COUNTA($B212:$D212)+COUNTA($G212:$L212)+COUNTA($Q212))&gt;0),"",IF(AND($D212&lt;&gt;"",$V212="Macro"),IF(N($AH212)&gt;0,N(CHOOSE(MATCH($D212,ListaPuestos,0),INDEX('Cronograma R. Operacional'!$M$5:$M$1000,$AH212),INDEX('Cronograma R. Normativo'!$M$5:$M$1000,$AH212),INDEX('Cronograma R. Financiero'!$M$5:$M$1000,$AH212),INDEX('Cronograma Asistente Técnico'!$M$5:$M$1000,$AH212))),0),IF(ISNUMBER($G212),1,IF(N($W212)&gt;0,AVERAGEIFS($X$5:$X$1000,$U$5:$U$1000,ROW(),$V$5:$V$1000,"Sub"),$X212))))</f>
        <v/>
      </c>
      <c r="N212" s="56">
        <f>IF($M212="","",IF($M212&gt;=1,"Completado",IF($M212&gt;0,"En curso","Pendiente")))</f>
        <v/>
      </c>
      <c r="O212" s="56">
        <f>IF(NOT((COUNTA($B212:$D212)+COUNTA($G212:$L212)+COUNTA($Q212))&gt;0),"",IF(AND(AND($D212&lt;&gt;"",$V212="Macro"),N($AH212)&gt;0),CHOOSE(MATCH($D212,ListaPuestos,0),INDEX('Cronograma R. Operacional'!$O$5:$O$1000,$AH212),INDEX('Cronograma R. Normativo'!$O$5:$O$1000,$AH212),INDEX('Cronograma R. Financiero'!$O$5:$O$1000,$AH212),INDEX('Cronograma Asistente Técnico'!$O$5:$O$1000,$AH212))&amp;"",IF(ISNUMBER($G212),IF(AND(ISNUMBER($AN212),$G212&gt;$AN212),"Cumplida con "&amp;($G212-$AN212)&amp;IF($G212-$AN212=1," día"," días")&amp;" de retraso","Cumplida"),IF(N($M212)&gt;=1,"Cumplida",IF(NOT(ISNUMBER($AN212)),"Sin fecha límite",IF($AN212&lt;FechaRef,"Vencida hace "&amp;(FechaRef-$AN212)&amp;IF(FechaRef-$AN212=1," día"," días"),IF($AN212=FechaRef,"Vence hoy",IF($AN212-FechaRef&lt;=DiasAlerta,"Vence en "&amp;($AN212-FechaRef)&amp;IF($AN212-FechaRef=1," día"," días"),"En plazo"))))))))</f>
        <v/>
      </c>
      <c r="P212" s="62">
        <f>IF(NOT((COUNTA($B212:$D212)+COUNTA($G212:$L212)+COUNTA($Q212))&gt;0),"",IF($D212="","Propia",IF($V212&lt;&gt;"Macro","Solo se delegan macroactividades",IF(N($AH212)&gt;0,"✔ Recibida por "&amp;$D212,"⚠ "&amp;$D212&amp;" aún no la agrega"))))</f>
        <v/>
      </c>
      <c r="Q212" s="58" t="n"/>
      <c r="R212" s="63">
        <f>IF(NOT((COUNTA($B212:$D212)+COUNTA($G212:$L212)+COUNTA($Q212))&gt;0),"",IF((IF($C212="","Falta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",""))="","✔ OK","⚠ "&amp;LEFT(IF($C212="","Falta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",""),LEN(IF($C212="","Falta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",""))-3)))</f>
        <v/>
      </c>
      <c r="S212" s="64">
        <f>IF(NOT((COUNTA($B212:$D212)+COUNTA($G212:$L212)+COUNTA($Q212))&gt;0),"",IF(AND($V212="Sub",N($U212)&gt;0),IF(ISNUMBER(INDEX($AM$5:$AM$1000,$U212-4)),DATE(YEAR(INDEX($AM$5:$AM$1000,$U212-4)),MONTH(INDEX($AM$5:$AM$1000,$U212-4)),1),IF(ISNUMBER(INDEX($AN$5:$AN$1000,$U212-4)),DATE(YEAR(INDEX($AN$5:$AN$1000,$U212-4)),MONTH(INDEX($AN$5:$AN$1000,$U212-4)),1),MesCiclo)),IF(ISNUMBER($AM212),DATE(YEAR($AM212),MONTH($AM212),1),IF(ISNUMBER($AN212),DATE(YEAR($AN212),MONTH($AN212),1),MesCiclo))))</f>
        <v/>
      </c>
      <c r="T212" s="62">
        <f>IF(OR($S212="",$S212&lt;&gt;MesCiclo),"",COUNTIF($S$5:$S212,MesCiclo))</f>
        <v/>
      </c>
      <c r="U212" s="62">
        <f>IF($V212="","",IF($V212="Macro",ROW(),IFERROR(LOOKUP(2,1/($V$5:$V212="Macro"),ROW($V$5:$V212)),0)))</f>
        <v/>
      </c>
      <c r="V212" s="62">
        <f>IF(NOT((COUNTA($B212:$D212)+COUNTA($G212:$L212)+COUNTA($Q212))&gt;0),"",IF($B212="Subactividad","Sub","Macro"))</f>
        <v/>
      </c>
      <c r="W212" s="62">
        <f>IF($V212="Macro",COUNTIFS($U$5:$U$1000,ROW(),$V$5:$V$1000,"Sub"),"")</f>
        <v/>
      </c>
      <c r="X212" s="62">
        <f>IF($V212="","",IF(ISNUMBER($G212),1,IFERROR(LOOKUP(2,1/($I212:$L212&lt;&gt;""),$I212:$L212),0)))</f>
        <v/>
      </c>
      <c r="Y212" s="62">
        <f>IF($V212="","",IF(AND(ISNUMBER($G212),$G212&lt;=IF($S212=MesCiclo,InicioCiclo,$S212+MOD(2-WEEKDAY($S212),7))+6),1,IF(ISNUMBER($I212),$I212,0)))</f>
        <v/>
      </c>
      <c r="Z212" s="62">
        <f>IF($V212="","",IF(AND(ISNUMBER($G212),$G212&lt;=IF($S212=MesCiclo,InicioCiclo,$S212+MOD(2-WEEKDAY($S212),7))+13),1,IF(ISNUMBER($J212),$J212,$Y212)))</f>
        <v/>
      </c>
      <c r="AA212" s="62">
        <f>IF($V212="","",IF(AND(ISNUMBER($G212),$G212&lt;=IF($S212=MesCiclo,InicioCiclo,$S212+MOD(2-WEEKDAY($S212),7))+20),1,IF(ISNUMBER($K212),$K212,$Z212)))</f>
        <v/>
      </c>
      <c r="AB212" s="62">
        <f>IF($V212="","",IF(AND(ISNUMBER($G212),$G212&lt;=IF($S212=MesCiclo,InicioCiclo,$S212+MOD(2-WEEKDAY($S212),7))+27),1,IF(ISNUMBER($L212),$L212,$AA212)))</f>
        <v/>
      </c>
      <c r="AC212" s="62">
        <f>IF($V212="","",IF(AND(ISNUMBER($G212),$G212&lt;=IF($S212=MesCiclo,InicioCiclo,$S212+MOD(2-WEEKDAY($S212),7))+6),1,IF(N($W212)&gt;0,AVERAGEIFS($Y$5:$Y$1000,$U$5:$U$1000,ROW(),$V$5:$V$1000,"Sub"),$Y212)))</f>
        <v/>
      </c>
      <c r="AD212" s="62">
        <f>IF($V212="","",IF(AND(ISNUMBER($G212),$G212&lt;=IF($S212=MesCiclo,InicioCiclo,$S212+MOD(2-WEEKDAY($S212),7))+13),1,IF(N($W212)&gt;0,AVERAGEIFS($Z$5:$Z$1000,$U$5:$U$1000,ROW(),$V$5:$V$1000,"Sub"),$Z212)))</f>
        <v/>
      </c>
      <c r="AE212" s="62">
        <f>IF($V212="","",IF(AND(ISNUMBER($G212),$G212&lt;=IF($S212=MesCiclo,InicioCiclo,$S212+MOD(2-WEEKDAY($S212),7))+20),1,IF(N($W212)&gt;0,AVERAGEIFS($AA$5:$AA$1000,$U$5:$U$1000,ROW(),$V$5:$V$1000,"Sub"),$AA212)))</f>
        <v/>
      </c>
      <c r="AF212" s="62">
        <f>IF($V212="","",IF(AND(ISNUMBER($G212),$G212&lt;=IF($S212=MesCiclo,InicioCiclo,$S212+MOD(2-WEEKDAY($S212),7))+27),1,IF(N($W212)&gt;0,AVERAGEIFS($AB$5:$AB$1000,$U$5:$U$1000,ROW(),$V$5:$V$1000,"Sub"),$AB212)))</f>
        <v/>
      </c>
      <c r="AG212" s="62">
        <f>IF($V212&lt;&gt;"Macro","",IF(COUNTIFS($S$5:$S$1000,$S212,$V$5:$V$1000,"Macro",$H$5:$H$1000,"&gt;0")=0,1/COUNTIFS($S$5:$S$1000,$S212,$V$5:$V$1000,"Macro"),IF(AND(ISNUMBER($H212),N($H212)&gt;0),$H212,SUMIFS($H$5:$H$1000,$S$5:$S$1000,$S212,$V$5:$V$1000,"Macro")/COUNTIFS($S$5:$S$1000,$S212,$V$5:$V$1000,"Macro",$H$5:$H$1000,"&gt;0"))/(COUNTIFS($S$5:$S$1000,$S212,$V$5:$V$1000,"Macro")*SUMIFS($H$5:$H$1000,$S$5:$S$1000,$S212,$V$5:$V$1000,"Macro")/COUNTIFS($S$5:$S$1000,$S212,$V$5:$V$1000,"Macro",$H$5:$H$1000,"&gt;0"))))</f>
        <v/>
      </c>
      <c r="AH212" s="62">
        <f>IF(NOT(AND($D212&lt;&gt;"",$V212="Macro")),"",IFERROR(CHOOSE(MATCH($D212,ListaPuestos,0),MATCH("[Jefatura] "&amp;$C212,'Cronograma R. Operacional'!$C$5:$C$1000,0),MATCH("[Jefatura] "&amp;$C212,'Cronograma R. Normativo'!$C$5:$C$1000,0),MATCH("[Jefatura] "&amp;$C212,'Cronograma R. Financiero'!$C$5:$C$1000,0),MATCH("[Jefatura] "&amp;$C212,'Cronograma Asistente Técnico'!$C$5:$C$1000,0)),0))</f>
        <v/>
      </c>
      <c r="AI212" s="62">
        <f>IF(AND(AND($D212&lt;&gt;"",$V212="Macro"),$S212=MesCiclo),COUNTIFS($D$5:$D212,$D212,$S$5:$S212,MesCiclo,$V$5:$V212,"Macro"),"")</f>
        <v/>
      </c>
      <c r="AJ212" s="62">
        <f>IF($AI212="","",$D212&amp;"|"&amp;$AI212)</f>
        <v/>
      </c>
      <c r="AK212" s="62">
        <f>IF(AND($D212&lt;&gt;"",$V212="Macro"),$D212&amp;"|"&amp;$C212,"")</f>
        <v/>
      </c>
      <c r="AL212" s="62">
        <f>""</f>
        <v/>
      </c>
      <c r="AM212" s="62">
        <f>IF(N($AL212)&gt;0,INDEX(rIni_ADM,$AL212),IF(ISNUMBER($E212),$E212,""))</f>
        <v/>
      </c>
      <c r="AN212" s="62">
        <f>IF(N($AL212)&gt;0,INDEX(rLim_ADM,$AL212),IF(ISNUMBER($F212),$F212,""))</f>
        <v/>
      </c>
    </row>
    <row r="213">
      <c r="A213" s="56">
        <f>IF(NOT((COUNTA($B213:$D213)+COUNTA($G213:$L213)+COUNTA($Q213))&gt;0),"",IF($V213="Macro",COUNTIFS($V$5:$V213,"Macro",$S$5:$S213,$S213),IF(N($U213)=0,"?",COUNTIFS(INDEX($V$5:$V$1000,1):INDEX($V$5:$V$1000,$U213-4),"Macro",INDEX($S$5:$S$1000,1):INDEX($S$5:$S$1000,$U213-4),INDEX($S$5:$S$1000,$U213-4))&amp;"."&amp;COUNTIFS($U$5:$U213,$U213,$V$5:$V213,"Sub"))))</f>
        <v/>
      </c>
      <c r="B213" s="57" t="n"/>
      <c r="C213" s="58" t="n"/>
      <c r="D213" s="58" t="n"/>
      <c r="E213" s="59" t="n"/>
      <c r="F213" s="59" t="n"/>
      <c r="G213" s="59" t="n"/>
      <c r="H213" s="60" t="n"/>
      <c r="I213" s="60" t="n"/>
      <c r="J213" s="60" t="n"/>
      <c r="K213" s="60" t="n"/>
      <c r="L213" s="60" t="n"/>
      <c r="M213" s="61">
        <f>IF(NOT((COUNTA($B213:$D213)+COUNTA($G213:$L213)+COUNTA($Q213))&gt;0),"",IF(AND($D213&lt;&gt;"",$V213="Macro"),IF(N($AH213)&gt;0,N(CHOOSE(MATCH($D213,ListaPuestos,0),INDEX('Cronograma R. Operacional'!$M$5:$M$1000,$AH213),INDEX('Cronograma R. Normativo'!$M$5:$M$1000,$AH213),INDEX('Cronograma R. Financiero'!$M$5:$M$1000,$AH213),INDEX('Cronograma Asistente Técnico'!$M$5:$M$1000,$AH213))),0),IF(ISNUMBER($G213),1,IF(N($W213)&gt;0,AVERAGEIFS($X$5:$X$1000,$U$5:$U$1000,ROW(),$V$5:$V$1000,"Sub"),$X213))))</f>
        <v/>
      </c>
      <c r="N213" s="56">
        <f>IF($M213="","",IF($M213&gt;=1,"Completado",IF($M213&gt;0,"En curso","Pendiente")))</f>
        <v/>
      </c>
      <c r="O213" s="56">
        <f>IF(NOT((COUNTA($B213:$D213)+COUNTA($G213:$L213)+COUNTA($Q213))&gt;0),"",IF(AND(AND($D213&lt;&gt;"",$V213="Macro"),N($AH213)&gt;0),CHOOSE(MATCH($D213,ListaPuestos,0),INDEX('Cronograma R. Operacional'!$O$5:$O$1000,$AH213),INDEX('Cronograma R. Normativo'!$O$5:$O$1000,$AH213),INDEX('Cronograma R. Financiero'!$O$5:$O$1000,$AH213),INDEX('Cronograma Asistente Técnico'!$O$5:$O$1000,$AH213))&amp;"",IF(ISNUMBER($G213),IF(AND(ISNUMBER($AN213),$G213&gt;$AN213),"Cumplida con "&amp;($G213-$AN213)&amp;IF($G213-$AN213=1," día"," días")&amp;" de retraso","Cumplida"),IF(N($M213)&gt;=1,"Cumplida",IF(NOT(ISNUMBER($AN213)),"Sin fecha límite",IF($AN213&lt;FechaRef,"Vencida hace "&amp;(FechaRef-$AN213)&amp;IF(FechaRef-$AN213=1," día"," días"),IF($AN213=FechaRef,"Vence hoy",IF($AN213-FechaRef&lt;=DiasAlerta,"Vence en "&amp;($AN213-FechaRef)&amp;IF($AN213-FechaRef=1," día"," días"),"En plazo"))))))))</f>
        <v/>
      </c>
      <c r="P213" s="62">
        <f>IF(NOT((COUNTA($B213:$D213)+COUNTA($G213:$L213)+COUNTA($Q213))&gt;0),"",IF($D213="","Propia",IF($V213&lt;&gt;"Macro","Solo se delegan macroactividades",IF(N($AH213)&gt;0,"✔ Recibida por "&amp;$D213,"⚠ "&amp;$D213&amp;" aún no la agrega"))))</f>
        <v/>
      </c>
      <c r="Q213" s="58" t="n"/>
      <c r="R213" s="63">
        <f>IF(NOT((COUNTA($B213:$D213)+COUNTA($G213:$L213)+COUNTA($Q213))&gt;0),"",IF((IF($C213="","Falta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",""))="","✔ OK","⚠ "&amp;LEFT(IF($C213="","Falta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",""),LEN(IF($C213="","Falta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",""))-3)))</f>
        <v/>
      </c>
      <c r="S213" s="64">
        <f>IF(NOT((COUNTA($B213:$D213)+COUNTA($G213:$L213)+COUNTA($Q213))&gt;0),"",IF(AND($V213="Sub",N($U213)&gt;0),IF(ISNUMBER(INDEX($AM$5:$AM$1000,$U213-4)),DATE(YEAR(INDEX($AM$5:$AM$1000,$U213-4)),MONTH(INDEX($AM$5:$AM$1000,$U213-4)),1),IF(ISNUMBER(INDEX($AN$5:$AN$1000,$U213-4)),DATE(YEAR(INDEX($AN$5:$AN$1000,$U213-4)),MONTH(INDEX($AN$5:$AN$1000,$U213-4)),1),MesCiclo)),IF(ISNUMBER($AM213),DATE(YEAR($AM213),MONTH($AM213),1),IF(ISNUMBER($AN213),DATE(YEAR($AN213),MONTH($AN213),1),MesCiclo))))</f>
        <v/>
      </c>
      <c r="T213" s="62">
        <f>IF(OR($S213="",$S213&lt;&gt;MesCiclo),"",COUNTIF($S$5:$S213,MesCiclo))</f>
        <v/>
      </c>
      <c r="U213" s="62">
        <f>IF($V213="","",IF($V213="Macro",ROW(),IFERROR(LOOKUP(2,1/($V$5:$V213="Macro"),ROW($V$5:$V213)),0)))</f>
        <v/>
      </c>
      <c r="V213" s="62">
        <f>IF(NOT((COUNTA($B213:$D213)+COUNTA($G213:$L213)+COUNTA($Q213))&gt;0),"",IF($B213="Subactividad","Sub","Macro"))</f>
        <v/>
      </c>
      <c r="W213" s="62">
        <f>IF($V213="Macro",COUNTIFS($U$5:$U$1000,ROW(),$V$5:$V$1000,"Sub"),"")</f>
        <v/>
      </c>
      <c r="X213" s="62">
        <f>IF($V213="","",IF(ISNUMBER($G213),1,IFERROR(LOOKUP(2,1/($I213:$L213&lt;&gt;""),$I213:$L213),0)))</f>
        <v/>
      </c>
      <c r="Y213" s="62">
        <f>IF($V213="","",IF(AND(ISNUMBER($G213),$G213&lt;=IF($S213=MesCiclo,InicioCiclo,$S213+MOD(2-WEEKDAY($S213),7))+6),1,IF(ISNUMBER($I213),$I213,0)))</f>
        <v/>
      </c>
      <c r="Z213" s="62">
        <f>IF($V213="","",IF(AND(ISNUMBER($G213),$G213&lt;=IF($S213=MesCiclo,InicioCiclo,$S213+MOD(2-WEEKDAY($S213),7))+13),1,IF(ISNUMBER($J213),$J213,$Y213)))</f>
        <v/>
      </c>
      <c r="AA213" s="62">
        <f>IF($V213="","",IF(AND(ISNUMBER($G213),$G213&lt;=IF($S213=MesCiclo,InicioCiclo,$S213+MOD(2-WEEKDAY($S213),7))+20),1,IF(ISNUMBER($K213),$K213,$Z213)))</f>
        <v/>
      </c>
      <c r="AB213" s="62">
        <f>IF($V213="","",IF(AND(ISNUMBER($G213),$G213&lt;=IF($S213=MesCiclo,InicioCiclo,$S213+MOD(2-WEEKDAY($S213),7))+27),1,IF(ISNUMBER($L213),$L213,$AA213)))</f>
        <v/>
      </c>
      <c r="AC213" s="62">
        <f>IF($V213="","",IF(AND(ISNUMBER($G213),$G213&lt;=IF($S213=MesCiclo,InicioCiclo,$S213+MOD(2-WEEKDAY($S213),7))+6),1,IF(N($W213)&gt;0,AVERAGEIFS($Y$5:$Y$1000,$U$5:$U$1000,ROW(),$V$5:$V$1000,"Sub"),$Y213)))</f>
        <v/>
      </c>
      <c r="AD213" s="62">
        <f>IF($V213="","",IF(AND(ISNUMBER($G213),$G213&lt;=IF($S213=MesCiclo,InicioCiclo,$S213+MOD(2-WEEKDAY($S213),7))+13),1,IF(N($W213)&gt;0,AVERAGEIFS($Z$5:$Z$1000,$U$5:$U$1000,ROW(),$V$5:$V$1000,"Sub"),$Z213)))</f>
        <v/>
      </c>
      <c r="AE213" s="62">
        <f>IF($V213="","",IF(AND(ISNUMBER($G213),$G213&lt;=IF($S213=MesCiclo,InicioCiclo,$S213+MOD(2-WEEKDAY($S213),7))+20),1,IF(N($W213)&gt;0,AVERAGEIFS($AA$5:$AA$1000,$U$5:$U$1000,ROW(),$V$5:$V$1000,"Sub"),$AA213)))</f>
        <v/>
      </c>
      <c r="AF213" s="62">
        <f>IF($V213="","",IF(AND(ISNUMBER($G213),$G213&lt;=IF($S213=MesCiclo,InicioCiclo,$S213+MOD(2-WEEKDAY($S213),7))+27),1,IF(N($W213)&gt;0,AVERAGEIFS($AB$5:$AB$1000,$U$5:$U$1000,ROW(),$V$5:$V$1000,"Sub"),$AB213)))</f>
        <v/>
      </c>
      <c r="AG213" s="62">
        <f>IF($V213&lt;&gt;"Macro","",IF(COUNTIFS($S$5:$S$1000,$S213,$V$5:$V$1000,"Macro",$H$5:$H$1000,"&gt;0")=0,1/COUNTIFS($S$5:$S$1000,$S213,$V$5:$V$1000,"Macro"),IF(AND(ISNUMBER($H213),N($H213)&gt;0),$H213,SUMIFS($H$5:$H$1000,$S$5:$S$1000,$S213,$V$5:$V$1000,"Macro")/COUNTIFS($S$5:$S$1000,$S213,$V$5:$V$1000,"Macro",$H$5:$H$1000,"&gt;0"))/(COUNTIFS($S$5:$S$1000,$S213,$V$5:$V$1000,"Macro")*SUMIFS($H$5:$H$1000,$S$5:$S$1000,$S213,$V$5:$V$1000,"Macro")/COUNTIFS($S$5:$S$1000,$S213,$V$5:$V$1000,"Macro",$H$5:$H$1000,"&gt;0"))))</f>
        <v/>
      </c>
      <c r="AH213" s="62">
        <f>IF(NOT(AND($D213&lt;&gt;"",$V213="Macro")),"",IFERROR(CHOOSE(MATCH($D213,ListaPuestos,0),MATCH("[Jefatura] "&amp;$C213,'Cronograma R. Operacional'!$C$5:$C$1000,0),MATCH("[Jefatura] "&amp;$C213,'Cronograma R. Normativo'!$C$5:$C$1000,0),MATCH("[Jefatura] "&amp;$C213,'Cronograma R. Financiero'!$C$5:$C$1000,0),MATCH("[Jefatura] "&amp;$C213,'Cronograma Asistente Técnico'!$C$5:$C$1000,0)),0))</f>
        <v/>
      </c>
      <c r="AI213" s="62">
        <f>IF(AND(AND($D213&lt;&gt;"",$V213="Macro"),$S213=MesCiclo),COUNTIFS($D$5:$D213,$D213,$S$5:$S213,MesCiclo,$V$5:$V213,"Macro"),"")</f>
        <v/>
      </c>
      <c r="AJ213" s="62">
        <f>IF($AI213="","",$D213&amp;"|"&amp;$AI213)</f>
        <v/>
      </c>
      <c r="AK213" s="62">
        <f>IF(AND($D213&lt;&gt;"",$V213="Macro"),$D213&amp;"|"&amp;$C213,"")</f>
        <v/>
      </c>
      <c r="AL213" s="62">
        <f>""</f>
        <v/>
      </c>
      <c r="AM213" s="62">
        <f>IF(N($AL213)&gt;0,INDEX(rIni_ADM,$AL213),IF(ISNUMBER($E213),$E213,""))</f>
        <v/>
      </c>
      <c r="AN213" s="62">
        <f>IF(N($AL213)&gt;0,INDEX(rLim_ADM,$AL213),IF(ISNUMBER($F213),$F213,""))</f>
        <v/>
      </c>
    </row>
    <row r="214">
      <c r="A214" s="56">
        <f>IF(NOT((COUNTA($B214:$D214)+COUNTA($G214:$L214)+COUNTA($Q214))&gt;0),"",IF($V214="Macro",COUNTIFS($V$5:$V214,"Macro",$S$5:$S214,$S214),IF(N($U214)=0,"?",COUNTIFS(INDEX($V$5:$V$1000,1):INDEX($V$5:$V$1000,$U214-4),"Macro",INDEX($S$5:$S$1000,1):INDEX($S$5:$S$1000,$U214-4),INDEX($S$5:$S$1000,$U214-4))&amp;"."&amp;COUNTIFS($U$5:$U214,$U214,$V$5:$V214,"Sub"))))</f>
        <v/>
      </c>
      <c r="B214" s="57" t="n"/>
      <c r="C214" s="58" t="n"/>
      <c r="D214" s="58" t="n"/>
      <c r="E214" s="59" t="n"/>
      <c r="F214" s="59" t="n"/>
      <c r="G214" s="59" t="n"/>
      <c r="H214" s="60" t="n"/>
      <c r="I214" s="60" t="n"/>
      <c r="J214" s="60" t="n"/>
      <c r="K214" s="60" t="n"/>
      <c r="L214" s="60" t="n"/>
      <c r="M214" s="61">
        <f>IF(NOT((COUNTA($B214:$D214)+COUNTA($G214:$L214)+COUNTA($Q214))&gt;0),"",IF(AND($D214&lt;&gt;"",$V214="Macro"),IF(N($AH214)&gt;0,N(CHOOSE(MATCH($D214,ListaPuestos,0),INDEX('Cronograma R. Operacional'!$M$5:$M$1000,$AH214),INDEX('Cronograma R. Normativo'!$M$5:$M$1000,$AH214),INDEX('Cronograma R. Financiero'!$M$5:$M$1000,$AH214),INDEX('Cronograma Asistente Técnico'!$M$5:$M$1000,$AH214))),0),IF(ISNUMBER($G214),1,IF(N($W214)&gt;0,AVERAGEIFS($X$5:$X$1000,$U$5:$U$1000,ROW(),$V$5:$V$1000,"Sub"),$X214))))</f>
        <v/>
      </c>
      <c r="N214" s="56">
        <f>IF($M214="","",IF($M214&gt;=1,"Completado",IF($M214&gt;0,"En curso","Pendiente")))</f>
        <v/>
      </c>
      <c r="O214" s="56">
        <f>IF(NOT((COUNTA($B214:$D214)+COUNTA($G214:$L214)+COUNTA($Q214))&gt;0),"",IF(AND(AND($D214&lt;&gt;"",$V214="Macro"),N($AH214)&gt;0),CHOOSE(MATCH($D214,ListaPuestos,0),INDEX('Cronograma R. Operacional'!$O$5:$O$1000,$AH214),INDEX('Cronograma R. Normativo'!$O$5:$O$1000,$AH214),INDEX('Cronograma R. Financiero'!$O$5:$O$1000,$AH214),INDEX('Cronograma Asistente Técnico'!$O$5:$O$1000,$AH214))&amp;"",IF(ISNUMBER($G214),IF(AND(ISNUMBER($AN214),$G214&gt;$AN214),"Cumplida con "&amp;($G214-$AN214)&amp;IF($G214-$AN214=1," día"," días")&amp;" de retraso","Cumplida"),IF(N($M214)&gt;=1,"Cumplida",IF(NOT(ISNUMBER($AN214)),"Sin fecha límite",IF($AN214&lt;FechaRef,"Vencida hace "&amp;(FechaRef-$AN214)&amp;IF(FechaRef-$AN214=1," día"," días"),IF($AN214=FechaRef,"Vence hoy",IF($AN214-FechaRef&lt;=DiasAlerta,"Vence en "&amp;($AN214-FechaRef)&amp;IF($AN214-FechaRef=1," día"," días"),"En plazo"))))))))</f>
        <v/>
      </c>
      <c r="P214" s="62">
        <f>IF(NOT((COUNTA($B214:$D214)+COUNTA($G214:$L214)+COUNTA($Q214))&gt;0),"",IF($D214="","Propia",IF($V214&lt;&gt;"Macro","Solo se delegan macroactividades",IF(N($AH214)&gt;0,"✔ Recibida por "&amp;$D214,"⚠ "&amp;$D214&amp;" aún no la agrega"))))</f>
        <v/>
      </c>
      <c r="Q214" s="58" t="n"/>
      <c r="R214" s="63">
        <f>IF(NOT((COUNTA($B214:$D214)+COUNTA($G214:$L214)+COUNTA($Q214))&gt;0),"",IF((IF($C214="","Falta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",""))="","✔ OK","⚠ "&amp;LEFT(IF($C214="","Falta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",""),LEN(IF($C214="","Falta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",""))-3)))</f>
        <v/>
      </c>
      <c r="S214" s="64">
        <f>IF(NOT((COUNTA($B214:$D214)+COUNTA($G214:$L214)+COUNTA($Q214))&gt;0),"",IF(AND($V214="Sub",N($U214)&gt;0),IF(ISNUMBER(INDEX($AM$5:$AM$1000,$U214-4)),DATE(YEAR(INDEX($AM$5:$AM$1000,$U214-4)),MONTH(INDEX($AM$5:$AM$1000,$U214-4)),1),IF(ISNUMBER(INDEX($AN$5:$AN$1000,$U214-4)),DATE(YEAR(INDEX($AN$5:$AN$1000,$U214-4)),MONTH(INDEX($AN$5:$AN$1000,$U214-4)),1),MesCiclo)),IF(ISNUMBER($AM214),DATE(YEAR($AM214),MONTH($AM214),1),IF(ISNUMBER($AN214),DATE(YEAR($AN214),MONTH($AN214),1),MesCiclo))))</f>
        <v/>
      </c>
      <c r="T214" s="62">
        <f>IF(OR($S214="",$S214&lt;&gt;MesCiclo),"",COUNTIF($S$5:$S214,MesCiclo))</f>
        <v/>
      </c>
      <c r="U214" s="62">
        <f>IF($V214="","",IF($V214="Macro",ROW(),IFERROR(LOOKUP(2,1/($V$5:$V214="Macro"),ROW($V$5:$V214)),0)))</f>
        <v/>
      </c>
      <c r="V214" s="62">
        <f>IF(NOT((COUNTA($B214:$D214)+COUNTA($G214:$L214)+COUNTA($Q214))&gt;0),"",IF($B214="Subactividad","Sub","Macro"))</f>
        <v/>
      </c>
      <c r="W214" s="62">
        <f>IF($V214="Macro",COUNTIFS($U$5:$U$1000,ROW(),$V$5:$V$1000,"Sub"),"")</f>
        <v/>
      </c>
      <c r="X214" s="62">
        <f>IF($V214="","",IF(ISNUMBER($G214),1,IFERROR(LOOKUP(2,1/($I214:$L214&lt;&gt;""),$I214:$L214),0)))</f>
        <v/>
      </c>
      <c r="Y214" s="62">
        <f>IF($V214="","",IF(AND(ISNUMBER($G214),$G214&lt;=IF($S214=MesCiclo,InicioCiclo,$S214+MOD(2-WEEKDAY($S214),7))+6),1,IF(ISNUMBER($I214),$I214,0)))</f>
        <v/>
      </c>
      <c r="Z214" s="62">
        <f>IF($V214="","",IF(AND(ISNUMBER($G214),$G214&lt;=IF($S214=MesCiclo,InicioCiclo,$S214+MOD(2-WEEKDAY($S214),7))+13),1,IF(ISNUMBER($J214),$J214,$Y214)))</f>
        <v/>
      </c>
      <c r="AA214" s="62">
        <f>IF($V214="","",IF(AND(ISNUMBER($G214),$G214&lt;=IF($S214=MesCiclo,InicioCiclo,$S214+MOD(2-WEEKDAY($S214),7))+20),1,IF(ISNUMBER($K214),$K214,$Z214)))</f>
        <v/>
      </c>
      <c r="AB214" s="62">
        <f>IF($V214="","",IF(AND(ISNUMBER($G214),$G214&lt;=IF($S214=MesCiclo,InicioCiclo,$S214+MOD(2-WEEKDAY($S214),7))+27),1,IF(ISNUMBER($L214),$L214,$AA214)))</f>
        <v/>
      </c>
      <c r="AC214" s="62">
        <f>IF($V214="","",IF(AND(ISNUMBER($G214),$G214&lt;=IF($S214=MesCiclo,InicioCiclo,$S214+MOD(2-WEEKDAY($S214),7))+6),1,IF(N($W214)&gt;0,AVERAGEIFS($Y$5:$Y$1000,$U$5:$U$1000,ROW(),$V$5:$V$1000,"Sub"),$Y214)))</f>
        <v/>
      </c>
      <c r="AD214" s="62">
        <f>IF($V214="","",IF(AND(ISNUMBER($G214),$G214&lt;=IF($S214=MesCiclo,InicioCiclo,$S214+MOD(2-WEEKDAY($S214),7))+13),1,IF(N($W214)&gt;0,AVERAGEIFS($Z$5:$Z$1000,$U$5:$U$1000,ROW(),$V$5:$V$1000,"Sub"),$Z214)))</f>
        <v/>
      </c>
      <c r="AE214" s="62">
        <f>IF($V214="","",IF(AND(ISNUMBER($G214),$G214&lt;=IF($S214=MesCiclo,InicioCiclo,$S214+MOD(2-WEEKDAY($S214),7))+20),1,IF(N($W214)&gt;0,AVERAGEIFS($AA$5:$AA$1000,$U$5:$U$1000,ROW(),$V$5:$V$1000,"Sub"),$AA214)))</f>
        <v/>
      </c>
      <c r="AF214" s="62">
        <f>IF($V214="","",IF(AND(ISNUMBER($G214),$G214&lt;=IF($S214=MesCiclo,InicioCiclo,$S214+MOD(2-WEEKDAY($S214),7))+27),1,IF(N($W214)&gt;0,AVERAGEIFS($AB$5:$AB$1000,$U$5:$U$1000,ROW(),$V$5:$V$1000,"Sub"),$AB214)))</f>
        <v/>
      </c>
      <c r="AG214" s="62">
        <f>IF($V214&lt;&gt;"Macro","",IF(COUNTIFS($S$5:$S$1000,$S214,$V$5:$V$1000,"Macro",$H$5:$H$1000,"&gt;0")=0,1/COUNTIFS($S$5:$S$1000,$S214,$V$5:$V$1000,"Macro"),IF(AND(ISNUMBER($H214),N($H214)&gt;0),$H214,SUMIFS($H$5:$H$1000,$S$5:$S$1000,$S214,$V$5:$V$1000,"Macro")/COUNTIFS($S$5:$S$1000,$S214,$V$5:$V$1000,"Macro",$H$5:$H$1000,"&gt;0"))/(COUNTIFS($S$5:$S$1000,$S214,$V$5:$V$1000,"Macro")*SUMIFS($H$5:$H$1000,$S$5:$S$1000,$S214,$V$5:$V$1000,"Macro")/COUNTIFS($S$5:$S$1000,$S214,$V$5:$V$1000,"Macro",$H$5:$H$1000,"&gt;0"))))</f>
        <v/>
      </c>
      <c r="AH214" s="62">
        <f>IF(NOT(AND($D214&lt;&gt;"",$V214="Macro")),"",IFERROR(CHOOSE(MATCH($D214,ListaPuestos,0),MATCH("[Jefatura] "&amp;$C214,'Cronograma R. Operacional'!$C$5:$C$1000,0),MATCH("[Jefatura] "&amp;$C214,'Cronograma R. Normativo'!$C$5:$C$1000,0),MATCH("[Jefatura] "&amp;$C214,'Cronograma R. Financiero'!$C$5:$C$1000,0),MATCH("[Jefatura] "&amp;$C214,'Cronograma Asistente Técnico'!$C$5:$C$1000,0)),0))</f>
        <v/>
      </c>
      <c r="AI214" s="62">
        <f>IF(AND(AND($D214&lt;&gt;"",$V214="Macro"),$S214=MesCiclo),COUNTIFS($D$5:$D214,$D214,$S$5:$S214,MesCiclo,$V$5:$V214,"Macro"),"")</f>
        <v/>
      </c>
      <c r="AJ214" s="62">
        <f>IF($AI214="","",$D214&amp;"|"&amp;$AI214)</f>
        <v/>
      </c>
      <c r="AK214" s="62">
        <f>IF(AND($D214&lt;&gt;"",$V214="Macro"),$D214&amp;"|"&amp;$C214,"")</f>
        <v/>
      </c>
      <c r="AL214" s="62">
        <f>""</f>
        <v/>
      </c>
      <c r="AM214" s="62">
        <f>IF(N($AL214)&gt;0,INDEX(rIni_ADM,$AL214),IF(ISNUMBER($E214),$E214,""))</f>
        <v/>
      </c>
      <c r="AN214" s="62">
        <f>IF(N($AL214)&gt;0,INDEX(rLim_ADM,$AL214),IF(ISNUMBER($F214),$F214,""))</f>
        <v/>
      </c>
    </row>
    <row r="215">
      <c r="A215" s="56">
        <f>IF(NOT((COUNTA($B215:$D215)+COUNTA($G215:$L215)+COUNTA($Q215))&gt;0),"",IF($V215="Macro",COUNTIFS($V$5:$V215,"Macro",$S$5:$S215,$S215),IF(N($U215)=0,"?",COUNTIFS(INDEX($V$5:$V$1000,1):INDEX($V$5:$V$1000,$U215-4),"Macro",INDEX($S$5:$S$1000,1):INDEX($S$5:$S$1000,$U215-4),INDEX($S$5:$S$1000,$U215-4))&amp;"."&amp;COUNTIFS($U$5:$U215,$U215,$V$5:$V215,"Sub"))))</f>
        <v/>
      </c>
      <c r="B215" s="57" t="n"/>
      <c r="C215" s="58" t="n"/>
      <c r="D215" s="58" t="n"/>
      <c r="E215" s="59" t="n"/>
      <c r="F215" s="59" t="n"/>
      <c r="G215" s="59" t="n"/>
      <c r="H215" s="60" t="n"/>
      <c r="I215" s="60" t="n"/>
      <c r="J215" s="60" t="n"/>
      <c r="K215" s="60" t="n"/>
      <c r="L215" s="60" t="n"/>
      <c r="M215" s="61">
        <f>IF(NOT((COUNTA($B215:$D215)+COUNTA($G215:$L215)+COUNTA($Q215))&gt;0),"",IF(AND($D215&lt;&gt;"",$V215="Macro"),IF(N($AH215)&gt;0,N(CHOOSE(MATCH($D215,ListaPuestos,0),INDEX('Cronograma R. Operacional'!$M$5:$M$1000,$AH215),INDEX('Cronograma R. Normativo'!$M$5:$M$1000,$AH215),INDEX('Cronograma R. Financiero'!$M$5:$M$1000,$AH215),INDEX('Cronograma Asistente Técnico'!$M$5:$M$1000,$AH215))),0),IF(ISNUMBER($G215),1,IF(N($W215)&gt;0,AVERAGEIFS($X$5:$X$1000,$U$5:$U$1000,ROW(),$V$5:$V$1000,"Sub"),$X215))))</f>
        <v/>
      </c>
      <c r="N215" s="56">
        <f>IF($M215="","",IF($M215&gt;=1,"Completado",IF($M215&gt;0,"En curso","Pendiente")))</f>
        <v/>
      </c>
      <c r="O215" s="56">
        <f>IF(NOT((COUNTA($B215:$D215)+COUNTA($G215:$L215)+COUNTA($Q215))&gt;0),"",IF(AND(AND($D215&lt;&gt;"",$V215="Macro"),N($AH215)&gt;0),CHOOSE(MATCH($D215,ListaPuestos,0),INDEX('Cronograma R. Operacional'!$O$5:$O$1000,$AH215),INDEX('Cronograma R. Normativo'!$O$5:$O$1000,$AH215),INDEX('Cronograma R. Financiero'!$O$5:$O$1000,$AH215),INDEX('Cronograma Asistente Técnico'!$O$5:$O$1000,$AH215))&amp;"",IF(ISNUMBER($G215),IF(AND(ISNUMBER($AN215),$G215&gt;$AN215),"Cumplida con "&amp;($G215-$AN215)&amp;IF($G215-$AN215=1," día"," días")&amp;" de retraso","Cumplida"),IF(N($M215)&gt;=1,"Cumplida",IF(NOT(ISNUMBER($AN215)),"Sin fecha límite",IF($AN215&lt;FechaRef,"Vencida hace "&amp;(FechaRef-$AN215)&amp;IF(FechaRef-$AN215=1," día"," días"),IF($AN215=FechaRef,"Vence hoy",IF($AN215-FechaRef&lt;=DiasAlerta,"Vence en "&amp;($AN215-FechaRef)&amp;IF($AN215-FechaRef=1," día"," días"),"En plazo"))))))))</f>
        <v/>
      </c>
      <c r="P215" s="62">
        <f>IF(NOT((COUNTA($B215:$D215)+COUNTA($G215:$L215)+COUNTA($Q215))&gt;0),"",IF($D215="","Propia",IF($V215&lt;&gt;"Macro","Solo se delegan macroactividades",IF(N($AH215)&gt;0,"✔ Recibida por "&amp;$D215,"⚠ "&amp;$D215&amp;" aún no la agrega"))))</f>
        <v/>
      </c>
      <c r="Q215" s="58" t="n"/>
      <c r="R215" s="63">
        <f>IF(NOT((COUNTA($B215:$D215)+COUNTA($G215:$L215)+COUNTA($Q215))&gt;0),"",IF((IF($C215="","Falta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",""))="","✔ OK","⚠ "&amp;LEFT(IF($C215="","Falta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",""),LEN(IF($C215="","Falta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",""))-3)))</f>
        <v/>
      </c>
      <c r="S215" s="64">
        <f>IF(NOT((COUNTA($B215:$D215)+COUNTA($G215:$L215)+COUNTA($Q215))&gt;0),"",IF(AND($V215="Sub",N($U215)&gt;0),IF(ISNUMBER(INDEX($AM$5:$AM$1000,$U215-4)),DATE(YEAR(INDEX($AM$5:$AM$1000,$U215-4)),MONTH(INDEX($AM$5:$AM$1000,$U215-4)),1),IF(ISNUMBER(INDEX($AN$5:$AN$1000,$U215-4)),DATE(YEAR(INDEX($AN$5:$AN$1000,$U215-4)),MONTH(INDEX($AN$5:$AN$1000,$U215-4)),1),MesCiclo)),IF(ISNUMBER($AM215),DATE(YEAR($AM215),MONTH($AM215),1),IF(ISNUMBER($AN215),DATE(YEAR($AN215),MONTH($AN215),1),MesCiclo))))</f>
        <v/>
      </c>
      <c r="T215" s="62">
        <f>IF(OR($S215="",$S215&lt;&gt;MesCiclo),"",COUNTIF($S$5:$S215,MesCiclo))</f>
        <v/>
      </c>
      <c r="U215" s="62">
        <f>IF($V215="","",IF($V215="Macro",ROW(),IFERROR(LOOKUP(2,1/($V$5:$V215="Macro"),ROW($V$5:$V215)),0)))</f>
        <v/>
      </c>
      <c r="V215" s="62">
        <f>IF(NOT((COUNTA($B215:$D215)+COUNTA($G215:$L215)+COUNTA($Q215))&gt;0),"",IF($B215="Subactividad","Sub","Macro"))</f>
        <v/>
      </c>
      <c r="W215" s="62">
        <f>IF($V215="Macro",COUNTIFS($U$5:$U$1000,ROW(),$V$5:$V$1000,"Sub"),"")</f>
        <v/>
      </c>
      <c r="X215" s="62">
        <f>IF($V215="","",IF(ISNUMBER($G215),1,IFERROR(LOOKUP(2,1/($I215:$L215&lt;&gt;""),$I215:$L215),0)))</f>
        <v/>
      </c>
      <c r="Y215" s="62">
        <f>IF($V215="","",IF(AND(ISNUMBER($G215),$G215&lt;=IF($S215=MesCiclo,InicioCiclo,$S215+MOD(2-WEEKDAY($S215),7))+6),1,IF(ISNUMBER($I215),$I215,0)))</f>
        <v/>
      </c>
      <c r="Z215" s="62">
        <f>IF($V215="","",IF(AND(ISNUMBER($G215),$G215&lt;=IF($S215=MesCiclo,InicioCiclo,$S215+MOD(2-WEEKDAY($S215),7))+13),1,IF(ISNUMBER($J215),$J215,$Y215)))</f>
        <v/>
      </c>
      <c r="AA215" s="62">
        <f>IF($V215="","",IF(AND(ISNUMBER($G215),$G215&lt;=IF($S215=MesCiclo,InicioCiclo,$S215+MOD(2-WEEKDAY($S215),7))+20),1,IF(ISNUMBER($K215),$K215,$Z215)))</f>
        <v/>
      </c>
      <c r="AB215" s="62">
        <f>IF($V215="","",IF(AND(ISNUMBER($G215),$G215&lt;=IF($S215=MesCiclo,InicioCiclo,$S215+MOD(2-WEEKDAY($S215),7))+27),1,IF(ISNUMBER($L215),$L215,$AA215)))</f>
        <v/>
      </c>
      <c r="AC215" s="62">
        <f>IF($V215="","",IF(AND(ISNUMBER($G215),$G215&lt;=IF($S215=MesCiclo,InicioCiclo,$S215+MOD(2-WEEKDAY($S215),7))+6),1,IF(N($W215)&gt;0,AVERAGEIFS($Y$5:$Y$1000,$U$5:$U$1000,ROW(),$V$5:$V$1000,"Sub"),$Y215)))</f>
        <v/>
      </c>
      <c r="AD215" s="62">
        <f>IF($V215="","",IF(AND(ISNUMBER($G215),$G215&lt;=IF($S215=MesCiclo,InicioCiclo,$S215+MOD(2-WEEKDAY($S215),7))+13),1,IF(N($W215)&gt;0,AVERAGEIFS($Z$5:$Z$1000,$U$5:$U$1000,ROW(),$V$5:$V$1000,"Sub"),$Z215)))</f>
        <v/>
      </c>
      <c r="AE215" s="62">
        <f>IF($V215="","",IF(AND(ISNUMBER($G215),$G215&lt;=IF($S215=MesCiclo,InicioCiclo,$S215+MOD(2-WEEKDAY($S215),7))+20),1,IF(N($W215)&gt;0,AVERAGEIFS($AA$5:$AA$1000,$U$5:$U$1000,ROW(),$V$5:$V$1000,"Sub"),$AA215)))</f>
        <v/>
      </c>
      <c r="AF215" s="62">
        <f>IF($V215="","",IF(AND(ISNUMBER($G215),$G215&lt;=IF($S215=MesCiclo,InicioCiclo,$S215+MOD(2-WEEKDAY($S215),7))+27),1,IF(N($W215)&gt;0,AVERAGEIFS($AB$5:$AB$1000,$U$5:$U$1000,ROW(),$V$5:$V$1000,"Sub"),$AB215)))</f>
        <v/>
      </c>
      <c r="AG215" s="62">
        <f>IF($V215&lt;&gt;"Macro","",IF(COUNTIFS($S$5:$S$1000,$S215,$V$5:$V$1000,"Macro",$H$5:$H$1000,"&gt;0")=0,1/COUNTIFS($S$5:$S$1000,$S215,$V$5:$V$1000,"Macro"),IF(AND(ISNUMBER($H215),N($H215)&gt;0),$H215,SUMIFS($H$5:$H$1000,$S$5:$S$1000,$S215,$V$5:$V$1000,"Macro")/COUNTIFS($S$5:$S$1000,$S215,$V$5:$V$1000,"Macro",$H$5:$H$1000,"&gt;0"))/(COUNTIFS($S$5:$S$1000,$S215,$V$5:$V$1000,"Macro")*SUMIFS($H$5:$H$1000,$S$5:$S$1000,$S215,$V$5:$V$1000,"Macro")/COUNTIFS($S$5:$S$1000,$S215,$V$5:$V$1000,"Macro",$H$5:$H$1000,"&gt;0"))))</f>
        <v/>
      </c>
      <c r="AH215" s="62">
        <f>IF(NOT(AND($D215&lt;&gt;"",$V215="Macro")),"",IFERROR(CHOOSE(MATCH($D215,ListaPuestos,0),MATCH("[Jefatura] "&amp;$C215,'Cronograma R. Operacional'!$C$5:$C$1000,0),MATCH("[Jefatura] "&amp;$C215,'Cronograma R. Normativo'!$C$5:$C$1000,0),MATCH("[Jefatura] "&amp;$C215,'Cronograma R. Financiero'!$C$5:$C$1000,0),MATCH("[Jefatura] "&amp;$C215,'Cronograma Asistente Técnico'!$C$5:$C$1000,0)),0))</f>
        <v/>
      </c>
      <c r="AI215" s="62">
        <f>IF(AND(AND($D215&lt;&gt;"",$V215="Macro"),$S215=MesCiclo),COUNTIFS($D$5:$D215,$D215,$S$5:$S215,MesCiclo,$V$5:$V215,"Macro"),"")</f>
        <v/>
      </c>
      <c r="AJ215" s="62">
        <f>IF($AI215="","",$D215&amp;"|"&amp;$AI215)</f>
        <v/>
      </c>
      <c r="AK215" s="62">
        <f>IF(AND($D215&lt;&gt;"",$V215="Macro"),$D215&amp;"|"&amp;$C215,"")</f>
        <v/>
      </c>
      <c r="AL215" s="62">
        <f>""</f>
        <v/>
      </c>
      <c r="AM215" s="62">
        <f>IF(N($AL215)&gt;0,INDEX(rIni_ADM,$AL215),IF(ISNUMBER($E215),$E215,""))</f>
        <v/>
      </c>
      <c r="AN215" s="62">
        <f>IF(N($AL215)&gt;0,INDEX(rLim_ADM,$AL215),IF(ISNUMBER($F215),$F215,""))</f>
        <v/>
      </c>
    </row>
    <row r="216">
      <c r="A216" s="56">
        <f>IF(NOT((COUNTA($B216:$D216)+COUNTA($G216:$L216)+COUNTA($Q216))&gt;0),"",IF($V216="Macro",COUNTIFS($V$5:$V216,"Macro",$S$5:$S216,$S216),IF(N($U216)=0,"?",COUNTIFS(INDEX($V$5:$V$1000,1):INDEX($V$5:$V$1000,$U216-4),"Macro",INDEX($S$5:$S$1000,1):INDEX($S$5:$S$1000,$U216-4),INDEX($S$5:$S$1000,$U216-4))&amp;"."&amp;COUNTIFS($U$5:$U216,$U216,$V$5:$V216,"Sub"))))</f>
        <v/>
      </c>
      <c r="B216" s="57" t="n"/>
      <c r="C216" s="58" t="n"/>
      <c r="D216" s="58" t="n"/>
      <c r="E216" s="59" t="n"/>
      <c r="F216" s="59" t="n"/>
      <c r="G216" s="59" t="n"/>
      <c r="H216" s="60" t="n"/>
      <c r="I216" s="60" t="n"/>
      <c r="J216" s="60" t="n"/>
      <c r="K216" s="60" t="n"/>
      <c r="L216" s="60" t="n"/>
      <c r="M216" s="61">
        <f>IF(NOT((COUNTA($B216:$D216)+COUNTA($G216:$L216)+COUNTA($Q216))&gt;0),"",IF(AND($D216&lt;&gt;"",$V216="Macro"),IF(N($AH216)&gt;0,N(CHOOSE(MATCH($D216,ListaPuestos,0),INDEX('Cronograma R. Operacional'!$M$5:$M$1000,$AH216),INDEX('Cronograma R. Normativo'!$M$5:$M$1000,$AH216),INDEX('Cronograma R. Financiero'!$M$5:$M$1000,$AH216),INDEX('Cronograma Asistente Técnico'!$M$5:$M$1000,$AH216))),0),IF(ISNUMBER($G216),1,IF(N($W216)&gt;0,AVERAGEIFS($X$5:$X$1000,$U$5:$U$1000,ROW(),$V$5:$V$1000,"Sub"),$X216))))</f>
        <v/>
      </c>
      <c r="N216" s="56">
        <f>IF($M216="","",IF($M216&gt;=1,"Completado",IF($M216&gt;0,"En curso","Pendiente")))</f>
        <v/>
      </c>
      <c r="O216" s="56">
        <f>IF(NOT((COUNTA($B216:$D216)+COUNTA($G216:$L216)+COUNTA($Q216))&gt;0),"",IF(AND(AND($D216&lt;&gt;"",$V216="Macro"),N($AH216)&gt;0),CHOOSE(MATCH($D216,ListaPuestos,0),INDEX('Cronograma R. Operacional'!$O$5:$O$1000,$AH216),INDEX('Cronograma R. Normativo'!$O$5:$O$1000,$AH216),INDEX('Cronograma R. Financiero'!$O$5:$O$1000,$AH216),INDEX('Cronograma Asistente Técnico'!$O$5:$O$1000,$AH216))&amp;"",IF(ISNUMBER($G216),IF(AND(ISNUMBER($AN216),$G216&gt;$AN216),"Cumplida con "&amp;($G216-$AN216)&amp;IF($G216-$AN216=1," día"," días")&amp;" de retraso","Cumplida"),IF(N($M216)&gt;=1,"Cumplida",IF(NOT(ISNUMBER($AN216)),"Sin fecha límite",IF($AN216&lt;FechaRef,"Vencida hace "&amp;(FechaRef-$AN216)&amp;IF(FechaRef-$AN216=1," día"," días"),IF($AN216=FechaRef,"Vence hoy",IF($AN216-FechaRef&lt;=DiasAlerta,"Vence en "&amp;($AN216-FechaRef)&amp;IF($AN216-FechaRef=1," día"," días"),"En plazo"))))))))</f>
        <v/>
      </c>
      <c r="P216" s="62">
        <f>IF(NOT((COUNTA($B216:$D216)+COUNTA($G216:$L216)+COUNTA($Q216))&gt;0),"",IF($D216="","Propia",IF($V216&lt;&gt;"Macro","Solo se delegan macroactividades",IF(N($AH216)&gt;0,"✔ Recibida por "&amp;$D216,"⚠ "&amp;$D216&amp;" aún no la agrega"))))</f>
        <v/>
      </c>
      <c r="Q216" s="58" t="n"/>
      <c r="R216" s="63">
        <f>IF(NOT((COUNTA($B216:$D216)+COUNTA($G216:$L216)+COUNTA($Q216))&gt;0),"",IF((IF($C216="","Falta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",""))="","✔ OK","⚠ "&amp;LEFT(IF($C216="","Falta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",""),LEN(IF($C216="","Falta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",""))-3)))</f>
        <v/>
      </c>
      <c r="S216" s="64">
        <f>IF(NOT((COUNTA($B216:$D216)+COUNTA($G216:$L216)+COUNTA($Q216))&gt;0),"",IF(AND($V216="Sub",N($U216)&gt;0),IF(ISNUMBER(INDEX($AM$5:$AM$1000,$U216-4)),DATE(YEAR(INDEX($AM$5:$AM$1000,$U216-4)),MONTH(INDEX($AM$5:$AM$1000,$U216-4)),1),IF(ISNUMBER(INDEX($AN$5:$AN$1000,$U216-4)),DATE(YEAR(INDEX($AN$5:$AN$1000,$U216-4)),MONTH(INDEX($AN$5:$AN$1000,$U216-4)),1),MesCiclo)),IF(ISNUMBER($AM216),DATE(YEAR($AM216),MONTH($AM216),1),IF(ISNUMBER($AN216),DATE(YEAR($AN216),MONTH($AN216),1),MesCiclo))))</f>
        <v/>
      </c>
      <c r="T216" s="62">
        <f>IF(OR($S216="",$S216&lt;&gt;MesCiclo),"",COUNTIF($S$5:$S216,MesCiclo))</f>
        <v/>
      </c>
      <c r="U216" s="62">
        <f>IF($V216="","",IF($V216="Macro",ROW(),IFERROR(LOOKUP(2,1/($V$5:$V216="Macro"),ROW($V$5:$V216)),0)))</f>
        <v/>
      </c>
      <c r="V216" s="62">
        <f>IF(NOT((COUNTA($B216:$D216)+COUNTA($G216:$L216)+COUNTA($Q216))&gt;0),"",IF($B216="Subactividad","Sub","Macro"))</f>
        <v/>
      </c>
      <c r="W216" s="62">
        <f>IF($V216="Macro",COUNTIFS($U$5:$U$1000,ROW(),$V$5:$V$1000,"Sub"),"")</f>
        <v/>
      </c>
      <c r="X216" s="62">
        <f>IF($V216="","",IF(ISNUMBER($G216),1,IFERROR(LOOKUP(2,1/($I216:$L216&lt;&gt;""),$I216:$L216),0)))</f>
        <v/>
      </c>
      <c r="Y216" s="62">
        <f>IF($V216="","",IF(AND(ISNUMBER($G216),$G216&lt;=IF($S216=MesCiclo,InicioCiclo,$S216+MOD(2-WEEKDAY($S216),7))+6),1,IF(ISNUMBER($I216),$I216,0)))</f>
        <v/>
      </c>
      <c r="Z216" s="62">
        <f>IF($V216="","",IF(AND(ISNUMBER($G216),$G216&lt;=IF($S216=MesCiclo,InicioCiclo,$S216+MOD(2-WEEKDAY($S216),7))+13),1,IF(ISNUMBER($J216),$J216,$Y216)))</f>
        <v/>
      </c>
      <c r="AA216" s="62">
        <f>IF($V216="","",IF(AND(ISNUMBER($G216),$G216&lt;=IF($S216=MesCiclo,InicioCiclo,$S216+MOD(2-WEEKDAY($S216),7))+20),1,IF(ISNUMBER($K216),$K216,$Z216)))</f>
        <v/>
      </c>
      <c r="AB216" s="62">
        <f>IF($V216="","",IF(AND(ISNUMBER($G216),$G216&lt;=IF($S216=MesCiclo,InicioCiclo,$S216+MOD(2-WEEKDAY($S216),7))+27),1,IF(ISNUMBER($L216),$L216,$AA216)))</f>
        <v/>
      </c>
      <c r="AC216" s="62">
        <f>IF($V216="","",IF(AND(ISNUMBER($G216),$G216&lt;=IF($S216=MesCiclo,InicioCiclo,$S216+MOD(2-WEEKDAY($S216),7))+6),1,IF(N($W216)&gt;0,AVERAGEIFS($Y$5:$Y$1000,$U$5:$U$1000,ROW(),$V$5:$V$1000,"Sub"),$Y216)))</f>
        <v/>
      </c>
      <c r="AD216" s="62">
        <f>IF($V216="","",IF(AND(ISNUMBER($G216),$G216&lt;=IF($S216=MesCiclo,InicioCiclo,$S216+MOD(2-WEEKDAY($S216),7))+13),1,IF(N($W216)&gt;0,AVERAGEIFS($Z$5:$Z$1000,$U$5:$U$1000,ROW(),$V$5:$V$1000,"Sub"),$Z216)))</f>
        <v/>
      </c>
      <c r="AE216" s="62">
        <f>IF($V216="","",IF(AND(ISNUMBER($G216),$G216&lt;=IF($S216=MesCiclo,InicioCiclo,$S216+MOD(2-WEEKDAY($S216),7))+20),1,IF(N($W216)&gt;0,AVERAGEIFS($AA$5:$AA$1000,$U$5:$U$1000,ROW(),$V$5:$V$1000,"Sub"),$AA216)))</f>
        <v/>
      </c>
      <c r="AF216" s="62">
        <f>IF($V216="","",IF(AND(ISNUMBER($G216),$G216&lt;=IF($S216=MesCiclo,InicioCiclo,$S216+MOD(2-WEEKDAY($S216),7))+27),1,IF(N($W216)&gt;0,AVERAGEIFS($AB$5:$AB$1000,$U$5:$U$1000,ROW(),$V$5:$V$1000,"Sub"),$AB216)))</f>
        <v/>
      </c>
      <c r="AG216" s="62">
        <f>IF($V216&lt;&gt;"Macro","",IF(COUNTIFS($S$5:$S$1000,$S216,$V$5:$V$1000,"Macro",$H$5:$H$1000,"&gt;0")=0,1/COUNTIFS($S$5:$S$1000,$S216,$V$5:$V$1000,"Macro"),IF(AND(ISNUMBER($H216),N($H216)&gt;0),$H216,SUMIFS($H$5:$H$1000,$S$5:$S$1000,$S216,$V$5:$V$1000,"Macro")/COUNTIFS($S$5:$S$1000,$S216,$V$5:$V$1000,"Macro",$H$5:$H$1000,"&gt;0"))/(COUNTIFS($S$5:$S$1000,$S216,$V$5:$V$1000,"Macro")*SUMIFS($H$5:$H$1000,$S$5:$S$1000,$S216,$V$5:$V$1000,"Macro")/COUNTIFS($S$5:$S$1000,$S216,$V$5:$V$1000,"Macro",$H$5:$H$1000,"&gt;0"))))</f>
        <v/>
      </c>
      <c r="AH216" s="62">
        <f>IF(NOT(AND($D216&lt;&gt;"",$V216="Macro")),"",IFERROR(CHOOSE(MATCH($D216,ListaPuestos,0),MATCH("[Jefatura] "&amp;$C216,'Cronograma R. Operacional'!$C$5:$C$1000,0),MATCH("[Jefatura] "&amp;$C216,'Cronograma R. Normativo'!$C$5:$C$1000,0),MATCH("[Jefatura] "&amp;$C216,'Cronograma R. Financiero'!$C$5:$C$1000,0),MATCH("[Jefatura] "&amp;$C216,'Cronograma Asistente Técnico'!$C$5:$C$1000,0)),0))</f>
        <v/>
      </c>
      <c r="AI216" s="62">
        <f>IF(AND(AND($D216&lt;&gt;"",$V216="Macro"),$S216=MesCiclo),COUNTIFS($D$5:$D216,$D216,$S$5:$S216,MesCiclo,$V$5:$V216,"Macro"),"")</f>
        <v/>
      </c>
      <c r="AJ216" s="62">
        <f>IF($AI216="","",$D216&amp;"|"&amp;$AI216)</f>
        <v/>
      </c>
      <c r="AK216" s="62">
        <f>IF(AND($D216&lt;&gt;"",$V216="Macro"),$D216&amp;"|"&amp;$C216,"")</f>
        <v/>
      </c>
      <c r="AL216" s="62">
        <f>""</f>
        <v/>
      </c>
      <c r="AM216" s="62">
        <f>IF(N($AL216)&gt;0,INDEX(rIni_ADM,$AL216),IF(ISNUMBER($E216),$E216,""))</f>
        <v/>
      </c>
      <c r="AN216" s="62">
        <f>IF(N($AL216)&gt;0,INDEX(rLim_ADM,$AL216),IF(ISNUMBER($F216),$F216,""))</f>
        <v/>
      </c>
    </row>
    <row r="217">
      <c r="A217" s="56">
        <f>IF(NOT((COUNTA($B217:$D217)+COUNTA($G217:$L217)+COUNTA($Q217))&gt;0),"",IF($V217="Macro",COUNTIFS($V$5:$V217,"Macro",$S$5:$S217,$S217),IF(N($U217)=0,"?",COUNTIFS(INDEX($V$5:$V$1000,1):INDEX($V$5:$V$1000,$U217-4),"Macro",INDEX($S$5:$S$1000,1):INDEX($S$5:$S$1000,$U217-4),INDEX($S$5:$S$1000,$U217-4))&amp;"."&amp;COUNTIFS($U$5:$U217,$U217,$V$5:$V217,"Sub"))))</f>
        <v/>
      </c>
      <c r="B217" s="57" t="n"/>
      <c r="C217" s="58" t="n"/>
      <c r="D217" s="58" t="n"/>
      <c r="E217" s="59" t="n"/>
      <c r="F217" s="59" t="n"/>
      <c r="G217" s="59" t="n"/>
      <c r="H217" s="60" t="n"/>
      <c r="I217" s="60" t="n"/>
      <c r="J217" s="60" t="n"/>
      <c r="K217" s="60" t="n"/>
      <c r="L217" s="60" t="n"/>
      <c r="M217" s="61">
        <f>IF(NOT((COUNTA($B217:$D217)+COUNTA($G217:$L217)+COUNTA($Q217))&gt;0),"",IF(AND($D217&lt;&gt;"",$V217="Macro"),IF(N($AH217)&gt;0,N(CHOOSE(MATCH($D217,ListaPuestos,0),INDEX('Cronograma R. Operacional'!$M$5:$M$1000,$AH217),INDEX('Cronograma R. Normativo'!$M$5:$M$1000,$AH217),INDEX('Cronograma R. Financiero'!$M$5:$M$1000,$AH217),INDEX('Cronograma Asistente Técnico'!$M$5:$M$1000,$AH217))),0),IF(ISNUMBER($G217),1,IF(N($W217)&gt;0,AVERAGEIFS($X$5:$X$1000,$U$5:$U$1000,ROW(),$V$5:$V$1000,"Sub"),$X217))))</f>
        <v/>
      </c>
      <c r="N217" s="56">
        <f>IF($M217="","",IF($M217&gt;=1,"Completado",IF($M217&gt;0,"En curso","Pendiente")))</f>
        <v/>
      </c>
      <c r="O217" s="56">
        <f>IF(NOT((COUNTA($B217:$D217)+COUNTA($G217:$L217)+COUNTA($Q217))&gt;0),"",IF(AND(AND($D217&lt;&gt;"",$V217="Macro"),N($AH217)&gt;0),CHOOSE(MATCH($D217,ListaPuestos,0),INDEX('Cronograma R. Operacional'!$O$5:$O$1000,$AH217),INDEX('Cronograma R. Normativo'!$O$5:$O$1000,$AH217),INDEX('Cronograma R. Financiero'!$O$5:$O$1000,$AH217),INDEX('Cronograma Asistente Técnico'!$O$5:$O$1000,$AH217))&amp;"",IF(ISNUMBER($G217),IF(AND(ISNUMBER($AN217),$G217&gt;$AN217),"Cumplida con "&amp;($G217-$AN217)&amp;IF($G217-$AN217=1," día"," días")&amp;" de retraso","Cumplida"),IF(N($M217)&gt;=1,"Cumplida",IF(NOT(ISNUMBER($AN217)),"Sin fecha límite",IF($AN217&lt;FechaRef,"Vencida hace "&amp;(FechaRef-$AN217)&amp;IF(FechaRef-$AN217=1," día"," días"),IF($AN217=FechaRef,"Vence hoy",IF($AN217-FechaRef&lt;=DiasAlerta,"Vence en "&amp;($AN217-FechaRef)&amp;IF($AN217-FechaRef=1," día"," días"),"En plazo"))))))))</f>
        <v/>
      </c>
      <c r="P217" s="62">
        <f>IF(NOT((COUNTA($B217:$D217)+COUNTA($G217:$L217)+COUNTA($Q217))&gt;0),"",IF($D217="","Propia",IF($V217&lt;&gt;"Macro","Solo se delegan macroactividades",IF(N($AH217)&gt;0,"✔ Recibida por "&amp;$D217,"⚠ "&amp;$D217&amp;" aún no la agrega"))))</f>
        <v/>
      </c>
      <c r="Q217" s="58" t="n"/>
      <c r="R217" s="63">
        <f>IF(NOT((COUNTA($B217:$D217)+COUNTA($G217:$L217)+COUNTA($Q217))&gt;0),"",IF((IF($C217="","Falta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",""))="","✔ OK","⚠ "&amp;LEFT(IF($C217="","Falta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",""),LEN(IF($C217="","Falta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",""))-3)))</f>
        <v/>
      </c>
      <c r="S217" s="64">
        <f>IF(NOT((COUNTA($B217:$D217)+COUNTA($G217:$L217)+COUNTA($Q217))&gt;0),"",IF(AND($V217="Sub",N($U217)&gt;0),IF(ISNUMBER(INDEX($AM$5:$AM$1000,$U217-4)),DATE(YEAR(INDEX($AM$5:$AM$1000,$U217-4)),MONTH(INDEX($AM$5:$AM$1000,$U217-4)),1),IF(ISNUMBER(INDEX($AN$5:$AN$1000,$U217-4)),DATE(YEAR(INDEX($AN$5:$AN$1000,$U217-4)),MONTH(INDEX($AN$5:$AN$1000,$U217-4)),1),MesCiclo)),IF(ISNUMBER($AM217),DATE(YEAR($AM217),MONTH($AM217),1),IF(ISNUMBER($AN217),DATE(YEAR($AN217),MONTH($AN217),1),MesCiclo))))</f>
        <v/>
      </c>
      <c r="T217" s="62">
        <f>IF(OR($S217="",$S217&lt;&gt;MesCiclo),"",COUNTIF($S$5:$S217,MesCiclo))</f>
        <v/>
      </c>
      <c r="U217" s="62">
        <f>IF($V217="","",IF($V217="Macro",ROW(),IFERROR(LOOKUP(2,1/($V$5:$V217="Macro"),ROW($V$5:$V217)),0)))</f>
        <v/>
      </c>
      <c r="V217" s="62">
        <f>IF(NOT((COUNTA($B217:$D217)+COUNTA($G217:$L217)+COUNTA($Q217))&gt;0),"",IF($B217="Subactividad","Sub","Macro"))</f>
        <v/>
      </c>
      <c r="W217" s="62">
        <f>IF($V217="Macro",COUNTIFS($U$5:$U$1000,ROW(),$V$5:$V$1000,"Sub"),"")</f>
        <v/>
      </c>
      <c r="X217" s="62">
        <f>IF($V217="","",IF(ISNUMBER($G217),1,IFERROR(LOOKUP(2,1/($I217:$L217&lt;&gt;""),$I217:$L217),0)))</f>
        <v/>
      </c>
      <c r="Y217" s="62">
        <f>IF($V217="","",IF(AND(ISNUMBER($G217),$G217&lt;=IF($S217=MesCiclo,InicioCiclo,$S217+MOD(2-WEEKDAY($S217),7))+6),1,IF(ISNUMBER($I217),$I217,0)))</f>
        <v/>
      </c>
      <c r="Z217" s="62">
        <f>IF($V217="","",IF(AND(ISNUMBER($G217),$G217&lt;=IF($S217=MesCiclo,InicioCiclo,$S217+MOD(2-WEEKDAY($S217),7))+13),1,IF(ISNUMBER($J217),$J217,$Y217)))</f>
        <v/>
      </c>
      <c r="AA217" s="62">
        <f>IF($V217="","",IF(AND(ISNUMBER($G217),$G217&lt;=IF($S217=MesCiclo,InicioCiclo,$S217+MOD(2-WEEKDAY($S217),7))+20),1,IF(ISNUMBER($K217),$K217,$Z217)))</f>
        <v/>
      </c>
      <c r="AB217" s="62">
        <f>IF($V217="","",IF(AND(ISNUMBER($G217),$G217&lt;=IF($S217=MesCiclo,InicioCiclo,$S217+MOD(2-WEEKDAY($S217),7))+27),1,IF(ISNUMBER($L217),$L217,$AA217)))</f>
        <v/>
      </c>
      <c r="AC217" s="62">
        <f>IF($V217="","",IF(AND(ISNUMBER($G217),$G217&lt;=IF($S217=MesCiclo,InicioCiclo,$S217+MOD(2-WEEKDAY($S217),7))+6),1,IF(N($W217)&gt;0,AVERAGEIFS($Y$5:$Y$1000,$U$5:$U$1000,ROW(),$V$5:$V$1000,"Sub"),$Y217)))</f>
        <v/>
      </c>
      <c r="AD217" s="62">
        <f>IF($V217="","",IF(AND(ISNUMBER($G217),$G217&lt;=IF($S217=MesCiclo,InicioCiclo,$S217+MOD(2-WEEKDAY($S217),7))+13),1,IF(N($W217)&gt;0,AVERAGEIFS($Z$5:$Z$1000,$U$5:$U$1000,ROW(),$V$5:$V$1000,"Sub"),$Z217)))</f>
        <v/>
      </c>
      <c r="AE217" s="62">
        <f>IF($V217="","",IF(AND(ISNUMBER($G217),$G217&lt;=IF($S217=MesCiclo,InicioCiclo,$S217+MOD(2-WEEKDAY($S217),7))+20),1,IF(N($W217)&gt;0,AVERAGEIFS($AA$5:$AA$1000,$U$5:$U$1000,ROW(),$V$5:$V$1000,"Sub"),$AA217)))</f>
        <v/>
      </c>
      <c r="AF217" s="62">
        <f>IF($V217="","",IF(AND(ISNUMBER($G217),$G217&lt;=IF($S217=MesCiclo,InicioCiclo,$S217+MOD(2-WEEKDAY($S217),7))+27),1,IF(N($W217)&gt;0,AVERAGEIFS($AB$5:$AB$1000,$U$5:$U$1000,ROW(),$V$5:$V$1000,"Sub"),$AB217)))</f>
        <v/>
      </c>
      <c r="AG217" s="62">
        <f>IF($V217&lt;&gt;"Macro","",IF(COUNTIFS($S$5:$S$1000,$S217,$V$5:$V$1000,"Macro",$H$5:$H$1000,"&gt;0")=0,1/COUNTIFS($S$5:$S$1000,$S217,$V$5:$V$1000,"Macro"),IF(AND(ISNUMBER($H217),N($H217)&gt;0),$H217,SUMIFS($H$5:$H$1000,$S$5:$S$1000,$S217,$V$5:$V$1000,"Macro")/COUNTIFS($S$5:$S$1000,$S217,$V$5:$V$1000,"Macro",$H$5:$H$1000,"&gt;0"))/(COUNTIFS($S$5:$S$1000,$S217,$V$5:$V$1000,"Macro")*SUMIFS($H$5:$H$1000,$S$5:$S$1000,$S217,$V$5:$V$1000,"Macro")/COUNTIFS($S$5:$S$1000,$S217,$V$5:$V$1000,"Macro",$H$5:$H$1000,"&gt;0"))))</f>
        <v/>
      </c>
      <c r="AH217" s="62">
        <f>IF(NOT(AND($D217&lt;&gt;"",$V217="Macro")),"",IFERROR(CHOOSE(MATCH($D217,ListaPuestos,0),MATCH("[Jefatura] "&amp;$C217,'Cronograma R. Operacional'!$C$5:$C$1000,0),MATCH("[Jefatura] "&amp;$C217,'Cronograma R. Normativo'!$C$5:$C$1000,0),MATCH("[Jefatura] "&amp;$C217,'Cronograma R. Financiero'!$C$5:$C$1000,0),MATCH("[Jefatura] "&amp;$C217,'Cronograma Asistente Técnico'!$C$5:$C$1000,0)),0))</f>
        <v/>
      </c>
      <c r="AI217" s="62">
        <f>IF(AND(AND($D217&lt;&gt;"",$V217="Macro"),$S217=MesCiclo),COUNTIFS($D$5:$D217,$D217,$S$5:$S217,MesCiclo,$V$5:$V217,"Macro"),"")</f>
        <v/>
      </c>
      <c r="AJ217" s="62">
        <f>IF($AI217="","",$D217&amp;"|"&amp;$AI217)</f>
        <v/>
      </c>
      <c r="AK217" s="62">
        <f>IF(AND($D217&lt;&gt;"",$V217="Macro"),$D217&amp;"|"&amp;$C217,"")</f>
        <v/>
      </c>
      <c r="AL217" s="62">
        <f>""</f>
        <v/>
      </c>
      <c r="AM217" s="62">
        <f>IF(N($AL217)&gt;0,INDEX(rIni_ADM,$AL217),IF(ISNUMBER($E217),$E217,""))</f>
        <v/>
      </c>
      <c r="AN217" s="62">
        <f>IF(N($AL217)&gt;0,INDEX(rLim_ADM,$AL217),IF(ISNUMBER($F217),$F217,""))</f>
        <v/>
      </c>
    </row>
    <row r="218">
      <c r="A218" s="56">
        <f>IF(NOT((COUNTA($B218:$D218)+COUNTA($G218:$L218)+COUNTA($Q218))&gt;0),"",IF($V218="Macro",COUNTIFS($V$5:$V218,"Macro",$S$5:$S218,$S218),IF(N($U218)=0,"?",COUNTIFS(INDEX($V$5:$V$1000,1):INDEX($V$5:$V$1000,$U218-4),"Macro",INDEX($S$5:$S$1000,1):INDEX($S$5:$S$1000,$U218-4),INDEX($S$5:$S$1000,$U218-4))&amp;"."&amp;COUNTIFS($U$5:$U218,$U218,$V$5:$V218,"Sub"))))</f>
        <v/>
      </c>
      <c r="B218" s="57" t="n"/>
      <c r="C218" s="58" t="n"/>
      <c r="D218" s="58" t="n"/>
      <c r="E218" s="59" t="n"/>
      <c r="F218" s="59" t="n"/>
      <c r="G218" s="59" t="n"/>
      <c r="H218" s="60" t="n"/>
      <c r="I218" s="60" t="n"/>
      <c r="J218" s="60" t="n"/>
      <c r="K218" s="60" t="n"/>
      <c r="L218" s="60" t="n"/>
      <c r="M218" s="61">
        <f>IF(NOT((COUNTA($B218:$D218)+COUNTA($G218:$L218)+COUNTA($Q218))&gt;0),"",IF(AND($D218&lt;&gt;"",$V218="Macro"),IF(N($AH218)&gt;0,N(CHOOSE(MATCH($D218,ListaPuestos,0),INDEX('Cronograma R. Operacional'!$M$5:$M$1000,$AH218),INDEX('Cronograma R. Normativo'!$M$5:$M$1000,$AH218),INDEX('Cronograma R. Financiero'!$M$5:$M$1000,$AH218),INDEX('Cronograma Asistente Técnico'!$M$5:$M$1000,$AH218))),0),IF(ISNUMBER($G218),1,IF(N($W218)&gt;0,AVERAGEIFS($X$5:$X$1000,$U$5:$U$1000,ROW(),$V$5:$V$1000,"Sub"),$X218))))</f>
        <v/>
      </c>
      <c r="N218" s="56">
        <f>IF($M218="","",IF($M218&gt;=1,"Completado",IF($M218&gt;0,"En curso","Pendiente")))</f>
        <v/>
      </c>
      <c r="O218" s="56">
        <f>IF(NOT((COUNTA($B218:$D218)+COUNTA($G218:$L218)+COUNTA($Q218))&gt;0),"",IF(AND(AND($D218&lt;&gt;"",$V218="Macro"),N($AH218)&gt;0),CHOOSE(MATCH($D218,ListaPuestos,0),INDEX('Cronograma R. Operacional'!$O$5:$O$1000,$AH218),INDEX('Cronograma R. Normativo'!$O$5:$O$1000,$AH218),INDEX('Cronograma R. Financiero'!$O$5:$O$1000,$AH218),INDEX('Cronograma Asistente Técnico'!$O$5:$O$1000,$AH218))&amp;"",IF(ISNUMBER($G218),IF(AND(ISNUMBER($AN218),$G218&gt;$AN218),"Cumplida con "&amp;($G218-$AN218)&amp;IF($G218-$AN218=1," día"," días")&amp;" de retraso","Cumplida"),IF(N($M218)&gt;=1,"Cumplida",IF(NOT(ISNUMBER($AN218)),"Sin fecha límite",IF($AN218&lt;FechaRef,"Vencida hace "&amp;(FechaRef-$AN218)&amp;IF(FechaRef-$AN218=1," día"," días"),IF($AN218=FechaRef,"Vence hoy",IF($AN218-FechaRef&lt;=DiasAlerta,"Vence en "&amp;($AN218-FechaRef)&amp;IF($AN218-FechaRef=1," día"," días"),"En plazo"))))))))</f>
        <v/>
      </c>
      <c r="P218" s="62">
        <f>IF(NOT((COUNTA($B218:$D218)+COUNTA($G218:$L218)+COUNTA($Q218))&gt;0),"",IF($D218="","Propia",IF($V218&lt;&gt;"Macro","Solo se delegan macroactividades",IF(N($AH218)&gt;0,"✔ Recibida por "&amp;$D218,"⚠ "&amp;$D218&amp;" aún no la agrega"))))</f>
        <v/>
      </c>
      <c r="Q218" s="58" t="n"/>
      <c r="R218" s="63">
        <f>IF(NOT((COUNTA($B218:$D218)+COUNTA($G218:$L218)+COUNTA($Q218))&gt;0),"",IF((IF($C218="","Falta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",""))="","✔ OK","⚠ "&amp;LEFT(IF($C218="","Falta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",""),LEN(IF($C218="","Falta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",""))-3)))</f>
        <v/>
      </c>
      <c r="S218" s="64">
        <f>IF(NOT((COUNTA($B218:$D218)+COUNTA($G218:$L218)+COUNTA($Q218))&gt;0),"",IF(AND($V218="Sub",N($U218)&gt;0),IF(ISNUMBER(INDEX($AM$5:$AM$1000,$U218-4)),DATE(YEAR(INDEX($AM$5:$AM$1000,$U218-4)),MONTH(INDEX($AM$5:$AM$1000,$U218-4)),1),IF(ISNUMBER(INDEX($AN$5:$AN$1000,$U218-4)),DATE(YEAR(INDEX($AN$5:$AN$1000,$U218-4)),MONTH(INDEX($AN$5:$AN$1000,$U218-4)),1),MesCiclo)),IF(ISNUMBER($AM218),DATE(YEAR($AM218),MONTH($AM218),1),IF(ISNUMBER($AN218),DATE(YEAR($AN218),MONTH($AN218),1),MesCiclo))))</f>
        <v/>
      </c>
      <c r="T218" s="62">
        <f>IF(OR($S218="",$S218&lt;&gt;MesCiclo),"",COUNTIF($S$5:$S218,MesCiclo))</f>
        <v/>
      </c>
      <c r="U218" s="62">
        <f>IF($V218="","",IF($V218="Macro",ROW(),IFERROR(LOOKUP(2,1/($V$5:$V218="Macro"),ROW($V$5:$V218)),0)))</f>
        <v/>
      </c>
      <c r="V218" s="62">
        <f>IF(NOT((COUNTA($B218:$D218)+COUNTA($G218:$L218)+COUNTA($Q218))&gt;0),"",IF($B218="Subactividad","Sub","Macro"))</f>
        <v/>
      </c>
      <c r="W218" s="62">
        <f>IF($V218="Macro",COUNTIFS($U$5:$U$1000,ROW(),$V$5:$V$1000,"Sub"),"")</f>
        <v/>
      </c>
      <c r="X218" s="62">
        <f>IF($V218="","",IF(ISNUMBER($G218),1,IFERROR(LOOKUP(2,1/($I218:$L218&lt;&gt;""),$I218:$L218),0)))</f>
        <v/>
      </c>
      <c r="Y218" s="62">
        <f>IF($V218="","",IF(AND(ISNUMBER($G218),$G218&lt;=IF($S218=MesCiclo,InicioCiclo,$S218+MOD(2-WEEKDAY($S218),7))+6),1,IF(ISNUMBER($I218),$I218,0)))</f>
        <v/>
      </c>
      <c r="Z218" s="62">
        <f>IF($V218="","",IF(AND(ISNUMBER($G218),$G218&lt;=IF($S218=MesCiclo,InicioCiclo,$S218+MOD(2-WEEKDAY($S218),7))+13),1,IF(ISNUMBER($J218),$J218,$Y218)))</f>
        <v/>
      </c>
      <c r="AA218" s="62">
        <f>IF($V218="","",IF(AND(ISNUMBER($G218),$G218&lt;=IF($S218=MesCiclo,InicioCiclo,$S218+MOD(2-WEEKDAY($S218),7))+20),1,IF(ISNUMBER($K218),$K218,$Z218)))</f>
        <v/>
      </c>
      <c r="AB218" s="62">
        <f>IF($V218="","",IF(AND(ISNUMBER($G218),$G218&lt;=IF($S218=MesCiclo,InicioCiclo,$S218+MOD(2-WEEKDAY($S218),7))+27),1,IF(ISNUMBER($L218),$L218,$AA218)))</f>
        <v/>
      </c>
      <c r="AC218" s="62">
        <f>IF($V218="","",IF(AND(ISNUMBER($G218),$G218&lt;=IF($S218=MesCiclo,InicioCiclo,$S218+MOD(2-WEEKDAY($S218),7))+6),1,IF(N($W218)&gt;0,AVERAGEIFS($Y$5:$Y$1000,$U$5:$U$1000,ROW(),$V$5:$V$1000,"Sub"),$Y218)))</f>
        <v/>
      </c>
      <c r="AD218" s="62">
        <f>IF($V218="","",IF(AND(ISNUMBER($G218),$G218&lt;=IF($S218=MesCiclo,InicioCiclo,$S218+MOD(2-WEEKDAY($S218),7))+13),1,IF(N($W218)&gt;0,AVERAGEIFS($Z$5:$Z$1000,$U$5:$U$1000,ROW(),$V$5:$V$1000,"Sub"),$Z218)))</f>
        <v/>
      </c>
      <c r="AE218" s="62">
        <f>IF($V218="","",IF(AND(ISNUMBER($G218),$G218&lt;=IF($S218=MesCiclo,InicioCiclo,$S218+MOD(2-WEEKDAY($S218),7))+20),1,IF(N($W218)&gt;0,AVERAGEIFS($AA$5:$AA$1000,$U$5:$U$1000,ROW(),$V$5:$V$1000,"Sub"),$AA218)))</f>
        <v/>
      </c>
      <c r="AF218" s="62">
        <f>IF($V218="","",IF(AND(ISNUMBER($G218),$G218&lt;=IF($S218=MesCiclo,InicioCiclo,$S218+MOD(2-WEEKDAY($S218),7))+27),1,IF(N($W218)&gt;0,AVERAGEIFS($AB$5:$AB$1000,$U$5:$U$1000,ROW(),$V$5:$V$1000,"Sub"),$AB218)))</f>
        <v/>
      </c>
      <c r="AG218" s="62">
        <f>IF($V218&lt;&gt;"Macro","",IF(COUNTIFS($S$5:$S$1000,$S218,$V$5:$V$1000,"Macro",$H$5:$H$1000,"&gt;0")=0,1/COUNTIFS($S$5:$S$1000,$S218,$V$5:$V$1000,"Macro"),IF(AND(ISNUMBER($H218),N($H218)&gt;0),$H218,SUMIFS($H$5:$H$1000,$S$5:$S$1000,$S218,$V$5:$V$1000,"Macro")/COUNTIFS($S$5:$S$1000,$S218,$V$5:$V$1000,"Macro",$H$5:$H$1000,"&gt;0"))/(COUNTIFS($S$5:$S$1000,$S218,$V$5:$V$1000,"Macro")*SUMIFS($H$5:$H$1000,$S$5:$S$1000,$S218,$V$5:$V$1000,"Macro")/COUNTIFS($S$5:$S$1000,$S218,$V$5:$V$1000,"Macro",$H$5:$H$1000,"&gt;0"))))</f>
        <v/>
      </c>
      <c r="AH218" s="62">
        <f>IF(NOT(AND($D218&lt;&gt;"",$V218="Macro")),"",IFERROR(CHOOSE(MATCH($D218,ListaPuestos,0),MATCH("[Jefatura] "&amp;$C218,'Cronograma R. Operacional'!$C$5:$C$1000,0),MATCH("[Jefatura] "&amp;$C218,'Cronograma R. Normativo'!$C$5:$C$1000,0),MATCH("[Jefatura] "&amp;$C218,'Cronograma R. Financiero'!$C$5:$C$1000,0),MATCH("[Jefatura] "&amp;$C218,'Cronograma Asistente Técnico'!$C$5:$C$1000,0)),0))</f>
        <v/>
      </c>
      <c r="AI218" s="62">
        <f>IF(AND(AND($D218&lt;&gt;"",$V218="Macro"),$S218=MesCiclo),COUNTIFS($D$5:$D218,$D218,$S$5:$S218,MesCiclo,$V$5:$V218,"Macro"),"")</f>
        <v/>
      </c>
      <c r="AJ218" s="62">
        <f>IF($AI218="","",$D218&amp;"|"&amp;$AI218)</f>
        <v/>
      </c>
      <c r="AK218" s="62">
        <f>IF(AND($D218&lt;&gt;"",$V218="Macro"),$D218&amp;"|"&amp;$C218,"")</f>
        <v/>
      </c>
      <c r="AL218" s="62">
        <f>""</f>
        <v/>
      </c>
      <c r="AM218" s="62">
        <f>IF(N($AL218)&gt;0,INDEX(rIni_ADM,$AL218),IF(ISNUMBER($E218),$E218,""))</f>
        <v/>
      </c>
      <c r="AN218" s="62">
        <f>IF(N($AL218)&gt;0,INDEX(rLim_ADM,$AL218),IF(ISNUMBER($F218),$F218,""))</f>
        <v/>
      </c>
    </row>
    <row r="219">
      <c r="A219" s="56">
        <f>IF(NOT((COUNTA($B219:$D219)+COUNTA($G219:$L219)+COUNTA($Q219))&gt;0),"",IF($V219="Macro",COUNTIFS($V$5:$V219,"Macro",$S$5:$S219,$S219),IF(N($U219)=0,"?",COUNTIFS(INDEX($V$5:$V$1000,1):INDEX($V$5:$V$1000,$U219-4),"Macro",INDEX($S$5:$S$1000,1):INDEX($S$5:$S$1000,$U219-4),INDEX($S$5:$S$1000,$U219-4))&amp;"."&amp;COUNTIFS($U$5:$U219,$U219,$V$5:$V219,"Sub"))))</f>
        <v/>
      </c>
      <c r="B219" s="57" t="n"/>
      <c r="C219" s="58" t="n"/>
      <c r="D219" s="58" t="n"/>
      <c r="E219" s="59" t="n"/>
      <c r="F219" s="59" t="n"/>
      <c r="G219" s="59" t="n"/>
      <c r="H219" s="60" t="n"/>
      <c r="I219" s="60" t="n"/>
      <c r="J219" s="60" t="n"/>
      <c r="K219" s="60" t="n"/>
      <c r="L219" s="60" t="n"/>
      <c r="M219" s="61">
        <f>IF(NOT((COUNTA($B219:$D219)+COUNTA($G219:$L219)+COUNTA($Q219))&gt;0),"",IF(AND($D219&lt;&gt;"",$V219="Macro"),IF(N($AH219)&gt;0,N(CHOOSE(MATCH($D219,ListaPuestos,0),INDEX('Cronograma R. Operacional'!$M$5:$M$1000,$AH219),INDEX('Cronograma R. Normativo'!$M$5:$M$1000,$AH219),INDEX('Cronograma R. Financiero'!$M$5:$M$1000,$AH219),INDEX('Cronograma Asistente Técnico'!$M$5:$M$1000,$AH219))),0),IF(ISNUMBER($G219),1,IF(N($W219)&gt;0,AVERAGEIFS($X$5:$X$1000,$U$5:$U$1000,ROW(),$V$5:$V$1000,"Sub"),$X219))))</f>
        <v/>
      </c>
      <c r="N219" s="56">
        <f>IF($M219="","",IF($M219&gt;=1,"Completado",IF($M219&gt;0,"En curso","Pendiente")))</f>
        <v/>
      </c>
      <c r="O219" s="56">
        <f>IF(NOT((COUNTA($B219:$D219)+COUNTA($G219:$L219)+COUNTA($Q219))&gt;0),"",IF(AND(AND($D219&lt;&gt;"",$V219="Macro"),N($AH219)&gt;0),CHOOSE(MATCH($D219,ListaPuestos,0),INDEX('Cronograma R. Operacional'!$O$5:$O$1000,$AH219),INDEX('Cronograma R. Normativo'!$O$5:$O$1000,$AH219),INDEX('Cronograma R. Financiero'!$O$5:$O$1000,$AH219),INDEX('Cronograma Asistente Técnico'!$O$5:$O$1000,$AH219))&amp;"",IF(ISNUMBER($G219),IF(AND(ISNUMBER($AN219),$G219&gt;$AN219),"Cumplida con "&amp;($G219-$AN219)&amp;IF($G219-$AN219=1," día"," días")&amp;" de retraso","Cumplida"),IF(N($M219)&gt;=1,"Cumplida",IF(NOT(ISNUMBER($AN219)),"Sin fecha límite",IF($AN219&lt;FechaRef,"Vencida hace "&amp;(FechaRef-$AN219)&amp;IF(FechaRef-$AN219=1," día"," días"),IF($AN219=FechaRef,"Vence hoy",IF($AN219-FechaRef&lt;=DiasAlerta,"Vence en "&amp;($AN219-FechaRef)&amp;IF($AN219-FechaRef=1," día"," días"),"En plazo"))))))))</f>
        <v/>
      </c>
      <c r="P219" s="62">
        <f>IF(NOT((COUNTA($B219:$D219)+COUNTA($G219:$L219)+COUNTA($Q219))&gt;0),"",IF($D219="","Propia",IF($V219&lt;&gt;"Macro","Solo se delegan macroactividades",IF(N($AH219)&gt;0,"✔ Recibida por "&amp;$D219,"⚠ "&amp;$D219&amp;" aún no la agrega"))))</f>
        <v/>
      </c>
      <c r="Q219" s="58" t="n"/>
      <c r="R219" s="63">
        <f>IF(NOT((COUNTA($B219:$D219)+COUNTA($G219:$L219)+COUNTA($Q219))&gt;0),"",IF((IF($C219="","Falta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",""))="","✔ OK","⚠ "&amp;LEFT(IF($C219="","Falta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",""),LEN(IF($C219="","Falta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",""))-3)))</f>
        <v/>
      </c>
      <c r="S219" s="64">
        <f>IF(NOT((COUNTA($B219:$D219)+COUNTA($G219:$L219)+COUNTA($Q219))&gt;0),"",IF(AND($V219="Sub",N($U219)&gt;0),IF(ISNUMBER(INDEX($AM$5:$AM$1000,$U219-4)),DATE(YEAR(INDEX($AM$5:$AM$1000,$U219-4)),MONTH(INDEX($AM$5:$AM$1000,$U219-4)),1),IF(ISNUMBER(INDEX($AN$5:$AN$1000,$U219-4)),DATE(YEAR(INDEX($AN$5:$AN$1000,$U219-4)),MONTH(INDEX($AN$5:$AN$1000,$U219-4)),1),MesCiclo)),IF(ISNUMBER($AM219),DATE(YEAR($AM219),MONTH($AM219),1),IF(ISNUMBER($AN219),DATE(YEAR($AN219),MONTH($AN219),1),MesCiclo))))</f>
        <v/>
      </c>
      <c r="T219" s="62">
        <f>IF(OR($S219="",$S219&lt;&gt;MesCiclo),"",COUNTIF($S$5:$S219,MesCiclo))</f>
        <v/>
      </c>
      <c r="U219" s="62">
        <f>IF($V219="","",IF($V219="Macro",ROW(),IFERROR(LOOKUP(2,1/($V$5:$V219="Macro"),ROW($V$5:$V219)),0)))</f>
        <v/>
      </c>
      <c r="V219" s="62">
        <f>IF(NOT((COUNTA($B219:$D219)+COUNTA($G219:$L219)+COUNTA($Q219))&gt;0),"",IF($B219="Subactividad","Sub","Macro"))</f>
        <v/>
      </c>
      <c r="W219" s="62">
        <f>IF($V219="Macro",COUNTIFS($U$5:$U$1000,ROW(),$V$5:$V$1000,"Sub"),"")</f>
        <v/>
      </c>
      <c r="X219" s="62">
        <f>IF($V219="","",IF(ISNUMBER($G219),1,IFERROR(LOOKUP(2,1/($I219:$L219&lt;&gt;""),$I219:$L219),0)))</f>
        <v/>
      </c>
      <c r="Y219" s="62">
        <f>IF($V219="","",IF(AND(ISNUMBER($G219),$G219&lt;=IF($S219=MesCiclo,InicioCiclo,$S219+MOD(2-WEEKDAY($S219),7))+6),1,IF(ISNUMBER($I219),$I219,0)))</f>
        <v/>
      </c>
      <c r="Z219" s="62">
        <f>IF($V219="","",IF(AND(ISNUMBER($G219),$G219&lt;=IF($S219=MesCiclo,InicioCiclo,$S219+MOD(2-WEEKDAY($S219),7))+13),1,IF(ISNUMBER($J219),$J219,$Y219)))</f>
        <v/>
      </c>
      <c r="AA219" s="62">
        <f>IF($V219="","",IF(AND(ISNUMBER($G219),$G219&lt;=IF($S219=MesCiclo,InicioCiclo,$S219+MOD(2-WEEKDAY($S219),7))+20),1,IF(ISNUMBER($K219),$K219,$Z219)))</f>
        <v/>
      </c>
      <c r="AB219" s="62">
        <f>IF($V219="","",IF(AND(ISNUMBER($G219),$G219&lt;=IF($S219=MesCiclo,InicioCiclo,$S219+MOD(2-WEEKDAY($S219),7))+27),1,IF(ISNUMBER($L219),$L219,$AA219)))</f>
        <v/>
      </c>
      <c r="AC219" s="62">
        <f>IF($V219="","",IF(AND(ISNUMBER($G219),$G219&lt;=IF($S219=MesCiclo,InicioCiclo,$S219+MOD(2-WEEKDAY($S219),7))+6),1,IF(N($W219)&gt;0,AVERAGEIFS($Y$5:$Y$1000,$U$5:$U$1000,ROW(),$V$5:$V$1000,"Sub"),$Y219)))</f>
        <v/>
      </c>
      <c r="AD219" s="62">
        <f>IF($V219="","",IF(AND(ISNUMBER($G219),$G219&lt;=IF($S219=MesCiclo,InicioCiclo,$S219+MOD(2-WEEKDAY($S219),7))+13),1,IF(N($W219)&gt;0,AVERAGEIFS($Z$5:$Z$1000,$U$5:$U$1000,ROW(),$V$5:$V$1000,"Sub"),$Z219)))</f>
        <v/>
      </c>
      <c r="AE219" s="62">
        <f>IF($V219="","",IF(AND(ISNUMBER($G219),$G219&lt;=IF($S219=MesCiclo,InicioCiclo,$S219+MOD(2-WEEKDAY($S219),7))+20),1,IF(N($W219)&gt;0,AVERAGEIFS($AA$5:$AA$1000,$U$5:$U$1000,ROW(),$V$5:$V$1000,"Sub"),$AA219)))</f>
        <v/>
      </c>
      <c r="AF219" s="62">
        <f>IF($V219="","",IF(AND(ISNUMBER($G219),$G219&lt;=IF($S219=MesCiclo,InicioCiclo,$S219+MOD(2-WEEKDAY($S219),7))+27),1,IF(N($W219)&gt;0,AVERAGEIFS($AB$5:$AB$1000,$U$5:$U$1000,ROW(),$V$5:$V$1000,"Sub"),$AB219)))</f>
        <v/>
      </c>
      <c r="AG219" s="62">
        <f>IF($V219&lt;&gt;"Macro","",IF(COUNTIFS($S$5:$S$1000,$S219,$V$5:$V$1000,"Macro",$H$5:$H$1000,"&gt;0")=0,1/COUNTIFS($S$5:$S$1000,$S219,$V$5:$V$1000,"Macro"),IF(AND(ISNUMBER($H219),N($H219)&gt;0),$H219,SUMIFS($H$5:$H$1000,$S$5:$S$1000,$S219,$V$5:$V$1000,"Macro")/COUNTIFS($S$5:$S$1000,$S219,$V$5:$V$1000,"Macro",$H$5:$H$1000,"&gt;0"))/(COUNTIFS($S$5:$S$1000,$S219,$V$5:$V$1000,"Macro")*SUMIFS($H$5:$H$1000,$S$5:$S$1000,$S219,$V$5:$V$1000,"Macro")/COUNTIFS($S$5:$S$1000,$S219,$V$5:$V$1000,"Macro",$H$5:$H$1000,"&gt;0"))))</f>
        <v/>
      </c>
      <c r="AH219" s="62">
        <f>IF(NOT(AND($D219&lt;&gt;"",$V219="Macro")),"",IFERROR(CHOOSE(MATCH($D219,ListaPuestos,0),MATCH("[Jefatura] "&amp;$C219,'Cronograma R. Operacional'!$C$5:$C$1000,0),MATCH("[Jefatura] "&amp;$C219,'Cronograma R. Normativo'!$C$5:$C$1000,0),MATCH("[Jefatura] "&amp;$C219,'Cronograma R. Financiero'!$C$5:$C$1000,0),MATCH("[Jefatura] "&amp;$C219,'Cronograma Asistente Técnico'!$C$5:$C$1000,0)),0))</f>
        <v/>
      </c>
      <c r="AI219" s="62">
        <f>IF(AND(AND($D219&lt;&gt;"",$V219="Macro"),$S219=MesCiclo),COUNTIFS($D$5:$D219,$D219,$S$5:$S219,MesCiclo,$V$5:$V219,"Macro"),"")</f>
        <v/>
      </c>
      <c r="AJ219" s="62">
        <f>IF($AI219="","",$D219&amp;"|"&amp;$AI219)</f>
        <v/>
      </c>
      <c r="AK219" s="62">
        <f>IF(AND($D219&lt;&gt;"",$V219="Macro"),$D219&amp;"|"&amp;$C219,"")</f>
        <v/>
      </c>
      <c r="AL219" s="62">
        <f>""</f>
        <v/>
      </c>
      <c r="AM219" s="62">
        <f>IF(N($AL219)&gt;0,INDEX(rIni_ADM,$AL219),IF(ISNUMBER($E219),$E219,""))</f>
        <v/>
      </c>
      <c r="AN219" s="62">
        <f>IF(N($AL219)&gt;0,INDEX(rLim_ADM,$AL219),IF(ISNUMBER($F219),$F219,""))</f>
        <v/>
      </c>
    </row>
    <row r="220">
      <c r="A220" s="56">
        <f>IF(NOT((COUNTA($B220:$D220)+COUNTA($G220:$L220)+COUNTA($Q220))&gt;0),"",IF($V220="Macro",COUNTIFS($V$5:$V220,"Macro",$S$5:$S220,$S220),IF(N($U220)=0,"?",COUNTIFS(INDEX($V$5:$V$1000,1):INDEX($V$5:$V$1000,$U220-4),"Macro",INDEX($S$5:$S$1000,1):INDEX($S$5:$S$1000,$U220-4),INDEX($S$5:$S$1000,$U220-4))&amp;"."&amp;COUNTIFS($U$5:$U220,$U220,$V$5:$V220,"Sub"))))</f>
        <v/>
      </c>
      <c r="B220" s="57" t="n"/>
      <c r="C220" s="58" t="n"/>
      <c r="D220" s="58" t="n"/>
      <c r="E220" s="59" t="n"/>
      <c r="F220" s="59" t="n"/>
      <c r="G220" s="59" t="n"/>
      <c r="H220" s="60" t="n"/>
      <c r="I220" s="60" t="n"/>
      <c r="J220" s="60" t="n"/>
      <c r="K220" s="60" t="n"/>
      <c r="L220" s="60" t="n"/>
      <c r="M220" s="61">
        <f>IF(NOT((COUNTA($B220:$D220)+COUNTA($G220:$L220)+COUNTA($Q220))&gt;0),"",IF(AND($D220&lt;&gt;"",$V220="Macro"),IF(N($AH220)&gt;0,N(CHOOSE(MATCH($D220,ListaPuestos,0),INDEX('Cronograma R. Operacional'!$M$5:$M$1000,$AH220),INDEX('Cronograma R. Normativo'!$M$5:$M$1000,$AH220),INDEX('Cronograma R. Financiero'!$M$5:$M$1000,$AH220),INDEX('Cronograma Asistente Técnico'!$M$5:$M$1000,$AH220))),0),IF(ISNUMBER($G220),1,IF(N($W220)&gt;0,AVERAGEIFS($X$5:$X$1000,$U$5:$U$1000,ROW(),$V$5:$V$1000,"Sub"),$X220))))</f>
        <v/>
      </c>
      <c r="N220" s="56">
        <f>IF($M220="","",IF($M220&gt;=1,"Completado",IF($M220&gt;0,"En curso","Pendiente")))</f>
        <v/>
      </c>
      <c r="O220" s="56">
        <f>IF(NOT((COUNTA($B220:$D220)+COUNTA($G220:$L220)+COUNTA($Q220))&gt;0),"",IF(AND(AND($D220&lt;&gt;"",$V220="Macro"),N($AH220)&gt;0),CHOOSE(MATCH($D220,ListaPuestos,0),INDEX('Cronograma R. Operacional'!$O$5:$O$1000,$AH220),INDEX('Cronograma R. Normativo'!$O$5:$O$1000,$AH220),INDEX('Cronograma R. Financiero'!$O$5:$O$1000,$AH220),INDEX('Cronograma Asistente Técnico'!$O$5:$O$1000,$AH220))&amp;"",IF(ISNUMBER($G220),IF(AND(ISNUMBER($AN220),$G220&gt;$AN220),"Cumplida con "&amp;($G220-$AN220)&amp;IF($G220-$AN220=1," día"," días")&amp;" de retraso","Cumplida"),IF(N($M220)&gt;=1,"Cumplida",IF(NOT(ISNUMBER($AN220)),"Sin fecha límite",IF($AN220&lt;FechaRef,"Vencida hace "&amp;(FechaRef-$AN220)&amp;IF(FechaRef-$AN220=1," día"," días"),IF($AN220=FechaRef,"Vence hoy",IF($AN220-FechaRef&lt;=DiasAlerta,"Vence en "&amp;($AN220-FechaRef)&amp;IF($AN220-FechaRef=1," día"," días"),"En plazo"))))))))</f>
        <v/>
      </c>
      <c r="P220" s="62">
        <f>IF(NOT((COUNTA($B220:$D220)+COUNTA($G220:$L220)+COUNTA($Q220))&gt;0),"",IF($D220="","Propia",IF($V220&lt;&gt;"Macro","Solo se delegan macroactividades",IF(N($AH220)&gt;0,"✔ Recibida por "&amp;$D220,"⚠ "&amp;$D220&amp;" aún no la agrega"))))</f>
        <v/>
      </c>
      <c r="Q220" s="58" t="n"/>
      <c r="R220" s="63">
        <f>IF(NOT((COUNTA($B220:$D220)+COUNTA($G220:$L220)+COUNTA($Q220))&gt;0),"",IF((IF($C220="","Falta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",""))="","✔ OK","⚠ "&amp;LEFT(IF($C220="","Falta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",""),LEN(IF($C220="","Falta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",""))-3)))</f>
        <v/>
      </c>
      <c r="S220" s="64">
        <f>IF(NOT((COUNTA($B220:$D220)+COUNTA($G220:$L220)+COUNTA($Q220))&gt;0),"",IF(AND($V220="Sub",N($U220)&gt;0),IF(ISNUMBER(INDEX($AM$5:$AM$1000,$U220-4)),DATE(YEAR(INDEX($AM$5:$AM$1000,$U220-4)),MONTH(INDEX($AM$5:$AM$1000,$U220-4)),1),IF(ISNUMBER(INDEX($AN$5:$AN$1000,$U220-4)),DATE(YEAR(INDEX($AN$5:$AN$1000,$U220-4)),MONTH(INDEX($AN$5:$AN$1000,$U220-4)),1),MesCiclo)),IF(ISNUMBER($AM220),DATE(YEAR($AM220),MONTH($AM220),1),IF(ISNUMBER($AN220),DATE(YEAR($AN220),MONTH($AN220),1),MesCiclo))))</f>
        <v/>
      </c>
      <c r="T220" s="62">
        <f>IF(OR($S220="",$S220&lt;&gt;MesCiclo),"",COUNTIF($S$5:$S220,MesCiclo))</f>
        <v/>
      </c>
      <c r="U220" s="62">
        <f>IF($V220="","",IF($V220="Macro",ROW(),IFERROR(LOOKUP(2,1/($V$5:$V220="Macro"),ROW($V$5:$V220)),0)))</f>
        <v/>
      </c>
      <c r="V220" s="62">
        <f>IF(NOT((COUNTA($B220:$D220)+COUNTA($G220:$L220)+COUNTA($Q220))&gt;0),"",IF($B220="Subactividad","Sub","Macro"))</f>
        <v/>
      </c>
      <c r="W220" s="62">
        <f>IF($V220="Macro",COUNTIFS($U$5:$U$1000,ROW(),$V$5:$V$1000,"Sub"),"")</f>
        <v/>
      </c>
      <c r="X220" s="62">
        <f>IF($V220="","",IF(ISNUMBER($G220),1,IFERROR(LOOKUP(2,1/($I220:$L220&lt;&gt;""),$I220:$L220),0)))</f>
        <v/>
      </c>
      <c r="Y220" s="62">
        <f>IF($V220="","",IF(AND(ISNUMBER($G220),$G220&lt;=IF($S220=MesCiclo,InicioCiclo,$S220+MOD(2-WEEKDAY($S220),7))+6),1,IF(ISNUMBER($I220),$I220,0)))</f>
        <v/>
      </c>
      <c r="Z220" s="62">
        <f>IF($V220="","",IF(AND(ISNUMBER($G220),$G220&lt;=IF($S220=MesCiclo,InicioCiclo,$S220+MOD(2-WEEKDAY($S220),7))+13),1,IF(ISNUMBER($J220),$J220,$Y220)))</f>
        <v/>
      </c>
      <c r="AA220" s="62">
        <f>IF($V220="","",IF(AND(ISNUMBER($G220),$G220&lt;=IF($S220=MesCiclo,InicioCiclo,$S220+MOD(2-WEEKDAY($S220),7))+20),1,IF(ISNUMBER($K220),$K220,$Z220)))</f>
        <v/>
      </c>
      <c r="AB220" s="62">
        <f>IF($V220="","",IF(AND(ISNUMBER($G220),$G220&lt;=IF($S220=MesCiclo,InicioCiclo,$S220+MOD(2-WEEKDAY($S220),7))+27),1,IF(ISNUMBER($L220),$L220,$AA220)))</f>
        <v/>
      </c>
      <c r="AC220" s="62">
        <f>IF($V220="","",IF(AND(ISNUMBER($G220),$G220&lt;=IF($S220=MesCiclo,InicioCiclo,$S220+MOD(2-WEEKDAY($S220),7))+6),1,IF(N($W220)&gt;0,AVERAGEIFS($Y$5:$Y$1000,$U$5:$U$1000,ROW(),$V$5:$V$1000,"Sub"),$Y220)))</f>
        <v/>
      </c>
      <c r="AD220" s="62">
        <f>IF($V220="","",IF(AND(ISNUMBER($G220),$G220&lt;=IF($S220=MesCiclo,InicioCiclo,$S220+MOD(2-WEEKDAY($S220),7))+13),1,IF(N($W220)&gt;0,AVERAGEIFS($Z$5:$Z$1000,$U$5:$U$1000,ROW(),$V$5:$V$1000,"Sub"),$Z220)))</f>
        <v/>
      </c>
      <c r="AE220" s="62">
        <f>IF($V220="","",IF(AND(ISNUMBER($G220),$G220&lt;=IF($S220=MesCiclo,InicioCiclo,$S220+MOD(2-WEEKDAY($S220),7))+20),1,IF(N($W220)&gt;0,AVERAGEIFS($AA$5:$AA$1000,$U$5:$U$1000,ROW(),$V$5:$V$1000,"Sub"),$AA220)))</f>
        <v/>
      </c>
      <c r="AF220" s="62">
        <f>IF($V220="","",IF(AND(ISNUMBER($G220),$G220&lt;=IF($S220=MesCiclo,InicioCiclo,$S220+MOD(2-WEEKDAY($S220),7))+27),1,IF(N($W220)&gt;0,AVERAGEIFS($AB$5:$AB$1000,$U$5:$U$1000,ROW(),$V$5:$V$1000,"Sub"),$AB220)))</f>
        <v/>
      </c>
      <c r="AG220" s="62">
        <f>IF($V220&lt;&gt;"Macro","",IF(COUNTIFS($S$5:$S$1000,$S220,$V$5:$V$1000,"Macro",$H$5:$H$1000,"&gt;0")=0,1/COUNTIFS($S$5:$S$1000,$S220,$V$5:$V$1000,"Macro"),IF(AND(ISNUMBER($H220),N($H220)&gt;0),$H220,SUMIFS($H$5:$H$1000,$S$5:$S$1000,$S220,$V$5:$V$1000,"Macro")/COUNTIFS($S$5:$S$1000,$S220,$V$5:$V$1000,"Macro",$H$5:$H$1000,"&gt;0"))/(COUNTIFS($S$5:$S$1000,$S220,$V$5:$V$1000,"Macro")*SUMIFS($H$5:$H$1000,$S$5:$S$1000,$S220,$V$5:$V$1000,"Macro")/COUNTIFS($S$5:$S$1000,$S220,$V$5:$V$1000,"Macro",$H$5:$H$1000,"&gt;0"))))</f>
        <v/>
      </c>
      <c r="AH220" s="62">
        <f>IF(NOT(AND($D220&lt;&gt;"",$V220="Macro")),"",IFERROR(CHOOSE(MATCH($D220,ListaPuestos,0),MATCH("[Jefatura] "&amp;$C220,'Cronograma R. Operacional'!$C$5:$C$1000,0),MATCH("[Jefatura] "&amp;$C220,'Cronograma R. Normativo'!$C$5:$C$1000,0),MATCH("[Jefatura] "&amp;$C220,'Cronograma R. Financiero'!$C$5:$C$1000,0),MATCH("[Jefatura] "&amp;$C220,'Cronograma Asistente Técnico'!$C$5:$C$1000,0)),0))</f>
        <v/>
      </c>
      <c r="AI220" s="62">
        <f>IF(AND(AND($D220&lt;&gt;"",$V220="Macro"),$S220=MesCiclo),COUNTIFS($D$5:$D220,$D220,$S$5:$S220,MesCiclo,$V$5:$V220,"Macro"),"")</f>
        <v/>
      </c>
      <c r="AJ220" s="62">
        <f>IF($AI220="","",$D220&amp;"|"&amp;$AI220)</f>
        <v/>
      </c>
      <c r="AK220" s="62">
        <f>IF(AND($D220&lt;&gt;"",$V220="Macro"),$D220&amp;"|"&amp;$C220,"")</f>
        <v/>
      </c>
      <c r="AL220" s="62">
        <f>""</f>
        <v/>
      </c>
      <c r="AM220" s="62">
        <f>IF(N($AL220)&gt;0,INDEX(rIni_ADM,$AL220),IF(ISNUMBER($E220),$E220,""))</f>
        <v/>
      </c>
      <c r="AN220" s="62">
        <f>IF(N($AL220)&gt;0,INDEX(rLim_ADM,$AL220),IF(ISNUMBER($F220),$F220,""))</f>
        <v/>
      </c>
    </row>
    <row r="221">
      <c r="A221" s="56">
        <f>IF(NOT((COUNTA($B221:$D221)+COUNTA($G221:$L221)+COUNTA($Q221))&gt;0),"",IF($V221="Macro",COUNTIFS($V$5:$V221,"Macro",$S$5:$S221,$S221),IF(N($U221)=0,"?",COUNTIFS(INDEX($V$5:$V$1000,1):INDEX($V$5:$V$1000,$U221-4),"Macro",INDEX($S$5:$S$1000,1):INDEX($S$5:$S$1000,$U221-4),INDEX($S$5:$S$1000,$U221-4))&amp;"."&amp;COUNTIFS($U$5:$U221,$U221,$V$5:$V221,"Sub"))))</f>
        <v/>
      </c>
      <c r="B221" s="57" t="n"/>
      <c r="C221" s="58" t="n"/>
      <c r="D221" s="58" t="n"/>
      <c r="E221" s="59" t="n"/>
      <c r="F221" s="59" t="n"/>
      <c r="G221" s="59" t="n"/>
      <c r="H221" s="60" t="n"/>
      <c r="I221" s="60" t="n"/>
      <c r="J221" s="60" t="n"/>
      <c r="K221" s="60" t="n"/>
      <c r="L221" s="60" t="n"/>
      <c r="M221" s="61">
        <f>IF(NOT((COUNTA($B221:$D221)+COUNTA($G221:$L221)+COUNTA($Q221))&gt;0),"",IF(AND($D221&lt;&gt;"",$V221="Macro"),IF(N($AH221)&gt;0,N(CHOOSE(MATCH($D221,ListaPuestos,0),INDEX('Cronograma R. Operacional'!$M$5:$M$1000,$AH221),INDEX('Cronograma R. Normativo'!$M$5:$M$1000,$AH221),INDEX('Cronograma R. Financiero'!$M$5:$M$1000,$AH221),INDEX('Cronograma Asistente Técnico'!$M$5:$M$1000,$AH221))),0),IF(ISNUMBER($G221),1,IF(N($W221)&gt;0,AVERAGEIFS($X$5:$X$1000,$U$5:$U$1000,ROW(),$V$5:$V$1000,"Sub"),$X221))))</f>
        <v/>
      </c>
      <c r="N221" s="56">
        <f>IF($M221="","",IF($M221&gt;=1,"Completado",IF($M221&gt;0,"En curso","Pendiente")))</f>
        <v/>
      </c>
      <c r="O221" s="56">
        <f>IF(NOT((COUNTA($B221:$D221)+COUNTA($G221:$L221)+COUNTA($Q221))&gt;0),"",IF(AND(AND($D221&lt;&gt;"",$V221="Macro"),N($AH221)&gt;0),CHOOSE(MATCH($D221,ListaPuestos,0),INDEX('Cronograma R. Operacional'!$O$5:$O$1000,$AH221),INDEX('Cronograma R. Normativo'!$O$5:$O$1000,$AH221),INDEX('Cronograma R. Financiero'!$O$5:$O$1000,$AH221),INDEX('Cronograma Asistente Técnico'!$O$5:$O$1000,$AH221))&amp;"",IF(ISNUMBER($G221),IF(AND(ISNUMBER($AN221),$G221&gt;$AN221),"Cumplida con "&amp;($G221-$AN221)&amp;IF($G221-$AN221=1," día"," días")&amp;" de retraso","Cumplida"),IF(N($M221)&gt;=1,"Cumplida",IF(NOT(ISNUMBER($AN221)),"Sin fecha límite",IF($AN221&lt;FechaRef,"Vencida hace "&amp;(FechaRef-$AN221)&amp;IF(FechaRef-$AN221=1," día"," días"),IF($AN221=FechaRef,"Vence hoy",IF($AN221-FechaRef&lt;=DiasAlerta,"Vence en "&amp;($AN221-FechaRef)&amp;IF($AN221-FechaRef=1," día"," días"),"En plazo"))))))))</f>
        <v/>
      </c>
      <c r="P221" s="62">
        <f>IF(NOT((COUNTA($B221:$D221)+COUNTA($G221:$L221)+COUNTA($Q221))&gt;0),"",IF($D221="","Propia",IF($V221&lt;&gt;"Macro","Solo se delegan macroactividades",IF(N($AH221)&gt;0,"✔ Recibida por "&amp;$D221,"⚠ "&amp;$D221&amp;" aún no la agrega"))))</f>
        <v/>
      </c>
      <c r="Q221" s="58" t="n"/>
      <c r="R221" s="63">
        <f>IF(NOT((COUNTA($B221:$D221)+COUNTA($G221:$L221)+COUNTA($Q221))&gt;0),"",IF((IF($C221="","Falta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",""))="","✔ OK","⚠ "&amp;LEFT(IF($C221="","Falta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",""),LEN(IF($C221="","Falta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",""))-3)))</f>
        <v/>
      </c>
      <c r="S221" s="64">
        <f>IF(NOT((COUNTA($B221:$D221)+COUNTA($G221:$L221)+COUNTA($Q221))&gt;0),"",IF(AND($V221="Sub",N($U221)&gt;0),IF(ISNUMBER(INDEX($AM$5:$AM$1000,$U221-4)),DATE(YEAR(INDEX($AM$5:$AM$1000,$U221-4)),MONTH(INDEX($AM$5:$AM$1000,$U221-4)),1),IF(ISNUMBER(INDEX($AN$5:$AN$1000,$U221-4)),DATE(YEAR(INDEX($AN$5:$AN$1000,$U221-4)),MONTH(INDEX($AN$5:$AN$1000,$U221-4)),1),MesCiclo)),IF(ISNUMBER($AM221),DATE(YEAR($AM221),MONTH($AM221),1),IF(ISNUMBER($AN221),DATE(YEAR($AN221),MONTH($AN221),1),MesCiclo))))</f>
        <v/>
      </c>
      <c r="T221" s="62">
        <f>IF(OR($S221="",$S221&lt;&gt;MesCiclo),"",COUNTIF($S$5:$S221,MesCiclo))</f>
        <v/>
      </c>
      <c r="U221" s="62">
        <f>IF($V221="","",IF($V221="Macro",ROW(),IFERROR(LOOKUP(2,1/($V$5:$V221="Macro"),ROW($V$5:$V221)),0)))</f>
        <v/>
      </c>
      <c r="V221" s="62">
        <f>IF(NOT((COUNTA($B221:$D221)+COUNTA($G221:$L221)+COUNTA($Q221))&gt;0),"",IF($B221="Subactividad","Sub","Macro"))</f>
        <v/>
      </c>
      <c r="W221" s="62">
        <f>IF($V221="Macro",COUNTIFS($U$5:$U$1000,ROW(),$V$5:$V$1000,"Sub"),"")</f>
        <v/>
      </c>
      <c r="X221" s="62">
        <f>IF($V221="","",IF(ISNUMBER($G221),1,IFERROR(LOOKUP(2,1/($I221:$L221&lt;&gt;""),$I221:$L221),0)))</f>
        <v/>
      </c>
      <c r="Y221" s="62">
        <f>IF($V221="","",IF(AND(ISNUMBER($G221),$G221&lt;=IF($S221=MesCiclo,InicioCiclo,$S221+MOD(2-WEEKDAY($S221),7))+6),1,IF(ISNUMBER($I221),$I221,0)))</f>
        <v/>
      </c>
      <c r="Z221" s="62">
        <f>IF($V221="","",IF(AND(ISNUMBER($G221),$G221&lt;=IF($S221=MesCiclo,InicioCiclo,$S221+MOD(2-WEEKDAY($S221),7))+13),1,IF(ISNUMBER($J221),$J221,$Y221)))</f>
        <v/>
      </c>
      <c r="AA221" s="62">
        <f>IF($V221="","",IF(AND(ISNUMBER($G221),$G221&lt;=IF($S221=MesCiclo,InicioCiclo,$S221+MOD(2-WEEKDAY($S221),7))+20),1,IF(ISNUMBER($K221),$K221,$Z221)))</f>
        <v/>
      </c>
      <c r="AB221" s="62">
        <f>IF($V221="","",IF(AND(ISNUMBER($G221),$G221&lt;=IF($S221=MesCiclo,InicioCiclo,$S221+MOD(2-WEEKDAY($S221),7))+27),1,IF(ISNUMBER($L221),$L221,$AA221)))</f>
        <v/>
      </c>
      <c r="AC221" s="62">
        <f>IF($V221="","",IF(AND(ISNUMBER($G221),$G221&lt;=IF($S221=MesCiclo,InicioCiclo,$S221+MOD(2-WEEKDAY($S221),7))+6),1,IF(N($W221)&gt;0,AVERAGEIFS($Y$5:$Y$1000,$U$5:$U$1000,ROW(),$V$5:$V$1000,"Sub"),$Y221)))</f>
        <v/>
      </c>
      <c r="AD221" s="62">
        <f>IF($V221="","",IF(AND(ISNUMBER($G221),$G221&lt;=IF($S221=MesCiclo,InicioCiclo,$S221+MOD(2-WEEKDAY($S221),7))+13),1,IF(N($W221)&gt;0,AVERAGEIFS($Z$5:$Z$1000,$U$5:$U$1000,ROW(),$V$5:$V$1000,"Sub"),$Z221)))</f>
        <v/>
      </c>
      <c r="AE221" s="62">
        <f>IF($V221="","",IF(AND(ISNUMBER($G221),$G221&lt;=IF($S221=MesCiclo,InicioCiclo,$S221+MOD(2-WEEKDAY($S221),7))+20),1,IF(N($W221)&gt;0,AVERAGEIFS($AA$5:$AA$1000,$U$5:$U$1000,ROW(),$V$5:$V$1000,"Sub"),$AA221)))</f>
        <v/>
      </c>
      <c r="AF221" s="62">
        <f>IF($V221="","",IF(AND(ISNUMBER($G221),$G221&lt;=IF($S221=MesCiclo,InicioCiclo,$S221+MOD(2-WEEKDAY($S221),7))+27),1,IF(N($W221)&gt;0,AVERAGEIFS($AB$5:$AB$1000,$U$5:$U$1000,ROW(),$V$5:$V$1000,"Sub"),$AB221)))</f>
        <v/>
      </c>
      <c r="AG221" s="62">
        <f>IF($V221&lt;&gt;"Macro","",IF(COUNTIFS($S$5:$S$1000,$S221,$V$5:$V$1000,"Macro",$H$5:$H$1000,"&gt;0")=0,1/COUNTIFS($S$5:$S$1000,$S221,$V$5:$V$1000,"Macro"),IF(AND(ISNUMBER($H221),N($H221)&gt;0),$H221,SUMIFS($H$5:$H$1000,$S$5:$S$1000,$S221,$V$5:$V$1000,"Macro")/COUNTIFS($S$5:$S$1000,$S221,$V$5:$V$1000,"Macro",$H$5:$H$1000,"&gt;0"))/(COUNTIFS($S$5:$S$1000,$S221,$V$5:$V$1000,"Macro")*SUMIFS($H$5:$H$1000,$S$5:$S$1000,$S221,$V$5:$V$1000,"Macro")/COUNTIFS($S$5:$S$1000,$S221,$V$5:$V$1000,"Macro",$H$5:$H$1000,"&gt;0"))))</f>
        <v/>
      </c>
      <c r="AH221" s="62">
        <f>IF(NOT(AND($D221&lt;&gt;"",$V221="Macro")),"",IFERROR(CHOOSE(MATCH($D221,ListaPuestos,0),MATCH("[Jefatura] "&amp;$C221,'Cronograma R. Operacional'!$C$5:$C$1000,0),MATCH("[Jefatura] "&amp;$C221,'Cronograma R. Normativo'!$C$5:$C$1000,0),MATCH("[Jefatura] "&amp;$C221,'Cronograma R. Financiero'!$C$5:$C$1000,0),MATCH("[Jefatura] "&amp;$C221,'Cronograma Asistente Técnico'!$C$5:$C$1000,0)),0))</f>
        <v/>
      </c>
      <c r="AI221" s="62">
        <f>IF(AND(AND($D221&lt;&gt;"",$V221="Macro"),$S221=MesCiclo),COUNTIFS($D$5:$D221,$D221,$S$5:$S221,MesCiclo,$V$5:$V221,"Macro"),"")</f>
        <v/>
      </c>
      <c r="AJ221" s="62">
        <f>IF($AI221="","",$D221&amp;"|"&amp;$AI221)</f>
        <v/>
      </c>
      <c r="AK221" s="62">
        <f>IF(AND($D221&lt;&gt;"",$V221="Macro"),$D221&amp;"|"&amp;$C221,"")</f>
        <v/>
      </c>
      <c r="AL221" s="62">
        <f>""</f>
        <v/>
      </c>
      <c r="AM221" s="62">
        <f>IF(N($AL221)&gt;0,INDEX(rIni_ADM,$AL221),IF(ISNUMBER($E221),$E221,""))</f>
        <v/>
      </c>
      <c r="AN221" s="62">
        <f>IF(N($AL221)&gt;0,INDEX(rLim_ADM,$AL221),IF(ISNUMBER($F221),$F221,""))</f>
        <v/>
      </c>
    </row>
    <row r="222">
      <c r="A222" s="56">
        <f>IF(NOT((COUNTA($B222:$D222)+COUNTA($G222:$L222)+COUNTA($Q222))&gt;0),"",IF($V222="Macro",COUNTIFS($V$5:$V222,"Macro",$S$5:$S222,$S222),IF(N($U222)=0,"?",COUNTIFS(INDEX($V$5:$V$1000,1):INDEX($V$5:$V$1000,$U222-4),"Macro",INDEX($S$5:$S$1000,1):INDEX($S$5:$S$1000,$U222-4),INDEX($S$5:$S$1000,$U222-4))&amp;"."&amp;COUNTIFS($U$5:$U222,$U222,$V$5:$V222,"Sub"))))</f>
        <v/>
      </c>
      <c r="B222" s="57" t="n"/>
      <c r="C222" s="58" t="n"/>
      <c r="D222" s="58" t="n"/>
      <c r="E222" s="59" t="n"/>
      <c r="F222" s="59" t="n"/>
      <c r="G222" s="59" t="n"/>
      <c r="H222" s="60" t="n"/>
      <c r="I222" s="60" t="n"/>
      <c r="J222" s="60" t="n"/>
      <c r="K222" s="60" t="n"/>
      <c r="L222" s="60" t="n"/>
      <c r="M222" s="61">
        <f>IF(NOT((COUNTA($B222:$D222)+COUNTA($G222:$L222)+COUNTA($Q222))&gt;0),"",IF(AND($D222&lt;&gt;"",$V222="Macro"),IF(N($AH222)&gt;0,N(CHOOSE(MATCH($D222,ListaPuestos,0),INDEX('Cronograma R. Operacional'!$M$5:$M$1000,$AH222),INDEX('Cronograma R. Normativo'!$M$5:$M$1000,$AH222),INDEX('Cronograma R. Financiero'!$M$5:$M$1000,$AH222),INDEX('Cronograma Asistente Técnico'!$M$5:$M$1000,$AH222))),0),IF(ISNUMBER($G222),1,IF(N($W222)&gt;0,AVERAGEIFS($X$5:$X$1000,$U$5:$U$1000,ROW(),$V$5:$V$1000,"Sub"),$X222))))</f>
        <v/>
      </c>
      <c r="N222" s="56">
        <f>IF($M222="","",IF($M222&gt;=1,"Completado",IF($M222&gt;0,"En curso","Pendiente")))</f>
        <v/>
      </c>
      <c r="O222" s="56">
        <f>IF(NOT((COUNTA($B222:$D222)+COUNTA($G222:$L222)+COUNTA($Q222))&gt;0),"",IF(AND(AND($D222&lt;&gt;"",$V222="Macro"),N($AH222)&gt;0),CHOOSE(MATCH($D222,ListaPuestos,0),INDEX('Cronograma R. Operacional'!$O$5:$O$1000,$AH222),INDEX('Cronograma R. Normativo'!$O$5:$O$1000,$AH222),INDEX('Cronograma R. Financiero'!$O$5:$O$1000,$AH222),INDEX('Cronograma Asistente Técnico'!$O$5:$O$1000,$AH222))&amp;"",IF(ISNUMBER($G222),IF(AND(ISNUMBER($AN222),$G222&gt;$AN222),"Cumplida con "&amp;($G222-$AN222)&amp;IF($G222-$AN222=1," día"," días")&amp;" de retraso","Cumplida"),IF(N($M222)&gt;=1,"Cumplida",IF(NOT(ISNUMBER($AN222)),"Sin fecha límite",IF($AN222&lt;FechaRef,"Vencida hace "&amp;(FechaRef-$AN222)&amp;IF(FechaRef-$AN222=1," día"," días"),IF($AN222=FechaRef,"Vence hoy",IF($AN222-FechaRef&lt;=DiasAlerta,"Vence en "&amp;($AN222-FechaRef)&amp;IF($AN222-FechaRef=1," día"," días"),"En plazo"))))))))</f>
        <v/>
      </c>
      <c r="P222" s="62">
        <f>IF(NOT((COUNTA($B222:$D222)+COUNTA($G222:$L222)+COUNTA($Q222))&gt;0),"",IF($D222="","Propia",IF($V222&lt;&gt;"Macro","Solo se delegan macroactividades",IF(N($AH222)&gt;0,"✔ Recibida por "&amp;$D222,"⚠ "&amp;$D222&amp;" aún no la agrega"))))</f>
        <v/>
      </c>
      <c r="Q222" s="58" t="n"/>
      <c r="R222" s="63">
        <f>IF(NOT((COUNTA($B222:$D222)+COUNTA($G222:$L222)+COUNTA($Q222))&gt;0),"",IF((IF($C222="","Falta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",""))="","✔ OK","⚠ "&amp;LEFT(IF($C222="","Falta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",""),LEN(IF($C222="","Falta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",""))-3)))</f>
        <v/>
      </c>
      <c r="S222" s="64">
        <f>IF(NOT((COUNTA($B222:$D222)+COUNTA($G222:$L222)+COUNTA($Q222))&gt;0),"",IF(AND($V222="Sub",N($U222)&gt;0),IF(ISNUMBER(INDEX($AM$5:$AM$1000,$U222-4)),DATE(YEAR(INDEX($AM$5:$AM$1000,$U222-4)),MONTH(INDEX($AM$5:$AM$1000,$U222-4)),1),IF(ISNUMBER(INDEX($AN$5:$AN$1000,$U222-4)),DATE(YEAR(INDEX($AN$5:$AN$1000,$U222-4)),MONTH(INDEX($AN$5:$AN$1000,$U222-4)),1),MesCiclo)),IF(ISNUMBER($AM222),DATE(YEAR($AM222),MONTH($AM222),1),IF(ISNUMBER($AN222),DATE(YEAR($AN222),MONTH($AN222),1),MesCiclo))))</f>
        <v/>
      </c>
      <c r="T222" s="62">
        <f>IF(OR($S222="",$S222&lt;&gt;MesCiclo),"",COUNTIF($S$5:$S222,MesCiclo))</f>
        <v/>
      </c>
      <c r="U222" s="62">
        <f>IF($V222="","",IF($V222="Macro",ROW(),IFERROR(LOOKUP(2,1/($V$5:$V222="Macro"),ROW($V$5:$V222)),0)))</f>
        <v/>
      </c>
      <c r="V222" s="62">
        <f>IF(NOT((COUNTA($B222:$D222)+COUNTA($G222:$L222)+COUNTA($Q222))&gt;0),"",IF($B222="Subactividad","Sub","Macro"))</f>
        <v/>
      </c>
      <c r="W222" s="62">
        <f>IF($V222="Macro",COUNTIFS($U$5:$U$1000,ROW(),$V$5:$V$1000,"Sub"),"")</f>
        <v/>
      </c>
      <c r="X222" s="62">
        <f>IF($V222="","",IF(ISNUMBER($G222),1,IFERROR(LOOKUP(2,1/($I222:$L222&lt;&gt;""),$I222:$L222),0)))</f>
        <v/>
      </c>
      <c r="Y222" s="62">
        <f>IF($V222="","",IF(AND(ISNUMBER($G222),$G222&lt;=IF($S222=MesCiclo,InicioCiclo,$S222+MOD(2-WEEKDAY($S222),7))+6),1,IF(ISNUMBER($I222),$I222,0)))</f>
        <v/>
      </c>
      <c r="Z222" s="62">
        <f>IF($V222="","",IF(AND(ISNUMBER($G222),$G222&lt;=IF($S222=MesCiclo,InicioCiclo,$S222+MOD(2-WEEKDAY($S222),7))+13),1,IF(ISNUMBER($J222),$J222,$Y222)))</f>
        <v/>
      </c>
      <c r="AA222" s="62">
        <f>IF($V222="","",IF(AND(ISNUMBER($G222),$G222&lt;=IF($S222=MesCiclo,InicioCiclo,$S222+MOD(2-WEEKDAY($S222),7))+20),1,IF(ISNUMBER($K222),$K222,$Z222)))</f>
        <v/>
      </c>
      <c r="AB222" s="62">
        <f>IF($V222="","",IF(AND(ISNUMBER($G222),$G222&lt;=IF($S222=MesCiclo,InicioCiclo,$S222+MOD(2-WEEKDAY($S222),7))+27),1,IF(ISNUMBER($L222),$L222,$AA222)))</f>
        <v/>
      </c>
      <c r="AC222" s="62">
        <f>IF($V222="","",IF(AND(ISNUMBER($G222),$G222&lt;=IF($S222=MesCiclo,InicioCiclo,$S222+MOD(2-WEEKDAY($S222),7))+6),1,IF(N($W222)&gt;0,AVERAGEIFS($Y$5:$Y$1000,$U$5:$U$1000,ROW(),$V$5:$V$1000,"Sub"),$Y222)))</f>
        <v/>
      </c>
      <c r="AD222" s="62">
        <f>IF($V222="","",IF(AND(ISNUMBER($G222),$G222&lt;=IF($S222=MesCiclo,InicioCiclo,$S222+MOD(2-WEEKDAY($S222),7))+13),1,IF(N($W222)&gt;0,AVERAGEIFS($Z$5:$Z$1000,$U$5:$U$1000,ROW(),$V$5:$V$1000,"Sub"),$Z222)))</f>
        <v/>
      </c>
      <c r="AE222" s="62">
        <f>IF($V222="","",IF(AND(ISNUMBER($G222),$G222&lt;=IF($S222=MesCiclo,InicioCiclo,$S222+MOD(2-WEEKDAY($S222),7))+20),1,IF(N($W222)&gt;0,AVERAGEIFS($AA$5:$AA$1000,$U$5:$U$1000,ROW(),$V$5:$V$1000,"Sub"),$AA222)))</f>
        <v/>
      </c>
      <c r="AF222" s="62">
        <f>IF($V222="","",IF(AND(ISNUMBER($G222),$G222&lt;=IF($S222=MesCiclo,InicioCiclo,$S222+MOD(2-WEEKDAY($S222),7))+27),1,IF(N($W222)&gt;0,AVERAGEIFS($AB$5:$AB$1000,$U$5:$U$1000,ROW(),$V$5:$V$1000,"Sub"),$AB222)))</f>
        <v/>
      </c>
      <c r="AG222" s="62">
        <f>IF($V222&lt;&gt;"Macro","",IF(COUNTIFS($S$5:$S$1000,$S222,$V$5:$V$1000,"Macro",$H$5:$H$1000,"&gt;0")=0,1/COUNTIFS($S$5:$S$1000,$S222,$V$5:$V$1000,"Macro"),IF(AND(ISNUMBER($H222),N($H222)&gt;0),$H222,SUMIFS($H$5:$H$1000,$S$5:$S$1000,$S222,$V$5:$V$1000,"Macro")/COUNTIFS($S$5:$S$1000,$S222,$V$5:$V$1000,"Macro",$H$5:$H$1000,"&gt;0"))/(COUNTIFS($S$5:$S$1000,$S222,$V$5:$V$1000,"Macro")*SUMIFS($H$5:$H$1000,$S$5:$S$1000,$S222,$V$5:$V$1000,"Macro")/COUNTIFS($S$5:$S$1000,$S222,$V$5:$V$1000,"Macro",$H$5:$H$1000,"&gt;0"))))</f>
        <v/>
      </c>
      <c r="AH222" s="62">
        <f>IF(NOT(AND($D222&lt;&gt;"",$V222="Macro")),"",IFERROR(CHOOSE(MATCH($D222,ListaPuestos,0),MATCH("[Jefatura] "&amp;$C222,'Cronograma R. Operacional'!$C$5:$C$1000,0),MATCH("[Jefatura] "&amp;$C222,'Cronograma R. Normativo'!$C$5:$C$1000,0),MATCH("[Jefatura] "&amp;$C222,'Cronograma R. Financiero'!$C$5:$C$1000,0),MATCH("[Jefatura] "&amp;$C222,'Cronograma Asistente Técnico'!$C$5:$C$1000,0)),0))</f>
        <v/>
      </c>
      <c r="AI222" s="62">
        <f>IF(AND(AND($D222&lt;&gt;"",$V222="Macro"),$S222=MesCiclo),COUNTIFS($D$5:$D222,$D222,$S$5:$S222,MesCiclo,$V$5:$V222,"Macro"),"")</f>
        <v/>
      </c>
      <c r="AJ222" s="62">
        <f>IF($AI222="","",$D222&amp;"|"&amp;$AI222)</f>
        <v/>
      </c>
      <c r="AK222" s="62">
        <f>IF(AND($D222&lt;&gt;"",$V222="Macro"),$D222&amp;"|"&amp;$C222,"")</f>
        <v/>
      </c>
      <c r="AL222" s="62">
        <f>""</f>
        <v/>
      </c>
      <c r="AM222" s="62">
        <f>IF(N($AL222)&gt;0,INDEX(rIni_ADM,$AL222),IF(ISNUMBER($E222),$E222,""))</f>
        <v/>
      </c>
      <c r="AN222" s="62">
        <f>IF(N($AL222)&gt;0,INDEX(rLim_ADM,$AL222),IF(ISNUMBER($F222),$F222,""))</f>
        <v/>
      </c>
    </row>
    <row r="223">
      <c r="A223" s="56">
        <f>IF(NOT((COUNTA($B223:$D223)+COUNTA($G223:$L223)+COUNTA($Q223))&gt;0),"",IF($V223="Macro",COUNTIFS($V$5:$V223,"Macro",$S$5:$S223,$S223),IF(N($U223)=0,"?",COUNTIFS(INDEX($V$5:$V$1000,1):INDEX($V$5:$V$1000,$U223-4),"Macro",INDEX($S$5:$S$1000,1):INDEX($S$5:$S$1000,$U223-4),INDEX($S$5:$S$1000,$U223-4))&amp;"."&amp;COUNTIFS($U$5:$U223,$U223,$V$5:$V223,"Sub"))))</f>
        <v/>
      </c>
      <c r="B223" s="57" t="n"/>
      <c r="C223" s="58" t="n"/>
      <c r="D223" s="58" t="n"/>
      <c r="E223" s="59" t="n"/>
      <c r="F223" s="59" t="n"/>
      <c r="G223" s="59" t="n"/>
      <c r="H223" s="60" t="n"/>
      <c r="I223" s="60" t="n"/>
      <c r="J223" s="60" t="n"/>
      <c r="K223" s="60" t="n"/>
      <c r="L223" s="60" t="n"/>
      <c r="M223" s="61">
        <f>IF(NOT((COUNTA($B223:$D223)+COUNTA($G223:$L223)+COUNTA($Q223))&gt;0),"",IF(AND($D223&lt;&gt;"",$V223="Macro"),IF(N($AH223)&gt;0,N(CHOOSE(MATCH($D223,ListaPuestos,0),INDEX('Cronograma R. Operacional'!$M$5:$M$1000,$AH223),INDEX('Cronograma R. Normativo'!$M$5:$M$1000,$AH223),INDEX('Cronograma R. Financiero'!$M$5:$M$1000,$AH223),INDEX('Cronograma Asistente Técnico'!$M$5:$M$1000,$AH223))),0),IF(ISNUMBER($G223),1,IF(N($W223)&gt;0,AVERAGEIFS($X$5:$X$1000,$U$5:$U$1000,ROW(),$V$5:$V$1000,"Sub"),$X223))))</f>
        <v/>
      </c>
      <c r="N223" s="56">
        <f>IF($M223="","",IF($M223&gt;=1,"Completado",IF($M223&gt;0,"En curso","Pendiente")))</f>
        <v/>
      </c>
      <c r="O223" s="56">
        <f>IF(NOT((COUNTA($B223:$D223)+COUNTA($G223:$L223)+COUNTA($Q223))&gt;0),"",IF(AND(AND($D223&lt;&gt;"",$V223="Macro"),N($AH223)&gt;0),CHOOSE(MATCH($D223,ListaPuestos,0),INDEX('Cronograma R. Operacional'!$O$5:$O$1000,$AH223),INDEX('Cronograma R. Normativo'!$O$5:$O$1000,$AH223),INDEX('Cronograma R. Financiero'!$O$5:$O$1000,$AH223),INDEX('Cronograma Asistente Técnico'!$O$5:$O$1000,$AH223))&amp;"",IF(ISNUMBER($G223),IF(AND(ISNUMBER($AN223),$G223&gt;$AN223),"Cumplida con "&amp;($G223-$AN223)&amp;IF($G223-$AN223=1," día"," días")&amp;" de retraso","Cumplida"),IF(N($M223)&gt;=1,"Cumplida",IF(NOT(ISNUMBER($AN223)),"Sin fecha límite",IF($AN223&lt;FechaRef,"Vencida hace "&amp;(FechaRef-$AN223)&amp;IF(FechaRef-$AN223=1," día"," días"),IF($AN223=FechaRef,"Vence hoy",IF($AN223-FechaRef&lt;=DiasAlerta,"Vence en "&amp;($AN223-FechaRef)&amp;IF($AN223-FechaRef=1," día"," días"),"En plazo"))))))))</f>
        <v/>
      </c>
      <c r="P223" s="62">
        <f>IF(NOT((COUNTA($B223:$D223)+COUNTA($G223:$L223)+COUNTA($Q223))&gt;0),"",IF($D223="","Propia",IF($V223&lt;&gt;"Macro","Solo se delegan macroactividades",IF(N($AH223)&gt;0,"✔ Recibida por "&amp;$D223,"⚠ "&amp;$D223&amp;" aún no la agrega"))))</f>
        <v/>
      </c>
      <c r="Q223" s="58" t="n"/>
      <c r="R223" s="63">
        <f>IF(NOT((COUNTA($B223:$D223)+COUNTA($G223:$L223)+COUNTA($Q223))&gt;0),"",IF((IF($C223="","Falta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",""))="","✔ OK","⚠ "&amp;LEFT(IF($C223="","Falta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",""),LEN(IF($C223="","Falta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",""))-3)))</f>
        <v/>
      </c>
      <c r="S223" s="64">
        <f>IF(NOT((COUNTA($B223:$D223)+COUNTA($G223:$L223)+COUNTA($Q223))&gt;0),"",IF(AND($V223="Sub",N($U223)&gt;0),IF(ISNUMBER(INDEX($AM$5:$AM$1000,$U223-4)),DATE(YEAR(INDEX($AM$5:$AM$1000,$U223-4)),MONTH(INDEX($AM$5:$AM$1000,$U223-4)),1),IF(ISNUMBER(INDEX($AN$5:$AN$1000,$U223-4)),DATE(YEAR(INDEX($AN$5:$AN$1000,$U223-4)),MONTH(INDEX($AN$5:$AN$1000,$U223-4)),1),MesCiclo)),IF(ISNUMBER($AM223),DATE(YEAR($AM223),MONTH($AM223),1),IF(ISNUMBER($AN223),DATE(YEAR($AN223),MONTH($AN223),1),MesCiclo))))</f>
        <v/>
      </c>
      <c r="T223" s="62">
        <f>IF(OR($S223="",$S223&lt;&gt;MesCiclo),"",COUNTIF($S$5:$S223,MesCiclo))</f>
        <v/>
      </c>
      <c r="U223" s="62">
        <f>IF($V223="","",IF($V223="Macro",ROW(),IFERROR(LOOKUP(2,1/($V$5:$V223="Macro"),ROW($V$5:$V223)),0)))</f>
        <v/>
      </c>
      <c r="V223" s="62">
        <f>IF(NOT((COUNTA($B223:$D223)+COUNTA($G223:$L223)+COUNTA($Q223))&gt;0),"",IF($B223="Subactividad","Sub","Macro"))</f>
        <v/>
      </c>
      <c r="W223" s="62">
        <f>IF($V223="Macro",COUNTIFS($U$5:$U$1000,ROW(),$V$5:$V$1000,"Sub"),"")</f>
        <v/>
      </c>
      <c r="X223" s="62">
        <f>IF($V223="","",IF(ISNUMBER($G223),1,IFERROR(LOOKUP(2,1/($I223:$L223&lt;&gt;""),$I223:$L223),0)))</f>
        <v/>
      </c>
      <c r="Y223" s="62">
        <f>IF($V223="","",IF(AND(ISNUMBER($G223),$G223&lt;=IF($S223=MesCiclo,InicioCiclo,$S223+MOD(2-WEEKDAY($S223),7))+6),1,IF(ISNUMBER($I223),$I223,0)))</f>
        <v/>
      </c>
      <c r="Z223" s="62">
        <f>IF($V223="","",IF(AND(ISNUMBER($G223),$G223&lt;=IF($S223=MesCiclo,InicioCiclo,$S223+MOD(2-WEEKDAY($S223),7))+13),1,IF(ISNUMBER($J223),$J223,$Y223)))</f>
        <v/>
      </c>
      <c r="AA223" s="62">
        <f>IF($V223="","",IF(AND(ISNUMBER($G223),$G223&lt;=IF($S223=MesCiclo,InicioCiclo,$S223+MOD(2-WEEKDAY($S223),7))+20),1,IF(ISNUMBER($K223),$K223,$Z223)))</f>
        <v/>
      </c>
      <c r="AB223" s="62">
        <f>IF($V223="","",IF(AND(ISNUMBER($G223),$G223&lt;=IF($S223=MesCiclo,InicioCiclo,$S223+MOD(2-WEEKDAY($S223),7))+27),1,IF(ISNUMBER($L223),$L223,$AA223)))</f>
        <v/>
      </c>
      <c r="AC223" s="62">
        <f>IF($V223="","",IF(AND(ISNUMBER($G223),$G223&lt;=IF($S223=MesCiclo,InicioCiclo,$S223+MOD(2-WEEKDAY($S223),7))+6),1,IF(N($W223)&gt;0,AVERAGEIFS($Y$5:$Y$1000,$U$5:$U$1000,ROW(),$V$5:$V$1000,"Sub"),$Y223)))</f>
        <v/>
      </c>
      <c r="AD223" s="62">
        <f>IF($V223="","",IF(AND(ISNUMBER($G223),$G223&lt;=IF($S223=MesCiclo,InicioCiclo,$S223+MOD(2-WEEKDAY($S223),7))+13),1,IF(N($W223)&gt;0,AVERAGEIFS($Z$5:$Z$1000,$U$5:$U$1000,ROW(),$V$5:$V$1000,"Sub"),$Z223)))</f>
        <v/>
      </c>
      <c r="AE223" s="62">
        <f>IF($V223="","",IF(AND(ISNUMBER($G223),$G223&lt;=IF($S223=MesCiclo,InicioCiclo,$S223+MOD(2-WEEKDAY($S223),7))+20),1,IF(N($W223)&gt;0,AVERAGEIFS($AA$5:$AA$1000,$U$5:$U$1000,ROW(),$V$5:$V$1000,"Sub"),$AA223)))</f>
        <v/>
      </c>
      <c r="AF223" s="62">
        <f>IF($V223="","",IF(AND(ISNUMBER($G223),$G223&lt;=IF($S223=MesCiclo,InicioCiclo,$S223+MOD(2-WEEKDAY($S223),7))+27),1,IF(N($W223)&gt;0,AVERAGEIFS($AB$5:$AB$1000,$U$5:$U$1000,ROW(),$V$5:$V$1000,"Sub"),$AB223)))</f>
        <v/>
      </c>
      <c r="AG223" s="62">
        <f>IF($V223&lt;&gt;"Macro","",IF(COUNTIFS($S$5:$S$1000,$S223,$V$5:$V$1000,"Macro",$H$5:$H$1000,"&gt;0")=0,1/COUNTIFS($S$5:$S$1000,$S223,$V$5:$V$1000,"Macro"),IF(AND(ISNUMBER($H223),N($H223)&gt;0),$H223,SUMIFS($H$5:$H$1000,$S$5:$S$1000,$S223,$V$5:$V$1000,"Macro")/COUNTIFS($S$5:$S$1000,$S223,$V$5:$V$1000,"Macro",$H$5:$H$1000,"&gt;0"))/(COUNTIFS($S$5:$S$1000,$S223,$V$5:$V$1000,"Macro")*SUMIFS($H$5:$H$1000,$S$5:$S$1000,$S223,$V$5:$V$1000,"Macro")/COUNTIFS($S$5:$S$1000,$S223,$V$5:$V$1000,"Macro",$H$5:$H$1000,"&gt;0"))))</f>
        <v/>
      </c>
      <c r="AH223" s="62">
        <f>IF(NOT(AND($D223&lt;&gt;"",$V223="Macro")),"",IFERROR(CHOOSE(MATCH($D223,ListaPuestos,0),MATCH("[Jefatura] "&amp;$C223,'Cronograma R. Operacional'!$C$5:$C$1000,0),MATCH("[Jefatura] "&amp;$C223,'Cronograma R. Normativo'!$C$5:$C$1000,0),MATCH("[Jefatura] "&amp;$C223,'Cronograma R. Financiero'!$C$5:$C$1000,0),MATCH("[Jefatura] "&amp;$C223,'Cronograma Asistente Técnico'!$C$5:$C$1000,0)),0))</f>
        <v/>
      </c>
      <c r="AI223" s="62">
        <f>IF(AND(AND($D223&lt;&gt;"",$V223="Macro"),$S223=MesCiclo),COUNTIFS($D$5:$D223,$D223,$S$5:$S223,MesCiclo,$V$5:$V223,"Macro"),"")</f>
        <v/>
      </c>
      <c r="AJ223" s="62">
        <f>IF($AI223="","",$D223&amp;"|"&amp;$AI223)</f>
        <v/>
      </c>
      <c r="AK223" s="62">
        <f>IF(AND($D223&lt;&gt;"",$V223="Macro"),$D223&amp;"|"&amp;$C223,"")</f>
        <v/>
      </c>
      <c r="AL223" s="62">
        <f>""</f>
        <v/>
      </c>
      <c r="AM223" s="62">
        <f>IF(N($AL223)&gt;0,INDEX(rIni_ADM,$AL223),IF(ISNUMBER($E223),$E223,""))</f>
        <v/>
      </c>
      <c r="AN223" s="62">
        <f>IF(N($AL223)&gt;0,INDEX(rLim_ADM,$AL223),IF(ISNUMBER($F223),$F223,""))</f>
        <v/>
      </c>
    </row>
    <row r="224">
      <c r="A224" s="56">
        <f>IF(NOT((COUNTA($B224:$D224)+COUNTA($G224:$L224)+COUNTA($Q224))&gt;0),"",IF($V224="Macro",COUNTIFS($V$5:$V224,"Macro",$S$5:$S224,$S224),IF(N($U224)=0,"?",COUNTIFS(INDEX($V$5:$V$1000,1):INDEX($V$5:$V$1000,$U224-4),"Macro",INDEX($S$5:$S$1000,1):INDEX($S$5:$S$1000,$U224-4),INDEX($S$5:$S$1000,$U224-4))&amp;"."&amp;COUNTIFS($U$5:$U224,$U224,$V$5:$V224,"Sub"))))</f>
        <v/>
      </c>
      <c r="B224" s="57" t="n"/>
      <c r="C224" s="58" t="n"/>
      <c r="D224" s="58" t="n"/>
      <c r="E224" s="59" t="n"/>
      <c r="F224" s="59" t="n"/>
      <c r="G224" s="59" t="n"/>
      <c r="H224" s="60" t="n"/>
      <c r="I224" s="60" t="n"/>
      <c r="J224" s="60" t="n"/>
      <c r="K224" s="60" t="n"/>
      <c r="L224" s="60" t="n"/>
      <c r="M224" s="61">
        <f>IF(NOT((COUNTA($B224:$D224)+COUNTA($G224:$L224)+COUNTA($Q224))&gt;0),"",IF(AND($D224&lt;&gt;"",$V224="Macro"),IF(N($AH224)&gt;0,N(CHOOSE(MATCH($D224,ListaPuestos,0),INDEX('Cronograma R. Operacional'!$M$5:$M$1000,$AH224),INDEX('Cronograma R. Normativo'!$M$5:$M$1000,$AH224),INDEX('Cronograma R. Financiero'!$M$5:$M$1000,$AH224),INDEX('Cronograma Asistente Técnico'!$M$5:$M$1000,$AH224))),0),IF(ISNUMBER($G224),1,IF(N($W224)&gt;0,AVERAGEIFS($X$5:$X$1000,$U$5:$U$1000,ROW(),$V$5:$V$1000,"Sub"),$X224))))</f>
        <v/>
      </c>
      <c r="N224" s="56">
        <f>IF($M224="","",IF($M224&gt;=1,"Completado",IF($M224&gt;0,"En curso","Pendiente")))</f>
        <v/>
      </c>
      <c r="O224" s="56">
        <f>IF(NOT((COUNTA($B224:$D224)+COUNTA($G224:$L224)+COUNTA($Q224))&gt;0),"",IF(AND(AND($D224&lt;&gt;"",$V224="Macro"),N($AH224)&gt;0),CHOOSE(MATCH($D224,ListaPuestos,0),INDEX('Cronograma R. Operacional'!$O$5:$O$1000,$AH224),INDEX('Cronograma R. Normativo'!$O$5:$O$1000,$AH224),INDEX('Cronograma R. Financiero'!$O$5:$O$1000,$AH224),INDEX('Cronograma Asistente Técnico'!$O$5:$O$1000,$AH224))&amp;"",IF(ISNUMBER($G224),IF(AND(ISNUMBER($AN224),$G224&gt;$AN224),"Cumplida con "&amp;($G224-$AN224)&amp;IF($G224-$AN224=1," día"," días")&amp;" de retraso","Cumplida"),IF(N($M224)&gt;=1,"Cumplida",IF(NOT(ISNUMBER($AN224)),"Sin fecha límite",IF($AN224&lt;FechaRef,"Vencida hace "&amp;(FechaRef-$AN224)&amp;IF(FechaRef-$AN224=1," día"," días"),IF($AN224=FechaRef,"Vence hoy",IF($AN224-FechaRef&lt;=DiasAlerta,"Vence en "&amp;($AN224-FechaRef)&amp;IF($AN224-FechaRef=1," día"," días"),"En plazo"))))))))</f>
        <v/>
      </c>
      <c r="P224" s="62">
        <f>IF(NOT((COUNTA($B224:$D224)+COUNTA($G224:$L224)+COUNTA($Q224))&gt;0),"",IF($D224="","Propia",IF($V224&lt;&gt;"Macro","Solo se delegan macroactividades",IF(N($AH224)&gt;0,"✔ Recibida por "&amp;$D224,"⚠ "&amp;$D224&amp;" aún no la agrega"))))</f>
        <v/>
      </c>
      <c r="Q224" s="58" t="n"/>
      <c r="R224" s="63">
        <f>IF(NOT((COUNTA($B224:$D224)+COUNTA($G224:$L224)+COUNTA($Q224))&gt;0),"",IF((IF($C224="","Falta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",""))="","✔ OK","⚠ "&amp;LEFT(IF($C224="","Falta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",""),LEN(IF($C224="","Falta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",""))-3)))</f>
        <v/>
      </c>
      <c r="S224" s="64">
        <f>IF(NOT((COUNTA($B224:$D224)+COUNTA($G224:$L224)+COUNTA($Q224))&gt;0),"",IF(AND($V224="Sub",N($U224)&gt;0),IF(ISNUMBER(INDEX($AM$5:$AM$1000,$U224-4)),DATE(YEAR(INDEX($AM$5:$AM$1000,$U224-4)),MONTH(INDEX($AM$5:$AM$1000,$U224-4)),1),IF(ISNUMBER(INDEX($AN$5:$AN$1000,$U224-4)),DATE(YEAR(INDEX($AN$5:$AN$1000,$U224-4)),MONTH(INDEX($AN$5:$AN$1000,$U224-4)),1),MesCiclo)),IF(ISNUMBER($AM224),DATE(YEAR($AM224),MONTH($AM224),1),IF(ISNUMBER($AN224),DATE(YEAR($AN224),MONTH($AN224),1),MesCiclo))))</f>
        <v/>
      </c>
      <c r="T224" s="62">
        <f>IF(OR($S224="",$S224&lt;&gt;MesCiclo),"",COUNTIF($S$5:$S224,MesCiclo))</f>
        <v/>
      </c>
      <c r="U224" s="62">
        <f>IF($V224="","",IF($V224="Macro",ROW(),IFERROR(LOOKUP(2,1/($V$5:$V224="Macro"),ROW($V$5:$V224)),0)))</f>
        <v/>
      </c>
      <c r="V224" s="62">
        <f>IF(NOT((COUNTA($B224:$D224)+COUNTA($G224:$L224)+COUNTA($Q224))&gt;0),"",IF($B224="Subactividad","Sub","Macro"))</f>
        <v/>
      </c>
      <c r="W224" s="62">
        <f>IF($V224="Macro",COUNTIFS($U$5:$U$1000,ROW(),$V$5:$V$1000,"Sub"),"")</f>
        <v/>
      </c>
      <c r="X224" s="62">
        <f>IF($V224="","",IF(ISNUMBER($G224),1,IFERROR(LOOKUP(2,1/($I224:$L224&lt;&gt;""),$I224:$L224),0)))</f>
        <v/>
      </c>
      <c r="Y224" s="62">
        <f>IF($V224="","",IF(AND(ISNUMBER($G224),$G224&lt;=IF($S224=MesCiclo,InicioCiclo,$S224+MOD(2-WEEKDAY($S224),7))+6),1,IF(ISNUMBER($I224),$I224,0)))</f>
        <v/>
      </c>
      <c r="Z224" s="62">
        <f>IF($V224="","",IF(AND(ISNUMBER($G224),$G224&lt;=IF($S224=MesCiclo,InicioCiclo,$S224+MOD(2-WEEKDAY($S224),7))+13),1,IF(ISNUMBER($J224),$J224,$Y224)))</f>
        <v/>
      </c>
      <c r="AA224" s="62">
        <f>IF($V224="","",IF(AND(ISNUMBER($G224),$G224&lt;=IF($S224=MesCiclo,InicioCiclo,$S224+MOD(2-WEEKDAY($S224),7))+20),1,IF(ISNUMBER($K224),$K224,$Z224)))</f>
        <v/>
      </c>
      <c r="AB224" s="62">
        <f>IF($V224="","",IF(AND(ISNUMBER($G224),$G224&lt;=IF($S224=MesCiclo,InicioCiclo,$S224+MOD(2-WEEKDAY($S224),7))+27),1,IF(ISNUMBER($L224),$L224,$AA224)))</f>
        <v/>
      </c>
      <c r="AC224" s="62">
        <f>IF($V224="","",IF(AND(ISNUMBER($G224),$G224&lt;=IF($S224=MesCiclo,InicioCiclo,$S224+MOD(2-WEEKDAY($S224),7))+6),1,IF(N($W224)&gt;0,AVERAGEIFS($Y$5:$Y$1000,$U$5:$U$1000,ROW(),$V$5:$V$1000,"Sub"),$Y224)))</f>
        <v/>
      </c>
      <c r="AD224" s="62">
        <f>IF($V224="","",IF(AND(ISNUMBER($G224),$G224&lt;=IF($S224=MesCiclo,InicioCiclo,$S224+MOD(2-WEEKDAY($S224),7))+13),1,IF(N($W224)&gt;0,AVERAGEIFS($Z$5:$Z$1000,$U$5:$U$1000,ROW(),$V$5:$V$1000,"Sub"),$Z224)))</f>
        <v/>
      </c>
      <c r="AE224" s="62">
        <f>IF($V224="","",IF(AND(ISNUMBER($G224),$G224&lt;=IF($S224=MesCiclo,InicioCiclo,$S224+MOD(2-WEEKDAY($S224),7))+20),1,IF(N($W224)&gt;0,AVERAGEIFS($AA$5:$AA$1000,$U$5:$U$1000,ROW(),$V$5:$V$1000,"Sub"),$AA224)))</f>
        <v/>
      </c>
      <c r="AF224" s="62">
        <f>IF($V224="","",IF(AND(ISNUMBER($G224),$G224&lt;=IF($S224=MesCiclo,InicioCiclo,$S224+MOD(2-WEEKDAY($S224),7))+27),1,IF(N($W224)&gt;0,AVERAGEIFS($AB$5:$AB$1000,$U$5:$U$1000,ROW(),$V$5:$V$1000,"Sub"),$AB224)))</f>
        <v/>
      </c>
      <c r="AG224" s="62">
        <f>IF($V224&lt;&gt;"Macro","",IF(COUNTIFS($S$5:$S$1000,$S224,$V$5:$V$1000,"Macro",$H$5:$H$1000,"&gt;0")=0,1/COUNTIFS($S$5:$S$1000,$S224,$V$5:$V$1000,"Macro"),IF(AND(ISNUMBER($H224),N($H224)&gt;0),$H224,SUMIFS($H$5:$H$1000,$S$5:$S$1000,$S224,$V$5:$V$1000,"Macro")/COUNTIFS($S$5:$S$1000,$S224,$V$5:$V$1000,"Macro",$H$5:$H$1000,"&gt;0"))/(COUNTIFS($S$5:$S$1000,$S224,$V$5:$V$1000,"Macro")*SUMIFS($H$5:$H$1000,$S$5:$S$1000,$S224,$V$5:$V$1000,"Macro")/COUNTIFS($S$5:$S$1000,$S224,$V$5:$V$1000,"Macro",$H$5:$H$1000,"&gt;0"))))</f>
        <v/>
      </c>
      <c r="AH224" s="62">
        <f>IF(NOT(AND($D224&lt;&gt;"",$V224="Macro")),"",IFERROR(CHOOSE(MATCH($D224,ListaPuestos,0),MATCH("[Jefatura] "&amp;$C224,'Cronograma R. Operacional'!$C$5:$C$1000,0),MATCH("[Jefatura] "&amp;$C224,'Cronograma R. Normativo'!$C$5:$C$1000,0),MATCH("[Jefatura] "&amp;$C224,'Cronograma R. Financiero'!$C$5:$C$1000,0),MATCH("[Jefatura] "&amp;$C224,'Cronograma Asistente Técnico'!$C$5:$C$1000,0)),0))</f>
        <v/>
      </c>
      <c r="AI224" s="62">
        <f>IF(AND(AND($D224&lt;&gt;"",$V224="Macro"),$S224=MesCiclo),COUNTIFS($D$5:$D224,$D224,$S$5:$S224,MesCiclo,$V$5:$V224,"Macro"),"")</f>
        <v/>
      </c>
      <c r="AJ224" s="62">
        <f>IF($AI224="","",$D224&amp;"|"&amp;$AI224)</f>
        <v/>
      </c>
      <c r="AK224" s="62">
        <f>IF(AND($D224&lt;&gt;"",$V224="Macro"),$D224&amp;"|"&amp;$C224,"")</f>
        <v/>
      </c>
      <c r="AL224" s="62">
        <f>""</f>
        <v/>
      </c>
      <c r="AM224" s="62">
        <f>IF(N($AL224)&gt;0,INDEX(rIni_ADM,$AL224),IF(ISNUMBER($E224),$E224,""))</f>
        <v/>
      </c>
      <c r="AN224" s="62">
        <f>IF(N($AL224)&gt;0,INDEX(rLim_ADM,$AL224),IF(ISNUMBER($F224),$F224,""))</f>
        <v/>
      </c>
    </row>
    <row r="225">
      <c r="A225" s="56">
        <f>IF(NOT((COUNTA($B225:$D225)+COUNTA($G225:$L225)+COUNTA($Q225))&gt;0),"",IF($V225="Macro",COUNTIFS($V$5:$V225,"Macro",$S$5:$S225,$S225),IF(N($U225)=0,"?",COUNTIFS(INDEX($V$5:$V$1000,1):INDEX($V$5:$V$1000,$U225-4),"Macro",INDEX($S$5:$S$1000,1):INDEX($S$5:$S$1000,$U225-4),INDEX($S$5:$S$1000,$U225-4))&amp;"."&amp;COUNTIFS($U$5:$U225,$U225,$V$5:$V225,"Sub"))))</f>
        <v/>
      </c>
      <c r="B225" s="57" t="n"/>
      <c r="C225" s="58" t="n"/>
      <c r="D225" s="58" t="n"/>
      <c r="E225" s="59" t="n"/>
      <c r="F225" s="59" t="n"/>
      <c r="G225" s="59" t="n"/>
      <c r="H225" s="60" t="n"/>
      <c r="I225" s="60" t="n"/>
      <c r="J225" s="60" t="n"/>
      <c r="K225" s="60" t="n"/>
      <c r="L225" s="60" t="n"/>
      <c r="M225" s="61">
        <f>IF(NOT((COUNTA($B225:$D225)+COUNTA($G225:$L225)+COUNTA($Q225))&gt;0),"",IF(AND($D225&lt;&gt;"",$V225="Macro"),IF(N($AH225)&gt;0,N(CHOOSE(MATCH($D225,ListaPuestos,0),INDEX('Cronograma R. Operacional'!$M$5:$M$1000,$AH225),INDEX('Cronograma R. Normativo'!$M$5:$M$1000,$AH225),INDEX('Cronograma R. Financiero'!$M$5:$M$1000,$AH225),INDEX('Cronograma Asistente Técnico'!$M$5:$M$1000,$AH225))),0),IF(ISNUMBER($G225),1,IF(N($W225)&gt;0,AVERAGEIFS($X$5:$X$1000,$U$5:$U$1000,ROW(),$V$5:$V$1000,"Sub"),$X225))))</f>
        <v/>
      </c>
      <c r="N225" s="56">
        <f>IF($M225="","",IF($M225&gt;=1,"Completado",IF($M225&gt;0,"En curso","Pendiente")))</f>
        <v/>
      </c>
      <c r="O225" s="56">
        <f>IF(NOT((COUNTA($B225:$D225)+COUNTA($G225:$L225)+COUNTA($Q225))&gt;0),"",IF(AND(AND($D225&lt;&gt;"",$V225="Macro"),N($AH225)&gt;0),CHOOSE(MATCH($D225,ListaPuestos,0),INDEX('Cronograma R. Operacional'!$O$5:$O$1000,$AH225),INDEX('Cronograma R. Normativo'!$O$5:$O$1000,$AH225),INDEX('Cronograma R. Financiero'!$O$5:$O$1000,$AH225),INDEX('Cronograma Asistente Técnico'!$O$5:$O$1000,$AH225))&amp;"",IF(ISNUMBER($G225),IF(AND(ISNUMBER($AN225),$G225&gt;$AN225),"Cumplida con "&amp;($G225-$AN225)&amp;IF($G225-$AN225=1," día"," días")&amp;" de retraso","Cumplida"),IF(N($M225)&gt;=1,"Cumplida",IF(NOT(ISNUMBER($AN225)),"Sin fecha límite",IF($AN225&lt;FechaRef,"Vencida hace "&amp;(FechaRef-$AN225)&amp;IF(FechaRef-$AN225=1," día"," días"),IF($AN225=FechaRef,"Vence hoy",IF($AN225-FechaRef&lt;=DiasAlerta,"Vence en "&amp;($AN225-FechaRef)&amp;IF($AN225-FechaRef=1," día"," días"),"En plazo"))))))))</f>
        <v/>
      </c>
      <c r="P225" s="62">
        <f>IF(NOT((COUNTA($B225:$D225)+COUNTA($G225:$L225)+COUNTA($Q225))&gt;0),"",IF($D225="","Propia",IF($V225&lt;&gt;"Macro","Solo se delegan macroactividades",IF(N($AH225)&gt;0,"✔ Recibida por "&amp;$D225,"⚠ "&amp;$D225&amp;" aún no la agrega"))))</f>
        <v/>
      </c>
      <c r="Q225" s="58" t="n"/>
      <c r="R225" s="63">
        <f>IF(NOT((COUNTA($B225:$D225)+COUNTA($G225:$L225)+COUNTA($Q225))&gt;0),"",IF((IF($C225="","Falta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",""))="","✔ OK","⚠ "&amp;LEFT(IF($C225="","Falta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",""),LEN(IF($C225="","Falta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",""))-3)))</f>
        <v/>
      </c>
      <c r="S225" s="64">
        <f>IF(NOT((COUNTA($B225:$D225)+COUNTA($G225:$L225)+COUNTA($Q225))&gt;0),"",IF(AND($V225="Sub",N($U225)&gt;0),IF(ISNUMBER(INDEX($AM$5:$AM$1000,$U225-4)),DATE(YEAR(INDEX($AM$5:$AM$1000,$U225-4)),MONTH(INDEX($AM$5:$AM$1000,$U225-4)),1),IF(ISNUMBER(INDEX($AN$5:$AN$1000,$U225-4)),DATE(YEAR(INDEX($AN$5:$AN$1000,$U225-4)),MONTH(INDEX($AN$5:$AN$1000,$U225-4)),1),MesCiclo)),IF(ISNUMBER($AM225),DATE(YEAR($AM225),MONTH($AM225),1),IF(ISNUMBER($AN225),DATE(YEAR($AN225),MONTH($AN225),1),MesCiclo))))</f>
        <v/>
      </c>
      <c r="T225" s="62">
        <f>IF(OR($S225="",$S225&lt;&gt;MesCiclo),"",COUNTIF($S$5:$S225,MesCiclo))</f>
        <v/>
      </c>
      <c r="U225" s="62">
        <f>IF($V225="","",IF($V225="Macro",ROW(),IFERROR(LOOKUP(2,1/($V$5:$V225="Macro"),ROW($V$5:$V225)),0)))</f>
        <v/>
      </c>
      <c r="V225" s="62">
        <f>IF(NOT((COUNTA($B225:$D225)+COUNTA($G225:$L225)+COUNTA($Q225))&gt;0),"",IF($B225="Subactividad","Sub","Macro"))</f>
        <v/>
      </c>
      <c r="W225" s="62">
        <f>IF($V225="Macro",COUNTIFS($U$5:$U$1000,ROW(),$V$5:$V$1000,"Sub"),"")</f>
        <v/>
      </c>
      <c r="X225" s="62">
        <f>IF($V225="","",IF(ISNUMBER($G225),1,IFERROR(LOOKUP(2,1/($I225:$L225&lt;&gt;""),$I225:$L225),0)))</f>
        <v/>
      </c>
      <c r="Y225" s="62">
        <f>IF($V225="","",IF(AND(ISNUMBER($G225),$G225&lt;=IF($S225=MesCiclo,InicioCiclo,$S225+MOD(2-WEEKDAY($S225),7))+6),1,IF(ISNUMBER($I225),$I225,0)))</f>
        <v/>
      </c>
      <c r="Z225" s="62">
        <f>IF($V225="","",IF(AND(ISNUMBER($G225),$G225&lt;=IF($S225=MesCiclo,InicioCiclo,$S225+MOD(2-WEEKDAY($S225),7))+13),1,IF(ISNUMBER($J225),$J225,$Y225)))</f>
        <v/>
      </c>
      <c r="AA225" s="62">
        <f>IF($V225="","",IF(AND(ISNUMBER($G225),$G225&lt;=IF($S225=MesCiclo,InicioCiclo,$S225+MOD(2-WEEKDAY($S225),7))+20),1,IF(ISNUMBER($K225),$K225,$Z225)))</f>
        <v/>
      </c>
      <c r="AB225" s="62">
        <f>IF($V225="","",IF(AND(ISNUMBER($G225),$G225&lt;=IF($S225=MesCiclo,InicioCiclo,$S225+MOD(2-WEEKDAY($S225),7))+27),1,IF(ISNUMBER($L225),$L225,$AA225)))</f>
        <v/>
      </c>
      <c r="AC225" s="62">
        <f>IF($V225="","",IF(AND(ISNUMBER($G225),$G225&lt;=IF($S225=MesCiclo,InicioCiclo,$S225+MOD(2-WEEKDAY($S225),7))+6),1,IF(N($W225)&gt;0,AVERAGEIFS($Y$5:$Y$1000,$U$5:$U$1000,ROW(),$V$5:$V$1000,"Sub"),$Y225)))</f>
        <v/>
      </c>
      <c r="AD225" s="62">
        <f>IF($V225="","",IF(AND(ISNUMBER($G225),$G225&lt;=IF($S225=MesCiclo,InicioCiclo,$S225+MOD(2-WEEKDAY($S225),7))+13),1,IF(N($W225)&gt;0,AVERAGEIFS($Z$5:$Z$1000,$U$5:$U$1000,ROW(),$V$5:$V$1000,"Sub"),$Z225)))</f>
        <v/>
      </c>
      <c r="AE225" s="62">
        <f>IF($V225="","",IF(AND(ISNUMBER($G225),$G225&lt;=IF($S225=MesCiclo,InicioCiclo,$S225+MOD(2-WEEKDAY($S225),7))+20),1,IF(N($W225)&gt;0,AVERAGEIFS($AA$5:$AA$1000,$U$5:$U$1000,ROW(),$V$5:$V$1000,"Sub"),$AA225)))</f>
        <v/>
      </c>
      <c r="AF225" s="62">
        <f>IF($V225="","",IF(AND(ISNUMBER($G225),$G225&lt;=IF($S225=MesCiclo,InicioCiclo,$S225+MOD(2-WEEKDAY($S225),7))+27),1,IF(N($W225)&gt;0,AVERAGEIFS($AB$5:$AB$1000,$U$5:$U$1000,ROW(),$V$5:$V$1000,"Sub"),$AB225)))</f>
        <v/>
      </c>
      <c r="AG225" s="62">
        <f>IF($V225&lt;&gt;"Macro","",IF(COUNTIFS($S$5:$S$1000,$S225,$V$5:$V$1000,"Macro",$H$5:$H$1000,"&gt;0")=0,1/COUNTIFS($S$5:$S$1000,$S225,$V$5:$V$1000,"Macro"),IF(AND(ISNUMBER($H225),N($H225)&gt;0),$H225,SUMIFS($H$5:$H$1000,$S$5:$S$1000,$S225,$V$5:$V$1000,"Macro")/COUNTIFS($S$5:$S$1000,$S225,$V$5:$V$1000,"Macro",$H$5:$H$1000,"&gt;0"))/(COUNTIFS($S$5:$S$1000,$S225,$V$5:$V$1000,"Macro")*SUMIFS($H$5:$H$1000,$S$5:$S$1000,$S225,$V$5:$V$1000,"Macro")/COUNTIFS($S$5:$S$1000,$S225,$V$5:$V$1000,"Macro",$H$5:$H$1000,"&gt;0"))))</f>
        <v/>
      </c>
      <c r="AH225" s="62">
        <f>IF(NOT(AND($D225&lt;&gt;"",$V225="Macro")),"",IFERROR(CHOOSE(MATCH($D225,ListaPuestos,0),MATCH("[Jefatura] "&amp;$C225,'Cronograma R. Operacional'!$C$5:$C$1000,0),MATCH("[Jefatura] "&amp;$C225,'Cronograma R. Normativo'!$C$5:$C$1000,0),MATCH("[Jefatura] "&amp;$C225,'Cronograma R. Financiero'!$C$5:$C$1000,0),MATCH("[Jefatura] "&amp;$C225,'Cronograma Asistente Técnico'!$C$5:$C$1000,0)),0))</f>
        <v/>
      </c>
      <c r="AI225" s="62">
        <f>IF(AND(AND($D225&lt;&gt;"",$V225="Macro"),$S225=MesCiclo),COUNTIFS($D$5:$D225,$D225,$S$5:$S225,MesCiclo,$V$5:$V225,"Macro"),"")</f>
        <v/>
      </c>
      <c r="AJ225" s="62">
        <f>IF($AI225="","",$D225&amp;"|"&amp;$AI225)</f>
        <v/>
      </c>
      <c r="AK225" s="62">
        <f>IF(AND($D225&lt;&gt;"",$V225="Macro"),$D225&amp;"|"&amp;$C225,"")</f>
        <v/>
      </c>
      <c r="AL225" s="62">
        <f>""</f>
        <v/>
      </c>
      <c r="AM225" s="62">
        <f>IF(N($AL225)&gt;0,INDEX(rIni_ADM,$AL225),IF(ISNUMBER($E225),$E225,""))</f>
        <v/>
      </c>
      <c r="AN225" s="62">
        <f>IF(N($AL225)&gt;0,INDEX(rLim_ADM,$AL225),IF(ISNUMBER($F225),$F225,""))</f>
        <v/>
      </c>
    </row>
    <row r="226">
      <c r="A226" s="56">
        <f>IF(NOT((COUNTA($B226:$D226)+COUNTA($G226:$L226)+COUNTA($Q226))&gt;0),"",IF($V226="Macro",COUNTIFS($V$5:$V226,"Macro",$S$5:$S226,$S226),IF(N($U226)=0,"?",COUNTIFS(INDEX($V$5:$V$1000,1):INDEX($V$5:$V$1000,$U226-4),"Macro",INDEX($S$5:$S$1000,1):INDEX($S$5:$S$1000,$U226-4),INDEX($S$5:$S$1000,$U226-4))&amp;"."&amp;COUNTIFS($U$5:$U226,$U226,$V$5:$V226,"Sub"))))</f>
        <v/>
      </c>
      <c r="B226" s="57" t="n"/>
      <c r="C226" s="58" t="n"/>
      <c r="D226" s="58" t="n"/>
      <c r="E226" s="59" t="n"/>
      <c r="F226" s="59" t="n"/>
      <c r="G226" s="59" t="n"/>
      <c r="H226" s="60" t="n"/>
      <c r="I226" s="60" t="n"/>
      <c r="J226" s="60" t="n"/>
      <c r="K226" s="60" t="n"/>
      <c r="L226" s="60" t="n"/>
      <c r="M226" s="61">
        <f>IF(NOT((COUNTA($B226:$D226)+COUNTA($G226:$L226)+COUNTA($Q226))&gt;0),"",IF(AND($D226&lt;&gt;"",$V226="Macro"),IF(N($AH226)&gt;0,N(CHOOSE(MATCH($D226,ListaPuestos,0),INDEX('Cronograma R. Operacional'!$M$5:$M$1000,$AH226),INDEX('Cronograma R. Normativo'!$M$5:$M$1000,$AH226),INDEX('Cronograma R. Financiero'!$M$5:$M$1000,$AH226),INDEX('Cronograma Asistente Técnico'!$M$5:$M$1000,$AH226))),0),IF(ISNUMBER($G226),1,IF(N($W226)&gt;0,AVERAGEIFS($X$5:$X$1000,$U$5:$U$1000,ROW(),$V$5:$V$1000,"Sub"),$X226))))</f>
        <v/>
      </c>
      <c r="N226" s="56">
        <f>IF($M226="","",IF($M226&gt;=1,"Completado",IF($M226&gt;0,"En curso","Pendiente")))</f>
        <v/>
      </c>
      <c r="O226" s="56">
        <f>IF(NOT((COUNTA($B226:$D226)+COUNTA($G226:$L226)+COUNTA($Q226))&gt;0),"",IF(AND(AND($D226&lt;&gt;"",$V226="Macro"),N($AH226)&gt;0),CHOOSE(MATCH($D226,ListaPuestos,0),INDEX('Cronograma R. Operacional'!$O$5:$O$1000,$AH226),INDEX('Cronograma R. Normativo'!$O$5:$O$1000,$AH226),INDEX('Cronograma R. Financiero'!$O$5:$O$1000,$AH226),INDEX('Cronograma Asistente Técnico'!$O$5:$O$1000,$AH226))&amp;"",IF(ISNUMBER($G226),IF(AND(ISNUMBER($AN226),$G226&gt;$AN226),"Cumplida con "&amp;($G226-$AN226)&amp;IF($G226-$AN226=1," día"," días")&amp;" de retraso","Cumplida"),IF(N($M226)&gt;=1,"Cumplida",IF(NOT(ISNUMBER($AN226)),"Sin fecha límite",IF($AN226&lt;FechaRef,"Vencida hace "&amp;(FechaRef-$AN226)&amp;IF(FechaRef-$AN226=1," día"," días"),IF($AN226=FechaRef,"Vence hoy",IF($AN226-FechaRef&lt;=DiasAlerta,"Vence en "&amp;($AN226-FechaRef)&amp;IF($AN226-FechaRef=1," día"," días"),"En plazo"))))))))</f>
        <v/>
      </c>
      <c r="P226" s="62">
        <f>IF(NOT((COUNTA($B226:$D226)+COUNTA($G226:$L226)+COUNTA($Q226))&gt;0),"",IF($D226="","Propia",IF($V226&lt;&gt;"Macro","Solo se delegan macroactividades",IF(N($AH226)&gt;0,"✔ Recibida por "&amp;$D226,"⚠ "&amp;$D226&amp;" aún no la agrega"))))</f>
        <v/>
      </c>
      <c r="Q226" s="58" t="n"/>
      <c r="R226" s="63">
        <f>IF(NOT((COUNTA($B226:$D226)+COUNTA($G226:$L226)+COUNTA($Q226))&gt;0),"",IF((IF($C226="","Falta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",""))="","✔ OK","⚠ "&amp;LEFT(IF($C226="","Falta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",""),LEN(IF($C226="","Falta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",""))-3)))</f>
        <v/>
      </c>
      <c r="S226" s="64">
        <f>IF(NOT((COUNTA($B226:$D226)+COUNTA($G226:$L226)+COUNTA($Q226))&gt;0),"",IF(AND($V226="Sub",N($U226)&gt;0),IF(ISNUMBER(INDEX($AM$5:$AM$1000,$U226-4)),DATE(YEAR(INDEX($AM$5:$AM$1000,$U226-4)),MONTH(INDEX($AM$5:$AM$1000,$U226-4)),1),IF(ISNUMBER(INDEX($AN$5:$AN$1000,$U226-4)),DATE(YEAR(INDEX($AN$5:$AN$1000,$U226-4)),MONTH(INDEX($AN$5:$AN$1000,$U226-4)),1),MesCiclo)),IF(ISNUMBER($AM226),DATE(YEAR($AM226),MONTH($AM226),1),IF(ISNUMBER($AN226),DATE(YEAR($AN226),MONTH($AN226),1),MesCiclo))))</f>
        <v/>
      </c>
      <c r="T226" s="62">
        <f>IF(OR($S226="",$S226&lt;&gt;MesCiclo),"",COUNTIF($S$5:$S226,MesCiclo))</f>
        <v/>
      </c>
      <c r="U226" s="62">
        <f>IF($V226="","",IF($V226="Macro",ROW(),IFERROR(LOOKUP(2,1/($V$5:$V226="Macro"),ROW($V$5:$V226)),0)))</f>
        <v/>
      </c>
      <c r="V226" s="62">
        <f>IF(NOT((COUNTA($B226:$D226)+COUNTA($G226:$L226)+COUNTA($Q226))&gt;0),"",IF($B226="Subactividad","Sub","Macro"))</f>
        <v/>
      </c>
      <c r="W226" s="62">
        <f>IF($V226="Macro",COUNTIFS($U$5:$U$1000,ROW(),$V$5:$V$1000,"Sub"),"")</f>
        <v/>
      </c>
      <c r="X226" s="62">
        <f>IF($V226="","",IF(ISNUMBER($G226),1,IFERROR(LOOKUP(2,1/($I226:$L226&lt;&gt;""),$I226:$L226),0)))</f>
        <v/>
      </c>
      <c r="Y226" s="62">
        <f>IF($V226="","",IF(AND(ISNUMBER($G226),$G226&lt;=IF($S226=MesCiclo,InicioCiclo,$S226+MOD(2-WEEKDAY($S226),7))+6),1,IF(ISNUMBER($I226),$I226,0)))</f>
        <v/>
      </c>
      <c r="Z226" s="62">
        <f>IF($V226="","",IF(AND(ISNUMBER($G226),$G226&lt;=IF($S226=MesCiclo,InicioCiclo,$S226+MOD(2-WEEKDAY($S226),7))+13),1,IF(ISNUMBER($J226),$J226,$Y226)))</f>
        <v/>
      </c>
      <c r="AA226" s="62">
        <f>IF($V226="","",IF(AND(ISNUMBER($G226),$G226&lt;=IF($S226=MesCiclo,InicioCiclo,$S226+MOD(2-WEEKDAY($S226),7))+20),1,IF(ISNUMBER($K226),$K226,$Z226)))</f>
        <v/>
      </c>
      <c r="AB226" s="62">
        <f>IF($V226="","",IF(AND(ISNUMBER($G226),$G226&lt;=IF($S226=MesCiclo,InicioCiclo,$S226+MOD(2-WEEKDAY($S226),7))+27),1,IF(ISNUMBER($L226),$L226,$AA226)))</f>
        <v/>
      </c>
      <c r="AC226" s="62">
        <f>IF($V226="","",IF(AND(ISNUMBER($G226),$G226&lt;=IF($S226=MesCiclo,InicioCiclo,$S226+MOD(2-WEEKDAY($S226),7))+6),1,IF(N($W226)&gt;0,AVERAGEIFS($Y$5:$Y$1000,$U$5:$U$1000,ROW(),$V$5:$V$1000,"Sub"),$Y226)))</f>
        <v/>
      </c>
      <c r="AD226" s="62">
        <f>IF($V226="","",IF(AND(ISNUMBER($G226),$G226&lt;=IF($S226=MesCiclo,InicioCiclo,$S226+MOD(2-WEEKDAY($S226),7))+13),1,IF(N($W226)&gt;0,AVERAGEIFS($Z$5:$Z$1000,$U$5:$U$1000,ROW(),$V$5:$V$1000,"Sub"),$Z226)))</f>
        <v/>
      </c>
      <c r="AE226" s="62">
        <f>IF($V226="","",IF(AND(ISNUMBER($G226),$G226&lt;=IF($S226=MesCiclo,InicioCiclo,$S226+MOD(2-WEEKDAY($S226),7))+20),1,IF(N($W226)&gt;0,AVERAGEIFS($AA$5:$AA$1000,$U$5:$U$1000,ROW(),$V$5:$V$1000,"Sub"),$AA226)))</f>
        <v/>
      </c>
      <c r="AF226" s="62">
        <f>IF($V226="","",IF(AND(ISNUMBER($G226),$G226&lt;=IF($S226=MesCiclo,InicioCiclo,$S226+MOD(2-WEEKDAY($S226),7))+27),1,IF(N($W226)&gt;0,AVERAGEIFS($AB$5:$AB$1000,$U$5:$U$1000,ROW(),$V$5:$V$1000,"Sub"),$AB226)))</f>
        <v/>
      </c>
      <c r="AG226" s="62">
        <f>IF($V226&lt;&gt;"Macro","",IF(COUNTIFS($S$5:$S$1000,$S226,$V$5:$V$1000,"Macro",$H$5:$H$1000,"&gt;0")=0,1/COUNTIFS($S$5:$S$1000,$S226,$V$5:$V$1000,"Macro"),IF(AND(ISNUMBER($H226),N($H226)&gt;0),$H226,SUMIFS($H$5:$H$1000,$S$5:$S$1000,$S226,$V$5:$V$1000,"Macro")/COUNTIFS($S$5:$S$1000,$S226,$V$5:$V$1000,"Macro",$H$5:$H$1000,"&gt;0"))/(COUNTIFS($S$5:$S$1000,$S226,$V$5:$V$1000,"Macro")*SUMIFS($H$5:$H$1000,$S$5:$S$1000,$S226,$V$5:$V$1000,"Macro")/COUNTIFS($S$5:$S$1000,$S226,$V$5:$V$1000,"Macro",$H$5:$H$1000,"&gt;0"))))</f>
        <v/>
      </c>
      <c r="AH226" s="62">
        <f>IF(NOT(AND($D226&lt;&gt;"",$V226="Macro")),"",IFERROR(CHOOSE(MATCH($D226,ListaPuestos,0),MATCH("[Jefatura] "&amp;$C226,'Cronograma R. Operacional'!$C$5:$C$1000,0),MATCH("[Jefatura] "&amp;$C226,'Cronograma R. Normativo'!$C$5:$C$1000,0),MATCH("[Jefatura] "&amp;$C226,'Cronograma R. Financiero'!$C$5:$C$1000,0),MATCH("[Jefatura] "&amp;$C226,'Cronograma Asistente Técnico'!$C$5:$C$1000,0)),0))</f>
        <v/>
      </c>
      <c r="AI226" s="62">
        <f>IF(AND(AND($D226&lt;&gt;"",$V226="Macro"),$S226=MesCiclo),COUNTIFS($D$5:$D226,$D226,$S$5:$S226,MesCiclo,$V$5:$V226,"Macro"),"")</f>
        <v/>
      </c>
      <c r="AJ226" s="62">
        <f>IF($AI226="","",$D226&amp;"|"&amp;$AI226)</f>
        <v/>
      </c>
      <c r="AK226" s="62">
        <f>IF(AND($D226&lt;&gt;"",$V226="Macro"),$D226&amp;"|"&amp;$C226,"")</f>
        <v/>
      </c>
      <c r="AL226" s="62">
        <f>""</f>
        <v/>
      </c>
      <c r="AM226" s="62">
        <f>IF(N($AL226)&gt;0,INDEX(rIni_ADM,$AL226),IF(ISNUMBER($E226),$E226,""))</f>
        <v/>
      </c>
      <c r="AN226" s="62">
        <f>IF(N($AL226)&gt;0,INDEX(rLim_ADM,$AL226),IF(ISNUMBER($F226),$F226,""))</f>
        <v/>
      </c>
    </row>
    <row r="227">
      <c r="A227" s="56">
        <f>IF(NOT((COUNTA($B227:$D227)+COUNTA($G227:$L227)+COUNTA($Q227))&gt;0),"",IF($V227="Macro",COUNTIFS($V$5:$V227,"Macro",$S$5:$S227,$S227),IF(N($U227)=0,"?",COUNTIFS(INDEX($V$5:$V$1000,1):INDEX($V$5:$V$1000,$U227-4),"Macro",INDEX($S$5:$S$1000,1):INDEX($S$5:$S$1000,$U227-4),INDEX($S$5:$S$1000,$U227-4))&amp;"."&amp;COUNTIFS($U$5:$U227,$U227,$V$5:$V227,"Sub"))))</f>
        <v/>
      </c>
      <c r="B227" s="57" t="n"/>
      <c r="C227" s="58" t="n"/>
      <c r="D227" s="58" t="n"/>
      <c r="E227" s="59" t="n"/>
      <c r="F227" s="59" t="n"/>
      <c r="G227" s="59" t="n"/>
      <c r="H227" s="60" t="n"/>
      <c r="I227" s="60" t="n"/>
      <c r="J227" s="60" t="n"/>
      <c r="K227" s="60" t="n"/>
      <c r="L227" s="60" t="n"/>
      <c r="M227" s="61">
        <f>IF(NOT((COUNTA($B227:$D227)+COUNTA($G227:$L227)+COUNTA($Q227))&gt;0),"",IF(AND($D227&lt;&gt;"",$V227="Macro"),IF(N($AH227)&gt;0,N(CHOOSE(MATCH($D227,ListaPuestos,0),INDEX('Cronograma R. Operacional'!$M$5:$M$1000,$AH227),INDEX('Cronograma R. Normativo'!$M$5:$M$1000,$AH227),INDEX('Cronograma R. Financiero'!$M$5:$M$1000,$AH227),INDEX('Cronograma Asistente Técnico'!$M$5:$M$1000,$AH227))),0),IF(ISNUMBER($G227),1,IF(N($W227)&gt;0,AVERAGEIFS($X$5:$X$1000,$U$5:$U$1000,ROW(),$V$5:$V$1000,"Sub"),$X227))))</f>
        <v/>
      </c>
      <c r="N227" s="56">
        <f>IF($M227="","",IF($M227&gt;=1,"Completado",IF($M227&gt;0,"En curso","Pendiente")))</f>
        <v/>
      </c>
      <c r="O227" s="56">
        <f>IF(NOT((COUNTA($B227:$D227)+COUNTA($G227:$L227)+COUNTA($Q227))&gt;0),"",IF(AND(AND($D227&lt;&gt;"",$V227="Macro"),N($AH227)&gt;0),CHOOSE(MATCH($D227,ListaPuestos,0),INDEX('Cronograma R. Operacional'!$O$5:$O$1000,$AH227),INDEX('Cronograma R. Normativo'!$O$5:$O$1000,$AH227),INDEX('Cronograma R. Financiero'!$O$5:$O$1000,$AH227),INDEX('Cronograma Asistente Técnico'!$O$5:$O$1000,$AH227))&amp;"",IF(ISNUMBER($G227),IF(AND(ISNUMBER($AN227),$G227&gt;$AN227),"Cumplida con "&amp;($G227-$AN227)&amp;IF($G227-$AN227=1," día"," días")&amp;" de retraso","Cumplida"),IF(N($M227)&gt;=1,"Cumplida",IF(NOT(ISNUMBER($AN227)),"Sin fecha límite",IF($AN227&lt;FechaRef,"Vencida hace "&amp;(FechaRef-$AN227)&amp;IF(FechaRef-$AN227=1," día"," días"),IF($AN227=FechaRef,"Vence hoy",IF($AN227-FechaRef&lt;=DiasAlerta,"Vence en "&amp;($AN227-FechaRef)&amp;IF($AN227-FechaRef=1," día"," días"),"En plazo"))))))))</f>
        <v/>
      </c>
      <c r="P227" s="62">
        <f>IF(NOT((COUNTA($B227:$D227)+COUNTA($G227:$L227)+COUNTA($Q227))&gt;0),"",IF($D227="","Propia",IF($V227&lt;&gt;"Macro","Solo se delegan macroactividades",IF(N($AH227)&gt;0,"✔ Recibida por "&amp;$D227,"⚠ "&amp;$D227&amp;" aún no la agrega"))))</f>
        <v/>
      </c>
      <c r="Q227" s="58" t="n"/>
      <c r="R227" s="63">
        <f>IF(NOT((COUNTA($B227:$D227)+COUNTA($G227:$L227)+COUNTA($Q227))&gt;0),"",IF((IF($C227="","Falta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",""))="","✔ OK","⚠ "&amp;LEFT(IF($C227="","Falta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",""),LEN(IF($C227="","Falta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",""))-3)))</f>
        <v/>
      </c>
      <c r="S227" s="64">
        <f>IF(NOT((COUNTA($B227:$D227)+COUNTA($G227:$L227)+COUNTA($Q227))&gt;0),"",IF(AND($V227="Sub",N($U227)&gt;0),IF(ISNUMBER(INDEX($AM$5:$AM$1000,$U227-4)),DATE(YEAR(INDEX($AM$5:$AM$1000,$U227-4)),MONTH(INDEX($AM$5:$AM$1000,$U227-4)),1),IF(ISNUMBER(INDEX($AN$5:$AN$1000,$U227-4)),DATE(YEAR(INDEX($AN$5:$AN$1000,$U227-4)),MONTH(INDEX($AN$5:$AN$1000,$U227-4)),1),MesCiclo)),IF(ISNUMBER($AM227),DATE(YEAR($AM227),MONTH($AM227),1),IF(ISNUMBER($AN227),DATE(YEAR($AN227),MONTH($AN227),1),MesCiclo))))</f>
        <v/>
      </c>
      <c r="T227" s="62">
        <f>IF(OR($S227="",$S227&lt;&gt;MesCiclo),"",COUNTIF($S$5:$S227,MesCiclo))</f>
        <v/>
      </c>
      <c r="U227" s="62">
        <f>IF($V227="","",IF($V227="Macro",ROW(),IFERROR(LOOKUP(2,1/($V$5:$V227="Macro"),ROW($V$5:$V227)),0)))</f>
        <v/>
      </c>
      <c r="V227" s="62">
        <f>IF(NOT((COUNTA($B227:$D227)+COUNTA($G227:$L227)+COUNTA($Q227))&gt;0),"",IF($B227="Subactividad","Sub","Macro"))</f>
        <v/>
      </c>
      <c r="W227" s="62">
        <f>IF($V227="Macro",COUNTIFS($U$5:$U$1000,ROW(),$V$5:$V$1000,"Sub"),"")</f>
        <v/>
      </c>
      <c r="X227" s="62">
        <f>IF($V227="","",IF(ISNUMBER($G227),1,IFERROR(LOOKUP(2,1/($I227:$L227&lt;&gt;""),$I227:$L227),0)))</f>
        <v/>
      </c>
      <c r="Y227" s="62">
        <f>IF($V227="","",IF(AND(ISNUMBER($G227),$G227&lt;=IF($S227=MesCiclo,InicioCiclo,$S227+MOD(2-WEEKDAY($S227),7))+6),1,IF(ISNUMBER($I227),$I227,0)))</f>
        <v/>
      </c>
      <c r="Z227" s="62">
        <f>IF($V227="","",IF(AND(ISNUMBER($G227),$G227&lt;=IF($S227=MesCiclo,InicioCiclo,$S227+MOD(2-WEEKDAY($S227),7))+13),1,IF(ISNUMBER($J227),$J227,$Y227)))</f>
        <v/>
      </c>
      <c r="AA227" s="62">
        <f>IF($V227="","",IF(AND(ISNUMBER($G227),$G227&lt;=IF($S227=MesCiclo,InicioCiclo,$S227+MOD(2-WEEKDAY($S227),7))+20),1,IF(ISNUMBER($K227),$K227,$Z227)))</f>
        <v/>
      </c>
      <c r="AB227" s="62">
        <f>IF($V227="","",IF(AND(ISNUMBER($G227),$G227&lt;=IF($S227=MesCiclo,InicioCiclo,$S227+MOD(2-WEEKDAY($S227),7))+27),1,IF(ISNUMBER($L227),$L227,$AA227)))</f>
        <v/>
      </c>
      <c r="AC227" s="62">
        <f>IF($V227="","",IF(AND(ISNUMBER($G227),$G227&lt;=IF($S227=MesCiclo,InicioCiclo,$S227+MOD(2-WEEKDAY($S227),7))+6),1,IF(N($W227)&gt;0,AVERAGEIFS($Y$5:$Y$1000,$U$5:$U$1000,ROW(),$V$5:$V$1000,"Sub"),$Y227)))</f>
        <v/>
      </c>
      <c r="AD227" s="62">
        <f>IF($V227="","",IF(AND(ISNUMBER($G227),$G227&lt;=IF($S227=MesCiclo,InicioCiclo,$S227+MOD(2-WEEKDAY($S227),7))+13),1,IF(N($W227)&gt;0,AVERAGEIFS($Z$5:$Z$1000,$U$5:$U$1000,ROW(),$V$5:$V$1000,"Sub"),$Z227)))</f>
        <v/>
      </c>
      <c r="AE227" s="62">
        <f>IF($V227="","",IF(AND(ISNUMBER($G227),$G227&lt;=IF($S227=MesCiclo,InicioCiclo,$S227+MOD(2-WEEKDAY($S227),7))+20),1,IF(N($W227)&gt;0,AVERAGEIFS($AA$5:$AA$1000,$U$5:$U$1000,ROW(),$V$5:$V$1000,"Sub"),$AA227)))</f>
        <v/>
      </c>
      <c r="AF227" s="62">
        <f>IF($V227="","",IF(AND(ISNUMBER($G227),$G227&lt;=IF($S227=MesCiclo,InicioCiclo,$S227+MOD(2-WEEKDAY($S227),7))+27),1,IF(N($W227)&gt;0,AVERAGEIFS($AB$5:$AB$1000,$U$5:$U$1000,ROW(),$V$5:$V$1000,"Sub"),$AB227)))</f>
        <v/>
      </c>
      <c r="AG227" s="62">
        <f>IF($V227&lt;&gt;"Macro","",IF(COUNTIFS($S$5:$S$1000,$S227,$V$5:$V$1000,"Macro",$H$5:$H$1000,"&gt;0")=0,1/COUNTIFS($S$5:$S$1000,$S227,$V$5:$V$1000,"Macro"),IF(AND(ISNUMBER($H227),N($H227)&gt;0),$H227,SUMIFS($H$5:$H$1000,$S$5:$S$1000,$S227,$V$5:$V$1000,"Macro")/COUNTIFS($S$5:$S$1000,$S227,$V$5:$V$1000,"Macro",$H$5:$H$1000,"&gt;0"))/(COUNTIFS($S$5:$S$1000,$S227,$V$5:$V$1000,"Macro")*SUMIFS($H$5:$H$1000,$S$5:$S$1000,$S227,$V$5:$V$1000,"Macro")/COUNTIFS($S$5:$S$1000,$S227,$V$5:$V$1000,"Macro",$H$5:$H$1000,"&gt;0"))))</f>
        <v/>
      </c>
      <c r="AH227" s="62">
        <f>IF(NOT(AND($D227&lt;&gt;"",$V227="Macro")),"",IFERROR(CHOOSE(MATCH($D227,ListaPuestos,0),MATCH("[Jefatura] "&amp;$C227,'Cronograma R. Operacional'!$C$5:$C$1000,0),MATCH("[Jefatura] "&amp;$C227,'Cronograma R. Normativo'!$C$5:$C$1000,0),MATCH("[Jefatura] "&amp;$C227,'Cronograma R. Financiero'!$C$5:$C$1000,0),MATCH("[Jefatura] "&amp;$C227,'Cronograma Asistente Técnico'!$C$5:$C$1000,0)),0))</f>
        <v/>
      </c>
      <c r="AI227" s="62">
        <f>IF(AND(AND($D227&lt;&gt;"",$V227="Macro"),$S227=MesCiclo),COUNTIFS($D$5:$D227,$D227,$S$5:$S227,MesCiclo,$V$5:$V227,"Macro"),"")</f>
        <v/>
      </c>
      <c r="AJ227" s="62">
        <f>IF($AI227="","",$D227&amp;"|"&amp;$AI227)</f>
        <v/>
      </c>
      <c r="AK227" s="62">
        <f>IF(AND($D227&lt;&gt;"",$V227="Macro"),$D227&amp;"|"&amp;$C227,"")</f>
        <v/>
      </c>
      <c r="AL227" s="62">
        <f>""</f>
        <v/>
      </c>
      <c r="AM227" s="62">
        <f>IF(N($AL227)&gt;0,INDEX(rIni_ADM,$AL227),IF(ISNUMBER($E227),$E227,""))</f>
        <v/>
      </c>
      <c r="AN227" s="62">
        <f>IF(N($AL227)&gt;0,INDEX(rLim_ADM,$AL227),IF(ISNUMBER($F227),$F227,""))</f>
        <v/>
      </c>
    </row>
    <row r="228">
      <c r="A228" s="56">
        <f>IF(NOT((COUNTA($B228:$D228)+COUNTA($G228:$L228)+COUNTA($Q228))&gt;0),"",IF($V228="Macro",COUNTIFS($V$5:$V228,"Macro",$S$5:$S228,$S228),IF(N($U228)=0,"?",COUNTIFS(INDEX($V$5:$V$1000,1):INDEX($V$5:$V$1000,$U228-4),"Macro",INDEX($S$5:$S$1000,1):INDEX($S$5:$S$1000,$U228-4),INDEX($S$5:$S$1000,$U228-4))&amp;"."&amp;COUNTIFS($U$5:$U228,$U228,$V$5:$V228,"Sub"))))</f>
        <v/>
      </c>
      <c r="B228" s="57" t="n"/>
      <c r="C228" s="58" t="n"/>
      <c r="D228" s="58" t="n"/>
      <c r="E228" s="59" t="n"/>
      <c r="F228" s="59" t="n"/>
      <c r="G228" s="59" t="n"/>
      <c r="H228" s="60" t="n"/>
      <c r="I228" s="60" t="n"/>
      <c r="J228" s="60" t="n"/>
      <c r="K228" s="60" t="n"/>
      <c r="L228" s="60" t="n"/>
      <c r="M228" s="61">
        <f>IF(NOT((COUNTA($B228:$D228)+COUNTA($G228:$L228)+COUNTA($Q228))&gt;0),"",IF(AND($D228&lt;&gt;"",$V228="Macro"),IF(N($AH228)&gt;0,N(CHOOSE(MATCH($D228,ListaPuestos,0),INDEX('Cronograma R. Operacional'!$M$5:$M$1000,$AH228),INDEX('Cronograma R. Normativo'!$M$5:$M$1000,$AH228),INDEX('Cronograma R. Financiero'!$M$5:$M$1000,$AH228),INDEX('Cronograma Asistente Técnico'!$M$5:$M$1000,$AH228))),0),IF(ISNUMBER($G228),1,IF(N($W228)&gt;0,AVERAGEIFS($X$5:$X$1000,$U$5:$U$1000,ROW(),$V$5:$V$1000,"Sub"),$X228))))</f>
        <v/>
      </c>
      <c r="N228" s="56">
        <f>IF($M228="","",IF($M228&gt;=1,"Completado",IF($M228&gt;0,"En curso","Pendiente")))</f>
        <v/>
      </c>
      <c r="O228" s="56">
        <f>IF(NOT((COUNTA($B228:$D228)+COUNTA($G228:$L228)+COUNTA($Q228))&gt;0),"",IF(AND(AND($D228&lt;&gt;"",$V228="Macro"),N($AH228)&gt;0),CHOOSE(MATCH($D228,ListaPuestos,0),INDEX('Cronograma R. Operacional'!$O$5:$O$1000,$AH228),INDEX('Cronograma R. Normativo'!$O$5:$O$1000,$AH228),INDEX('Cronograma R. Financiero'!$O$5:$O$1000,$AH228),INDEX('Cronograma Asistente Técnico'!$O$5:$O$1000,$AH228))&amp;"",IF(ISNUMBER($G228),IF(AND(ISNUMBER($AN228),$G228&gt;$AN228),"Cumplida con "&amp;($G228-$AN228)&amp;IF($G228-$AN228=1," día"," días")&amp;" de retraso","Cumplida"),IF(N($M228)&gt;=1,"Cumplida",IF(NOT(ISNUMBER($AN228)),"Sin fecha límite",IF($AN228&lt;FechaRef,"Vencida hace "&amp;(FechaRef-$AN228)&amp;IF(FechaRef-$AN228=1," día"," días"),IF($AN228=FechaRef,"Vence hoy",IF($AN228-FechaRef&lt;=DiasAlerta,"Vence en "&amp;($AN228-FechaRef)&amp;IF($AN228-FechaRef=1," día"," días"),"En plazo"))))))))</f>
        <v/>
      </c>
      <c r="P228" s="62">
        <f>IF(NOT((COUNTA($B228:$D228)+COUNTA($G228:$L228)+COUNTA($Q228))&gt;0),"",IF($D228="","Propia",IF($V228&lt;&gt;"Macro","Solo se delegan macroactividades",IF(N($AH228)&gt;0,"✔ Recibida por "&amp;$D228,"⚠ "&amp;$D228&amp;" aún no la agrega"))))</f>
        <v/>
      </c>
      <c r="Q228" s="58" t="n"/>
      <c r="R228" s="63">
        <f>IF(NOT((COUNTA($B228:$D228)+COUNTA($G228:$L228)+COUNTA($Q228))&gt;0),"",IF((IF($C228="","Falta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",""))="","✔ OK","⚠ "&amp;LEFT(IF($C228="","Falta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",""),LEN(IF($C228="","Falta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",""))-3)))</f>
        <v/>
      </c>
      <c r="S228" s="64">
        <f>IF(NOT((COUNTA($B228:$D228)+COUNTA($G228:$L228)+COUNTA($Q228))&gt;0),"",IF(AND($V228="Sub",N($U228)&gt;0),IF(ISNUMBER(INDEX($AM$5:$AM$1000,$U228-4)),DATE(YEAR(INDEX($AM$5:$AM$1000,$U228-4)),MONTH(INDEX($AM$5:$AM$1000,$U228-4)),1),IF(ISNUMBER(INDEX($AN$5:$AN$1000,$U228-4)),DATE(YEAR(INDEX($AN$5:$AN$1000,$U228-4)),MONTH(INDEX($AN$5:$AN$1000,$U228-4)),1),MesCiclo)),IF(ISNUMBER($AM228),DATE(YEAR($AM228),MONTH($AM228),1),IF(ISNUMBER($AN228),DATE(YEAR($AN228),MONTH($AN228),1),MesCiclo))))</f>
        <v/>
      </c>
      <c r="T228" s="62">
        <f>IF(OR($S228="",$S228&lt;&gt;MesCiclo),"",COUNTIF($S$5:$S228,MesCiclo))</f>
        <v/>
      </c>
      <c r="U228" s="62">
        <f>IF($V228="","",IF($V228="Macro",ROW(),IFERROR(LOOKUP(2,1/($V$5:$V228="Macro"),ROW($V$5:$V228)),0)))</f>
        <v/>
      </c>
      <c r="V228" s="62">
        <f>IF(NOT((COUNTA($B228:$D228)+COUNTA($G228:$L228)+COUNTA($Q228))&gt;0),"",IF($B228="Subactividad","Sub","Macro"))</f>
        <v/>
      </c>
      <c r="W228" s="62">
        <f>IF($V228="Macro",COUNTIFS($U$5:$U$1000,ROW(),$V$5:$V$1000,"Sub"),"")</f>
        <v/>
      </c>
      <c r="X228" s="62">
        <f>IF($V228="","",IF(ISNUMBER($G228),1,IFERROR(LOOKUP(2,1/($I228:$L228&lt;&gt;""),$I228:$L228),0)))</f>
        <v/>
      </c>
      <c r="Y228" s="62">
        <f>IF($V228="","",IF(AND(ISNUMBER($G228),$G228&lt;=IF($S228=MesCiclo,InicioCiclo,$S228+MOD(2-WEEKDAY($S228),7))+6),1,IF(ISNUMBER($I228),$I228,0)))</f>
        <v/>
      </c>
      <c r="Z228" s="62">
        <f>IF($V228="","",IF(AND(ISNUMBER($G228),$G228&lt;=IF($S228=MesCiclo,InicioCiclo,$S228+MOD(2-WEEKDAY($S228),7))+13),1,IF(ISNUMBER($J228),$J228,$Y228)))</f>
        <v/>
      </c>
      <c r="AA228" s="62">
        <f>IF($V228="","",IF(AND(ISNUMBER($G228),$G228&lt;=IF($S228=MesCiclo,InicioCiclo,$S228+MOD(2-WEEKDAY($S228),7))+20),1,IF(ISNUMBER($K228),$K228,$Z228)))</f>
        <v/>
      </c>
      <c r="AB228" s="62">
        <f>IF($V228="","",IF(AND(ISNUMBER($G228),$G228&lt;=IF($S228=MesCiclo,InicioCiclo,$S228+MOD(2-WEEKDAY($S228),7))+27),1,IF(ISNUMBER($L228),$L228,$AA228)))</f>
        <v/>
      </c>
      <c r="AC228" s="62">
        <f>IF($V228="","",IF(AND(ISNUMBER($G228),$G228&lt;=IF($S228=MesCiclo,InicioCiclo,$S228+MOD(2-WEEKDAY($S228),7))+6),1,IF(N($W228)&gt;0,AVERAGEIFS($Y$5:$Y$1000,$U$5:$U$1000,ROW(),$V$5:$V$1000,"Sub"),$Y228)))</f>
        <v/>
      </c>
      <c r="AD228" s="62">
        <f>IF($V228="","",IF(AND(ISNUMBER($G228),$G228&lt;=IF($S228=MesCiclo,InicioCiclo,$S228+MOD(2-WEEKDAY($S228),7))+13),1,IF(N($W228)&gt;0,AVERAGEIFS($Z$5:$Z$1000,$U$5:$U$1000,ROW(),$V$5:$V$1000,"Sub"),$Z228)))</f>
        <v/>
      </c>
      <c r="AE228" s="62">
        <f>IF($V228="","",IF(AND(ISNUMBER($G228),$G228&lt;=IF($S228=MesCiclo,InicioCiclo,$S228+MOD(2-WEEKDAY($S228),7))+20),1,IF(N($W228)&gt;0,AVERAGEIFS($AA$5:$AA$1000,$U$5:$U$1000,ROW(),$V$5:$V$1000,"Sub"),$AA228)))</f>
        <v/>
      </c>
      <c r="AF228" s="62">
        <f>IF($V228="","",IF(AND(ISNUMBER($G228),$G228&lt;=IF($S228=MesCiclo,InicioCiclo,$S228+MOD(2-WEEKDAY($S228),7))+27),1,IF(N($W228)&gt;0,AVERAGEIFS($AB$5:$AB$1000,$U$5:$U$1000,ROW(),$V$5:$V$1000,"Sub"),$AB228)))</f>
        <v/>
      </c>
      <c r="AG228" s="62">
        <f>IF($V228&lt;&gt;"Macro","",IF(COUNTIFS($S$5:$S$1000,$S228,$V$5:$V$1000,"Macro",$H$5:$H$1000,"&gt;0")=0,1/COUNTIFS($S$5:$S$1000,$S228,$V$5:$V$1000,"Macro"),IF(AND(ISNUMBER($H228),N($H228)&gt;0),$H228,SUMIFS($H$5:$H$1000,$S$5:$S$1000,$S228,$V$5:$V$1000,"Macro")/COUNTIFS($S$5:$S$1000,$S228,$V$5:$V$1000,"Macro",$H$5:$H$1000,"&gt;0"))/(COUNTIFS($S$5:$S$1000,$S228,$V$5:$V$1000,"Macro")*SUMIFS($H$5:$H$1000,$S$5:$S$1000,$S228,$V$5:$V$1000,"Macro")/COUNTIFS($S$5:$S$1000,$S228,$V$5:$V$1000,"Macro",$H$5:$H$1000,"&gt;0"))))</f>
        <v/>
      </c>
      <c r="AH228" s="62">
        <f>IF(NOT(AND($D228&lt;&gt;"",$V228="Macro")),"",IFERROR(CHOOSE(MATCH($D228,ListaPuestos,0),MATCH("[Jefatura] "&amp;$C228,'Cronograma R. Operacional'!$C$5:$C$1000,0),MATCH("[Jefatura] "&amp;$C228,'Cronograma R. Normativo'!$C$5:$C$1000,0),MATCH("[Jefatura] "&amp;$C228,'Cronograma R. Financiero'!$C$5:$C$1000,0),MATCH("[Jefatura] "&amp;$C228,'Cronograma Asistente Técnico'!$C$5:$C$1000,0)),0))</f>
        <v/>
      </c>
      <c r="AI228" s="62">
        <f>IF(AND(AND($D228&lt;&gt;"",$V228="Macro"),$S228=MesCiclo),COUNTIFS($D$5:$D228,$D228,$S$5:$S228,MesCiclo,$V$5:$V228,"Macro"),"")</f>
        <v/>
      </c>
      <c r="AJ228" s="62">
        <f>IF($AI228="","",$D228&amp;"|"&amp;$AI228)</f>
        <v/>
      </c>
      <c r="AK228" s="62">
        <f>IF(AND($D228&lt;&gt;"",$V228="Macro"),$D228&amp;"|"&amp;$C228,"")</f>
        <v/>
      </c>
      <c r="AL228" s="62">
        <f>""</f>
        <v/>
      </c>
      <c r="AM228" s="62">
        <f>IF(N($AL228)&gt;0,INDEX(rIni_ADM,$AL228),IF(ISNUMBER($E228),$E228,""))</f>
        <v/>
      </c>
      <c r="AN228" s="62">
        <f>IF(N($AL228)&gt;0,INDEX(rLim_ADM,$AL228),IF(ISNUMBER($F228),$F228,""))</f>
        <v/>
      </c>
    </row>
    <row r="229">
      <c r="A229" s="56">
        <f>IF(NOT((COUNTA($B229:$D229)+COUNTA($G229:$L229)+COUNTA($Q229))&gt;0),"",IF($V229="Macro",COUNTIFS($V$5:$V229,"Macro",$S$5:$S229,$S229),IF(N($U229)=0,"?",COUNTIFS(INDEX($V$5:$V$1000,1):INDEX($V$5:$V$1000,$U229-4),"Macro",INDEX($S$5:$S$1000,1):INDEX($S$5:$S$1000,$U229-4),INDEX($S$5:$S$1000,$U229-4))&amp;"."&amp;COUNTIFS($U$5:$U229,$U229,$V$5:$V229,"Sub"))))</f>
        <v/>
      </c>
      <c r="B229" s="57" t="n"/>
      <c r="C229" s="58" t="n"/>
      <c r="D229" s="58" t="n"/>
      <c r="E229" s="59" t="n"/>
      <c r="F229" s="59" t="n"/>
      <c r="G229" s="59" t="n"/>
      <c r="H229" s="60" t="n"/>
      <c r="I229" s="60" t="n"/>
      <c r="J229" s="60" t="n"/>
      <c r="K229" s="60" t="n"/>
      <c r="L229" s="60" t="n"/>
      <c r="M229" s="61">
        <f>IF(NOT((COUNTA($B229:$D229)+COUNTA($G229:$L229)+COUNTA($Q229))&gt;0),"",IF(AND($D229&lt;&gt;"",$V229="Macro"),IF(N($AH229)&gt;0,N(CHOOSE(MATCH($D229,ListaPuestos,0),INDEX('Cronograma R. Operacional'!$M$5:$M$1000,$AH229),INDEX('Cronograma R. Normativo'!$M$5:$M$1000,$AH229),INDEX('Cronograma R. Financiero'!$M$5:$M$1000,$AH229),INDEX('Cronograma Asistente Técnico'!$M$5:$M$1000,$AH229))),0),IF(ISNUMBER($G229),1,IF(N($W229)&gt;0,AVERAGEIFS($X$5:$X$1000,$U$5:$U$1000,ROW(),$V$5:$V$1000,"Sub"),$X229))))</f>
        <v/>
      </c>
      <c r="N229" s="56">
        <f>IF($M229="","",IF($M229&gt;=1,"Completado",IF($M229&gt;0,"En curso","Pendiente")))</f>
        <v/>
      </c>
      <c r="O229" s="56">
        <f>IF(NOT((COUNTA($B229:$D229)+COUNTA($G229:$L229)+COUNTA($Q229))&gt;0),"",IF(AND(AND($D229&lt;&gt;"",$V229="Macro"),N($AH229)&gt;0),CHOOSE(MATCH($D229,ListaPuestos,0),INDEX('Cronograma R. Operacional'!$O$5:$O$1000,$AH229),INDEX('Cronograma R. Normativo'!$O$5:$O$1000,$AH229),INDEX('Cronograma R. Financiero'!$O$5:$O$1000,$AH229),INDEX('Cronograma Asistente Técnico'!$O$5:$O$1000,$AH229))&amp;"",IF(ISNUMBER($G229),IF(AND(ISNUMBER($AN229),$G229&gt;$AN229),"Cumplida con "&amp;($G229-$AN229)&amp;IF($G229-$AN229=1," día"," días")&amp;" de retraso","Cumplida"),IF(N($M229)&gt;=1,"Cumplida",IF(NOT(ISNUMBER($AN229)),"Sin fecha límite",IF($AN229&lt;FechaRef,"Vencida hace "&amp;(FechaRef-$AN229)&amp;IF(FechaRef-$AN229=1," día"," días"),IF($AN229=FechaRef,"Vence hoy",IF($AN229-FechaRef&lt;=DiasAlerta,"Vence en "&amp;($AN229-FechaRef)&amp;IF($AN229-FechaRef=1," día"," días"),"En plazo"))))))))</f>
        <v/>
      </c>
      <c r="P229" s="62">
        <f>IF(NOT((COUNTA($B229:$D229)+COUNTA($G229:$L229)+COUNTA($Q229))&gt;0),"",IF($D229="","Propia",IF($V229&lt;&gt;"Macro","Solo se delegan macroactividades",IF(N($AH229)&gt;0,"✔ Recibida por "&amp;$D229,"⚠ "&amp;$D229&amp;" aún no la agrega"))))</f>
        <v/>
      </c>
      <c r="Q229" s="58" t="n"/>
      <c r="R229" s="63">
        <f>IF(NOT((COUNTA($B229:$D229)+COUNTA($G229:$L229)+COUNTA($Q229))&gt;0),"",IF((IF($C229="","Falta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",""))="","✔ OK","⚠ "&amp;LEFT(IF($C229="","Falta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",""),LEN(IF($C229="","Falta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",""))-3)))</f>
        <v/>
      </c>
      <c r="S229" s="64">
        <f>IF(NOT((COUNTA($B229:$D229)+COUNTA($G229:$L229)+COUNTA($Q229))&gt;0),"",IF(AND($V229="Sub",N($U229)&gt;0),IF(ISNUMBER(INDEX($AM$5:$AM$1000,$U229-4)),DATE(YEAR(INDEX($AM$5:$AM$1000,$U229-4)),MONTH(INDEX($AM$5:$AM$1000,$U229-4)),1),IF(ISNUMBER(INDEX($AN$5:$AN$1000,$U229-4)),DATE(YEAR(INDEX($AN$5:$AN$1000,$U229-4)),MONTH(INDEX($AN$5:$AN$1000,$U229-4)),1),MesCiclo)),IF(ISNUMBER($AM229),DATE(YEAR($AM229),MONTH($AM229),1),IF(ISNUMBER($AN229),DATE(YEAR($AN229),MONTH($AN229),1),MesCiclo))))</f>
        <v/>
      </c>
      <c r="T229" s="62">
        <f>IF(OR($S229="",$S229&lt;&gt;MesCiclo),"",COUNTIF($S$5:$S229,MesCiclo))</f>
        <v/>
      </c>
      <c r="U229" s="62">
        <f>IF($V229="","",IF($V229="Macro",ROW(),IFERROR(LOOKUP(2,1/($V$5:$V229="Macro"),ROW($V$5:$V229)),0)))</f>
        <v/>
      </c>
      <c r="V229" s="62">
        <f>IF(NOT((COUNTA($B229:$D229)+COUNTA($G229:$L229)+COUNTA($Q229))&gt;0),"",IF($B229="Subactividad","Sub","Macro"))</f>
        <v/>
      </c>
      <c r="W229" s="62">
        <f>IF($V229="Macro",COUNTIFS($U$5:$U$1000,ROW(),$V$5:$V$1000,"Sub"),"")</f>
        <v/>
      </c>
      <c r="X229" s="62">
        <f>IF($V229="","",IF(ISNUMBER($G229),1,IFERROR(LOOKUP(2,1/($I229:$L229&lt;&gt;""),$I229:$L229),0)))</f>
        <v/>
      </c>
      <c r="Y229" s="62">
        <f>IF($V229="","",IF(AND(ISNUMBER($G229),$G229&lt;=IF($S229=MesCiclo,InicioCiclo,$S229+MOD(2-WEEKDAY($S229),7))+6),1,IF(ISNUMBER($I229),$I229,0)))</f>
        <v/>
      </c>
      <c r="Z229" s="62">
        <f>IF($V229="","",IF(AND(ISNUMBER($G229),$G229&lt;=IF($S229=MesCiclo,InicioCiclo,$S229+MOD(2-WEEKDAY($S229),7))+13),1,IF(ISNUMBER($J229),$J229,$Y229)))</f>
        <v/>
      </c>
      <c r="AA229" s="62">
        <f>IF($V229="","",IF(AND(ISNUMBER($G229),$G229&lt;=IF($S229=MesCiclo,InicioCiclo,$S229+MOD(2-WEEKDAY($S229),7))+20),1,IF(ISNUMBER($K229),$K229,$Z229)))</f>
        <v/>
      </c>
      <c r="AB229" s="62">
        <f>IF($V229="","",IF(AND(ISNUMBER($G229),$G229&lt;=IF($S229=MesCiclo,InicioCiclo,$S229+MOD(2-WEEKDAY($S229),7))+27),1,IF(ISNUMBER($L229),$L229,$AA229)))</f>
        <v/>
      </c>
      <c r="AC229" s="62">
        <f>IF($V229="","",IF(AND(ISNUMBER($G229),$G229&lt;=IF($S229=MesCiclo,InicioCiclo,$S229+MOD(2-WEEKDAY($S229),7))+6),1,IF(N($W229)&gt;0,AVERAGEIFS($Y$5:$Y$1000,$U$5:$U$1000,ROW(),$V$5:$V$1000,"Sub"),$Y229)))</f>
        <v/>
      </c>
      <c r="AD229" s="62">
        <f>IF($V229="","",IF(AND(ISNUMBER($G229),$G229&lt;=IF($S229=MesCiclo,InicioCiclo,$S229+MOD(2-WEEKDAY($S229),7))+13),1,IF(N($W229)&gt;0,AVERAGEIFS($Z$5:$Z$1000,$U$5:$U$1000,ROW(),$V$5:$V$1000,"Sub"),$Z229)))</f>
        <v/>
      </c>
      <c r="AE229" s="62">
        <f>IF($V229="","",IF(AND(ISNUMBER($G229),$G229&lt;=IF($S229=MesCiclo,InicioCiclo,$S229+MOD(2-WEEKDAY($S229),7))+20),1,IF(N($W229)&gt;0,AVERAGEIFS($AA$5:$AA$1000,$U$5:$U$1000,ROW(),$V$5:$V$1000,"Sub"),$AA229)))</f>
        <v/>
      </c>
      <c r="AF229" s="62">
        <f>IF($V229="","",IF(AND(ISNUMBER($G229),$G229&lt;=IF($S229=MesCiclo,InicioCiclo,$S229+MOD(2-WEEKDAY($S229),7))+27),1,IF(N($W229)&gt;0,AVERAGEIFS($AB$5:$AB$1000,$U$5:$U$1000,ROW(),$V$5:$V$1000,"Sub"),$AB229)))</f>
        <v/>
      </c>
      <c r="AG229" s="62">
        <f>IF($V229&lt;&gt;"Macro","",IF(COUNTIFS($S$5:$S$1000,$S229,$V$5:$V$1000,"Macro",$H$5:$H$1000,"&gt;0")=0,1/COUNTIFS($S$5:$S$1000,$S229,$V$5:$V$1000,"Macro"),IF(AND(ISNUMBER($H229),N($H229)&gt;0),$H229,SUMIFS($H$5:$H$1000,$S$5:$S$1000,$S229,$V$5:$V$1000,"Macro")/COUNTIFS($S$5:$S$1000,$S229,$V$5:$V$1000,"Macro",$H$5:$H$1000,"&gt;0"))/(COUNTIFS($S$5:$S$1000,$S229,$V$5:$V$1000,"Macro")*SUMIFS($H$5:$H$1000,$S$5:$S$1000,$S229,$V$5:$V$1000,"Macro")/COUNTIFS($S$5:$S$1000,$S229,$V$5:$V$1000,"Macro",$H$5:$H$1000,"&gt;0"))))</f>
        <v/>
      </c>
      <c r="AH229" s="62">
        <f>IF(NOT(AND($D229&lt;&gt;"",$V229="Macro")),"",IFERROR(CHOOSE(MATCH($D229,ListaPuestos,0),MATCH("[Jefatura] "&amp;$C229,'Cronograma R. Operacional'!$C$5:$C$1000,0),MATCH("[Jefatura] "&amp;$C229,'Cronograma R. Normativo'!$C$5:$C$1000,0),MATCH("[Jefatura] "&amp;$C229,'Cronograma R. Financiero'!$C$5:$C$1000,0),MATCH("[Jefatura] "&amp;$C229,'Cronograma Asistente Técnico'!$C$5:$C$1000,0)),0))</f>
        <v/>
      </c>
      <c r="AI229" s="62">
        <f>IF(AND(AND($D229&lt;&gt;"",$V229="Macro"),$S229=MesCiclo),COUNTIFS($D$5:$D229,$D229,$S$5:$S229,MesCiclo,$V$5:$V229,"Macro"),"")</f>
        <v/>
      </c>
      <c r="AJ229" s="62">
        <f>IF($AI229="","",$D229&amp;"|"&amp;$AI229)</f>
        <v/>
      </c>
      <c r="AK229" s="62">
        <f>IF(AND($D229&lt;&gt;"",$V229="Macro"),$D229&amp;"|"&amp;$C229,"")</f>
        <v/>
      </c>
      <c r="AL229" s="62">
        <f>""</f>
        <v/>
      </c>
      <c r="AM229" s="62">
        <f>IF(N($AL229)&gt;0,INDEX(rIni_ADM,$AL229),IF(ISNUMBER($E229),$E229,""))</f>
        <v/>
      </c>
      <c r="AN229" s="62">
        <f>IF(N($AL229)&gt;0,INDEX(rLim_ADM,$AL229),IF(ISNUMBER($F229),$F229,""))</f>
        <v/>
      </c>
    </row>
    <row r="230">
      <c r="A230" s="56">
        <f>IF(NOT((COUNTA($B230:$D230)+COUNTA($G230:$L230)+COUNTA($Q230))&gt;0),"",IF($V230="Macro",COUNTIFS($V$5:$V230,"Macro",$S$5:$S230,$S230),IF(N($U230)=0,"?",COUNTIFS(INDEX($V$5:$V$1000,1):INDEX($V$5:$V$1000,$U230-4),"Macro",INDEX($S$5:$S$1000,1):INDEX($S$5:$S$1000,$U230-4),INDEX($S$5:$S$1000,$U230-4))&amp;"."&amp;COUNTIFS($U$5:$U230,$U230,$V$5:$V230,"Sub"))))</f>
        <v/>
      </c>
      <c r="B230" s="57" t="n"/>
      <c r="C230" s="58" t="n"/>
      <c r="D230" s="58" t="n"/>
      <c r="E230" s="59" t="n"/>
      <c r="F230" s="59" t="n"/>
      <c r="G230" s="59" t="n"/>
      <c r="H230" s="60" t="n"/>
      <c r="I230" s="60" t="n"/>
      <c r="J230" s="60" t="n"/>
      <c r="K230" s="60" t="n"/>
      <c r="L230" s="60" t="n"/>
      <c r="M230" s="61">
        <f>IF(NOT((COUNTA($B230:$D230)+COUNTA($G230:$L230)+COUNTA($Q230))&gt;0),"",IF(AND($D230&lt;&gt;"",$V230="Macro"),IF(N($AH230)&gt;0,N(CHOOSE(MATCH($D230,ListaPuestos,0),INDEX('Cronograma R. Operacional'!$M$5:$M$1000,$AH230),INDEX('Cronograma R. Normativo'!$M$5:$M$1000,$AH230),INDEX('Cronograma R. Financiero'!$M$5:$M$1000,$AH230),INDEX('Cronograma Asistente Técnico'!$M$5:$M$1000,$AH230))),0),IF(ISNUMBER($G230),1,IF(N($W230)&gt;0,AVERAGEIFS($X$5:$X$1000,$U$5:$U$1000,ROW(),$V$5:$V$1000,"Sub"),$X230))))</f>
        <v/>
      </c>
      <c r="N230" s="56">
        <f>IF($M230="","",IF($M230&gt;=1,"Completado",IF($M230&gt;0,"En curso","Pendiente")))</f>
        <v/>
      </c>
      <c r="O230" s="56">
        <f>IF(NOT((COUNTA($B230:$D230)+COUNTA($G230:$L230)+COUNTA($Q230))&gt;0),"",IF(AND(AND($D230&lt;&gt;"",$V230="Macro"),N($AH230)&gt;0),CHOOSE(MATCH($D230,ListaPuestos,0),INDEX('Cronograma R. Operacional'!$O$5:$O$1000,$AH230),INDEX('Cronograma R. Normativo'!$O$5:$O$1000,$AH230),INDEX('Cronograma R. Financiero'!$O$5:$O$1000,$AH230),INDEX('Cronograma Asistente Técnico'!$O$5:$O$1000,$AH230))&amp;"",IF(ISNUMBER($G230),IF(AND(ISNUMBER($AN230),$G230&gt;$AN230),"Cumplida con "&amp;($G230-$AN230)&amp;IF($G230-$AN230=1," día"," días")&amp;" de retraso","Cumplida"),IF(N($M230)&gt;=1,"Cumplida",IF(NOT(ISNUMBER($AN230)),"Sin fecha límite",IF($AN230&lt;FechaRef,"Vencida hace "&amp;(FechaRef-$AN230)&amp;IF(FechaRef-$AN230=1," día"," días"),IF($AN230=FechaRef,"Vence hoy",IF($AN230-FechaRef&lt;=DiasAlerta,"Vence en "&amp;($AN230-FechaRef)&amp;IF($AN230-FechaRef=1," día"," días"),"En plazo"))))))))</f>
        <v/>
      </c>
      <c r="P230" s="62">
        <f>IF(NOT((COUNTA($B230:$D230)+COUNTA($G230:$L230)+COUNTA($Q230))&gt;0),"",IF($D230="","Propia",IF($V230&lt;&gt;"Macro","Solo se delegan macroactividades",IF(N($AH230)&gt;0,"✔ Recibida por "&amp;$D230,"⚠ "&amp;$D230&amp;" aún no la agrega"))))</f>
        <v/>
      </c>
      <c r="Q230" s="58" t="n"/>
      <c r="R230" s="63">
        <f>IF(NOT((COUNTA($B230:$D230)+COUNTA($G230:$L230)+COUNTA($Q230))&gt;0),"",IF((IF($C230="","Falta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",""))="","✔ OK","⚠ "&amp;LEFT(IF($C230="","Falta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",""),LEN(IF($C230="","Falta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",""))-3)))</f>
        <v/>
      </c>
      <c r="S230" s="64">
        <f>IF(NOT((COUNTA($B230:$D230)+COUNTA($G230:$L230)+COUNTA($Q230))&gt;0),"",IF(AND($V230="Sub",N($U230)&gt;0),IF(ISNUMBER(INDEX($AM$5:$AM$1000,$U230-4)),DATE(YEAR(INDEX($AM$5:$AM$1000,$U230-4)),MONTH(INDEX($AM$5:$AM$1000,$U230-4)),1),IF(ISNUMBER(INDEX($AN$5:$AN$1000,$U230-4)),DATE(YEAR(INDEX($AN$5:$AN$1000,$U230-4)),MONTH(INDEX($AN$5:$AN$1000,$U230-4)),1),MesCiclo)),IF(ISNUMBER($AM230),DATE(YEAR($AM230),MONTH($AM230),1),IF(ISNUMBER($AN230),DATE(YEAR($AN230),MONTH($AN230),1),MesCiclo))))</f>
        <v/>
      </c>
      <c r="T230" s="62">
        <f>IF(OR($S230="",$S230&lt;&gt;MesCiclo),"",COUNTIF($S$5:$S230,MesCiclo))</f>
        <v/>
      </c>
      <c r="U230" s="62">
        <f>IF($V230="","",IF($V230="Macro",ROW(),IFERROR(LOOKUP(2,1/($V$5:$V230="Macro"),ROW($V$5:$V230)),0)))</f>
        <v/>
      </c>
      <c r="V230" s="62">
        <f>IF(NOT((COUNTA($B230:$D230)+COUNTA($G230:$L230)+COUNTA($Q230))&gt;0),"",IF($B230="Subactividad","Sub","Macro"))</f>
        <v/>
      </c>
      <c r="W230" s="62">
        <f>IF($V230="Macro",COUNTIFS($U$5:$U$1000,ROW(),$V$5:$V$1000,"Sub"),"")</f>
        <v/>
      </c>
      <c r="X230" s="62">
        <f>IF($V230="","",IF(ISNUMBER($G230),1,IFERROR(LOOKUP(2,1/($I230:$L230&lt;&gt;""),$I230:$L230),0)))</f>
        <v/>
      </c>
      <c r="Y230" s="62">
        <f>IF($V230="","",IF(AND(ISNUMBER($G230),$G230&lt;=IF($S230=MesCiclo,InicioCiclo,$S230+MOD(2-WEEKDAY($S230),7))+6),1,IF(ISNUMBER($I230),$I230,0)))</f>
        <v/>
      </c>
      <c r="Z230" s="62">
        <f>IF($V230="","",IF(AND(ISNUMBER($G230),$G230&lt;=IF($S230=MesCiclo,InicioCiclo,$S230+MOD(2-WEEKDAY($S230),7))+13),1,IF(ISNUMBER($J230),$J230,$Y230)))</f>
        <v/>
      </c>
      <c r="AA230" s="62">
        <f>IF($V230="","",IF(AND(ISNUMBER($G230),$G230&lt;=IF($S230=MesCiclo,InicioCiclo,$S230+MOD(2-WEEKDAY($S230),7))+20),1,IF(ISNUMBER($K230),$K230,$Z230)))</f>
        <v/>
      </c>
      <c r="AB230" s="62">
        <f>IF($V230="","",IF(AND(ISNUMBER($G230),$G230&lt;=IF($S230=MesCiclo,InicioCiclo,$S230+MOD(2-WEEKDAY($S230),7))+27),1,IF(ISNUMBER($L230),$L230,$AA230)))</f>
        <v/>
      </c>
      <c r="AC230" s="62">
        <f>IF($V230="","",IF(AND(ISNUMBER($G230),$G230&lt;=IF($S230=MesCiclo,InicioCiclo,$S230+MOD(2-WEEKDAY($S230),7))+6),1,IF(N($W230)&gt;0,AVERAGEIFS($Y$5:$Y$1000,$U$5:$U$1000,ROW(),$V$5:$V$1000,"Sub"),$Y230)))</f>
        <v/>
      </c>
      <c r="AD230" s="62">
        <f>IF($V230="","",IF(AND(ISNUMBER($G230),$G230&lt;=IF($S230=MesCiclo,InicioCiclo,$S230+MOD(2-WEEKDAY($S230),7))+13),1,IF(N($W230)&gt;0,AVERAGEIFS($Z$5:$Z$1000,$U$5:$U$1000,ROW(),$V$5:$V$1000,"Sub"),$Z230)))</f>
        <v/>
      </c>
      <c r="AE230" s="62">
        <f>IF($V230="","",IF(AND(ISNUMBER($G230),$G230&lt;=IF($S230=MesCiclo,InicioCiclo,$S230+MOD(2-WEEKDAY($S230),7))+20),1,IF(N($W230)&gt;0,AVERAGEIFS($AA$5:$AA$1000,$U$5:$U$1000,ROW(),$V$5:$V$1000,"Sub"),$AA230)))</f>
        <v/>
      </c>
      <c r="AF230" s="62">
        <f>IF($V230="","",IF(AND(ISNUMBER($G230),$G230&lt;=IF($S230=MesCiclo,InicioCiclo,$S230+MOD(2-WEEKDAY($S230),7))+27),1,IF(N($W230)&gt;0,AVERAGEIFS($AB$5:$AB$1000,$U$5:$U$1000,ROW(),$V$5:$V$1000,"Sub"),$AB230)))</f>
        <v/>
      </c>
      <c r="AG230" s="62">
        <f>IF($V230&lt;&gt;"Macro","",IF(COUNTIFS($S$5:$S$1000,$S230,$V$5:$V$1000,"Macro",$H$5:$H$1000,"&gt;0")=0,1/COUNTIFS($S$5:$S$1000,$S230,$V$5:$V$1000,"Macro"),IF(AND(ISNUMBER($H230),N($H230)&gt;0),$H230,SUMIFS($H$5:$H$1000,$S$5:$S$1000,$S230,$V$5:$V$1000,"Macro")/COUNTIFS($S$5:$S$1000,$S230,$V$5:$V$1000,"Macro",$H$5:$H$1000,"&gt;0"))/(COUNTIFS($S$5:$S$1000,$S230,$V$5:$V$1000,"Macro")*SUMIFS($H$5:$H$1000,$S$5:$S$1000,$S230,$V$5:$V$1000,"Macro")/COUNTIFS($S$5:$S$1000,$S230,$V$5:$V$1000,"Macro",$H$5:$H$1000,"&gt;0"))))</f>
        <v/>
      </c>
      <c r="AH230" s="62">
        <f>IF(NOT(AND($D230&lt;&gt;"",$V230="Macro")),"",IFERROR(CHOOSE(MATCH($D230,ListaPuestos,0),MATCH("[Jefatura] "&amp;$C230,'Cronograma R. Operacional'!$C$5:$C$1000,0),MATCH("[Jefatura] "&amp;$C230,'Cronograma R. Normativo'!$C$5:$C$1000,0),MATCH("[Jefatura] "&amp;$C230,'Cronograma R. Financiero'!$C$5:$C$1000,0),MATCH("[Jefatura] "&amp;$C230,'Cronograma Asistente Técnico'!$C$5:$C$1000,0)),0))</f>
        <v/>
      </c>
      <c r="AI230" s="62">
        <f>IF(AND(AND($D230&lt;&gt;"",$V230="Macro"),$S230=MesCiclo),COUNTIFS($D$5:$D230,$D230,$S$5:$S230,MesCiclo,$V$5:$V230,"Macro"),"")</f>
        <v/>
      </c>
      <c r="AJ230" s="62">
        <f>IF($AI230="","",$D230&amp;"|"&amp;$AI230)</f>
        <v/>
      </c>
      <c r="AK230" s="62">
        <f>IF(AND($D230&lt;&gt;"",$V230="Macro"),$D230&amp;"|"&amp;$C230,"")</f>
        <v/>
      </c>
      <c r="AL230" s="62">
        <f>""</f>
        <v/>
      </c>
      <c r="AM230" s="62">
        <f>IF(N($AL230)&gt;0,INDEX(rIni_ADM,$AL230),IF(ISNUMBER($E230),$E230,""))</f>
        <v/>
      </c>
      <c r="AN230" s="62">
        <f>IF(N($AL230)&gt;0,INDEX(rLim_ADM,$AL230),IF(ISNUMBER($F230),$F230,""))</f>
        <v/>
      </c>
    </row>
    <row r="231">
      <c r="A231" s="56">
        <f>IF(NOT((COUNTA($B231:$D231)+COUNTA($G231:$L231)+COUNTA($Q231))&gt;0),"",IF($V231="Macro",COUNTIFS($V$5:$V231,"Macro",$S$5:$S231,$S231),IF(N($U231)=0,"?",COUNTIFS(INDEX($V$5:$V$1000,1):INDEX($V$5:$V$1000,$U231-4),"Macro",INDEX($S$5:$S$1000,1):INDEX($S$5:$S$1000,$U231-4),INDEX($S$5:$S$1000,$U231-4))&amp;"."&amp;COUNTIFS($U$5:$U231,$U231,$V$5:$V231,"Sub"))))</f>
        <v/>
      </c>
      <c r="B231" s="57" t="n"/>
      <c r="C231" s="58" t="n"/>
      <c r="D231" s="58" t="n"/>
      <c r="E231" s="59" t="n"/>
      <c r="F231" s="59" t="n"/>
      <c r="G231" s="59" t="n"/>
      <c r="H231" s="60" t="n"/>
      <c r="I231" s="60" t="n"/>
      <c r="J231" s="60" t="n"/>
      <c r="K231" s="60" t="n"/>
      <c r="L231" s="60" t="n"/>
      <c r="M231" s="61">
        <f>IF(NOT((COUNTA($B231:$D231)+COUNTA($G231:$L231)+COUNTA($Q231))&gt;0),"",IF(AND($D231&lt;&gt;"",$V231="Macro"),IF(N($AH231)&gt;0,N(CHOOSE(MATCH($D231,ListaPuestos,0),INDEX('Cronograma R. Operacional'!$M$5:$M$1000,$AH231),INDEX('Cronograma R. Normativo'!$M$5:$M$1000,$AH231),INDEX('Cronograma R. Financiero'!$M$5:$M$1000,$AH231),INDEX('Cronograma Asistente Técnico'!$M$5:$M$1000,$AH231))),0),IF(ISNUMBER($G231),1,IF(N($W231)&gt;0,AVERAGEIFS($X$5:$X$1000,$U$5:$U$1000,ROW(),$V$5:$V$1000,"Sub"),$X231))))</f>
        <v/>
      </c>
      <c r="N231" s="56">
        <f>IF($M231="","",IF($M231&gt;=1,"Completado",IF($M231&gt;0,"En curso","Pendiente")))</f>
        <v/>
      </c>
      <c r="O231" s="56">
        <f>IF(NOT((COUNTA($B231:$D231)+COUNTA($G231:$L231)+COUNTA($Q231))&gt;0),"",IF(AND(AND($D231&lt;&gt;"",$V231="Macro"),N($AH231)&gt;0),CHOOSE(MATCH($D231,ListaPuestos,0),INDEX('Cronograma R. Operacional'!$O$5:$O$1000,$AH231),INDEX('Cronograma R. Normativo'!$O$5:$O$1000,$AH231),INDEX('Cronograma R. Financiero'!$O$5:$O$1000,$AH231),INDEX('Cronograma Asistente Técnico'!$O$5:$O$1000,$AH231))&amp;"",IF(ISNUMBER($G231),IF(AND(ISNUMBER($AN231),$G231&gt;$AN231),"Cumplida con "&amp;($G231-$AN231)&amp;IF($G231-$AN231=1," día"," días")&amp;" de retraso","Cumplida"),IF(N($M231)&gt;=1,"Cumplida",IF(NOT(ISNUMBER($AN231)),"Sin fecha límite",IF($AN231&lt;FechaRef,"Vencida hace "&amp;(FechaRef-$AN231)&amp;IF(FechaRef-$AN231=1," día"," días"),IF($AN231=FechaRef,"Vence hoy",IF($AN231-FechaRef&lt;=DiasAlerta,"Vence en "&amp;($AN231-FechaRef)&amp;IF($AN231-FechaRef=1," día"," días"),"En plazo"))))))))</f>
        <v/>
      </c>
      <c r="P231" s="62">
        <f>IF(NOT((COUNTA($B231:$D231)+COUNTA($G231:$L231)+COUNTA($Q231))&gt;0),"",IF($D231="","Propia",IF($V231&lt;&gt;"Macro","Solo se delegan macroactividades",IF(N($AH231)&gt;0,"✔ Recibida por "&amp;$D231,"⚠ "&amp;$D231&amp;" aún no la agrega"))))</f>
        <v/>
      </c>
      <c r="Q231" s="58" t="n"/>
      <c r="R231" s="63">
        <f>IF(NOT((COUNTA($B231:$D231)+COUNTA($G231:$L231)+COUNTA($Q231))&gt;0),"",IF((IF($C231="","Falta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",""))="","✔ OK","⚠ "&amp;LEFT(IF($C231="","Falta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",""),LEN(IF($C231="","Falta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",""))-3)))</f>
        <v/>
      </c>
      <c r="S231" s="64">
        <f>IF(NOT((COUNTA($B231:$D231)+COUNTA($G231:$L231)+COUNTA($Q231))&gt;0),"",IF(AND($V231="Sub",N($U231)&gt;0),IF(ISNUMBER(INDEX($AM$5:$AM$1000,$U231-4)),DATE(YEAR(INDEX($AM$5:$AM$1000,$U231-4)),MONTH(INDEX($AM$5:$AM$1000,$U231-4)),1),IF(ISNUMBER(INDEX($AN$5:$AN$1000,$U231-4)),DATE(YEAR(INDEX($AN$5:$AN$1000,$U231-4)),MONTH(INDEX($AN$5:$AN$1000,$U231-4)),1),MesCiclo)),IF(ISNUMBER($AM231),DATE(YEAR($AM231),MONTH($AM231),1),IF(ISNUMBER($AN231),DATE(YEAR($AN231),MONTH($AN231),1),MesCiclo))))</f>
        <v/>
      </c>
      <c r="T231" s="62">
        <f>IF(OR($S231="",$S231&lt;&gt;MesCiclo),"",COUNTIF($S$5:$S231,MesCiclo))</f>
        <v/>
      </c>
      <c r="U231" s="62">
        <f>IF($V231="","",IF($V231="Macro",ROW(),IFERROR(LOOKUP(2,1/($V$5:$V231="Macro"),ROW($V$5:$V231)),0)))</f>
        <v/>
      </c>
      <c r="V231" s="62">
        <f>IF(NOT((COUNTA($B231:$D231)+COUNTA($G231:$L231)+COUNTA($Q231))&gt;0),"",IF($B231="Subactividad","Sub","Macro"))</f>
        <v/>
      </c>
      <c r="W231" s="62">
        <f>IF($V231="Macro",COUNTIFS($U$5:$U$1000,ROW(),$V$5:$V$1000,"Sub"),"")</f>
        <v/>
      </c>
      <c r="X231" s="62">
        <f>IF($V231="","",IF(ISNUMBER($G231),1,IFERROR(LOOKUP(2,1/($I231:$L231&lt;&gt;""),$I231:$L231),0)))</f>
        <v/>
      </c>
      <c r="Y231" s="62">
        <f>IF($V231="","",IF(AND(ISNUMBER($G231),$G231&lt;=IF($S231=MesCiclo,InicioCiclo,$S231+MOD(2-WEEKDAY($S231),7))+6),1,IF(ISNUMBER($I231),$I231,0)))</f>
        <v/>
      </c>
      <c r="Z231" s="62">
        <f>IF($V231="","",IF(AND(ISNUMBER($G231),$G231&lt;=IF($S231=MesCiclo,InicioCiclo,$S231+MOD(2-WEEKDAY($S231),7))+13),1,IF(ISNUMBER($J231),$J231,$Y231)))</f>
        <v/>
      </c>
      <c r="AA231" s="62">
        <f>IF($V231="","",IF(AND(ISNUMBER($G231),$G231&lt;=IF($S231=MesCiclo,InicioCiclo,$S231+MOD(2-WEEKDAY($S231),7))+20),1,IF(ISNUMBER($K231),$K231,$Z231)))</f>
        <v/>
      </c>
      <c r="AB231" s="62">
        <f>IF($V231="","",IF(AND(ISNUMBER($G231),$G231&lt;=IF($S231=MesCiclo,InicioCiclo,$S231+MOD(2-WEEKDAY($S231),7))+27),1,IF(ISNUMBER($L231),$L231,$AA231)))</f>
        <v/>
      </c>
      <c r="AC231" s="62">
        <f>IF($V231="","",IF(AND(ISNUMBER($G231),$G231&lt;=IF($S231=MesCiclo,InicioCiclo,$S231+MOD(2-WEEKDAY($S231),7))+6),1,IF(N($W231)&gt;0,AVERAGEIFS($Y$5:$Y$1000,$U$5:$U$1000,ROW(),$V$5:$V$1000,"Sub"),$Y231)))</f>
        <v/>
      </c>
      <c r="AD231" s="62">
        <f>IF($V231="","",IF(AND(ISNUMBER($G231),$G231&lt;=IF($S231=MesCiclo,InicioCiclo,$S231+MOD(2-WEEKDAY($S231),7))+13),1,IF(N($W231)&gt;0,AVERAGEIFS($Z$5:$Z$1000,$U$5:$U$1000,ROW(),$V$5:$V$1000,"Sub"),$Z231)))</f>
        <v/>
      </c>
      <c r="AE231" s="62">
        <f>IF($V231="","",IF(AND(ISNUMBER($G231),$G231&lt;=IF($S231=MesCiclo,InicioCiclo,$S231+MOD(2-WEEKDAY($S231),7))+20),1,IF(N($W231)&gt;0,AVERAGEIFS($AA$5:$AA$1000,$U$5:$U$1000,ROW(),$V$5:$V$1000,"Sub"),$AA231)))</f>
        <v/>
      </c>
      <c r="AF231" s="62">
        <f>IF($V231="","",IF(AND(ISNUMBER($G231),$G231&lt;=IF($S231=MesCiclo,InicioCiclo,$S231+MOD(2-WEEKDAY($S231),7))+27),1,IF(N($W231)&gt;0,AVERAGEIFS($AB$5:$AB$1000,$U$5:$U$1000,ROW(),$V$5:$V$1000,"Sub"),$AB231)))</f>
        <v/>
      </c>
      <c r="AG231" s="62">
        <f>IF($V231&lt;&gt;"Macro","",IF(COUNTIFS($S$5:$S$1000,$S231,$V$5:$V$1000,"Macro",$H$5:$H$1000,"&gt;0")=0,1/COUNTIFS($S$5:$S$1000,$S231,$V$5:$V$1000,"Macro"),IF(AND(ISNUMBER($H231),N($H231)&gt;0),$H231,SUMIFS($H$5:$H$1000,$S$5:$S$1000,$S231,$V$5:$V$1000,"Macro")/COUNTIFS($S$5:$S$1000,$S231,$V$5:$V$1000,"Macro",$H$5:$H$1000,"&gt;0"))/(COUNTIFS($S$5:$S$1000,$S231,$V$5:$V$1000,"Macro")*SUMIFS($H$5:$H$1000,$S$5:$S$1000,$S231,$V$5:$V$1000,"Macro")/COUNTIFS($S$5:$S$1000,$S231,$V$5:$V$1000,"Macro",$H$5:$H$1000,"&gt;0"))))</f>
        <v/>
      </c>
      <c r="AH231" s="62">
        <f>IF(NOT(AND($D231&lt;&gt;"",$V231="Macro")),"",IFERROR(CHOOSE(MATCH($D231,ListaPuestos,0),MATCH("[Jefatura] "&amp;$C231,'Cronograma R. Operacional'!$C$5:$C$1000,0),MATCH("[Jefatura] "&amp;$C231,'Cronograma R. Normativo'!$C$5:$C$1000,0),MATCH("[Jefatura] "&amp;$C231,'Cronograma R. Financiero'!$C$5:$C$1000,0),MATCH("[Jefatura] "&amp;$C231,'Cronograma Asistente Técnico'!$C$5:$C$1000,0)),0))</f>
        <v/>
      </c>
      <c r="AI231" s="62">
        <f>IF(AND(AND($D231&lt;&gt;"",$V231="Macro"),$S231=MesCiclo),COUNTIFS($D$5:$D231,$D231,$S$5:$S231,MesCiclo,$V$5:$V231,"Macro"),"")</f>
        <v/>
      </c>
      <c r="AJ231" s="62">
        <f>IF($AI231="","",$D231&amp;"|"&amp;$AI231)</f>
        <v/>
      </c>
      <c r="AK231" s="62">
        <f>IF(AND($D231&lt;&gt;"",$V231="Macro"),$D231&amp;"|"&amp;$C231,"")</f>
        <v/>
      </c>
      <c r="AL231" s="62">
        <f>""</f>
        <v/>
      </c>
      <c r="AM231" s="62">
        <f>IF(N($AL231)&gt;0,INDEX(rIni_ADM,$AL231),IF(ISNUMBER($E231),$E231,""))</f>
        <v/>
      </c>
      <c r="AN231" s="62">
        <f>IF(N($AL231)&gt;0,INDEX(rLim_ADM,$AL231),IF(ISNUMBER($F231),$F231,""))</f>
        <v/>
      </c>
    </row>
    <row r="232">
      <c r="A232" s="56">
        <f>IF(NOT((COUNTA($B232:$D232)+COUNTA($G232:$L232)+COUNTA($Q232))&gt;0),"",IF($V232="Macro",COUNTIFS($V$5:$V232,"Macro",$S$5:$S232,$S232),IF(N($U232)=0,"?",COUNTIFS(INDEX($V$5:$V$1000,1):INDEX($V$5:$V$1000,$U232-4),"Macro",INDEX($S$5:$S$1000,1):INDEX($S$5:$S$1000,$U232-4),INDEX($S$5:$S$1000,$U232-4))&amp;"."&amp;COUNTIFS($U$5:$U232,$U232,$V$5:$V232,"Sub"))))</f>
        <v/>
      </c>
      <c r="B232" s="57" t="n"/>
      <c r="C232" s="58" t="n"/>
      <c r="D232" s="58" t="n"/>
      <c r="E232" s="59" t="n"/>
      <c r="F232" s="59" t="n"/>
      <c r="G232" s="59" t="n"/>
      <c r="H232" s="60" t="n"/>
      <c r="I232" s="60" t="n"/>
      <c r="J232" s="60" t="n"/>
      <c r="K232" s="60" t="n"/>
      <c r="L232" s="60" t="n"/>
      <c r="M232" s="61">
        <f>IF(NOT((COUNTA($B232:$D232)+COUNTA($G232:$L232)+COUNTA($Q232))&gt;0),"",IF(AND($D232&lt;&gt;"",$V232="Macro"),IF(N($AH232)&gt;0,N(CHOOSE(MATCH($D232,ListaPuestos,0),INDEX('Cronograma R. Operacional'!$M$5:$M$1000,$AH232),INDEX('Cronograma R. Normativo'!$M$5:$M$1000,$AH232),INDEX('Cronograma R. Financiero'!$M$5:$M$1000,$AH232),INDEX('Cronograma Asistente Técnico'!$M$5:$M$1000,$AH232))),0),IF(ISNUMBER($G232),1,IF(N($W232)&gt;0,AVERAGEIFS($X$5:$X$1000,$U$5:$U$1000,ROW(),$V$5:$V$1000,"Sub"),$X232))))</f>
        <v/>
      </c>
      <c r="N232" s="56">
        <f>IF($M232="","",IF($M232&gt;=1,"Completado",IF($M232&gt;0,"En curso","Pendiente")))</f>
        <v/>
      </c>
      <c r="O232" s="56">
        <f>IF(NOT((COUNTA($B232:$D232)+COUNTA($G232:$L232)+COUNTA($Q232))&gt;0),"",IF(AND(AND($D232&lt;&gt;"",$V232="Macro"),N($AH232)&gt;0),CHOOSE(MATCH($D232,ListaPuestos,0),INDEX('Cronograma R. Operacional'!$O$5:$O$1000,$AH232),INDEX('Cronograma R. Normativo'!$O$5:$O$1000,$AH232),INDEX('Cronograma R. Financiero'!$O$5:$O$1000,$AH232),INDEX('Cronograma Asistente Técnico'!$O$5:$O$1000,$AH232))&amp;"",IF(ISNUMBER($G232),IF(AND(ISNUMBER($AN232),$G232&gt;$AN232),"Cumplida con "&amp;($G232-$AN232)&amp;IF($G232-$AN232=1," día"," días")&amp;" de retraso","Cumplida"),IF(N($M232)&gt;=1,"Cumplida",IF(NOT(ISNUMBER($AN232)),"Sin fecha límite",IF($AN232&lt;FechaRef,"Vencida hace "&amp;(FechaRef-$AN232)&amp;IF(FechaRef-$AN232=1," día"," días"),IF($AN232=FechaRef,"Vence hoy",IF($AN232-FechaRef&lt;=DiasAlerta,"Vence en "&amp;($AN232-FechaRef)&amp;IF($AN232-FechaRef=1," día"," días"),"En plazo"))))))))</f>
        <v/>
      </c>
      <c r="P232" s="62">
        <f>IF(NOT((COUNTA($B232:$D232)+COUNTA($G232:$L232)+COUNTA($Q232))&gt;0),"",IF($D232="","Propia",IF($V232&lt;&gt;"Macro","Solo se delegan macroactividades",IF(N($AH232)&gt;0,"✔ Recibida por "&amp;$D232,"⚠ "&amp;$D232&amp;" aún no la agrega"))))</f>
        <v/>
      </c>
      <c r="Q232" s="58" t="n"/>
      <c r="R232" s="63">
        <f>IF(NOT((COUNTA($B232:$D232)+COUNTA($G232:$L232)+COUNTA($Q232))&gt;0),"",IF((IF($C232="","Falta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",""))="","✔ OK","⚠ "&amp;LEFT(IF($C232="","Falta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",""),LEN(IF($C232="","Falta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",""))-3)))</f>
        <v/>
      </c>
      <c r="S232" s="64">
        <f>IF(NOT((COUNTA($B232:$D232)+COUNTA($G232:$L232)+COUNTA($Q232))&gt;0),"",IF(AND($V232="Sub",N($U232)&gt;0),IF(ISNUMBER(INDEX($AM$5:$AM$1000,$U232-4)),DATE(YEAR(INDEX($AM$5:$AM$1000,$U232-4)),MONTH(INDEX($AM$5:$AM$1000,$U232-4)),1),IF(ISNUMBER(INDEX($AN$5:$AN$1000,$U232-4)),DATE(YEAR(INDEX($AN$5:$AN$1000,$U232-4)),MONTH(INDEX($AN$5:$AN$1000,$U232-4)),1),MesCiclo)),IF(ISNUMBER($AM232),DATE(YEAR($AM232),MONTH($AM232),1),IF(ISNUMBER($AN232),DATE(YEAR($AN232),MONTH($AN232),1),MesCiclo))))</f>
        <v/>
      </c>
      <c r="T232" s="62">
        <f>IF(OR($S232="",$S232&lt;&gt;MesCiclo),"",COUNTIF($S$5:$S232,MesCiclo))</f>
        <v/>
      </c>
      <c r="U232" s="62">
        <f>IF($V232="","",IF($V232="Macro",ROW(),IFERROR(LOOKUP(2,1/($V$5:$V232="Macro"),ROW($V$5:$V232)),0)))</f>
        <v/>
      </c>
      <c r="V232" s="62">
        <f>IF(NOT((COUNTA($B232:$D232)+COUNTA($G232:$L232)+COUNTA($Q232))&gt;0),"",IF($B232="Subactividad","Sub","Macro"))</f>
        <v/>
      </c>
      <c r="W232" s="62">
        <f>IF($V232="Macro",COUNTIFS($U$5:$U$1000,ROW(),$V$5:$V$1000,"Sub"),"")</f>
        <v/>
      </c>
      <c r="X232" s="62">
        <f>IF($V232="","",IF(ISNUMBER($G232),1,IFERROR(LOOKUP(2,1/($I232:$L232&lt;&gt;""),$I232:$L232),0)))</f>
        <v/>
      </c>
      <c r="Y232" s="62">
        <f>IF($V232="","",IF(AND(ISNUMBER($G232),$G232&lt;=IF($S232=MesCiclo,InicioCiclo,$S232+MOD(2-WEEKDAY($S232),7))+6),1,IF(ISNUMBER($I232),$I232,0)))</f>
        <v/>
      </c>
      <c r="Z232" s="62">
        <f>IF($V232="","",IF(AND(ISNUMBER($G232),$G232&lt;=IF($S232=MesCiclo,InicioCiclo,$S232+MOD(2-WEEKDAY($S232),7))+13),1,IF(ISNUMBER($J232),$J232,$Y232)))</f>
        <v/>
      </c>
      <c r="AA232" s="62">
        <f>IF($V232="","",IF(AND(ISNUMBER($G232),$G232&lt;=IF($S232=MesCiclo,InicioCiclo,$S232+MOD(2-WEEKDAY($S232),7))+20),1,IF(ISNUMBER($K232),$K232,$Z232)))</f>
        <v/>
      </c>
      <c r="AB232" s="62">
        <f>IF($V232="","",IF(AND(ISNUMBER($G232),$G232&lt;=IF($S232=MesCiclo,InicioCiclo,$S232+MOD(2-WEEKDAY($S232),7))+27),1,IF(ISNUMBER($L232),$L232,$AA232)))</f>
        <v/>
      </c>
      <c r="AC232" s="62">
        <f>IF($V232="","",IF(AND(ISNUMBER($G232),$G232&lt;=IF($S232=MesCiclo,InicioCiclo,$S232+MOD(2-WEEKDAY($S232),7))+6),1,IF(N($W232)&gt;0,AVERAGEIFS($Y$5:$Y$1000,$U$5:$U$1000,ROW(),$V$5:$V$1000,"Sub"),$Y232)))</f>
        <v/>
      </c>
      <c r="AD232" s="62">
        <f>IF($V232="","",IF(AND(ISNUMBER($G232),$G232&lt;=IF($S232=MesCiclo,InicioCiclo,$S232+MOD(2-WEEKDAY($S232),7))+13),1,IF(N($W232)&gt;0,AVERAGEIFS($Z$5:$Z$1000,$U$5:$U$1000,ROW(),$V$5:$V$1000,"Sub"),$Z232)))</f>
        <v/>
      </c>
      <c r="AE232" s="62">
        <f>IF($V232="","",IF(AND(ISNUMBER($G232),$G232&lt;=IF($S232=MesCiclo,InicioCiclo,$S232+MOD(2-WEEKDAY($S232),7))+20),1,IF(N($W232)&gt;0,AVERAGEIFS($AA$5:$AA$1000,$U$5:$U$1000,ROW(),$V$5:$V$1000,"Sub"),$AA232)))</f>
        <v/>
      </c>
      <c r="AF232" s="62">
        <f>IF($V232="","",IF(AND(ISNUMBER($G232),$G232&lt;=IF($S232=MesCiclo,InicioCiclo,$S232+MOD(2-WEEKDAY($S232),7))+27),1,IF(N($W232)&gt;0,AVERAGEIFS($AB$5:$AB$1000,$U$5:$U$1000,ROW(),$V$5:$V$1000,"Sub"),$AB232)))</f>
        <v/>
      </c>
      <c r="AG232" s="62">
        <f>IF($V232&lt;&gt;"Macro","",IF(COUNTIFS($S$5:$S$1000,$S232,$V$5:$V$1000,"Macro",$H$5:$H$1000,"&gt;0")=0,1/COUNTIFS($S$5:$S$1000,$S232,$V$5:$V$1000,"Macro"),IF(AND(ISNUMBER($H232),N($H232)&gt;0),$H232,SUMIFS($H$5:$H$1000,$S$5:$S$1000,$S232,$V$5:$V$1000,"Macro")/COUNTIFS($S$5:$S$1000,$S232,$V$5:$V$1000,"Macro",$H$5:$H$1000,"&gt;0"))/(COUNTIFS($S$5:$S$1000,$S232,$V$5:$V$1000,"Macro")*SUMIFS($H$5:$H$1000,$S$5:$S$1000,$S232,$V$5:$V$1000,"Macro")/COUNTIFS($S$5:$S$1000,$S232,$V$5:$V$1000,"Macro",$H$5:$H$1000,"&gt;0"))))</f>
        <v/>
      </c>
      <c r="AH232" s="62">
        <f>IF(NOT(AND($D232&lt;&gt;"",$V232="Macro")),"",IFERROR(CHOOSE(MATCH($D232,ListaPuestos,0),MATCH("[Jefatura] "&amp;$C232,'Cronograma R. Operacional'!$C$5:$C$1000,0),MATCH("[Jefatura] "&amp;$C232,'Cronograma R. Normativo'!$C$5:$C$1000,0),MATCH("[Jefatura] "&amp;$C232,'Cronograma R. Financiero'!$C$5:$C$1000,0),MATCH("[Jefatura] "&amp;$C232,'Cronograma Asistente Técnico'!$C$5:$C$1000,0)),0))</f>
        <v/>
      </c>
      <c r="AI232" s="62">
        <f>IF(AND(AND($D232&lt;&gt;"",$V232="Macro"),$S232=MesCiclo),COUNTIFS($D$5:$D232,$D232,$S$5:$S232,MesCiclo,$V$5:$V232,"Macro"),"")</f>
        <v/>
      </c>
      <c r="AJ232" s="62">
        <f>IF($AI232="","",$D232&amp;"|"&amp;$AI232)</f>
        <v/>
      </c>
      <c r="AK232" s="62">
        <f>IF(AND($D232&lt;&gt;"",$V232="Macro"),$D232&amp;"|"&amp;$C232,"")</f>
        <v/>
      </c>
      <c r="AL232" s="62">
        <f>""</f>
        <v/>
      </c>
      <c r="AM232" s="62">
        <f>IF(N($AL232)&gt;0,INDEX(rIni_ADM,$AL232),IF(ISNUMBER($E232),$E232,""))</f>
        <v/>
      </c>
      <c r="AN232" s="62">
        <f>IF(N($AL232)&gt;0,INDEX(rLim_ADM,$AL232),IF(ISNUMBER($F232),$F232,""))</f>
        <v/>
      </c>
    </row>
    <row r="233">
      <c r="A233" s="56">
        <f>IF(NOT((COUNTA($B233:$D233)+COUNTA($G233:$L233)+COUNTA($Q233))&gt;0),"",IF($V233="Macro",COUNTIFS($V$5:$V233,"Macro",$S$5:$S233,$S233),IF(N($U233)=0,"?",COUNTIFS(INDEX($V$5:$V$1000,1):INDEX($V$5:$V$1000,$U233-4),"Macro",INDEX($S$5:$S$1000,1):INDEX($S$5:$S$1000,$U233-4),INDEX($S$5:$S$1000,$U233-4))&amp;"."&amp;COUNTIFS($U$5:$U233,$U233,$V$5:$V233,"Sub"))))</f>
        <v/>
      </c>
      <c r="B233" s="57" t="n"/>
      <c r="C233" s="58" t="n"/>
      <c r="D233" s="58" t="n"/>
      <c r="E233" s="59" t="n"/>
      <c r="F233" s="59" t="n"/>
      <c r="G233" s="59" t="n"/>
      <c r="H233" s="60" t="n"/>
      <c r="I233" s="60" t="n"/>
      <c r="J233" s="60" t="n"/>
      <c r="K233" s="60" t="n"/>
      <c r="L233" s="60" t="n"/>
      <c r="M233" s="61">
        <f>IF(NOT((COUNTA($B233:$D233)+COUNTA($G233:$L233)+COUNTA($Q233))&gt;0),"",IF(AND($D233&lt;&gt;"",$V233="Macro"),IF(N($AH233)&gt;0,N(CHOOSE(MATCH($D233,ListaPuestos,0),INDEX('Cronograma R. Operacional'!$M$5:$M$1000,$AH233),INDEX('Cronograma R. Normativo'!$M$5:$M$1000,$AH233),INDEX('Cronograma R. Financiero'!$M$5:$M$1000,$AH233),INDEX('Cronograma Asistente Técnico'!$M$5:$M$1000,$AH233))),0),IF(ISNUMBER($G233),1,IF(N($W233)&gt;0,AVERAGEIFS($X$5:$X$1000,$U$5:$U$1000,ROW(),$V$5:$V$1000,"Sub"),$X233))))</f>
        <v/>
      </c>
      <c r="N233" s="56">
        <f>IF($M233="","",IF($M233&gt;=1,"Completado",IF($M233&gt;0,"En curso","Pendiente")))</f>
        <v/>
      </c>
      <c r="O233" s="56">
        <f>IF(NOT((COUNTA($B233:$D233)+COUNTA($G233:$L233)+COUNTA($Q233))&gt;0),"",IF(AND(AND($D233&lt;&gt;"",$V233="Macro"),N($AH233)&gt;0),CHOOSE(MATCH($D233,ListaPuestos,0),INDEX('Cronograma R. Operacional'!$O$5:$O$1000,$AH233),INDEX('Cronograma R. Normativo'!$O$5:$O$1000,$AH233),INDEX('Cronograma R. Financiero'!$O$5:$O$1000,$AH233),INDEX('Cronograma Asistente Técnico'!$O$5:$O$1000,$AH233))&amp;"",IF(ISNUMBER($G233),IF(AND(ISNUMBER($AN233),$G233&gt;$AN233),"Cumplida con "&amp;($G233-$AN233)&amp;IF($G233-$AN233=1," día"," días")&amp;" de retraso","Cumplida"),IF(N($M233)&gt;=1,"Cumplida",IF(NOT(ISNUMBER($AN233)),"Sin fecha límite",IF($AN233&lt;FechaRef,"Vencida hace "&amp;(FechaRef-$AN233)&amp;IF(FechaRef-$AN233=1," día"," días"),IF($AN233=FechaRef,"Vence hoy",IF($AN233-FechaRef&lt;=DiasAlerta,"Vence en "&amp;($AN233-FechaRef)&amp;IF($AN233-FechaRef=1," día"," días"),"En plazo"))))))))</f>
        <v/>
      </c>
      <c r="P233" s="62">
        <f>IF(NOT((COUNTA($B233:$D233)+COUNTA($G233:$L233)+COUNTA($Q233))&gt;0),"",IF($D233="","Propia",IF($V233&lt;&gt;"Macro","Solo se delegan macroactividades",IF(N($AH233)&gt;0,"✔ Recibida por "&amp;$D233,"⚠ "&amp;$D233&amp;" aún no la agrega"))))</f>
        <v/>
      </c>
      <c r="Q233" s="58" t="n"/>
      <c r="R233" s="63">
        <f>IF(NOT((COUNTA($B233:$D233)+COUNTA($G233:$L233)+COUNTA($Q233))&gt;0),"",IF((IF($C233="","Falta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",""))="","✔ OK","⚠ "&amp;LEFT(IF($C233="","Falta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",""),LEN(IF($C233="","Falta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",""))-3)))</f>
        <v/>
      </c>
      <c r="S233" s="64">
        <f>IF(NOT((COUNTA($B233:$D233)+COUNTA($G233:$L233)+COUNTA($Q233))&gt;0),"",IF(AND($V233="Sub",N($U233)&gt;0),IF(ISNUMBER(INDEX($AM$5:$AM$1000,$U233-4)),DATE(YEAR(INDEX($AM$5:$AM$1000,$U233-4)),MONTH(INDEX($AM$5:$AM$1000,$U233-4)),1),IF(ISNUMBER(INDEX($AN$5:$AN$1000,$U233-4)),DATE(YEAR(INDEX($AN$5:$AN$1000,$U233-4)),MONTH(INDEX($AN$5:$AN$1000,$U233-4)),1),MesCiclo)),IF(ISNUMBER($AM233),DATE(YEAR($AM233),MONTH($AM233),1),IF(ISNUMBER($AN233),DATE(YEAR($AN233),MONTH($AN233),1),MesCiclo))))</f>
        <v/>
      </c>
      <c r="T233" s="62">
        <f>IF(OR($S233="",$S233&lt;&gt;MesCiclo),"",COUNTIF($S$5:$S233,MesCiclo))</f>
        <v/>
      </c>
      <c r="U233" s="62">
        <f>IF($V233="","",IF($V233="Macro",ROW(),IFERROR(LOOKUP(2,1/($V$5:$V233="Macro"),ROW($V$5:$V233)),0)))</f>
        <v/>
      </c>
      <c r="V233" s="62">
        <f>IF(NOT((COUNTA($B233:$D233)+COUNTA($G233:$L233)+COUNTA($Q233))&gt;0),"",IF($B233="Subactividad","Sub","Macro"))</f>
        <v/>
      </c>
      <c r="W233" s="62">
        <f>IF($V233="Macro",COUNTIFS($U$5:$U$1000,ROW(),$V$5:$V$1000,"Sub"),"")</f>
        <v/>
      </c>
      <c r="X233" s="62">
        <f>IF($V233="","",IF(ISNUMBER($G233),1,IFERROR(LOOKUP(2,1/($I233:$L233&lt;&gt;""),$I233:$L233),0)))</f>
        <v/>
      </c>
      <c r="Y233" s="62">
        <f>IF($V233="","",IF(AND(ISNUMBER($G233),$G233&lt;=IF($S233=MesCiclo,InicioCiclo,$S233+MOD(2-WEEKDAY($S233),7))+6),1,IF(ISNUMBER($I233),$I233,0)))</f>
        <v/>
      </c>
      <c r="Z233" s="62">
        <f>IF($V233="","",IF(AND(ISNUMBER($G233),$G233&lt;=IF($S233=MesCiclo,InicioCiclo,$S233+MOD(2-WEEKDAY($S233),7))+13),1,IF(ISNUMBER($J233),$J233,$Y233)))</f>
        <v/>
      </c>
      <c r="AA233" s="62">
        <f>IF($V233="","",IF(AND(ISNUMBER($G233),$G233&lt;=IF($S233=MesCiclo,InicioCiclo,$S233+MOD(2-WEEKDAY($S233),7))+20),1,IF(ISNUMBER($K233),$K233,$Z233)))</f>
        <v/>
      </c>
      <c r="AB233" s="62">
        <f>IF($V233="","",IF(AND(ISNUMBER($G233),$G233&lt;=IF($S233=MesCiclo,InicioCiclo,$S233+MOD(2-WEEKDAY($S233),7))+27),1,IF(ISNUMBER($L233),$L233,$AA233)))</f>
        <v/>
      </c>
      <c r="AC233" s="62">
        <f>IF($V233="","",IF(AND(ISNUMBER($G233),$G233&lt;=IF($S233=MesCiclo,InicioCiclo,$S233+MOD(2-WEEKDAY($S233),7))+6),1,IF(N($W233)&gt;0,AVERAGEIFS($Y$5:$Y$1000,$U$5:$U$1000,ROW(),$V$5:$V$1000,"Sub"),$Y233)))</f>
        <v/>
      </c>
      <c r="AD233" s="62">
        <f>IF($V233="","",IF(AND(ISNUMBER($G233),$G233&lt;=IF($S233=MesCiclo,InicioCiclo,$S233+MOD(2-WEEKDAY($S233),7))+13),1,IF(N($W233)&gt;0,AVERAGEIFS($Z$5:$Z$1000,$U$5:$U$1000,ROW(),$V$5:$V$1000,"Sub"),$Z233)))</f>
        <v/>
      </c>
      <c r="AE233" s="62">
        <f>IF($V233="","",IF(AND(ISNUMBER($G233),$G233&lt;=IF($S233=MesCiclo,InicioCiclo,$S233+MOD(2-WEEKDAY($S233),7))+20),1,IF(N($W233)&gt;0,AVERAGEIFS($AA$5:$AA$1000,$U$5:$U$1000,ROW(),$V$5:$V$1000,"Sub"),$AA233)))</f>
        <v/>
      </c>
      <c r="AF233" s="62">
        <f>IF($V233="","",IF(AND(ISNUMBER($G233),$G233&lt;=IF($S233=MesCiclo,InicioCiclo,$S233+MOD(2-WEEKDAY($S233),7))+27),1,IF(N($W233)&gt;0,AVERAGEIFS($AB$5:$AB$1000,$U$5:$U$1000,ROW(),$V$5:$V$1000,"Sub"),$AB233)))</f>
        <v/>
      </c>
      <c r="AG233" s="62">
        <f>IF($V233&lt;&gt;"Macro","",IF(COUNTIFS($S$5:$S$1000,$S233,$V$5:$V$1000,"Macro",$H$5:$H$1000,"&gt;0")=0,1/COUNTIFS($S$5:$S$1000,$S233,$V$5:$V$1000,"Macro"),IF(AND(ISNUMBER($H233),N($H233)&gt;0),$H233,SUMIFS($H$5:$H$1000,$S$5:$S$1000,$S233,$V$5:$V$1000,"Macro")/COUNTIFS($S$5:$S$1000,$S233,$V$5:$V$1000,"Macro",$H$5:$H$1000,"&gt;0"))/(COUNTIFS($S$5:$S$1000,$S233,$V$5:$V$1000,"Macro")*SUMIFS($H$5:$H$1000,$S$5:$S$1000,$S233,$V$5:$V$1000,"Macro")/COUNTIFS($S$5:$S$1000,$S233,$V$5:$V$1000,"Macro",$H$5:$H$1000,"&gt;0"))))</f>
        <v/>
      </c>
      <c r="AH233" s="62">
        <f>IF(NOT(AND($D233&lt;&gt;"",$V233="Macro")),"",IFERROR(CHOOSE(MATCH($D233,ListaPuestos,0),MATCH("[Jefatura] "&amp;$C233,'Cronograma R. Operacional'!$C$5:$C$1000,0),MATCH("[Jefatura] "&amp;$C233,'Cronograma R. Normativo'!$C$5:$C$1000,0),MATCH("[Jefatura] "&amp;$C233,'Cronograma R. Financiero'!$C$5:$C$1000,0),MATCH("[Jefatura] "&amp;$C233,'Cronograma Asistente Técnico'!$C$5:$C$1000,0)),0))</f>
        <v/>
      </c>
      <c r="AI233" s="62">
        <f>IF(AND(AND($D233&lt;&gt;"",$V233="Macro"),$S233=MesCiclo),COUNTIFS($D$5:$D233,$D233,$S$5:$S233,MesCiclo,$V$5:$V233,"Macro"),"")</f>
        <v/>
      </c>
      <c r="AJ233" s="62">
        <f>IF($AI233="","",$D233&amp;"|"&amp;$AI233)</f>
        <v/>
      </c>
      <c r="AK233" s="62">
        <f>IF(AND($D233&lt;&gt;"",$V233="Macro"),$D233&amp;"|"&amp;$C233,"")</f>
        <v/>
      </c>
      <c r="AL233" s="62">
        <f>""</f>
        <v/>
      </c>
      <c r="AM233" s="62">
        <f>IF(N($AL233)&gt;0,INDEX(rIni_ADM,$AL233),IF(ISNUMBER($E233),$E233,""))</f>
        <v/>
      </c>
      <c r="AN233" s="62">
        <f>IF(N($AL233)&gt;0,INDEX(rLim_ADM,$AL233),IF(ISNUMBER($F233),$F233,""))</f>
        <v/>
      </c>
    </row>
    <row r="234">
      <c r="A234" s="56">
        <f>IF(NOT((COUNTA($B234:$D234)+COUNTA($G234:$L234)+COUNTA($Q234))&gt;0),"",IF($V234="Macro",COUNTIFS($V$5:$V234,"Macro",$S$5:$S234,$S234),IF(N($U234)=0,"?",COUNTIFS(INDEX($V$5:$V$1000,1):INDEX($V$5:$V$1000,$U234-4),"Macro",INDEX($S$5:$S$1000,1):INDEX($S$5:$S$1000,$U234-4),INDEX($S$5:$S$1000,$U234-4))&amp;"."&amp;COUNTIFS($U$5:$U234,$U234,$V$5:$V234,"Sub"))))</f>
        <v/>
      </c>
      <c r="B234" s="57" t="n"/>
      <c r="C234" s="58" t="n"/>
      <c r="D234" s="58" t="n"/>
      <c r="E234" s="59" t="n"/>
      <c r="F234" s="59" t="n"/>
      <c r="G234" s="59" t="n"/>
      <c r="H234" s="60" t="n"/>
      <c r="I234" s="60" t="n"/>
      <c r="J234" s="60" t="n"/>
      <c r="K234" s="60" t="n"/>
      <c r="L234" s="60" t="n"/>
      <c r="M234" s="61">
        <f>IF(NOT((COUNTA($B234:$D234)+COUNTA($G234:$L234)+COUNTA($Q234))&gt;0),"",IF(AND($D234&lt;&gt;"",$V234="Macro"),IF(N($AH234)&gt;0,N(CHOOSE(MATCH($D234,ListaPuestos,0),INDEX('Cronograma R. Operacional'!$M$5:$M$1000,$AH234),INDEX('Cronograma R. Normativo'!$M$5:$M$1000,$AH234),INDEX('Cronograma R. Financiero'!$M$5:$M$1000,$AH234),INDEX('Cronograma Asistente Técnico'!$M$5:$M$1000,$AH234))),0),IF(ISNUMBER($G234),1,IF(N($W234)&gt;0,AVERAGEIFS($X$5:$X$1000,$U$5:$U$1000,ROW(),$V$5:$V$1000,"Sub"),$X234))))</f>
        <v/>
      </c>
      <c r="N234" s="56">
        <f>IF($M234="","",IF($M234&gt;=1,"Completado",IF($M234&gt;0,"En curso","Pendiente")))</f>
        <v/>
      </c>
      <c r="O234" s="56">
        <f>IF(NOT((COUNTA($B234:$D234)+COUNTA($G234:$L234)+COUNTA($Q234))&gt;0),"",IF(AND(AND($D234&lt;&gt;"",$V234="Macro"),N($AH234)&gt;0),CHOOSE(MATCH($D234,ListaPuestos,0),INDEX('Cronograma R. Operacional'!$O$5:$O$1000,$AH234),INDEX('Cronograma R. Normativo'!$O$5:$O$1000,$AH234),INDEX('Cronograma R. Financiero'!$O$5:$O$1000,$AH234),INDEX('Cronograma Asistente Técnico'!$O$5:$O$1000,$AH234))&amp;"",IF(ISNUMBER($G234),IF(AND(ISNUMBER($AN234),$G234&gt;$AN234),"Cumplida con "&amp;($G234-$AN234)&amp;IF($G234-$AN234=1," día"," días")&amp;" de retraso","Cumplida"),IF(N($M234)&gt;=1,"Cumplida",IF(NOT(ISNUMBER($AN234)),"Sin fecha límite",IF($AN234&lt;FechaRef,"Vencida hace "&amp;(FechaRef-$AN234)&amp;IF(FechaRef-$AN234=1," día"," días"),IF($AN234=FechaRef,"Vence hoy",IF($AN234-FechaRef&lt;=DiasAlerta,"Vence en "&amp;($AN234-FechaRef)&amp;IF($AN234-FechaRef=1," día"," días"),"En plazo"))))))))</f>
        <v/>
      </c>
      <c r="P234" s="62">
        <f>IF(NOT((COUNTA($B234:$D234)+COUNTA($G234:$L234)+COUNTA($Q234))&gt;0),"",IF($D234="","Propia",IF($V234&lt;&gt;"Macro","Solo se delegan macroactividades",IF(N($AH234)&gt;0,"✔ Recibida por "&amp;$D234,"⚠ "&amp;$D234&amp;" aún no la agrega"))))</f>
        <v/>
      </c>
      <c r="Q234" s="58" t="n"/>
      <c r="R234" s="63">
        <f>IF(NOT((COUNTA($B234:$D234)+COUNTA($G234:$L234)+COUNTA($Q234))&gt;0),"",IF((IF($C234="","Falta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",""))="","✔ OK","⚠ "&amp;LEFT(IF($C234="","Falta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",""),LEN(IF($C234="","Falta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",""))-3)))</f>
        <v/>
      </c>
      <c r="S234" s="64">
        <f>IF(NOT((COUNTA($B234:$D234)+COUNTA($G234:$L234)+COUNTA($Q234))&gt;0),"",IF(AND($V234="Sub",N($U234)&gt;0),IF(ISNUMBER(INDEX($AM$5:$AM$1000,$U234-4)),DATE(YEAR(INDEX($AM$5:$AM$1000,$U234-4)),MONTH(INDEX($AM$5:$AM$1000,$U234-4)),1),IF(ISNUMBER(INDEX($AN$5:$AN$1000,$U234-4)),DATE(YEAR(INDEX($AN$5:$AN$1000,$U234-4)),MONTH(INDEX($AN$5:$AN$1000,$U234-4)),1),MesCiclo)),IF(ISNUMBER($AM234),DATE(YEAR($AM234),MONTH($AM234),1),IF(ISNUMBER($AN234),DATE(YEAR($AN234),MONTH($AN234),1),MesCiclo))))</f>
        <v/>
      </c>
      <c r="T234" s="62">
        <f>IF(OR($S234="",$S234&lt;&gt;MesCiclo),"",COUNTIF($S$5:$S234,MesCiclo))</f>
        <v/>
      </c>
      <c r="U234" s="62">
        <f>IF($V234="","",IF($V234="Macro",ROW(),IFERROR(LOOKUP(2,1/($V$5:$V234="Macro"),ROW($V$5:$V234)),0)))</f>
        <v/>
      </c>
      <c r="V234" s="62">
        <f>IF(NOT((COUNTA($B234:$D234)+COUNTA($G234:$L234)+COUNTA($Q234))&gt;0),"",IF($B234="Subactividad","Sub","Macro"))</f>
        <v/>
      </c>
      <c r="W234" s="62">
        <f>IF($V234="Macro",COUNTIFS($U$5:$U$1000,ROW(),$V$5:$V$1000,"Sub"),"")</f>
        <v/>
      </c>
      <c r="X234" s="62">
        <f>IF($V234="","",IF(ISNUMBER($G234),1,IFERROR(LOOKUP(2,1/($I234:$L234&lt;&gt;""),$I234:$L234),0)))</f>
        <v/>
      </c>
      <c r="Y234" s="62">
        <f>IF($V234="","",IF(AND(ISNUMBER($G234),$G234&lt;=IF($S234=MesCiclo,InicioCiclo,$S234+MOD(2-WEEKDAY($S234),7))+6),1,IF(ISNUMBER($I234),$I234,0)))</f>
        <v/>
      </c>
      <c r="Z234" s="62">
        <f>IF($V234="","",IF(AND(ISNUMBER($G234),$G234&lt;=IF($S234=MesCiclo,InicioCiclo,$S234+MOD(2-WEEKDAY($S234),7))+13),1,IF(ISNUMBER($J234),$J234,$Y234)))</f>
        <v/>
      </c>
      <c r="AA234" s="62">
        <f>IF($V234="","",IF(AND(ISNUMBER($G234),$G234&lt;=IF($S234=MesCiclo,InicioCiclo,$S234+MOD(2-WEEKDAY($S234),7))+20),1,IF(ISNUMBER($K234),$K234,$Z234)))</f>
        <v/>
      </c>
      <c r="AB234" s="62">
        <f>IF($V234="","",IF(AND(ISNUMBER($G234),$G234&lt;=IF($S234=MesCiclo,InicioCiclo,$S234+MOD(2-WEEKDAY($S234),7))+27),1,IF(ISNUMBER($L234),$L234,$AA234)))</f>
        <v/>
      </c>
      <c r="AC234" s="62">
        <f>IF($V234="","",IF(AND(ISNUMBER($G234),$G234&lt;=IF($S234=MesCiclo,InicioCiclo,$S234+MOD(2-WEEKDAY($S234),7))+6),1,IF(N($W234)&gt;0,AVERAGEIFS($Y$5:$Y$1000,$U$5:$U$1000,ROW(),$V$5:$V$1000,"Sub"),$Y234)))</f>
        <v/>
      </c>
      <c r="AD234" s="62">
        <f>IF($V234="","",IF(AND(ISNUMBER($G234),$G234&lt;=IF($S234=MesCiclo,InicioCiclo,$S234+MOD(2-WEEKDAY($S234),7))+13),1,IF(N($W234)&gt;0,AVERAGEIFS($Z$5:$Z$1000,$U$5:$U$1000,ROW(),$V$5:$V$1000,"Sub"),$Z234)))</f>
        <v/>
      </c>
      <c r="AE234" s="62">
        <f>IF($V234="","",IF(AND(ISNUMBER($G234),$G234&lt;=IF($S234=MesCiclo,InicioCiclo,$S234+MOD(2-WEEKDAY($S234),7))+20),1,IF(N($W234)&gt;0,AVERAGEIFS($AA$5:$AA$1000,$U$5:$U$1000,ROW(),$V$5:$V$1000,"Sub"),$AA234)))</f>
        <v/>
      </c>
      <c r="AF234" s="62">
        <f>IF($V234="","",IF(AND(ISNUMBER($G234),$G234&lt;=IF($S234=MesCiclo,InicioCiclo,$S234+MOD(2-WEEKDAY($S234),7))+27),1,IF(N($W234)&gt;0,AVERAGEIFS($AB$5:$AB$1000,$U$5:$U$1000,ROW(),$V$5:$V$1000,"Sub"),$AB234)))</f>
        <v/>
      </c>
      <c r="AG234" s="62">
        <f>IF($V234&lt;&gt;"Macro","",IF(COUNTIFS($S$5:$S$1000,$S234,$V$5:$V$1000,"Macro",$H$5:$H$1000,"&gt;0")=0,1/COUNTIFS($S$5:$S$1000,$S234,$V$5:$V$1000,"Macro"),IF(AND(ISNUMBER($H234),N($H234)&gt;0),$H234,SUMIFS($H$5:$H$1000,$S$5:$S$1000,$S234,$V$5:$V$1000,"Macro")/COUNTIFS($S$5:$S$1000,$S234,$V$5:$V$1000,"Macro",$H$5:$H$1000,"&gt;0"))/(COUNTIFS($S$5:$S$1000,$S234,$V$5:$V$1000,"Macro")*SUMIFS($H$5:$H$1000,$S$5:$S$1000,$S234,$V$5:$V$1000,"Macro")/COUNTIFS($S$5:$S$1000,$S234,$V$5:$V$1000,"Macro",$H$5:$H$1000,"&gt;0"))))</f>
        <v/>
      </c>
      <c r="AH234" s="62">
        <f>IF(NOT(AND($D234&lt;&gt;"",$V234="Macro")),"",IFERROR(CHOOSE(MATCH($D234,ListaPuestos,0),MATCH("[Jefatura] "&amp;$C234,'Cronograma R. Operacional'!$C$5:$C$1000,0),MATCH("[Jefatura] "&amp;$C234,'Cronograma R. Normativo'!$C$5:$C$1000,0),MATCH("[Jefatura] "&amp;$C234,'Cronograma R. Financiero'!$C$5:$C$1000,0),MATCH("[Jefatura] "&amp;$C234,'Cronograma Asistente Técnico'!$C$5:$C$1000,0)),0))</f>
        <v/>
      </c>
      <c r="AI234" s="62">
        <f>IF(AND(AND($D234&lt;&gt;"",$V234="Macro"),$S234=MesCiclo),COUNTIFS($D$5:$D234,$D234,$S$5:$S234,MesCiclo,$V$5:$V234,"Macro"),"")</f>
        <v/>
      </c>
      <c r="AJ234" s="62">
        <f>IF($AI234="","",$D234&amp;"|"&amp;$AI234)</f>
        <v/>
      </c>
      <c r="AK234" s="62">
        <f>IF(AND($D234&lt;&gt;"",$V234="Macro"),$D234&amp;"|"&amp;$C234,"")</f>
        <v/>
      </c>
      <c r="AL234" s="62">
        <f>""</f>
        <v/>
      </c>
      <c r="AM234" s="62">
        <f>IF(N($AL234)&gt;0,INDEX(rIni_ADM,$AL234),IF(ISNUMBER($E234),$E234,""))</f>
        <v/>
      </c>
      <c r="AN234" s="62">
        <f>IF(N($AL234)&gt;0,INDEX(rLim_ADM,$AL234),IF(ISNUMBER($F234),$F234,""))</f>
        <v/>
      </c>
    </row>
    <row r="235">
      <c r="A235" s="56">
        <f>IF(NOT((COUNTA($B235:$D235)+COUNTA($G235:$L235)+COUNTA($Q235))&gt;0),"",IF($V235="Macro",COUNTIFS($V$5:$V235,"Macro",$S$5:$S235,$S235),IF(N($U235)=0,"?",COUNTIFS(INDEX($V$5:$V$1000,1):INDEX($V$5:$V$1000,$U235-4),"Macro",INDEX($S$5:$S$1000,1):INDEX($S$5:$S$1000,$U235-4),INDEX($S$5:$S$1000,$U235-4))&amp;"."&amp;COUNTIFS($U$5:$U235,$U235,$V$5:$V235,"Sub"))))</f>
        <v/>
      </c>
      <c r="B235" s="57" t="n"/>
      <c r="C235" s="58" t="n"/>
      <c r="D235" s="58" t="n"/>
      <c r="E235" s="59" t="n"/>
      <c r="F235" s="59" t="n"/>
      <c r="G235" s="59" t="n"/>
      <c r="H235" s="60" t="n"/>
      <c r="I235" s="60" t="n"/>
      <c r="J235" s="60" t="n"/>
      <c r="K235" s="60" t="n"/>
      <c r="L235" s="60" t="n"/>
      <c r="M235" s="61">
        <f>IF(NOT((COUNTA($B235:$D235)+COUNTA($G235:$L235)+COUNTA($Q235))&gt;0),"",IF(AND($D235&lt;&gt;"",$V235="Macro"),IF(N($AH235)&gt;0,N(CHOOSE(MATCH($D235,ListaPuestos,0),INDEX('Cronograma R. Operacional'!$M$5:$M$1000,$AH235),INDEX('Cronograma R. Normativo'!$M$5:$M$1000,$AH235),INDEX('Cronograma R. Financiero'!$M$5:$M$1000,$AH235),INDEX('Cronograma Asistente Técnico'!$M$5:$M$1000,$AH235))),0),IF(ISNUMBER($G235),1,IF(N($W235)&gt;0,AVERAGEIFS($X$5:$X$1000,$U$5:$U$1000,ROW(),$V$5:$V$1000,"Sub"),$X235))))</f>
        <v/>
      </c>
      <c r="N235" s="56">
        <f>IF($M235="","",IF($M235&gt;=1,"Completado",IF($M235&gt;0,"En curso","Pendiente")))</f>
        <v/>
      </c>
      <c r="O235" s="56">
        <f>IF(NOT((COUNTA($B235:$D235)+COUNTA($G235:$L235)+COUNTA($Q235))&gt;0),"",IF(AND(AND($D235&lt;&gt;"",$V235="Macro"),N($AH235)&gt;0),CHOOSE(MATCH($D235,ListaPuestos,0),INDEX('Cronograma R. Operacional'!$O$5:$O$1000,$AH235),INDEX('Cronograma R. Normativo'!$O$5:$O$1000,$AH235),INDEX('Cronograma R. Financiero'!$O$5:$O$1000,$AH235),INDEX('Cronograma Asistente Técnico'!$O$5:$O$1000,$AH235))&amp;"",IF(ISNUMBER($G235),IF(AND(ISNUMBER($AN235),$G235&gt;$AN235),"Cumplida con "&amp;($G235-$AN235)&amp;IF($G235-$AN235=1," día"," días")&amp;" de retraso","Cumplida"),IF(N($M235)&gt;=1,"Cumplida",IF(NOT(ISNUMBER($AN235)),"Sin fecha límite",IF($AN235&lt;FechaRef,"Vencida hace "&amp;(FechaRef-$AN235)&amp;IF(FechaRef-$AN235=1," día"," días"),IF($AN235=FechaRef,"Vence hoy",IF($AN235-FechaRef&lt;=DiasAlerta,"Vence en "&amp;($AN235-FechaRef)&amp;IF($AN235-FechaRef=1," día"," días"),"En plazo"))))))))</f>
        <v/>
      </c>
      <c r="P235" s="62">
        <f>IF(NOT((COUNTA($B235:$D235)+COUNTA($G235:$L235)+COUNTA($Q235))&gt;0),"",IF($D235="","Propia",IF($V235&lt;&gt;"Macro","Solo se delegan macroactividades",IF(N($AH235)&gt;0,"✔ Recibida por "&amp;$D235,"⚠ "&amp;$D235&amp;" aún no la agrega"))))</f>
        <v/>
      </c>
      <c r="Q235" s="58" t="n"/>
      <c r="R235" s="63">
        <f>IF(NOT((COUNTA($B235:$D235)+COUNTA($G235:$L235)+COUNTA($Q235))&gt;0),"",IF((IF($C235="","Falta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",""))="","✔ OK","⚠ "&amp;LEFT(IF($C235="","Falta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",""),LEN(IF($C235="","Falta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",""))-3)))</f>
        <v/>
      </c>
      <c r="S235" s="64">
        <f>IF(NOT((COUNTA($B235:$D235)+COUNTA($G235:$L235)+COUNTA($Q235))&gt;0),"",IF(AND($V235="Sub",N($U235)&gt;0),IF(ISNUMBER(INDEX($AM$5:$AM$1000,$U235-4)),DATE(YEAR(INDEX($AM$5:$AM$1000,$U235-4)),MONTH(INDEX($AM$5:$AM$1000,$U235-4)),1),IF(ISNUMBER(INDEX($AN$5:$AN$1000,$U235-4)),DATE(YEAR(INDEX($AN$5:$AN$1000,$U235-4)),MONTH(INDEX($AN$5:$AN$1000,$U235-4)),1),MesCiclo)),IF(ISNUMBER($AM235),DATE(YEAR($AM235),MONTH($AM235),1),IF(ISNUMBER($AN235),DATE(YEAR($AN235),MONTH($AN235),1),MesCiclo))))</f>
        <v/>
      </c>
      <c r="T235" s="62">
        <f>IF(OR($S235="",$S235&lt;&gt;MesCiclo),"",COUNTIF($S$5:$S235,MesCiclo))</f>
        <v/>
      </c>
      <c r="U235" s="62">
        <f>IF($V235="","",IF($V235="Macro",ROW(),IFERROR(LOOKUP(2,1/($V$5:$V235="Macro"),ROW($V$5:$V235)),0)))</f>
        <v/>
      </c>
      <c r="V235" s="62">
        <f>IF(NOT((COUNTA($B235:$D235)+COUNTA($G235:$L235)+COUNTA($Q235))&gt;0),"",IF($B235="Subactividad","Sub","Macro"))</f>
        <v/>
      </c>
      <c r="W235" s="62">
        <f>IF($V235="Macro",COUNTIFS($U$5:$U$1000,ROW(),$V$5:$V$1000,"Sub"),"")</f>
        <v/>
      </c>
      <c r="X235" s="62">
        <f>IF($V235="","",IF(ISNUMBER($G235),1,IFERROR(LOOKUP(2,1/($I235:$L235&lt;&gt;""),$I235:$L235),0)))</f>
        <v/>
      </c>
      <c r="Y235" s="62">
        <f>IF($V235="","",IF(AND(ISNUMBER($G235),$G235&lt;=IF($S235=MesCiclo,InicioCiclo,$S235+MOD(2-WEEKDAY($S235),7))+6),1,IF(ISNUMBER($I235),$I235,0)))</f>
        <v/>
      </c>
      <c r="Z235" s="62">
        <f>IF($V235="","",IF(AND(ISNUMBER($G235),$G235&lt;=IF($S235=MesCiclo,InicioCiclo,$S235+MOD(2-WEEKDAY($S235),7))+13),1,IF(ISNUMBER($J235),$J235,$Y235)))</f>
        <v/>
      </c>
      <c r="AA235" s="62">
        <f>IF($V235="","",IF(AND(ISNUMBER($G235),$G235&lt;=IF($S235=MesCiclo,InicioCiclo,$S235+MOD(2-WEEKDAY($S235),7))+20),1,IF(ISNUMBER($K235),$K235,$Z235)))</f>
        <v/>
      </c>
      <c r="AB235" s="62">
        <f>IF($V235="","",IF(AND(ISNUMBER($G235),$G235&lt;=IF($S235=MesCiclo,InicioCiclo,$S235+MOD(2-WEEKDAY($S235),7))+27),1,IF(ISNUMBER($L235),$L235,$AA235)))</f>
        <v/>
      </c>
      <c r="AC235" s="62">
        <f>IF($V235="","",IF(AND(ISNUMBER($G235),$G235&lt;=IF($S235=MesCiclo,InicioCiclo,$S235+MOD(2-WEEKDAY($S235),7))+6),1,IF(N($W235)&gt;0,AVERAGEIFS($Y$5:$Y$1000,$U$5:$U$1000,ROW(),$V$5:$V$1000,"Sub"),$Y235)))</f>
        <v/>
      </c>
      <c r="AD235" s="62">
        <f>IF($V235="","",IF(AND(ISNUMBER($G235),$G235&lt;=IF($S235=MesCiclo,InicioCiclo,$S235+MOD(2-WEEKDAY($S235),7))+13),1,IF(N($W235)&gt;0,AVERAGEIFS($Z$5:$Z$1000,$U$5:$U$1000,ROW(),$V$5:$V$1000,"Sub"),$Z235)))</f>
        <v/>
      </c>
      <c r="AE235" s="62">
        <f>IF($V235="","",IF(AND(ISNUMBER($G235),$G235&lt;=IF($S235=MesCiclo,InicioCiclo,$S235+MOD(2-WEEKDAY($S235),7))+20),1,IF(N($W235)&gt;0,AVERAGEIFS($AA$5:$AA$1000,$U$5:$U$1000,ROW(),$V$5:$V$1000,"Sub"),$AA235)))</f>
        <v/>
      </c>
      <c r="AF235" s="62">
        <f>IF($V235="","",IF(AND(ISNUMBER($G235),$G235&lt;=IF($S235=MesCiclo,InicioCiclo,$S235+MOD(2-WEEKDAY($S235),7))+27),1,IF(N($W235)&gt;0,AVERAGEIFS($AB$5:$AB$1000,$U$5:$U$1000,ROW(),$V$5:$V$1000,"Sub"),$AB235)))</f>
        <v/>
      </c>
      <c r="AG235" s="62">
        <f>IF($V235&lt;&gt;"Macro","",IF(COUNTIFS($S$5:$S$1000,$S235,$V$5:$V$1000,"Macro",$H$5:$H$1000,"&gt;0")=0,1/COUNTIFS($S$5:$S$1000,$S235,$V$5:$V$1000,"Macro"),IF(AND(ISNUMBER($H235),N($H235)&gt;0),$H235,SUMIFS($H$5:$H$1000,$S$5:$S$1000,$S235,$V$5:$V$1000,"Macro")/COUNTIFS($S$5:$S$1000,$S235,$V$5:$V$1000,"Macro",$H$5:$H$1000,"&gt;0"))/(COUNTIFS($S$5:$S$1000,$S235,$V$5:$V$1000,"Macro")*SUMIFS($H$5:$H$1000,$S$5:$S$1000,$S235,$V$5:$V$1000,"Macro")/COUNTIFS($S$5:$S$1000,$S235,$V$5:$V$1000,"Macro",$H$5:$H$1000,"&gt;0"))))</f>
        <v/>
      </c>
      <c r="AH235" s="62">
        <f>IF(NOT(AND($D235&lt;&gt;"",$V235="Macro")),"",IFERROR(CHOOSE(MATCH($D235,ListaPuestos,0),MATCH("[Jefatura] "&amp;$C235,'Cronograma R. Operacional'!$C$5:$C$1000,0),MATCH("[Jefatura] "&amp;$C235,'Cronograma R. Normativo'!$C$5:$C$1000,0),MATCH("[Jefatura] "&amp;$C235,'Cronograma R. Financiero'!$C$5:$C$1000,0),MATCH("[Jefatura] "&amp;$C235,'Cronograma Asistente Técnico'!$C$5:$C$1000,0)),0))</f>
        <v/>
      </c>
      <c r="AI235" s="62">
        <f>IF(AND(AND($D235&lt;&gt;"",$V235="Macro"),$S235=MesCiclo),COUNTIFS($D$5:$D235,$D235,$S$5:$S235,MesCiclo,$V$5:$V235,"Macro"),"")</f>
        <v/>
      </c>
      <c r="AJ235" s="62">
        <f>IF($AI235="","",$D235&amp;"|"&amp;$AI235)</f>
        <v/>
      </c>
      <c r="AK235" s="62">
        <f>IF(AND($D235&lt;&gt;"",$V235="Macro"),$D235&amp;"|"&amp;$C235,"")</f>
        <v/>
      </c>
      <c r="AL235" s="62">
        <f>""</f>
        <v/>
      </c>
      <c r="AM235" s="62">
        <f>IF(N($AL235)&gt;0,INDEX(rIni_ADM,$AL235),IF(ISNUMBER($E235),$E235,""))</f>
        <v/>
      </c>
      <c r="AN235" s="62">
        <f>IF(N($AL235)&gt;0,INDEX(rLim_ADM,$AL235),IF(ISNUMBER($F235),$F235,""))</f>
        <v/>
      </c>
    </row>
    <row r="236">
      <c r="A236" s="56">
        <f>IF(NOT((COUNTA($B236:$D236)+COUNTA($G236:$L236)+COUNTA($Q236))&gt;0),"",IF($V236="Macro",COUNTIFS($V$5:$V236,"Macro",$S$5:$S236,$S236),IF(N($U236)=0,"?",COUNTIFS(INDEX($V$5:$V$1000,1):INDEX($V$5:$V$1000,$U236-4),"Macro",INDEX($S$5:$S$1000,1):INDEX($S$5:$S$1000,$U236-4),INDEX($S$5:$S$1000,$U236-4))&amp;"."&amp;COUNTIFS($U$5:$U236,$U236,$V$5:$V236,"Sub"))))</f>
        <v/>
      </c>
      <c r="B236" s="57" t="n"/>
      <c r="C236" s="58" t="n"/>
      <c r="D236" s="58" t="n"/>
      <c r="E236" s="59" t="n"/>
      <c r="F236" s="59" t="n"/>
      <c r="G236" s="59" t="n"/>
      <c r="H236" s="60" t="n"/>
      <c r="I236" s="60" t="n"/>
      <c r="J236" s="60" t="n"/>
      <c r="K236" s="60" t="n"/>
      <c r="L236" s="60" t="n"/>
      <c r="M236" s="61">
        <f>IF(NOT((COUNTA($B236:$D236)+COUNTA($G236:$L236)+COUNTA($Q236))&gt;0),"",IF(AND($D236&lt;&gt;"",$V236="Macro"),IF(N($AH236)&gt;0,N(CHOOSE(MATCH($D236,ListaPuestos,0),INDEX('Cronograma R. Operacional'!$M$5:$M$1000,$AH236),INDEX('Cronograma R. Normativo'!$M$5:$M$1000,$AH236),INDEX('Cronograma R. Financiero'!$M$5:$M$1000,$AH236),INDEX('Cronograma Asistente Técnico'!$M$5:$M$1000,$AH236))),0),IF(ISNUMBER($G236),1,IF(N($W236)&gt;0,AVERAGEIFS($X$5:$X$1000,$U$5:$U$1000,ROW(),$V$5:$V$1000,"Sub"),$X236))))</f>
        <v/>
      </c>
      <c r="N236" s="56">
        <f>IF($M236="","",IF($M236&gt;=1,"Completado",IF($M236&gt;0,"En curso","Pendiente")))</f>
        <v/>
      </c>
      <c r="O236" s="56">
        <f>IF(NOT((COUNTA($B236:$D236)+COUNTA($G236:$L236)+COUNTA($Q236))&gt;0),"",IF(AND(AND($D236&lt;&gt;"",$V236="Macro"),N($AH236)&gt;0),CHOOSE(MATCH($D236,ListaPuestos,0),INDEX('Cronograma R. Operacional'!$O$5:$O$1000,$AH236),INDEX('Cronograma R. Normativo'!$O$5:$O$1000,$AH236),INDEX('Cronograma R. Financiero'!$O$5:$O$1000,$AH236),INDEX('Cronograma Asistente Técnico'!$O$5:$O$1000,$AH236))&amp;"",IF(ISNUMBER($G236),IF(AND(ISNUMBER($AN236),$G236&gt;$AN236),"Cumplida con "&amp;($G236-$AN236)&amp;IF($G236-$AN236=1," día"," días")&amp;" de retraso","Cumplida"),IF(N($M236)&gt;=1,"Cumplida",IF(NOT(ISNUMBER($AN236)),"Sin fecha límite",IF($AN236&lt;FechaRef,"Vencida hace "&amp;(FechaRef-$AN236)&amp;IF(FechaRef-$AN236=1," día"," días"),IF($AN236=FechaRef,"Vence hoy",IF($AN236-FechaRef&lt;=DiasAlerta,"Vence en "&amp;($AN236-FechaRef)&amp;IF($AN236-FechaRef=1," día"," días"),"En plazo"))))))))</f>
        <v/>
      </c>
      <c r="P236" s="62">
        <f>IF(NOT((COUNTA($B236:$D236)+COUNTA($G236:$L236)+COUNTA($Q236))&gt;0),"",IF($D236="","Propia",IF($V236&lt;&gt;"Macro","Solo se delegan macroactividades",IF(N($AH236)&gt;0,"✔ Recibida por "&amp;$D236,"⚠ "&amp;$D236&amp;" aún no la agrega"))))</f>
        <v/>
      </c>
      <c r="Q236" s="58" t="n"/>
      <c r="R236" s="63">
        <f>IF(NOT((COUNTA($B236:$D236)+COUNTA($G236:$L236)+COUNTA($Q236))&gt;0),"",IF((IF($C236="","Falta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",""))="","✔ OK","⚠ "&amp;LEFT(IF($C236="","Falta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",""),LEN(IF($C236="","Falta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",""))-3)))</f>
        <v/>
      </c>
      <c r="S236" s="64">
        <f>IF(NOT((COUNTA($B236:$D236)+COUNTA($G236:$L236)+COUNTA($Q236))&gt;0),"",IF(AND($V236="Sub",N($U236)&gt;0),IF(ISNUMBER(INDEX($AM$5:$AM$1000,$U236-4)),DATE(YEAR(INDEX($AM$5:$AM$1000,$U236-4)),MONTH(INDEX($AM$5:$AM$1000,$U236-4)),1),IF(ISNUMBER(INDEX($AN$5:$AN$1000,$U236-4)),DATE(YEAR(INDEX($AN$5:$AN$1000,$U236-4)),MONTH(INDEX($AN$5:$AN$1000,$U236-4)),1),MesCiclo)),IF(ISNUMBER($AM236),DATE(YEAR($AM236),MONTH($AM236),1),IF(ISNUMBER($AN236),DATE(YEAR($AN236),MONTH($AN236),1),MesCiclo))))</f>
        <v/>
      </c>
      <c r="T236" s="62">
        <f>IF(OR($S236="",$S236&lt;&gt;MesCiclo),"",COUNTIF($S$5:$S236,MesCiclo))</f>
        <v/>
      </c>
      <c r="U236" s="62">
        <f>IF($V236="","",IF($V236="Macro",ROW(),IFERROR(LOOKUP(2,1/($V$5:$V236="Macro"),ROW($V$5:$V236)),0)))</f>
        <v/>
      </c>
      <c r="V236" s="62">
        <f>IF(NOT((COUNTA($B236:$D236)+COUNTA($G236:$L236)+COUNTA($Q236))&gt;0),"",IF($B236="Subactividad","Sub","Macro"))</f>
        <v/>
      </c>
      <c r="W236" s="62">
        <f>IF($V236="Macro",COUNTIFS($U$5:$U$1000,ROW(),$V$5:$V$1000,"Sub"),"")</f>
        <v/>
      </c>
      <c r="X236" s="62">
        <f>IF($V236="","",IF(ISNUMBER($G236),1,IFERROR(LOOKUP(2,1/($I236:$L236&lt;&gt;""),$I236:$L236),0)))</f>
        <v/>
      </c>
      <c r="Y236" s="62">
        <f>IF($V236="","",IF(AND(ISNUMBER($G236),$G236&lt;=IF($S236=MesCiclo,InicioCiclo,$S236+MOD(2-WEEKDAY($S236),7))+6),1,IF(ISNUMBER($I236),$I236,0)))</f>
        <v/>
      </c>
      <c r="Z236" s="62">
        <f>IF($V236="","",IF(AND(ISNUMBER($G236),$G236&lt;=IF($S236=MesCiclo,InicioCiclo,$S236+MOD(2-WEEKDAY($S236),7))+13),1,IF(ISNUMBER($J236),$J236,$Y236)))</f>
        <v/>
      </c>
      <c r="AA236" s="62">
        <f>IF($V236="","",IF(AND(ISNUMBER($G236),$G236&lt;=IF($S236=MesCiclo,InicioCiclo,$S236+MOD(2-WEEKDAY($S236),7))+20),1,IF(ISNUMBER($K236),$K236,$Z236)))</f>
        <v/>
      </c>
      <c r="AB236" s="62">
        <f>IF($V236="","",IF(AND(ISNUMBER($G236),$G236&lt;=IF($S236=MesCiclo,InicioCiclo,$S236+MOD(2-WEEKDAY($S236),7))+27),1,IF(ISNUMBER($L236),$L236,$AA236)))</f>
        <v/>
      </c>
      <c r="AC236" s="62">
        <f>IF($V236="","",IF(AND(ISNUMBER($G236),$G236&lt;=IF($S236=MesCiclo,InicioCiclo,$S236+MOD(2-WEEKDAY($S236),7))+6),1,IF(N($W236)&gt;0,AVERAGEIFS($Y$5:$Y$1000,$U$5:$U$1000,ROW(),$V$5:$V$1000,"Sub"),$Y236)))</f>
        <v/>
      </c>
      <c r="AD236" s="62">
        <f>IF($V236="","",IF(AND(ISNUMBER($G236),$G236&lt;=IF($S236=MesCiclo,InicioCiclo,$S236+MOD(2-WEEKDAY($S236),7))+13),1,IF(N($W236)&gt;0,AVERAGEIFS($Z$5:$Z$1000,$U$5:$U$1000,ROW(),$V$5:$V$1000,"Sub"),$Z236)))</f>
        <v/>
      </c>
      <c r="AE236" s="62">
        <f>IF($V236="","",IF(AND(ISNUMBER($G236),$G236&lt;=IF($S236=MesCiclo,InicioCiclo,$S236+MOD(2-WEEKDAY($S236),7))+20),1,IF(N($W236)&gt;0,AVERAGEIFS($AA$5:$AA$1000,$U$5:$U$1000,ROW(),$V$5:$V$1000,"Sub"),$AA236)))</f>
        <v/>
      </c>
      <c r="AF236" s="62">
        <f>IF($V236="","",IF(AND(ISNUMBER($G236),$G236&lt;=IF($S236=MesCiclo,InicioCiclo,$S236+MOD(2-WEEKDAY($S236),7))+27),1,IF(N($W236)&gt;0,AVERAGEIFS($AB$5:$AB$1000,$U$5:$U$1000,ROW(),$V$5:$V$1000,"Sub"),$AB236)))</f>
        <v/>
      </c>
      <c r="AG236" s="62">
        <f>IF($V236&lt;&gt;"Macro","",IF(COUNTIFS($S$5:$S$1000,$S236,$V$5:$V$1000,"Macro",$H$5:$H$1000,"&gt;0")=0,1/COUNTIFS($S$5:$S$1000,$S236,$V$5:$V$1000,"Macro"),IF(AND(ISNUMBER($H236),N($H236)&gt;0),$H236,SUMIFS($H$5:$H$1000,$S$5:$S$1000,$S236,$V$5:$V$1000,"Macro")/COUNTIFS($S$5:$S$1000,$S236,$V$5:$V$1000,"Macro",$H$5:$H$1000,"&gt;0"))/(COUNTIFS($S$5:$S$1000,$S236,$V$5:$V$1000,"Macro")*SUMIFS($H$5:$H$1000,$S$5:$S$1000,$S236,$V$5:$V$1000,"Macro")/COUNTIFS($S$5:$S$1000,$S236,$V$5:$V$1000,"Macro",$H$5:$H$1000,"&gt;0"))))</f>
        <v/>
      </c>
      <c r="AH236" s="62">
        <f>IF(NOT(AND($D236&lt;&gt;"",$V236="Macro")),"",IFERROR(CHOOSE(MATCH($D236,ListaPuestos,0),MATCH("[Jefatura] "&amp;$C236,'Cronograma R. Operacional'!$C$5:$C$1000,0),MATCH("[Jefatura] "&amp;$C236,'Cronograma R. Normativo'!$C$5:$C$1000,0),MATCH("[Jefatura] "&amp;$C236,'Cronograma R. Financiero'!$C$5:$C$1000,0),MATCH("[Jefatura] "&amp;$C236,'Cronograma Asistente Técnico'!$C$5:$C$1000,0)),0))</f>
        <v/>
      </c>
      <c r="AI236" s="62">
        <f>IF(AND(AND($D236&lt;&gt;"",$V236="Macro"),$S236=MesCiclo),COUNTIFS($D$5:$D236,$D236,$S$5:$S236,MesCiclo,$V$5:$V236,"Macro"),"")</f>
        <v/>
      </c>
      <c r="AJ236" s="62">
        <f>IF($AI236="","",$D236&amp;"|"&amp;$AI236)</f>
        <v/>
      </c>
      <c r="AK236" s="62">
        <f>IF(AND($D236&lt;&gt;"",$V236="Macro"),$D236&amp;"|"&amp;$C236,"")</f>
        <v/>
      </c>
      <c r="AL236" s="62">
        <f>""</f>
        <v/>
      </c>
      <c r="AM236" s="62">
        <f>IF(N($AL236)&gt;0,INDEX(rIni_ADM,$AL236),IF(ISNUMBER($E236),$E236,""))</f>
        <v/>
      </c>
      <c r="AN236" s="62">
        <f>IF(N($AL236)&gt;0,INDEX(rLim_ADM,$AL236),IF(ISNUMBER($F236),$F236,""))</f>
        <v/>
      </c>
    </row>
    <row r="237">
      <c r="A237" s="56">
        <f>IF(NOT((COUNTA($B237:$D237)+COUNTA($G237:$L237)+COUNTA($Q237))&gt;0),"",IF($V237="Macro",COUNTIFS($V$5:$V237,"Macro",$S$5:$S237,$S237),IF(N($U237)=0,"?",COUNTIFS(INDEX($V$5:$V$1000,1):INDEX($V$5:$V$1000,$U237-4),"Macro",INDEX($S$5:$S$1000,1):INDEX($S$5:$S$1000,$U237-4),INDEX($S$5:$S$1000,$U237-4))&amp;"."&amp;COUNTIFS($U$5:$U237,$U237,$V$5:$V237,"Sub"))))</f>
        <v/>
      </c>
      <c r="B237" s="57" t="n"/>
      <c r="C237" s="58" t="n"/>
      <c r="D237" s="58" t="n"/>
      <c r="E237" s="59" t="n"/>
      <c r="F237" s="59" t="n"/>
      <c r="G237" s="59" t="n"/>
      <c r="H237" s="60" t="n"/>
      <c r="I237" s="60" t="n"/>
      <c r="J237" s="60" t="n"/>
      <c r="K237" s="60" t="n"/>
      <c r="L237" s="60" t="n"/>
      <c r="M237" s="61">
        <f>IF(NOT((COUNTA($B237:$D237)+COUNTA($G237:$L237)+COUNTA($Q237))&gt;0),"",IF(AND($D237&lt;&gt;"",$V237="Macro"),IF(N($AH237)&gt;0,N(CHOOSE(MATCH($D237,ListaPuestos,0),INDEX('Cronograma R. Operacional'!$M$5:$M$1000,$AH237),INDEX('Cronograma R. Normativo'!$M$5:$M$1000,$AH237),INDEX('Cronograma R. Financiero'!$M$5:$M$1000,$AH237),INDEX('Cronograma Asistente Técnico'!$M$5:$M$1000,$AH237))),0),IF(ISNUMBER($G237),1,IF(N($W237)&gt;0,AVERAGEIFS($X$5:$X$1000,$U$5:$U$1000,ROW(),$V$5:$V$1000,"Sub"),$X237))))</f>
        <v/>
      </c>
      <c r="N237" s="56">
        <f>IF($M237="","",IF($M237&gt;=1,"Completado",IF($M237&gt;0,"En curso","Pendiente")))</f>
        <v/>
      </c>
      <c r="O237" s="56">
        <f>IF(NOT((COUNTA($B237:$D237)+COUNTA($G237:$L237)+COUNTA($Q237))&gt;0),"",IF(AND(AND($D237&lt;&gt;"",$V237="Macro"),N($AH237)&gt;0),CHOOSE(MATCH($D237,ListaPuestos,0),INDEX('Cronograma R. Operacional'!$O$5:$O$1000,$AH237),INDEX('Cronograma R. Normativo'!$O$5:$O$1000,$AH237),INDEX('Cronograma R. Financiero'!$O$5:$O$1000,$AH237),INDEX('Cronograma Asistente Técnico'!$O$5:$O$1000,$AH237))&amp;"",IF(ISNUMBER($G237),IF(AND(ISNUMBER($AN237),$G237&gt;$AN237),"Cumplida con "&amp;($G237-$AN237)&amp;IF($G237-$AN237=1," día"," días")&amp;" de retraso","Cumplida"),IF(N($M237)&gt;=1,"Cumplida",IF(NOT(ISNUMBER($AN237)),"Sin fecha límite",IF($AN237&lt;FechaRef,"Vencida hace "&amp;(FechaRef-$AN237)&amp;IF(FechaRef-$AN237=1," día"," días"),IF($AN237=FechaRef,"Vence hoy",IF($AN237-FechaRef&lt;=DiasAlerta,"Vence en "&amp;($AN237-FechaRef)&amp;IF($AN237-FechaRef=1," día"," días"),"En plazo"))))))))</f>
        <v/>
      </c>
      <c r="P237" s="62">
        <f>IF(NOT((COUNTA($B237:$D237)+COUNTA($G237:$L237)+COUNTA($Q237))&gt;0),"",IF($D237="","Propia",IF($V237&lt;&gt;"Macro","Solo se delegan macroactividades",IF(N($AH237)&gt;0,"✔ Recibida por "&amp;$D237,"⚠ "&amp;$D237&amp;" aún no la agrega"))))</f>
        <v/>
      </c>
      <c r="Q237" s="58" t="n"/>
      <c r="R237" s="63">
        <f>IF(NOT((COUNTA($B237:$D237)+COUNTA($G237:$L237)+COUNTA($Q237))&gt;0),"",IF((IF($C237="","Falta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",""))="","✔ OK","⚠ "&amp;LEFT(IF($C237="","Falta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",""),LEN(IF($C237="","Falta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",""))-3)))</f>
        <v/>
      </c>
      <c r="S237" s="64">
        <f>IF(NOT((COUNTA($B237:$D237)+COUNTA($G237:$L237)+COUNTA($Q237))&gt;0),"",IF(AND($V237="Sub",N($U237)&gt;0),IF(ISNUMBER(INDEX($AM$5:$AM$1000,$U237-4)),DATE(YEAR(INDEX($AM$5:$AM$1000,$U237-4)),MONTH(INDEX($AM$5:$AM$1000,$U237-4)),1),IF(ISNUMBER(INDEX($AN$5:$AN$1000,$U237-4)),DATE(YEAR(INDEX($AN$5:$AN$1000,$U237-4)),MONTH(INDEX($AN$5:$AN$1000,$U237-4)),1),MesCiclo)),IF(ISNUMBER($AM237),DATE(YEAR($AM237),MONTH($AM237),1),IF(ISNUMBER($AN237),DATE(YEAR($AN237),MONTH($AN237),1),MesCiclo))))</f>
        <v/>
      </c>
      <c r="T237" s="62">
        <f>IF(OR($S237="",$S237&lt;&gt;MesCiclo),"",COUNTIF($S$5:$S237,MesCiclo))</f>
        <v/>
      </c>
      <c r="U237" s="62">
        <f>IF($V237="","",IF($V237="Macro",ROW(),IFERROR(LOOKUP(2,1/($V$5:$V237="Macro"),ROW($V$5:$V237)),0)))</f>
        <v/>
      </c>
      <c r="V237" s="62">
        <f>IF(NOT((COUNTA($B237:$D237)+COUNTA($G237:$L237)+COUNTA($Q237))&gt;0),"",IF($B237="Subactividad","Sub","Macro"))</f>
        <v/>
      </c>
      <c r="W237" s="62">
        <f>IF($V237="Macro",COUNTIFS($U$5:$U$1000,ROW(),$V$5:$V$1000,"Sub"),"")</f>
        <v/>
      </c>
      <c r="X237" s="62">
        <f>IF($V237="","",IF(ISNUMBER($G237),1,IFERROR(LOOKUP(2,1/($I237:$L237&lt;&gt;""),$I237:$L237),0)))</f>
        <v/>
      </c>
      <c r="Y237" s="62">
        <f>IF($V237="","",IF(AND(ISNUMBER($G237),$G237&lt;=IF($S237=MesCiclo,InicioCiclo,$S237+MOD(2-WEEKDAY($S237),7))+6),1,IF(ISNUMBER($I237),$I237,0)))</f>
        <v/>
      </c>
      <c r="Z237" s="62">
        <f>IF($V237="","",IF(AND(ISNUMBER($G237),$G237&lt;=IF($S237=MesCiclo,InicioCiclo,$S237+MOD(2-WEEKDAY($S237),7))+13),1,IF(ISNUMBER($J237),$J237,$Y237)))</f>
        <v/>
      </c>
      <c r="AA237" s="62">
        <f>IF($V237="","",IF(AND(ISNUMBER($G237),$G237&lt;=IF($S237=MesCiclo,InicioCiclo,$S237+MOD(2-WEEKDAY($S237),7))+20),1,IF(ISNUMBER($K237),$K237,$Z237)))</f>
        <v/>
      </c>
      <c r="AB237" s="62">
        <f>IF($V237="","",IF(AND(ISNUMBER($G237),$G237&lt;=IF($S237=MesCiclo,InicioCiclo,$S237+MOD(2-WEEKDAY($S237),7))+27),1,IF(ISNUMBER($L237),$L237,$AA237)))</f>
        <v/>
      </c>
      <c r="AC237" s="62">
        <f>IF($V237="","",IF(AND(ISNUMBER($G237),$G237&lt;=IF($S237=MesCiclo,InicioCiclo,$S237+MOD(2-WEEKDAY($S237),7))+6),1,IF(N($W237)&gt;0,AVERAGEIFS($Y$5:$Y$1000,$U$5:$U$1000,ROW(),$V$5:$V$1000,"Sub"),$Y237)))</f>
        <v/>
      </c>
      <c r="AD237" s="62">
        <f>IF($V237="","",IF(AND(ISNUMBER($G237),$G237&lt;=IF($S237=MesCiclo,InicioCiclo,$S237+MOD(2-WEEKDAY($S237),7))+13),1,IF(N($W237)&gt;0,AVERAGEIFS($Z$5:$Z$1000,$U$5:$U$1000,ROW(),$V$5:$V$1000,"Sub"),$Z237)))</f>
        <v/>
      </c>
      <c r="AE237" s="62">
        <f>IF($V237="","",IF(AND(ISNUMBER($G237),$G237&lt;=IF($S237=MesCiclo,InicioCiclo,$S237+MOD(2-WEEKDAY($S237),7))+20),1,IF(N($W237)&gt;0,AVERAGEIFS($AA$5:$AA$1000,$U$5:$U$1000,ROW(),$V$5:$V$1000,"Sub"),$AA237)))</f>
        <v/>
      </c>
      <c r="AF237" s="62">
        <f>IF($V237="","",IF(AND(ISNUMBER($G237),$G237&lt;=IF($S237=MesCiclo,InicioCiclo,$S237+MOD(2-WEEKDAY($S237),7))+27),1,IF(N($W237)&gt;0,AVERAGEIFS($AB$5:$AB$1000,$U$5:$U$1000,ROW(),$V$5:$V$1000,"Sub"),$AB237)))</f>
        <v/>
      </c>
      <c r="AG237" s="62">
        <f>IF($V237&lt;&gt;"Macro","",IF(COUNTIFS($S$5:$S$1000,$S237,$V$5:$V$1000,"Macro",$H$5:$H$1000,"&gt;0")=0,1/COUNTIFS($S$5:$S$1000,$S237,$V$5:$V$1000,"Macro"),IF(AND(ISNUMBER($H237),N($H237)&gt;0),$H237,SUMIFS($H$5:$H$1000,$S$5:$S$1000,$S237,$V$5:$V$1000,"Macro")/COUNTIFS($S$5:$S$1000,$S237,$V$5:$V$1000,"Macro",$H$5:$H$1000,"&gt;0"))/(COUNTIFS($S$5:$S$1000,$S237,$V$5:$V$1000,"Macro")*SUMIFS($H$5:$H$1000,$S$5:$S$1000,$S237,$V$5:$V$1000,"Macro")/COUNTIFS($S$5:$S$1000,$S237,$V$5:$V$1000,"Macro",$H$5:$H$1000,"&gt;0"))))</f>
        <v/>
      </c>
      <c r="AH237" s="62">
        <f>IF(NOT(AND($D237&lt;&gt;"",$V237="Macro")),"",IFERROR(CHOOSE(MATCH($D237,ListaPuestos,0),MATCH("[Jefatura] "&amp;$C237,'Cronograma R. Operacional'!$C$5:$C$1000,0),MATCH("[Jefatura] "&amp;$C237,'Cronograma R. Normativo'!$C$5:$C$1000,0),MATCH("[Jefatura] "&amp;$C237,'Cronograma R. Financiero'!$C$5:$C$1000,0),MATCH("[Jefatura] "&amp;$C237,'Cronograma Asistente Técnico'!$C$5:$C$1000,0)),0))</f>
        <v/>
      </c>
      <c r="AI237" s="62">
        <f>IF(AND(AND($D237&lt;&gt;"",$V237="Macro"),$S237=MesCiclo),COUNTIFS($D$5:$D237,$D237,$S$5:$S237,MesCiclo,$V$5:$V237,"Macro"),"")</f>
        <v/>
      </c>
      <c r="AJ237" s="62">
        <f>IF($AI237="","",$D237&amp;"|"&amp;$AI237)</f>
        <v/>
      </c>
      <c r="AK237" s="62">
        <f>IF(AND($D237&lt;&gt;"",$V237="Macro"),$D237&amp;"|"&amp;$C237,"")</f>
        <v/>
      </c>
      <c r="AL237" s="62">
        <f>""</f>
        <v/>
      </c>
      <c r="AM237" s="62">
        <f>IF(N($AL237)&gt;0,INDEX(rIni_ADM,$AL237),IF(ISNUMBER($E237),$E237,""))</f>
        <v/>
      </c>
      <c r="AN237" s="62">
        <f>IF(N($AL237)&gt;0,INDEX(rLim_ADM,$AL237),IF(ISNUMBER($F237),$F237,""))</f>
        <v/>
      </c>
    </row>
    <row r="238">
      <c r="A238" s="56">
        <f>IF(NOT((COUNTA($B238:$D238)+COUNTA($G238:$L238)+COUNTA($Q238))&gt;0),"",IF($V238="Macro",COUNTIFS($V$5:$V238,"Macro",$S$5:$S238,$S238),IF(N($U238)=0,"?",COUNTIFS(INDEX($V$5:$V$1000,1):INDEX($V$5:$V$1000,$U238-4),"Macro",INDEX($S$5:$S$1000,1):INDEX($S$5:$S$1000,$U238-4),INDEX($S$5:$S$1000,$U238-4))&amp;"."&amp;COUNTIFS($U$5:$U238,$U238,$V$5:$V238,"Sub"))))</f>
        <v/>
      </c>
      <c r="B238" s="57" t="n"/>
      <c r="C238" s="58" t="n"/>
      <c r="D238" s="58" t="n"/>
      <c r="E238" s="59" t="n"/>
      <c r="F238" s="59" t="n"/>
      <c r="G238" s="59" t="n"/>
      <c r="H238" s="60" t="n"/>
      <c r="I238" s="60" t="n"/>
      <c r="J238" s="60" t="n"/>
      <c r="K238" s="60" t="n"/>
      <c r="L238" s="60" t="n"/>
      <c r="M238" s="61">
        <f>IF(NOT((COUNTA($B238:$D238)+COUNTA($G238:$L238)+COUNTA($Q238))&gt;0),"",IF(AND($D238&lt;&gt;"",$V238="Macro"),IF(N($AH238)&gt;0,N(CHOOSE(MATCH($D238,ListaPuestos,0),INDEX('Cronograma R. Operacional'!$M$5:$M$1000,$AH238),INDEX('Cronograma R. Normativo'!$M$5:$M$1000,$AH238),INDEX('Cronograma R. Financiero'!$M$5:$M$1000,$AH238),INDEX('Cronograma Asistente Técnico'!$M$5:$M$1000,$AH238))),0),IF(ISNUMBER($G238),1,IF(N($W238)&gt;0,AVERAGEIFS($X$5:$X$1000,$U$5:$U$1000,ROW(),$V$5:$V$1000,"Sub"),$X238))))</f>
        <v/>
      </c>
      <c r="N238" s="56">
        <f>IF($M238="","",IF($M238&gt;=1,"Completado",IF($M238&gt;0,"En curso","Pendiente")))</f>
        <v/>
      </c>
      <c r="O238" s="56">
        <f>IF(NOT((COUNTA($B238:$D238)+COUNTA($G238:$L238)+COUNTA($Q238))&gt;0),"",IF(AND(AND($D238&lt;&gt;"",$V238="Macro"),N($AH238)&gt;0),CHOOSE(MATCH($D238,ListaPuestos,0),INDEX('Cronograma R. Operacional'!$O$5:$O$1000,$AH238),INDEX('Cronograma R. Normativo'!$O$5:$O$1000,$AH238),INDEX('Cronograma R. Financiero'!$O$5:$O$1000,$AH238),INDEX('Cronograma Asistente Técnico'!$O$5:$O$1000,$AH238))&amp;"",IF(ISNUMBER($G238),IF(AND(ISNUMBER($AN238),$G238&gt;$AN238),"Cumplida con "&amp;($G238-$AN238)&amp;IF($G238-$AN238=1," día"," días")&amp;" de retraso","Cumplida"),IF(N($M238)&gt;=1,"Cumplida",IF(NOT(ISNUMBER($AN238)),"Sin fecha límite",IF($AN238&lt;FechaRef,"Vencida hace "&amp;(FechaRef-$AN238)&amp;IF(FechaRef-$AN238=1," día"," días"),IF($AN238=FechaRef,"Vence hoy",IF($AN238-FechaRef&lt;=DiasAlerta,"Vence en "&amp;($AN238-FechaRef)&amp;IF($AN238-FechaRef=1," día"," días"),"En plazo"))))))))</f>
        <v/>
      </c>
      <c r="P238" s="62">
        <f>IF(NOT((COUNTA($B238:$D238)+COUNTA($G238:$L238)+COUNTA($Q238))&gt;0),"",IF($D238="","Propia",IF($V238&lt;&gt;"Macro","Solo se delegan macroactividades",IF(N($AH238)&gt;0,"✔ Recibida por "&amp;$D238,"⚠ "&amp;$D238&amp;" aún no la agrega"))))</f>
        <v/>
      </c>
      <c r="Q238" s="58" t="n"/>
      <c r="R238" s="63">
        <f>IF(NOT((COUNTA($B238:$D238)+COUNTA($G238:$L238)+COUNTA($Q238))&gt;0),"",IF((IF($C238="","Falta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",""))="","✔ OK","⚠ "&amp;LEFT(IF($C238="","Falta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",""),LEN(IF($C238="","Falta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",""))-3)))</f>
        <v/>
      </c>
      <c r="S238" s="64">
        <f>IF(NOT((COUNTA($B238:$D238)+COUNTA($G238:$L238)+COUNTA($Q238))&gt;0),"",IF(AND($V238="Sub",N($U238)&gt;0),IF(ISNUMBER(INDEX($AM$5:$AM$1000,$U238-4)),DATE(YEAR(INDEX($AM$5:$AM$1000,$U238-4)),MONTH(INDEX($AM$5:$AM$1000,$U238-4)),1),IF(ISNUMBER(INDEX($AN$5:$AN$1000,$U238-4)),DATE(YEAR(INDEX($AN$5:$AN$1000,$U238-4)),MONTH(INDEX($AN$5:$AN$1000,$U238-4)),1),MesCiclo)),IF(ISNUMBER($AM238),DATE(YEAR($AM238),MONTH($AM238),1),IF(ISNUMBER($AN238),DATE(YEAR($AN238),MONTH($AN238),1),MesCiclo))))</f>
        <v/>
      </c>
      <c r="T238" s="62">
        <f>IF(OR($S238="",$S238&lt;&gt;MesCiclo),"",COUNTIF($S$5:$S238,MesCiclo))</f>
        <v/>
      </c>
      <c r="U238" s="62">
        <f>IF($V238="","",IF($V238="Macro",ROW(),IFERROR(LOOKUP(2,1/($V$5:$V238="Macro"),ROW($V$5:$V238)),0)))</f>
        <v/>
      </c>
      <c r="V238" s="62">
        <f>IF(NOT((COUNTA($B238:$D238)+COUNTA($G238:$L238)+COUNTA($Q238))&gt;0),"",IF($B238="Subactividad","Sub","Macro"))</f>
        <v/>
      </c>
      <c r="W238" s="62">
        <f>IF($V238="Macro",COUNTIFS($U$5:$U$1000,ROW(),$V$5:$V$1000,"Sub"),"")</f>
        <v/>
      </c>
      <c r="X238" s="62">
        <f>IF($V238="","",IF(ISNUMBER($G238),1,IFERROR(LOOKUP(2,1/($I238:$L238&lt;&gt;""),$I238:$L238),0)))</f>
        <v/>
      </c>
      <c r="Y238" s="62">
        <f>IF($V238="","",IF(AND(ISNUMBER($G238),$G238&lt;=IF($S238=MesCiclo,InicioCiclo,$S238+MOD(2-WEEKDAY($S238),7))+6),1,IF(ISNUMBER($I238),$I238,0)))</f>
        <v/>
      </c>
      <c r="Z238" s="62">
        <f>IF($V238="","",IF(AND(ISNUMBER($G238),$G238&lt;=IF($S238=MesCiclo,InicioCiclo,$S238+MOD(2-WEEKDAY($S238),7))+13),1,IF(ISNUMBER($J238),$J238,$Y238)))</f>
        <v/>
      </c>
      <c r="AA238" s="62">
        <f>IF($V238="","",IF(AND(ISNUMBER($G238),$G238&lt;=IF($S238=MesCiclo,InicioCiclo,$S238+MOD(2-WEEKDAY($S238),7))+20),1,IF(ISNUMBER($K238),$K238,$Z238)))</f>
        <v/>
      </c>
      <c r="AB238" s="62">
        <f>IF($V238="","",IF(AND(ISNUMBER($G238),$G238&lt;=IF($S238=MesCiclo,InicioCiclo,$S238+MOD(2-WEEKDAY($S238),7))+27),1,IF(ISNUMBER($L238),$L238,$AA238)))</f>
        <v/>
      </c>
      <c r="AC238" s="62">
        <f>IF($V238="","",IF(AND(ISNUMBER($G238),$G238&lt;=IF($S238=MesCiclo,InicioCiclo,$S238+MOD(2-WEEKDAY($S238),7))+6),1,IF(N($W238)&gt;0,AVERAGEIFS($Y$5:$Y$1000,$U$5:$U$1000,ROW(),$V$5:$V$1000,"Sub"),$Y238)))</f>
        <v/>
      </c>
      <c r="AD238" s="62">
        <f>IF($V238="","",IF(AND(ISNUMBER($G238),$G238&lt;=IF($S238=MesCiclo,InicioCiclo,$S238+MOD(2-WEEKDAY($S238),7))+13),1,IF(N($W238)&gt;0,AVERAGEIFS($Z$5:$Z$1000,$U$5:$U$1000,ROW(),$V$5:$V$1000,"Sub"),$Z238)))</f>
        <v/>
      </c>
      <c r="AE238" s="62">
        <f>IF($V238="","",IF(AND(ISNUMBER($G238),$G238&lt;=IF($S238=MesCiclo,InicioCiclo,$S238+MOD(2-WEEKDAY($S238),7))+20),1,IF(N($W238)&gt;0,AVERAGEIFS($AA$5:$AA$1000,$U$5:$U$1000,ROW(),$V$5:$V$1000,"Sub"),$AA238)))</f>
        <v/>
      </c>
      <c r="AF238" s="62">
        <f>IF($V238="","",IF(AND(ISNUMBER($G238),$G238&lt;=IF($S238=MesCiclo,InicioCiclo,$S238+MOD(2-WEEKDAY($S238),7))+27),1,IF(N($W238)&gt;0,AVERAGEIFS($AB$5:$AB$1000,$U$5:$U$1000,ROW(),$V$5:$V$1000,"Sub"),$AB238)))</f>
        <v/>
      </c>
      <c r="AG238" s="62">
        <f>IF($V238&lt;&gt;"Macro","",IF(COUNTIFS($S$5:$S$1000,$S238,$V$5:$V$1000,"Macro",$H$5:$H$1000,"&gt;0")=0,1/COUNTIFS($S$5:$S$1000,$S238,$V$5:$V$1000,"Macro"),IF(AND(ISNUMBER($H238),N($H238)&gt;0),$H238,SUMIFS($H$5:$H$1000,$S$5:$S$1000,$S238,$V$5:$V$1000,"Macro")/COUNTIFS($S$5:$S$1000,$S238,$V$5:$V$1000,"Macro",$H$5:$H$1000,"&gt;0"))/(COUNTIFS($S$5:$S$1000,$S238,$V$5:$V$1000,"Macro")*SUMIFS($H$5:$H$1000,$S$5:$S$1000,$S238,$V$5:$V$1000,"Macro")/COUNTIFS($S$5:$S$1000,$S238,$V$5:$V$1000,"Macro",$H$5:$H$1000,"&gt;0"))))</f>
        <v/>
      </c>
      <c r="AH238" s="62">
        <f>IF(NOT(AND($D238&lt;&gt;"",$V238="Macro")),"",IFERROR(CHOOSE(MATCH($D238,ListaPuestos,0),MATCH("[Jefatura] "&amp;$C238,'Cronograma R. Operacional'!$C$5:$C$1000,0),MATCH("[Jefatura] "&amp;$C238,'Cronograma R. Normativo'!$C$5:$C$1000,0),MATCH("[Jefatura] "&amp;$C238,'Cronograma R. Financiero'!$C$5:$C$1000,0),MATCH("[Jefatura] "&amp;$C238,'Cronograma Asistente Técnico'!$C$5:$C$1000,0)),0))</f>
        <v/>
      </c>
      <c r="AI238" s="62">
        <f>IF(AND(AND($D238&lt;&gt;"",$V238="Macro"),$S238=MesCiclo),COUNTIFS($D$5:$D238,$D238,$S$5:$S238,MesCiclo,$V$5:$V238,"Macro"),"")</f>
        <v/>
      </c>
      <c r="AJ238" s="62">
        <f>IF($AI238="","",$D238&amp;"|"&amp;$AI238)</f>
        <v/>
      </c>
      <c r="AK238" s="62">
        <f>IF(AND($D238&lt;&gt;"",$V238="Macro"),$D238&amp;"|"&amp;$C238,"")</f>
        <v/>
      </c>
      <c r="AL238" s="62">
        <f>""</f>
        <v/>
      </c>
      <c r="AM238" s="62">
        <f>IF(N($AL238)&gt;0,INDEX(rIni_ADM,$AL238),IF(ISNUMBER($E238),$E238,""))</f>
        <v/>
      </c>
      <c r="AN238" s="62">
        <f>IF(N($AL238)&gt;0,INDEX(rLim_ADM,$AL238),IF(ISNUMBER($F238),$F238,""))</f>
        <v/>
      </c>
    </row>
    <row r="239">
      <c r="A239" s="56">
        <f>IF(NOT((COUNTA($B239:$D239)+COUNTA($G239:$L239)+COUNTA($Q239))&gt;0),"",IF($V239="Macro",COUNTIFS($V$5:$V239,"Macro",$S$5:$S239,$S239),IF(N($U239)=0,"?",COUNTIFS(INDEX($V$5:$V$1000,1):INDEX($V$5:$V$1000,$U239-4),"Macro",INDEX($S$5:$S$1000,1):INDEX($S$5:$S$1000,$U239-4),INDEX($S$5:$S$1000,$U239-4))&amp;"."&amp;COUNTIFS($U$5:$U239,$U239,$V$5:$V239,"Sub"))))</f>
        <v/>
      </c>
      <c r="B239" s="57" t="n"/>
      <c r="C239" s="58" t="n"/>
      <c r="D239" s="58" t="n"/>
      <c r="E239" s="59" t="n"/>
      <c r="F239" s="59" t="n"/>
      <c r="G239" s="59" t="n"/>
      <c r="H239" s="60" t="n"/>
      <c r="I239" s="60" t="n"/>
      <c r="J239" s="60" t="n"/>
      <c r="K239" s="60" t="n"/>
      <c r="L239" s="60" t="n"/>
      <c r="M239" s="61">
        <f>IF(NOT((COUNTA($B239:$D239)+COUNTA($G239:$L239)+COUNTA($Q239))&gt;0),"",IF(AND($D239&lt;&gt;"",$V239="Macro"),IF(N($AH239)&gt;0,N(CHOOSE(MATCH($D239,ListaPuestos,0),INDEX('Cronograma R. Operacional'!$M$5:$M$1000,$AH239),INDEX('Cronograma R. Normativo'!$M$5:$M$1000,$AH239),INDEX('Cronograma R. Financiero'!$M$5:$M$1000,$AH239),INDEX('Cronograma Asistente Técnico'!$M$5:$M$1000,$AH239))),0),IF(ISNUMBER($G239),1,IF(N($W239)&gt;0,AVERAGEIFS($X$5:$X$1000,$U$5:$U$1000,ROW(),$V$5:$V$1000,"Sub"),$X239))))</f>
        <v/>
      </c>
      <c r="N239" s="56">
        <f>IF($M239="","",IF($M239&gt;=1,"Completado",IF($M239&gt;0,"En curso","Pendiente")))</f>
        <v/>
      </c>
      <c r="O239" s="56">
        <f>IF(NOT((COUNTA($B239:$D239)+COUNTA($G239:$L239)+COUNTA($Q239))&gt;0),"",IF(AND(AND($D239&lt;&gt;"",$V239="Macro"),N($AH239)&gt;0),CHOOSE(MATCH($D239,ListaPuestos,0),INDEX('Cronograma R. Operacional'!$O$5:$O$1000,$AH239),INDEX('Cronograma R. Normativo'!$O$5:$O$1000,$AH239),INDEX('Cronograma R. Financiero'!$O$5:$O$1000,$AH239),INDEX('Cronograma Asistente Técnico'!$O$5:$O$1000,$AH239))&amp;"",IF(ISNUMBER($G239),IF(AND(ISNUMBER($AN239),$G239&gt;$AN239),"Cumplida con "&amp;($G239-$AN239)&amp;IF($G239-$AN239=1," día"," días")&amp;" de retraso","Cumplida"),IF(N($M239)&gt;=1,"Cumplida",IF(NOT(ISNUMBER($AN239)),"Sin fecha límite",IF($AN239&lt;FechaRef,"Vencida hace "&amp;(FechaRef-$AN239)&amp;IF(FechaRef-$AN239=1," día"," días"),IF($AN239=FechaRef,"Vence hoy",IF($AN239-FechaRef&lt;=DiasAlerta,"Vence en "&amp;($AN239-FechaRef)&amp;IF($AN239-FechaRef=1," día"," días"),"En plazo"))))))))</f>
        <v/>
      </c>
      <c r="P239" s="62">
        <f>IF(NOT((COUNTA($B239:$D239)+COUNTA($G239:$L239)+COUNTA($Q239))&gt;0),"",IF($D239="","Propia",IF($V239&lt;&gt;"Macro","Solo se delegan macroactividades",IF(N($AH239)&gt;0,"✔ Recibida por "&amp;$D239,"⚠ "&amp;$D239&amp;" aún no la agrega"))))</f>
        <v/>
      </c>
      <c r="Q239" s="58" t="n"/>
      <c r="R239" s="63">
        <f>IF(NOT((COUNTA($B239:$D239)+COUNTA($G239:$L239)+COUNTA($Q239))&gt;0),"",IF((IF($C239="","Falta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",""))="","✔ OK","⚠ "&amp;LEFT(IF($C239="","Falta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",""),LEN(IF($C239="","Falta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",""))-3)))</f>
        <v/>
      </c>
      <c r="S239" s="64">
        <f>IF(NOT((COUNTA($B239:$D239)+COUNTA($G239:$L239)+COUNTA($Q239))&gt;0),"",IF(AND($V239="Sub",N($U239)&gt;0),IF(ISNUMBER(INDEX($AM$5:$AM$1000,$U239-4)),DATE(YEAR(INDEX($AM$5:$AM$1000,$U239-4)),MONTH(INDEX($AM$5:$AM$1000,$U239-4)),1),IF(ISNUMBER(INDEX($AN$5:$AN$1000,$U239-4)),DATE(YEAR(INDEX($AN$5:$AN$1000,$U239-4)),MONTH(INDEX($AN$5:$AN$1000,$U239-4)),1),MesCiclo)),IF(ISNUMBER($AM239),DATE(YEAR($AM239),MONTH($AM239),1),IF(ISNUMBER($AN239),DATE(YEAR($AN239),MONTH($AN239),1),MesCiclo))))</f>
        <v/>
      </c>
      <c r="T239" s="62">
        <f>IF(OR($S239="",$S239&lt;&gt;MesCiclo),"",COUNTIF($S$5:$S239,MesCiclo))</f>
        <v/>
      </c>
      <c r="U239" s="62">
        <f>IF($V239="","",IF($V239="Macro",ROW(),IFERROR(LOOKUP(2,1/($V$5:$V239="Macro"),ROW($V$5:$V239)),0)))</f>
        <v/>
      </c>
      <c r="V239" s="62">
        <f>IF(NOT((COUNTA($B239:$D239)+COUNTA($G239:$L239)+COUNTA($Q239))&gt;0),"",IF($B239="Subactividad","Sub","Macro"))</f>
        <v/>
      </c>
      <c r="W239" s="62">
        <f>IF($V239="Macro",COUNTIFS($U$5:$U$1000,ROW(),$V$5:$V$1000,"Sub"),"")</f>
        <v/>
      </c>
      <c r="X239" s="62">
        <f>IF($V239="","",IF(ISNUMBER($G239),1,IFERROR(LOOKUP(2,1/($I239:$L239&lt;&gt;""),$I239:$L239),0)))</f>
        <v/>
      </c>
      <c r="Y239" s="62">
        <f>IF($V239="","",IF(AND(ISNUMBER($G239),$G239&lt;=IF($S239=MesCiclo,InicioCiclo,$S239+MOD(2-WEEKDAY($S239),7))+6),1,IF(ISNUMBER($I239),$I239,0)))</f>
        <v/>
      </c>
      <c r="Z239" s="62">
        <f>IF($V239="","",IF(AND(ISNUMBER($G239),$G239&lt;=IF($S239=MesCiclo,InicioCiclo,$S239+MOD(2-WEEKDAY($S239),7))+13),1,IF(ISNUMBER($J239),$J239,$Y239)))</f>
        <v/>
      </c>
      <c r="AA239" s="62">
        <f>IF($V239="","",IF(AND(ISNUMBER($G239),$G239&lt;=IF($S239=MesCiclo,InicioCiclo,$S239+MOD(2-WEEKDAY($S239),7))+20),1,IF(ISNUMBER($K239),$K239,$Z239)))</f>
        <v/>
      </c>
      <c r="AB239" s="62">
        <f>IF($V239="","",IF(AND(ISNUMBER($G239),$G239&lt;=IF($S239=MesCiclo,InicioCiclo,$S239+MOD(2-WEEKDAY($S239),7))+27),1,IF(ISNUMBER($L239),$L239,$AA239)))</f>
        <v/>
      </c>
      <c r="AC239" s="62">
        <f>IF($V239="","",IF(AND(ISNUMBER($G239),$G239&lt;=IF($S239=MesCiclo,InicioCiclo,$S239+MOD(2-WEEKDAY($S239),7))+6),1,IF(N($W239)&gt;0,AVERAGEIFS($Y$5:$Y$1000,$U$5:$U$1000,ROW(),$V$5:$V$1000,"Sub"),$Y239)))</f>
        <v/>
      </c>
      <c r="AD239" s="62">
        <f>IF($V239="","",IF(AND(ISNUMBER($G239),$G239&lt;=IF($S239=MesCiclo,InicioCiclo,$S239+MOD(2-WEEKDAY($S239),7))+13),1,IF(N($W239)&gt;0,AVERAGEIFS($Z$5:$Z$1000,$U$5:$U$1000,ROW(),$V$5:$V$1000,"Sub"),$Z239)))</f>
        <v/>
      </c>
      <c r="AE239" s="62">
        <f>IF($V239="","",IF(AND(ISNUMBER($G239),$G239&lt;=IF($S239=MesCiclo,InicioCiclo,$S239+MOD(2-WEEKDAY($S239),7))+20),1,IF(N($W239)&gt;0,AVERAGEIFS($AA$5:$AA$1000,$U$5:$U$1000,ROW(),$V$5:$V$1000,"Sub"),$AA239)))</f>
        <v/>
      </c>
      <c r="AF239" s="62">
        <f>IF($V239="","",IF(AND(ISNUMBER($G239),$G239&lt;=IF($S239=MesCiclo,InicioCiclo,$S239+MOD(2-WEEKDAY($S239),7))+27),1,IF(N($W239)&gt;0,AVERAGEIFS($AB$5:$AB$1000,$U$5:$U$1000,ROW(),$V$5:$V$1000,"Sub"),$AB239)))</f>
        <v/>
      </c>
      <c r="AG239" s="62">
        <f>IF($V239&lt;&gt;"Macro","",IF(COUNTIFS($S$5:$S$1000,$S239,$V$5:$V$1000,"Macro",$H$5:$H$1000,"&gt;0")=0,1/COUNTIFS($S$5:$S$1000,$S239,$V$5:$V$1000,"Macro"),IF(AND(ISNUMBER($H239),N($H239)&gt;0),$H239,SUMIFS($H$5:$H$1000,$S$5:$S$1000,$S239,$V$5:$V$1000,"Macro")/COUNTIFS($S$5:$S$1000,$S239,$V$5:$V$1000,"Macro",$H$5:$H$1000,"&gt;0"))/(COUNTIFS($S$5:$S$1000,$S239,$V$5:$V$1000,"Macro")*SUMIFS($H$5:$H$1000,$S$5:$S$1000,$S239,$V$5:$V$1000,"Macro")/COUNTIFS($S$5:$S$1000,$S239,$V$5:$V$1000,"Macro",$H$5:$H$1000,"&gt;0"))))</f>
        <v/>
      </c>
      <c r="AH239" s="62">
        <f>IF(NOT(AND($D239&lt;&gt;"",$V239="Macro")),"",IFERROR(CHOOSE(MATCH($D239,ListaPuestos,0),MATCH("[Jefatura] "&amp;$C239,'Cronograma R. Operacional'!$C$5:$C$1000,0),MATCH("[Jefatura] "&amp;$C239,'Cronograma R. Normativo'!$C$5:$C$1000,0),MATCH("[Jefatura] "&amp;$C239,'Cronograma R. Financiero'!$C$5:$C$1000,0),MATCH("[Jefatura] "&amp;$C239,'Cronograma Asistente Técnico'!$C$5:$C$1000,0)),0))</f>
        <v/>
      </c>
      <c r="AI239" s="62">
        <f>IF(AND(AND($D239&lt;&gt;"",$V239="Macro"),$S239=MesCiclo),COUNTIFS($D$5:$D239,$D239,$S$5:$S239,MesCiclo,$V$5:$V239,"Macro"),"")</f>
        <v/>
      </c>
      <c r="AJ239" s="62">
        <f>IF($AI239="","",$D239&amp;"|"&amp;$AI239)</f>
        <v/>
      </c>
      <c r="AK239" s="62">
        <f>IF(AND($D239&lt;&gt;"",$V239="Macro"),$D239&amp;"|"&amp;$C239,"")</f>
        <v/>
      </c>
      <c r="AL239" s="62">
        <f>""</f>
        <v/>
      </c>
      <c r="AM239" s="62">
        <f>IF(N($AL239)&gt;0,INDEX(rIni_ADM,$AL239),IF(ISNUMBER($E239),$E239,""))</f>
        <v/>
      </c>
      <c r="AN239" s="62">
        <f>IF(N($AL239)&gt;0,INDEX(rLim_ADM,$AL239),IF(ISNUMBER($F239),$F239,""))</f>
        <v/>
      </c>
    </row>
    <row r="240">
      <c r="A240" s="56">
        <f>IF(NOT((COUNTA($B240:$D240)+COUNTA($G240:$L240)+COUNTA($Q240))&gt;0),"",IF($V240="Macro",COUNTIFS($V$5:$V240,"Macro",$S$5:$S240,$S240),IF(N($U240)=0,"?",COUNTIFS(INDEX($V$5:$V$1000,1):INDEX($V$5:$V$1000,$U240-4),"Macro",INDEX($S$5:$S$1000,1):INDEX($S$5:$S$1000,$U240-4),INDEX($S$5:$S$1000,$U240-4))&amp;"."&amp;COUNTIFS($U$5:$U240,$U240,$V$5:$V240,"Sub"))))</f>
        <v/>
      </c>
      <c r="B240" s="57" t="n"/>
      <c r="C240" s="58" t="n"/>
      <c r="D240" s="58" t="n"/>
      <c r="E240" s="59" t="n"/>
      <c r="F240" s="59" t="n"/>
      <c r="G240" s="59" t="n"/>
      <c r="H240" s="60" t="n"/>
      <c r="I240" s="60" t="n"/>
      <c r="J240" s="60" t="n"/>
      <c r="K240" s="60" t="n"/>
      <c r="L240" s="60" t="n"/>
      <c r="M240" s="61">
        <f>IF(NOT((COUNTA($B240:$D240)+COUNTA($G240:$L240)+COUNTA($Q240))&gt;0),"",IF(AND($D240&lt;&gt;"",$V240="Macro"),IF(N($AH240)&gt;0,N(CHOOSE(MATCH($D240,ListaPuestos,0),INDEX('Cronograma R. Operacional'!$M$5:$M$1000,$AH240),INDEX('Cronograma R. Normativo'!$M$5:$M$1000,$AH240),INDEX('Cronograma R. Financiero'!$M$5:$M$1000,$AH240),INDEX('Cronograma Asistente Técnico'!$M$5:$M$1000,$AH240))),0),IF(ISNUMBER($G240),1,IF(N($W240)&gt;0,AVERAGEIFS($X$5:$X$1000,$U$5:$U$1000,ROW(),$V$5:$V$1000,"Sub"),$X240))))</f>
        <v/>
      </c>
      <c r="N240" s="56">
        <f>IF($M240="","",IF($M240&gt;=1,"Completado",IF($M240&gt;0,"En curso","Pendiente")))</f>
        <v/>
      </c>
      <c r="O240" s="56">
        <f>IF(NOT((COUNTA($B240:$D240)+COUNTA($G240:$L240)+COUNTA($Q240))&gt;0),"",IF(AND(AND($D240&lt;&gt;"",$V240="Macro"),N($AH240)&gt;0),CHOOSE(MATCH($D240,ListaPuestos,0),INDEX('Cronograma R. Operacional'!$O$5:$O$1000,$AH240),INDEX('Cronograma R. Normativo'!$O$5:$O$1000,$AH240),INDEX('Cronograma R. Financiero'!$O$5:$O$1000,$AH240),INDEX('Cronograma Asistente Técnico'!$O$5:$O$1000,$AH240))&amp;"",IF(ISNUMBER($G240),IF(AND(ISNUMBER($AN240),$G240&gt;$AN240),"Cumplida con "&amp;($G240-$AN240)&amp;IF($G240-$AN240=1," día"," días")&amp;" de retraso","Cumplida"),IF(N($M240)&gt;=1,"Cumplida",IF(NOT(ISNUMBER($AN240)),"Sin fecha límite",IF($AN240&lt;FechaRef,"Vencida hace "&amp;(FechaRef-$AN240)&amp;IF(FechaRef-$AN240=1," día"," días"),IF($AN240=FechaRef,"Vence hoy",IF($AN240-FechaRef&lt;=DiasAlerta,"Vence en "&amp;($AN240-FechaRef)&amp;IF($AN240-FechaRef=1," día"," días"),"En plazo"))))))))</f>
        <v/>
      </c>
      <c r="P240" s="62">
        <f>IF(NOT((COUNTA($B240:$D240)+COUNTA($G240:$L240)+COUNTA($Q240))&gt;0),"",IF($D240="","Propia",IF($V240&lt;&gt;"Macro","Solo se delegan macroactividades",IF(N($AH240)&gt;0,"✔ Recibida por "&amp;$D240,"⚠ "&amp;$D240&amp;" aún no la agrega"))))</f>
        <v/>
      </c>
      <c r="Q240" s="58" t="n"/>
      <c r="R240" s="63">
        <f>IF(NOT((COUNTA($B240:$D240)+COUNTA($G240:$L240)+COUNTA($Q240))&gt;0),"",IF((IF($C240="","Falta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",""))="","✔ OK","⚠ "&amp;LEFT(IF($C240="","Falta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",""),LEN(IF($C240="","Falta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",""))-3)))</f>
        <v/>
      </c>
      <c r="S240" s="64">
        <f>IF(NOT((COUNTA($B240:$D240)+COUNTA($G240:$L240)+COUNTA($Q240))&gt;0),"",IF(AND($V240="Sub",N($U240)&gt;0),IF(ISNUMBER(INDEX($AM$5:$AM$1000,$U240-4)),DATE(YEAR(INDEX($AM$5:$AM$1000,$U240-4)),MONTH(INDEX($AM$5:$AM$1000,$U240-4)),1),IF(ISNUMBER(INDEX($AN$5:$AN$1000,$U240-4)),DATE(YEAR(INDEX($AN$5:$AN$1000,$U240-4)),MONTH(INDEX($AN$5:$AN$1000,$U240-4)),1),MesCiclo)),IF(ISNUMBER($AM240),DATE(YEAR($AM240),MONTH($AM240),1),IF(ISNUMBER($AN240),DATE(YEAR($AN240),MONTH($AN240),1),MesCiclo))))</f>
        <v/>
      </c>
      <c r="T240" s="62">
        <f>IF(OR($S240="",$S240&lt;&gt;MesCiclo),"",COUNTIF($S$5:$S240,MesCiclo))</f>
        <v/>
      </c>
      <c r="U240" s="62">
        <f>IF($V240="","",IF($V240="Macro",ROW(),IFERROR(LOOKUP(2,1/($V$5:$V240="Macro"),ROW($V$5:$V240)),0)))</f>
        <v/>
      </c>
      <c r="V240" s="62">
        <f>IF(NOT((COUNTA($B240:$D240)+COUNTA($G240:$L240)+COUNTA($Q240))&gt;0),"",IF($B240="Subactividad","Sub","Macro"))</f>
        <v/>
      </c>
      <c r="W240" s="62">
        <f>IF($V240="Macro",COUNTIFS($U$5:$U$1000,ROW(),$V$5:$V$1000,"Sub"),"")</f>
        <v/>
      </c>
      <c r="X240" s="62">
        <f>IF($V240="","",IF(ISNUMBER($G240),1,IFERROR(LOOKUP(2,1/($I240:$L240&lt;&gt;""),$I240:$L240),0)))</f>
        <v/>
      </c>
      <c r="Y240" s="62">
        <f>IF($V240="","",IF(AND(ISNUMBER($G240),$G240&lt;=IF($S240=MesCiclo,InicioCiclo,$S240+MOD(2-WEEKDAY($S240),7))+6),1,IF(ISNUMBER($I240),$I240,0)))</f>
        <v/>
      </c>
      <c r="Z240" s="62">
        <f>IF($V240="","",IF(AND(ISNUMBER($G240),$G240&lt;=IF($S240=MesCiclo,InicioCiclo,$S240+MOD(2-WEEKDAY($S240),7))+13),1,IF(ISNUMBER($J240),$J240,$Y240)))</f>
        <v/>
      </c>
      <c r="AA240" s="62">
        <f>IF($V240="","",IF(AND(ISNUMBER($G240),$G240&lt;=IF($S240=MesCiclo,InicioCiclo,$S240+MOD(2-WEEKDAY($S240),7))+20),1,IF(ISNUMBER($K240),$K240,$Z240)))</f>
        <v/>
      </c>
      <c r="AB240" s="62">
        <f>IF($V240="","",IF(AND(ISNUMBER($G240),$G240&lt;=IF($S240=MesCiclo,InicioCiclo,$S240+MOD(2-WEEKDAY($S240),7))+27),1,IF(ISNUMBER($L240),$L240,$AA240)))</f>
        <v/>
      </c>
      <c r="AC240" s="62">
        <f>IF($V240="","",IF(AND(ISNUMBER($G240),$G240&lt;=IF($S240=MesCiclo,InicioCiclo,$S240+MOD(2-WEEKDAY($S240),7))+6),1,IF(N($W240)&gt;0,AVERAGEIFS($Y$5:$Y$1000,$U$5:$U$1000,ROW(),$V$5:$V$1000,"Sub"),$Y240)))</f>
        <v/>
      </c>
      <c r="AD240" s="62">
        <f>IF($V240="","",IF(AND(ISNUMBER($G240),$G240&lt;=IF($S240=MesCiclo,InicioCiclo,$S240+MOD(2-WEEKDAY($S240),7))+13),1,IF(N($W240)&gt;0,AVERAGEIFS($Z$5:$Z$1000,$U$5:$U$1000,ROW(),$V$5:$V$1000,"Sub"),$Z240)))</f>
        <v/>
      </c>
      <c r="AE240" s="62">
        <f>IF($V240="","",IF(AND(ISNUMBER($G240),$G240&lt;=IF($S240=MesCiclo,InicioCiclo,$S240+MOD(2-WEEKDAY($S240),7))+20),1,IF(N($W240)&gt;0,AVERAGEIFS($AA$5:$AA$1000,$U$5:$U$1000,ROW(),$V$5:$V$1000,"Sub"),$AA240)))</f>
        <v/>
      </c>
      <c r="AF240" s="62">
        <f>IF($V240="","",IF(AND(ISNUMBER($G240),$G240&lt;=IF($S240=MesCiclo,InicioCiclo,$S240+MOD(2-WEEKDAY($S240),7))+27),1,IF(N($W240)&gt;0,AVERAGEIFS($AB$5:$AB$1000,$U$5:$U$1000,ROW(),$V$5:$V$1000,"Sub"),$AB240)))</f>
        <v/>
      </c>
      <c r="AG240" s="62">
        <f>IF($V240&lt;&gt;"Macro","",IF(COUNTIFS($S$5:$S$1000,$S240,$V$5:$V$1000,"Macro",$H$5:$H$1000,"&gt;0")=0,1/COUNTIFS($S$5:$S$1000,$S240,$V$5:$V$1000,"Macro"),IF(AND(ISNUMBER($H240),N($H240)&gt;0),$H240,SUMIFS($H$5:$H$1000,$S$5:$S$1000,$S240,$V$5:$V$1000,"Macro")/COUNTIFS($S$5:$S$1000,$S240,$V$5:$V$1000,"Macro",$H$5:$H$1000,"&gt;0"))/(COUNTIFS($S$5:$S$1000,$S240,$V$5:$V$1000,"Macro")*SUMIFS($H$5:$H$1000,$S$5:$S$1000,$S240,$V$5:$V$1000,"Macro")/COUNTIFS($S$5:$S$1000,$S240,$V$5:$V$1000,"Macro",$H$5:$H$1000,"&gt;0"))))</f>
        <v/>
      </c>
      <c r="AH240" s="62">
        <f>IF(NOT(AND($D240&lt;&gt;"",$V240="Macro")),"",IFERROR(CHOOSE(MATCH($D240,ListaPuestos,0),MATCH("[Jefatura] "&amp;$C240,'Cronograma R. Operacional'!$C$5:$C$1000,0),MATCH("[Jefatura] "&amp;$C240,'Cronograma R. Normativo'!$C$5:$C$1000,0),MATCH("[Jefatura] "&amp;$C240,'Cronograma R. Financiero'!$C$5:$C$1000,0),MATCH("[Jefatura] "&amp;$C240,'Cronograma Asistente Técnico'!$C$5:$C$1000,0)),0))</f>
        <v/>
      </c>
      <c r="AI240" s="62">
        <f>IF(AND(AND($D240&lt;&gt;"",$V240="Macro"),$S240=MesCiclo),COUNTIFS($D$5:$D240,$D240,$S$5:$S240,MesCiclo,$V$5:$V240,"Macro"),"")</f>
        <v/>
      </c>
      <c r="AJ240" s="62">
        <f>IF($AI240="","",$D240&amp;"|"&amp;$AI240)</f>
        <v/>
      </c>
      <c r="AK240" s="62">
        <f>IF(AND($D240&lt;&gt;"",$V240="Macro"),$D240&amp;"|"&amp;$C240,"")</f>
        <v/>
      </c>
      <c r="AL240" s="62">
        <f>""</f>
        <v/>
      </c>
      <c r="AM240" s="62">
        <f>IF(N($AL240)&gt;0,INDEX(rIni_ADM,$AL240),IF(ISNUMBER($E240),$E240,""))</f>
        <v/>
      </c>
      <c r="AN240" s="62">
        <f>IF(N($AL240)&gt;0,INDEX(rLim_ADM,$AL240),IF(ISNUMBER($F240),$F240,""))</f>
        <v/>
      </c>
    </row>
    <row r="241">
      <c r="A241" s="56">
        <f>IF(NOT((COUNTA($B241:$D241)+COUNTA($G241:$L241)+COUNTA($Q241))&gt;0),"",IF($V241="Macro",COUNTIFS($V$5:$V241,"Macro",$S$5:$S241,$S241),IF(N($U241)=0,"?",COUNTIFS(INDEX($V$5:$V$1000,1):INDEX($V$5:$V$1000,$U241-4),"Macro",INDEX($S$5:$S$1000,1):INDEX($S$5:$S$1000,$U241-4),INDEX($S$5:$S$1000,$U241-4))&amp;"."&amp;COUNTIFS($U$5:$U241,$U241,$V$5:$V241,"Sub"))))</f>
        <v/>
      </c>
      <c r="B241" s="57" t="n"/>
      <c r="C241" s="58" t="n"/>
      <c r="D241" s="58" t="n"/>
      <c r="E241" s="59" t="n"/>
      <c r="F241" s="59" t="n"/>
      <c r="G241" s="59" t="n"/>
      <c r="H241" s="60" t="n"/>
      <c r="I241" s="60" t="n"/>
      <c r="J241" s="60" t="n"/>
      <c r="K241" s="60" t="n"/>
      <c r="L241" s="60" t="n"/>
      <c r="M241" s="61">
        <f>IF(NOT((COUNTA($B241:$D241)+COUNTA($G241:$L241)+COUNTA($Q241))&gt;0),"",IF(AND($D241&lt;&gt;"",$V241="Macro"),IF(N($AH241)&gt;0,N(CHOOSE(MATCH($D241,ListaPuestos,0),INDEX('Cronograma R. Operacional'!$M$5:$M$1000,$AH241),INDEX('Cronograma R. Normativo'!$M$5:$M$1000,$AH241),INDEX('Cronograma R. Financiero'!$M$5:$M$1000,$AH241),INDEX('Cronograma Asistente Técnico'!$M$5:$M$1000,$AH241))),0),IF(ISNUMBER($G241),1,IF(N($W241)&gt;0,AVERAGEIFS($X$5:$X$1000,$U$5:$U$1000,ROW(),$V$5:$V$1000,"Sub"),$X241))))</f>
        <v/>
      </c>
      <c r="N241" s="56">
        <f>IF($M241="","",IF($M241&gt;=1,"Completado",IF($M241&gt;0,"En curso","Pendiente")))</f>
        <v/>
      </c>
      <c r="O241" s="56">
        <f>IF(NOT((COUNTA($B241:$D241)+COUNTA($G241:$L241)+COUNTA($Q241))&gt;0),"",IF(AND(AND($D241&lt;&gt;"",$V241="Macro"),N($AH241)&gt;0),CHOOSE(MATCH($D241,ListaPuestos,0),INDEX('Cronograma R. Operacional'!$O$5:$O$1000,$AH241),INDEX('Cronograma R. Normativo'!$O$5:$O$1000,$AH241),INDEX('Cronograma R. Financiero'!$O$5:$O$1000,$AH241),INDEX('Cronograma Asistente Técnico'!$O$5:$O$1000,$AH241))&amp;"",IF(ISNUMBER($G241),IF(AND(ISNUMBER($AN241),$G241&gt;$AN241),"Cumplida con "&amp;($G241-$AN241)&amp;IF($G241-$AN241=1," día"," días")&amp;" de retraso","Cumplida"),IF(N($M241)&gt;=1,"Cumplida",IF(NOT(ISNUMBER($AN241)),"Sin fecha límite",IF($AN241&lt;FechaRef,"Vencida hace "&amp;(FechaRef-$AN241)&amp;IF(FechaRef-$AN241=1," día"," días"),IF($AN241=FechaRef,"Vence hoy",IF($AN241-FechaRef&lt;=DiasAlerta,"Vence en "&amp;($AN241-FechaRef)&amp;IF($AN241-FechaRef=1," día"," días"),"En plazo"))))))))</f>
        <v/>
      </c>
      <c r="P241" s="62">
        <f>IF(NOT((COUNTA($B241:$D241)+COUNTA($G241:$L241)+COUNTA($Q241))&gt;0),"",IF($D241="","Propia",IF($V241&lt;&gt;"Macro","Solo se delegan macroactividades",IF(N($AH241)&gt;0,"✔ Recibida por "&amp;$D241,"⚠ "&amp;$D241&amp;" aún no la agrega"))))</f>
        <v/>
      </c>
      <c r="Q241" s="58" t="n"/>
      <c r="R241" s="63">
        <f>IF(NOT((COUNTA($B241:$D241)+COUNTA($G241:$L241)+COUNTA($Q241))&gt;0),"",IF((IF($C241="","Falta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",""))="","✔ OK","⚠ "&amp;LEFT(IF($C241="","Falta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",""),LEN(IF($C241="","Falta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",""))-3)))</f>
        <v/>
      </c>
      <c r="S241" s="64">
        <f>IF(NOT((COUNTA($B241:$D241)+COUNTA($G241:$L241)+COUNTA($Q241))&gt;0),"",IF(AND($V241="Sub",N($U241)&gt;0),IF(ISNUMBER(INDEX($AM$5:$AM$1000,$U241-4)),DATE(YEAR(INDEX($AM$5:$AM$1000,$U241-4)),MONTH(INDEX($AM$5:$AM$1000,$U241-4)),1),IF(ISNUMBER(INDEX($AN$5:$AN$1000,$U241-4)),DATE(YEAR(INDEX($AN$5:$AN$1000,$U241-4)),MONTH(INDEX($AN$5:$AN$1000,$U241-4)),1),MesCiclo)),IF(ISNUMBER($AM241),DATE(YEAR($AM241),MONTH($AM241),1),IF(ISNUMBER($AN241),DATE(YEAR($AN241),MONTH($AN241),1),MesCiclo))))</f>
        <v/>
      </c>
      <c r="T241" s="62">
        <f>IF(OR($S241="",$S241&lt;&gt;MesCiclo),"",COUNTIF($S$5:$S241,MesCiclo))</f>
        <v/>
      </c>
      <c r="U241" s="62">
        <f>IF($V241="","",IF($V241="Macro",ROW(),IFERROR(LOOKUP(2,1/($V$5:$V241="Macro"),ROW($V$5:$V241)),0)))</f>
        <v/>
      </c>
      <c r="V241" s="62">
        <f>IF(NOT((COUNTA($B241:$D241)+COUNTA($G241:$L241)+COUNTA($Q241))&gt;0),"",IF($B241="Subactividad","Sub","Macro"))</f>
        <v/>
      </c>
      <c r="W241" s="62">
        <f>IF($V241="Macro",COUNTIFS($U$5:$U$1000,ROW(),$V$5:$V$1000,"Sub"),"")</f>
        <v/>
      </c>
      <c r="X241" s="62">
        <f>IF($V241="","",IF(ISNUMBER($G241),1,IFERROR(LOOKUP(2,1/($I241:$L241&lt;&gt;""),$I241:$L241),0)))</f>
        <v/>
      </c>
      <c r="Y241" s="62">
        <f>IF($V241="","",IF(AND(ISNUMBER($G241),$G241&lt;=IF($S241=MesCiclo,InicioCiclo,$S241+MOD(2-WEEKDAY($S241),7))+6),1,IF(ISNUMBER($I241),$I241,0)))</f>
        <v/>
      </c>
      <c r="Z241" s="62">
        <f>IF($V241="","",IF(AND(ISNUMBER($G241),$G241&lt;=IF($S241=MesCiclo,InicioCiclo,$S241+MOD(2-WEEKDAY($S241),7))+13),1,IF(ISNUMBER($J241),$J241,$Y241)))</f>
        <v/>
      </c>
      <c r="AA241" s="62">
        <f>IF($V241="","",IF(AND(ISNUMBER($G241),$G241&lt;=IF($S241=MesCiclo,InicioCiclo,$S241+MOD(2-WEEKDAY($S241),7))+20),1,IF(ISNUMBER($K241),$K241,$Z241)))</f>
        <v/>
      </c>
      <c r="AB241" s="62">
        <f>IF($V241="","",IF(AND(ISNUMBER($G241),$G241&lt;=IF($S241=MesCiclo,InicioCiclo,$S241+MOD(2-WEEKDAY($S241),7))+27),1,IF(ISNUMBER($L241),$L241,$AA241)))</f>
        <v/>
      </c>
      <c r="AC241" s="62">
        <f>IF($V241="","",IF(AND(ISNUMBER($G241),$G241&lt;=IF($S241=MesCiclo,InicioCiclo,$S241+MOD(2-WEEKDAY($S241),7))+6),1,IF(N($W241)&gt;0,AVERAGEIFS($Y$5:$Y$1000,$U$5:$U$1000,ROW(),$V$5:$V$1000,"Sub"),$Y241)))</f>
        <v/>
      </c>
      <c r="AD241" s="62">
        <f>IF($V241="","",IF(AND(ISNUMBER($G241),$G241&lt;=IF($S241=MesCiclo,InicioCiclo,$S241+MOD(2-WEEKDAY($S241),7))+13),1,IF(N($W241)&gt;0,AVERAGEIFS($Z$5:$Z$1000,$U$5:$U$1000,ROW(),$V$5:$V$1000,"Sub"),$Z241)))</f>
        <v/>
      </c>
      <c r="AE241" s="62">
        <f>IF($V241="","",IF(AND(ISNUMBER($G241),$G241&lt;=IF($S241=MesCiclo,InicioCiclo,$S241+MOD(2-WEEKDAY($S241),7))+20),1,IF(N($W241)&gt;0,AVERAGEIFS($AA$5:$AA$1000,$U$5:$U$1000,ROW(),$V$5:$V$1000,"Sub"),$AA241)))</f>
        <v/>
      </c>
      <c r="AF241" s="62">
        <f>IF($V241="","",IF(AND(ISNUMBER($G241),$G241&lt;=IF($S241=MesCiclo,InicioCiclo,$S241+MOD(2-WEEKDAY($S241),7))+27),1,IF(N($W241)&gt;0,AVERAGEIFS($AB$5:$AB$1000,$U$5:$U$1000,ROW(),$V$5:$V$1000,"Sub"),$AB241)))</f>
        <v/>
      </c>
      <c r="AG241" s="62">
        <f>IF($V241&lt;&gt;"Macro","",IF(COUNTIFS($S$5:$S$1000,$S241,$V$5:$V$1000,"Macro",$H$5:$H$1000,"&gt;0")=0,1/COUNTIFS($S$5:$S$1000,$S241,$V$5:$V$1000,"Macro"),IF(AND(ISNUMBER($H241),N($H241)&gt;0),$H241,SUMIFS($H$5:$H$1000,$S$5:$S$1000,$S241,$V$5:$V$1000,"Macro")/COUNTIFS($S$5:$S$1000,$S241,$V$5:$V$1000,"Macro",$H$5:$H$1000,"&gt;0"))/(COUNTIFS($S$5:$S$1000,$S241,$V$5:$V$1000,"Macro")*SUMIFS($H$5:$H$1000,$S$5:$S$1000,$S241,$V$5:$V$1000,"Macro")/COUNTIFS($S$5:$S$1000,$S241,$V$5:$V$1000,"Macro",$H$5:$H$1000,"&gt;0"))))</f>
        <v/>
      </c>
      <c r="AH241" s="62">
        <f>IF(NOT(AND($D241&lt;&gt;"",$V241="Macro")),"",IFERROR(CHOOSE(MATCH($D241,ListaPuestos,0),MATCH("[Jefatura] "&amp;$C241,'Cronograma R. Operacional'!$C$5:$C$1000,0),MATCH("[Jefatura] "&amp;$C241,'Cronograma R. Normativo'!$C$5:$C$1000,0),MATCH("[Jefatura] "&amp;$C241,'Cronograma R. Financiero'!$C$5:$C$1000,0),MATCH("[Jefatura] "&amp;$C241,'Cronograma Asistente Técnico'!$C$5:$C$1000,0)),0))</f>
        <v/>
      </c>
      <c r="AI241" s="62">
        <f>IF(AND(AND($D241&lt;&gt;"",$V241="Macro"),$S241=MesCiclo),COUNTIFS($D$5:$D241,$D241,$S$5:$S241,MesCiclo,$V$5:$V241,"Macro"),"")</f>
        <v/>
      </c>
      <c r="AJ241" s="62">
        <f>IF($AI241="","",$D241&amp;"|"&amp;$AI241)</f>
        <v/>
      </c>
      <c r="AK241" s="62">
        <f>IF(AND($D241&lt;&gt;"",$V241="Macro"),$D241&amp;"|"&amp;$C241,"")</f>
        <v/>
      </c>
      <c r="AL241" s="62">
        <f>""</f>
        <v/>
      </c>
      <c r="AM241" s="62">
        <f>IF(N($AL241)&gt;0,INDEX(rIni_ADM,$AL241),IF(ISNUMBER($E241),$E241,""))</f>
        <v/>
      </c>
      <c r="AN241" s="62">
        <f>IF(N($AL241)&gt;0,INDEX(rLim_ADM,$AL241),IF(ISNUMBER($F241),$F241,""))</f>
        <v/>
      </c>
    </row>
    <row r="242">
      <c r="A242" s="56">
        <f>IF(NOT((COUNTA($B242:$D242)+COUNTA($G242:$L242)+COUNTA($Q242))&gt;0),"",IF($V242="Macro",COUNTIFS($V$5:$V242,"Macro",$S$5:$S242,$S242),IF(N($U242)=0,"?",COUNTIFS(INDEX($V$5:$V$1000,1):INDEX($V$5:$V$1000,$U242-4),"Macro",INDEX($S$5:$S$1000,1):INDEX($S$5:$S$1000,$U242-4),INDEX($S$5:$S$1000,$U242-4))&amp;"."&amp;COUNTIFS($U$5:$U242,$U242,$V$5:$V242,"Sub"))))</f>
        <v/>
      </c>
      <c r="B242" s="57" t="n"/>
      <c r="C242" s="58" t="n"/>
      <c r="D242" s="58" t="n"/>
      <c r="E242" s="59" t="n"/>
      <c r="F242" s="59" t="n"/>
      <c r="G242" s="59" t="n"/>
      <c r="H242" s="60" t="n"/>
      <c r="I242" s="60" t="n"/>
      <c r="J242" s="60" t="n"/>
      <c r="K242" s="60" t="n"/>
      <c r="L242" s="60" t="n"/>
      <c r="M242" s="61">
        <f>IF(NOT((COUNTA($B242:$D242)+COUNTA($G242:$L242)+COUNTA($Q242))&gt;0),"",IF(AND($D242&lt;&gt;"",$V242="Macro"),IF(N($AH242)&gt;0,N(CHOOSE(MATCH($D242,ListaPuestos,0),INDEX('Cronograma R. Operacional'!$M$5:$M$1000,$AH242),INDEX('Cronograma R. Normativo'!$M$5:$M$1000,$AH242),INDEX('Cronograma R. Financiero'!$M$5:$M$1000,$AH242),INDEX('Cronograma Asistente Técnico'!$M$5:$M$1000,$AH242))),0),IF(ISNUMBER($G242),1,IF(N($W242)&gt;0,AVERAGEIFS($X$5:$X$1000,$U$5:$U$1000,ROW(),$V$5:$V$1000,"Sub"),$X242))))</f>
        <v/>
      </c>
      <c r="N242" s="56">
        <f>IF($M242="","",IF($M242&gt;=1,"Completado",IF($M242&gt;0,"En curso","Pendiente")))</f>
        <v/>
      </c>
      <c r="O242" s="56">
        <f>IF(NOT((COUNTA($B242:$D242)+COUNTA($G242:$L242)+COUNTA($Q242))&gt;0),"",IF(AND(AND($D242&lt;&gt;"",$V242="Macro"),N($AH242)&gt;0),CHOOSE(MATCH($D242,ListaPuestos,0),INDEX('Cronograma R. Operacional'!$O$5:$O$1000,$AH242),INDEX('Cronograma R. Normativo'!$O$5:$O$1000,$AH242),INDEX('Cronograma R. Financiero'!$O$5:$O$1000,$AH242),INDEX('Cronograma Asistente Técnico'!$O$5:$O$1000,$AH242))&amp;"",IF(ISNUMBER($G242),IF(AND(ISNUMBER($AN242),$G242&gt;$AN242),"Cumplida con "&amp;($G242-$AN242)&amp;IF($G242-$AN242=1," día"," días")&amp;" de retraso","Cumplida"),IF(N($M242)&gt;=1,"Cumplida",IF(NOT(ISNUMBER($AN242)),"Sin fecha límite",IF($AN242&lt;FechaRef,"Vencida hace "&amp;(FechaRef-$AN242)&amp;IF(FechaRef-$AN242=1," día"," días"),IF($AN242=FechaRef,"Vence hoy",IF($AN242-FechaRef&lt;=DiasAlerta,"Vence en "&amp;($AN242-FechaRef)&amp;IF($AN242-FechaRef=1," día"," días"),"En plazo"))))))))</f>
        <v/>
      </c>
      <c r="P242" s="62">
        <f>IF(NOT((COUNTA($B242:$D242)+COUNTA($G242:$L242)+COUNTA($Q242))&gt;0),"",IF($D242="","Propia",IF($V242&lt;&gt;"Macro","Solo se delegan macroactividades",IF(N($AH242)&gt;0,"✔ Recibida por "&amp;$D242,"⚠ "&amp;$D242&amp;" aún no la agrega"))))</f>
        <v/>
      </c>
      <c r="Q242" s="58" t="n"/>
      <c r="R242" s="63">
        <f>IF(NOT((COUNTA($B242:$D242)+COUNTA($G242:$L242)+COUNTA($Q242))&gt;0),"",IF((IF($C242="","Falta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",""))="","✔ OK","⚠ "&amp;LEFT(IF($C242="","Falta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",""),LEN(IF($C242="","Falta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",""))-3)))</f>
        <v/>
      </c>
      <c r="S242" s="64">
        <f>IF(NOT((COUNTA($B242:$D242)+COUNTA($G242:$L242)+COUNTA($Q242))&gt;0),"",IF(AND($V242="Sub",N($U242)&gt;0),IF(ISNUMBER(INDEX($AM$5:$AM$1000,$U242-4)),DATE(YEAR(INDEX($AM$5:$AM$1000,$U242-4)),MONTH(INDEX($AM$5:$AM$1000,$U242-4)),1),IF(ISNUMBER(INDEX($AN$5:$AN$1000,$U242-4)),DATE(YEAR(INDEX($AN$5:$AN$1000,$U242-4)),MONTH(INDEX($AN$5:$AN$1000,$U242-4)),1),MesCiclo)),IF(ISNUMBER($AM242),DATE(YEAR($AM242),MONTH($AM242),1),IF(ISNUMBER($AN242),DATE(YEAR($AN242),MONTH($AN242),1),MesCiclo))))</f>
        <v/>
      </c>
      <c r="T242" s="62">
        <f>IF(OR($S242="",$S242&lt;&gt;MesCiclo),"",COUNTIF($S$5:$S242,MesCiclo))</f>
        <v/>
      </c>
      <c r="U242" s="62">
        <f>IF($V242="","",IF($V242="Macro",ROW(),IFERROR(LOOKUP(2,1/($V$5:$V242="Macro"),ROW($V$5:$V242)),0)))</f>
        <v/>
      </c>
      <c r="V242" s="62">
        <f>IF(NOT((COUNTA($B242:$D242)+COUNTA($G242:$L242)+COUNTA($Q242))&gt;0),"",IF($B242="Subactividad","Sub","Macro"))</f>
        <v/>
      </c>
      <c r="W242" s="62">
        <f>IF($V242="Macro",COUNTIFS($U$5:$U$1000,ROW(),$V$5:$V$1000,"Sub"),"")</f>
        <v/>
      </c>
      <c r="X242" s="62">
        <f>IF($V242="","",IF(ISNUMBER($G242),1,IFERROR(LOOKUP(2,1/($I242:$L242&lt;&gt;""),$I242:$L242),0)))</f>
        <v/>
      </c>
      <c r="Y242" s="62">
        <f>IF($V242="","",IF(AND(ISNUMBER($G242),$G242&lt;=IF($S242=MesCiclo,InicioCiclo,$S242+MOD(2-WEEKDAY($S242),7))+6),1,IF(ISNUMBER($I242),$I242,0)))</f>
        <v/>
      </c>
      <c r="Z242" s="62">
        <f>IF($V242="","",IF(AND(ISNUMBER($G242),$G242&lt;=IF($S242=MesCiclo,InicioCiclo,$S242+MOD(2-WEEKDAY($S242),7))+13),1,IF(ISNUMBER($J242),$J242,$Y242)))</f>
        <v/>
      </c>
      <c r="AA242" s="62">
        <f>IF($V242="","",IF(AND(ISNUMBER($G242),$G242&lt;=IF($S242=MesCiclo,InicioCiclo,$S242+MOD(2-WEEKDAY($S242),7))+20),1,IF(ISNUMBER($K242),$K242,$Z242)))</f>
        <v/>
      </c>
      <c r="AB242" s="62">
        <f>IF($V242="","",IF(AND(ISNUMBER($G242),$G242&lt;=IF($S242=MesCiclo,InicioCiclo,$S242+MOD(2-WEEKDAY($S242),7))+27),1,IF(ISNUMBER($L242),$L242,$AA242)))</f>
        <v/>
      </c>
      <c r="AC242" s="62">
        <f>IF($V242="","",IF(AND(ISNUMBER($G242),$G242&lt;=IF($S242=MesCiclo,InicioCiclo,$S242+MOD(2-WEEKDAY($S242),7))+6),1,IF(N($W242)&gt;0,AVERAGEIFS($Y$5:$Y$1000,$U$5:$U$1000,ROW(),$V$5:$V$1000,"Sub"),$Y242)))</f>
        <v/>
      </c>
      <c r="AD242" s="62">
        <f>IF($V242="","",IF(AND(ISNUMBER($G242),$G242&lt;=IF($S242=MesCiclo,InicioCiclo,$S242+MOD(2-WEEKDAY($S242),7))+13),1,IF(N($W242)&gt;0,AVERAGEIFS($Z$5:$Z$1000,$U$5:$U$1000,ROW(),$V$5:$V$1000,"Sub"),$Z242)))</f>
        <v/>
      </c>
      <c r="AE242" s="62">
        <f>IF($V242="","",IF(AND(ISNUMBER($G242),$G242&lt;=IF($S242=MesCiclo,InicioCiclo,$S242+MOD(2-WEEKDAY($S242),7))+20),1,IF(N($W242)&gt;0,AVERAGEIFS($AA$5:$AA$1000,$U$5:$U$1000,ROW(),$V$5:$V$1000,"Sub"),$AA242)))</f>
        <v/>
      </c>
      <c r="AF242" s="62">
        <f>IF($V242="","",IF(AND(ISNUMBER($G242),$G242&lt;=IF($S242=MesCiclo,InicioCiclo,$S242+MOD(2-WEEKDAY($S242),7))+27),1,IF(N($W242)&gt;0,AVERAGEIFS($AB$5:$AB$1000,$U$5:$U$1000,ROW(),$V$5:$V$1000,"Sub"),$AB242)))</f>
        <v/>
      </c>
      <c r="AG242" s="62">
        <f>IF($V242&lt;&gt;"Macro","",IF(COUNTIFS($S$5:$S$1000,$S242,$V$5:$V$1000,"Macro",$H$5:$H$1000,"&gt;0")=0,1/COUNTIFS($S$5:$S$1000,$S242,$V$5:$V$1000,"Macro"),IF(AND(ISNUMBER($H242),N($H242)&gt;0),$H242,SUMIFS($H$5:$H$1000,$S$5:$S$1000,$S242,$V$5:$V$1000,"Macro")/COUNTIFS($S$5:$S$1000,$S242,$V$5:$V$1000,"Macro",$H$5:$H$1000,"&gt;0"))/(COUNTIFS($S$5:$S$1000,$S242,$V$5:$V$1000,"Macro")*SUMIFS($H$5:$H$1000,$S$5:$S$1000,$S242,$V$5:$V$1000,"Macro")/COUNTIFS($S$5:$S$1000,$S242,$V$5:$V$1000,"Macro",$H$5:$H$1000,"&gt;0"))))</f>
        <v/>
      </c>
      <c r="AH242" s="62">
        <f>IF(NOT(AND($D242&lt;&gt;"",$V242="Macro")),"",IFERROR(CHOOSE(MATCH($D242,ListaPuestos,0),MATCH("[Jefatura] "&amp;$C242,'Cronograma R. Operacional'!$C$5:$C$1000,0),MATCH("[Jefatura] "&amp;$C242,'Cronograma R. Normativo'!$C$5:$C$1000,0),MATCH("[Jefatura] "&amp;$C242,'Cronograma R. Financiero'!$C$5:$C$1000,0),MATCH("[Jefatura] "&amp;$C242,'Cronograma Asistente Técnico'!$C$5:$C$1000,0)),0))</f>
        <v/>
      </c>
      <c r="AI242" s="62">
        <f>IF(AND(AND($D242&lt;&gt;"",$V242="Macro"),$S242=MesCiclo),COUNTIFS($D$5:$D242,$D242,$S$5:$S242,MesCiclo,$V$5:$V242,"Macro"),"")</f>
        <v/>
      </c>
      <c r="AJ242" s="62">
        <f>IF($AI242="","",$D242&amp;"|"&amp;$AI242)</f>
        <v/>
      </c>
      <c r="AK242" s="62">
        <f>IF(AND($D242&lt;&gt;"",$V242="Macro"),$D242&amp;"|"&amp;$C242,"")</f>
        <v/>
      </c>
      <c r="AL242" s="62">
        <f>""</f>
        <v/>
      </c>
      <c r="AM242" s="62">
        <f>IF(N($AL242)&gt;0,INDEX(rIni_ADM,$AL242),IF(ISNUMBER($E242),$E242,""))</f>
        <v/>
      </c>
      <c r="AN242" s="62">
        <f>IF(N($AL242)&gt;0,INDEX(rLim_ADM,$AL242),IF(ISNUMBER($F242),$F242,""))</f>
        <v/>
      </c>
    </row>
    <row r="243">
      <c r="A243" s="56">
        <f>IF(NOT((COUNTA($B243:$D243)+COUNTA($G243:$L243)+COUNTA($Q243))&gt;0),"",IF($V243="Macro",COUNTIFS($V$5:$V243,"Macro",$S$5:$S243,$S243),IF(N($U243)=0,"?",COUNTIFS(INDEX($V$5:$V$1000,1):INDEX($V$5:$V$1000,$U243-4),"Macro",INDEX($S$5:$S$1000,1):INDEX($S$5:$S$1000,$U243-4),INDEX($S$5:$S$1000,$U243-4))&amp;"."&amp;COUNTIFS($U$5:$U243,$U243,$V$5:$V243,"Sub"))))</f>
        <v/>
      </c>
      <c r="B243" s="57" t="n"/>
      <c r="C243" s="58" t="n"/>
      <c r="D243" s="58" t="n"/>
      <c r="E243" s="59" t="n"/>
      <c r="F243" s="59" t="n"/>
      <c r="G243" s="59" t="n"/>
      <c r="H243" s="60" t="n"/>
      <c r="I243" s="60" t="n"/>
      <c r="J243" s="60" t="n"/>
      <c r="K243" s="60" t="n"/>
      <c r="L243" s="60" t="n"/>
      <c r="M243" s="61">
        <f>IF(NOT((COUNTA($B243:$D243)+COUNTA($G243:$L243)+COUNTA($Q243))&gt;0),"",IF(AND($D243&lt;&gt;"",$V243="Macro"),IF(N($AH243)&gt;0,N(CHOOSE(MATCH($D243,ListaPuestos,0),INDEX('Cronograma R. Operacional'!$M$5:$M$1000,$AH243),INDEX('Cronograma R. Normativo'!$M$5:$M$1000,$AH243),INDEX('Cronograma R. Financiero'!$M$5:$M$1000,$AH243),INDEX('Cronograma Asistente Técnico'!$M$5:$M$1000,$AH243))),0),IF(ISNUMBER($G243),1,IF(N($W243)&gt;0,AVERAGEIFS($X$5:$X$1000,$U$5:$U$1000,ROW(),$V$5:$V$1000,"Sub"),$X243))))</f>
        <v/>
      </c>
      <c r="N243" s="56">
        <f>IF($M243="","",IF($M243&gt;=1,"Completado",IF($M243&gt;0,"En curso","Pendiente")))</f>
        <v/>
      </c>
      <c r="O243" s="56">
        <f>IF(NOT((COUNTA($B243:$D243)+COUNTA($G243:$L243)+COUNTA($Q243))&gt;0),"",IF(AND(AND($D243&lt;&gt;"",$V243="Macro"),N($AH243)&gt;0),CHOOSE(MATCH($D243,ListaPuestos,0),INDEX('Cronograma R. Operacional'!$O$5:$O$1000,$AH243),INDEX('Cronograma R. Normativo'!$O$5:$O$1000,$AH243),INDEX('Cronograma R. Financiero'!$O$5:$O$1000,$AH243),INDEX('Cronograma Asistente Técnico'!$O$5:$O$1000,$AH243))&amp;"",IF(ISNUMBER($G243),IF(AND(ISNUMBER($AN243),$G243&gt;$AN243),"Cumplida con "&amp;($G243-$AN243)&amp;IF($G243-$AN243=1," día"," días")&amp;" de retraso","Cumplida"),IF(N($M243)&gt;=1,"Cumplida",IF(NOT(ISNUMBER($AN243)),"Sin fecha límite",IF($AN243&lt;FechaRef,"Vencida hace "&amp;(FechaRef-$AN243)&amp;IF(FechaRef-$AN243=1," día"," días"),IF($AN243=FechaRef,"Vence hoy",IF($AN243-FechaRef&lt;=DiasAlerta,"Vence en "&amp;($AN243-FechaRef)&amp;IF($AN243-FechaRef=1," día"," días"),"En plazo"))))))))</f>
        <v/>
      </c>
      <c r="P243" s="62">
        <f>IF(NOT((COUNTA($B243:$D243)+COUNTA($G243:$L243)+COUNTA($Q243))&gt;0),"",IF($D243="","Propia",IF($V243&lt;&gt;"Macro","Solo se delegan macroactividades",IF(N($AH243)&gt;0,"✔ Recibida por "&amp;$D243,"⚠ "&amp;$D243&amp;" aún no la agrega"))))</f>
        <v/>
      </c>
      <c r="Q243" s="58" t="n"/>
      <c r="R243" s="63">
        <f>IF(NOT((COUNTA($B243:$D243)+COUNTA($G243:$L243)+COUNTA($Q243))&gt;0),"",IF((IF($C243="","Falta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",""))="","✔ OK","⚠ "&amp;LEFT(IF($C243="","Falta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",""),LEN(IF($C243="","Falta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",""))-3)))</f>
        <v/>
      </c>
      <c r="S243" s="64">
        <f>IF(NOT((COUNTA($B243:$D243)+COUNTA($G243:$L243)+COUNTA($Q243))&gt;0),"",IF(AND($V243="Sub",N($U243)&gt;0),IF(ISNUMBER(INDEX($AM$5:$AM$1000,$U243-4)),DATE(YEAR(INDEX($AM$5:$AM$1000,$U243-4)),MONTH(INDEX($AM$5:$AM$1000,$U243-4)),1),IF(ISNUMBER(INDEX($AN$5:$AN$1000,$U243-4)),DATE(YEAR(INDEX($AN$5:$AN$1000,$U243-4)),MONTH(INDEX($AN$5:$AN$1000,$U243-4)),1),MesCiclo)),IF(ISNUMBER($AM243),DATE(YEAR($AM243),MONTH($AM243),1),IF(ISNUMBER($AN243),DATE(YEAR($AN243),MONTH($AN243),1),MesCiclo))))</f>
        <v/>
      </c>
      <c r="T243" s="62">
        <f>IF(OR($S243="",$S243&lt;&gt;MesCiclo),"",COUNTIF($S$5:$S243,MesCiclo))</f>
        <v/>
      </c>
      <c r="U243" s="62">
        <f>IF($V243="","",IF($V243="Macro",ROW(),IFERROR(LOOKUP(2,1/($V$5:$V243="Macro"),ROW($V$5:$V243)),0)))</f>
        <v/>
      </c>
      <c r="V243" s="62">
        <f>IF(NOT((COUNTA($B243:$D243)+COUNTA($G243:$L243)+COUNTA($Q243))&gt;0),"",IF($B243="Subactividad","Sub","Macro"))</f>
        <v/>
      </c>
      <c r="W243" s="62">
        <f>IF($V243="Macro",COUNTIFS($U$5:$U$1000,ROW(),$V$5:$V$1000,"Sub"),"")</f>
        <v/>
      </c>
      <c r="X243" s="62">
        <f>IF($V243="","",IF(ISNUMBER($G243),1,IFERROR(LOOKUP(2,1/($I243:$L243&lt;&gt;""),$I243:$L243),0)))</f>
        <v/>
      </c>
      <c r="Y243" s="62">
        <f>IF($V243="","",IF(AND(ISNUMBER($G243),$G243&lt;=IF($S243=MesCiclo,InicioCiclo,$S243+MOD(2-WEEKDAY($S243),7))+6),1,IF(ISNUMBER($I243),$I243,0)))</f>
        <v/>
      </c>
      <c r="Z243" s="62">
        <f>IF($V243="","",IF(AND(ISNUMBER($G243),$G243&lt;=IF($S243=MesCiclo,InicioCiclo,$S243+MOD(2-WEEKDAY($S243),7))+13),1,IF(ISNUMBER($J243),$J243,$Y243)))</f>
        <v/>
      </c>
      <c r="AA243" s="62">
        <f>IF($V243="","",IF(AND(ISNUMBER($G243),$G243&lt;=IF($S243=MesCiclo,InicioCiclo,$S243+MOD(2-WEEKDAY($S243),7))+20),1,IF(ISNUMBER($K243),$K243,$Z243)))</f>
        <v/>
      </c>
      <c r="AB243" s="62">
        <f>IF($V243="","",IF(AND(ISNUMBER($G243),$G243&lt;=IF($S243=MesCiclo,InicioCiclo,$S243+MOD(2-WEEKDAY($S243),7))+27),1,IF(ISNUMBER($L243),$L243,$AA243)))</f>
        <v/>
      </c>
      <c r="AC243" s="62">
        <f>IF($V243="","",IF(AND(ISNUMBER($G243),$G243&lt;=IF($S243=MesCiclo,InicioCiclo,$S243+MOD(2-WEEKDAY($S243),7))+6),1,IF(N($W243)&gt;0,AVERAGEIFS($Y$5:$Y$1000,$U$5:$U$1000,ROW(),$V$5:$V$1000,"Sub"),$Y243)))</f>
        <v/>
      </c>
      <c r="AD243" s="62">
        <f>IF($V243="","",IF(AND(ISNUMBER($G243),$G243&lt;=IF($S243=MesCiclo,InicioCiclo,$S243+MOD(2-WEEKDAY($S243),7))+13),1,IF(N($W243)&gt;0,AVERAGEIFS($Z$5:$Z$1000,$U$5:$U$1000,ROW(),$V$5:$V$1000,"Sub"),$Z243)))</f>
        <v/>
      </c>
      <c r="AE243" s="62">
        <f>IF($V243="","",IF(AND(ISNUMBER($G243),$G243&lt;=IF($S243=MesCiclo,InicioCiclo,$S243+MOD(2-WEEKDAY($S243),7))+20),1,IF(N($W243)&gt;0,AVERAGEIFS($AA$5:$AA$1000,$U$5:$U$1000,ROW(),$V$5:$V$1000,"Sub"),$AA243)))</f>
        <v/>
      </c>
      <c r="AF243" s="62">
        <f>IF($V243="","",IF(AND(ISNUMBER($G243),$G243&lt;=IF($S243=MesCiclo,InicioCiclo,$S243+MOD(2-WEEKDAY($S243),7))+27),1,IF(N($W243)&gt;0,AVERAGEIFS($AB$5:$AB$1000,$U$5:$U$1000,ROW(),$V$5:$V$1000,"Sub"),$AB243)))</f>
        <v/>
      </c>
      <c r="AG243" s="62">
        <f>IF($V243&lt;&gt;"Macro","",IF(COUNTIFS($S$5:$S$1000,$S243,$V$5:$V$1000,"Macro",$H$5:$H$1000,"&gt;0")=0,1/COUNTIFS($S$5:$S$1000,$S243,$V$5:$V$1000,"Macro"),IF(AND(ISNUMBER($H243),N($H243)&gt;0),$H243,SUMIFS($H$5:$H$1000,$S$5:$S$1000,$S243,$V$5:$V$1000,"Macro")/COUNTIFS($S$5:$S$1000,$S243,$V$5:$V$1000,"Macro",$H$5:$H$1000,"&gt;0"))/(COUNTIFS($S$5:$S$1000,$S243,$V$5:$V$1000,"Macro")*SUMIFS($H$5:$H$1000,$S$5:$S$1000,$S243,$V$5:$V$1000,"Macro")/COUNTIFS($S$5:$S$1000,$S243,$V$5:$V$1000,"Macro",$H$5:$H$1000,"&gt;0"))))</f>
        <v/>
      </c>
      <c r="AH243" s="62">
        <f>IF(NOT(AND($D243&lt;&gt;"",$V243="Macro")),"",IFERROR(CHOOSE(MATCH($D243,ListaPuestos,0),MATCH("[Jefatura] "&amp;$C243,'Cronograma R. Operacional'!$C$5:$C$1000,0),MATCH("[Jefatura] "&amp;$C243,'Cronograma R. Normativo'!$C$5:$C$1000,0),MATCH("[Jefatura] "&amp;$C243,'Cronograma R. Financiero'!$C$5:$C$1000,0),MATCH("[Jefatura] "&amp;$C243,'Cronograma Asistente Técnico'!$C$5:$C$1000,0)),0))</f>
        <v/>
      </c>
      <c r="AI243" s="62">
        <f>IF(AND(AND($D243&lt;&gt;"",$V243="Macro"),$S243=MesCiclo),COUNTIFS($D$5:$D243,$D243,$S$5:$S243,MesCiclo,$V$5:$V243,"Macro"),"")</f>
        <v/>
      </c>
      <c r="AJ243" s="62">
        <f>IF($AI243="","",$D243&amp;"|"&amp;$AI243)</f>
        <v/>
      </c>
      <c r="AK243" s="62">
        <f>IF(AND($D243&lt;&gt;"",$V243="Macro"),$D243&amp;"|"&amp;$C243,"")</f>
        <v/>
      </c>
      <c r="AL243" s="62">
        <f>""</f>
        <v/>
      </c>
      <c r="AM243" s="62">
        <f>IF(N($AL243)&gt;0,INDEX(rIni_ADM,$AL243),IF(ISNUMBER($E243),$E243,""))</f>
        <v/>
      </c>
      <c r="AN243" s="62">
        <f>IF(N($AL243)&gt;0,INDEX(rLim_ADM,$AL243),IF(ISNUMBER($F243),$F243,""))</f>
        <v/>
      </c>
    </row>
    <row r="244">
      <c r="A244" s="56">
        <f>IF(NOT((COUNTA($B244:$D244)+COUNTA($G244:$L244)+COUNTA($Q244))&gt;0),"",IF($V244="Macro",COUNTIFS($V$5:$V244,"Macro",$S$5:$S244,$S244),IF(N($U244)=0,"?",COUNTIFS(INDEX($V$5:$V$1000,1):INDEX($V$5:$V$1000,$U244-4),"Macro",INDEX($S$5:$S$1000,1):INDEX($S$5:$S$1000,$U244-4),INDEX($S$5:$S$1000,$U244-4))&amp;"."&amp;COUNTIFS($U$5:$U244,$U244,$V$5:$V244,"Sub"))))</f>
        <v/>
      </c>
      <c r="B244" s="57" t="n"/>
      <c r="C244" s="58" t="n"/>
      <c r="D244" s="58" t="n"/>
      <c r="E244" s="59" t="n"/>
      <c r="F244" s="59" t="n"/>
      <c r="G244" s="59" t="n"/>
      <c r="H244" s="60" t="n"/>
      <c r="I244" s="60" t="n"/>
      <c r="J244" s="60" t="n"/>
      <c r="K244" s="60" t="n"/>
      <c r="L244" s="60" t="n"/>
      <c r="M244" s="61">
        <f>IF(NOT((COUNTA($B244:$D244)+COUNTA($G244:$L244)+COUNTA($Q244))&gt;0),"",IF(AND($D244&lt;&gt;"",$V244="Macro"),IF(N($AH244)&gt;0,N(CHOOSE(MATCH($D244,ListaPuestos,0),INDEX('Cronograma R. Operacional'!$M$5:$M$1000,$AH244),INDEX('Cronograma R. Normativo'!$M$5:$M$1000,$AH244),INDEX('Cronograma R. Financiero'!$M$5:$M$1000,$AH244),INDEX('Cronograma Asistente Técnico'!$M$5:$M$1000,$AH244))),0),IF(ISNUMBER($G244),1,IF(N($W244)&gt;0,AVERAGEIFS($X$5:$X$1000,$U$5:$U$1000,ROW(),$V$5:$V$1000,"Sub"),$X244))))</f>
        <v/>
      </c>
      <c r="N244" s="56">
        <f>IF($M244="","",IF($M244&gt;=1,"Completado",IF($M244&gt;0,"En curso","Pendiente")))</f>
        <v/>
      </c>
      <c r="O244" s="56">
        <f>IF(NOT((COUNTA($B244:$D244)+COUNTA($G244:$L244)+COUNTA($Q244))&gt;0),"",IF(AND(AND($D244&lt;&gt;"",$V244="Macro"),N($AH244)&gt;0),CHOOSE(MATCH($D244,ListaPuestos,0),INDEX('Cronograma R. Operacional'!$O$5:$O$1000,$AH244),INDEX('Cronograma R. Normativo'!$O$5:$O$1000,$AH244),INDEX('Cronograma R. Financiero'!$O$5:$O$1000,$AH244),INDEX('Cronograma Asistente Técnico'!$O$5:$O$1000,$AH244))&amp;"",IF(ISNUMBER($G244),IF(AND(ISNUMBER($AN244),$G244&gt;$AN244),"Cumplida con "&amp;($G244-$AN244)&amp;IF($G244-$AN244=1," día"," días")&amp;" de retraso","Cumplida"),IF(N($M244)&gt;=1,"Cumplida",IF(NOT(ISNUMBER($AN244)),"Sin fecha límite",IF($AN244&lt;FechaRef,"Vencida hace "&amp;(FechaRef-$AN244)&amp;IF(FechaRef-$AN244=1," día"," días"),IF($AN244=FechaRef,"Vence hoy",IF($AN244-FechaRef&lt;=DiasAlerta,"Vence en "&amp;($AN244-FechaRef)&amp;IF($AN244-FechaRef=1," día"," días"),"En plazo"))))))))</f>
        <v/>
      </c>
      <c r="P244" s="62">
        <f>IF(NOT((COUNTA($B244:$D244)+COUNTA($G244:$L244)+COUNTA($Q244))&gt;0),"",IF($D244="","Propia",IF($V244&lt;&gt;"Macro","Solo se delegan macroactividades",IF(N($AH244)&gt;0,"✔ Recibida por "&amp;$D244,"⚠ "&amp;$D244&amp;" aún no la agrega"))))</f>
        <v/>
      </c>
      <c r="Q244" s="58" t="n"/>
      <c r="R244" s="63">
        <f>IF(NOT((COUNTA($B244:$D244)+COUNTA($G244:$L244)+COUNTA($Q244))&gt;0),"",IF((IF($C244="","Falta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",""))="","✔ OK","⚠ "&amp;LEFT(IF($C244="","Falta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",""),LEN(IF($C244="","Falta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",""))-3)))</f>
        <v/>
      </c>
      <c r="S244" s="64">
        <f>IF(NOT((COUNTA($B244:$D244)+COUNTA($G244:$L244)+COUNTA($Q244))&gt;0),"",IF(AND($V244="Sub",N($U244)&gt;0),IF(ISNUMBER(INDEX($AM$5:$AM$1000,$U244-4)),DATE(YEAR(INDEX($AM$5:$AM$1000,$U244-4)),MONTH(INDEX($AM$5:$AM$1000,$U244-4)),1),IF(ISNUMBER(INDEX($AN$5:$AN$1000,$U244-4)),DATE(YEAR(INDEX($AN$5:$AN$1000,$U244-4)),MONTH(INDEX($AN$5:$AN$1000,$U244-4)),1),MesCiclo)),IF(ISNUMBER($AM244),DATE(YEAR($AM244),MONTH($AM244),1),IF(ISNUMBER($AN244),DATE(YEAR($AN244),MONTH($AN244),1),MesCiclo))))</f>
        <v/>
      </c>
      <c r="T244" s="62">
        <f>IF(OR($S244="",$S244&lt;&gt;MesCiclo),"",COUNTIF($S$5:$S244,MesCiclo))</f>
        <v/>
      </c>
      <c r="U244" s="62">
        <f>IF($V244="","",IF($V244="Macro",ROW(),IFERROR(LOOKUP(2,1/($V$5:$V244="Macro"),ROW($V$5:$V244)),0)))</f>
        <v/>
      </c>
      <c r="V244" s="62">
        <f>IF(NOT((COUNTA($B244:$D244)+COUNTA($G244:$L244)+COUNTA($Q244))&gt;0),"",IF($B244="Subactividad","Sub","Macro"))</f>
        <v/>
      </c>
      <c r="W244" s="62">
        <f>IF($V244="Macro",COUNTIFS($U$5:$U$1000,ROW(),$V$5:$V$1000,"Sub"),"")</f>
        <v/>
      </c>
      <c r="X244" s="62">
        <f>IF($V244="","",IF(ISNUMBER($G244),1,IFERROR(LOOKUP(2,1/($I244:$L244&lt;&gt;""),$I244:$L244),0)))</f>
        <v/>
      </c>
      <c r="Y244" s="62">
        <f>IF($V244="","",IF(AND(ISNUMBER($G244),$G244&lt;=IF($S244=MesCiclo,InicioCiclo,$S244+MOD(2-WEEKDAY($S244),7))+6),1,IF(ISNUMBER($I244),$I244,0)))</f>
        <v/>
      </c>
      <c r="Z244" s="62">
        <f>IF($V244="","",IF(AND(ISNUMBER($G244),$G244&lt;=IF($S244=MesCiclo,InicioCiclo,$S244+MOD(2-WEEKDAY($S244),7))+13),1,IF(ISNUMBER($J244),$J244,$Y244)))</f>
        <v/>
      </c>
      <c r="AA244" s="62">
        <f>IF($V244="","",IF(AND(ISNUMBER($G244),$G244&lt;=IF($S244=MesCiclo,InicioCiclo,$S244+MOD(2-WEEKDAY($S244),7))+20),1,IF(ISNUMBER($K244),$K244,$Z244)))</f>
        <v/>
      </c>
      <c r="AB244" s="62">
        <f>IF($V244="","",IF(AND(ISNUMBER($G244),$G244&lt;=IF($S244=MesCiclo,InicioCiclo,$S244+MOD(2-WEEKDAY($S244),7))+27),1,IF(ISNUMBER($L244),$L244,$AA244)))</f>
        <v/>
      </c>
      <c r="AC244" s="62">
        <f>IF($V244="","",IF(AND(ISNUMBER($G244),$G244&lt;=IF($S244=MesCiclo,InicioCiclo,$S244+MOD(2-WEEKDAY($S244),7))+6),1,IF(N($W244)&gt;0,AVERAGEIFS($Y$5:$Y$1000,$U$5:$U$1000,ROW(),$V$5:$V$1000,"Sub"),$Y244)))</f>
        <v/>
      </c>
      <c r="AD244" s="62">
        <f>IF($V244="","",IF(AND(ISNUMBER($G244),$G244&lt;=IF($S244=MesCiclo,InicioCiclo,$S244+MOD(2-WEEKDAY($S244),7))+13),1,IF(N($W244)&gt;0,AVERAGEIFS($Z$5:$Z$1000,$U$5:$U$1000,ROW(),$V$5:$V$1000,"Sub"),$Z244)))</f>
        <v/>
      </c>
      <c r="AE244" s="62">
        <f>IF($V244="","",IF(AND(ISNUMBER($G244),$G244&lt;=IF($S244=MesCiclo,InicioCiclo,$S244+MOD(2-WEEKDAY($S244),7))+20),1,IF(N($W244)&gt;0,AVERAGEIFS($AA$5:$AA$1000,$U$5:$U$1000,ROW(),$V$5:$V$1000,"Sub"),$AA244)))</f>
        <v/>
      </c>
      <c r="AF244" s="62">
        <f>IF($V244="","",IF(AND(ISNUMBER($G244),$G244&lt;=IF($S244=MesCiclo,InicioCiclo,$S244+MOD(2-WEEKDAY($S244),7))+27),1,IF(N($W244)&gt;0,AVERAGEIFS($AB$5:$AB$1000,$U$5:$U$1000,ROW(),$V$5:$V$1000,"Sub"),$AB244)))</f>
        <v/>
      </c>
      <c r="AG244" s="62">
        <f>IF($V244&lt;&gt;"Macro","",IF(COUNTIFS($S$5:$S$1000,$S244,$V$5:$V$1000,"Macro",$H$5:$H$1000,"&gt;0")=0,1/COUNTIFS($S$5:$S$1000,$S244,$V$5:$V$1000,"Macro"),IF(AND(ISNUMBER($H244),N($H244)&gt;0),$H244,SUMIFS($H$5:$H$1000,$S$5:$S$1000,$S244,$V$5:$V$1000,"Macro")/COUNTIFS($S$5:$S$1000,$S244,$V$5:$V$1000,"Macro",$H$5:$H$1000,"&gt;0"))/(COUNTIFS($S$5:$S$1000,$S244,$V$5:$V$1000,"Macro")*SUMIFS($H$5:$H$1000,$S$5:$S$1000,$S244,$V$5:$V$1000,"Macro")/COUNTIFS($S$5:$S$1000,$S244,$V$5:$V$1000,"Macro",$H$5:$H$1000,"&gt;0"))))</f>
        <v/>
      </c>
      <c r="AH244" s="62">
        <f>IF(NOT(AND($D244&lt;&gt;"",$V244="Macro")),"",IFERROR(CHOOSE(MATCH($D244,ListaPuestos,0),MATCH("[Jefatura] "&amp;$C244,'Cronograma R. Operacional'!$C$5:$C$1000,0),MATCH("[Jefatura] "&amp;$C244,'Cronograma R. Normativo'!$C$5:$C$1000,0),MATCH("[Jefatura] "&amp;$C244,'Cronograma R. Financiero'!$C$5:$C$1000,0),MATCH("[Jefatura] "&amp;$C244,'Cronograma Asistente Técnico'!$C$5:$C$1000,0)),0))</f>
        <v/>
      </c>
      <c r="AI244" s="62">
        <f>IF(AND(AND($D244&lt;&gt;"",$V244="Macro"),$S244=MesCiclo),COUNTIFS($D$5:$D244,$D244,$S$5:$S244,MesCiclo,$V$5:$V244,"Macro"),"")</f>
        <v/>
      </c>
      <c r="AJ244" s="62">
        <f>IF($AI244="","",$D244&amp;"|"&amp;$AI244)</f>
        <v/>
      </c>
      <c r="AK244" s="62">
        <f>IF(AND($D244&lt;&gt;"",$V244="Macro"),$D244&amp;"|"&amp;$C244,"")</f>
        <v/>
      </c>
      <c r="AL244" s="62">
        <f>""</f>
        <v/>
      </c>
      <c r="AM244" s="62">
        <f>IF(N($AL244)&gt;0,INDEX(rIni_ADM,$AL244),IF(ISNUMBER($E244),$E244,""))</f>
        <v/>
      </c>
      <c r="AN244" s="62">
        <f>IF(N($AL244)&gt;0,INDEX(rLim_ADM,$AL244),IF(ISNUMBER($F244),$F244,""))</f>
        <v/>
      </c>
    </row>
    <row r="245">
      <c r="A245" s="56">
        <f>IF(NOT((COUNTA($B245:$D245)+COUNTA($G245:$L245)+COUNTA($Q245))&gt;0),"",IF($V245="Macro",COUNTIFS($V$5:$V245,"Macro",$S$5:$S245,$S245),IF(N($U245)=0,"?",COUNTIFS(INDEX($V$5:$V$1000,1):INDEX($V$5:$V$1000,$U245-4),"Macro",INDEX($S$5:$S$1000,1):INDEX($S$5:$S$1000,$U245-4),INDEX($S$5:$S$1000,$U245-4))&amp;"."&amp;COUNTIFS($U$5:$U245,$U245,$V$5:$V245,"Sub"))))</f>
        <v/>
      </c>
      <c r="B245" s="57" t="n"/>
      <c r="C245" s="58" t="n"/>
      <c r="D245" s="58" t="n"/>
      <c r="E245" s="59" t="n"/>
      <c r="F245" s="59" t="n"/>
      <c r="G245" s="59" t="n"/>
      <c r="H245" s="60" t="n"/>
      <c r="I245" s="60" t="n"/>
      <c r="J245" s="60" t="n"/>
      <c r="K245" s="60" t="n"/>
      <c r="L245" s="60" t="n"/>
      <c r="M245" s="61">
        <f>IF(NOT((COUNTA($B245:$D245)+COUNTA($G245:$L245)+COUNTA($Q245))&gt;0),"",IF(AND($D245&lt;&gt;"",$V245="Macro"),IF(N($AH245)&gt;0,N(CHOOSE(MATCH($D245,ListaPuestos,0),INDEX('Cronograma R. Operacional'!$M$5:$M$1000,$AH245),INDEX('Cronograma R. Normativo'!$M$5:$M$1000,$AH245),INDEX('Cronograma R. Financiero'!$M$5:$M$1000,$AH245),INDEX('Cronograma Asistente Técnico'!$M$5:$M$1000,$AH245))),0),IF(ISNUMBER($G245),1,IF(N($W245)&gt;0,AVERAGEIFS($X$5:$X$1000,$U$5:$U$1000,ROW(),$V$5:$V$1000,"Sub"),$X245))))</f>
        <v/>
      </c>
      <c r="N245" s="56">
        <f>IF($M245="","",IF($M245&gt;=1,"Completado",IF($M245&gt;0,"En curso","Pendiente")))</f>
        <v/>
      </c>
      <c r="O245" s="56">
        <f>IF(NOT((COUNTA($B245:$D245)+COUNTA($G245:$L245)+COUNTA($Q245))&gt;0),"",IF(AND(AND($D245&lt;&gt;"",$V245="Macro"),N($AH245)&gt;0),CHOOSE(MATCH($D245,ListaPuestos,0),INDEX('Cronograma R. Operacional'!$O$5:$O$1000,$AH245),INDEX('Cronograma R. Normativo'!$O$5:$O$1000,$AH245),INDEX('Cronograma R. Financiero'!$O$5:$O$1000,$AH245),INDEX('Cronograma Asistente Técnico'!$O$5:$O$1000,$AH245))&amp;"",IF(ISNUMBER($G245),IF(AND(ISNUMBER($AN245),$G245&gt;$AN245),"Cumplida con "&amp;($G245-$AN245)&amp;IF($G245-$AN245=1," día"," días")&amp;" de retraso","Cumplida"),IF(N($M245)&gt;=1,"Cumplida",IF(NOT(ISNUMBER($AN245)),"Sin fecha límite",IF($AN245&lt;FechaRef,"Vencida hace "&amp;(FechaRef-$AN245)&amp;IF(FechaRef-$AN245=1," día"," días"),IF($AN245=FechaRef,"Vence hoy",IF($AN245-FechaRef&lt;=DiasAlerta,"Vence en "&amp;($AN245-FechaRef)&amp;IF($AN245-FechaRef=1," día"," días"),"En plazo"))))))))</f>
        <v/>
      </c>
      <c r="P245" s="62">
        <f>IF(NOT((COUNTA($B245:$D245)+COUNTA($G245:$L245)+COUNTA($Q245))&gt;0),"",IF($D245="","Propia",IF($V245&lt;&gt;"Macro","Solo se delegan macroactividades",IF(N($AH245)&gt;0,"✔ Recibida por "&amp;$D245,"⚠ "&amp;$D245&amp;" aún no la agrega"))))</f>
        <v/>
      </c>
      <c r="Q245" s="58" t="n"/>
      <c r="R245" s="63">
        <f>IF(NOT((COUNTA($B245:$D245)+COUNTA($G245:$L245)+COUNTA($Q245))&gt;0),"",IF((IF($C245="","Falta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",""))="","✔ OK","⚠ "&amp;LEFT(IF($C245="","Falta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",""),LEN(IF($C245="","Falta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",""))-3)))</f>
        <v/>
      </c>
      <c r="S245" s="64">
        <f>IF(NOT((COUNTA($B245:$D245)+COUNTA($G245:$L245)+COUNTA($Q245))&gt;0),"",IF(AND($V245="Sub",N($U245)&gt;0),IF(ISNUMBER(INDEX($AM$5:$AM$1000,$U245-4)),DATE(YEAR(INDEX($AM$5:$AM$1000,$U245-4)),MONTH(INDEX($AM$5:$AM$1000,$U245-4)),1),IF(ISNUMBER(INDEX($AN$5:$AN$1000,$U245-4)),DATE(YEAR(INDEX($AN$5:$AN$1000,$U245-4)),MONTH(INDEX($AN$5:$AN$1000,$U245-4)),1),MesCiclo)),IF(ISNUMBER($AM245),DATE(YEAR($AM245),MONTH($AM245),1),IF(ISNUMBER($AN245),DATE(YEAR($AN245),MONTH($AN245),1),MesCiclo))))</f>
        <v/>
      </c>
      <c r="T245" s="62">
        <f>IF(OR($S245="",$S245&lt;&gt;MesCiclo),"",COUNTIF($S$5:$S245,MesCiclo))</f>
        <v/>
      </c>
      <c r="U245" s="62">
        <f>IF($V245="","",IF($V245="Macro",ROW(),IFERROR(LOOKUP(2,1/($V$5:$V245="Macro"),ROW($V$5:$V245)),0)))</f>
        <v/>
      </c>
      <c r="V245" s="62">
        <f>IF(NOT((COUNTA($B245:$D245)+COUNTA($G245:$L245)+COUNTA($Q245))&gt;0),"",IF($B245="Subactividad","Sub","Macro"))</f>
        <v/>
      </c>
      <c r="W245" s="62">
        <f>IF($V245="Macro",COUNTIFS($U$5:$U$1000,ROW(),$V$5:$V$1000,"Sub"),"")</f>
        <v/>
      </c>
      <c r="X245" s="62">
        <f>IF($V245="","",IF(ISNUMBER($G245),1,IFERROR(LOOKUP(2,1/($I245:$L245&lt;&gt;""),$I245:$L245),0)))</f>
        <v/>
      </c>
      <c r="Y245" s="62">
        <f>IF($V245="","",IF(AND(ISNUMBER($G245),$G245&lt;=IF($S245=MesCiclo,InicioCiclo,$S245+MOD(2-WEEKDAY($S245),7))+6),1,IF(ISNUMBER($I245),$I245,0)))</f>
        <v/>
      </c>
      <c r="Z245" s="62">
        <f>IF($V245="","",IF(AND(ISNUMBER($G245),$G245&lt;=IF($S245=MesCiclo,InicioCiclo,$S245+MOD(2-WEEKDAY($S245),7))+13),1,IF(ISNUMBER($J245),$J245,$Y245)))</f>
        <v/>
      </c>
      <c r="AA245" s="62">
        <f>IF($V245="","",IF(AND(ISNUMBER($G245),$G245&lt;=IF($S245=MesCiclo,InicioCiclo,$S245+MOD(2-WEEKDAY($S245),7))+20),1,IF(ISNUMBER($K245),$K245,$Z245)))</f>
        <v/>
      </c>
      <c r="AB245" s="62">
        <f>IF($V245="","",IF(AND(ISNUMBER($G245),$G245&lt;=IF($S245=MesCiclo,InicioCiclo,$S245+MOD(2-WEEKDAY($S245),7))+27),1,IF(ISNUMBER($L245),$L245,$AA245)))</f>
        <v/>
      </c>
      <c r="AC245" s="62">
        <f>IF($V245="","",IF(AND(ISNUMBER($G245),$G245&lt;=IF($S245=MesCiclo,InicioCiclo,$S245+MOD(2-WEEKDAY($S245),7))+6),1,IF(N($W245)&gt;0,AVERAGEIFS($Y$5:$Y$1000,$U$5:$U$1000,ROW(),$V$5:$V$1000,"Sub"),$Y245)))</f>
        <v/>
      </c>
      <c r="AD245" s="62">
        <f>IF($V245="","",IF(AND(ISNUMBER($G245),$G245&lt;=IF($S245=MesCiclo,InicioCiclo,$S245+MOD(2-WEEKDAY($S245),7))+13),1,IF(N($W245)&gt;0,AVERAGEIFS($Z$5:$Z$1000,$U$5:$U$1000,ROW(),$V$5:$V$1000,"Sub"),$Z245)))</f>
        <v/>
      </c>
      <c r="AE245" s="62">
        <f>IF($V245="","",IF(AND(ISNUMBER($G245),$G245&lt;=IF($S245=MesCiclo,InicioCiclo,$S245+MOD(2-WEEKDAY($S245),7))+20),1,IF(N($W245)&gt;0,AVERAGEIFS($AA$5:$AA$1000,$U$5:$U$1000,ROW(),$V$5:$V$1000,"Sub"),$AA245)))</f>
        <v/>
      </c>
      <c r="AF245" s="62">
        <f>IF($V245="","",IF(AND(ISNUMBER($G245),$G245&lt;=IF($S245=MesCiclo,InicioCiclo,$S245+MOD(2-WEEKDAY($S245),7))+27),1,IF(N($W245)&gt;0,AVERAGEIFS($AB$5:$AB$1000,$U$5:$U$1000,ROW(),$V$5:$V$1000,"Sub"),$AB245)))</f>
        <v/>
      </c>
      <c r="AG245" s="62">
        <f>IF($V245&lt;&gt;"Macro","",IF(COUNTIFS($S$5:$S$1000,$S245,$V$5:$V$1000,"Macro",$H$5:$H$1000,"&gt;0")=0,1/COUNTIFS($S$5:$S$1000,$S245,$V$5:$V$1000,"Macro"),IF(AND(ISNUMBER($H245),N($H245)&gt;0),$H245,SUMIFS($H$5:$H$1000,$S$5:$S$1000,$S245,$V$5:$V$1000,"Macro")/COUNTIFS($S$5:$S$1000,$S245,$V$5:$V$1000,"Macro",$H$5:$H$1000,"&gt;0"))/(COUNTIFS($S$5:$S$1000,$S245,$V$5:$V$1000,"Macro")*SUMIFS($H$5:$H$1000,$S$5:$S$1000,$S245,$V$5:$V$1000,"Macro")/COUNTIFS($S$5:$S$1000,$S245,$V$5:$V$1000,"Macro",$H$5:$H$1000,"&gt;0"))))</f>
        <v/>
      </c>
      <c r="AH245" s="62">
        <f>IF(NOT(AND($D245&lt;&gt;"",$V245="Macro")),"",IFERROR(CHOOSE(MATCH($D245,ListaPuestos,0),MATCH("[Jefatura] "&amp;$C245,'Cronograma R. Operacional'!$C$5:$C$1000,0),MATCH("[Jefatura] "&amp;$C245,'Cronograma R. Normativo'!$C$5:$C$1000,0),MATCH("[Jefatura] "&amp;$C245,'Cronograma R. Financiero'!$C$5:$C$1000,0),MATCH("[Jefatura] "&amp;$C245,'Cronograma Asistente Técnico'!$C$5:$C$1000,0)),0))</f>
        <v/>
      </c>
      <c r="AI245" s="62">
        <f>IF(AND(AND($D245&lt;&gt;"",$V245="Macro"),$S245=MesCiclo),COUNTIFS($D$5:$D245,$D245,$S$5:$S245,MesCiclo,$V$5:$V245,"Macro"),"")</f>
        <v/>
      </c>
      <c r="AJ245" s="62">
        <f>IF($AI245="","",$D245&amp;"|"&amp;$AI245)</f>
        <v/>
      </c>
      <c r="AK245" s="62">
        <f>IF(AND($D245&lt;&gt;"",$V245="Macro"),$D245&amp;"|"&amp;$C245,"")</f>
        <v/>
      </c>
      <c r="AL245" s="62">
        <f>""</f>
        <v/>
      </c>
      <c r="AM245" s="62">
        <f>IF(N($AL245)&gt;0,INDEX(rIni_ADM,$AL245),IF(ISNUMBER($E245),$E245,""))</f>
        <v/>
      </c>
      <c r="AN245" s="62">
        <f>IF(N($AL245)&gt;0,INDEX(rLim_ADM,$AL245),IF(ISNUMBER($F245),$F245,""))</f>
        <v/>
      </c>
    </row>
    <row r="246">
      <c r="A246" s="56">
        <f>IF(NOT((COUNTA($B246:$D246)+COUNTA($G246:$L246)+COUNTA($Q246))&gt;0),"",IF($V246="Macro",COUNTIFS($V$5:$V246,"Macro",$S$5:$S246,$S246),IF(N($U246)=0,"?",COUNTIFS(INDEX($V$5:$V$1000,1):INDEX($V$5:$V$1000,$U246-4),"Macro",INDEX($S$5:$S$1000,1):INDEX($S$5:$S$1000,$U246-4),INDEX($S$5:$S$1000,$U246-4))&amp;"."&amp;COUNTIFS($U$5:$U246,$U246,$V$5:$V246,"Sub"))))</f>
        <v/>
      </c>
      <c r="B246" s="57" t="n"/>
      <c r="C246" s="58" t="n"/>
      <c r="D246" s="58" t="n"/>
      <c r="E246" s="59" t="n"/>
      <c r="F246" s="59" t="n"/>
      <c r="G246" s="59" t="n"/>
      <c r="H246" s="60" t="n"/>
      <c r="I246" s="60" t="n"/>
      <c r="J246" s="60" t="n"/>
      <c r="K246" s="60" t="n"/>
      <c r="L246" s="60" t="n"/>
      <c r="M246" s="61">
        <f>IF(NOT((COUNTA($B246:$D246)+COUNTA($G246:$L246)+COUNTA($Q246))&gt;0),"",IF(AND($D246&lt;&gt;"",$V246="Macro"),IF(N($AH246)&gt;0,N(CHOOSE(MATCH($D246,ListaPuestos,0),INDEX('Cronograma R. Operacional'!$M$5:$M$1000,$AH246),INDEX('Cronograma R. Normativo'!$M$5:$M$1000,$AH246),INDEX('Cronograma R. Financiero'!$M$5:$M$1000,$AH246),INDEX('Cronograma Asistente Técnico'!$M$5:$M$1000,$AH246))),0),IF(ISNUMBER($G246),1,IF(N($W246)&gt;0,AVERAGEIFS($X$5:$X$1000,$U$5:$U$1000,ROW(),$V$5:$V$1000,"Sub"),$X246))))</f>
        <v/>
      </c>
      <c r="N246" s="56">
        <f>IF($M246="","",IF($M246&gt;=1,"Completado",IF($M246&gt;0,"En curso","Pendiente")))</f>
        <v/>
      </c>
      <c r="O246" s="56">
        <f>IF(NOT((COUNTA($B246:$D246)+COUNTA($G246:$L246)+COUNTA($Q246))&gt;0),"",IF(AND(AND($D246&lt;&gt;"",$V246="Macro"),N($AH246)&gt;0),CHOOSE(MATCH($D246,ListaPuestos,0),INDEX('Cronograma R. Operacional'!$O$5:$O$1000,$AH246),INDEX('Cronograma R. Normativo'!$O$5:$O$1000,$AH246),INDEX('Cronograma R. Financiero'!$O$5:$O$1000,$AH246),INDEX('Cronograma Asistente Técnico'!$O$5:$O$1000,$AH246))&amp;"",IF(ISNUMBER($G246),IF(AND(ISNUMBER($AN246),$G246&gt;$AN246),"Cumplida con "&amp;($G246-$AN246)&amp;IF($G246-$AN246=1," día"," días")&amp;" de retraso","Cumplida"),IF(N($M246)&gt;=1,"Cumplida",IF(NOT(ISNUMBER($AN246)),"Sin fecha límite",IF($AN246&lt;FechaRef,"Vencida hace "&amp;(FechaRef-$AN246)&amp;IF(FechaRef-$AN246=1," día"," días"),IF($AN246=FechaRef,"Vence hoy",IF($AN246-FechaRef&lt;=DiasAlerta,"Vence en "&amp;($AN246-FechaRef)&amp;IF($AN246-FechaRef=1," día"," días"),"En plazo"))))))))</f>
        <v/>
      </c>
      <c r="P246" s="62">
        <f>IF(NOT((COUNTA($B246:$D246)+COUNTA($G246:$L246)+COUNTA($Q246))&gt;0),"",IF($D246="","Propia",IF($V246&lt;&gt;"Macro","Solo se delegan macroactividades",IF(N($AH246)&gt;0,"✔ Recibida por "&amp;$D246,"⚠ "&amp;$D246&amp;" aún no la agrega"))))</f>
        <v/>
      </c>
      <c r="Q246" s="58" t="n"/>
      <c r="R246" s="63">
        <f>IF(NOT((COUNTA($B246:$D246)+COUNTA($G246:$L246)+COUNTA($Q246))&gt;0),"",IF((IF($C246="","Falta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",""))="","✔ OK","⚠ "&amp;LEFT(IF($C246="","Falta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",""),LEN(IF($C246="","Falta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",""))-3)))</f>
        <v/>
      </c>
      <c r="S246" s="64">
        <f>IF(NOT((COUNTA($B246:$D246)+COUNTA($G246:$L246)+COUNTA($Q246))&gt;0),"",IF(AND($V246="Sub",N($U246)&gt;0),IF(ISNUMBER(INDEX($AM$5:$AM$1000,$U246-4)),DATE(YEAR(INDEX($AM$5:$AM$1000,$U246-4)),MONTH(INDEX($AM$5:$AM$1000,$U246-4)),1),IF(ISNUMBER(INDEX($AN$5:$AN$1000,$U246-4)),DATE(YEAR(INDEX($AN$5:$AN$1000,$U246-4)),MONTH(INDEX($AN$5:$AN$1000,$U246-4)),1),MesCiclo)),IF(ISNUMBER($AM246),DATE(YEAR($AM246),MONTH($AM246),1),IF(ISNUMBER($AN246),DATE(YEAR($AN246),MONTH($AN246),1),MesCiclo))))</f>
        <v/>
      </c>
      <c r="T246" s="62">
        <f>IF(OR($S246="",$S246&lt;&gt;MesCiclo),"",COUNTIF($S$5:$S246,MesCiclo))</f>
        <v/>
      </c>
      <c r="U246" s="62">
        <f>IF($V246="","",IF($V246="Macro",ROW(),IFERROR(LOOKUP(2,1/($V$5:$V246="Macro"),ROW($V$5:$V246)),0)))</f>
        <v/>
      </c>
      <c r="V246" s="62">
        <f>IF(NOT((COUNTA($B246:$D246)+COUNTA($G246:$L246)+COUNTA($Q246))&gt;0),"",IF($B246="Subactividad","Sub","Macro"))</f>
        <v/>
      </c>
      <c r="W246" s="62">
        <f>IF($V246="Macro",COUNTIFS($U$5:$U$1000,ROW(),$V$5:$V$1000,"Sub"),"")</f>
        <v/>
      </c>
      <c r="X246" s="62">
        <f>IF($V246="","",IF(ISNUMBER($G246),1,IFERROR(LOOKUP(2,1/($I246:$L246&lt;&gt;""),$I246:$L246),0)))</f>
        <v/>
      </c>
      <c r="Y246" s="62">
        <f>IF($V246="","",IF(AND(ISNUMBER($G246),$G246&lt;=IF($S246=MesCiclo,InicioCiclo,$S246+MOD(2-WEEKDAY($S246),7))+6),1,IF(ISNUMBER($I246),$I246,0)))</f>
        <v/>
      </c>
      <c r="Z246" s="62">
        <f>IF($V246="","",IF(AND(ISNUMBER($G246),$G246&lt;=IF($S246=MesCiclo,InicioCiclo,$S246+MOD(2-WEEKDAY($S246),7))+13),1,IF(ISNUMBER($J246),$J246,$Y246)))</f>
        <v/>
      </c>
      <c r="AA246" s="62">
        <f>IF($V246="","",IF(AND(ISNUMBER($G246),$G246&lt;=IF($S246=MesCiclo,InicioCiclo,$S246+MOD(2-WEEKDAY($S246),7))+20),1,IF(ISNUMBER($K246),$K246,$Z246)))</f>
        <v/>
      </c>
      <c r="AB246" s="62">
        <f>IF($V246="","",IF(AND(ISNUMBER($G246),$G246&lt;=IF($S246=MesCiclo,InicioCiclo,$S246+MOD(2-WEEKDAY($S246),7))+27),1,IF(ISNUMBER($L246),$L246,$AA246)))</f>
        <v/>
      </c>
      <c r="AC246" s="62">
        <f>IF($V246="","",IF(AND(ISNUMBER($G246),$G246&lt;=IF($S246=MesCiclo,InicioCiclo,$S246+MOD(2-WEEKDAY($S246),7))+6),1,IF(N($W246)&gt;0,AVERAGEIFS($Y$5:$Y$1000,$U$5:$U$1000,ROW(),$V$5:$V$1000,"Sub"),$Y246)))</f>
        <v/>
      </c>
      <c r="AD246" s="62">
        <f>IF($V246="","",IF(AND(ISNUMBER($G246),$G246&lt;=IF($S246=MesCiclo,InicioCiclo,$S246+MOD(2-WEEKDAY($S246),7))+13),1,IF(N($W246)&gt;0,AVERAGEIFS($Z$5:$Z$1000,$U$5:$U$1000,ROW(),$V$5:$V$1000,"Sub"),$Z246)))</f>
        <v/>
      </c>
      <c r="AE246" s="62">
        <f>IF($V246="","",IF(AND(ISNUMBER($G246),$G246&lt;=IF($S246=MesCiclo,InicioCiclo,$S246+MOD(2-WEEKDAY($S246),7))+20),1,IF(N($W246)&gt;0,AVERAGEIFS($AA$5:$AA$1000,$U$5:$U$1000,ROW(),$V$5:$V$1000,"Sub"),$AA246)))</f>
        <v/>
      </c>
      <c r="AF246" s="62">
        <f>IF($V246="","",IF(AND(ISNUMBER($G246),$G246&lt;=IF($S246=MesCiclo,InicioCiclo,$S246+MOD(2-WEEKDAY($S246),7))+27),1,IF(N($W246)&gt;0,AVERAGEIFS($AB$5:$AB$1000,$U$5:$U$1000,ROW(),$V$5:$V$1000,"Sub"),$AB246)))</f>
        <v/>
      </c>
      <c r="AG246" s="62">
        <f>IF($V246&lt;&gt;"Macro","",IF(COUNTIFS($S$5:$S$1000,$S246,$V$5:$V$1000,"Macro",$H$5:$H$1000,"&gt;0")=0,1/COUNTIFS($S$5:$S$1000,$S246,$V$5:$V$1000,"Macro"),IF(AND(ISNUMBER($H246),N($H246)&gt;0),$H246,SUMIFS($H$5:$H$1000,$S$5:$S$1000,$S246,$V$5:$V$1000,"Macro")/COUNTIFS($S$5:$S$1000,$S246,$V$5:$V$1000,"Macro",$H$5:$H$1000,"&gt;0"))/(COUNTIFS($S$5:$S$1000,$S246,$V$5:$V$1000,"Macro")*SUMIFS($H$5:$H$1000,$S$5:$S$1000,$S246,$V$5:$V$1000,"Macro")/COUNTIFS($S$5:$S$1000,$S246,$V$5:$V$1000,"Macro",$H$5:$H$1000,"&gt;0"))))</f>
        <v/>
      </c>
      <c r="AH246" s="62">
        <f>IF(NOT(AND($D246&lt;&gt;"",$V246="Macro")),"",IFERROR(CHOOSE(MATCH($D246,ListaPuestos,0),MATCH("[Jefatura] "&amp;$C246,'Cronograma R. Operacional'!$C$5:$C$1000,0),MATCH("[Jefatura] "&amp;$C246,'Cronograma R. Normativo'!$C$5:$C$1000,0),MATCH("[Jefatura] "&amp;$C246,'Cronograma R. Financiero'!$C$5:$C$1000,0),MATCH("[Jefatura] "&amp;$C246,'Cronograma Asistente Técnico'!$C$5:$C$1000,0)),0))</f>
        <v/>
      </c>
      <c r="AI246" s="62">
        <f>IF(AND(AND($D246&lt;&gt;"",$V246="Macro"),$S246=MesCiclo),COUNTIFS($D$5:$D246,$D246,$S$5:$S246,MesCiclo,$V$5:$V246,"Macro"),"")</f>
        <v/>
      </c>
      <c r="AJ246" s="62">
        <f>IF($AI246="","",$D246&amp;"|"&amp;$AI246)</f>
        <v/>
      </c>
      <c r="AK246" s="62">
        <f>IF(AND($D246&lt;&gt;"",$V246="Macro"),$D246&amp;"|"&amp;$C246,"")</f>
        <v/>
      </c>
      <c r="AL246" s="62">
        <f>""</f>
        <v/>
      </c>
      <c r="AM246" s="62">
        <f>IF(N($AL246)&gt;0,INDEX(rIni_ADM,$AL246),IF(ISNUMBER($E246),$E246,""))</f>
        <v/>
      </c>
      <c r="AN246" s="62">
        <f>IF(N($AL246)&gt;0,INDEX(rLim_ADM,$AL246),IF(ISNUMBER($F246),$F246,""))</f>
        <v/>
      </c>
    </row>
    <row r="247">
      <c r="A247" s="56">
        <f>IF(NOT((COUNTA($B247:$D247)+COUNTA($G247:$L247)+COUNTA($Q247))&gt;0),"",IF($V247="Macro",COUNTIFS($V$5:$V247,"Macro",$S$5:$S247,$S247),IF(N($U247)=0,"?",COUNTIFS(INDEX($V$5:$V$1000,1):INDEX($V$5:$V$1000,$U247-4),"Macro",INDEX($S$5:$S$1000,1):INDEX($S$5:$S$1000,$U247-4),INDEX($S$5:$S$1000,$U247-4))&amp;"."&amp;COUNTIFS($U$5:$U247,$U247,$V$5:$V247,"Sub"))))</f>
        <v/>
      </c>
      <c r="B247" s="57" t="n"/>
      <c r="C247" s="58" t="n"/>
      <c r="D247" s="58" t="n"/>
      <c r="E247" s="59" t="n"/>
      <c r="F247" s="59" t="n"/>
      <c r="G247" s="59" t="n"/>
      <c r="H247" s="60" t="n"/>
      <c r="I247" s="60" t="n"/>
      <c r="J247" s="60" t="n"/>
      <c r="K247" s="60" t="n"/>
      <c r="L247" s="60" t="n"/>
      <c r="M247" s="61">
        <f>IF(NOT((COUNTA($B247:$D247)+COUNTA($G247:$L247)+COUNTA($Q247))&gt;0),"",IF(AND($D247&lt;&gt;"",$V247="Macro"),IF(N($AH247)&gt;0,N(CHOOSE(MATCH($D247,ListaPuestos,0),INDEX('Cronograma R. Operacional'!$M$5:$M$1000,$AH247),INDEX('Cronograma R. Normativo'!$M$5:$M$1000,$AH247),INDEX('Cronograma R. Financiero'!$M$5:$M$1000,$AH247),INDEX('Cronograma Asistente Técnico'!$M$5:$M$1000,$AH247))),0),IF(ISNUMBER($G247),1,IF(N($W247)&gt;0,AVERAGEIFS($X$5:$X$1000,$U$5:$U$1000,ROW(),$V$5:$V$1000,"Sub"),$X247))))</f>
        <v/>
      </c>
      <c r="N247" s="56">
        <f>IF($M247="","",IF($M247&gt;=1,"Completado",IF($M247&gt;0,"En curso","Pendiente")))</f>
        <v/>
      </c>
      <c r="O247" s="56">
        <f>IF(NOT((COUNTA($B247:$D247)+COUNTA($G247:$L247)+COUNTA($Q247))&gt;0),"",IF(AND(AND($D247&lt;&gt;"",$V247="Macro"),N($AH247)&gt;0),CHOOSE(MATCH($D247,ListaPuestos,0),INDEX('Cronograma R. Operacional'!$O$5:$O$1000,$AH247),INDEX('Cronograma R. Normativo'!$O$5:$O$1000,$AH247),INDEX('Cronograma R. Financiero'!$O$5:$O$1000,$AH247),INDEX('Cronograma Asistente Técnico'!$O$5:$O$1000,$AH247))&amp;"",IF(ISNUMBER($G247),IF(AND(ISNUMBER($AN247),$G247&gt;$AN247),"Cumplida con "&amp;($G247-$AN247)&amp;IF($G247-$AN247=1," día"," días")&amp;" de retraso","Cumplida"),IF(N($M247)&gt;=1,"Cumplida",IF(NOT(ISNUMBER($AN247)),"Sin fecha límite",IF($AN247&lt;FechaRef,"Vencida hace "&amp;(FechaRef-$AN247)&amp;IF(FechaRef-$AN247=1," día"," días"),IF($AN247=FechaRef,"Vence hoy",IF($AN247-FechaRef&lt;=DiasAlerta,"Vence en "&amp;($AN247-FechaRef)&amp;IF($AN247-FechaRef=1," día"," días"),"En plazo"))))))))</f>
        <v/>
      </c>
      <c r="P247" s="62">
        <f>IF(NOT((COUNTA($B247:$D247)+COUNTA($G247:$L247)+COUNTA($Q247))&gt;0),"",IF($D247="","Propia",IF($V247&lt;&gt;"Macro","Solo se delegan macroactividades",IF(N($AH247)&gt;0,"✔ Recibida por "&amp;$D247,"⚠ "&amp;$D247&amp;" aún no la agrega"))))</f>
        <v/>
      </c>
      <c r="Q247" s="58" t="n"/>
      <c r="R247" s="63">
        <f>IF(NOT((COUNTA($B247:$D247)+COUNTA($G247:$L247)+COUNTA($Q247))&gt;0),"",IF((IF($C247="","Falta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",""))="","✔ OK","⚠ "&amp;LEFT(IF($C247="","Falta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",""),LEN(IF($C247="","Falta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",""))-3)))</f>
        <v/>
      </c>
      <c r="S247" s="64">
        <f>IF(NOT((COUNTA($B247:$D247)+COUNTA($G247:$L247)+COUNTA($Q247))&gt;0),"",IF(AND($V247="Sub",N($U247)&gt;0),IF(ISNUMBER(INDEX($AM$5:$AM$1000,$U247-4)),DATE(YEAR(INDEX($AM$5:$AM$1000,$U247-4)),MONTH(INDEX($AM$5:$AM$1000,$U247-4)),1),IF(ISNUMBER(INDEX($AN$5:$AN$1000,$U247-4)),DATE(YEAR(INDEX($AN$5:$AN$1000,$U247-4)),MONTH(INDEX($AN$5:$AN$1000,$U247-4)),1),MesCiclo)),IF(ISNUMBER($AM247),DATE(YEAR($AM247),MONTH($AM247),1),IF(ISNUMBER($AN247),DATE(YEAR($AN247),MONTH($AN247),1),MesCiclo))))</f>
        <v/>
      </c>
      <c r="T247" s="62">
        <f>IF(OR($S247="",$S247&lt;&gt;MesCiclo),"",COUNTIF($S$5:$S247,MesCiclo))</f>
        <v/>
      </c>
      <c r="U247" s="62">
        <f>IF($V247="","",IF($V247="Macro",ROW(),IFERROR(LOOKUP(2,1/($V$5:$V247="Macro"),ROW($V$5:$V247)),0)))</f>
        <v/>
      </c>
      <c r="V247" s="62">
        <f>IF(NOT((COUNTA($B247:$D247)+COUNTA($G247:$L247)+COUNTA($Q247))&gt;0),"",IF($B247="Subactividad","Sub","Macro"))</f>
        <v/>
      </c>
      <c r="W247" s="62">
        <f>IF($V247="Macro",COUNTIFS($U$5:$U$1000,ROW(),$V$5:$V$1000,"Sub"),"")</f>
        <v/>
      </c>
      <c r="X247" s="62">
        <f>IF($V247="","",IF(ISNUMBER($G247),1,IFERROR(LOOKUP(2,1/($I247:$L247&lt;&gt;""),$I247:$L247),0)))</f>
        <v/>
      </c>
      <c r="Y247" s="62">
        <f>IF($V247="","",IF(AND(ISNUMBER($G247),$G247&lt;=IF($S247=MesCiclo,InicioCiclo,$S247+MOD(2-WEEKDAY($S247),7))+6),1,IF(ISNUMBER($I247),$I247,0)))</f>
        <v/>
      </c>
      <c r="Z247" s="62">
        <f>IF($V247="","",IF(AND(ISNUMBER($G247),$G247&lt;=IF($S247=MesCiclo,InicioCiclo,$S247+MOD(2-WEEKDAY($S247),7))+13),1,IF(ISNUMBER($J247),$J247,$Y247)))</f>
        <v/>
      </c>
      <c r="AA247" s="62">
        <f>IF($V247="","",IF(AND(ISNUMBER($G247),$G247&lt;=IF($S247=MesCiclo,InicioCiclo,$S247+MOD(2-WEEKDAY($S247),7))+20),1,IF(ISNUMBER($K247),$K247,$Z247)))</f>
        <v/>
      </c>
      <c r="AB247" s="62">
        <f>IF($V247="","",IF(AND(ISNUMBER($G247),$G247&lt;=IF($S247=MesCiclo,InicioCiclo,$S247+MOD(2-WEEKDAY($S247),7))+27),1,IF(ISNUMBER($L247),$L247,$AA247)))</f>
        <v/>
      </c>
      <c r="AC247" s="62">
        <f>IF($V247="","",IF(AND(ISNUMBER($G247),$G247&lt;=IF($S247=MesCiclo,InicioCiclo,$S247+MOD(2-WEEKDAY($S247),7))+6),1,IF(N($W247)&gt;0,AVERAGEIFS($Y$5:$Y$1000,$U$5:$U$1000,ROW(),$V$5:$V$1000,"Sub"),$Y247)))</f>
        <v/>
      </c>
      <c r="AD247" s="62">
        <f>IF($V247="","",IF(AND(ISNUMBER($G247),$G247&lt;=IF($S247=MesCiclo,InicioCiclo,$S247+MOD(2-WEEKDAY($S247),7))+13),1,IF(N($W247)&gt;0,AVERAGEIFS($Z$5:$Z$1000,$U$5:$U$1000,ROW(),$V$5:$V$1000,"Sub"),$Z247)))</f>
        <v/>
      </c>
      <c r="AE247" s="62">
        <f>IF($V247="","",IF(AND(ISNUMBER($G247),$G247&lt;=IF($S247=MesCiclo,InicioCiclo,$S247+MOD(2-WEEKDAY($S247),7))+20),1,IF(N($W247)&gt;0,AVERAGEIFS($AA$5:$AA$1000,$U$5:$U$1000,ROW(),$V$5:$V$1000,"Sub"),$AA247)))</f>
        <v/>
      </c>
      <c r="AF247" s="62">
        <f>IF($V247="","",IF(AND(ISNUMBER($G247),$G247&lt;=IF($S247=MesCiclo,InicioCiclo,$S247+MOD(2-WEEKDAY($S247),7))+27),1,IF(N($W247)&gt;0,AVERAGEIFS($AB$5:$AB$1000,$U$5:$U$1000,ROW(),$V$5:$V$1000,"Sub"),$AB247)))</f>
        <v/>
      </c>
      <c r="AG247" s="62">
        <f>IF($V247&lt;&gt;"Macro","",IF(COUNTIFS($S$5:$S$1000,$S247,$V$5:$V$1000,"Macro",$H$5:$H$1000,"&gt;0")=0,1/COUNTIFS($S$5:$S$1000,$S247,$V$5:$V$1000,"Macro"),IF(AND(ISNUMBER($H247),N($H247)&gt;0),$H247,SUMIFS($H$5:$H$1000,$S$5:$S$1000,$S247,$V$5:$V$1000,"Macro")/COUNTIFS($S$5:$S$1000,$S247,$V$5:$V$1000,"Macro",$H$5:$H$1000,"&gt;0"))/(COUNTIFS($S$5:$S$1000,$S247,$V$5:$V$1000,"Macro")*SUMIFS($H$5:$H$1000,$S$5:$S$1000,$S247,$V$5:$V$1000,"Macro")/COUNTIFS($S$5:$S$1000,$S247,$V$5:$V$1000,"Macro",$H$5:$H$1000,"&gt;0"))))</f>
        <v/>
      </c>
      <c r="AH247" s="62">
        <f>IF(NOT(AND($D247&lt;&gt;"",$V247="Macro")),"",IFERROR(CHOOSE(MATCH($D247,ListaPuestos,0),MATCH("[Jefatura] "&amp;$C247,'Cronograma R. Operacional'!$C$5:$C$1000,0),MATCH("[Jefatura] "&amp;$C247,'Cronograma R. Normativo'!$C$5:$C$1000,0),MATCH("[Jefatura] "&amp;$C247,'Cronograma R. Financiero'!$C$5:$C$1000,0),MATCH("[Jefatura] "&amp;$C247,'Cronograma Asistente Técnico'!$C$5:$C$1000,0)),0))</f>
        <v/>
      </c>
      <c r="AI247" s="62">
        <f>IF(AND(AND($D247&lt;&gt;"",$V247="Macro"),$S247=MesCiclo),COUNTIFS($D$5:$D247,$D247,$S$5:$S247,MesCiclo,$V$5:$V247,"Macro"),"")</f>
        <v/>
      </c>
      <c r="AJ247" s="62">
        <f>IF($AI247="","",$D247&amp;"|"&amp;$AI247)</f>
        <v/>
      </c>
      <c r="AK247" s="62">
        <f>IF(AND($D247&lt;&gt;"",$V247="Macro"),$D247&amp;"|"&amp;$C247,"")</f>
        <v/>
      </c>
      <c r="AL247" s="62">
        <f>""</f>
        <v/>
      </c>
      <c r="AM247" s="62">
        <f>IF(N($AL247)&gt;0,INDEX(rIni_ADM,$AL247),IF(ISNUMBER($E247),$E247,""))</f>
        <v/>
      </c>
      <c r="AN247" s="62">
        <f>IF(N($AL247)&gt;0,INDEX(rLim_ADM,$AL247),IF(ISNUMBER($F247),$F247,""))</f>
        <v/>
      </c>
    </row>
    <row r="248">
      <c r="A248" s="56">
        <f>IF(NOT((COUNTA($B248:$D248)+COUNTA($G248:$L248)+COUNTA($Q248))&gt;0),"",IF($V248="Macro",COUNTIFS($V$5:$V248,"Macro",$S$5:$S248,$S248),IF(N($U248)=0,"?",COUNTIFS(INDEX($V$5:$V$1000,1):INDEX($V$5:$V$1000,$U248-4),"Macro",INDEX($S$5:$S$1000,1):INDEX($S$5:$S$1000,$U248-4),INDEX($S$5:$S$1000,$U248-4))&amp;"."&amp;COUNTIFS($U$5:$U248,$U248,$V$5:$V248,"Sub"))))</f>
        <v/>
      </c>
      <c r="B248" s="57" t="n"/>
      <c r="C248" s="58" t="n"/>
      <c r="D248" s="58" t="n"/>
      <c r="E248" s="59" t="n"/>
      <c r="F248" s="59" t="n"/>
      <c r="G248" s="59" t="n"/>
      <c r="H248" s="60" t="n"/>
      <c r="I248" s="60" t="n"/>
      <c r="J248" s="60" t="n"/>
      <c r="K248" s="60" t="n"/>
      <c r="L248" s="60" t="n"/>
      <c r="M248" s="61">
        <f>IF(NOT((COUNTA($B248:$D248)+COUNTA($G248:$L248)+COUNTA($Q248))&gt;0),"",IF(AND($D248&lt;&gt;"",$V248="Macro"),IF(N($AH248)&gt;0,N(CHOOSE(MATCH($D248,ListaPuestos,0),INDEX('Cronograma R. Operacional'!$M$5:$M$1000,$AH248),INDEX('Cronograma R. Normativo'!$M$5:$M$1000,$AH248),INDEX('Cronograma R. Financiero'!$M$5:$M$1000,$AH248),INDEX('Cronograma Asistente Técnico'!$M$5:$M$1000,$AH248))),0),IF(ISNUMBER($G248),1,IF(N($W248)&gt;0,AVERAGEIFS($X$5:$X$1000,$U$5:$U$1000,ROW(),$V$5:$V$1000,"Sub"),$X248))))</f>
        <v/>
      </c>
      <c r="N248" s="56">
        <f>IF($M248="","",IF($M248&gt;=1,"Completado",IF($M248&gt;0,"En curso","Pendiente")))</f>
        <v/>
      </c>
      <c r="O248" s="56">
        <f>IF(NOT((COUNTA($B248:$D248)+COUNTA($G248:$L248)+COUNTA($Q248))&gt;0),"",IF(AND(AND($D248&lt;&gt;"",$V248="Macro"),N($AH248)&gt;0),CHOOSE(MATCH($D248,ListaPuestos,0),INDEX('Cronograma R. Operacional'!$O$5:$O$1000,$AH248),INDEX('Cronograma R. Normativo'!$O$5:$O$1000,$AH248),INDEX('Cronograma R. Financiero'!$O$5:$O$1000,$AH248),INDEX('Cronograma Asistente Técnico'!$O$5:$O$1000,$AH248))&amp;"",IF(ISNUMBER($G248),IF(AND(ISNUMBER($AN248),$G248&gt;$AN248),"Cumplida con "&amp;($G248-$AN248)&amp;IF($G248-$AN248=1," día"," días")&amp;" de retraso","Cumplida"),IF(N($M248)&gt;=1,"Cumplida",IF(NOT(ISNUMBER($AN248)),"Sin fecha límite",IF($AN248&lt;FechaRef,"Vencida hace "&amp;(FechaRef-$AN248)&amp;IF(FechaRef-$AN248=1," día"," días"),IF($AN248=FechaRef,"Vence hoy",IF($AN248-FechaRef&lt;=DiasAlerta,"Vence en "&amp;($AN248-FechaRef)&amp;IF($AN248-FechaRef=1," día"," días"),"En plazo"))))))))</f>
        <v/>
      </c>
      <c r="P248" s="62">
        <f>IF(NOT((COUNTA($B248:$D248)+COUNTA($G248:$L248)+COUNTA($Q248))&gt;0),"",IF($D248="","Propia",IF($V248&lt;&gt;"Macro","Solo se delegan macroactividades",IF(N($AH248)&gt;0,"✔ Recibida por "&amp;$D248,"⚠ "&amp;$D248&amp;" aún no la agrega"))))</f>
        <v/>
      </c>
      <c r="Q248" s="58" t="n"/>
      <c r="R248" s="63">
        <f>IF(NOT((COUNTA($B248:$D248)+COUNTA($G248:$L248)+COUNTA($Q248))&gt;0),"",IF((IF($C248="","Falta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",""))="","✔ OK","⚠ "&amp;LEFT(IF($C248="","Falta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",""),LEN(IF($C248="","Falta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",""))-3)))</f>
        <v/>
      </c>
      <c r="S248" s="64">
        <f>IF(NOT((COUNTA($B248:$D248)+COUNTA($G248:$L248)+COUNTA($Q248))&gt;0),"",IF(AND($V248="Sub",N($U248)&gt;0),IF(ISNUMBER(INDEX($AM$5:$AM$1000,$U248-4)),DATE(YEAR(INDEX($AM$5:$AM$1000,$U248-4)),MONTH(INDEX($AM$5:$AM$1000,$U248-4)),1),IF(ISNUMBER(INDEX($AN$5:$AN$1000,$U248-4)),DATE(YEAR(INDEX($AN$5:$AN$1000,$U248-4)),MONTH(INDEX($AN$5:$AN$1000,$U248-4)),1),MesCiclo)),IF(ISNUMBER($AM248),DATE(YEAR($AM248),MONTH($AM248),1),IF(ISNUMBER($AN248),DATE(YEAR($AN248),MONTH($AN248),1),MesCiclo))))</f>
        <v/>
      </c>
      <c r="T248" s="62">
        <f>IF(OR($S248="",$S248&lt;&gt;MesCiclo),"",COUNTIF($S$5:$S248,MesCiclo))</f>
        <v/>
      </c>
      <c r="U248" s="62">
        <f>IF($V248="","",IF($V248="Macro",ROW(),IFERROR(LOOKUP(2,1/($V$5:$V248="Macro"),ROW($V$5:$V248)),0)))</f>
        <v/>
      </c>
      <c r="V248" s="62">
        <f>IF(NOT((COUNTA($B248:$D248)+COUNTA($G248:$L248)+COUNTA($Q248))&gt;0),"",IF($B248="Subactividad","Sub","Macro"))</f>
        <v/>
      </c>
      <c r="W248" s="62">
        <f>IF($V248="Macro",COUNTIFS($U$5:$U$1000,ROW(),$V$5:$V$1000,"Sub"),"")</f>
        <v/>
      </c>
      <c r="X248" s="62">
        <f>IF($V248="","",IF(ISNUMBER($G248),1,IFERROR(LOOKUP(2,1/($I248:$L248&lt;&gt;""),$I248:$L248),0)))</f>
        <v/>
      </c>
      <c r="Y248" s="62">
        <f>IF($V248="","",IF(AND(ISNUMBER($G248),$G248&lt;=IF($S248=MesCiclo,InicioCiclo,$S248+MOD(2-WEEKDAY($S248),7))+6),1,IF(ISNUMBER($I248),$I248,0)))</f>
        <v/>
      </c>
      <c r="Z248" s="62">
        <f>IF($V248="","",IF(AND(ISNUMBER($G248),$G248&lt;=IF($S248=MesCiclo,InicioCiclo,$S248+MOD(2-WEEKDAY($S248),7))+13),1,IF(ISNUMBER($J248),$J248,$Y248)))</f>
        <v/>
      </c>
      <c r="AA248" s="62">
        <f>IF($V248="","",IF(AND(ISNUMBER($G248),$G248&lt;=IF($S248=MesCiclo,InicioCiclo,$S248+MOD(2-WEEKDAY($S248),7))+20),1,IF(ISNUMBER($K248),$K248,$Z248)))</f>
        <v/>
      </c>
      <c r="AB248" s="62">
        <f>IF($V248="","",IF(AND(ISNUMBER($G248),$G248&lt;=IF($S248=MesCiclo,InicioCiclo,$S248+MOD(2-WEEKDAY($S248),7))+27),1,IF(ISNUMBER($L248),$L248,$AA248)))</f>
        <v/>
      </c>
      <c r="AC248" s="62">
        <f>IF($V248="","",IF(AND(ISNUMBER($G248),$G248&lt;=IF($S248=MesCiclo,InicioCiclo,$S248+MOD(2-WEEKDAY($S248),7))+6),1,IF(N($W248)&gt;0,AVERAGEIFS($Y$5:$Y$1000,$U$5:$U$1000,ROW(),$V$5:$V$1000,"Sub"),$Y248)))</f>
        <v/>
      </c>
      <c r="AD248" s="62">
        <f>IF($V248="","",IF(AND(ISNUMBER($G248),$G248&lt;=IF($S248=MesCiclo,InicioCiclo,$S248+MOD(2-WEEKDAY($S248),7))+13),1,IF(N($W248)&gt;0,AVERAGEIFS($Z$5:$Z$1000,$U$5:$U$1000,ROW(),$V$5:$V$1000,"Sub"),$Z248)))</f>
        <v/>
      </c>
      <c r="AE248" s="62">
        <f>IF($V248="","",IF(AND(ISNUMBER($G248),$G248&lt;=IF($S248=MesCiclo,InicioCiclo,$S248+MOD(2-WEEKDAY($S248),7))+20),1,IF(N($W248)&gt;0,AVERAGEIFS($AA$5:$AA$1000,$U$5:$U$1000,ROW(),$V$5:$V$1000,"Sub"),$AA248)))</f>
        <v/>
      </c>
      <c r="AF248" s="62">
        <f>IF($V248="","",IF(AND(ISNUMBER($G248),$G248&lt;=IF($S248=MesCiclo,InicioCiclo,$S248+MOD(2-WEEKDAY($S248),7))+27),1,IF(N($W248)&gt;0,AVERAGEIFS($AB$5:$AB$1000,$U$5:$U$1000,ROW(),$V$5:$V$1000,"Sub"),$AB248)))</f>
        <v/>
      </c>
      <c r="AG248" s="62">
        <f>IF($V248&lt;&gt;"Macro","",IF(COUNTIFS($S$5:$S$1000,$S248,$V$5:$V$1000,"Macro",$H$5:$H$1000,"&gt;0")=0,1/COUNTIFS($S$5:$S$1000,$S248,$V$5:$V$1000,"Macro"),IF(AND(ISNUMBER($H248),N($H248)&gt;0),$H248,SUMIFS($H$5:$H$1000,$S$5:$S$1000,$S248,$V$5:$V$1000,"Macro")/COUNTIFS($S$5:$S$1000,$S248,$V$5:$V$1000,"Macro",$H$5:$H$1000,"&gt;0"))/(COUNTIFS($S$5:$S$1000,$S248,$V$5:$V$1000,"Macro")*SUMIFS($H$5:$H$1000,$S$5:$S$1000,$S248,$V$5:$V$1000,"Macro")/COUNTIFS($S$5:$S$1000,$S248,$V$5:$V$1000,"Macro",$H$5:$H$1000,"&gt;0"))))</f>
        <v/>
      </c>
      <c r="AH248" s="62">
        <f>IF(NOT(AND($D248&lt;&gt;"",$V248="Macro")),"",IFERROR(CHOOSE(MATCH($D248,ListaPuestos,0),MATCH("[Jefatura] "&amp;$C248,'Cronograma R. Operacional'!$C$5:$C$1000,0),MATCH("[Jefatura] "&amp;$C248,'Cronograma R. Normativo'!$C$5:$C$1000,0),MATCH("[Jefatura] "&amp;$C248,'Cronograma R. Financiero'!$C$5:$C$1000,0),MATCH("[Jefatura] "&amp;$C248,'Cronograma Asistente Técnico'!$C$5:$C$1000,0)),0))</f>
        <v/>
      </c>
      <c r="AI248" s="62">
        <f>IF(AND(AND($D248&lt;&gt;"",$V248="Macro"),$S248=MesCiclo),COUNTIFS($D$5:$D248,$D248,$S$5:$S248,MesCiclo,$V$5:$V248,"Macro"),"")</f>
        <v/>
      </c>
      <c r="AJ248" s="62">
        <f>IF($AI248="","",$D248&amp;"|"&amp;$AI248)</f>
        <v/>
      </c>
      <c r="AK248" s="62">
        <f>IF(AND($D248&lt;&gt;"",$V248="Macro"),$D248&amp;"|"&amp;$C248,"")</f>
        <v/>
      </c>
      <c r="AL248" s="62">
        <f>""</f>
        <v/>
      </c>
      <c r="AM248" s="62">
        <f>IF(N($AL248)&gt;0,INDEX(rIni_ADM,$AL248),IF(ISNUMBER($E248),$E248,""))</f>
        <v/>
      </c>
      <c r="AN248" s="62">
        <f>IF(N($AL248)&gt;0,INDEX(rLim_ADM,$AL248),IF(ISNUMBER($F248),$F248,""))</f>
        <v/>
      </c>
    </row>
    <row r="249">
      <c r="A249" s="56">
        <f>IF(NOT((COUNTA($B249:$D249)+COUNTA($G249:$L249)+COUNTA($Q249))&gt;0),"",IF($V249="Macro",COUNTIFS($V$5:$V249,"Macro",$S$5:$S249,$S249),IF(N($U249)=0,"?",COUNTIFS(INDEX($V$5:$V$1000,1):INDEX($V$5:$V$1000,$U249-4),"Macro",INDEX($S$5:$S$1000,1):INDEX($S$5:$S$1000,$U249-4),INDEX($S$5:$S$1000,$U249-4))&amp;"."&amp;COUNTIFS($U$5:$U249,$U249,$V$5:$V249,"Sub"))))</f>
        <v/>
      </c>
      <c r="B249" s="57" t="n"/>
      <c r="C249" s="58" t="n"/>
      <c r="D249" s="58" t="n"/>
      <c r="E249" s="59" t="n"/>
      <c r="F249" s="59" t="n"/>
      <c r="G249" s="59" t="n"/>
      <c r="H249" s="60" t="n"/>
      <c r="I249" s="60" t="n"/>
      <c r="J249" s="60" t="n"/>
      <c r="K249" s="60" t="n"/>
      <c r="L249" s="60" t="n"/>
      <c r="M249" s="61">
        <f>IF(NOT((COUNTA($B249:$D249)+COUNTA($G249:$L249)+COUNTA($Q249))&gt;0),"",IF(AND($D249&lt;&gt;"",$V249="Macro"),IF(N($AH249)&gt;0,N(CHOOSE(MATCH($D249,ListaPuestos,0),INDEX('Cronograma R. Operacional'!$M$5:$M$1000,$AH249),INDEX('Cronograma R. Normativo'!$M$5:$M$1000,$AH249),INDEX('Cronograma R. Financiero'!$M$5:$M$1000,$AH249),INDEX('Cronograma Asistente Técnico'!$M$5:$M$1000,$AH249))),0),IF(ISNUMBER($G249),1,IF(N($W249)&gt;0,AVERAGEIFS($X$5:$X$1000,$U$5:$U$1000,ROW(),$V$5:$V$1000,"Sub"),$X249))))</f>
        <v/>
      </c>
      <c r="N249" s="56">
        <f>IF($M249="","",IF($M249&gt;=1,"Completado",IF($M249&gt;0,"En curso","Pendiente")))</f>
        <v/>
      </c>
      <c r="O249" s="56">
        <f>IF(NOT((COUNTA($B249:$D249)+COUNTA($G249:$L249)+COUNTA($Q249))&gt;0),"",IF(AND(AND($D249&lt;&gt;"",$V249="Macro"),N($AH249)&gt;0),CHOOSE(MATCH($D249,ListaPuestos,0),INDEX('Cronograma R. Operacional'!$O$5:$O$1000,$AH249),INDEX('Cronograma R. Normativo'!$O$5:$O$1000,$AH249),INDEX('Cronograma R. Financiero'!$O$5:$O$1000,$AH249),INDEX('Cronograma Asistente Técnico'!$O$5:$O$1000,$AH249))&amp;"",IF(ISNUMBER($G249),IF(AND(ISNUMBER($AN249),$G249&gt;$AN249),"Cumplida con "&amp;($G249-$AN249)&amp;IF($G249-$AN249=1," día"," días")&amp;" de retraso","Cumplida"),IF(N($M249)&gt;=1,"Cumplida",IF(NOT(ISNUMBER($AN249)),"Sin fecha límite",IF($AN249&lt;FechaRef,"Vencida hace "&amp;(FechaRef-$AN249)&amp;IF(FechaRef-$AN249=1," día"," días"),IF($AN249=FechaRef,"Vence hoy",IF($AN249-FechaRef&lt;=DiasAlerta,"Vence en "&amp;($AN249-FechaRef)&amp;IF($AN249-FechaRef=1," día"," días"),"En plazo"))))))))</f>
        <v/>
      </c>
      <c r="P249" s="62">
        <f>IF(NOT((COUNTA($B249:$D249)+COUNTA($G249:$L249)+COUNTA($Q249))&gt;0),"",IF($D249="","Propia",IF($V249&lt;&gt;"Macro","Solo se delegan macroactividades",IF(N($AH249)&gt;0,"✔ Recibida por "&amp;$D249,"⚠ "&amp;$D249&amp;" aún no la agrega"))))</f>
        <v/>
      </c>
      <c r="Q249" s="58" t="n"/>
      <c r="R249" s="63">
        <f>IF(NOT((COUNTA($B249:$D249)+COUNTA($G249:$L249)+COUNTA($Q249))&gt;0),"",IF((IF($C249="","Falta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",""))="","✔ OK","⚠ "&amp;LEFT(IF($C249="","Falta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",""),LEN(IF($C249="","Falta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",""))-3)))</f>
        <v/>
      </c>
      <c r="S249" s="64">
        <f>IF(NOT((COUNTA($B249:$D249)+COUNTA($G249:$L249)+COUNTA($Q249))&gt;0),"",IF(AND($V249="Sub",N($U249)&gt;0),IF(ISNUMBER(INDEX($AM$5:$AM$1000,$U249-4)),DATE(YEAR(INDEX($AM$5:$AM$1000,$U249-4)),MONTH(INDEX($AM$5:$AM$1000,$U249-4)),1),IF(ISNUMBER(INDEX($AN$5:$AN$1000,$U249-4)),DATE(YEAR(INDEX($AN$5:$AN$1000,$U249-4)),MONTH(INDEX($AN$5:$AN$1000,$U249-4)),1),MesCiclo)),IF(ISNUMBER($AM249),DATE(YEAR($AM249),MONTH($AM249),1),IF(ISNUMBER($AN249),DATE(YEAR($AN249),MONTH($AN249),1),MesCiclo))))</f>
        <v/>
      </c>
      <c r="T249" s="62">
        <f>IF(OR($S249="",$S249&lt;&gt;MesCiclo),"",COUNTIF($S$5:$S249,MesCiclo))</f>
        <v/>
      </c>
      <c r="U249" s="62">
        <f>IF($V249="","",IF($V249="Macro",ROW(),IFERROR(LOOKUP(2,1/($V$5:$V249="Macro"),ROW($V$5:$V249)),0)))</f>
        <v/>
      </c>
      <c r="V249" s="62">
        <f>IF(NOT((COUNTA($B249:$D249)+COUNTA($G249:$L249)+COUNTA($Q249))&gt;0),"",IF($B249="Subactividad","Sub","Macro"))</f>
        <v/>
      </c>
      <c r="W249" s="62">
        <f>IF($V249="Macro",COUNTIFS($U$5:$U$1000,ROW(),$V$5:$V$1000,"Sub"),"")</f>
        <v/>
      </c>
      <c r="X249" s="62">
        <f>IF($V249="","",IF(ISNUMBER($G249),1,IFERROR(LOOKUP(2,1/($I249:$L249&lt;&gt;""),$I249:$L249),0)))</f>
        <v/>
      </c>
      <c r="Y249" s="62">
        <f>IF($V249="","",IF(AND(ISNUMBER($G249),$G249&lt;=IF($S249=MesCiclo,InicioCiclo,$S249+MOD(2-WEEKDAY($S249),7))+6),1,IF(ISNUMBER($I249),$I249,0)))</f>
        <v/>
      </c>
      <c r="Z249" s="62">
        <f>IF($V249="","",IF(AND(ISNUMBER($G249),$G249&lt;=IF($S249=MesCiclo,InicioCiclo,$S249+MOD(2-WEEKDAY($S249),7))+13),1,IF(ISNUMBER($J249),$J249,$Y249)))</f>
        <v/>
      </c>
      <c r="AA249" s="62">
        <f>IF($V249="","",IF(AND(ISNUMBER($G249),$G249&lt;=IF($S249=MesCiclo,InicioCiclo,$S249+MOD(2-WEEKDAY($S249),7))+20),1,IF(ISNUMBER($K249),$K249,$Z249)))</f>
        <v/>
      </c>
      <c r="AB249" s="62">
        <f>IF($V249="","",IF(AND(ISNUMBER($G249),$G249&lt;=IF($S249=MesCiclo,InicioCiclo,$S249+MOD(2-WEEKDAY($S249),7))+27),1,IF(ISNUMBER($L249),$L249,$AA249)))</f>
        <v/>
      </c>
      <c r="AC249" s="62">
        <f>IF($V249="","",IF(AND(ISNUMBER($G249),$G249&lt;=IF($S249=MesCiclo,InicioCiclo,$S249+MOD(2-WEEKDAY($S249),7))+6),1,IF(N($W249)&gt;0,AVERAGEIFS($Y$5:$Y$1000,$U$5:$U$1000,ROW(),$V$5:$V$1000,"Sub"),$Y249)))</f>
        <v/>
      </c>
      <c r="AD249" s="62">
        <f>IF($V249="","",IF(AND(ISNUMBER($G249),$G249&lt;=IF($S249=MesCiclo,InicioCiclo,$S249+MOD(2-WEEKDAY($S249),7))+13),1,IF(N($W249)&gt;0,AVERAGEIFS($Z$5:$Z$1000,$U$5:$U$1000,ROW(),$V$5:$V$1000,"Sub"),$Z249)))</f>
        <v/>
      </c>
      <c r="AE249" s="62">
        <f>IF($V249="","",IF(AND(ISNUMBER($G249),$G249&lt;=IF($S249=MesCiclo,InicioCiclo,$S249+MOD(2-WEEKDAY($S249),7))+20),1,IF(N($W249)&gt;0,AVERAGEIFS($AA$5:$AA$1000,$U$5:$U$1000,ROW(),$V$5:$V$1000,"Sub"),$AA249)))</f>
        <v/>
      </c>
      <c r="AF249" s="62">
        <f>IF($V249="","",IF(AND(ISNUMBER($G249),$G249&lt;=IF($S249=MesCiclo,InicioCiclo,$S249+MOD(2-WEEKDAY($S249),7))+27),1,IF(N($W249)&gt;0,AVERAGEIFS($AB$5:$AB$1000,$U$5:$U$1000,ROW(),$V$5:$V$1000,"Sub"),$AB249)))</f>
        <v/>
      </c>
      <c r="AG249" s="62">
        <f>IF($V249&lt;&gt;"Macro","",IF(COUNTIFS($S$5:$S$1000,$S249,$V$5:$V$1000,"Macro",$H$5:$H$1000,"&gt;0")=0,1/COUNTIFS($S$5:$S$1000,$S249,$V$5:$V$1000,"Macro"),IF(AND(ISNUMBER($H249),N($H249)&gt;0),$H249,SUMIFS($H$5:$H$1000,$S$5:$S$1000,$S249,$V$5:$V$1000,"Macro")/COUNTIFS($S$5:$S$1000,$S249,$V$5:$V$1000,"Macro",$H$5:$H$1000,"&gt;0"))/(COUNTIFS($S$5:$S$1000,$S249,$V$5:$V$1000,"Macro")*SUMIFS($H$5:$H$1000,$S$5:$S$1000,$S249,$V$5:$V$1000,"Macro")/COUNTIFS($S$5:$S$1000,$S249,$V$5:$V$1000,"Macro",$H$5:$H$1000,"&gt;0"))))</f>
        <v/>
      </c>
      <c r="AH249" s="62">
        <f>IF(NOT(AND($D249&lt;&gt;"",$V249="Macro")),"",IFERROR(CHOOSE(MATCH($D249,ListaPuestos,0),MATCH("[Jefatura] "&amp;$C249,'Cronograma R. Operacional'!$C$5:$C$1000,0),MATCH("[Jefatura] "&amp;$C249,'Cronograma R. Normativo'!$C$5:$C$1000,0),MATCH("[Jefatura] "&amp;$C249,'Cronograma R. Financiero'!$C$5:$C$1000,0),MATCH("[Jefatura] "&amp;$C249,'Cronograma Asistente Técnico'!$C$5:$C$1000,0)),0))</f>
        <v/>
      </c>
      <c r="AI249" s="62">
        <f>IF(AND(AND($D249&lt;&gt;"",$V249="Macro"),$S249=MesCiclo),COUNTIFS($D$5:$D249,$D249,$S$5:$S249,MesCiclo,$V$5:$V249,"Macro"),"")</f>
        <v/>
      </c>
      <c r="AJ249" s="62">
        <f>IF($AI249="","",$D249&amp;"|"&amp;$AI249)</f>
        <v/>
      </c>
      <c r="AK249" s="62">
        <f>IF(AND($D249&lt;&gt;"",$V249="Macro"),$D249&amp;"|"&amp;$C249,"")</f>
        <v/>
      </c>
      <c r="AL249" s="62">
        <f>""</f>
        <v/>
      </c>
      <c r="AM249" s="62">
        <f>IF(N($AL249)&gt;0,INDEX(rIni_ADM,$AL249),IF(ISNUMBER($E249),$E249,""))</f>
        <v/>
      </c>
      <c r="AN249" s="62">
        <f>IF(N($AL249)&gt;0,INDEX(rLim_ADM,$AL249),IF(ISNUMBER($F249),$F249,""))</f>
        <v/>
      </c>
    </row>
    <row r="250">
      <c r="A250" s="56">
        <f>IF(NOT((COUNTA($B250:$D250)+COUNTA($G250:$L250)+COUNTA($Q250))&gt;0),"",IF($V250="Macro",COUNTIFS($V$5:$V250,"Macro",$S$5:$S250,$S250),IF(N($U250)=0,"?",COUNTIFS(INDEX($V$5:$V$1000,1):INDEX($V$5:$V$1000,$U250-4),"Macro",INDEX($S$5:$S$1000,1):INDEX($S$5:$S$1000,$U250-4),INDEX($S$5:$S$1000,$U250-4))&amp;"."&amp;COUNTIFS($U$5:$U250,$U250,$V$5:$V250,"Sub"))))</f>
        <v/>
      </c>
      <c r="B250" s="57" t="n"/>
      <c r="C250" s="58" t="n"/>
      <c r="D250" s="58" t="n"/>
      <c r="E250" s="59" t="n"/>
      <c r="F250" s="59" t="n"/>
      <c r="G250" s="59" t="n"/>
      <c r="H250" s="60" t="n"/>
      <c r="I250" s="60" t="n"/>
      <c r="J250" s="60" t="n"/>
      <c r="K250" s="60" t="n"/>
      <c r="L250" s="60" t="n"/>
      <c r="M250" s="61">
        <f>IF(NOT((COUNTA($B250:$D250)+COUNTA($G250:$L250)+COUNTA($Q250))&gt;0),"",IF(AND($D250&lt;&gt;"",$V250="Macro"),IF(N($AH250)&gt;0,N(CHOOSE(MATCH($D250,ListaPuestos,0),INDEX('Cronograma R. Operacional'!$M$5:$M$1000,$AH250),INDEX('Cronograma R. Normativo'!$M$5:$M$1000,$AH250),INDEX('Cronograma R. Financiero'!$M$5:$M$1000,$AH250),INDEX('Cronograma Asistente Técnico'!$M$5:$M$1000,$AH250))),0),IF(ISNUMBER($G250),1,IF(N($W250)&gt;0,AVERAGEIFS($X$5:$X$1000,$U$5:$U$1000,ROW(),$V$5:$V$1000,"Sub"),$X250))))</f>
        <v/>
      </c>
      <c r="N250" s="56">
        <f>IF($M250="","",IF($M250&gt;=1,"Completado",IF($M250&gt;0,"En curso","Pendiente")))</f>
        <v/>
      </c>
      <c r="O250" s="56">
        <f>IF(NOT((COUNTA($B250:$D250)+COUNTA($G250:$L250)+COUNTA($Q250))&gt;0),"",IF(AND(AND($D250&lt;&gt;"",$V250="Macro"),N($AH250)&gt;0),CHOOSE(MATCH($D250,ListaPuestos,0),INDEX('Cronograma R. Operacional'!$O$5:$O$1000,$AH250),INDEX('Cronograma R. Normativo'!$O$5:$O$1000,$AH250),INDEX('Cronograma R. Financiero'!$O$5:$O$1000,$AH250),INDEX('Cronograma Asistente Técnico'!$O$5:$O$1000,$AH250))&amp;"",IF(ISNUMBER($G250),IF(AND(ISNUMBER($AN250),$G250&gt;$AN250),"Cumplida con "&amp;($G250-$AN250)&amp;IF($G250-$AN250=1," día"," días")&amp;" de retraso","Cumplida"),IF(N($M250)&gt;=1,"Cumplida",IF(NOT(ISNUMBER($AN250)),"Sin fecha límite",IF($AN250&lt;FechaRef,"Vencida hace "&amp;(FechaRef-$AN250)&amp;IF(FechaRef-$AN250=1," día"," días"),IF($AN250=FechaRef,"Vence hoy",IF($AN250-FechaRef&lt;=DiasAlerta,"Vence en "&amp;($AN250-FechaRef)&amp;IF($AN250-FechaRef=1," día"," días"),"En plazo"))))))))</f>
        <v/>
      </c>
      <c r="P250" s="62">
        <f>IF(NOT((COUNTA($B250:$D250)+COUNTA($G250:$L250)+COUNTA($Q250))&gt;0),"",IF($D250="","Propia",IF($V250&lt;&gt;"Macro","Solo se delegan macroactividades",IF(N($AH250)&gt;0,"✔ Recibida por "&amp;$D250,"⚠ "&amp;$D250&amp;" aún no la agrega"))))</f>
        <v/>
      </c>
      <c r="Q250" s="58" t="n"/>
      <c r="R250" s="63">
        <f>IF(NOT((COUNTA($B250:$D250)+COUNTA($G250:$L250)+COUNTA($Q250))&gt;0),"",IF((IF($C250="","Falta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",""))="","✔ OK","⚠ "&amp;LEFT(IF($C250="","Falta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",""),LEN(IF($C250="","Falta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",""))-3)))</f>
        <v/>
      </c>
      <c r="S250" s="64">
        <f>IF(NOT((COUNTA($B250:$D250)+COUNTA($G250:$L250)+COUNTA($Q250))&gt;0),"",IF(AND($V250="Sub",N($U250)&gt;0),IF(ISNUMBER(INDEX($AM$5:$AM$1000,$U250-4)),DATE(YEAR(INDEX($AM$5:$AM$1000,$U250-4)),MONTH(INDEX($AM$5:$AM$1000,$U250-4)),1),IF(ISNUMBER(INDEX($AN$5:$AN$1000,$U250-4)),DATE(YEAR(INDEX($AN$5:$AN$1000,$U250-4)),MONTH(INDEX($AN$5:$AN$1000,$U250-4)),1),MesCiclo)),IF(ISNUMBER($AM250),DATE(YEAR($AM250),MONTH($AM250),1),IF(ISNUMBER($AN250),DATE(YEAR($AN250),MONTH($AN250),1),MesCiclo))))</f>
        <v/>
      </c>
      <c r="T250" s="62">
        <f>IF(OR($S250="",$S250&lt;&gt;MesCiclo),"",COUNTIF($S$5:$S250,MesCiclo))</f>
        <v/>
      </c>
      <c r="U250" s="62">
        <f>IF($V250="","",IF($V250="Macro",ROW(),IFERROR(LOOKUP(2,1/($V$5:$V250="Macro"),ROW($V$5:$V250)),0)))</f>
        <v/>
      </c>
      <c r="V250" s="62">
        <f>IF(NOT((COUNTA($B250:$D250)+COUNTA($G250:$L250)+COUNTA($Q250))&gt;0),"",IF($B250="Subactividad","Sub","Macro"))</f>
        <v/>
      </c>
      <c r="W250" s="62">
        <f>IF($V250="Macro",COUNTIFS($U$5:$U$1000,ROW(),$V$5:$V$1000,"Sub"),"")</f>
        <v/>
      </c>
      <c r="X250" s="62">
        <f>IF($V250="","",IF(ISNUMBER($G250),1,IFERROR(LOOKUP(2,1/($I250:$L250&lt;&gt;""),$I250:$L250),0)))</f>
        <v/>
      </c>
      <c r="Y250" s="62">
        <f>IF($V250="","",IF(AND(ISNUMBER($G250),$G250&lt;=IF($S250=MesCiclo,InicioCiclo,$S250+MOD(2-WEEKDAY($S250),7))+6),1,IF(ISNUMBER($I250),$I250,0)))</f>
        <v/>
      </c>
      <c r="Z250" s="62">
        <f>IF($V250="","",IF(AND(ISNUMBER($G250),$G250&lt;=IF($S250=MesCiclo,InicioCiclo,$S250+MOD(2-WEEKDAY($S250),7))+13),1,IF(ISNUMBER($J250),$J250,$Y250)))</f>
        <v/>
      </c>
      <c r="AA250" s="62">
        <f>IF($V250="","",IF(AND(ISNUMBER($G250),$G250&lt;=IF($S250=MesCiclo,InicioCiclo,$S250+MOD(2-WEEKDAY($S250),7))+20),1,IF(ISNUMBER($K250),$K250,$Z250)))</f>
        <v/>
      </c>
      <c r="AB250" s="62">
        <f>IF($V250="","",IF(AND(ISNUMBER($G250),$G250&lt;=IF($S250=MesCiclo,InicioCiclo,$S250+MOD(2-WEEKDAY($S250),7))+27),1,IF(ISNUMBER($L250),$L250,$AA250)))</f>
        <v/>
      </c>
      <c r="AC250" s="62">
        <f>IF($V250="","",IF(AND(ISNUMBER($G250),$G250&lt;=IF($S250=MesCiclo,InicioCiclo,$S250+MOD(2-WEEKDAY($S250),7))+6),1,IF(N($W250)&gt;0,AVERAGEIFS($Y$5:$Y$1000,$U$5:$U$1000,ROW(),$V$5:$V$1000,"Sub"),$Y250)))</f>
        <v/>
      </c>
      <c r="AD250" s="62">
        <f>IF($V250="","",IF(AND(ISNUMBER($G250),$G250&lt;=IF($S250=MesCiclo,InicioCiclo,$S250+MOD(2-WEEKDAY($S250),7))+13),1,IF(N($W250)&gt;0,AVERAGEIFS($Z$5:$Z$1000,$U$5:$U$1000,ROW(),$V$5:$V$1000,"Sub"),$Z250)))</f>
        <v/>
      </c>
      <c r="AE250" s="62">
        <f>IF($V250="","",IF(AND(ISNUMBER($G250),$G250&lt;=IF($S250=MesCiclo,InicioCiclo,$S250+MOD(2-WEEKDAY($S250),7))+20),1,IF(N($W250)&gt;0,AVERAGEIFS($AA$5:$AA$1000,$U$5:$U$1000,ROW(),$V$5:$V$1000,"Sub"),$AA250)))</f>
        <v/>
      </c>
      <c r="AF250" s="62">
        <f>IF($V250="","",IF(AND(ISNUMBER($G250),$G250&lt;=IF($S250=MesCiclo,InicioCiclo,$S250+MOD(2-WEEKDAY($S250),7))+27),1,IF(N($W250)&gt;0,AVERAGEIFS($AB$5:$AB$1000,$U$5:$U$1000,ROW(),$V$5:$V$1000,"Sub"),$AB250)))</f>
        <v/>
      </c>
      <c r="AG250" s="62">
        <f>IF($V250&lt;&gt;"Macro","",IF(COUNTIFS($S$5:$S$1000,$S250,$V$5:$V$1000,"Macro",$H$5:$H$1000,"&gt;0")=0,1/COUNTIFS($S$5:$S$1000,$S250,$V$5:$V$1000,"Macro"),IF(AND(ISNUMBER($H250),N($H250)&gt;0),$H250,SUMIFS($H$5:$H$1000,$S$5:$S$1000,$S250,$V$5:$V$1000,"Macro")/COUNTIFS($S$5:$S$1000,$S250,$V$5:$V$1000,"Macro",$H$5:$H$1000,"&gt;0"))/(COUNTIFS($S$5:$S$1000,$S250,$V$5:$V$1000,"Macro")*SUMIFS($H$5:$H$1000,$S$5:$S$1000,$S250,$V$5:$V$1000,"Macro")/COUNTIFS($S$5:$S$1000,$S250,$V$5:$V$1000,"Macro",$H$5:$H$1000,"&gt;0"))))</f>
        <v/>
      </c>
      <c r="AH250" s="62">
        <f>IF(NOT(AND($D250&lt;&gt;"",$V250="Macro")),"",IFERROR(CHOOSE(MATCH($D250,ListaPuestos,0),MATCH("[Jefatura] "&amp;$C250,'Cronograma R. Operacional'!$C$5:$C$1000,0),MATCH("[Jefatura] "&amp;$C250,'Cronograma R. Normativo'!$C$5:$C$1000,0),MATCH("[Jefatura] "&amp;$C250,'Cronograma R. Financiero'!$C$5:$C$1000,0),MATCH("[Jefatura] "&amp;$C250,'Cronograma Asistente Técnico'!$C$5:$C$1000,0)),0))</f>
        <v/>
      </c>
      <c r="AI250" s="62">
        <f>IF(AND(AND($D250&lt;&gt;"",$V250="Macro"),$S250=MesCiclo),COUNTIFS($D$5:$D250,$D250,$S$5:$S250,MesCiclo,$V$5:$V250,"Macro"),"")</f>
        <v/>
      </c>
      <c r="AJ250" s="62">
        <f>IF($AI250="","",$D250&amp;"|"&amp;$AI250)</f>
        <v/>
      </c>
      <c r="AK250" s="62">
        <f>IF(AND($D250&lt;&gt;"",$V250="Macro"),$D250&amp;"|"&amp;$C250,"")</f>
        <v/>
      </c>
      <c r="AL250" s="62">
        <f>""</f>
        <v/>
      </c>
      <c r="AM250" s="62">
        <f>IF(N($AL250)&gt;0,INDEX(rIni_ADM,$AL250),IF(ISNUMBER($E250),$E250,""))</f>
        <v/>
      </c>
      <c r="AN250" s="62">
        <f>IF(N($AL250)&gt;0,INDEX(rLim_ADM,$AL250),IF(ISNUMBER($F250),$F250,""))</f>
        <v/>
      </c>
    </row>
    <row r="251">
      <c r="A251" s="56">
        <f>IF(NOT((COUNTA($B251:$D251)+COUNTA($G251:$L251)+COUNTA($Q251))&gt;0),"",IF($V251="Macro",COUNTIFS($V$5:$V251,"Macro",$S$5:$S251,$S251),IF(N($U251)=0,"?",COUNTIFS(INDEX($V$5:$V$1000,1):INDEX($V$5:$V$1000,$U251-4),"Macro",INDEX($S$5:$S$1000,1):INDEX($S$5:$S$1000,$U251-4),INDEX($S$5:$S$1000,$U251-4))&amp;"."&amp;COUNTIFS($U$5:$U251,$U251,$V$5:$V251,"Sub"))))</f>
        <v/>
      </c>
      <c r="B251" s="57" t="n"/>
      <c r="C251" s="58" t="n"/>
      <c r="D251" s="58" t="n"/>
      <c r="E251" s="59" t="n"/>
      <c r="F251" s="59" t="n"/>
      <c r="G251" s="59" t="n"/>
      <c r="H251" s="60" t="n"/>
      <c r="I251" s="60" t="n"/>
      <c r="J251" s="60" t="n"/>
      <c r="K251" s="60" t="n"/>
      <c r="L251" s="60" t="n"/>
      <c r="M251" s="61">
        <f>IF(NOT((COUNTA($B251:$D251)+COUNTA($G251:$L251)+COUNTA($Q251))&gt;0),"",IF(AND($D251&lt;&gt;"",$V251="Macro"),IF(N($AH251)&gt;0,N(CHOOSE(MATCH($D251,ListaPuestos,0),INDEX('Cronograma R. Operacional'!$M$5:$M$1000,$AH251),INDEX('Cronograma R. Normativo'!$M$5:$M$1000,$AH251),INDEX('Cronograma R. Financiero'!$M$5:$M$1000,$AH251),INDEX('Cronograma Asistente Técnico'!$M$5:$M$1000,$AH251))),0),IF(ISNUMBER($G251),1,IF(N($W251)&gt;0,AVERAGEIFS($X$5:$X$1000,$U$5:$U$1000,ROW(),$V$5:$V$1000,"Sub"),$X251))))</f>
        <v/>
      </c>
      <c r="N251" s="56">
        <f>IF($M251="","",IF($M251&gt;=1,"Completado",IF($M251&gt;0,"En curso","Pendiente")))</f>
        <v/>
      </c>
      <c r="O251" s="56">
        <f>IF(NOT((COUNTA($B251:$D251)+COUNTA($G251:$L251)+COUNTA($Q251))&gt;0),"",IF(AND(AND($D251&lt;&gt;"",$V251="Macro"),N($AH251)&gt;0),CHOOSE(MATCH($D251,ListaPuestos,0),INDEX('Cronograma R. Operacional'!$O$5:$O$1000,$AH251),INDEX('Cronograma R. Normativo'!$O$5:$O$1000,$AH251),INDEX('Cronograma R. Financiero'!$O$5:$O$1000,$AH251),INDEX('Cronograma Asistente Técnico'!$O$5:$O$1000,$AH251))&amp;"",IF(ISNUMBER($G251),IF(AND(ISNUMBER($AN251),$G251&gt;$AN251),"Cumplida con "&amp;($G251-$AN251)&amp;IF($G251-$AN251=1," día"," días")&amp;" de retraso","Cumplida"),IF(N($M251)&gt;=1,"Cumplida",IF(NOT(ISNUMBER($AN251)),"Sin fecha límite",IF($AN251&lt;FechaRef,"Vencida hace "&amp;(FechaRef-$AN251)&amp;IF(FechaRef-$AN251=1," día"," días"),IF($AN251=FechaRef,"Vence hoy",IF($AN251-FechaRef&lt;=DiasAlerta,"Vence en "&amp;($AN251-FechaRef)&amp;IF($AN251-FechaRef=1," día"," días"),"En plazo"))))))))</f>
        <v/>
      </c>
      <c r="P251" s="62">
        <f>IF(NOT((COUNTA($B251:$D251)+COUNTA($G251:$L251)+COUNTA($Q251))&gt;0),"",IF($D251="","Propia",IF($V251&lt;&gt;"Macro","Solo se delegan macroactividades",IF(N($AH251)&gt;0,"✔ Recibida por "&amp;$D251,"⚠ "&amp;$D251&amp;" aún no la agrega"))))</f>
        <v/>
      </c>
      <c r="Q251" s="58" t="n"/>
      <c r="R251" s="63">
        <f>IF(NOT((COUNTA($B251:$D251)+COUNTA($G251:$L251)+COUNTA($Q251))&gt;0),"",IF((IF($C251="","Falta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",""))="","✔ OK","⚠ "&amp;LEFT(IF($C251="","Falta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",""),LEN(IF($C251="","Falta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",""))-3)))</f>
        <v/>
      </c>
      <c r="S251" s="64">
        <f>IF(NOT((COUNTA($B251:$D251)+COUNTA($G251:$L251)+COUNTA($Q251))&gt;0),"",IF(AND($V251="Sub",N($U251)&gt;0),IF(ISNUMBER(INDEX($AM$5:$AM$1000,$U251-4)),DATE(YEAR(INDEX($AM$5:$AM$1000,$U251-4)),MONTH(INDEX($AM$5:$AM$1000,$U251-4)),1),IF(ISNUMBER(INDEX($AN$5:$AN$1000,$U251-4)),DATE(YEAR(INDEX($AN$5:$AN$1000,$U251-4)),MONTH(INDEX($AN$5:$AN$1000,$U251-4)),1),MesCiclo)),IF(ISNUMBER($AM251),DATE(YEAR($AM251),MONTH($AM251),1),IF(ISNUMBER($AN251),DATE(YEAR($AN251),MONTH($AN251),1),MesCiclo))))</f>
        <v/>
      </c>
      <c r="T251" s="62">
        <f>IF(OR($S251="",$S251&lt;&gt;MesCiclo),"",COUNTIF($S$5:$S251,MesCiclo))</f>
        <v/>
      </c>
      <c r="U251" s="62">
        <f>IF($V251="","",IF($V251="Macro",ROW(),IFERROR(LOOKUP(2,1/($V$5:$V251="Macro"),ROW($V$5:$V251)),0)))</f>
        <v/>
      </c>
      <c r="V251" s="62">
        <f>IF(NOT((COUNTA($B251:$D251)+COUNTA($G251:$L251)+COUNTA($Q251))&gt;0),"",IF($B251="Subactividad","Sub","Macro"))</f>
        <v/>
      </c>
      <c r="W251" s="62">
        <f>IF($V251="Macro",COUNTIFS($U$5:$U$1000,ROW(),$V$5:$V$1000,"Sub"),"")</f>
        <v/>
      </c>
      <c r="X251" s="62">
        <f>IF($V251="","",IF(ISNUMBER($G251),1,IFERROR(LOOKUP(2,1/($I251:$L251&lt;&gt;""),$I251:$L251),0)))</f>
        <v/>
      </c>
      <c r="Y251" s="62">
        <f>IF($V251="","",IF(AND(ISNUMBER($G251),$G251&lt;=IF($S251=MesCiclo,InicioCiclo,$S251+MOD(2-WEEKDAY($S251),7))+6),1,IF(ISNUMBER($I251),$I251,0)))</f>
        <v/>
      </c>
      <c r="Z251" s="62">
        <f>IF($V251="","",IF(AND(ISNUMBER($G251),$G251&lt;=IF($S251=MesCiclo,InicioCiclo,$S251+MOD(2-WEEKDAY($S251),7))+13),1,IF(ISNUMBER($J251),$J251,$Y251)))</f>
        <v/>
      </c>
      <c r="AA251" s="62">
        <f>IF($V251="","",IF(AND(ISNUMBER($G251),$G251&lt;=IF($S251=MesCiclo,InicioCiclo,$S251+MOD(2-WEEKDAY($S251),7))+20),1,IF(ISNUMBER($K251),$K251,$Z251)))</f>
        <v/>
      </c>
      <c r="AB251" s="62">
        <f>IF($V251="","",IF(AND(ISNUMBER($G251),$G251&lt;=IF($S251=MesCiclo,InicioCiclo,$S251+MOD(2-WEEKDAY($S251),7))+27),1,IF(ISNUMBER($L251),$L251,$AA251)))</f>
        <v/>
      </c>
      <c r="AC251" s="62">
        <f>IF($V251="","",IF(AND(ISNUMBER($G251),$G251&lt;=IF($S251=MesCiclo,InicioCiclo,$S251+MOD(2-WEEKDAY($S251),7))+6),1,IF(N($W251)&gt;0,AVERAGEIFS($Y$5:$Y$1000,$U$5:$U$1000,ROW(),$V$5:$V$1000,"Sub"),$Y251)))</f>
        <v/>
      </c>
      <c r="AD251" s="62">
        <f>IF($V251="","",IF(AND(ISNUMBER($G251),$G251&lt;=IF($S251=MesCiclo,InicioCiclo,$S251+MOD(2-WEEKDAY($S251),7))+13),1,IF(N($W251)&gt;0,AVERAGEIFS($Z$5:$Z$1000,$U$5:$U$1000,ROW(),$V$5:$V$1000,"Sub"),$Z251)))</f>
        <v/>
      </c>
      <c r="AE251" s="62">
        <f>IF($V251="","",IF(AND(ISNUMBER($G251),$G251&lt;=IF($S251=MesCiclo,InicioCiclo,$S251+MOD(2-WEEKDAY($S251),7))+20),1,IF(N($W251)&gt;0,AVERAGEIFS($AA$5:$AA$1000,$U$5:$U$1000,ROW(),$V$5:$V$1000,"Sub"),$AA251)))</f>
        <v/>
      </c>
      <c r="AF251" s="62">
        <f>IF($V251="","",IF(AND(ISNUMBER($G251),$G251&lt;=IF($S251=MesCiclo,InicioCiclo,$S251+MOD(2-WEEKDAY($S251),7))+27),1,IF(N($W251)&gt;0,AVERAGEIFS($AB$5:$AB$1000,$U$5:$U$1000,ROW(),$V$5:$V$1000,"Sub"),$AB251)))</f>
        <v/>
      </c>
      <c r="AG251" s="62">
        <f>IF($V251&lt;&gt;"Macro","",IF(COUNTIFS($S$5:$S$1000,$S251,$V$5:$V$1000,"Macro",$H$5:$H$1000,"&gt;0")=0,1/COUNTIFS($S$5:$S$1000,$S251,$V$5:$V$1000,"Macro"),IF(AND(ISNUMBER($H251),N($H251)&gt;0),$H251,SUMIFS($H$5:$H$1000,$S$5:$S$1000,$S251,$V$5:$V$1000,"Macro")/COUNTIFS($S$5:$S$1000,$S251,$V$5:$V$1000,"Macro",$H$5:$H$1000,"&gt;0"))/(COUNTIFS($S$5:$S$1000,$S251,$V$5:$V$1000,"Macro")*SUMIFS($H$5:$H$1000,$S$5:$S$1000,$S251,$V$5:$V$1000,"Macro")/COUNTIFS($S$5:$S$1000,$S251,$V$5:$V$1000,"Macro",$H$5:$H$1000,"&gt;0"))))</f>
        <v/>
      </c>
      <c r="AH251" s="62">
        <f>IF(NOT(AND($D251&lt;&gt;"",$V251="Macro")),"",IFERROR(CHOOSE(MATCH($D251,ListaPuestos,0),MATCH("[Jefatura] "&amp;$C251,'Cronograma R. Operacional'!$C$5:$C$1000,0),MATCH("[Jefatura] "&amp;$C251,'Cronograma R. Normativo'!$C$5:$C$1000,0),MATCH("[Jefatura] "&amp;$C251,'Cronograma R. Financiero'!$C$5:$C$1000,0),MATCH("[Jefatura] "&amp;$C251,'Cronograma Asistente Técnico'!$C$5:$C$1000,0)),0))</f>
        <v/>
      </c>
      <c r="AI251" s="62">
        <f>IF(AND(AND($D251&lt;&gt;"",$V251="Macro"),$S251=MesCiclo),COUNTIFS($D$5:$D251,$D251,$S$5:$S251,MesCiclo,$V$5:$V251,"Macro"),"")</f>
        <v/>
      </c>
      <c r="AJ251" s="62">
        <f>IF($AI251="","",$D251&amp;"|"&amp;$AI251)</f>
        <v/>
      </c>
      <c r="AK251" s="62">
        <f>IF(AND($D251&lt;&gt;"",$V251="Macro"),$D251&amp;"|"&amp;$C251,"")</f>
        <v/>
      </c>
      <c r="AL251" s="62">
        <f>""</f>
        <v/>
      </c>
      <c r="AM251" s="62">
        <f>IF(N($AL251)&gt;0,INDEX(rIni_ADM,$AL251),IF(ISNUMBER($E251),$E251,""))</f>
        <v/>
      </c>
      <c r="AN251" s="62">
        <f>IF(N($AL251)&gt;0,INDEX(rLim_ADM,$AL251),IF(ISNUMBER($F251),$F251,""))</f>
        <v/>
      </c>
    </row>
    <row r="252">
      <c r="A252" s="56">
        <f>IF(NOT((COUNTA($B252:$D252)+COUNTA($G252:$L252)+COUNTA($Q252))&gt;0),"",IF($V252="Macro",COUNTIFS($V$5:$V252,"Macro",$S$5:$S252,$S252),IF(N($U252)=0,"?",COUNTIFS(INDEX($V$5:$V$1000,1):INDEX($V$5:$V$1000,$U252-4),"Macro",INDEX($S$5:$S$1000,1):INDEX($S$5:$S$1000,$U252-4),INDEX($S$5:$S$1000,$U252-4))&amp;"."&amp;COUNTIFS($U$5:$U252,$U252,$V$5:$V252,"Sub"))))</f>
        <v/>
      </c>
      <c r="B252" s="57" t="n"/>
      <c r="C252" s="58" t="n"/>
      <c r="D252" s="58" t="n"/>
      <c r="E252" s="59" t="n"/>
      <c r="F252" s="59" t="n"/>
      <c r="G252" s="59" t="n"/>
      <c r="H252" s="60" t="n"/>
      <c r="I252" s="60" t="n"/>
      <c r="J252" s="60" t="n"/>
      <c r="K252" s="60" t="n"/>
      <c r="L252" s="60" t="n"/>
      <c r="M252" s="61">
        <f>IF(NOT((COUNTA($B252:$D252)+COUNTA($G252:$L252)+COUNTA($Q252))&gt;0),"",IF(AND($D252&lt;&gt;"",$V252="Macro"),IF(N($AH252)&gt;0,N(CHOOSE(MATCH($D252,ListaPuestos,0),INDEX('Cronograma R. Operacional'!$M$5:$M$1000,$AH252),INDEX('Cronograma R. Normativo'!$M$5:$M$1000,$AH252),INDEX('Cronograma R. Financiero'!$M$5:$M$1000,$AH252),INDEX('Cronograma Asistente Técnico'!$M$5:$M$1000,$AH252))),0),IF(ISNUMBER($G252),1,IF(N($W252)&gt;0,AVERAGEIFS($X$5:$X$1000,$U$5:$U$1000,ROW(),$V$5:$V$1000,"Sub"),$X252))))</f>
        <v/>
      </c>
      <c r="N252" s="56">
        <f>IF($M252="","",IF($M252&gt;=1,"Completado",IF($M252&gt;0,"En curso","Pendiente")))</f>
        <v/>
      </c>
      <c r="O252" s="56">
        <f>IF(NOT((COUNTA($B252:$D252)+COUNTA($G252:$L252)+COUNTA($Q252))&gt;0),"",IF(AND(AND($D252&lt;&gt;"",$V252="Macro"),N($AH252)&gt;0),CHOOSE(MATCH($D252,ListaPuestos,0),INDEX('Cronograma R. Operacional'!$O$5:$O$1000,$AH252),INDEX('Cronograma R. Normativo'!$O$5:$O$1000,$AH252),INDEX('Cronograma R. Financiero'!$O$5:$O$1000,$AH252),INDEX('Cronograma Asistente Técnico'!$O$5:$O$1000,$AH252))&amp;"",IF(ISNUMBER($G252),IF(AND(ISNUMBER($AN252),$G252&gt;$AN252),"Cumplida con "&amp;($G252-$AN252)&amp;IF($G252-$AN252=1," día"," días")&amp;" de retraso","Cumplida"),IF(N($M252)&gt;=1,"Cumplida",IF(NOT(ISNUMBER($AN252)),"Sin fecha límite",IF($AN252&lt;FechaRef,"Vencida hace "&amp;(FechaRef-$AN252)&amp;IF(FechaRef-$AN252=1," día"," días"),IF($AN252=FechaRef,"Vence hoy",IF($AN252-FechaRef&lt;=DiasAlerta,"Vence en "&amp;($AN252-FechaRef)&amp;IF($AN252-FechaRef=1," día"," días"),"En plazo"))))))))</f>
        <v/>
      </c>
      <c r="P252" s="62">
        <f>IF(NOT((COUNTA($B252:$D252)+COUNTA($G252:$L252)+COUNTA($Q252))&gt;0),"",IF($D252="","Propia",IF($V252&lt;&gt;"Macro","Solo se delegan macroactividades",IF(N($AH252)&gt;0,"✔ Recibida por "&amp;$D252,"⚠ "&amp;$D252&amp;" aún no la agrega"))))</f>
        <v/>
      </c>
      <c r="Q252" s="58" t="n"/>
      <c r="R252" s="63">
        <f>IF(NOT((COUNTA($B252:$D252)+COUNTA($G252:$L252)+COUNTA($Q252))&gt;0),"",IF((IF($C252="","Falta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",""))="","✔ OK","⚠ "&amp;LEFT(IF($C252="","Falta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",""),LEN(IF($C252="","Falta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",""))-3)))</f>
        <v/>
      </c>
      <c r="S252" s="64">
        <f>IF(NOT((COUNTA($B252:$D252)+COUNTA($G252:$L252)+COUNTA($Q252))&gt;0),"",IF(AND($V252="Sub",N($U252)&gt;0),IF(ISNUMBER(INDEX($AM$5:$AM$1000,$U252-4)),DATE(YEAR(INDEX($AM$5:$AM$1000,$U252-4)),MONTH(INDEX($AM$5:$AM$1000,$U252-4)),1),IF(ISNUMBER(INDEX($AN$5:$AN$1000,$U252-4)),DATE(YEAR(INDEX($AN$5:$AN$1000,$U252-4)),MONTH(INDEX($AN$5:$AN$1000,$U252-4)),1),MesCiclo)),IF(ISNUMBER($AM252),DATE(YEAR($AM252),MONTH($AM252),1),IF(ISNUMBER($AN252),DATE(YEAR($AN252),MONTH($AN252),1),MesCiclo))))</f>
        <v/>
      </c>
      <c r="T252" s="62">
        <f>IF(OR($S252="",$S252&lt;&gt;MesCiclo),"",COUNTIF($S$5:$S252,MesCiclo))</f>
        <v/>
      </c>
      <c r="U252" s="62">
        <f>IF($V252="","",IF($V252="Macro",ROW(),IFERROR(LOOKUP(2,1/($V$5:$V252="Macro"),ROW($V$5:$V252)),0)))</f>
        <v/>
      </c>
      <c r="V252" s="62">
        <f>IF(NOT((COUNTA($B252:$D252)+COUNTA($G252:$L252)+COUNTA($Q252))&gt;0),"",IF($B252="Subactividad","Sub","Macro"))</f>
        <v/>
      </c>
      <c r="W252" s="62">
        <f>IF($V252="Macro",COUNTIFS($U$5:$U$1000,ROW(),$V$5:$V$1000,"Sub"),"")</f>
        <v/>
      </c>
      <c r="X252" s="62">
        <f>IF($V252="","",IF(ISNUMBER($G252),1,IFERROR(LOOKUP(2,1/($I252:$L252&lt;&gt;""),$I252:$L252),0)))</f>
        <v/>
      </c>
      <c r="Y252" s="62">
        <f>IF($V252="","",IF(AND(ISNUMBER($G252),$G252&lt;=IF($S252=MesCiclo,InicioCiclo,$S252+MOD(2-WEEKDAY($S252),7))+6),1,IF(ISNUMBER($I252),$I252,0)))</f>
        <v/>
      </c>
      <c r="Z252" s="62">
        <f>IF($V252="","",IF(AND(ISNUMBER($G252),$G252&lt;=IF($S252=MesCiclo,InicioCiclo,$S252+MOD(2-WEEKDAY($S252),7))+13),1,IF(ISNUMBER($J252),$J252,$Y252)))</f>
        <v/>
      </c>
      <c r="AA252" s="62">
        <f>IF($V252="","",IF(AND(ISNUMBER($G252),$G252&lt;=IF($S252=MesCiclo,InicioCiclo,$S252+MOD(2-WEEKDAY($S252),7))+20),1,IF(ISNUMBER($K252),$K252,$Z252)))</f>
        <v/>
      </c>
      <c r="AB252" s="62">
        <f>IF($V252="","",IF(AND(ISNUMBER($G252),$G252&lt;=IF($S252=MesCiclo,InicioCiclo,$S252+MOD(2-WEEKDAY($S252),7))+27),1,IF(ISNUMBER($L252),$L252,$AA252)))</f>
        <v/>
      </c>
      <c r="AC252" s="62">
        <f>IF($V252="","",IF(AND(ISNUMBER($G252),$G252&lt;=IF($S252=MesCiclo,InicioCiclo,$S252+MOD(2-WEEKDAY($S252),7))+6),1,IF(N($W252)&gt;0,AVERAGEIFS($Y$5:$Y$1000,$U$5:$U$1000,ROW(),$V$5:$V$1000,"Sub"),$Y252)))</f>
        <v/>
      </c>
      <c r="AD252" s="62">
        <f>IF($V252="","",IF(AND(ISNUMBER($G252),$G252&lt;=IF($S252=MesCiclo,InicioCiclo,$S252+MOD(2-WEEKDAY($S252),7))+13),1,IF(N($W252)&gt;0,AVERAGEIFS($Z$5:$Z$1000,$U$5:$U$1000,ROW(),$V$5:$V$1000,"Sub"),$Z252)))</f>
        <v/>
      </c>
      <c r="AE252" s="62">
        <f>IF($V252="","",IF(AND(ISNUMBER($G252),$G252&lt;=IF($S252=MesCiclo,InicioCiclo,$S252+MOD(2-WEEKDAY($S252),7))+20),1,IF(N($W252)&gt;0,AVERAGEIFS($AA$5:$AA$1000,$U$5:$U$1000,ROW(),$V$5:$V$1000,"Sub"),$AA252)))</f>
        <v/>
      </c>
      <c r="AF252" s="62">
        <f>IF($V252="","",IF(AND(ISNUMBER($G252),$G252&lt;=IF($S252=MesCiclo,InicioCiclo,$S252+MOD(2-WEEKDAY($S252),7))+27),1,IF(N($W252)&gt;0,AVERAGEIFS($AB$5:$AB$1000,$U$5:$U$1000,ROW(),$V$5:$V$1000,"Sub"),$AB252)))</f>
        <v/>
      </c>
      <c r="AG252" s="62">
        <f>IF($V252&lt;&gt;"Macro","",IF(COUNTIFS($S$5:$S$1000,$S252,$V$5:$V$1000,"Macro",$H$5:$H$1000,"&gt;0")=0,1/COUNTIFS($S$5:$S$1000,$S252,$V$5:$V$1000,"Macro"),IF(AND(ISNUMBER($H252),N($H252)&gt;0),$H252,SUMIFS($H$5:$H$1000,$S$5:$S$1000,$S252,$V$5:$V$1000,"Macro")/COUNTIFS($S$5:$S$1000,$S252,$V$5:$V$1000,"Macro",$H$5:$H$1000,"&gt;0"))/(COUNTIFS($S$5:$S$1000,$S252,$V$5:$V$1000,"Macro")*SUMIFS($H$5:$H$1000,$S$5:$S$1000,$S252,$V$5:$V$1000,"Macro")/COUNTIFS($S$5:$S$1000,$S252,$V$5:$V$1000,"Macro",$H$5:$H$1000,"&gt;0"))))</f>
        <v/>
      </c>
      <c r="AH252" s="62">
        <f>IF(NOT(AND($D252&lt;&gt;"",$V252="Macro")),"",IFERROR(CHOOSE(MATCH($D252,ListaPuestos,0),MATCH("[Jefatura] "&amp;$C252,'Cronograma R. Operacional'!$C$5:$C$1000,0),MATCH("[Jefatura] "&amp;$C252,'Cronograma R. Normativo'!$C$5:$C$1000,0),MATCH("[Jefatura] "&amp;$C252,'Cronograma R. Financiero'!$C$5:$C$1000,0),MATCH("[Jefatura] "&amp;$C252,'Cronograma Asistente Técnico'!$C$5:$C$1000,0)),0))</f>
        <v/>
      </c>
      <c r="AI252" s="62">
        <f>IF(AND(AND($D252&lt;&gt;"",$V252="Macro"),$S252=MesCiclo),COUNTIFS($D$5:$D252,$D252,$S$5:$S252,MesCiclo,$V$5:$V252,"Macro"),"")</f>
        <v/>
      </c>
      <c r="AJ252" s="62">
        <f>IF($AI252="","",$D252&amp;"|"&amp;$AI252)</f>
        <v/>
      </c>
      <c r="AK252" s="62">
        <f>IF(AND($D252&lt;&gt;"",$V252="Macro"),$D252&amp;"|"&amp;$C252,"")</f>
        <v/>
      </c>
      <c r="AL252" s="62">
        <f>""</f>
        <v/>
      </c>
      <c r="AM252" s="62">
        <f>IF(N($AL252)&gt;0,INDEX(rIni_ADM,$AL252),IF(ISNUMBER($E252),$E252,""))</f>
        <v/>
      </c>
      <c r="AN252" s="62">
        <f>IF(N($AL252)&gt;0,INDEX(rLim_ADM,$AL252),IF(ISNUMBER($F252),$F252,""))</f>
        <v/>
      </c>
    </row>
    <row r="253">
      <c r="A253" s="56">
        <f>IF(NOT((COUNTA($B253:$D253)+COUNTA($G253:$L253)+COUNTA($Q253))&gt;0),"",IF($V253="Macro",COUNTIFS($V$5:$V253,"Macro",$S$5:$S253,$S253),IF(N($U253)=0,"?",COUNTIFS(INDEX($V$5:$V$1000,1):INDEX($V$5:$V$1000,$U253-4),"Macro",INDEX($S$5:$S$1000,1):INDEX($S$5:$S$1000,$U253-4),INDEX($S$5:$S$1000,$U253-4))&amp;"."&amp;COUNTIFS($U$5:$U253,$U253,$V$5:$V253,"Sub"))))</f>
        <v/>
      </c>
      <c r="B253" s="57" t="n"/>
      <c r="C253" s="58" t="n"/>
      <c r="D253" s="58" t="n"/>
      <c r="E253" s="59" t="n"/>
      <c r="F253" s="59" t="n"/>
      <c r="G253" s="59" t="n"/>
      <c r="H253" s="60" t="n"/>
      <c r="I253" s="60" t="n"/>
      <c r="J253" s="60" t="n"/>
      <c r="K253" s="60" t="n"/>
      <c r="L253" s="60" t="n"/>
      <c r="M253" s="61">
        <f>IF(NOT((COUNTA($B253:$D253)+COUNTA($G253:$L253)+COUNTA($Q253))&gt;0),"",IF(AND($D253&lt;&gt;"",$V253="Macro"),IF(N($AH253)&gt;0,N(CHOOSE(MATCH($D253,ListaPuestos,0),INDEX('Cronograma R. Operacional'!$M$5:$M$1000,$AH253),INDEX('Cronograma R. Normativo'!$M$5:$M$1000,$AH253),INDEX('Cronograma R. Financiero'!$M$5:$M$1000,$AH253),INDEX('Cronograma Asistente Técnico'!$M$5:$M$1000,$AH253))),0),IF(ISNUMBER($G253),1,IF(N($W253)&gt;0,AVERAGEIFS($X$5:$X$1000,$U$5:$U$1000,ROW(),$V$5:$V$1000,"Sub"),$X253))))</f>
        <v/>
      </c>
      <c r="N253" s="56">
        <f>IF($M253="","",IF($M253&gt;=1,"Completado",IF($M253&gt;0,"En curso","Pendiente")))</f>
        <v/>
      </c>
      <c r="O253" s="56">
        <f>IF(NOT((COUNTA($B253:$D253)+COUNTA($G253:$L253)+COUNTA($Q253))&gt;0),"",IF(AND(AND($D253&lt;&gt;"",$V253="Macro"),N($AH253)&gt;0),CHOOSE(MATCH($D253,ListaPuestos,0),INDEX('Cronograma R. Operacional'!$O$5:$O$1000,$AH253),INDEX('Cronograma R. Normativo'!$O$5:$O$1000,$AH253),INDEX('Cronograma R. Financiero'!$O$5:$O$1000,$AH253),INDEX('Cronograma Asistente Técnico'!$O$5:$O$1000,$AH253))&amp;"",IF(ISNUMBER($G253),IF(AND(ISNUMBER($AN253),$G253&gt;$AN253),"Cumplida con "&amp;($G253-$AN253)&amp;IF($G253-$AN253=1," día"," días")&amp;" de retraso","Cumplida"),IF(N($M253)&gt;=1,"Cumplida",IF(NOT(ISNUMBER($AN253)),"Sin fecha límite",IF($AN253&lt;FechaRef,"Vencida hace "&amp;(FechaRef-$AN253)&amp;IF(FechaRef-$AN253=1," día"," días"),IF($AN253=FechaRef,"Vence hoy",IF($AN253-FechaRef&lt;=DiasAlerta,"Vence en "&amp;($AN253-FechaRef)&amp;IF($AN253-FechaRef=1," día"," días"),"En plazo"))))))))</f>
        <v/>
      </c>
      <c r="P253" s="62">
        <f>IF(NOT((COUNTA($B253:$D253)+COUNTA($G253:$L253)+COUNTA($Q253))&gt;0),"",IF($D253="","Propia",IF($V253&lt;&gt;"Macro","Solo se delegan macroactividades",IF(N($AH253)&gt;0,"✔ Recibida por "&amp;$D253,"⚠ "&amp;$D253&amp;" aún no la agrega"))))</f>
        <v/>
      </c>
      <c r="Q253" s="58" t="n"/>
      <c r="R253" s="63">
        <f>IF(NOT((COUNTA($B253:$D253)+COUNTA($G253:$L253)+COUNTA($Q253))&gt;0),"",IF((IF($C253="","Falta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",""))="","✔ OK","⚠ "&amp;LEFT(IF($C253="","Falta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",""),LEN(IF($C253="","Falta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",""))-3)))</f>
        <v/>
      </c>
      <c r="S253" s="64">
        <f>IF(NOT((COUNTA($B253:$D253)+COUNTA($G253:$L253)+COUNTA($Q253))&gt;0),"",IF(AND($V253="Sub",N($U253)&gt;0),IF(ISNUMBER(INDEX($AM$5:$AM$1000,$U253-4)),DATE(YEAR(INDEX($AM$5:$AM$1000,$U253-4)),MONTH(INDEX($AM$5:$AM$1000,$U253-4)),1),IF(ISNUMBER(INDEX($AN$5:$AN$1000,$U253-4)),DATE(YEAR(INDEX($AN$5:$AN$1000,$U253-4)),MONTH(INDEX($AN$5:$AN$1000,$U253-4)),1),MesCiclo)),IF(ISNUMBER($AM253),DATE(YEAR($AM253),MONTH($AM253),1),IF(ISNUMBER($AN253),DATE(YEAR($AN253),MONTH($AN253),1),MesCiclo))))</f>
        <v/>
      </c>
      <c r="T253" s="62">
        <f>IF(OR($S253="",$S253&lt;&gt;MesCiclo),"",COUNTIF($S$5:$S253,MesCiclo))</f>
        <v/>
      </c>
      <c r="U253" s="62">
        <f>IF($V253="","",IF($V253="Macro",ROW(),IFERROR(LOOKUP(2,1/($V$5:$V253="Macro"),ROW($V$5:$V253)),0)))</f>
        <v/>
      </c>
      <c r="V253" s="62">
        <f>IF(NOT((COUNTA($B253:$D253)+COUNTA($G253:$L253)+COUNTA($Q253))&gt;0),"",IF($B253="Subactividad","Sub","Macro"))</f>
        <v/>
      </c>
      <c r="W253" s="62">
        <f>IF($V253="Macro",COUNTIFS($U$5:$U$1000,ROW(),$V$5:$V$1000,"Sub"),"")</f>
        <v/>
      </c>
      <c r="X253" s="62">
        <f>IF($V253="","",IF(ISNUMBER($G253),1,IFERROR(LOOKUP(2,1/($I253:$L253&lt;&gt;""),$I253:$L253),0)))</f>
        <v/>
      </c>
      <c r="Y253" s="62">
        <f>IF($V253="","",IF(AND(ISNUMBER($G253),$G253&lt;=IF($S253=MesCiclo,InicioCiclo,$S253+MOD(2-WEEKDAY($S253),7))+6),1,IF(ISNUMBER($I253),$I253,0)))</f>
        <v/>
      </c>
      <c r="Z253" s="62">
        <f>IF($V253="","",IF(AND(ISNUMBER($G253),$G253&lt;=IF($S253=MesCiclo,InicioCiclo,$S253+MOD(2-WEEKDAY($S253),7))+13),1,IF(ISNUMBER($J253),$J253,$Y253)))</f>
        <v/>
      </c>
      <c r="AA253" s="62">
        <f>IF($V253="","",IF(AND(ISNUMBER($G253),$G253&lt;=IF($S253=MesCiclo,InicioCiclo,$S253+MOD(2-WEEKDAY($S253),7))+20),1,IF(ISNUMBER($K253),$K253,$Z253)))</f>
        <v/>
      </c>
      <c r="AB253" s="62">
        <f>IF($V253="","",IF(AND(ISNUMBER($G253),$G253&lt;=IF($S253=MesCiclo,InicioCiclo,$S253+MOD(2-WEEKDAY($S253),7))+27),1,IF(ISNUMBER($L253),$L253,$AA253)))</f>
        <v/>
      </c>
      <c r="AC253" s="62">
        <f>IF($V253="","",IF(AND(ISNUMBER($G253),$G253&lt;=IF($S253=MesCiclo,InicioCiclo,$S253+MOD(2-WEEKDAY($S253),7))+6),1,IF(N($W253)&gt;0,AVERAGEIFS($Y$5:$Y$1000,$U$5:$U$1000,ROW(),$V$5:$V$1000,"Sub"),$Y253)))</f>
        <v/>
      </c>
      <c r="AD253" s="62">
        <f>IF($V253="","",IF(AND(ISNUMBER($G253),$G253&lt;=IF($S253=MesCiclo,InicioCiclo,$S253+MOD(2-WEEKDAY($S253),7))+13),1,IF(N($W253)&gt;0,AVERAGEIFS($Z$5:$Z$1000,$U$5:$U$1000,ROW(),$V$5:$V$1000,"Sub"),$Z253)))</f>
        <v/>
      </c>
      <c r="AE253" s="62">
        <f>IF($V253="","",IF(AND(ISNUMBER($G253),$G253&lt;=IF($S253=MesCiclo,InicioCiclo,$S253+MOD(2-WEEKDAY($S253),7))+20),1,IF(N($W253)&gt;0,AVERAGEIFS($AA$5:$AA$1000,$U$5:$U$1000,ROW(),$V$5:$V$1000,"Sub"),$AA253)))</f>
        <v/>
      </c>
      <c r="AF253" s="62">
        <f>IF($V253="","",IF(AND(ISNUMBER($G253),$G253&lt;=IF($S253=MesCiclo,InicioCiclo,$S253+MOD(2-WEEKDAY($S253),7))+27),1,IF(N($W253)&gt;0,AVERAGEIFS($AB$5:$AB$1000,$U$5:$U$1000,ROW(),$V$5:$V$1000,"Sub"),$AB253)))</f>
        <v/>
      </c>
      <c r="AG253" s="62">
        <f>IF($V253&lt;&gt;"Macro","",IF(COUNTIFS($S$5:$S$1000,$S253,$V$5:$V$1000,"Macro",$H$5:$H$1000,"&gt;0")=0,1/COUNTIFS($S$5:$S$1000,$S253,$V$5:$V$1000,"Macro"),IF(AND(ISNUMBER($H253),N($H253)&gt;0),$H253,SUMIFS($H$5:$H$1000,$S$5:$S$1000,$S253,$V$5:$V$1000,"Macro")/COUNTIFS($S$5:$S$1000,$S253,$V$5:$V$1000,"Macro",$H$5:$H$1000,"&gt;0"))/(COUNTIFS($S$5:$S$1000,$S253,$V$5:$V$1000,"Macro")*SUMIFS($H$5:$H$1000,$S$5:$S$1000,$S253,$V$5:$V$1000,"Macro")/COUNTIFS($S$5:$S$1000,$S253,$V$5:$V$1000,"Macro",$H$5:$H$1000,"&gt;0"))))</f>
        <v/>
      </c>
      <c r="AH253" s="62">
        <f>IF(NOT(AND($D253&lt;&gt;"",$V253="Macro")),"",IFERROR(CHOOSE(MATCH($D253,ListaPuestos,0),MATCH("[Jefatura] "&amp;$C253,'Cronograma R. Operacional'!$C$5:$C$1000,0),MATCH("[Jefatura] "&amp;$C253,'Cronograma R. Normativo'!$C$5:$C$1000,0),MATCH("[Jefatura] "&amp;$C253,'Cronograma R. Financiero'!$C$5:$C$1000,0),MATCH("[Jefatura] "&amp;$C253,'Cronograma Asistente Técnico'!$C$5:$C$1000,0)),0))</f>
        <v/>
      </c>
      <c r="AI253" s="62">
        <f>IF(AND(AND($D253&lt;&gt;"",$V253="Macro"),$S253=MesCiclo),COUNTIFS($D$5:$D253,$D253,$S$5:$S253,MesCiclo,$V$5:$V253,"Macro"),"")</f>
        <v/>
      </c>
      <c r="AJ253" s="62">
        <f>IF($AI253="","",$D253&amp;"|"&amp;$AI253)</f>
        <v/>
      </c>
      <c r="AK253" s="62">
        <f>IF(AND($D253&lt;&gt;"",$V253="Macro"),$D253&amp;"|"&amp;$C253,"")</f>
        <v/>
      </c>
      <c r="AL253" s="62">
        <f>""</f>
        <v/>
      </c>
      <c r="AM253" s="62">
        <f>IF(N($AL253)&gt;0,INDEX(rIni_ADM,$AL253),IF(ISNUMBER($E253),$E253,""))</f>
        <v/>
      </c>
      <c r="AN253" s="62">
        <f>IF(N($AL253)&gt;0,INDEX(rLim_ADM,$AL253),IF(ISNUMBER($F253),$F253,""))</f>
        <v/>
      </c>
    </row>
    <row r="254">
      <c r="A254" s="56">
        <f>IF(NOT((COUNTA($B254:$D254)+COUNTA($G254:$L254)+COUNTA($Q254))&gt;0),"",IF($V254="Macro",COUNTIFS($V$5:$V254,"Macro",$S$5:$S254,$S254),IF(N($U254)=0,"?",COUNTIFS(INDEX($V$5:$V$1000,1):INDEX($V$5:$V$1000,$U254-4),"Macro",INDEX($S$5:$S$1000,1):INDEX($S$5:$S$1000,$U254-4),INDEX($S$5:$S$1000,$U254-4))&amp;"."&amp;COUNTIFS($U$5:$U254,$U254,$V$5:$V254,"Sub"))))</f>
        <v/>
      </c>
      <c r="B254" s="57" t="n"/>
      <c r="C254" s="58" t="n"/>
      <c r="D254" s="58" t="n"/>
      <c r="E254" s="59" t="n"/>
      <c r="F254" s="59" t="n"/>
      <c r="G254" s="59" t="n"/>
      <c r="H254" s="60" t="n"/>
      <c r="I254" s="60" t="n"/>
      <c r="J254" s="60" t="n"/>
      <c r="K254" s="60" t="n"/>
      <c r="L254" s="60" t="n"/>
      <c r="M254" s="61">
        <f>IF(NOT((COUNTA($B254:$D254)+COUNTA($G254:$L254)+COUNTA($Q254))&gt;0),"",IF(AND($D254&lt;&gt;"",$V254="Macro"),IF(N($AH254)&gt;0,N(CHOOSE(MATCH($D254,ListaPuestos,0),INDEX('Cronograma R. Operacional'!$M$5:$M$1000,$AH254),INDEX('Cronograma R. Normativo'!$M$5:$M$1000,$AH254),INDEX('Cronograma R. Financiero'!$M$5:$M$1000,$AH254),INDEX('Cronograma Asistente Técnico'!$M$5:$M$1000,$AH254))),0),IF(ISNUMBER($G254),1,IF(N($W254)&gt;0,AVERAGEIFS($X$5:$X$1000,$U$5:$U$1000,ROW(),$V$5:$V$1000,"Sub"),$X254))))</f>
        <v/>
      </c>
      <c r="N254" s="56">
        <f>IF($M254="","",IF($M254&gt;=1,"Completado",IF($M254&gt;0,"En curso","Pendiente")))</f>
        <v/>
      </c>
      <c r="O254" s="56">
        <f>IF(NOT((COUNTA($B254:$D254)+COUNTA($G254:$L254)+COUNTA($Q254))&gt;0),"",IF(AND(AND($D254&lt;&gt;"",$V254="Macro"),N($AH254)&gt;0),CHOOSE(MATCH($D254,ListaPuestos,0),INDEX('Cronograma R. Operacional'!$O$5:$O$1000,$AH254),INDEX('Cronograma R. Normativo'!$O$5:$O$1000,$AH254),INDEX('Cronograma R. Financiero'!$O$5:$O$1000,$AH254),INDEX('Cronograma Asistente Técnico'!$O$5:$O$1000,$AH254))&amp;"",IF(ISNUMBER($G254),IF(AND(ISNUMBER($AN254),$G254&gt;$AN254),"Cumplida con "&amp;($G254-$AN254)&amp;IF($G254-$AN254=1," día"," días")&amp;" de retraso","Cumplida"),IF(N($M254)&gt;=1,"Cumplida",IF(NOT(ISNUMBER($AN254)),"Sin fecha límite",IF($AN254&lt;FechaRef,"Vencida hace "&amp;(FechaRef-$AN254)&amp;IF(FechaRef-$AN254=1," día"," días"),IF($AN254=FechaRef,"Vence hoy",IF($AN254-FechaRef&lt;=DiasAlerta,"Vence en "&amp;($AN254-FechaRef)&amp;IF($AN254-FechaRef=1," día"," días"),"En plazo"))))))))</f>
        <v/>
      </c>
      <c r="P254" s="62">
        <f>IF(NOT((COUNTA($B254:$D254)+COUNTA($G254:$L254)+COUNTA($Q254))&gt;0),"",IF($D254="","Propia",IF($V254&lt;&gt;"Macro","Solo se delegan macroactividades",IF(N($AH254)&gt;0,"✔ Recibida por "&amp;$D254,"⚠ "&amp;$D254&amp;" aún no la agrega"))))</f>
        <v/>
      </c>
      <c r="Q254" s="58" t="n"/>
      <c r="R254" s="63">
        <f>IF(NOT((COUNTA($B254:$D254)+COUNTA($G254:$L254)+COUNTA($Q254))&gt;0),"",IF((IF($C254="","Falta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",""))="","✔ OK","⚠ "&amp;LEFT(IF($C254="","Falta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",""),LEN(IF($C254="","Falta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",""))-3)))</f>
        <v/>
      </c>
      <c r="S254" s="64">
        <f>IF(NOT((COUNTA($B254:$D254)+COUNTA($G254:$L254)+COUNTA($Q254))&gt;0),"",IF(AND($V254="Sub",N($U254)&gt;0),IF(ISNUMBER(INDEX($AM$5:$AM$1000,$U254-4)),DATE(YEAR(INDEX($AM$5:$AM$1000,$U254-4)),MONTH(INDEX($AM$5:$AM$1000,$U254-4)),1),IF(ISNUMBER(INDEX($AN$5:$AN$1000,$U254-4)),DATE(YEAR(INDEX($AN$5:$AN$1000,$U254-4)),MONTH(INDEX($AN$5:$AN$1000,$U254-4)),1),MesCiclo)),IF(ISNUMBER($AM254),DATE(YEAR($AM254),MONTH($AM254),1),IF(ISNUMBER($AN254),DATE(YEAR($AN254),MONTH($AN254),1),MesCiclo))))</f>
        <v/>
      </c>
      <c r="T254" s="62">
        <f>IF(OR($S254="",$S254&lt;&gt;MesCiclo),"",COUNTIF($S$5:$S254,MesCiclo))</f>
        <v/>
      </c>
      <c r="U254" s="62">
        <f>IF($V254="","",IF($V254="Macro",ROW(),IFERROR(LOOKUP(2,1/($V$5:$V254="Macro"),ROW($V$5:$V254)),0)))</f>
        <v/>
      </c>
      <c r="V254" s="62">
        <f>IF(NOT((COUNTA($B254:$D254)+COUNTA($G254:$L254)+COUNTA($Q254))&gt;0),"",IF($B254="Subactividad","Sub","Macro"))</f>
        <v/>
      </c>
      <c r="W254" s="62">
        <f>IF($V254="Macro",COUNTIFS($U$5:$U$1000,ROW(),$V$5:$V$1000,"Sub"),"")</f>
        <v/>
      </c>
      <c r="X254" s="62">
        <f>IF($V254="","",IF(ISNUMBER($G254),1,IFERROR(LOOKUP(2,1/($I254:$L254&lt;&gt;""),$I254:$L254),0)))</f>
        <v/>
      </c>
      <c r="Y254" s="62">
        <f>IF($V254="","",IF(AND(ISNUMBER($G254),$G254&lt;=IF($S254=MesCiclo,InicioCiclo,$S254+MOD(2-WEEKDAY($S254),7))+6),1,IF(ISNUMBER($I254),$I254,0)))</f>
        <v/>
      </c>
      <c r="Z254" s="62">
        <f>IF($V254="","",IF(AND(ISNUMBER($G254),$G254&lt;=IF($S254=MesCiclo,InicioCiclo,$S254+MOD(2-WEEKDAY($S254),7))+13),1,IF(ISNUMBER($J254),$J254,$Y254)))</f>
        <v/>
      </c>
      <c r="AA254" s="62">
        <f>IF($V254="","",IF(AND(ISNUMBER($G254),$G254&lt;=IF($S254=MesCiclo,InicioCiclo,$S254+MOD(2-WEEKDAY($S254),7))+20),1,IF(ISNUMBER($K254),$K254,$Z254)))</f>
        <v/>
      </c>
      <c r="AB254" s="62">
        <f>IF($V254="","",IF(AND(ISNUMBER($G254),$G254&lt;=IF($S254=MesCiclo,InicioCiclo,$S254+MOD(2-WEEKDAY($S254),7))+27),1,IF(ISNUMBER($L254),$L254,$AA254)))</f>
        <v/>
      </c>
      <c r="AC254" s="62">
        <f>IF($V254="","",IF(AND(ISNUMBER($G254),$G254&lt;=IF($S254=MesCiclo,InicioCiclo,$S254+MOD(2-WEEKDAY($S254),7))+6),1,IF(N($W254)&gt;0,AVERAGEIFS($Y$5:$Y$1000,$U$5:$U$1000,ROW(),$V$5:$V$1000,"Sub"),$Y254)))</f>
        <v/>
      </c>
      <c r="AD254" s="62">
        <f>IF($V254="","",IF(AND(ISNUMBER($G254),$G254&lt;=IF($S254=MesCiclo,InicioCiclo,$S254+MOD(2-WEEKDAY($S254),7))+13),1,IF(N($W254)&gt;0,AVERAGEIFS($Z$5:$Z$1000,$U$5:$U$1000,ROW(),$V$5:$V$1000,"Sub"),$Z254)))</f>
        <v/>
      </c>
      <c r="AE254" s="62">
        <f>IF($V254="","",IF(AND(ISNUMBER($G254),$G254&lt;=IF($S254=MesCiclo,InicioCiclo,$S254+MOD(2-WEEKDAY($S254),7))+20),1,IF(N($W254)&gt;0,AVERAGEIFS($AA$5:$AA$1000,$U$5:$U$1000,ROW(),$V$5:$V$1000,"Sub"),$AA254)))</f>
        <v/>
      </c>
      <c r="AF254" s="62">
        <f>IF($V254="","",IF(AND(ISNUMBER($G254),$G254&lt;=IF($S254=MesCiclo,InicioCiclo,$S254+MOD(2-WEEKDAY($S254),7))+27),1,IF(N($W254)&gt;0,AVERAGEIFS($AB$5:$AB$1000,$U$5:$U$1000,ROW(),$V$5:$V$1000,"Sub"),$AB254)))</f>
        <v/>
      </c>
      <c r="AG254" s="62">
        <f>IF($V254&lt;&gt;"Macro","",IF(COUNTIFS($S$5:$S$1000,$S254,$V$5:$V$1000,"Macro",$H$5:$H$1000,"&gt;0")=0,1/COUNTIFS($S$5:$S$1000,$S254,$V$5:$V$1000,"Macro"),IF(AND(ISNUMBER($H254),N($H254)&gt;0),$H254,SUMIFS($H$5:$H$1000,$S$5:$S$1000,$S254,$V$5:$V$1000,"Macro")/COUNTIFS($S$5:$S$1000,$S254,$V$5:$V$1000,"Macro",$H$5:$H$1000,"&gt;0"))/(COUNTIFS($S$5:$S$1000,$S254,$V$5:$V$1000,"Macro")*SUMIFS($H$5:$H$1000,$S$5:$S$1000,$S254,$V$5:$V$1000,"Macro")/COUNTIFS($S$5:$S$1000,$S254,$V$5:$V$1000,"Macro",$H$5:$H$1000,"&gt;0"))))</f>
        <v/>
      </c>
      <c r="AH254" s="62">
        <f>IF(NOT(AND($D254&lt;&gt;"",$V254="Macro")),"",IFERROR(CHOOSE(MATCH($D254,ListaPuestos,0),MATCH("[Jefatura] "&amp;$C254,'Cronograma R. Operacional'!$C$5:$C$1000,0),MATCH("[Jefatura] "&amp;$C254,'Cronograma R. Normativo'!$C$5:$C$1000,0),MATCH("[Jefatura] "&amp;$C254,'Cronograma R. Financiero'!$C$5:$C$1000,0),MATCH("[Jefatura] "&amp;$C254,'Cronograma Asistente Técnico'!$C$5:$C$1000,0)),0))</f>
        <v/>
      </c>
      <c r="AI254" s="62">
        <f>IF(AND(AND($D254&lt;&gt;"",$V254="Macro"),$S254=MesCiclo),COUNTIFS($D$5:$D254,$D254,$S$5:$S254,MesCiclo,$V$5:$V254,"Macro"),"")</f>
        <v/>
      </c>
      <c r="AJ254" s="62">
        <f>IF($AI254="","",$D254&amp;"|"&amp;$AI254)</f>
        <v/>
      </c>
      <c r="AK254" s="62">
        <f>IF(AND($D254&lt;&gt;"",$V254="Macro"),$D254&amp;"|"&amp;$C254,"")</f>
        <v/>
      </c>
      <c r="AL254" s="62">
        <f>""</f>
        <v/>
      </c>
      <c r="AM254" s="62">
        <f>IF(N($AL254)&gt;0,INDEX(rIni_ADM,$AL254),IF(ISNUMBER($E254),$E254,""))</f>
        <v/>
      </c>
      <c r="AN254" s="62">
        <f>IF(N($AL254)&gt;0,INDEX(rLim_ADM,$AL254),IF(ISNUMBER($F254),$F254,""))</f>
        <v/>
      </c>
    </row>
    <row r="255">
      <c r="A255" s="56">
        <f>IF(NOT((COUNTA($B255:$D255)+COUNTA($G255:$L255)+COUNTA($Q255))&gt;0),"",IF($V255="Macro",COUNTIFS($V$5:$V255,"Macro",$S$5:$S255,$S255),IF(N($U255)=0,"?",COUNTIFS(INDEX($V$5:$V$1000,1):INDEX($V$5:$V$1000,$U255-4),"Macro",INDEX($S$5:$S$1000,1):INDEX($S$5:$S$1000,$U255-4),INDEX($S$5:$S$1000,$U255-4))&amp;"."&amp;COUNTIFS($U$5:$U255,$U255,$V$5:$V255,"Sub"))))</f>
        <v/>
      </c>
      <c r="B255" s="57" t="n"/>
      <c r="C255" s="58" t="n"/>
      <c r="D255" s="58" t="n"/>
      <c r="E255" s="59" t="n"/>
      <c r="F255" s="59" t="n"/>
      <c r="G255" s="59" t="n"/>
      <c r="H255" s="60" t="n"/>
      <c r="I255" s="60" t="n"/>
      <c r="J255" s="60" t="n"/>
      <c r="K255" s="60" t="n"/>
      <c r="L255" s="60" t="n"/>
      <c r="M255" s="61">
        <f>IF(NOT((COUNTA($B255:$D255)+COUNTA($G255:$L255)+COUNTA($Q255))&gt;0),"",IF(AND($D255&lt;&gt;"",$V255="Macro"),IF(N($AH255)&gt;0,N(CHOOSE(MATCH($D255,ListaPuestos,0),INDEX('Cronograma R. Operacional'!$M$5:$M$1000,$AH255),INDEX('Cronograma R. Normativo'!$M$5:$M$1000,$AH255),INDEX('Cronograma R. Financiero'!$M$5:$M$1000,$AH255),INDEX('Cronograma Asistente Técnico'!$M$5:$M$1000,$AH255))),0),IF(ISNUMBER($G255),1,IF(N($W255)&gt;0,AVERAGEIFS($X$5:$X$1000,$U$5:$U$1000,ROW(),$V$5:$V$1000,"Sub"),$X255))))</f>
        <v/>
      </c>
      <c r="N255" s="56">
        <f>IF($M255="","",IF($M255&gt;=1,"Completado",IF($M255&gt;0,"En curso","Pendiente")))</f>
        <v/>
      </c>
      <c r="O255" s="56">
        <f>IF(NOT((COUNTA($B255:$D255)+COUNTA($G255:$L255)+COUNTA($Q255))&gt;0),"",IF(AND(AND($D255&lt;&gt;"",$V255="Macro"),N($AH255)&gt;0),CHOOSE(MATCH($D255,ListaPuestos,0),INDEX('Cronograma R. Operacional'!$O$5:$O$1000,$AH255),INDEX('Cronograma R. Normativo'!$O$5:$O$1000,$AH255),INDEX('Cronograma R. Financiero'!$O$5:$O$1000,$AH255),INDEX('Cronograma Asistente Técnico'!$O$5:$O$1000,$AH255))&amp;"",IF(ISNUMBER($G255),IF(AND(ISNUMBER($AN255),$G255&gt;$AN255),"Cumplida con "&amp;($G255-$AN255)&amp;IF($G255-$AN255=1," día"," días")&amp;" de retraso","Cumplida"),IF(N($M255)&gt;=1,"Cumplida",IF(NOT(ISNUMBER($AN255)),"Sin fecha límite",IF($AN255&lt;FechaRef,"Vencida hace "&amp;(FechaRef-$AN255)&amp;IF(FechaRef-$AN255=1," día"," días"),IF($AN255=FechaRef,"Vence hoy",IF($AN255-FechaRef&lt;=DiasAlerta,"Vence en "&amp;($AN255-FechaRef)&amp;IF($AN255-FechaRef=1," día"," días"),"En plazo"))))))))</f>
        <v/>
      </c>
      <c r="P255" s="62">
        <f>IF(NOT((COUNTA($B255:$D255)+COUNTA($G255:$L255)+COUNTA($Q255))&gt;0),"",IF($D255="","Propia",IF($V255&lt;&gt;"Macro","Solo se delegan macroactividades",IF(N($AH255)&gt;0,"✔ Recibida por "&amp;$D255,"⚠ "&amp;$D255&amp;" aún no la agrega"))))</f>
        <v/>
      </c>
      <c r="Q255" s="58" t="n"/>
      <c r="R255" s="63">
        <f>IF(NOT((COUNTA($B255:$D255)+COUNTA($G255:$L255)+COUNTA($Q255))&gt;0),"",IF((IF($C255="","Falta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",""))="","✔ OK","⚠ "&amp;LEFT(IF($C255="","Falta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",""),LEN(IF($C255="","Falta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",""))-3)))</f>
        <v/>
      </c>
      <c r="S255" s="64">
        <f>IF(NOT((COUNTA($B255:$D255)+COUNTA($G255:$L255)+COUNTA($Q255))&gt;0),"",IF(AND($V255="Sub",N($U255)&gt;0),IF(ISNUMBER(INDEX($AM$5:$AM$1000,$U255-4)),DATE(YEAR(INDEX($AM$5:$AM$1000,$U255-4)),MONTH(INDEX($AM$5:$AM$1000,$U255-4)),1),IF(ISNUMBER(INDEX($AN$5:$AN$1000,$U255-4)),DATE(YEAR(INDEX($AN$5:$AN$1000,$U255-4)),MONTH(INDEX($AN$5:$AN$1000,$U255-4)),1),MesCiclo)),IF(ISNUMBER($AM255),DATE(YEAR($AM255),MONTH($AM255),1),IF(ISNUMBER($AN255),DATE(YEAR($AN255),MONTH($AN255),1),MesCiclo))))</f>
        <v/>
      </c>
      <c r="T255" s="62">
        <f>IF(OR($S255="",$S255&lt;&gt;MesCiclo),"",COUNTIF($S$5:$S255,MesCiclo))</f>
        <v/>
      </c>
      <c r="U255" s="62">
        <f>IF($V255="","",IF($V255="Macro",ROW(),IFERROR(LOOKUP(2,1/($V$5:$V255="Macro"),ROW($V$5:$V255)),0)))</f>
        <v/>
      </c>
      <c r="V255" s="62">
        <f>IF(NOT((COUNTA($B255:$D255)+COUNTA($G255:$L255)+COUNTA($Q255))&gt;0),"",IF($B255="Subactividad","Sub","Macro"))</f>
        <v/>
      </c>
      <c r="W255" s="62">
        <f>IF($V255="Macro",COUNTIFS($U$5:$U$1000,ROW(),$V$5:$V$1000,"Sub"),"")</f>
        <v/>
      </c>
      <c r="X255" s="62">
        <f>IF($V255="","",IF(ISNUMBER($G255),1,IFERROR(LOOKUP(2,1/($I255:$L255&lt;&gt;""),$I255:$L255),0)))</f>
        <v/>
      </c>
      <c r="Y255" s="62">
        <f>IF($V255="","",IF(AND(ISNUMBER($G255),$G255&lt;=IF($S255=MesCiclo,InicioCiclo,$S255+MOD(2-WEEKDAY($S255),7))+6),1,IF(ISNUMBER($I255),$I255,0)))</f>
        <v/>
      </c>
      <c r="Z255" s="62">
        <f>IF($V255="","",IF(AND(ISNUMBER($G255),$G255&lt;=IF($S255=MesCiclo,InicioCiclo,$S255+MOD(2-WEEKDAY($S255),7))+13),1,IF(ISNUMBER($J255),$J255,$Y255)))</f>
        <v/>
      </c>
      <c r="AA255" s="62">
        <f>IF($V255="","",IF(AND(ISNUMBER($G255),$G255&lt;=IF($S255=MesCiclo,InicioCiclo,$S255+MOD(2-WEEKDAY($S255),7))+20),1,IF(ISNUMBER($K255),$K255,$Z255)))</f>
        <v/>
      </c>
      <c r="AB255" s="62">
        <f>IF($V255="","",IF(AND(ISNUMBER($G255),$G255&lt;=IF($S255=MesCiclo,InicioCiclo,$S255+MOD(2-WEEKDAY($S255),7))+27),1,IF(ISNUMBER($L255),$L255,$AA255)))</f>
        <v/>
      </c>
      <c r="AC255" s="62">
        <f>IF($V255="","",IF(AND(ISNUMBER($G255),$G255&lt;=IF($S255=MesCiclo,InicioCiclo,$S255+MOD(2-WEEKDAY($S255),7))+6),1,IF(N($W255)&gt;0,AVERAGEIFS($Y$5:$Y$1000,$U$5:$U$1000,ROW(),$V$5:$V$1000,"Sub"),$Y255)))</f>
        <v/>
      </c>
      <c r="AD255" s="62">
        <f>IF($V255="","",IF(AND(ISNUMBER($G255),$G255&lt;=IF($S255=MesCiclo,InicioCiclo,$S255+MOD(2-WEEKDAY($S255),7))+13),1,IF(N($W255)&gt;0,AVERAGEIFS($Z$5:$Z$1000,$U$5:$U$1000,ROW(),$V$5:$V$1000,"Sub"),$Z255)))</f>
        <v/>
      </c>
      <c r="AE255" s="62">
        <f>IF($V255="","",IF(AND(ISNUMBER($G255),$G255&lt;=IF($S255=MesCiclo,InicioCiclo,$S255+MOD(2-WEEKDAY($S255),7))+20),1,IF(N($W255)&gt;0,AVERAGEIFS($AA$5:$AA$1000,$U$5:$U$1000,ROW(),$V$5:$V$1000,"Sub"),$AA255)))</f>
        <v/>
      </c>
      <c r="AF255" s="62">
        <f>IF($V255="","",IF(AND(ISNUMBER($G255),$G255&lt;=IF($S255=MesCiclo,InicioCiclo,$S255+MOD(2-WEEKDAY($S255),7))+27),1,IF(N($W255)&gt;0,AVERAGEIFS($AB$5:$AB$1000,$U$5:$U$1000,ROW(),$V$5:$V$1000,"Sub"),$AB255)))</f>
        <v/>
      </c>
      <c r="AG255" s="62">
        <f>IF($V255&lt;&gt;"Macro","",IF(COUNTIFS($S$5:$S$1000,$S255,$V$5:$V$1000,"Macro",$H$5:$H$1000,"&gt;0")=0,1/COUNTIFS($S$5:$S$1000,$S255,$V$5:$V$1000,"Macro"),IF(AND(ISNUMBER($H255),N($H255)&gt;0),$H255,SUMIFS($H$5:$H$1000,$S$5:$S$1000,$S255,$V$5:$V$1000,"Macro")/COUNTIFS($S$5:$S$1000,$S255,$V$5:$V$1000,"Macro",$H$5:$H$1000,"&gt;0"))/(COUNTIFS($S$5:$S$1000,$S255,$V$5:$V$1000,"Macro")*SUMIFS($H$5:$H$1000,$S$5:$S$1000,$S255,$V$5:$V$1000,"Macro")/COUNTIFS($S$5:$S$1000,$S255,$V$5:$V$1000,"Macro",$H$5:$H$1000,"&gt;0"))))</f>
        <v/>
      </c>
      <c r="AH255" s="62">
        <f>IF(NOT(AND($D255&lt;&gt;"",$V255="Macro")),"",IFERROR(CHOOSE(MATCH($D255,ListaPuestos,0),MATCH("[Jefatura] "&amp;$C255,'Cronograma R. Operacional'!$C$5:$C$1000,0),MATCH("[Jefatura] "&amp;$C255,'Cronograma R. Normativo'!$C$5:$C$1000,0),MATCH("[Jefatura] "&amp;$C255,'Cronograma R. Financiero'!$C$5:$C$1000,0),MATCH("[Jefatura] "&amp;$C255,'Cronograma Asistente Técnico'!$C$5:$C$1000,0)),0))</f>
        <v/>
      </c>
      <c r="AI255" s="62">
        <f>IF(AND(AND($D255&lt;&gt;"",$V255="Macro"),$S255=MesCiclo),COUNTIFS($D$5:$D255,$D255,$S$5:$S255,MesCiclo,$V$5:$V255,"Macro"),"")</f>
        <v/>
      </c>
      <c r="AJ255" s="62">
        <f>IF($AI255="","",$D255&amp;"|"&amp;$AI255)</f>
        <v/>
      </c>
      <c r="AK255" s="62">
        <f>IF(AND($D255&lt;&gt;"",$V255="Macro"),$D255&amp;"|"&amp;$C255,"")</f>
        <v/>
      </c>
      <c r="AL255" s="62">
        <f>""</f>
        <v/>
      </c>
      <c r="AM255" s="62">
        <f>IF(N($AL255)&gt;0,INDEX(rIni_ADM,$AL255),IF(ISNUMBER($E255),$E255,""))</f>
        <v/>
      </c>
      <c r="AN255" s="62">
        <f>IF(N($AL255)&gt;0,INDEX(rLim_ADM,$AL255),IF(ISNUMBER($F255),$F255,""))</f>
        <v/>
      </c>
    </row>
    <row r="256">
      <c r="A256" s="56">
        <f>IF(NOT((COUNTA($B256:$D256)+COUNTA($G256:$L256)+COUNTA($Q256))&gt;0),"",IF($V256="Macro",COUNTIFS($V$5:$V256,"Macro",$S$5:$S256,$S256),IF(N($U256)=0,"?",COUNTIFS(INDEX($V$5:$V$1000,1):INDEX($V$5:$V$1000,$U256-4),"Macro",INDEX($S$5:$S$1000,1):INDEX($S$5:$S$1000,$U256-4),INDEX($S$5:$S$1000,$U256-4))&amp;"."&amp;COUNTIFS($U$5:$U256,$U256,$V$5:$V256,"Sub"))))</f>
        <v/>
      </c>
      <c r="B256" s="57" t="n"/>
      <c r="C256" s="58" t="n"/>
      <c r="D256" s="58" t="n"/>
      <c r="E256" s="59" t="n"/>
      <c r="F256" s="59" t="n"/>
      <c r="G256" s="59" t="n"/>
      <c r="H256" s="60" t="n"/>
      <c r="I256" s="60" t="n"/>
      <c r="J256" s="60" t="n"/>
      <c r="K256" s="60" t="n"/>
      <c r="L256" s="60" t="n"/>
      <c r="M256" s="61">
        <f>IF(NOT((COUNTA($B256:$D256)+COUNTA($G256:$L256)+COUNTA($Q256))&gt;0),"",IF(AND($D256&lt;&gt;"",$V256="Macro"),IF(N($AH256)&gt;0,N(CHOOSE(MATCH($D256,ListaPuestos,0),INDEX('Cronograma R. Operacional'!$M$5:$M$1000,$AH256),INDEX('Cronograma R. Normativo'!$M$5:$M$1000,$AH256),INDEX('Cronograma R. Financiero'!$M$5:$M$1000,$AH256),INDEX('Cronograma Asistente Técnico'!$M$5:$M$1000,$AH256))),0),IF(ISNUMBER($G256),1,IF(N($W256)&gt;0,AVERAGEIFS($X$5:$X$1000,$U$5:$U$1000,ROW(),$V$5:$V$1000,"Sub"),$X256))))</f>
        <v/>
      </c>
      <c r="N256" s="56">
        <f>IF($M256="","",IF($M256&gt;=1,"Completado",IF($M256&gt;0,"En curso","Pendiente")))</f>
        <v/>
      </c>
      <c r="O256" s="56">
        <f>IF(NOT((COUNTA($B256:$D256)+COUNTA($G256:$L256)+COUNTA($Q256))&gt;0),"",IF(AND(AND($D256&lt;&gt;"",$V256="Macro"),N($AH256)&gt;0),CHOOSE(MATCH($D256,ListaPuestos,0),INDEX('Cronograma R. Operacional'!$O$5:$O$1000,$AH256),INDEX('Cronograma R. Normativo'!$O$5:$O$1000,$AH256),INDEX('Cronograma R. Financiero'!$O$5:$O$1000,$AH256),INDEX('Cronograma Asistente Técnico'!$O$5:$O$1000,$AH256))&amp;"",IF(ISNUMBER($G256),IF(AND(ISNUMBER($AN256),$G256&gt;$AN256),"Cumplida con "&amp;($G256-$AN256)&amp;IF($G256-$AN256=1," día"," días")&amp;" de retraso","Cumplida"),IF(N($M256)&gt;=1,"Cumplida",IF(NOT(ISNUMBER($AN256)),"Sin fecha límite",IF($AN256&lt;FechaRef,"Vencida hace "&amp;(FechaRef-$AN256)&amp;IF(FechaRef-$AN256=1," día"," días"),IF($AN256=FechaRef,"Vence hoy",IF($AN256-FechaRef&lt;=DiasAlerta,"Vence en "&amp;($AN256-FechaRef)&amp;IF($AN256-FechaRef=1," día"," días"),"En plazo"))))))))</f>
        <v/>
      </c>
      <c r="P256" s="62">
        <f>IF(NOT((COUNTA($B256:$D256)+COUNTA($G256:$L256)+COUNTA($Q256))&gt;0),"",IF($D256="","Propia",IF($V256&lt;&gt;"Macro","Solo se delegan macroactividades",IF(N($AH256)&gt;0,"✔ Recibida por "&amp;$D256,"⚠ "&amp;$D256&amp;" aún no la agrega"))))</f>
        <v/>
      </c>
      <c r="Q256" s="58" t="n"/>
      <c r="R256" s="63">
        <f>IF(NOT((COUNTA($B256:$D256)+COUNTA($G256:$L256)+COUNTA($Q256))&gt;0),"",IF((IF($C256="","Falta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",""))="","✔ OK","⚠ "&amp;LEFT(IF($C256="","Falta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",""),LEN(IF($C256="","Falta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",""))-3)))</f>
        <v/>
      </c>
      <c r="S256" s="64">
        <f>IF(NOT((COUNTA($B256:$D256)+COUNTA($G256:$L256)+COUNTA($Q256))&gt;0),"",IF(AND($V256="Sub",N($U256)&gt;0),IF(ISNUMBER(INDEX($AM$5:$AM$1000,$U256-4)),DATE(YEAR(INDEX($AM$5:$AM$1000,$U256-4)),MONTH(INDEX($AM$5:$AM$1000,$U256-4)),1),IF(ISNUMBER(INDEX($AN$5:$AN$1000,$U256-4)),DATE(YEAR(INDEX($AN$5:$AN$1000,$U256-4)),MONTH(INDEX($AN$5:$AN$1000,$U256-4)),1),MesCiclo)),IF(ISNUMBER($AM256),DATE(YEAR($AM256),MONTH($AM256),1),IF(ISNUMBER($AN256),DATE(YEAR($AN256),MONTH($AN256),1),MesCiclo))))</f>
        <v/>
      </c>
      <c r="T256" s="62">
        <f>IF(OR($S256="",$S256&lt;&gt;MesCiclo),"",COUNTIF($S$5:$S256,MesCiclo))</f>
        <v/>
      </c>
      <c r="U256" s="62">
        <f>IF($V256="","",IF($V256="Macro",ROW(),IFERROR(LOOKUP(2,1/($V$5:$V256="Macro"),ROW($V$5:$V256)),0)))</f>
        <v/>
      </c>
      <c r="V256" s="62">
        <f>IF(NOT((COUNTA($B256:$D256)+COUNTA($G256:$L256)+COUNTA($Q256))&gt;0),"",IF($B256="Subactividad","Sub","Macro"))</f>
        <v/>
      </c>
      <c r="W256" s="62">
        <f>IF($V256="Macro",COUNTIFS($U$5:$U$1000,ROW(),$V$5:$V$1000,"Sub"),"")</f>
        <v/>
      </c>
      <c r="X256" s="62">
        <f>IF($V256="","",IF(ISNUMBER($G256),1,IFERROR(LOOKUP(2,1/($I256:$L256&lt;&gt;""),$I256:$L256),0)))</f>
        <v/>
      </c>
      <c r="Y256" s="62">
        <f>IF($V256="","",IF(AND(ISNUMBER($G256),$G256&lt;=IF($S256=MesCiclo,InicioCiclo,$S256+MOD(2-WEEKDAY($S256),7))+6),1,IF(ISNUMBER($I256),$I256,0)))</f>
        <v/>
      </c>
      <c r="Z256" s="62">
        <f>IF($V256="","",IF(AND(ISNUMBER($G256),$G256&lt;=IF($S256=MesCiclo,InicioCiclo,$S256+MOD(2-WEEKDAY($S256),7))+13),1,IF(ISNUMBER($J256),$J256,$Y256)))</f>
        <v/>
      </c>
      <c r="AA256" s="62">
        <f>IF($V256="","",IF(AND(ISNUMBER($G256),$G256&lt;=IF($S256=MesCiclo,InicioCiclo,$S256+MOD(2-WEEKDAY($S256),7))+20),1,IF(ISNUMBER($K256),$K256,$Z256)))</f>
        <v/>
      </c>
      <c r="AB256" s="62">
        <f>IF($V256="","",IF(AND(ISNUMBER($G256),$G256&lt;=IF($S256=MesCiclo,InicioCiclo,$S256+MOD(2-WEEKDAY($S256),7))+27),1,IF(ISNUMBER($L256),$L256,$AA256)))</f>
        <v/>
      </c>
      <c r="AC256" s="62">
        <f>IF($V256="","",IF(AND(ISNUMBER($G256),$G256&lt;=IF($S256=MesCiclo,InicioCiclo,$S256+MOD(2-WEEKDAY($S256),7))+6),1,IF(N($W256)&gt;0,AVERAGEIFS($Y$5:$Y$1000,$U$5:$U$1000,ROW(),$V$5:$V$1000,"Sub"),$Y256)))</f>
        <v/>
      </c>
      <c r="AD256" s="62">
        <f>IF($V256="","",IF(AND(ISNUMBER($G256),$G256&lt;=IF($S256=MesCiclo,InicioCiclo,$S256+MOD(2-WEEKDAY($S256),7))+13),1,IF(N($W256)&gt;0,AVERAGEIFS($Z$5:$Z$1000,$U$5:$U$1000,ROW(),$V$5:$V$1000,"Sub"),$Z256)))</f>
        <v/>
      </c>
      <c r="AE256" s="62">
        <f>IF($V256="","",IF(AND(ISNUMBER($G256),$G256&lt;=IF($S256=MesCiclo,InicioCiclo,$S256+MOD(2-WEEKDAY($S256),7))+20),1,IF(N($W256)&gt;0,AVERAGEIFS($AA$5:$AA$1000,$U$5:$U$1000,ROW(),$V$5:$V$1000,"Sub"),$AA256)))</f>
        <v/>
      </c>
      <c r="AF256" s="62">
        <f>IF($V256="","",IF(AND(ISNUMBER($G256),$G256&lt;=IF($S256=MesCiclo,InicioCiclo,$S256+MOD(2-WEEKDAY($S256),7))+27),1,IF(N($W256)&gt;0,AVERAGEIFS($AB$5:$AB$1000,$U$5:$U$1000,ROW(),$V$5:$V$1000,"Sub"),$AB256)))</f>
        <v/>
      </c>
      <c r="AG256" s="62">
        <f>IF($V256&lt;&gt;"Macro","",IF(COUNTIFS($S$5:$S$1000,$S256,$V$5:$V$1000,"Macro",$H$5:$H$1000,"&gt;0")=0,1/COUNTIFS($S$5:$S$1000,$S256,$V$5:$V$1000,"Macro"),IF(AND(ISNUMBER($H256),N($H256)&gt;0),$H256,SUMIFS($H$5:$H$1000,$S$5:$S$1000,$S256,$V$5:$V$1000,"Macro")/COUNTIFS($S$5:$S$1000,$S256,$V$5:$V$1000,"Macro",$H$5:$H$1000,"&gt;0"))/(COUNTIFS($S$5:$S$1000,$S256,$V$5:$V$1000,"Macro")*SUMIFS($H$5:$H$1000,$S$5:$S$1000,$S256,$V$5:$V$1000,"Macro")/COUNTIFS($S$5:$S$1000,$S256,$V$5:$V$1000,"Macro",$H$5:$H$1000,"&gt;0"))))</f>
        <v/>
      </c>
      <c r="AH256" s="62">
        <f>IF(NOT(AND($D256&lt;&gt;"",$V256="Macro")),"",IFERROR(CHOOSE(MATCH($D256,ListaPuestos,0),MATCH("[Jefatura] "&amp;$C256,'Cronograma R. Operacional'!$C$5:$C$1000,0),MATCH("[Jefatura] "&amp;$C256,'Cronograma R. Normativo'!$C$5:$C$1000,0),MATCH("[Jefatura] "&amp;$C256,'Cronograma R. Financiero'!$C$5:$C$1000,0),MATCH("[Jefatura] "&amp;$C256,'Cronograma Asistente Técnico'!$C$5:$C$1000,0)),0))</f>
        <v/>
      </c>
      <c r="AI256" s="62">
        <f>IF(AND(AND($D256&lt;&gt;"",$V256="Macro"),$S256=MesCiclo),COUNTIFS($D$5:$D256,$D256,$S$5:$S256,MesCiclo,$V$5:$V256,"Macro"),"")</f>
        <v/>
      </c>
      <c r="AJ256" s="62">
        <f>IF($AI256="","",$D256&amp;"|"&amp;$AI256)</f>
        <v/>
      </c>
      <c r="AK256" s="62">
        <f>IF(AND($D256&lt;&gt;"",$V256="Macro"),$D256&amp;"|"&amp;$C256,"")</f>
        <v/>
      </c>
      <c r="AL256" s="62">
        <f>""</f>
        <v/>
      </c>
      <c r="AM256" s="62">
        <f>IF(N($AL256)&gt;0,INDEX(rIni_ADM,$AL256),IF(ISNUMBER($E256),$E256,""))</f>
        <v/>
      </c>
      <c r="AN256" s="62">
        <f>IF(N($AL256)&gt;0,INDEX(rLim_ADM,$AL256),IF(ISNUMBER($F256),$F256,""))</f>
        <v/>
      </c>
    </row>
    <row r="257">
      <c r="A257" s="56">
        <f>IF(NOT((COUNTA($B257:$D257)+COUNTA($G257:$L257)+COUNTA($Q257))&gt;0),"",IF($V257="Macro",COUNTIFS($V$5:$V257,"Macro",$S$5:$S257,$S257),IF(N($U257)=0,"?",COUNTIFS(INDEX($V$5:$V$1000,1):INDEX($V$5:$V$1000,$U257-4),"Macro",INDEX($S$5:$S$1000,1):INDEX($S$5:$S$1000,$U257-4),INDEX($S$5:$S$1000,$U257-4))&amp;"."&amp;COUNTIFS($U$5:$U257,$U257,$V$5:$V257,"Sub"))))</f>
        <v/>
      </c>
      <c r="B257" s="57" t="n"/>
      <c r="C257" s="58" t="n"/>
      <c r="D257" s="58" t="n"/>
      <c r="E257" s="59" t="n"/>
      <c r="F257" s="59" t="n"/>
      <c r="G257" s="59" t="n"/>
      <c r="H257" s="60" t="n"/>
      <c r="I257" s="60" t="n"/>
      <c r="J257" s="60" t="n"/>
      <c r="K257" s="60" t="n"/>
      <c r="L257" s="60" t="n"/>
      <c r="M257" s="61">
        <f>IF(NOT((COUNTA($B257:$D257)+COUNTA($G257:$L257)+COUNTA($Q257))&gt;0),"",IF(AND($D257&lt;&gt;"",$V257="Macro"),IF(N($AH257)&gt;0,N(CHOOSE(MATCH($D257,ListaPuestos,0),INDEX('Cronograma R. Operacional'!$M$5:$M$1000,$AH257),INDEX('Cronograma R. Normativo'!$M$5:$M$1000,$AH257),INDEX('Cronograma R. Financiero'!$M$5:$M$1000,$AH257),INDEX('Cronograma Asistente Técnico'!$M$5:$M$1000,$AH257))),0),IF(ISNUMBER($G257),1,IF(N($W257)&gt;0,AVERAGEIFS($X$5:$X$1000,$U$5:$U$1000,ROW(),$V$5:$V$1000,"Sub"),$X257))))</f>
        <v/>
      </c>
      <c r="N257" s="56">
        <f>IF($M257="","",IF($M257&gt;=1,"Completado",IF($M257&gt;0,"En curso","Pendiente")))</f>
        <v/>
      </c>
      <c r="O257" s="56">
        <f>IF(NOT((COUNTA($B257:$D257)+COUNTA($G257:$L257)+COUNTA($Q257))&gt;0),"",IF(AND(AND($D257&lt;&gt;"",$V257="Macro"),N($AH257)&gt;0),CHOOSE(MATCH($D257,ListaPuestos,0),INDEX('Cronograma R. Operacional'!$O$5:$O$1000,$AH257),INDEX('Cronograma R. Normativo'!$O$5:$O$1000,$AH257),INDEX('Cronograma R. Financiero'!$O$5:$O$1000,$AH257),INDEX('Cronograma Asistente Técnico'!$O$5:$O$1000,$AH257))&amp;"",IF(ISNUMBER($G257),IF(AND(ISNUMBER($AN257),$G257&gt;$AN257),"Cumplida con "&amp;($G257-$AN257)&amp;IF($G257-$AN257=1," día"," días")&amp;" de retraso","Cumplida"),IF(N($M257)&gt;=1,"Cumplida",IF(NOT(ISNUMBER($AN257)),"Sin fecha límite",IF($AN257&lt;FechaRef,"Vencida hace "&amp;(FechaRef-$AN257)&amp;IF(FechaRef-$AN257=1," día"," días"),IF($AN257=FechaRef,"Vence hoy",IF($AN257-FechaRef&lt;=DiasAlerta,"Vence en "&amp;($AN257-FechaRef)&amp;IF($AN257-FechaRef=1," día"," días"),"En plazo"))))))))</f>
        <v/>
      </c>
      <c r="P257" s="62">
        <f>IF(NOT((COUNTA($B257:$D257)+COUNTA($G257:$L257)+COUNTA($Q257))&gt;0),"",IF($D257="","Propia",IF($V257&lt;&gt;"Macro","Solo se delegan macroactividades",IF(N($AH257)&gt;0,"✔ Recibida por "&amp;$D257,"⚠ "&amp;$D257&amp;" aún no la agrega"))))</f>
        <v/>
      </c>
      <c r="Q257" s="58" t="n"/>
      <c r="R257" s="63">
        <f>IF(NOT((COUNTA($B257:$D257)+COUNTA($G257:$L257)+COUNTA($Q257))&gt;0),"",IF((IF($C257="","Falta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",""))="","✔ OK","⚠ "&amp;LEFT(IF($C257="","Falta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",""),LEN(IF($C257="","Falta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",""))-3)))</f>
        <v/>
      </c>
      <c r="S257" s="64">
        <f>IF(NOT((COUNTA($B257:$D257)+COUNTA($G257:$L257)+COUNTA($Q257))&gt;0),"",IF(AND($V257="Sub",N($U257)&gt;0),IF(ISNUMBER(INDEX($AM$5:$AM$1000,$U257-4)),DATE(YEAR(INDEX($AM$5:$AM$1000,$U257-4)),MONTH(INDEX($AM$5:$AM$1000,$U257-4)),1),IF(ISNUMBER(INDEX($AN$5:$AN$1000,$U257-4)),DATE(YEAR(INDEX($AN$5:$AN$1000,$U257-4)),MONTH(INDEX($AN$5:$AN$1000,$U257-4)),1),MesCiclo)),IF(ISNUMBER($AM257),DATE(YEAR($AM257),MONTH($AM257),1),IF(ISNUMBER($AN257),DATE(YEAR($AN257),MONTH($AN257),1),MesCiclo))))</f>
        <v/>
      </c>
      <c r="T257" s="62">
        <f>IF(OR($S257="",$S257&lt;&gt;MesCiclo),"",COUNTIF($S$5:$S257,MesCiclo))</f>
        <v/>
      </c>
      <c r="U257" s="62">
        <f>IF($V257="","",IF($V257="Macro",ROW(),IFERROR(LOOKUP(2,1/($V$5:$V257="Macro"),ROW($V$5:$V257)),0)))</f>
        <v/>
      </c>
      <c r="V257" s="62">
        <f>IF(NOT((COUNTA($B257:$D257)+COUNTA($G257:$L257)+COUNTA($Q257))&gt;0),"",IF($B257="Subactividad","Sub","Macro"))</f>
        <v/>
      </c>
      <c r="W257" s="62">
        <f>IF($V257="Macro",COUNTIFS($U$5:$U$1000,ROW(),$V$5:$V$1000,"Sub"),"")</f>
        <v/>
      </c>
      <c r="X257" s="62">
        <f>IF($V257="","",IF(ISNUMBER($G257),1,IFERROR(LOOKUP(2,1/($I257:$L257&lt;&gt;""),$I257:$L257),0)))</f>
        <v/>
      </c>
      <c r="Y257" s="62">
        <f>IF($V257="","",IF(AND(ISNUMBER($G257),$G257&lt;=IF($S257=MesCiclo,InicioCiclo,$S257+MOD(2-WEEKDAY($S257),7))+6),1,IF(ISNUMBER($I257),$I257,0)))</f>
        <v/>
      </c>
      <c r="Z257" s="62">
        <f>IF($V257="","",IF(AND(ISNUMBER($G257),$G257&lt;=IF($S257=MesCiclo,InicioCiclo,$S257+MOD(2-WEEKDAY($S257),7))+13),1,IF(ISNUMBER($J257),$J257,$Y257)))</f>
        <v/>
      </c>
      <c r="AA257" s="62">
        <f>IF($V257="","",IF(AND(ISNUMBER($G257),$G257&lt;=IF($S257=MesCiclo,InicioCiclo,$S257+MOD(2-WEEKDAY($S257),7))+20),1,IF(ISNUMBER($K257),$K257,$Z257)))</f>
        <v/>
      </c>
      <c r="AB257" s="62">
        <f>IF($V257="","",IF(AND(ISNUMBER($G257),$G257&lt;=IF($S257=MesCiclo,InicioCiclo,$S257+MOD(2-WEEKDAY($S257),7))+27),1,IF(ISNUMBER($L257),$L257,$AA257)))</f>
        <v/>
      </c>
      <c r="AC257" s="62">
        <f>IF($V257="","",IF(AND(ISNUMBER($G257),$G257&lt;=IF($S257=MesCiclo,InicioCiclo,$S257+MOD(2-WEEKDAY($S257),7))+6),1,IF(N($W257)&gt;0,AVERAGEIFS($Y$5:$Y$1000,$U$5:$U$1000,ROW(),$V$5:$V$1000,"Sub"),$Y257)))</f>
        <v/>
      </c>
      <c r="AD257" s="62">
        <f>IF($V257="","",IF(AND(ISNUMBER($G257),$G257&lt;=IF($S257=MesCiclo,InicioCiclo,$S257+MOD(2-WEEKDAY($S257),7))+13),1,IF(N($W257)&gt;0,AVERAGEIFS($Z$5:$Z$1000,$U$5:$U$1000,ROW(),$V$5:$V$1000,"Sub"),$Z257)))</f>
        <v/>
      </c>
      <c r="AE257" s="62">
        <f>IF($V257="","",IF(AND(ISNUMBER($G257),$G257&lt;=IF($S257=MesCiclo,InicioCiclo,$S257+MOD(2-WEEKDAY($S257),7))+20),1,IF(N($W257)&gt;0,AVERAGEIFS($AA$5:$AA$1000,$U$5:$U$1000,ROW(),$V$5:$V$1000,"Sub"),$AA257)))</f>
        <v/>
      </c>
      <c r="AF257" s="62">
        <f>IF($V257="","",IF(AND(ISNUMBER($G257),$G257&lt;=IF($S257=MesCiclo,InicioCiclo,$S257+MOD(2-WEEKDAY($S257),7))+27),1,IF(N($W257)&gt;0,AVERAGEIFS($AB$5:$AB$1000,$U$5:$U$1000,ROW(),$V$5:$V$1000,"Sub"),$AB257)))</f>
        <v/>
      </c>
      <c r="AG257" s="62">
        <f>IF($V257&lt;&gt;"Macro","",IF(COUNTIFS($S$5:$S$1000,$S257,$V$5:$V$1000,"Macro",$H$5:$H$1000,"&gt;0")=0,1/COUNTIFS($S$5:$S$1000,$S257,$V$5:$V$1000,"Macro"),IF(AND(ISNUMBER($H257),N($H257)&gt;0),$H257,SUMIFS($H$5:$H$1000,$S$5:$S$1000,$S257,$V$5:$V$1000,"Macro")/COUNTIFS($S$5:$S$1000,$S257,$V$5:$V$1000,"Macro",$H$5:$H$1000,"&gt;0"))/(COUNTIFS($S$5:$S$1000,$S257,$V$5:$V$1000,"Macro")*SUMIFS($H$5:$H$1000,$S$5:$S$1000,$S257,$V$5:$V$1000,"Macro")/COUNTIFS($S$5:$S$1000,$S257,$V$5:$V$1000,"Macro",$H$5:$H$1000,"&gt;0"))))</f>
        <v/>
      </c>
      <c r="AH257" s="62">
        <f>IF(NOT(AND($D257&lt;&gt;"",$V257="Macro")),"",IFERROR(CHOOSE(MATCH($D257,ListaPuestos,0),MATCH("[Jefatura] "&amp;$C257,'Cronograma R. Operacional'!$C$5:$C$1000,0),MATCH("[Jefatura] "&amp;$C257,'Cronograma R. Normativo'!$C$5:$C$1000,0),MATCH("[Jefatura] "&amp;$C257,'Cronograma R. Financiero'!$C$5:$C$1000,0),MATCH("[Jefatura] "&amp;$C257,'Cronograma Asistente Técnico'!$C$5:$C$1000,0)),0))</f>
        <v/>
      </c>
      <c r="AI257" s="62">
        <f>IF(AND(AND($D257&lt;&gt;"",$V257="Macro"),$S257=MesCiclo),COUNTIFS($D$5:$D257,$D257,$S$5:$S257,MesCiclo,$V$5:$V257,"Macro"),"")</f>
        <v/>
      </c>
      <c r="AJ257" s="62">
        <f>IF($AI257="","",$D257&amp;"|"&amp;$AI257)</f>
        <v/>
      </c>
      <c r="AK257" s="62">
        <f>IF(AND($D257&lt;&gt;"",$V257="Macro"),$D257&amp;"|"&amp;$C257,"")</f>
        <v/>
      </c>
      <c r="AL257" s="62">
        <f>""</f>
        <v/>
      </c>
      <c r="AM257" s="62">
        <f>IF(N($AL257)&gt;0,INDEX(rIni_ADM,$AL257),IF(ISNUMBER($E257),$E257,""))</f>
        <v/>
      </c>
      <c r="AN257" s="62">
        <f>IF(N($AL257)&gt;0,INDEX(rLim_ADM,$AL257),IF(ISNUMBER($F257),$F257,""))</f>
        <v/>
      </c>
    </row>
    <row r="258">
      <c r="A258" s="56">
        <f>IF(NOT((COUNTA($B258:$D258)+COUNTA($G258:$L258)+COUNTA($Q258))&gt;0),"",IF($V258="Macro",COUNTIFS($V$5:$V258,"Macro",$S$5:$S258,$S258),IF(N($U258)=0,"?",COUNTIFS(INDEX($V$5:$V$1000,1):INDEX($V$5:$V$1000,$U258-4),"Macro",INDEX($S$5:$S$1000,1):INDEX($S$5:$S$1000,$U258-4),INDEX($S$5:$S$1000,$U258-4))&amp;"."&amp;COUNTIFS($U$5:$U258,$U258,$V$5:$V258,"Sub"))))</f>
        <v/>
      </c>
      <c r="B258" s="57" t="n"/>
      <c r="C258" s="58" t="n"/>
      <c r="D258" s="58" t="n"/>
      <c r="E258" s="59" t="n"/>
      <c r="F258" s="59" t="n"/>
      <c r="G258" s="59" t="n"/>
      <c r="H258" s="60" t="n"/>
      <c r="I258" s="60" t="n"/>
      <c r="J258" s="60" t="n"/>
      <c r="K258" s="60" t="n"/>
      <c r="L258" s="60" t="n"/>
      <c r="M258" s="61">
        <f>IF(NOT((COUNTA($B258:$D258)+COUNTA($G258:$L258)+COUNTA($Q258))&gt;0),"",IF(AND($D258&lt;&gt;"",$V258="Macro"),IF(N($AH258)&gt;0,N(CHOOSE(MATCH($D258,ListaPuestos,0),INDEX('Cronograma R. Operacional'!$M$5:$M$1000,$AH258),INDEX('Cronograma R. Normativo'!$M$5:$M$1000,$AH258),INDEX('Cronograma R. Financiero'!$M$5:$M$1000,$AH258),INDEX('Cronograma Asistente Técnico'!$M$5:$M$1000,$AH258))),0),IF(ISNUMBER($G258),1,IF(N($W258)&gt;0,AVERAGEIFS($X$5:$X$1000,$U$5:$U$1000,ROW(),$V$5:$V$1000,"Sub"),$X258))))</f>
        <v/>
      </c>
      <c r="N258" s="56">
        <f>IF($M258="","",IF($M258&gt;=1,"Completado",IF($M258&gt;0,"En curso","Pendiente")))</f>
        <v/>
      </c>
      <c r="O258" s="56">
        <f>IF(NOT((COUNTA($B258:$D258)+COUNTA($G258:$L258)+COUNTA($Q258))&gt;0),"",IF(AND(AND($D258&lt;&gt;"",$V258="Macro"),N($AH258)&gt;0),CHOOSE(MATCH($D258,ListaPuestos,0),INDEX('Cronograma R. Operacional'!$O$5:$O$1000,$AH258),INDEX('Cronograma R. Normativo'!$O$5:$O$1000,$AH258),INDEX('Cronograma R. Financiero'!$O$5:$O$1000,$AH258),INDEX('Cronograma Asistente Técnico'!$O$5:$O$1000,$AH258))&amp;"",IF(ISNUMBER($G258),IF(AND(ISNUMBER($AN258),$G258&gt;$AN258),"Cumplida con "&amp;($G258-$AN258)&amp;IF($G258-$AN258=1," día"," días")&amp;" de retraso","Cumplida"),IF(N($M258)&gt;=1,"Cumplida",IF(NOT(ISNUMBER($AN258)),"Sin fecha límite",IF($AN258&lt;FechaRef,"Vencida hace "&amp;(FechaRef-$AN258)&amp;IF(FechaRef-$AN258=1," día"," días"),IF($AN258=FechaRef,"Vence hoy",IF($AN258-FechaRef&lt;=DiasAlerta,"Vence en "&amp;($AN258-FechaRef)&amp;IF($AN258-FechaRef=1," día"," días"),"En plazo"))))))))</f>
        <v/>
      </c>
      <c r="P258" s="62">
        <f>IF(NOT((COUNTA($B258:$D258)+COUNTA($G258:$L258)+COUNTA($Q258))&gt;0),"",IF($D258="","Propia",IF($V258&lt;&gt;"Macro","Solo se delegan macroactividades",IF(N($AH258)&gt;0,"✔ Recibida por "&amp;$D258,"⚠ "&amp;$D258&amp;" aún no la agrega"))))</f>
        <v/>
      </c>
      <c r="Q258" s="58" t="n"/>
      <c r="R258" s="63">
        <f>IF(NOT((COUNTA($B258:$D258)+COUNTA($G258:$L258)+COUNTA($Q258))&gt;0),"",IF((IF($C258="","Falta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",""))="","✔ OK","⚠ "&amp;LEFT(IF($C258="","Falta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",""),LEN(IF($C258="","Falta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",""))-3)))</f>
        <v/>
      </c>
      <c r="S258" s="64">
        <f>IF(NOT((COUNTA($B258:$D258)+COUNTA($G258:$L258)+COUNTA($Q258))&gt;0),"",IF(AND($V258="Sub",N($U258)&gt;0),IF(ISNUMBER(INDEX($AM$5:$AM$1000,$U258-4)),DATE(YEAR(INDEX($AM$5:$AM$1000,$U258-4)),MONTH(INDEX($AM$5:$AM$1000,$U258-4)),1),IF(ISNUMBER(INDEX($AN$5:$AN$1000,$U258-4)),DATE(YEAR(INDEX($AN$5:$AN$1000,$U258-4)),MONTH(INDEX($AN$5:$AN$1000,$U258-4)),1),MesCiclo)),IF(ISNUMBER($AM258),DATE(YEAR($AM258),MONTH($AM258),1),IF(ISNUMBER($AN258),DATE(YEAR($AN258),MONTH($AN258),1),MesCiclo))))</f>
        <v/>
      </c>
      <c r="T258" s="62">
        <f>IF(OR($S258="",$S258&lt;&gt;MesCiclo),"",COUNTIF($S$5:$S258,MesCiclo))</f>
        <v/>
      </c>
      <c r="U258" s="62">
        <f>IF($V258="","",IF($V258="Macro",ROW(),IFERROR(LOOKUP(2,1/($V$5:$V258="Macro"),ROW($V$5:$V258)),0)))</f>
        <v/>
      </c>
      <c r="V258" s="62">
        <f>IF(NOT((COUNTA($B258:$D258)+COUNTA($G258:$L258)+COUNTA($Q258))&gt;0),"",IF($B258="Subactividad","Sub","Macro"))</f>
        <v/>
      </c>
      <c r="W258" s="62">
        <f>IF($V258="Macro",COUNTIFS($U$5:$U$1000,ROW(),$V$5:$V$1000,"Sub"),"")</f>
        <v/>
      </c>
      <c r="X258" s="62">
        <f>IF($V258="","",IF(ISNUMBER($G258),1,IFERROR(LOOKUP(2,1/($I258:$L258&lt;&gt;""),$I258:$L258),0)))</f>
        <v/>
      </c>
      <c r="Y258" s="62">
        <f>IF($V258="","",IF(AND(ISNUMBER($G258),$G258&lt;=IF($S258=MesCiclo,InicioCiclo,$S258+MOD(2-WEEKDAY($S258),7))+6),1,IF(ISNUMBER($I258),$I258,0)))</f>
        <v/>
      </c>
      <c r="Z258" s="62">
        <f>IF($V258="","",IF(AND(ISNUMBER($G258),$G258&lt;=IF($S258=MesCiclo,InicioCiclo,$S258+MOD(2-WEEKDAY($S258),7))+13),1,IF(ISNUMBER($J258),$J258,$Y258)))</f>
        <v/>
      </c>
      <c r="AA258" s="62">
        <f>IF($V258="","",IF(AND(ISNUMBER($G258),$G258&lt;=IF($S258=MesCiclo,InicioCiclo,$S258+MOD(2-WEEKDAY($S258),7))+20),1,IF(ISNUMBER($K258),$K258,$Z258)))</f>
        <v/>
      </c>
      <c r="AB258" s="62">
        <f>IF($V258="","",IF(AND(ISNUMBER($G258),$G258&lt;=IF($S258=MesCiclo,InicioCiclo,$S258+MOD(2-WEEKDAY($S258),7))+27),1,IF(ISNUMBER($L258),$L258,$AA258)))</f>
        <v/>
      </c>
      <c r="AC258" s="62">
        <f>IF($V258="","",IF(AND(ISNUMBER($G258),$G258&lt;=IF($S258=MesCiclo,InicioCiclo,$S258+MOD(2-WEEKDAY($S258),7))+6),1,IF(N($W258)&gt;0,AVERAGEIFS($Y$5:$Y$1000,$U$5:$U$1000,ROW(),$V$5:$V$1000,"Sub"),$Y258)))</f>
        <v/>
      </c>
      <c r="AD258" s="62">
        <f>IF($V258="","",IF(AND(ISNUMBER($G258),$G258&lt;=IF($S258=MesCiclo,InicioCiclo,$S258+MOD(2-WEEKDAY($S258),7))+13),1,IF(N($W258)&gt;0,AVERAGEIFS($Z$5:$Z$1000,$U$5:$U$1000,ROW(),$V$5:$V$1000,"Sub"),$Z258)))</f>
        <v/>
      </c>
      <c r="AE258" s="62">
        <f>IF($V258="","",IF(AND(ISNUMBER($G258),$G258&lt;=IF($S258=MesCiclo,InicioCiclo,$S258+MOD(2-WEEKDAY($S258),7))+20),1,IF(N($W258)&gt;0,AVERAGEIFS($AA$5:$AA$1000,$U$5:$U$1000,ROW(),$V$5:$V$1000,"Sub"),$AA258)))</f>
        <v/>
      </c>
      <c r="AF258" s="62">
        <f>IF($V258="","",IF(AND(ISNUMBER($G258),$G258&lt;=IF($S258=MesCiclo,InicioCiclo,$S258+MOD(2-WEEKDAY($S258),7))+27),1,IF(N($W258)&gt;0,AVERAGEIFS($AB$5:$AB$1000,$U$5:$U$1000,ROW(),$V$5:$V$1000,"Sub"),$AB258)))</f>
        <v/>
      </c>
      <c r="AG258" s="62">
        <f>IF($V258&lt;&gt;"Macro","",IF(COUNTIFS($S$5:$S$1000,$S258,$V$5:$V$1000,"Macro",$H$5:$H$1000,"&gt;0")=0,1/COUNTIFS($S$5:$S$1000,$S258,$V$5:$V$1000,"Macro"),IF(AND(ISNUMBER($H258),N($H258)&gt;0),$H258,SUMIFS($H$5:$H$1000,$S$5:$S$1000,$S258,$V$5:$V$1000,"Macro")/COUNTIFS($S$5:$S$1000,$S258,$V$5:$V$1000,"Macro",$H$5:$H$1000,"&gt;0"))/(COUNTIFS($S$5:$S$1000,$S258,$V$5:$V$1000,"Macro")*SUMIFS($H$5:$H$1000,$S$5:$S$1000,$S258,$V$5:$V$1000,"Macro")/COUNTIFS($S$5:$S$1000,$S258,$V$5:$V$1000,"Macro",$H$5:$H$1000,"&gt;0"))))</f>
        <v/>
      </c>
      <c r="AH258" s="62">
        <f>IF(NOT(AND($D258&lt;&gt;"",$V258="Macro")),"",IFERROR(CHOOSE(MATCH($D258,ListaPuestos,0),MATCH("[Jefatura] "&amp;$C258,'Cronograma R. Operacional'!$C$5:$C$1000,0),MATCH("[Jefatura] "&amp;$C258,'Cronograma R. Normativo'!$C$5:$C$1000,0),MATCH("[Jefatura] "&amp;$C258,'Cronograma R. Financiero'!$C$5:$C$1000,0),MATCH("[Jefatura] "&amp;$C258,'Cronograma Asistente Técnico'!$C$5:$C$1000,0)),0))</f>
        <v/>
      </c>
      <c r="AI258" s="62">
        <f>IF(AND(AND($D258&lt;&gt;"",$V258="Macro"),$S258=MesCiclo),COUNTIFS($D$5:$D258,$D258,$S$5:$S258,MesCiclo,$V$5:$V258,"Macro"),"")</f>
        <v/>
      </c>
      <c r="AJ258" s="62">
        <f>IF($AI258="","",$D258&amp;"|"&amp;$AI258)</f>
        <v/>
      </c>
      <c r="AK258" s="62">
        <f>IF(AND($D258&lt;&gt;"",$V258="Macro"),$D258&amp;"|"&amp;$C258,"")</f>
        <v/>
      </c>
      <c r="AL258" s="62">
        <f>""</f>
        <v/>
      </c>
      <c r="AM258" s="62">
        <f>IF(N($AL258)&gt;0,INDEX(rIni_ADM,$AL258),IF(ISNUMBER($E258),$E258,""))</f>
        <v/>
      </c>
      <c r="AN258" s="62">
        <f>IF(N($AL258)&gt;0,INDEX(rLim_ADM,$AL258),IF(ISNUMBER($F258),$F258,""))</f>
        <v/>
      </c>
    </row>
    <row r="259">
      <c r="A259" s="56">
        <f>IF(NOT((COUNTA($B259:$D259)+COUNTA($G259:$L259)+COUNTA($Q259))&gt;0),"",IF($V259="Macro",COUNTIFS($V$5:$V259,"Macro",$S$5:$S259,$S259),IF(N($U259)=0,"?",COUNTIFS(INDEX($V$5:$V$1000,1):INDEX($V$5:$V$1000,$U259-4),"Macro",INDEX($S$5:$S$1000,1):INDEX($S$5:$S$1000,$U259-4),INDEX($S$5:$S$1000,$U259-4))&amp;"."&amp;COUNTIFS($U$5:$U259,$U259,$V$5:$V259,"Sub"))))</f>
        <v/>
      </c>
      <c r="B259" s="57" t="n"/>
      <c r="C259" s="58" t="n"/>
      <c r="D259" s="58" t="n"/>
      <c r="E259" s="59" t="n"/>
      <c r="F259" s="59" t="n"/>
      <c r="G259" s="59" t="n"/>
      <c r="H259" s="60" t="n"/>
      <c r="I259" s="60" t="n"/>
      <c r="J259" s="60" t="n"/>
      <c r="K259" s="60" t="n"/>
      <c r="L259" s="60" t="n"/>
      <c r="M259" s="61">
        <f>IF(NOT((COUNTA($B259:$D259)+COUNTA($G259:$L259)+COUNTA($Q259))&gt;0),"",IF(AND($D259&lt;&gt;"",$V259="Macro"),IF(N($AH259)&gt;0,N(CHOOSE(MATCH($D259,ListaPuestos,0),INDEX('Cronograma R. Operacional'!$M$5:$M$1000,$AH259),INDEX('Cronograma R. Normativo'!$M$5:$M$1000,$AH259),INDEX('Cronograma R. Financiero'!$M$5:$M$1000,$AH259),INDEX('Cronograma Asistente Técnico'!$M$5:$M$1000,$AH259))),0),IF(ISNUMBER($G259),1,IF(N($W259)&gt;0,AVERAGEIFS($X$5:$X$1000,$U$5:$U$1000,ROW(),$V$5:$V$1000,"Sub"),$X259))))</f>
        <v/>
      </c>
      <c r="N259" s="56">
        <f>IF($M259="","",IF($M259&gt;=1,"Completado",IF($M259&gt;0,"En curso","Pendiente")))</f>
        <v/>
      </c>
      <c r="O259" s="56">
        <f>IF(NOT((COUNTA($B259:$D259)+COUNTA($G259:$L259)+COUNTA($Q259))&gt;0),"",IF(AND(AND($D259&lt;&gt;"",$V259="Macro"),N($AH259)&gt;0),CHOOSE(MATCH($D259,ListaPuestos,0),INDEX('Cronograma R. Operacional'!$O$5:$O$1000,$AH259),INDEX('Cronograma R. Normativo'!$O$5:$O$1000,$AH259),INDEX('Cronograma R. Financiero'!$O$5:$O$1000,$AH259),INDEX('Cronograma Asistente Técnico'!$O$5:$O$1000,$AH259))&amp;"",IF(ISNUMBER($G259),IF(AND(ISNUMBER($AN259),$G259&gt;$AN259),"Cumplida con "&amp;($G259-$AN259)&amp;IF($G259-$AN259=1," día"," días")&amp;" de retraso","Cumplida"),IF(N($M259)&gt;=1,"Cumplida",IF(NOT(ISNUMBER($AN259)),"Sin fecha límite",IF($AN259&lt;FechaRef,"Vencida hace "&amp;(FechaRef-$AN259)&amp;IF(FechaRef-$AN259=1," día"," días"),IF($AN259=FechaRef,"Vence hoy",IF($AN259-FechaRef&lt;=DiasAlerta,"Vence en "&amp;($AN259-FechaRef)&amp;IF($AN259-FechaRef=1," día"," días"),"En plazo"))))))))</f>
        <v/>
      </c>
      <c r="P259" s="62">
        <f>IF(NOT((COUNTA($B259:$D259)+COUNTA($G259:$L259)+COUNTA($Q259))&gt;0),"",IF($D259="","Propia",IF($V259&lt;&gt;"Macro","Solo se delegan macroactividades",IF(N($AH259)&gt;0,"✔ Recibida por "&amp;$D259,"⚠ "&amp;$D259&amp;" aún no la agrega"))))</f>
        <v/>
      </c>
      <c r="Q259" s="58" t="n"/>
      <c r="R259" s="63">
        <f>IF(NOT((COUNTA($B259:$D259)+COUNTA($G259:$L259)+COUNTA($Q259))&gt;0),"",IF((IF($C259="","Falta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",""))="","✔ OK","⚠ "&amp;LEFT(IF($C259="","Falta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",""),LEN(IF($C259="","Falta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",""))-3)))</f>
        <v/>
      </c>
      <c r="S259" s="64">
        <f>IF(NOT((COUNTA($B259:$D259)+COUNTA($G259:$L259)+COUNTA($Q259))&gt;0),"",IF(AND($V259="Sub",N($U259)&gt;0),IF(ISNUMBER(INDEX($AM$5:$AM$1000,$U259-4)),DATE(YEAR(INDEX($AM$5:$AM$1000,$U259-4)),MONTH(INDEX($AM$5:$AM$1000,$U259-4)),1),IF(ISNUMBER(INDEX($AN$5:$AN$1000,$U259-4)),DATE(YEAR(INDEX($AN$5:$AN$1000,$U259-4)),MONTH(INDEX($AN$5:$AN$1000,$U259-4)),1),MesCiclo)),IF(ISNUMBER($AM259),DATE(YEAR($AM259),MONTH($AM259),1),IF(ISNUMBER($AN259),DATE(YEAR($AN259),MONTH($AN259),1),MesCiclo))))</f>
        <v/>
      </c>
      <c r="T259" s="62">
        <f>IF(OR($S259="",$S259&lt;&gt;MesCiclo),"",COUNTIF($S$5:$S259,MesCiclo))</f>
        <v/>
      </c>
      <c r="U259" s="62">
        <f>IF($V259="","",IF($V259="Macro",ROW(),IFERROR(LOOKUP(2,1/($V$5:$V259="Macro"),ROW($V$5:$V259)),0)))</f>
        <v/>
      </c>
      <c r="V259" s="62">
        <f>IF(NOT((COUNTA($B259:$D259)+COUNTA($G259:$L259)+COUNTA($Q259))&gt;0),"",IF($B259="Subactividad","Sub","Macro"))</f>
        <v/>
      </c>
      <c r="W259" s="62">
        <f>IF($V259="Macro",COUNTIFS($U$5:$U$1000,ROW(),$V$5:$V$1000,"Sub"),"")</f>
        <v/>
      </c>
      <c r="X259" s="62">
        <f>IF($V259="","",IF(ISNUMBER($G259),1,IFERROR(LOOKUP(2,1/($I259:$L259&lt;&gt;""),$I259:$L259),0)))</f>
        <v/>
      </c>
      <c r="Y259" s="62">
        <f>IF($V259="","",IF(AND(ISNUMBER($G259),$G259&lt;=IF($S259=MesCiclo,InicioCiclo,$S259+MOD(2-WEEKDAY($S259),7))+6),1,IF(ISNUMBER($I259),$I259,0)))</f>
        <v/>
      </c>
      <c r="Z259" s="62">
        <f>IF($V259="","",IF(AND(ISNUMBER($G259),$G259&lt;=IF($S259=MesCiclo,InicioCiclo,$S259+MOD(2-WEEKDAY($S259),7))+13),1,IF(ISNUMBER($J259),$J259,$Y259)))</f>
        <v/>
      </c>
      <c r="AA259" s="62">
        <f>IF($V259="","",IF(AND(ISNUMBER($G259),$G259&lt;=IF($S259=MesCiclo,InicioCiclo,$S259+MOD(2-WEEKDAY($S259),7))+20),1,IF(ISNUMBER($K259),$K259,$Z259)))</f>
        <v/>
      </c>
      <c r="AB259" s="62">
        <f>IF($V259="","",IF(AND(ISNUMBER($G259),$G259&lt;=IF($S259=MesCiclo,InicioCiclo,$S259+MOD(2-WEEKDAY($S259),7))+27),1,IF(ISNUMBER($L259),$L259,$AA259)))</f>
        <v/>
      </c>
      <c r="AC259" s="62">
        <f>IF($V259="","",IF(AND(ISNUMBER($G259),$G259&lt;=IF($S259=MesCiclo,InicioCiclo,$S259+MOD(2-WEEKDAY($S259),7))+6),1,IF(N($W259)&gt;0,AVERAGEIFS($Y$5:$Y$1000,$U$5:$U$1000,ROW(),$V$5:$V$1000,"Sub"),$Y259)))</f>
        <v/>
      </c>
      <c r="AD259" s="62">
        <f>IF($V259="","",IF(AND(ISNUMBER($G259),$G259&lt;=IF($S259=MesCiclo,InicioCiclo,$S259+MOD(2-WEEKDAY($S259),7))+13),1,IF(N($W259)&gt;0,AVERAGEIFS($Z$5:$Z$1000,$U$5:$U$1000,ROW(),$V$5:$V$1000,"Sub"),$Z259)))</f>
        <v/>
      </c>
      <c r="AE259" s="62">
        <f>IF($V259="","",IF(AND(ISNUMBER($G259),$G259&lt;=IF($S259=MesCiclo,InicioCiclo,$S259+MOD(2-WEEKDAY($S259),7))+20),1,IF(N($W259)&gt;0,AVERAGEIFS($AA$5:$AA$1000,$U$5:$U$1000,ROW(),$V$5:$V$1000,"Sub"),$AA259)))</f>
        <v/>
      </c>
      <c r="AF259" s="62">
        <f>IF($V259="","",IF(AND(ISNUMBER($G259),$G259&lt;=IF($S259=MesCiclo,InicioCiclo,$S259+MOD(2-WEEKDAY($S259),7))+27),1,IF(N($W259)&gt;0,AVERAGEIFS($AB$5:$AB$1000,$U$5:$U$1000,ROW(),$V$5:$V$1000,"Sub"),$AB259)))</f>
        <v/>
      </c>
      <c r="AG259" s="62">
        <f>IF($V259&lt;&gt;"Macro","",IF(COUNTIFS($S$5:$S$1000,$S259,$V$5:$V$1000,"Macro",$H$5:$H$1000,"&gt;0")=0,1/COUNTIFS($S$5:$S$1000,$S259,$V$5:$V$1000,"Macro"),IF(AND(ISNUMBER($H259),N($H259)&gt;0),$H259,SUMIFS($H$5:$H$1000,$S$5:$S$1000,$S259,$V$5:$V$1000,"Macro")/COUNTIFS($S$5:$S$1000,$S259,$V$5:$V$1000,"Macro",$H$5:$H$1000,"&gt;0"))/(COUNTIFS($S$5:$S$1000,$S259,$V$5:$V$1000,"Macro")*SUMIFS($H$5:$H$1000,$S$5:$S$1000,$S259,$V$5:$V$1000,"Macro")/COUNTIFS($S$5:$S$1000,$S259,$V$5:$V$1000,"Macro",$H$5:$H$1000,"&gt;0"))))</f>
        <v/>
      </c>
      <c r="AH259" s="62">
        <f>IF(NOT(AND($D259&lt;&gt;"",$V259="Macro")),"",IFERROR(CHOOSE(MATCH($D259,ListaPuestos,0),MATCH("[Jefatura] "&amp;$C259,'Cronograma R. Operacional'!$C$5:$C$1000,0),MATCH("[Jefatura] "&amp;$C259,'Cronograma R. Normativo'!$C$5:$C$1000,0),MATCH("[Jefatura] "&amp;$C259,'Cronograma R. Financiero'!$C$5:$C$1000,0),MATCH("[Jefatura] "&amp;$C259,'Cronograma Asistente Técnico'!$C$5:$C$1000,0)),0))</f>
        <v/>
      </c>
      <c r="AI259" s="62">
        <f>IF(AND(AND($D259&lt;&gt;"",$V259="Macro"),$S259=MesCiclo),COUNTIFS($D$5:$D259,$D259,$S$5:$S259,MesCiclo,$V$5:$V259,"Macro"),"")</f>
        <v/>
      </c>
      <c r="AJ259" s="62">
        <f>IF($AI259="","",$D259&amp;"|"&amp;$AI259)</f>
        <v/>
      </c>
      <c r="AK259" s="62">
        <f>IF(AND($D259&lt;&gt;"",$V259="Macro"),$D259&amp;"|"&amp;$C259,"")</f>
        <v/>
      </c>
      <c r="AL259" s="62">
        <f>""</f>
        <v/>
      </c>
      <c r="AM259" s="62">
        <f>IF(N($AL259)&gt;0,INDEX(rIni_ADM,$AL259),IF(ISNUMBER($E259),$E259,""))</f>
        <v/>
      </c>
      <c r="AN259" s="62">
        <f>IF(N($AL259)&gt;0,INDEX(rLim_ADM,$AL259),IF(ISNUMBER($F259),$F259,""))</f>
        <v/>
      </c>
    </row>
    <row r="260">
      <c r="A260" s="56">
        <f>IF(NOT((COUNTA($B260:$D260)+COUNTA($G260:$L260)+COUNTA($Q260))&gt;0),"",IF($V260="Macro",COUNTIFS($V$5:$V260,"Macro",$S$5:$S260,$S260),IF(N($U260)=0,"?",COUNTIFS(INDEX($V$5:$V$1000,1):INDEX($V$5:$V$1000,$U260-4),"Macro",INDEX($S$5:$S$1000,1):INDEX($S$5:$S$1000,$U260-4),INDEX($S$5:$S$1000,$U260-4))&amp;"."&amp;COUNTIFS($U$5:$U260,$U260,$V$5:$V260,"Sub"))))</f>
        <v/>
      </c>
      <c r="B260" s="57" t="n"/>
      <c r="C260" s="58" t="n"/>
      <c r="D260" s="58" t="n"/>
      <c r="E260" s="59" t="n"/>
      <c r="F260" s="59" t="n"/>
      <c r="G260" s="59" t="n"/>
      <c r="H260" s="60" t="n"/>
      <c r="I260" s="60" t="n"/>
      <c r="J260" s="60" t="n"/>
      <c r="K260" s="60" t="n"/>
      <c r="L260" s="60" t="n"/>
      <c r="M260" s="61">
        <f>IF(NOT((COUNTA($B260:$D260)+COUNTA($G260:$L260)+COUNTA($Q260))&gt;0),"",IF(AND($D260&lt;&gt;"",$V260="Macro"),IF(N($AH260)&gt;0,N(CHOOSE(MATCH($D260,ListaPuestos,0),INDEX('Cronograma R. Operacional'!$M$5:$M$1000,$AH260),INDEX('Cronograma R. Normativo'!$M$5:$M$1000,$AH260),INDEX('Cronograma R. Financiero'!$M$5:$M$1000,$AH260),INDEX('Cronograma Asistente Técnico'!$M$5:$M$1000,$AH260))),0),IF(ISNUMBER($G260),1,IF(N($W260)&gt;0,AVERAGEIFS($X$5:$X$1000,$U$5:$U$1000,ROW(),$V$5:$V$1000,"Sub"),$X260))))</f>
        <v/>
      </c>
      <c r="N260" s="56">
        <f>IF($M260="","",IF($M260&gt;=1,"Completado",IF($M260&gt;0,"En curso","Pendiente")))</f>
        <v/>
      </c>
      <c r="O260" s="56">
        <f>IF(NOT((COUNTA($B260:$D260)+COUNTA($G260:$L260)+COUNTA($Q260))&gt;0),"",IF(AND(AND($D260&lt;&gt;"",$V260="Macro"),N($AH260)&gt;0),CHOOSE(MATCH($D260,ListaPuestos,0),INDEX('Cronograma R. Operacional'!$O$5:$O$1000,$AH260),INDEX('Cronograma R. Normativo'!$O$5:$O$1000,$AH260),INDEX('Cronograma R. Financiero'!$O$5:$O$1000,$AH260),INDEX('Cronograma Asistente Técnico'!$O$5:$O$1000,$AH260))&amp;"",IF(ISNUMBER($G260),IF(AND(ISNUMBER($AN260),$G260&gt;$AN260),"Cumplida con "&amp;($G260-$AN260)&amp;IF($G260-$AN260=1," día"," días")&amp;" de retraso","Cumplida"),IF(N($M260)&gt;=1,"Cumplida",IF(NOT(ISNUMBER($AN260)),"Sin fecha límite",IF($AN260&lt;FechaRef,"Vencida hace "&amp;(FechaRef-$AN260)&amp;IF(FechaRef-$AN260=1," día"," días"),IF($AN260=FechaRef,"Vence hoy",IF($AN260-FechaRef&lt;=DiasAlerta,"Vence en "&amp;($AN260-FechaRef)&amp;IF($AN260-FechaRef=1," día"," días"),"En plazo"))))))))</f>
        <v/>
      </c>
      <c r="P260" s="62">
        <f>IF(NOT((COUNTA($B260:$D260)+COUNTA($G260:$L260)+COUNTA($Q260))&gt;0),"",IF($D260="","Propia",IF($V260&lt;&gt;"Macro","Solo se delegan macroactividades",IF(N($AH260)&gt;0,"✔ Recibida por "&amp;$D260,"⚠ "&amp;$D260&amp;" aún no la agrega"))))</f>
        <v/>
      </c>
      <c r="Q260" s="58" t="n"/>
      <c r="R260" s="63">
        <f>IF(NOT((COUNTA($B260:$D260)+COUNTA($G260:$L260)+COUNTA($Q260))&gt;0),"",IF((IF($C260="","Falta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",""))="","✔ OK","⚠ "&amp;LEFT(IF($C260="","Falta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",""),LEN(IF($C260="","Falta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",""))-3)))</f>
        <v/>
      </c>
      <c r="S260" s="64">
        <f>IF(NOT((COUNTA($B260:$D260)+COUNTA($G260:$L260)+COUNTA($Q260))&gt;0),"",IF(AND($V260="Sub",N($U260)&gt;0),IF(ISNUMBER(INDEX($AM$5:$AM$1000,$U260-4)),DATE(YEAR(INDEX($AM$5:$AM$1000,$U260-4)),MONTH(INDEX($AM$5:$AM$1000,$U260-4)),1),IF(ISNUMBER(INDEX($AN$5:$AN$1000,$U260-4)),DATE(YEAR(INDEX($AN$5:$AN$1000,$U260-4)),MONTH(INDEX($AN$5:$AN$1000,$U260-4)),1),MesCiclo)),IF(ISNUMBER($AM260),DATE(YEAR($AM260),MONTH($AM260),1),IF(ISNUMBER($AN260),DATE(YEAR($AN260),MONTH($AN260),1),MesCiclo))))</f>
        <v/>
      </c>
      <c r="T260" s="62">
        <f>IF(OR($S260="",$S260&lt;&gt;MesCiclo),"",COUNTIF($S$5:$S260,MesCiclo))</f>
        <v/>
      </c>
      <c r="U260" s="62">
        <f>IF($V260="","",IF($V260="Macro",ROW(),IFERROR(LOOKUP(2,1/($V$5:$V260="Macro"),ROW($V$5:$V260)),0)))</f>
        <v/>
      </c>
      <c r="V260" s="62">
        <f>IF(NOT((COUNTA($B260:$D260)+COUNTA($G260:$L260)+COUNTA($Q260))&gt;0),"",IF($B260="Subactividad","Sub","Macro"))</f>
        <v/>
      </c>
      <c r="W260" s="62">
        <f>IF($V260="Macro",COUNTIFS($U$5:$U$1000,ROW(),$V$5:$V$1000,"Sub"),"")</f>
        <v/>
      </c>
      <c r="X260" s="62">
        <f>IF($V260="","",IF(ISNUMBER($G260),1,IFERROR(LOOKUP(2,1/($I260:$L260&lt;&gt;""),$I260:$L260),0)))</f>
        <v/>
      </c>
      <c r="Y260" s="62">
        <f>IF($V260="","",IF(AND(ISNUMBER($G260),$G260&lt;=IF($S260=MesCiclo,InicioCiclo,$S260+MOD(2-WEEKDAY($S260),7))+6),1,IF(ISNUMBER($I260),$I260,0)))</f>
        <v/>
      </c>
      <c r="Z260" s="62">
        <f>IF($V260="","",IF(AND(ISNUMBER($G260),$G260&lt;=IF($S260=MesCiclo,InicioCiclo,$S260+MOD(2-WEEKDAY($S260),7))+13),1,IF(ISNUMBER($J260),$J260,$Y260)))</f>
        <v/>
      </c>
      <c r="AA260" s="62">
        <f>IF($V260="","",IF(AND(ISNUMBER($G260),$G260&lt;=IF($S260=MesCiclo,InicioCiclo,$S260+MOD(2-WEEKDAY($S260),7))+20),1,IF(ISNUMBER($K260),$K260,$Z260)))</f>
        <v/>
      </c>
      <c r="AB260" s="62">
        <f>IF($V260="","",IF(AND(ISNUMBER($G260),$G260&lt;=IF($S260=MesCiclo,InicioCiclo,$S260+MOD(2-WEEKDAY($S260),7))+27),1,IF(ISNUMBER($L260),$L260,$AA260)))</f>
        <v/>
      </c>
      <c r="AC260" s="62">
        <f>IF($V260="","",IF(AND(ISNUMBER($G260),$G260&lt;=IF($S260=MesCiclo,InicioCiclo,$S260+MOD(2-WEEKDAY($S260),7))+6),1,IF(N($W260)&gt;0,AVERAGEIFS($Y$5:$Y$1000,$U$5:$U$1000,ROW(),$V$5:$V$1000,"Sub"),$Y260)))</f>
        <v/>
      </c>
      <c r="AD260" s="62">
        <f>IF($V260="","",IF(AND(ISNUMBER($G260),$G260&lt;=IF($S260=MesCiclo,InicioCiclo,$S260+MOD(2-WEEKDAY($S260),7))+13),1,IF(N($W260)&gt;0,AVERAGEIFS($Z$5:$Z$1000,$U$5:$U$1000,ROW(),$V$5:$V$1000,"Sub"),$Z260)))</f>
        <v/>
      </c>
      <c r="AE260" s="62">
        <f>IF($V260="","",IF(AND(ISNUMBER($G260),$G260&lt;=IF($S260=MesCiclo,InicioCiclo,$S260+MOD(2-WEEKDAY($S260),7))+20),1,IF(N($W260)&gt;0,AVERAGEIFS($AA$5:$AA$1000,$U$5:$U$1000,ROW(),$V$5:$V$1000,"Sub"),$AA260)))</f>
        <v/>
      </c>
      <c r="AF260" s="62">
        <f>IF($V260="","",IF(AND(ISNUMBER($G260),$G260&lt;=IF($S260=MesCiclo,InicioCiclo,$S260+MOD(2-WEEKDAY($S260),7))+27),1,IF(N($W260)&gt;0,AVERAGEIFS($AB$5:$AB$1000,$U$5:$U$1000,ROW(),$V$5:$V$1000,"Sub"),$AB260)))</f>
        <v/>
      </c>
      <c r="AG260" s="62">
        <f>IF($V260&lt;&gt;"Macro","",IF(COUNTIFS($S$5:$S$1000,$S260,$V$5:$V$1000,"Macro",$H$5:$H$1000,"&gt;0")=0,1/COUNTIFS($S$5:$S$1000,$S260,$V$5:$V$1000,"Macro"),IF(AND(ISNUMBER($H260),N($H260)&gt;0),$H260,SUMIFS($H$5:$H$1000,$S$5:$S$1000,$S260,$V$5:$V$1000,"Macro")/COUNTIFS($S$5:$S$1000,$S260,$V$5:$V$1000,"Macro",$H$5:$H$1000,"&gt;0"))/(COUNTIFS($S$5:$S$1000,$S260,$V$5:$V$1000,"Macro")*SUMIFS($H$5:$H$1000,$S$5:$S$1000,$S260,$V$5:$V$1000,"Macro")/COUNTIFS($S$5:$S$1000,$S260,$V$5:$V$1000,"Macro",$H$5:$H$1000,"&gt;0"))))</f>
        <v/>
      </c>
      <c r="AH260" s="62">
        <f>IF(NOT(AND($D260&lt;&gt;"",$V260="Macro")),"",IFERROR(CHOOSE(MATCH($D260,ListaPuestos,0),MATCH("[Jefatura] "&amp;$C260,'Cronograma R. Operacional'!$C$5:$C$1000,0),MATCH("[Jefatura] "&amp;$C260,'Cronograma R. Normativo'!$C$5:$C$1000,0),MATCH("[Jefatura] "&amp;$C260,'Cronograma R. Financiero'!$C$5:$C$1000,0),MATCH("[Jefatura] "&amp;$C260,'Cronograma Asistente Técnico'!$C$5:$C$1000,0)),0))</f>
        <v/>
      </c>
      <c r="AI260" s="62">
        <f>IF(AND(AND($D260&lt;&gt;"",$V260="Macro"),$S260=MesCiclo),COUNTIFS($D$5:$D260,$D260,$S$5:$S260,MesCiclo,$V$5:$V260,"Macro"),"")</f>
        <v/>
      </c>
      <c r="AJ260" s="62">
        <f>IF($AI260="","",$D260&amp;"|"&amp;$AI260)</f>
        <v/>
      </c>
      <c r="AK260" s="62">
        <f>IF(AND($D260&lt;&gt;"",$V260="Macro"),$D260&amp;"|"&amp;$C260,"")</f>
        <v/>
      </c>
      <c r="AL260" s="62">
        <f>""</f>
        <v/>
      </c>
      <c r="AM260" s="62">
        <f>IF(N($AL260)&gt;0,INDEX(rIni_ADM,$AL260),IF(ISNUMBER($E260),$E260,""))</f>
        <v/>
      </c>
      <c r="AN260" s="62">
        <f>IF(N($AL260)&gt;0,INDEX(rLim_ADM,$AL260),IF(ISNUMBER($F260),$F260,""))</f>
        <v/>
      </c>
    </row>
    <row r="261">
      <c r="A261" s="56">
        <f>IF(NOT((COUNTA($B261:$D261)+COUNTA($G261:$L261)+COUNTA($Q261))&gt;0),"",IF($V261="Macro",COUNTIFS($V$5:$V261,"Macro",$S$5:$S261,$S261),IF(N($U261)=0,"?",COUNTIFS(INDEX($V$5:$V$1000,1):INDEX($V$5:$V$1000,$U261-4),"Macro",INDEX($S$5:$S$1000,1):INDEX($S$5:$S$1000,$U261-4),INDEX($S$5:$S$1000,$U261-4))&amp;"."&amp;COUNTIFS($U$5:$U261,$U261,$V$5:$V261,"Sub"))))</f>
        <v/>
      </c>
      <c r="B261" s="57" t="n"/>
      <c r="C261" s="58" t="n"/>
      <c r="D261" s="58" t="n"/>
      <c r="E261" s="59" t="n"/>
      <c r="F261" s="59" t="n"/>
      <c r="G261" s="59" t="n"/>
      <c r="H261" s="60" t="n"/>
      <c r="I261" s="60" t="n"/>
      <c r="J261" s="60" t="n"/>
      <c r="K261" s="60" t="n"/>
      <c r="L261" s="60" t="n"/>
      <c r="M261" s="61">
        <f>IF(NOT((COUNTA($B261:$D261)+COUNTA($G261:$L261)+COUNTA($Q261))&gt;0),"",IF(AND($D261&lt;&gt;"",$V261="Macro"),IF(N($AH261)&gt;0,N(CHOOSE(MATCH($D261,ListaPuestos,0),INDEX('Cronograma R. Operacional'!$M$5:$M$1000,$AH261),INDEX('Cronograma R. Normativo'!$M$5:$M$1000,$AH261),INDEX('Cronograma R. Financiero'!$M$5:$M$1000,$AH261),INDEX('Cronograma Asistente Técnico'!$M$5:$M$1000,$AH261))),0),IF(ISNUMBER($G261),1,IF(N($W261)&gt;0,AVERAGEIFS($X$5:$X$1000,$U$5:$U$1000,ROW(),$V$5:$V$1000,"Sub"),$X261))))</f>
        <v/>
      </c>
      <c r="N261" s="56">
        <f>IF($M261="","",IF($M261&gt;=1,"Completado",IF($M261&gt;0,"En curso","Pendiente")))</f>
        <v/>
      </c>
      <c r="O261" s="56">
        <f>IF(NOT((COUNTA($B261:$D261)+COUNTA($G261:$L261)+COUNTA($Q261))&gt;0),"",IF(AND(AND($D261&lt;&gt;"",$V261="Macro"),N($AH261)&gt;0),CHOOSE(MATCH($D261,ListaPuestos,0),INDEX('Cronograma R. Operacional'!$O$5:$O$1000,$AH261),INDEX('Cronograma R. Normativo'!$O$5:$O$1000,$AH261),INDEX('Cronograma R. Financiero'!$O$5:$O$1000,$AH261),INDEX('Cronograma Asistente Técnico'!$O$5:$O$1000,$AH261))&amp;"",IF(ISNUMBER($G261),IF(AND(ISNUMBER($AN261),$G261&gt;$AN261),"Cumplida con "&amp;($G261-$AN261)&amp;IF($G261-$AN261=1," día"," días")&amp;" de retraso","Cumplida"),IF(N($M261)&gt;=1,"Cumplida",IF(NOT(ISNUMBER($AN261)),"Sin fecha límite",IF($AN261&lt;FechaRef,"Vencida hace "&amp;(FechaRef-$AN261)&amp;IF(FechaRef-$AN261=1," día"," días"),IF($AN261=FechaRef,"Vence hoy",IF($AN261-FechaRef&lt;=DiasAlerta,"Vence en "&amp;($AN261-FechaRef)&amp;IF($AN261-FechaRef=1," día"," días"),"En plazo"))))))))</f>
        <v/>
      </c>
      <c r="P261" s="62">
        <f>IF(NOT((COUNTA($B261:$D261)+COUNTA($G261:$L261)+COUNTA($Q261))&gt;0),"",IF($D261="","Propia",IF($V261&lt;&gt;"Macro","Solo se delegan macroactividades",IF(N($AH261)&gt;0,"✔ Recibida por "&amp;$D261,"⚠ "&amp;$D261&amp;" aún no la agrega"))))</f>
        <v/>
      </c>
      <c r="Q261" s="58" t="n"/>
      <c r="R261" s="63">
        <f>IF(NOT((COUNTA($B261:$D261)+COUNTA($G261:$L261)+COUNTA($Q261))&gt;0),"",IF((IF($C261="","Falta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",""))="","✔ OK","⚠ "&amp;LEFT(IF($C261="","Falta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",""),LEN(IF($C261="","Falta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",""))-3)))</f>
        <v/>
      </c>
      <c r="S261" s="64">
        <f>IF(NOT((COUNTA($B261:$D261)+COUNTA($G261:$L261)+COUNTA($Q261))&gt;0),"",IF(AND($V261="Sub",N($U261)&gt;0),IF(ISNUMBER(INDEX($AM$5:$AM$1000,$U261-4)),DATE(YEAR(INDEX($AM$5:$AM$1000,$U261-4)),MONTH(INDEX($AM$5:$AM$1000,$U261-4)),1),IF(ISNUMBER(INDEX($AN$5:$AN$1000,$U261-4)),DATE(YEAR(INDEX($AN$5:$AN$1000,$U261-4)),MONTH(INDEX($AN$5:$AN$1000,$U261-4)),1),MesCiclo)),IF(ISNUMBER($AM261),DATE(YEAR($AM261),MONTH($AM261),1),IF(ISNUMBER($AN261),DATE(YEAR($AN261),MONTH($AN261),1),MesCiclo))))</f>
        <v/>
      </c>
      <c r="T261" s="62">
        <f>IF(OR($S261="",$S261&lt;&gt;MesCiclo),"",COUNTIF($S$5:$S261,MesCiclo))</f>
        <v/>
      </c>
      <c r="U261" s="62">
        <f>IF($V261="","",IF($V261="Macro",ROW(),IFERROR(LOOKUP(2,1/($V$5:$V261="Macro"),ROW($V$5:$V261)),0)))</f>
        <v/>
      </c>
      <c r="V261" s="62">
        <f>IF(NOT((COUNTA($B261:$D261)+COUNTA($G261:$L261)+COUNTA($Q261))&gt;0),"",IF($B261="Subactividad","Sub","Macro"))</f>
        <v/>
      </c>
      <c r="W261" s="62">
        <f>IF($V261="Macro",COUNTIFS($U$5:$U$1000,ROW(),$V$5:$V$1000,"Sub"),"")</f>
        <v/>
      </c>
      <c r="X261" s="62">
        <f>IF($V261="","",IF(ISNUMBER($G261),1,IFERROR(LOOKUP(2,1/($I261:$L261&lt;&gt;""),$I261:$L261),0)))</f>
        <v/>
      </c>
      <c r="Y261" s="62">
        <f>IF($V261="","",IF(AND(ISNUMBER($G261),$G261&lt;=IF($S261=MesCiclo,InicioCiclo,$S261+MOD(2-WEEKDAY($S261),7))+6),1,IF(ISNUMBER($I261),$I261,0)))</f>
        <v/>
      </c>
      <c r="Z261" s="62">
        <f>IF($V261="","",IF(AND(ISNUMBER($G261),$G261&lt;=IF($S261=MesCiclo,InicioCiclo,$S261+MOD(2-WEEKDAY($S261),7))+13),1,IF(ISNUMBER($J261),$J261,$Y261)))</f>
        <v/>
      </c>
      <c r="AA261" s="62">
        <f>IF($V261="","",IF(AND(ISNUMBER($G261),$G261&lt;=IF($S261=MesCiclo,InicioCiclo,$S261+MOD(2-WEEKDAY($S261),7))+20),1,IF(ISNUMBER($K261),$K261,$Z261)))</f>
        <v/>
      </c>
      <c r="AB261" s="62">
        <f>IF($V261="","",IF(AND(ISNUMBER($G261),$G261&lt;=IF($S261=MesCiclo,InicioCiclo,$S261+MOD(2-WEEKDAY($S261),7))+27),1,IF(ISNUMBER($L261),$L261,$AA261)))</f>
        <v/>
      </c>
      <c r="AC261" s="62">
        <f>IF($V261="","",IF(AND(ISNUMBER($G261),$G261&lt;=IF($S261=MesCiclo,InicioCiclo,$S261+MOD(2-WEEKDAY($S261),7))+6),1,IF(N($W261)&gt;0,AVERAGEIFS($Y$5:$Y$1000,$U$5:$U$1000,ROW(),$V$5:$V$1000,"Sub"),$Y261)))</f>
        <v/>
      </c>
      <c r="AD261" s="62">
        <f>IF($V261="","",IF(AND(ISNUMBER($G261),$G261&lt;=IF($S261=MesCiclo,InicioCiclo,$S261+MOD(2-WEEKDAY($S261),7))+13),1,IF(N($W261)&gt;0,AVERAGEIFS($Z$5:$Z$1000,$U$5:$U$1000,ROW(),$V$5:$V$1000,"Sub"),$Z261)))</f>
        <v/>
      </c>
      <c r="AE261" s="62">
        <f>IF($V261="","",IF(AND(ISNUMBER($G261),$G261&lt;=IF($S261=MesCiclo,InicioCiclo,$S261+MOD(2-WEEKDAY($S261),7))+20),1,IF(N($W261)&gt;0,AVERAGEIFS($AA$5:$AA$1000,$U$5:$U$1000,ROW(),$V$5:$V$1000,"Sub"),$AA261)))</f>
        <v/>
      </c>
      <c r="AF261" s="62">
        <f>IF($V261="","",IF(AND(ISNUMBER($G261),$G261&lt;=IF($S261=MesCiclo,InicioCiclo,$S261+MOD(2-WEEKDAY($S261),7))+27),1,IF(N($W261)&gt;0,AVERAGEIFS($AB$5:$AB$1000,$U$5:$U$1000,ROW(),$V$5:$V$1000,"Sub"),$AB261)))</f>
        <v/>
      </c>
      <c r="AG261" s="62">
        <f>IF($V261&lt;&gt;"Macro","",IF(COUNTIFS($S$5:$S$1000,$S261,$V$5:$V$1000,"Macro",$H$5:$H$1000,"&gt;0")=0,1/COUNTIFS($S$5:$S$1000,$S261,$V$5:$V$1000,"Macro"),IF(AND(ISNUMBER($H261),N($H261)&gt;0),$H261,SUMIFS($H$5:$H$1000,$S$5:$S$1000,$S261,$V$5:$V$1000,"Macro")/COUNTIFS($S$5:$S$1000,$S261,$V$5:$V$1000,"Macro",$H$5:$H$1000,"&gt;0"))/(COUNTIFS($S$5:$S$1000,$S261,$V$5:$V$1000,"Macro")*SUMIFS($H$5:$H$1000,$S$5:$S$1000,$S261,$V$5:$V$1000,"Macro")/COUNTIFS($S$5:$S$1000,$S261,$V$5:$V$1000,"Macro",$H$5:$H$1000,"&gt;0"))))</f>
        <v/>
      </c>
      <c r="AH261" s="62">
        <f>IF(NOT(AND($D261&lt;&gt;"",$V261="Macro")),"",IFERROR(CHOOSE(MATCH($D261,ListaPuestos,0),MATCH("[Jefatura] "&amp;$C261,'Cronograma R. Operacional'!$C$5:$C$1000,0),MATCH("[Jefatura] "&amp;$C261,'Cronograma R. Normativo'!$C$5:$C$1000,0),MATCH("[Jefatura] "&amp;$C261,'Cronograma R. Financiero'!$C$5:$C$1000,0),MATCH("[Jefatura] "&amp;$C261,'Cronograma Asistente Técnico'!$C$5:$C$1000,0)),0))</f>
        <v/>
      </c>
      <c r="AI261" s="62">
        <f>IF(AND(AND($D261&lt;&gt;"",$V261="Macro"),$S261=MesCiclo),COUNTIFS($D$5:$D261,$D261,$S$5:$S261,MesCiclo,$V$5:$V261,"Macro"),"")</f>
        <v/>
      </c>
      <c r="AJ261" s="62">
        <f>IF($AI261="","",$D261&amp;"|"&amp;$AI261)</f>
        <v/>
      </c>
      <c r="AK261" s="62">
        <f>IF(AND($D261&lt;&gt;"",$V261="Macro"),$D261&amp;"|"&amp;$C261,"")</f>
        <v/>
      </c>
      <c r="AL261" s="62">
        <f>""</f>
        <v/>
      </c>
      <c r="AM261" s="62">
        <f>IF(N($AL261)&gt;0,INDEX(rIni_ADM,$AL261),IF(ISNUMBER($E261),$E261,""))</f>
        <v/>
      </c>
      <c r="AN261" s="62">
        <f>IF(N($AL261)&gt;0,INDEX(rLim_ADM,$AL261),IF(ISNUMBER($F261),$F261,""))</f>
        <v/>
      </c>
    </row>
    <row r="262">
      <c r="A262" s="56">
        <f>IF(NOT((COUNTA($B262:$D262)+COUNTA($G262:$L262)+COUNTA($Q262))&gt;0),"",IF($V262="Macro",COUNTIFS($V$5:$V262,"Macro",$S$5:$S262,$S262),IF(N($U262)=0,"?",COUNTIFS(INDEX($V$5:$V$1000,1):INDEX($V$5:$V$1000,$U262-4),"Macro",INDEX($S$5:$S$1000,1):INDEX($S$5:$S$1000,$U262-4),INDEX($S$5:$S$1000,$U262-4))&amp;"."&amp;COUNTIFS($U$5:$U262,$U262,$V$5:$V262,"Sub"))))</f>
        <v/>
      </c>
      <c r="B262" s="57" t="n"/>
      <c r="C262" s="58" t="n"/>
      <c r="D262" s="58" t="n"/>
      <c r="E262" s="59" t="n"/>
      <c r="F262" s="59" t="n"/>
      <c r="G262" s="59" t="n"/>
      <c r="H262" s="60" t="n"/>
      <c r="I262" s="60" t="n"/>
      <c r="J262" s="60" t="n"/>
      <c r="K262" s="60" t="n"/>
      <c r="L262" s="60" t="n"/>
      <c r="M262" s="61">
        <f>IF(NOT((COUNTA($B262:$D262)+COUNTA($G262:$L262)+COUNTA($Q262))&gt;0),"",IF(AND($D262&lt;&gt;"",$V262="Macro"),IF(N($AH262)&gt;0,N(CHOOSE(MATCH($D262,ListaPuestos,0),INDEX('Cronograma R. Operacional'!$M$5:$M$1000,$AH262),INDEX('Cronograma R. Normativo'!$M$5:$M$1000,$AH262),INDEX('Cronograma R. Financiero'!$M$5:$M$1000,$AH262),INDEX('Cronograma Asistente Técnico'!$M$5:$M$1000,$AH262))),0),IF(ISNUMBER($G262),1,IF(N($W262)&gt;0,AVERAGEIFS($X$5:$X$1000,$U$5:$U$1000,ROW(),$V$5:$V$1000,"Sub"),$X262))))</f>
        <v/>
      </c>
      <c r="N262" s="56">
        <f>IF($M262="","",IF($M262&gt;=1,"Completado",IF($M262&gt;0,"En curso","Pendiente")))</f>
        <v/>
      </c>
      <c r="O262" s="56">
        <f>IF(NOT((COUNTA($B262:$D262)+COUNTA($G262:$L262)+COUNTA($Q262))&gt;0),"",IF(AND(AND($D262&lt;&gt;"",$V262="Macro"),N($AH262)&gt;0),CHOOSE(MATCH($D262,ListaPuestos,0),INDEX('Cronograma R. Operacional'!$O$5:$O$1000,$AH262),INDEX('Cronograma R. Normativo'!$O$5:$O$1000,$AH262),INDEX('Cronograma R. Financiero'!$O$5:$O$1000,$AH262),INDEX('Cronograma Asistente Técnico'!$O$5:$O$1000,$AH262))&amp;"",IF(ISNUMBER($G262),IF(AND(ISNUMBER($AN262),$G262&gt;$AN262),"Cumplida con "&amp;($G262-$AN262)&amp;IF($G262-$AN262=1," día"," días")&amp;" de retraso","Cumplida"),IF(N($M262)&gt;=1,"Cumplida",IF(NOT(ISNUMBER($AN262)),"Sin fecha límite",IF($AN262&lt;FechaRef,"Vencida hace "&amp;(FechaRef-$AN262)&amp;IF(FechaRef-$AN262=1," día"," días"),IF($AN262=FechaRef,"Vence hoy",IF($AN262-FechaRef&lt;=DiasAlerta,"Vence en "&amp;($AN262-FechaRef)&amp;IF($AN262-FechaRef=1," día"," días"),"En plazo"))))))))</f>
        <v/>
      </c>
      <c r="P262" s="62">
        <f>IF(NOT((COUNTA($B262:$D262)+COUNTA($G262:$L262)+COUNTA($Q262))&gt;0),"",IF($D262="","Propia",IF($V262&lt;&gt;"Macro","Solo se delegan macroactividades",IF(N($AH262)&gt;0,"✔ Recibida por "&amp;$D262,"⚠ "&amp;$D262&amp;" aún no la agrega"))))</f>
        <v/>
      </c>
      <c r="Q262" s="58" t="n"/>
      <c r="R262" s="63">
        <f>IF(NOT((COUNTA($B262:$D262)+COUNTA($G262:$L262)+COUNTA($Q262))&gt;0),"",IF((IF($C262="","Falta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",""))="","✔ OK","⚠ "&amp;LEFT(IF($C262="","Falta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",""),LEN(IF($C262="","Falta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",""))-3)))</f>
        <v/>
      </c>
      <c r="S262" s="64">
        <f>IF(NOT((COUNTA($B262:$D262)+COUNTA($G262:$L262)+COUNTA($Q262))&gt;0),"",IF(AND($V262="Sub",N($U262)&gt;0),IF(ISNUMBER(INDEX($AM$5:$AM$1000,$U262-4)),DATE(YEAR(INDEX($AM$5:$AM$1000,$U262-4)),MONTH(INDEX($AM$5:$AM$1000,$U262-4)),1),IF(ISNUMBER(INDEX($AN$5:$AN$1000,$U262-4)),DATE(YEAR(INDEX($AN$5:$AN$1000,$U262-4)),MONTH(INDEX($AN$5:$AN$1000,$U262-4)),1),MesCiclo)),IF(ISNUMBER($AM262),DATE(YEAR($AM262),MONTH($AM262),1),IF(ISNUMBER($AN262),DATE(YEAR($AN262),MONTH($AN262),1),MesCiclo))))</f>
        <v/>
      </c>
      <c r="T262" s="62">
        <f>IF(OR($S262="",$S262&lt;&gt;MesCiclo),"",COUNTIF($S$5:$S262,MesCiclo))</f>
        <v/>
      </c>
      <c r="U262" s="62">
        <f>IF($V262="","",IF($V262="Macro",ROW(),IFERROR(LOOKUP(2,1/($V$5:$V262="Macro"),ROW($V$5:$V262)),0)))</f>
        <v/>
      </c>
      <c r="V262" s="62">
        <f>IF(NOT((COUNTA($B262:$D262)+COUNTA($G262:$L262)+COUNTA($Q262))&gt;0),"",IF($B262="Subactividad","Sub","Macro"))</f>
        <v/>
      </c>
      <c r="W262" s="62">
        <f>IF($V262="Macro",COUNTIFS($U$5:$U$1000,ROW(),$V$5:$V$1000,"Sub"),"")</f>
        <v/>
      </c>
      <c r="X262" s="62">
        <f>IF($V262="","",IF(ISNUMBER($G262),1,IFERROR(LOOKUP(2,1/($I262:$L262&lt;&gt;""),$I262:$L262),0)))</f>
        <v/>
      </c>
      <c r="Y262" s="62">
        <f>IF($V262="","",IF(AND(ISNUMBER($G262),$G262&lt;=IF($S262=MesCiclo,InicioCiclo,$S262+MOD(2-WEEKDAY($S262),7))+6),1,IF(ISNUMBER($I262),$I262,0)))</f>
        <v/>
      </c>
      <c r="Z262" s="62">
        <f>IF($V262="","",IF(AND(ISNUMBER($G262),$G262&lt;=IF($S262=MesCiclo,InicioCiclo,$S262+MOD(2-WEEKDAY($S262),7))+13),1,IF(ISNUMBER($J262),$J262,$Y262)))</f>
        <v/>
      </c>
      <c r="AA262" s="62">
        <f>IF($V262="","",IF(AND(ISNUMBER($G262),$G262&lt;=IF($S262=MesCiclo,InicioCiclo,$S262+MOD(2-WEEKDAY($S262),7))+20),1,IF(ISNUMBER($K262),$K262,$Z262)))</f>
        <v/>
      </c>
      <c r="AB262" s="62">
        <f>IF($V262="","",IF(AND(ISNUMBER($G262),$G262&lt;=IF($S262=MesCiclo,InicioCiclo,$S262+MOD(2-WEEKDAY($S262),7))+27),1,IF(ISNUMBER($L262),$L262,$AA262)))</f>
        <v/>
      </c>
      <c r="AC262" s="62">
        <f>IF($V262="","",IF(AND(ISNUMBER($G262),$G262&lt;=IF($S262=MesCiclo,InicioCiclo,$S262+MOD(2-WEEKDAY($S262),7))+6),1,IF(N($W262)&gt;0,AVERAGEIFS($Y$5:$Y$1000,$U$5:$U$1000,ROW(),$V$5:$V$1000,"Sub"),$Y262)))</f>
        <v/>
      </c>
      <c r="AD262" s="62">
        <f>IF($V262="","",IF(AND(ISNUMBER($G262),$G262&lt;=IF($S262=MesCiclo,InicioCiclo,$S262+MOD(2-WEEKDAY($S262),7))+13),1,IF(N($W262)&gt;0,AVERAGEIFS($Z$5:$Z$1000,$U$5:$U$1000,ROW(),$V$5:$V$1000,"Sub"),$Z262)))</f>
        <v/>
      </c>
      <c r="AE262" s="62">
        <f>IF($V262="","",IF(AND(ISNUMBER($G262),$G262&lt;=IF($S262=MesCiclo,InicioCiclo,$S262+MOD(2-WEEKDAY($S262),7))+20),1,IF(N($W262)&gt;0,AVERAGEIFS($AA$5:$AA$1000,$U$5:$U$1000,ROW(),$V$5:$V$1000,"Sub"),$AA262)))</f>
        <v/>
      </c>
      <c r="AF262" s="62">
        <f>IF($V262="","",IF(AND(ISNUMBER($G262),$G262&lt;=IF($S262=MesCiclo,InicioCiclo,$S262+MOD(2-WEEKDAY($S262),7))+27),1,IF(N($W262)&gt;0,AVERAGEIFS($AB$5:$AB$1000,$U$5:$U$1000,ROW(),$V$5:$V$1000,"Sub"),$AB262)))</f>
        <v/>
      </c>
      <c r="AG262" s="62">
        <f>IF($V262&lt;&gt;"Macro","",IF(COUNTIFS($S$5:$S$1000,$S262,$V$5:$V$1000,"Macro",$H$5:$H$1000,"&gt;0")=0,1/COUNTIFS($S$5:$S$1000,$S262,$V$5:$V$1000,"Macro"),IF(AND(ISNUMBER($H262),N($H262)&gt;0),$H262,SUMIFS($H$5:$H$1000,$S$5:$S$1000,$S262,$V$5:$V$1000,"Macro")/COUNTIFS($S$5:$S$1000,$S262,$V$5:$V$1000,"Macro",$H$5:$H$1000,"&gt;0"))/(COUNTIFS($S$5:$S$1000,$S262,$V$5:$V$1000,"Macro")*SUMIFS($H$5:$H$1000,$S$5:$S$1000,$S262,$V$5:$V$1000,"Macro")/COUNTIFS($S$5:$S$1000,$S262,$V$5:$V$1000,"Macro",$H$5:$H$1000,"&gt;0"))))</f>
        <v/>
      </c>
      <c r="AH262" s="62">
        <f>IF(NOT(AND($D262&lt;&gt;"",$V262="Macro")),"",IFERROR(CHOOSE(MATCH($D262,ListaPuestos,0),MATCH("[Jefatura] "&amp;$C262,'Cronograma R. Operacional'!$C$5:$C$1000,0),MATCH("[Jefatura] "&amp;$C262,'Cronograma R. Normativo'!$C$5:$C$1000,0),MATCH("[Jefatura] "&amp;$C262,'Cronograma R. Financiero'!$C$5:$C$1000,0),MATCH("[Jefatura] "&amp;$C262,'Cronograma Asistente Técnico'!$C$5:$C$1000,0)),0))</f>
        <v/>
      </c>
      <c r="AI262" s="62">
        <f>IF(AND(AND($D262&lt;&gt;"",$V262="Macro"),$S262=MesCiclo),COUNTIFS($D$5:$D262,$D262,$S$5:$S262,MesCiclo,$V$5:$V262,"Macro"),"")</f>
        <v/>
      </c>
      <c r="AJ262" s="62">
        <f>IF($AI262="","",$D262&amp;"|"&amp;$AI262)</f>
        <v/>
      </c>
      <c r="AK262" s="62">
        <f>IF(AND($D262&lt;&gt;"",$V262="Macro"),$D262&amp;"|"&amp;$C262,"")</f>
        <v/>
      </c>
      <c r="AL262" s="62">
        <f>""</f>
        <v/>
      </c>
      <c r="AM262" s="62">
        <f>IF(N($AL262)&gt;0,INDEX(rIni_ADM,$AL262),IF(ISNUMBER($E262),$E262,""))</f>
        <v/>
      </c>
      <c r="AN262" s="62">
        <f>IF(N($AL262)&gt;0,INDEX(rLim_ADM,$AL262),IF(ISNUMBER($F262),$F262,""))</f>
        <v/>
      </c>
    </row>
    <row r="263">
      <c r="A263" s="56">
        <f>IF(NOT((COUNTA($B263:$D263)+COUNTA($G263:$L263)+COUNTA($Q263))&gt;0),"",IF($V263="Macro",COUNTIFS($V$5:$V263,"Macro",$S$5:$S263,$S263),IF(N($U263)=0,"?",COUNTIFS(INDEX($V$5:$V$1000,1):INDEX($V$5:$V$1000,$U263-4),"Macro",INDEX($S$5:$S$1000,1):INDEX($S$5:$S$1000,$U263-4),INDEX($S$5:$S$1000,$U263-4))&amp;"."&amp;COUNTIFS($U$5:$U263,$U263,$V$5:$V263,"Sub"))))</f>
        <v/>
      </c>
      <c r="B263" s="57" t="n"/>
      <c r="C263" s="58" t="n"/>
      <c r="D263" s="58" t="n"/>
      <c r="E263" s="59" t="n"/>
      <c r="F263" s="59" t="n"/>
      <c r="G263" s="59" t="n"/>
      <c r="H263" s="60" t="n"/>
      <c r="I263" s="60" t="n"/>
      <c r="J263" s="60" t="n"/>
      <c r="K263" s="60" t="n"/>
      <c r="L263" s="60" t="n"/>
      <c r="M263" s="61">
        <f>IF(NOT((COUNTA($B263:$D263)+COUNTA($G263:$L263)+COUNTA($Q263))&gt;0),"",IF(AND($D263&lt;&gt;"",$V263="Macro"),IF(N($AH263)&gt;0,N(CHOOSE(MATCH($D263,ListaPuestos,0),INDEX('Cronograma R. Operacional'!$M$5:$M$1000,$AH263),INDEX('Cronograma R. Normativo'!$M$5:$M$1000,$AH263),INDEX('Cronograma R. Financiero'!$M$5:$M$1000,$AH263),INDEX('Cronograma Asistente Técnico'!$M$5:$M$1000,$AH263))),0),IF(ISNUMBER($G263),1,IF(N($W263)&gt;0,AVERAGEIFS($X$5:$X$1000,$U$5:$U$1000,ROW(),$V$5:$V$1000,"Sub"),$X263))))</f>
        <v/>
      </c>
      <c r="N263" s="56">
        <f>IF($M263="","",IF($M263&gt;=1,"Completado",IF($M263&gt;0,"En curso","Pendiente")))</f>
        <v/>
      </c>
      <c r="O263" s="56">
        <f>IF(NOT((COUNTA($B263:$D263)+COUNTA($G263:$L263)+COUNTA($Q263))&gt;0),"",IF(AND(AND($D263&lt;&gt;"",$V263="Macro"),N($AH263)&gt;0),CHOOSE(MATCH($D263,ListaPuestos,0),INDEX('Cronograma R. Operacional'!$O$5:$O$1000,$AH263),INDEX('Cronograma R. Normativo'!$O$5:$O$1000,$AH263),INDEX('Cronograma R. Financiero'!$O$5:$O$1000,$AH263),INDEX('Cronograma Asistente Técnico'!$O$5:$O$1000,$AH263))&amp;"",IF(ISNUMBER($G263),IF(AND(ISNUMBER($AN263),$G263&gt;$AN263),"Cumplida con "&amp;($G263-$AN263)&amp;IF($G263-$AN263=1," día"," días")&amp;" de retraso","Cumplida"),IF(N($M263)&gt;=1,"Cumplida",IF(NOT(ISNUMBER($AN263)),"Sin fecha límite",IF($AN263&lt;FechaRef,"Vencida hace "&amp;(FechaRef-$AN263)&amp;IF(FechaRef-$AN263=1," día"," días"),IF($AN263=FechaRef,"Vence hoy",IF($AN263-FechaRef&lt;=DiasAlerta,"Vence en "&amp;($AN263-FechaRef)&amp;IF($AN263-FechaRef=1," día"," días"),"En plazo"))))))))</f>
        <v/>
      </c>
      <c r="P263" s="62">
        <f>IF(NOT((COUNTA($B263:$D263)+COUNTA($G263:$L263)+COUNTA($Q263))&gt;0),"",IF($D263="","Propia",IF($V263&lt;&gt;"Macro","Solo se delegan macroactividades",IF(N($AH263)&gt;0,"✔ Recibida por "&amp;$D263,"⚠ "&amp;$D263&amp;" aún no la agrega"))))</f>
        <v/>
      </c>
      <c r="Q263" s="58" t="n"/>
      <c r="R263" s="63">
        <f>IF(NOT((COUNTA($B263:$D263)+COUNTA($G263:$L263)+COUNTA($Q263))&gt;0),"",IF((IF($C263="","Falta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",""))="","✔ OK","⚠ "&amp;LEFT(IF($C263="","Falta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",""),LEN(IF($C263="","Falta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",""))-3)))</f>
        <v/>
      </c>
      <c r="S263" s="64">
        <f>IF(NOT((COUNTA($B263:$D263)+COUNTA($G263:$L263)+COUNTA($Q263))&gt;0),"",IF(AND($V263="Sub",N($U263)&gt;0),IF(ISNUMBER(INDEX($AM$5:$AM$1000,$U263-4)),DATE(YEAR(INDEX($AM$5:$AM$1000,$U263-4)),MONTH(INDEX($AM$5:$AM$1000,$U263-4)),1),IF(ISNUMBER(INDEX($AN$5:$AN$1000,$U263-4)),DATE(YEAR(INDEX($AN$5:$AN$1000,$U263-4)),MONTH(INDEX($AN$5:$AN$1000,$U263-4)),1),MesCiclo)),IF(ISNUMBER($AM263),DATE(YEAR($AM263),MONTH($AM263),1),IF(ISNUMBER($AN263),DATE(YEAR($AN263),MONTH($AN263),1),MesCiclo))))</f>
        <v/>
      </c>
      <c r="T263" s="62">
        <f>IF(OR($S263="",$S263&lt;&gt;MesCiclo),"",COUNTIF($S$5:$S263,MesCiclo))</f>
        <v/>
      </c>
      <c r="U263" s="62">
        <f>IF($V263="","",IF($V263="Macro",ROW(),IFERROR(LOOKUP(2,1/($V$5:$V263="Macro"),ROW($V$5:$V263)),0)))</f>
        <v/>
      </c>
      <c r="V263" s="62">
        <f>IF(NOT((COUNTA($B263:$D263)+COUNTA($G263:$L263)+COUNTA($Q263))&gt;0),"",IF($B263="Subactividad","Sub","Macro"))</f>
        <v/>
      </c>
      <c r="W263" s="62">
        <f>IF($V263="Macro",COUNTIFS($U$5:$U$1000,ROW(),$V$5:$V$1000,"Sub"),"")</f>
        <v/>
      </c>
      <c r="X263" s="62">
        <f>IF($V263="","",IF(ISNUMBER($G263),1,IFERROR(LOOKUP(2,1/($I263:$L263&lt;&gt;""),$I263:$L263),0)))</f>
        <v/>
      </c>
      <c r="Y263" s="62">
        <f>IF($V263="","",IF(AND(ISNUMBER($G263),$G263&lt;=IF($S263=MesCiclo,InicioCiclo,$S263+MOD(2-WEEKDAY($S263),7))+6),1,IF(ISNUMBER($I263),$I263,0)))</f>
        <v/>
      </c>
      <c r="Z263" s="62">
        <f>IF($V263="","",IF(AND(ISNUMBER($G263),$G263&lt;=IF($S263=MesCiclo,InicioCiclo,$S263+MOD(2-WEEKDAY($S263),7))+13),1,IF(ISNUMBER($J263),$J263,$Y263)))</f>
        <v/>
      </c>
      <c r="AA263" s="62">
        <f>IF($V263="","",IF(AND(ISNUMBER($G263),$G263&lt;=IF($S263=MesCiclo,InicioCiclo,$S263+MOD(2-WEEKDAY($S263),7))+20),1,IF(ISNUMBER($K263),$K263,$Z263)))</f>
        <v/>
      </c>
      <c r="AB263" s="62">
        <f>IF($V263="","",IF(AND(ISNUMBER($G263),$G263&lt;=IF($S263=MesCiclo,InicioCiclo,$S263+MOD(2-WEEKDAY($S263),7))+27),1,IF(ISNUMBER($L263),$L263,$AA263)))</f>
        <v/>
      </c>
      <c r="AC263" s="62">
        <f>IF($V263="","",IF(AND(ISNUMBER($G263),$G263&lt;=IF($S263=MesCiclo,InicioCiclo,$S263+MOD(2-WEEKDAY($S263),7))+6),1,IF(N($W263)&gt;0,AVERAGEIFS($Y$5:$Y$1000,$U$5:$U$1000,ROW(),$V$5:$V$1000,"Sub"),$Y263)))</f>
        <v/>
      </c>
      <c r="AD263" s="62">
        <f>IF($V263="","",IF(AND(ISNUMBER($G263),$G263&lt;=IF($S263=MesCiclo,InicioCiclo,$S263+MOD(2-WEEKDAY($S263),7))+13),1,IF(N($W263)&gt;0,AVERAGEIFS($Z$5:$Z$1000,$U$5:$U$1000,ROW(),$V$5:$V$1000,"Sub"),$Z263)))</f>
        <v/>
      </c>
      <c r="AE263" s="62">
        <f>IF($V263="","",IF(AND(ISNUMBER($G263),$G263&lt;=IF($S263=MesCiclo,InicioCiclo,$S263+MOD(2-WEEKDAY($S263),7))+20),1,IF(N($W263)&gt;0,AVERAGEIFS($AA$5:$AA$1000,$U$5:$U$1000,ROW(),$V$5:$V$1000,"Sub"),$AA263)))</f>
        <v/>
      </c>
      <c r="AF263" s="62">
        <f>IF($V263="","",IF(AND(ISNUMBER($G263),$G263&lt;=IF($S263=MesCiclo,InicioCiclo,$S263+MOD(2-WEEKDAY($S263),7))+27),1,IF(N($W263)&gt;0,AVERAGEIFS($AB$5:$AB$1000,$U$5:$U$1000,ROW(),$V$5:$V$1000,"Sub"),$AB263)))</f>
        <v/>
      </c>
      <c r="AG263" s="62">
        <f>IF($V263&lt;&gt;"Macro","",IF(COUNTIFS($S$5:$S$1000,$S263,$V$5:$V$1000,"Macro",$H$5:$H$1000,"&gt;0")=0,1/COUNTIFS($S$5:$S$1000,$S263,$V$5:$V$1000,"Macro"),IF(AND(ISNUMBER($H263),N($H263)&gt;0),$H263,SUMIFS($H$5:$H$1000,$S$5:$S$1000,$S263,$V$5:$V$1000,"Macro")/COUNTIFS($S$5:$S$1000,$S263,$V$5:$V$1000,"Macro",$H$5:$H$1000,"&gt;0"))/(COUNTIFS($S$5:$S$1000,$S263,$V$5:$V$1000,"Macro")*SUMIFS($H$5:$H$1000,$S$5:$S$1000,$S263,$V$5:$V$1000,"Macro")/COUNTIFS($S$5:$S$1000,$S263,$V$5:$V$1000,"Macro",$H$5:$H$1000,"&gt;0"))))</f>
        <v/>
      </c>
      <c r="AH263" s="62">
        <f>IF(NOT(AND($D263&lt;&gt;"",$V263="Macro")),"",IFERROR(CHOOSE(MATCH($D263,ListaPuestos,0),MATCH("[Jefatura] "&amp;$C263,'Cronograma R. Operacional'!$C$5:$C$1000,0),MATCH("[Jefatura] "&amp;$C263,'Cronograma R. Normativo'!$C$5:$C$1000,0),MATCH("[Jefatura] "&amp;$C263,'Cronograma R. Financiero'!$C$5:$C$1000,0),MATCH("[Jefatura] "&amp;$C263,'Cronograma Asistente Técnico'!$C$5:$C$1000,0)),0))</f>
        <v/>
      </c>
      <c r="AI263" s="62">
        <f>IF(AND(AND($D263&lt;&gt;"",$V263="Macro"),$S263=MesCiclo),COUNTIFS($D$5:$D263,$D263,$S$5:$S263,MesCiclo,$V$5:$V263,"Macro"),"")</f>
        <v/>
      </c>
      <c r="AJ263" s="62">
        <f>IF($AI263="","",$D263&amp;"|"&amp;$AI263)</f>
        <v/>
      </c>
      <c r="AK263" s="62">
        <f>IF(AND($D263&lt;&gt;"",$V263="Macro"),$D263&amp;"|"&amp;$C263,"")</f>
        <v/>
      </c>
      <c r="AL263" s="62">
        <f>""</f>
        <v/>
      </c>
      <c r="AM263" s="62">
        <f>IF(N($AL263)&gt;0,INDEX(rIni_ADM,$AL263),IF(ISNUMBER($E263),$E263,""))</f>
        <v/>
      </c>
      <c r="AN263" s="62">
        <f>IF(N($AL263)&gt;0,INDEX(rLim_ADM,$AL263),IF(ISNUMBER($F263),$F263,""))</f>
        <v/>
      </c>
    </row>
    <row r="264">
      <c r="A264" s="56">
        <f>IF(NOT((COUNTA($B264:$D264)+COUNTA($G264:$L264)+COUNTA($Q264))&gt;0),"",IF($V264="Macro",COUNTIFS($V$5:$V264,"Macro",$S$5:$S264,$S264),IF(N($U264)=0,"?",COUNTIFS(INDEX($V$5:$V$1000,1):INDEX($V$5:$V$1000,$U264-4),"Macro",INDEX($S$5:$S$1000,1):INDEX($S$5:$S$1000,$U264-4),INDEX($S$5:$S$1000,$U264-4))&amp;"."&amp;COUNTIFS($U$5:$U264,$U264,$V$5:$V264,"Sub"))))</f>
        <v/>
      </c>
      <c r="B264" s="57" t="n"/>
      <c r="C264" s="58" t="n"/>
      <c r="D264" s="58" t="n"/>
      <c r="E264" s="59" t="n"/>
      <c r="F264" s="59" t="n"/>
      <c r="G264" s="59" t="n"/>
      <c r="H264" s="60" t="n"/>
      <c r="I264" s="60" t="n"/>
      <c r="J264" s="60" t="n"/>
      <c r="K264" s="60" t="n"/>
      <c r="L264" s="60" t="n"/>
      <c r="M264" s="61">
        <f>IF(NOT((COUNTA($B264:$D264)+COUNTA($G264:$L264)+COUNTA($Q264))&gt;0),"",IF(AND($D264&lt;&gt;"",$V264="Macro"),IF(N($AH264)&gt;0,N(CHOOSE(MATCH($D264,ListaPuestos,0),INDEX('Cronograma R. Operacional'!$M$5:$M$1000,$AH264),INDEX('Cronograma R. Normativo'!$M$5:$M$1000,$AH264),INDEX('Cronograma R. Financiero'!$M$5:$M$1000,$AH264),INDEX('Cronograma Asistente Técnico'!$M$5:$M$1000,$AH264))),0),IF(ISNUMBER($G264),1,IF(N($W264)&gt;0,AVERAGEIFS($X$5:$X$1000,$U$5:$U$1000,ROW(),$V$5:$V$1000,"Sub"),$X264))))</f>
        <v/>
      </c>
      <c r="N264" s="56">
        <f>IF($M264="","",IF($M264&gt;=1,"Completado",IF($M264&gt;0,"En curso","Pendiente")))</f>
        <v/>
      </c>
      <c r="O264" s="56">
        <f>IF(NOT((COUNTA($B264:$D264)+COUNTA($G264:$L264)+COUNTA($Q264))&gt;0),"",IF(AND(AND($D264&lt;&gt;"",$V264="Macro"),N($AH264)&gt;0),CHOOSE(MATCH($D264,ListaPuestos,0),INDEX('Cronograma R. Operacional'!$O$5:$O$1000,$AH264),INDEX('Cronograma R. Normativo'!$O$5:$O$1000,$AH264),INDEX('Cronograma R. Financiero'!$O$5:$O$1000,$AH264),INDEX('Cronograma Asistente Técnico'!$O$5:$O$1000,$AH264))&amp;"",IF(ISNUMBER($G264),IF(AND(ISNUMBER($AN264),$G264&gt;$AN264),"Cumplida con "&amp;($G264-$AN264)&amp;IF($G264-$AN264=1," día"," días")&amp;" de retraso","Cumplida"),IF(N($M264)&gt;=1,"Cumplida",IF(NOT(ISNUMBER($AN264)),"Sin fecha límite",IF($AN264&lt;FechaRef,"Vencida hace "&amp;(FechaRef-$AN264)&amp;IF(FechaRef-$AN264=1," día"," días"),IF($AN264=FechaRef,"Vence hoy",IF($AN264-FechaRef&lt;=DiasAlerta,"Vence en "&amp;($AN264-FechaRef)&amp;IF($AN264-FechaRef=1," día"," días"),"En plazo"))))))))</f>
        <v/>
      </c>
      <c r="P264" s="62">
        <f>IF(NOT((COUNTA($B264:$D264)+COUNTA($G264:$L264)+COUNTA($Q264))&gt;0),"",IF($D264="","Propia",IF($V264&lt;&gt;"Macro","Solo se delegan macroactividades",IF(N($AH264)&gt;0,"✔ Recibida por "&amp;$D264,"⚠ "&amp;$D264&amp;" aún no la agrega"))))</f>
        <v/>
      </c>
      <c r="Q264" s="58" t="n"/>
      <c r="R264" s="63">
        <f>IF(NOT((COUNTA($B264:$D264)+COUNTA($G264:$L264)+COUNTA($Q264))&gt;0),"",IF((IF($C264="","Falta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",""))="","✔ OK","⚠ "&amp;LEFT(IF($C264="","Falta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",""),LEN(IF($C264="","Falta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",""))-3)))</f>
        <v/>
      </c>
      <c r="S264" s="64">
        <f>IF(NOT((COUNTA($B264:$D264)+COUNTA($G264:$L264)+COUNTA($Q264))&gt;0),"",IF(AND($V264="Sub",N($U264)&gt;0),IF(ISNUMBER(INDEX($AM$5:$AM$1000,$U264-4)),DATE(YEAR(INDEX($AM$5:$AM$1000,$U264-4)),MONTH(INDEX($AM$5:$AM$1000,$U264-4)),1),IF(ISNUMBER(INDEX($AN$5:$AN$1000,$U264-4)),DATE(YEAR(INDEX($AN$5:$AN$1000,$U264-4)),MONTH(INDEX($AN$5:$AN$1000,$U264-4)),1),MesCiclo)),IF(ISNUMBER($AM264),DATE(YEAR($AM264),MONTH($AM264),1),IF(ISNUMBER($AN264),DATE(YEAR($AN264),MONTH($AN264),1),MesCiclo))))</f>
        <v/>
      </c>
      <c r="T264" s="62">
        <f>IF(OR($S264="",$S264&lt;&gt;MesCiclo),"",COUNTIF($S$5:$S264,MesCiclo))</f>
        <v/>
      </c>
      <c r="U264" s="62">
        <f>IF($V264="","",IF($V264="Macro",ROW(),IFERROR(LOOKUP(2,1/($V$5:$V264="Macro"),ROW($V$5:$V264)),0)))</f>
        <v/>
      </c>
      <c r="V264" s="62">
        <f>IF(NOT((COUNTA($B264:$D264)+COUNTA($G264:$L264)+COUNTA($Q264))&gt;0),"",IF($B264="Subactividad","Sub","Macro"))</f>
        <v/>
      </c>
      <c r="W264" s="62">
        <f>IF($V264="Macro",COUNTIFS($U$5:$U$1000,ROW(),$V$5:$V$1000,"Sub"),"")</f>
        <v/>
      </c>
      <c r="X264" s="62">
        <f>IF($V264="","",IF(ISNUMBER($G264),1,IFERROR(LOOKUP(2,1/($I264:$L264&lt;&gt;""),$I264:$L264),0)))</f>
        <v/>
      </c>
      <c r="Y264" s="62">
        <f>IF($V264="","",IF(AND(ISNUMBER($G264),$G264&lt;=IF($S264=MesCiclo,InicioCiclo,$S264+MOD(2-WEEKDAY($S264),7))+6),1,IF(ISNUMBER($I264),$I264,0)))</f>
        <v/>
      </c>
      <c r="Z264" s="62">
        <f>IF($V264="","",IF(AND(ISNUMBER($G264),$G264&lt;=IF($S264=MesCiclo,InicioCiclo,$S264+MOD(2-WEEKDAY($S264),7))+13),1,IF(ISNUMBER($J264),$J264,$Y264)))</f>
        <v/>
      </c>
      <c r="AA264" s="62">
        <f>IF($V264="","",IF(AND(ISNUMBER($G264),$G264&lt;=IF($S264=MesCiclo,InicioCiclo,$S264+MOD(2-WEEKDAY($S264),7))+20),1,IF(ISNUMBER($K264),$K264,$Z264)))</f>
        <v/>
      </c>
      <c r="AB264" s="62">
        <f>IF($V264="","",IF(AND(ISNUMBER($G264),$G264&lt;=IF($S264=MesCiclo,InicioCiclo,$S264+MOD(2-WEEKDAY($S264),7))+27),1,IF(ISNUMBER($L264),$L264,$AA264)))</f>
        <v/>
      </c>
      <c r="AC264" s="62">
        <f>IF($V264="","",IF(AND(ISNUMBER($G264),$G264&lt;=IF($S264=MesCiclo,InicioCiclo,$S264+MOD(2-WEEKDAY($S264),7))+6),1,IF(N($W264)&gt;0,AVERAGEIFS($Y$5:$Y$1000,$U$5:$U$1000,ROW(),$V$5:$V$1000,"Sub"),$Y264)))</f>
        <v/>
      </c>
      <c r="AD264" s="62">
        <f>IF($V264="","",IF(AND(ISNUMBER($G264),$G264&lt;=IF($S264=MesCiclo,InicioCiclo,$S264+MOD(2-WEEKDAY($S264),7))+13),1,IF(N($W264)&gt;0,AVERAGEIFS($Z$5:$Z$1000,$U$5:$U$1000,ROW(),$V$5:$V$1000,"Sub"),$Z264)))</f>
        <v/>
      </c>
      <c r="AE264" s="62">
        <f>IF($V264="","",IF(AND(ISNUMBER($G264),$G264&lt;=IF($S264=MesCiclo,InicioCiclo,$S264+MOD(2-WEEKDAY($S264),7))+20),1,IF(N($W264)&gt;0,AVERAGEIFS($AA$5:$AA$1000,$U$5:$U$1000,ROW(),$V$5:$V$1000,"Sub"),$AA264)))</f>
        <v/>
      </c>
      <c r="AF264" s="62">
        <f>IF($V264="","",IF(AND(ISNUMBER($G264),$G264&lt;=IF($S264=MesCiclo,InicioCiclo,$S264+MOD(2-WEEKDAY($S264),7))+27),1,IF(N($W264)&gt;0,AVERAGEIFS($AB$5:$AB$1000,$U$5:$U$1000,ROW(),$V$5:$V$1000,"Sub"),$AB264)))</f>
        <v/>
      </c>
      <c r="AG264" s="62">
        <f>IF($V264&lt;&gt;"Macro","",IF(COUNTIFS($S$5:$S$1000,$S264,$V$5:$V$1000,"Macro",$H$5:$H$1000,"&gt;0")=0,1/COUNTIFS($S$5:$S$1000,$S264,$V$5:$V$1000,"Macro"),IF(AND(ISNUMBER($H264),N($H264)&gt;0),$H264,SUMIFS($H$5:$H$1000,$S$5:$S$1000,$S264,$V$5:$V$1000,"Macro")/COUNTIFS($S$5:$S$1000,$S264,$V$5:$V$1000,"Macro",$H$5:$H$1000,"&gt;0"))/(COUNTIFS($S$5:$S$1000,$S264,$V$5:$V$1000,"Macro")*SUMIFS($H$5:$H$1000,$S$5:$S$1000,$S264,$V$5:$V$1000,"Macro")/COUNTIFS($S$5:$S$1000,$S264,$V$5:$V$1000,"Macro",$H$5:$H$1000,"&gt;0"))))</f>
        <v/>
      </c>
      <c r="AH264" s="62">
        <f>IF(NOT(AND($D264&lt;&gt;"",$V264="Macro")),"",IFERROR(CHOOSE(MATCH($D264,ListaPuestos,0),MATCH("[Jefatura] "&amp;$C264,'Cronograma R. Operacional'!$C$5:$C$1000,0),MATCH("[Jefatura] "&amp;$C264,'Cronograma R. Normativo'!$C$5:$C$1000,0),MATCH("[Jefatura] "&amp;$C264,'Cronograma R. Financiero'!$C$5:$C$1000,0),MATCH("[Jefatura] "&amp;$C264,'Cronograma Asistente Técnico'!$C$5:$C$1000,0)),0))</f>
        <v/>
      </c>
      <c r="AI264" s="62">
        <f>IF(AND(AND($D264&lt;&gt;"",$V264="Macro"),$S264=MesCiclo),COUNTIFS($D$5:$D264,$D264,$S$5:$S264,MesCiclo,$V$5:$V264,"Macro"),"")</f>
        <v/>
      </c>
      <c r="AJ264" s="62">
        <f>IF($AI264="","",$D264&amp;"|"&amp;$AI264)</f>
        <v/>
      </c>
      <c r="AK264" s="62">
        <f>IF(AND($D264&lt;&gt;"",$V264="Macro"),$D264&amp;"|"&amp;$C264,"")</f>
        <v/>
      </c>
      <c r="AL264" s="62">
        <f>""</f>
        <v/>
      </c>
      <c r="AM264" s="62">
        <f>IF(N($AL264)&gt;0,INDEX(rIni_ADM,$AL264),IF(ISNUMBER($E264),$E264,""))</f>
        <v/>
      </c>
      <c r="AN264" s="62">
        <f>IF(N($AL264)&gt;0,INDEX(rLim_ADM,$AL264),IF(ISNUMBER($F264),$F264,""))</f>
        <v/>
      </c>
    </row>
    <row r="265">
      <c r="A265" s="56">
        <f>IF(NOT((COUNTA($B265:$D265)+COUNTA($G265:$L265)+COUNTA($Q265))&gt;0),"",IF($V265="Macro",COUNTIFS($V$5:$V265,"Macro",$S$5:$S265,$S265),IF(N($U265)=0,"?",COUNTIFS(INDEX($V$5:$V$1000,1):INDEX($V$5:$V$1000,$U265-4),"Macro",INDEX($S$5:$S$1000,1):INDEX($S$5:$S$1000,$U265-4),INDEX($S$5:$S$1000,$U265-4))&amp;"."&amp;COUNTIFS($U$5:$U265,$U265,$V$5:$V265,"Sub"))))</f>
        <v/>
      </c>
      <c r="B265" s="57" t="n"/>
      <c r="C265" s="58" t="n"/>
      <c r="D265" s="58" t="n"/>
      <c r="E265" s="59" t="n"/>
      <c r="F265" s="59" t="n"/>
      <c r="G265" s="59" t="n"/>
      <c r="H265" s="60" t="n"/>
      <c r="I265" s="60" t="n"/>
      <c r="J265" s="60" t="n"/>
      <c r="K265" s="60" t="n"/>
      <c r="L265" s="60" t="n"/>
      <c r="M265" s="61">
        <f>IF(NOT((COUNTA($B265:$D265)+COUNTA($G265:$L265)+COUNTA($Q265))&gt;0),"",IF(AND($D265&lt;&gt;"",$V265="Macro"),IF(N($AH265)&gt;0,N(CHOOSE(MATCH($D265,ListaPuestos,0),INDEX('Cronograma R. Operacional'!$M$5:$M$1000,$AH265),INDEX('Cronograma R. Normativo'!$M$5:$M$1000,$AH265),INDEX('Cronograma R. Financiero'!$M$5:$M$1000,$AH265),INDEX('Cronograma Asistente Técnico'!$M$5:$M$1000,$AH265))),0),IF(ISNUMBER($G265),1,IF(N($W265)&gt;0,AVERAGEIFS($X$5:$X$1000,$U$5:$U$1000,ROW(),$V$5:$V$1000,"Sub"),$X265))))</f>
        <v/>
      </c>
      <c r="N265" s="56">
        <f>IF($M265="","",IF($M265&gt;=1,"Completado",IF($M265&gt;0,"En curso","Pendiente")))</f>
        <v/>
      </c>
      <c r="O265" s="56">
        <f>IF(NOT((COUNTA($B265:$D265)+COUNTA($G265:$L265)+COUNTA($Q265))&gt;0),"",IF(AND(AND($D265&lt;&gt;"",$V265="Macro"),N($AH265)&gt;0),CHOOSE(MATCH($D265,ListaPuestos,0),INDEX('Cronograma R. Operacional'!$O$5:$O$1000,$AH265),INDEX('Cronograma R. Normativo'!$O$5:$O$1000,$AH265),INDEX('Cronograma R. Financiero'!$O$5:$O$1000,$AH265),INDEX('Cronograma Asistente Técnico'!$O$5:$O$1000,$AH265))&amp;"",IF(ISNUMBER($G265),IF(AND(ISNUMBER($AN265),$G265&gt;$AN265),"Cumplida con "&amp;($G265-$AN265)&amp;IF($G265-$AN265=1," día"," días")&amp;" de retraso","Cumplida"),IF(N($M265)&gt;=1,"Cumplida",IF(NOT(ISNUMBER($AN265)),"Sin fecha límite",IF($AN265&lt;FechaRef,"Vencida hace "&amp;(FechaRef-$AN265)&amp;IF(FechaRef-$AN265=1," día"," días"),IF($AN265=FechaRef,"Vence hoy",IF($AN265-FechaRef&lt;=DiasAlerta,"Vence en "&amp;($AN265-FechaRef)&amp;IF($AN265-FechaRef=1," día"," días"),"En plazo"))))))))</f>
        <v/>
      </c>
      <c r="P265" s="62">
        <f>IF(NOT((COUNTA($B265:$D265)+COUNTA($G265:$L265)+COUNTA($Q265))&gt;0),"",IF($D265="","Propia",IF($V265&lt;&gt;"Macro","Solo se delegan macroactividades",IF(N($AH265)&gt;0,"✔ Recibida por "&amp;$D265,"⚠ "&amp;$D265&amp;" aún no la agrega"))))</f>
        <v/>
      </c>
      <c r="Q265" s="58" t="n"/>
      <c r="R265" s="63">
        <f>IF(NOT((COUNTA($B265:$D265)+COUNTA($G265:$L265)+COUNTA($Q265))&gt;0),"",IF((IF($C265="","Falta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",""))="","✔ OK","⚠ "&amp;LEFT(IF($C265="","Falta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",""),LEN(IF($C265="","Falta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",""))-3)))</f>
        <v/>
      </c>
      <c r="S265" s="64">
        <f>IF(NOT((COUNTA($B265:$D265)+COUNTA($G265:$L265)+COUNTA($Q265))&gt;0),"",IF(AND($V265="Sub",N($U265)&gt;0),IF(ISNUMBER(INDEX($AM$5:$AM$1000,$U265-4)),DATE(YEAR(INDEX($AM$5:$AM$1000,$U265-4)),MONTH(INDEX($AM$5:$AM$1000,$U265-4)),1),IF(ISNUMBER(INDEX($AN$5:$AN$1000,$U265-4)),DATE(YEAR(INDEX($AN$5:$AN$1000,$U265-4)),MONTH(INDEX($AN$5:$AN$1000,$U265-4)),1),MesCiclo)),IF(ISNUMBER($AM265),DATE(YEAR($AM265),MONTH($AM265),1),IF(ISNUMBER($AN265),DATE(YEAR($AN265),MONTH($AN265),1),MesCiclo))))</f>
        <v/>
      </c>
      <c r="T265" s="62">
        <f>IF(OR($S265="",$S265&lt;&gt;MesCiclo),"",COUNTIF($S$5:$S265,MesCiclo))</f>
        <v/>
      </c>
      <c r="U265" s="62">
        <f>IF($V265="","",IF($V265="Macro",ROW(),IFERROR(LOOKUP(2,1/($V$5:$V265="Macro"),ROW($V$5:$V265)),0)))</f>
        <v/>
      </c>
      <c r="V265" s="62">
        <f>IF(NOT((COUNTA($B265:$D265)+COUNTA($G265:$L265)+COUNTA($Q265))&gt;0),"",IF($B265="Subactividad","Sub","Macro"))</f>
        <v/>
      </c>
      <c r="W265" s="62">
        <f>IF($V265="Macro",COUNTIFS($U$5:$U$1000,ROW(),$V$5:$V$1000,"Sub"),"")</f>
        <v/>
      </c>
      <c r="X265" s="62">
        <f>IF($V265="","",IF(ISNUMBER($G265),1,IFERROR(LOOKUP(2,1/($I265:$L265&lt;&gt;""),$I265:$L265),0)))</f>
        <v/>
      </c>
      <c r="Y265" s="62">
        <f>IF($V265="","",IF(AND(ISNUMBER($G265),$G265&lt;=IF($S265=MesCiclo,InicioCiclo,$S265+MOD(2-WEEKDAY($S265),7))+6),1,IF(ISNUMBER($I265),$I265,0)))</f>
        <v/>
      </c>
      <c r="Z265" s="62">
        <f>IF($V265="","",IF(AND(ISNUMBER($G265),$G265&lt;=IF($S265=MesCiclo,InicioCiclo,$S265+MOD(2-WEEKDAY($S265),7))+13),1,IF(ISNUMBER($J265),$J265,$Y265)))</f>
        <v/>
      </c>
      <c r="AA265" s="62">
        <f>IF($V265="","",IF(AND(ISNUMBER($G265),$G265&lt;=IF($S265=MesCiclo,InicioCiclo,$S265+MOD(2-WEEKDAY($S265),7))+20),1,IF(ISNUMBER($K265),$K265,$Z265)))</f>
        <v/>
      </c>
      <c r="AB265" s="62">
        <f>IF($V265="","",IF(AND(ISNUMBER($G265),$G265&lt;=IF($S265=MesCiclo,InicioCiclo,$S265+MOD(2-WEEKDAY($S265),7))+27),1,IF(ISNUMBER($L265),$L265,$AA265)))</f>
        <v/>
      </c>
      <c r="AC265" s="62">
        <f>IF($V265="","",IF(AND(ISNUMBER($G265),$G265&lt;=IF($S265=MesCiclo,InicioCiclo,$S265+MOD(2-WEEKDAY($S265),7))+6),1,IF(N($W265)&gt;0,AVERAGEIFS($Y$5:$Y$1000,$U$5:$U$1000,ROW(),$V$5:$V$1000,"Sub"),$Y265)))</f>
        <v/>
      </c>
      <c r="AD265" s="62">
        <f>IF($V265="","",IF(AND(ISNUMBER($G265),$G265&lt;=IF($S265=MesCiclo,InicioCiclo,$S265+MOD(2-WEEKDAY($S265),7))+13),1,IF(N($W265)&gt;0,AVERAGEIFS($Z$5:$Z$1000,$U$5:$U$1000,ROW(),$V$5:$V$1000,"Sub"),$Z265)))</f>
        <v/>
      </c>
      <c r="AE265" s="62">
        <f>IF($V265="","",IF(AND(ISNUMBER($G265),$G265&lt;=IF($S265=MesCiclo,InicioCiclo,$S265+MOD(2-WEEKDAY($S265),7))+20),1,IF(N($W265)&gt;0,AVERAGEIFS($AA$5:$AA$1000,$U$5:$U$1000,ROW(),$V$5:$V$1000,"Sub"),$AA265)))</f>
        <v/>
      </c>
      <c r="AF265" s="62">
        <f>IF($V265="","",IF(AND(ISNUMBER($G265),$G265&lt;=IF($S265=MesCiclo,InicioCiclo,$S265+MOD(2-WEEKDAY($S265),7))+27),1,IF(N($W265)&gt;0,AVERAGEIFS($AB$5:$AB$1000,$U$5:$U$1000,ROW(),$V$5:$V$1000,"Sub"),$AB265)))</f>
        <v/>
      </c>
      <c r="AG265" s="62">
        <f>IF($V265&lt;&gt;"Macro","",IF(COUNTIFS($S$5:$S$1000,$S265,$V$5:$V$1000,"Macro",$H$5:$H$1000,"&gt;0")=0,1/COUNTIFS($S$5:$S$1000,$S265,$V$5:$V$1000,"Macro"),IF(AND(ISNUMBER($H265),N($H265)&gt;0),$H265,SUMIFS($H$5:$H$1000,$S$5:$S$1000,$S265,$V$5:$V$1000,"Macro")/COUNTIFS($S$5:$S$1000,$S265,$V$5:$V$1000,"Macro",$H$5:$H$1000,"&gt;0"))/(COUNTIFS($S$5:$S$1000,$S265,$V$5:$V$1000,"Macro")*SUMIFS($H$5:$H$1000,$S$5:$S$1000,$S265,$V$5:$V$1000,"Macro")/COUNTIFS($S$5:$S$1000,$S265,$V$5:$V$1000,"Macro",$H$5:$H$1000,"&gt;0"))))</f>
        <v/>
      </c>
      <c r="AH265" s="62">
        <f>IF(NOT(AND($D265&lt;&gt;"",$V265="Macro")),"",IFERROR(CHOOSE(MATCH($D265,ListaPuestos,0),MATCH("[Jefatura] "&amp;$C265,'Cronograma R. Operacional'!$C$5:$C$1000,0),MATCH("[Jefatura] "&amp;$C265,'Cronograma R. Normativo'!$C$5:$C$1000,0),MATCH("[Jefatura] "&amp;$C265,'Cronograma R. Financiero'!$C$5:$C$1000,0),MATCH("[Jefatura] "&amp;$C265,'Cronograma Asistente Técnico'!$C$5:$C$1000,0)),0))</f>
        <v/>
      </c>
      <c r="AI265" s="62">
        <f>IF(AND(AND($D265&lt;&gt;"",$V265="Macro"),$S265=MesCiclo),COUNTIFS($D$5:$D265,$D265,$S$5:$S265,MesCiclo,$V$5:$V265,"Macro"),"")</f>
        <v/>
      </c>
      <c r="AJ265" s="62">
        <f>IF($AI265="","",$D265&amp;"|"&amp;$AI265)</f>
        <v/>
      </c>
      <c r="AK265" s="62">
        <f>IF(AND($D265&lt;&gt;"",$V265="Macro"),$D265&amp;"|"&amp;$C265,"")</f>
        <v/>
      </c>
      <c r="AL265" s="62">
        <f>""</f>
        <v/>
      </c>
      <c r="AM265" s="62">
        <f>IF(N($AL265)&gt;0,INDEX(rIni_ADM,$AL265),IF(ISNUMBER($E265),$E265,""))</f>
        <v/>
      </c>
      <c r="AN265" s="62">
        <f>IF(N($AL265)&gt;0,INDEX(rLim_ADM,$AL265),IF(ISNUMBER($F265),$F265,""))</f>
        <v/>
      </c>
    </row>
    <row r="266">
      <c r="A266" s="56">
        <f>IF(NOT((COUNTA($B266:$D266)+COUNTA($G266:$L266)+COUNTA($Q266))&gt;0),"",IF($V266="Macro",COUNTIFS($V$5:$V266,"Macro",$S$5:$S266,$S266),IF(N($U266)=0,"?",COUNTIFS(INDEX($V$5:$V$1000,1):INDEX($V$5:$V$1000,$U266-4),"Macro",INDEX($S$5:$S$1000,1):INDEX($S$5:$S$1000,$U266-4),INDEX($S$5:$S$1000,$U266-4))&amp;"."&amp;COUNTIFS($U$5:$U266,$U266,$V$5:$V266,"Sub"))))</f>
        <v/>
      </c>
      <c r="B266" s="57" t="n"/>
      <c r="C266" s="58" t="n"/>
      <c r="D266" s="58" t="n"/>
      <c r="E266" s="59" t="n"/>
      <c r="F266" s="59" t="n"/>
      <c r="G266" s="59" t="n"/>
      <c r="H266" s="60" t="n"/>
      <c r="I266" s="60" t="n"/>
      <c r="J266" s="60" t="n"/>
      <c r="K266" s="60" t="n"/>
      <c r="L266" s="60" t="n"/>
      <c r="M266" s="61">
        <f>IF(NOT((COUNTA($B266:$D266)+COUNTA($G266:$L266)+COUNTA($Q266))&gt;0),"",IF(AND($D266&lt;&gt;"",$V266="Macro"),IF(N($AH266)&gt;0,N(CHOOSE(MATCH($D266,ListaPuestos,0),INDEX('Cronograma R. Operacional'!$M$5:$M$1000,$AH266),INDEX('Cronograma R. Normativo'!$M$5:$M$1000,$AH266),INDEX('Cronograma R. Financiero'!$M$5:$M$1000,$AH266),INDEX('Cronograma Asistente Técnico'!$M$5:$M$1000,$AH266))),0),IF(ISNUMBER($G266),1,IF(N($W266)&gt;0,AVERAGEIFS($X$5:$X$1000,$U$5:$U$1000,ROW(),$V$5:$V$1000,"Sub"),$X266))))</f>
        <v/>
      </c>
      <c r="N266" s="56">
        <f>IF($M266="","",IF($M266&gt;=1,"Completado",IF($M266&gt;0,"En curso","Pendiente")))</f>
        <v/>
      </c>
      <c r="O266" s="56">
        <f>IF(NOT((COUNTA($B266:$D266)+COUNTA($G266:$L266)+COUNTA($Q266))&gt;0),"",IF(AND(AND($D266&lt;&gt;"",$V266="Macro"),N($AH266)&gt;0),CHOOSE(MATCH($D266,ListaPuestos,0),INDEX('Cronograma R. Operacional'!$O$5:$O$1000,$AH266),INDEX('Cronograma R. Normativo'!$O$5:$O$1000,$AH266),INDEX('Cronograma R. Financiero'!$O$5:$O$1000,$AH266),INDEX('Cronograma Asistente Técnico'!$O$5:$O$1000,$AH266))&amp;"",IF(ISNUMBER($G266),IF(AND(ISNUMBER($AN266),$G266&gt;$AN266),"Cumplida con "&amp;($G266-$AN266)&amp;IF($G266-$AN266=1," día"," días")&amp;" de retraso","Cumplida"),IF(N($M266)&gt;=1,"Cumplida",IF(NOT(ISNUMBER($AN266)),"Sin fecha límite",IF($AN266&lt;FechaRef,"Vencida hace "&amp;(FechaRef-$AN266)&amp;IF(FechaRef-$AN266=1," día"," días"),IF($AN266=FechaRef,"Vence hoy",IF($AN266-FechaRef&lt;=DiasAlerta,"Vence en "&amp;($AN266-FechaRef)&amp;IF($AN266-FechaRef=1," día"," días"),"En plazo"))))))))</f>
        <v/>
      </c>
      <c r="P266" s="62">
        <f>IF(NOT((COUNTA($B266:$D266)+COUNTA($G266:$L266)+COUNTA($Q266))&gt;0),"",IF($D266="","Propia",IF($V266&lt;&gt;"Macro","Solo se delegan macroactividades",IF(N($AH266)&gt;0,"✔ Recibida por "&amp;$D266,"⚠ "&amp;$D266&amp;" aún no la agrega"))))</f>
        <v/>
      </c>
      <c r="Q266" s="58" t="n"/>
      <c r="R266" s="63">
        <f>IF(NOT((COUNTA($B266:$D266)+COUNTA($G266:$L266)+COUNTA($Q266))&gt;0),"",IF((IF($C266="","Falta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",""))="","✔ OK","⚠ "&amp;LEFT(IF($C266="","Falta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",""),LEN(IF($C266="","Falta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",""))-3)))</f>
        <v/>
      </c>
      <c r="S266" s="64">
        <f>IF(NOT((COUNTA($B266:$D266)+COUNTA($G266:$L266)+COUNTA($Q266))&gt;0),"",IF(AND($V266="Sub",N($U266)&gt;0),IF(ISNUMBER(INDEX($AM$5:$AM$1000,$U266-4)),DATE(YEAR(INDEX($AM$5:$AM$1000,$U266-4)),MONTH(INDEX($AM$5:$AM$1000,$U266-4)),1),IF(ISNUMBER(INDEX($AN$5:$AN$1000,$U266-4)),DATE(YEAR(INDEX($AN$5:$AN$1000,$U266-4)),MONTH(INDEX($AN$5:$AN$1000,$U266-4)),1),MesCiclo)),IF(ISNUMBER($AM266),DATE(YEAR($AM266),MONTH($AM266),1),IF(ISNUMBER($AN266),DATE(YEAR($AN266),MONTH($AN266),1),MesCiclo))))</f>
        <v/>
      </c>
      <c r="T266" s="62">
        <f>IF(OR($S266="",$S266&lt;&gt;MesCiclo),"",COUNTIF($S$5:$S266,MesCiclo))</f>
        <v/>
      </c>
      <c r="U266" s="62">
        <f>IF($V266="","",IF($V266="Macro",ROW(),IFERROR(LOOKUP(2,1/($V$5:$V266="Macro"),ROW($V$5:$V266)),0)))</f>
        <v/>
      </c>
      <c r="V266" s="62">
        <f>IF(NOT((COUNTA($B266:$D266)+COUNTA($G266:$L266)+COUNTA($Q266))&gt;0),"",IF($B266="Subactividad","Sub","Macro"))</f>
        <v/>
      </c>
      <c r="W266" s="62">
        <f>IF($V266="Macro",COUNTIFS($U$5:$U$1000,ROW(),$V$5:$V$1000,"Sub"),"")</f>
        <v/>
      </c>
      <c r="X266" s="62">
        <f>IF($V266="","",IF(ISNUMBER($G266),1,IFERROR(LOOKUP(2,1/($I266:$L266&lt;&gt;""),$I266:$L266),0)))</f>
        <v/>
      </c>
      <c r="Y266" s="62">
        <f>IF($V266="","",IF(AND(ISNUMBER($G266),$G266&lt;=IF($S266=MesCiclo,InicioCiclo,$S266+MOD(2-WEEKDAY($S266),7))+6),1,IF(ISNUMBER($I266),$I266,0)))</f>
        <v/>
      </c>
      <c r="Z266" s="62">
        <f>IF($V266="","",IF(AND(ISNUMBER($G266),$G266&lt;=IF($S266=MesCiclo,InicioCiclo,$S266+MOD(2-WEEKDAY($S266),7))+13),1,IF(ISNUMBER($J266),$J266,$Y266)))</f>
        <v/>
      </c>
      <c r="AA266" s="62">
        <f>IF($V266="","",IF(AND(ISNUMBER($G266),$G266&lt;=IF($S266=MesCiclo,InicioCiclo,$S266+MOD(2-WEEKDAY($S266),7))+20),1,IF(ISNUMBER($K266),$K266,$Z266)))</f>
        <v/>
      </c>
      <c r="AB266" s="62">
        <f>IF($V266="","",IF(AND(ISNUMBER($G266),$G266&lt;=IF($S266=MesCiclo,InicioCiclo,$S266+MOD(2-WEEKDAY($S266),7))+27),1,IF(ISNUMBER($L266),$L266,$AA266)))</f>
        <v/>
      </c>
      <c r="AC266" s="62">
        <f>IF($V266="","",IF(AND(ISNUMBER($G266),$G266&lt;=IF($S266=MesCiclo,InicioCiclo,$S266+MOD(2-WEEKDAY($S266),7))+6),1,IF(N($W266)&gt;0,AVERAGEIFS($Y$5:$Y$1000,$U$5:$U$1000,ROW(),$V$5:$V$1000,"Sub"),$Y266)))</f>
        <v/>
      </c>
      <c r="AD266" s="62">
        <f>IF($V266="","",IF(AND(ISNUMBER($G266),$G266&lt;=IF($S266=MesCiclo,InicioCiclo,$S266+MOD(2-WEEKDAY($S266),7))+13),1,IF(N($W266)&gt;0,AVERAGEIFS($Z$5:$Z$1000,$U$5:$U$1000,ROW(),$V$5:$V$1000,"Sub"),$Z266)))</f>
        <v/>
      </c>
      <c r="AE266" s="62">
        <f>IF($V266="","",IF(AND(ISNUMBER($G266),$G266&lt;=IF($S266=MesCiclo,InicioCiclo,$S266+MOD(2-WEEKDAY($S266),7))+20),1,IF(N($W266)&gt;0,AVERAGEIFS($AA$5:$AA$1000,$U$5:$U$1000,ROW(),$V$5:$V$1000,"Sub"),$AA266)))</f>
        <v/>
      </c>
      <c r="AF266" s="62">
        <f>IF($V266="","",IF(AND(ISNUMBER($G266),$G266&lt;=IF($S266=MesCiclo,InicioCiclo,$S266+MOD(2-WEEKDAY($S266),7))+27),1,IF(N($W266)&gt;0,AVERAGEIFS($AB$5:$AB$1000,$U$5:$U$1000,ROW(),$V$5:$V$1000,"Sub"),$AB266)))</f>
        <v/>
      </c>
      <c r="AG266" s="62">
        <f>IF($V266&lt;&gt;"Macro","",IF(COUNTIFS($S$5:$S$1000,$S266,$V$5:$V$1000,"Macro",$H$5:$H$1000,"&gt;0")=0,1/COUNTIFS($S$5:$S$1000,$S266,$V$5:$V$1000,"Macro"),IF(AND(ISNUMBER($H266),N($H266)&gt;0),$H266,SUMIFS($H$5:$H$1000,$S$5:$S$1000,$S266,$V$5:$V$1000,"Macro")/COUNTIFS($S$5:$S$1000,$S266,$V$5:$V$1000,"Macro",$H$5:$H$1000,"&gt;0"))/(COUNTIFS($S$5:$S$1000,$S266,$V$5:$V$1000,"Macro")*SUMIFS($H$5:$H$1000,$S$5:$S$1000,$S266,$V$5:$V$1000,"Macro")/COUNTIFS($S$5:$S$1000,$S266,$V$5:$V$1000,"Macro",$H$5:$H$1000,"&gt;0"))))</f>
        <v/>
      </c>
      <c r="AH266" s="62">
        <f>IF(NOT(AND($D266&lt;&gt;"",$V266="Macro")),"",IFERROR(CHOOSE(MATCH($D266,ListaPuestos,0),MATCH("[Jefatura] "&amp;$C266,'Cronograma R. Operacional'!$C$5:$C$1000,0),MATCH("[Jefatura] "&amp;$C266,'Cronograma R. Normativo'!$C$5:$C$1000,0),MATCH("[Jefatura] "&amp;$C266,'Cronograma R. Financiero'!$C$5:$C$1000,0),MATCH("[Jefatura] "&amp;$C266,'Cronograma Asistente Técnico'!$C$5:$C$1000,0)),0))</f>
        <v/>
      </c>
      <c r="AI266" s="62">
        <f>IF(AND(AND($D266&lt;&gt;"",$V266="Macro"),$S266=MesCiclo),COUNTIFS($D$5:$D266,$D266,$S$5:$S266,MesCiclo,$V$5:$V266,"Macro"),"")</f>
        <v/>
      </c>
      <c r="AJ266" s="62">
        <f>IF($AI266="","",$D266&amp;"|"&amp;$AI266)</f>
        <v/>
      </c>
      <c r="AK266" s="62">
        <f>IF(AND($D266&lt;&gt;"",$V266="Macro"),$D266&amp;"|"&amp;$C266,"")</f>
        <v/>
      </c>
      <c r="AL266" s="62">
        <f>""</f>
        <v/>
      </c>
      <c r="AM266" s="62">
        <f>IF(N($AL266)&gt;0,INDEX(rIni_ADM,$AL266),IF(ISNUMBER($E266),$E266,""))</f>
        <v/>
      </c>
      <c r="AN266" s="62">
        <f>IF(N($AL266)&gt;0,INDEX(rLim_ADM,$AL266),IF(ISNUMBER($F266),$F266,""))</f>
        <v/>
      </c>
    </row>
    <row r="267">
      <c r="A267" s="56">
        <f>IF(NOT((COUNTA($B267:$D267)+COUNTA($G267:$L267)+COUNTA($Q267))&gt;0),"",IF($V267="Macro",COUNTIFS($V$5:$V267,"Macro",$S$5:$S267,$S267),IF(N($U267)=0,"?",COUNTIFS(INDEX($V$5:$V$1000,1):INDEX($V$5:$V$1000,$U267-4),"Macro",INDEX($S$5:$S$1000,1):INDEX($S$5:$S$1000,$U267-4),INDEX($S$5:$S$1000,$U267-4))&amp;"."&amp;COUNTIFS($U$5:$U267,$U267,$V$5:$V267,"Sub"))))</f>
        <v/>
      </c>
      <c r="B267" s="57" t="n"/>
      <c r="C267" s="58" t="n"/>
      <c r="D267" s="58" t="n"/>
      <c r="E267" s="59" t="n"/>
      <c r="F267" s="59" t="n"/>
      <c r="G267" s="59" t="n"/>
      <c r="H267" s="60" t="n"/>
      <c r="I267" s="60" t="n"/>
      <c r="J267" s="60" t="n"/>
      <c r="K267" s="60" t="n"/>
      <c r="L267" s="60" t="n"/>
      <c r="M267" s="61">
        <f>IF(NOT((COUNTA($B267:$D267)+COUNTA($G267:$L267)+COUNTA($Q267))&gt;0),"",IF(AND($D267&lt;&gt;"",$V267="Macro"),IF(N($AH267)&gt;0,N(CHOOSE(MATCH($D267,ListaPuestos,0),INDEX('Cronograma R. Operacional'!$M$5:$M$1000,$AH267),INDEX('Cronograma R. Normativo'!$M$5:$M$1000,$AH267),INDEX('Cronograma R. Financiero'!$M$5:$M$1000,$AH267),INDEX('Cronograma Asistente Técnico'!$M$5:$M$1000,$AH267))),0),IF(ISNUMBER($G267),1,IF(N($W267)&gt;0,AVERAGEIFS($X$5:$X$1000,$U$5:$U$1000,ROW(),$V$5:$V$1000,"Sub"),$X267))))</f>
        <v/>
      </c>
      <c r="N267" s="56">
        <f>IF($M267="","",IF($M267&gt;=1,"Completado",IF($M267&gt;0,"En curso","Pendiente")))</f>
        <v/>
      </c>
      <c r="O267" s="56">
        <f>IF(NOT((COUNTA($B267:$D267)+COUNTA($G267:$L267)+COUNTA($Q267))&gt;0),"",IF(AND(AND($D267&lt;&gt;"",$V267="Macro"),N($AH267)&gt;0),CHOOSE(MATCH($D267,ListaPuestos,0),INDEX('Cronograma R. Operacional'!$O$5:$O$1000,$AH267),INDEX('Cronograma R. Normativo'!$O$5:$O$1000,$AH267),INDEX('Cronograma R. Financiero'!$O$5:$O$1000,$AH267),INDEX('Cronograma Asistente Técnico'!$O$5:$O$1000,$AH267))&amp;"",IF(ISNUMBER($G267),IF(AND(ISNUMBER($AN267),$G267&gt;$AN267),"Cumplida con "&amp;($G267-$AN267)&amp;IF($G267-$AN267=1," día"," días")&amp;" de retraso","Cumplida"),IF(N($M267)&gt;=1,"Cumplida",IF(NOT(ISNUMBER($AN267)),"Sin fecha límite",IF($AN267&lt;FechaRef,"Vencida hace "&amp;(FechaRef-$AN267)&amp;IF(FechaRef-$AN267=1," día"," días"),IF($AN267=FechaRef,"Vence hoy",IF($AN267-FechaRef&lt;=DiasAlerta,"Vence en "&amp;($AN267-FechaRef)&amp;IF($AN267-FechaRef=1," día"," días"),"En plazo"))))))))</f>
        <v/>
      </c>
      <c r="P267" s="62">
        <f>IF(NOT((COUNTA($B267:$D267)+COUNTA($G267:$L267)+COUNTA($Q267))&gt;0),"",IF($D267="","Propia",IF($V267&lt;&gt;"Macro","Solo se delegan macroactividades",IF(N($AH267)&gt;0,"✔ Recibida por "&amp;$D267,"⚠ "&amp;$D267&amp;" aún no la agrega"))))</f>
        <v/>
      </c>
      <c r="Q267" s="58" t="n"/>
      <c r="R267" s="63">
        <f>IF(NOT((COUNTA($B267:$D267)+COUNTA($G267:$L267)+COUNTA($Q267))&gt;0),"",IF((IF($C267="","Falta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",""))="","✔ OK","⚠ "&amp;LEFT(IF($C267="","Falta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",""),LEN(IF($C267="","Falta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",""))-3)))</f>
        <v/>
      </c>
      <c r="S267" s="64">
        <f>IF(NOT((COUNTA($B267:$D267)+COUNTA($G267:$L267)+COUNTA($Q267))&gt;0),"",IF(AND($V267="Sub",N($U267)&gt;0),IF(ISNUMBER(INDEX($AM$5:$AM$1000,$U267-4)),DATE(YEAR(INDEX($AM$5:$AM$1000,$U267-4)),MONTH(INDEX($AM$5:$AM$1000,$U267-4)),1),IF(ISNUMBER(INDEX($AN$5:$AN$1000,$U267-4)),DATE(YEAR(INDEX($AN$5:$AN$1000,$U267-4)),MONTH(INDEX($AN$5:$AN$1000,$U267-4)),1),MesCiclo)),IF(ISNUMBER($AM267),DATE(YEAR($AM267),MONTH($AM267),1),IF(ISNUMBER($AN267),DATE(YEAR($AN267),MONTH($AN267),1),MesCiclo))))</f>
        <v/>
      </c>
      <c r="T267" s="62">
        <f>IF(OR($S267="",$S267&lt;&gt;MesCiclo),"",COUNTIF($S$5:$S267,MesCiclo))</f>
        <v/>
      </c>
      <c r="U267" s="62">
        <f>IF($V267="","",IF($V267="Macro",ROW(),IFERROR(LOOKUP(2,1/($V$5:$V267="Macro"),ROW($V$5:$V267)),0)))</f>
        <v/>
      </c>
      <c r="V267" s="62">
        <f>IF(NOT((COUNTA($B267:$D267)+COUNTA($G267:$L267)+COUNTA($Q267))&gt;0),"",IF($B267="Subactividad","Sub","Macro"))</f>
        <v/>
      </c>
      <c r="W267" s="62">
        <f>IF($V267="Macro",COUNTIFS($U$5:$U$1000,ROW(),$V$5:$V$1000,"Sub"),"")</f>
        <v/>
      </c>
      <c r="X267" s="62">
        <f>IF($V267="","",IF(ISNUMBER($G267),1,IFERROR(LOOKUP(2,1/($I267:$L267&lt;&gt;""),$I267:$L267),0)))</f>
        <v/>
      </c>
      <c r="Y267" s="62">
        <f>IF($V267="","",IF(AND(ISNUMBER($G267),$G267&lt;=IF($S267=MesCiclo,InicioCiclo,$S267+MOD(2-WEEKDAY($S267),7))+6),1,IF(ISNUMBER($I267),$I267,0)))</f>
        <v/>
      </c>
      <c r="Z267" s="62">
        <f>IF($V267="","",IF(AND(ISNUMBER($G267),$G267&lt;=IF($S267=MesCiclo,InicioCiclo,$S267+MOD(2-WEEKDAY($S267),7))+13),1,IF(ISNUMBER($J267),$J267,$Y267)))</f>
        <v/>
      </c>
      <c r="AA267" s="62">
        <f>IF($V267="","",IF(AND(ISNUMBER($G267),$G267&lt;=IF($S267=MesCiclo,InicioCiclo,$S267+MOD(2-WEEKDAY($S267),7))+20),1,IF(ISNUMBER($K267),$K267,$Z267)))</f>
        <v/>
      </c>
      <c r="AB267" s="62">
        <f>IF($V267="","",IF(AND(ISNUMBER($G267),$G267&lt;=IF($S267=MesCiclo,InicioCiclo,$S267+MOD(2-WEEKDAY($S267),7))+27),1,IF(ISNUMBER($L267),$L267,$AA267)))</f>
        <v/>
      </c>
      <c r="AC267" s="62">
        <f>IF($V267="","",IF(AND(ISNUMBER($G267),$G267&lt;=IF($S267=MesCiclo,InicioCiclo,$S267+MOD(2-WEEKDAY($S267),7))+6),1,IF(N($W267)&gt;0,AVERAGEIFS($Y$5:$Y$1000,$U$5:$U$1000,ROW(),$V$5:$V$1000,"Sub"),$Y267)))</f>
        <v/>
      </c>
      <c r="AD267" s="62">
        <f>IF($V267="","",IF(AND(ISNUMBER($G267),$G267&lt;=IF($S267=MesCiclo,InicioCiclo,$S267+MOD(2-WEEKDAY($S267),7))+13),1,IF(N($W267)&gt;0,AVERAGEIFS($Z$5:$Z$1000,$U$5:$U$1000,ROW(),$V$5:$V$1000,"Sub"),$Z267)))</f>
        <v/>
      </c>
      <c r="AE267" s="62">
        <f>IF($V267="","",IF(AND(ISNUMBER($G267),$G267&lt;=IF($S267=MesCiclo,InicioCiclo,$S267+MOD(2-WEEKDAY($S267),7))+20),1,IF(N($W267)&gt;0,AVERAGEIFS($AA$5:$AA$1000,$U$5:$U$1000,ROW(),$V$5:$V$1000,"Sub"),$AA267)))</f>
        <v/>
      </c>
      <c r="AF267" s="62">
        <f>IF($V267="","",IF(AND(ISNUMBER($G267),$G267&lt;=IF($S267=MesCiclo,InicioCiclo,$S267+MOD(2-WEEKDAY($S267),7))+27),1,IF(N($W267)&gt;0,AVERAGEIFS($AB$5:$AB$1000,$U$5:$U$1000,ROW(),$V$5:$V$1000,"Sub"),$AB267)))</f>
        <v/>
      </c>
      <c r="AG267" s="62">
        <f>IF($V267&lt;&gt;"Macro","",IF(COUNTIFS($S$5:$S$1000,$S267,$V$5:$V$1000,"Macro",$H$5:$H$1000,"&gt;0")=0,1/COUNTIFS($S$5:$S$1000,$S267,$V$5:$V$1000,"Macro"),IF(AND(ISNUMBER($H267),N($H267)&gt;0),$H267,SUMIFS($H$5:$H$1000,$S$5:$S$1000,$S267,$V$5:$V$1000,"Macro")/COUNTIFS($S$5:$S$1000,$S267,$V$5:$V$1000,"Macro",$H$5:$H$1000,"&gt;0"))/(COUNTIFS($S$5:$S$1000,$S267,$V$5:$V$1000,"Macro")*SUMIFS($H$5:$H$1000,$S$5:$S$1000,$S267,$V$5:$V$1000,"Macro")/COUNTIFS($S$5:$S$1000,$S267,$V$5:$V$1000,"Macro",$H$5:$H$1000,"&gt;0"))))</f>
        <v/>
      </c>
      <c r="AH267" s="62">
        <f>IF(NOT(AND($D267&lt;&gt;"",$V267="Macro")),"",IFERROR(CHOOSE(MATCH($D267,ListaPuestos,0),MATCH("[Jefatura] "&amp;$C267,'Cronograma R. Operacional'!$C$5:$C$1000,0),MATCH("[Jefatura] "&amp;$C267,'Cronograma R. Normativo'!$C$5:$C$1000,0),MATCH("[Jefatura] "&amp;$C267,'Cronograma R. Financiero'!$C$5:$C$1000,0),MATCH("[Jefatura] "&amp;$C267,'Cronograma Asistente Técnico'!$C$5:$C$1000,0)),0))</f>
        <v/>
      </c>
      <c r="AI267" s="62">
        <f>IF(AND(AND($D267&lt;&gt;"",$V267="Macro"),$S267=MesCiclo),COUNTIFS($D$5:$D267,$D267,$S$5:$S267,MesCiclo,$V$5:$V267,"Macro"),"")</f>
        <v/>
      </c>
      <c r="AJ267" s="62">
        <f>IF($AI267="","",$D267&amp;"|"&amp;$AI267)</f>
        <v/>
      </c>
      <c r="AK267" s="62">
        <f>IF(AND($D267&lt;&gt;"",$V267="Macro"),$D267&amp;"|"&amp;$C267,"")</f>
        <v/>
      </c>
      <c r="AL267" s="62">
        <f>""</f>
        <v/>
      </c>
      <c r="AM267" s="62">
        <f>IF(N($AL267)&gt;0,INDEX(rIni_ADM,$AL267),IF(ISNUMBER($E267),$E267,""))</f>
        <v/>
      </c>
      <c r="AN267" s="62">
        <f>IF(N($AL267)&gt;0,INDEX(rLim_ADM,$AL267),IF(ISNUMBER($F267),$F267,""))</f>
        <v/>
      </c>
    </row>
    <row r="268">
      <c r="A268" s="56">
        <f>IF(NOT((COUNTA($B268:$D268)+COUNTA($G268:$L268)+COUNTA($Q268))&gt;0),"",IF($V268="Macro",COUNTIFS($V$5:$V268,"Macro",$S$5:$S268,$S268),IF(N($U268)=0,"?",COUNTIFS(INDEX($V$5:$V$1000,1):INDEX($V$5:$V$1000,$U268-4),"Macro",INDEX($S$5:$S$1000,1):INDEX($S$5:$S$1000,$U268-4),INDEX($S$5:$S$1000,$U268-4))&amp;"."&amp;COUNTIFS($U$5:$U268,$U268,$V$5:$V268,"Sub"))))</f>
        <v/>
      </c>
      <c r="B268" s="57" t="n"/>
      <c r="C268" s="58" t="n"/>
      <c r="D268" s="58" t="n"/>
      <c r="E268" s="59" t="n"/>
      <c r="F268" s="59" t="n"/>
      <c r="G268" s="59" t="n"/>
      <c r="H268" s="60" t="n"/>
      <c r="I268" s="60" t="n"/>
      <c r="J268" s="60" t="n"/>
      <c r="K268" s="60" t="n"/>
      <c r="L268" s="60" t="n"/>
      <c r="M268" s="61">
        <f>IF(NOT((COUNTA($B268:$D268)+COUNTA($G268:$L268)+COUNTA($Q268))&gt;0),"",IF(AND($D268&lt;&gt;"",$V268="Macro"),IF(N($AH268)&gt;0,N(CHOOSE(MATCH($D268,ListaPuestos,0),INDEX('Cronograma R. Operacional'!$M$5:$M$1000,$AH268),INDEX('Cronograma R. Normativo'!$M$5:$M$1000,$AH268),INDEX('Cronograma R. Financiero'!$M$5:$M$1000,$AH268),INDEX('Cronograma Asistente Técnico'!$M$5:$M$1000,$AH268))),0),IF(ISNUMBER($G268),1,IF(N($W268)&gt;0,AVERAGEIFS($X$5:$X$1000,$U$5:$U$1000,ROW(),$V$5:$V$1000,"Sub"),$X268))))</f>
        <v/>
      </c>
      <c r="N268" s="56">
        <f>IF($M268="","",IF($M268&gt;=1,"Completado",IF($M268&gt;0,"En curso","Pendiente")))</f>
        <v/>
      </c>
      <c r="O268" s="56">
        <f>IF(NOT((COUNTA($B268:$D268)+COUNTA($G268:$L268)+COUNTA($Q268))&gt;0),"",IF(AND(AND($D268&lt;&gt;"",$V268="Macro"),N($AH268)&gt;0),CHOOSE(MATCH($D268,ListaPuestos,0),INDEX('Cronograma R. Operacional'!$O$5:$O$1000,$AH268),INDEX('Cronograma R. Normativo'!$O$5:$O$1000,$AH268),INDEX('Cronograma R. Financiero'!$O$5:$O$1000,$AH268),INDEX('Cronograma Asistente Técnico'!$O$5:$O$1000,$AH268))&amp;"",IF(ISNUMBER($G268),IF(AND(ISNUMBER($AN268),$G268&gt;$AN268),"Cumplida con "&amp;($G268-$AN268)&amp;IF($G268-$AN268=1," día"," días")&amp;" de retraso","Cumplida"),IF(N($M268)&gt;=1,"Cumplida",IF(NOT(ISNUMBER($AN268)),"Sin fecha límite",IF($AN268&lt;FechaRef,"Vencida hace "&amp;(FechaRef-$AN268)&amp;IF(FechaRef-$AN268=1," día"," días"),IF($AN268=FechaRef,"Vence hoy",IF($AN268-FechaRef&lt;=DiasAlerta,"Vence en "&amp;($AN268-FechaRef)&amp;IF($AN268-FechaRef=1," día"," días"),"En plazo"))))))))</f>
        <v/>
      </c>
      <c r="P268" s="62">
        <f>IF(NOT((COUNTA($B268:$D268)+COUNTA($G268:$L268)+COUNTA($Q268))&gt;0),"",IF($D268="","Propia",IF($V268&lt;&gt;"Macro","Solo se delegan macroactividades",IF(N($AH268)&gt;0,"✔ Recibida por "&amp;$D268,"⚠ "&amp;$D268&amp;" aún no la agrega"))))</f>
        <v/>
      </c>
      <c r="Q268" s="58" t="n"/>
      <c r="R268" s="63">
        <f>IF(NOT((COUNTA($B268:$D268)+COUNTA($G268:$L268)+COUNTA($Q268))&gt;0),"",IF((IF($C268="","Falta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",""))="","✔ OK","⚠ "&amp;LEFT(IF($C268="","Falta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",""),LEN(IF($C268="","Falta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",""))-3)))</f>
        <v/>
      </c>
      <c r="S268" s="64">
        <f>IF(NOT((COUNTA($B268:$D268)+COUNTA($G268:$L268)+COUNTA($Q268))&gt;0),"",IF(AND($V268="Sub",N($U268)&gt;0),IF(ISNUMBER(INDEX($AM$5:$AM$1000,$U268-4)),DATE(YEAR(INDEX($AM$5:$AM$1000,$U268-4)),MONTH(INDEX($AM$5:$AM$1000,$U268-4)),1),IF(ISNUMBER(INDEX($AN$5:$AN$1000,$U268-4)),DATE(YEAR(INDEX($AN$5:$AN$1000,$U268-4)),MONTH(INDEX($AN$5:$AN$1000,$U268-4)),1),MesCiclo)),IF(ISNUMBER($AM268),DATE(YEAR($AM268),MONTH($AM268),1),IF(ISNUMBER($AN268),DATE(YEAR($AN268),MONTH($AN268),1),MesCiclo))))</f>
        <v/>
      </c>
      <c r="T268" s="62">
        <f>IF(OR($S268="",$S268&lt;&gt;MesCiclo),"",COUNTIF($S$5:$S268,MesCiclo))</f>
        <v/>
      </c>
      <c r="U268" s="62">
        <f>IF($V268="","",IF($V268="Macro",ROW(),IFERROR(LOOKUP(2,1/($V$5:$V268="Macro"),ROW($V$5:$V268)),0)))</f>
        <v/>
      </c>
      <c r="V268" s="62">
        <f>IF(NOT((COUNTA($B268:$D268)+COUNTA($G268:$L268)+COUNTA($Q268))&gt;0),"",IF($B268="Subactividad","Sub","Macro"))</f>
        <v/>
      </c>
      <c r="W268" s="62">
        <f>IF($V268="Macro",COUNTIFS($U$5:$U$1000,ROW(),$V$5:$V$1000,"Sub"),"")</f>
        <v/>
      </c>
      <c r="X268" s="62">
        <f>IF($V268="","",IF(ISNUMBER($G268),1,IFERROR(LOOKUP(2,1/($I268:$L268&lt;&gt;""),$I268:$L268),0)))</f>
        <v/>
      </c>
      <c r="Y268" s="62">
        <f>IF($V268="","",IF(AND(ISNUMBER($G268),$G268&lt;=IF($S268=MesCiclo,InicioCiclo,$S268+MOD(2-WEEKDAY($S268),7))+6),1,IF(ISNUMBER($I268),$I268,0)))</f>
        <v/>
      </c>
      <c r="Z268" s="62">
        <f>IF($V268="","",IF(AND(ISNUMBER($G268),$G268&lt;=IF($S268=MesCiclo,InicioCiclo,$S268+MOD(2-WEEKDAY($S268),7))+13),1,IF(ISNUMBER($J268),$J268,$Y268)))</f>
        <v/>
      </c>
      <c r="AA268" s="62">
        <f>IF($V268="","",IF(AND(ISNUMBER($G268),$G268&lt;=IF($S268=MesCiclo,InicioCiclo,$S268+MOD(2-WEEKDAY($S268),7))+20),1,IF(ISNUMBER($K268),$K268,$Z268)))</f>
        <v/>
      </c>
      <c r="AB268" s="62">
        <f>IF($V268="","",IF(AND(ISNUMBER($G268),$G268&lt;=IF($S268=MesCiclo,InicioCiclo,$S268+MOD(2-WEEKDAY($S268),7))+27),1,IF(ISNUMBER($L268),$L268,$AA268)))</f>
        <v/>
      </c>
      <c r="AC268" s="62">
        <f>IF($V268="","",IF(AND(ISNUMBER($G268),$G268&lt;=IF($S268=MesCiclo,InicioCiclo,$S268+MOD(2-WEEKDAY($S268),7))+6),1,IF(N($W268)&gt;0,AVERAGEIFS($Y$5:$Y$1000,$U$5:$U$1000,ROW(),$V$5:$V$1000,"Sub"),$Y268)))</f>
        <v/>
      </c>
      <c r="AD268" s="62">
        <f>IF($V268="","",IF(AND(ISNUMBER($G268),$G268&lt;=IF($S268=MesCiclo,InicioCiclo,$S268+MOD(2-WEEKDAY($S268),7))+13),1,IF(N($W268)&gt;0,AVERAGEIFS($Z$5:$Z$1000,$U$5:$U$1000,ROW(),$V$5:$V$1000,"Sub"),$Z268)))</f>
        <v/>
      </c>
      <c r="AE268" s="62">
        <f>IF($V268="","",IF(AND(ISNUMBER($G268),$G268&lt;=IF($S268=MesCiclo,InicioCiclo,$S268+MOD(2-WEEKDAY($S268),7))+20),1,IF(N($W268)&gt;0,AVERAGEIFS($AA$5:$AA$1000,$U$5:$U$1000,ROW(),$V$5:$V$1000,"Sub"),$AA268)))</f>
        <v/>
      </c>
      <c r="AF268" s="62">
        <f>IF($V268="","",IF(AND(ISNUMBER($G268),$G268&lt;=IF($S268=MesCiclo,InicioCiclo,$S268+MOD(2-WEEKDAY($S268),7))+27),1,IF(N($W268)&gt;0,AVERAGEIFS($AB$5:$AB$1000,$U$5:$U$1000,ROW(),$V$5:$V$1000,"Sub"),$AB268)))</f>
        <v/>
      </c>
      <c r="AG268" s="62">
        <f>IF($V268&lt;&gt;"Macro","",IF(COUNTIFS($S$5:$S$1000,$S268,$V$5:$V$1000,"Macro",$H$5:$H$1000,"&gt;0")=0,1/COUNTIFS($S$5:$S$1000,$S268,$V$5:$V$1000,"Macro"),IF(AND(ISNUMBER($H268),N($H268)&gt;0),$H268,SUMIFS($H$5:$H$1000,$S$5:$S$1000,$S268,$V$5:$V$1000,"Macro")/COUNTIFS($S$5:$S$1000,$S268,$V$5:$V$1000,"Macro",$H$5:$H$1000,"&gt;0"))/(COUNTIFS($S$5:$S$1000,$S268,$V$5:$V$1000,"Macro")*SUMIFS($H$5:$H$1000,$S$5:$S$1000,$S268,$V$5:$V$1000,"Macro")/COUNTIFS($S$5:$S$1000,$S268,$V$5:$V$1000,"Macro",$H$5:$H$1000,"&gt;0"))))</f>
        <v/>
      </c>
      <c r="AH268" s="62">
        <f>IF(NOT(AND($D268&lt;&gt;"",$V268="Macro")),"",IFERROR(CHOOSE(MATCH($D268,ListaPuestos,0),MATCH("[Jefatura] "&amp;$C268,'Cronograma R. Operacional'!$C$5:$C$1000,0),MATCH("[Jefatura] "&amp;$C268,'Cronograma R. Normativo'!$C$5:$C$1000,0),MATCH("[Jefatura] "&amp;$C268,'Cronograma R. Financiero'!$C$5:$C$1000,0),MATCH("[Jefatura] "&amp;$C268,'Cronograma Asistente Técnico'!$C$5:$C$1000,0)),0))</f>
        <v/>
      </c>
      <c r="AI268" s="62">
        <f>IF(AND(AND($D268&lt;&gt;"",$V268="Macro"),$S268=MesCiclo),COUNTIFS($D$5:$D268,$D268,$S$5:$S268,MesCiclo,$V$5:$V268,"Macro"),"")</f>
        <v/>
      </c>
      <c r="AJ268" s="62">
        <f>IF($AI268="","",$D268&amp;"|"&amp;$AI268)</f>
        <v/>
      </c>
      <c r="AK268" s="62">
        <f>IF(AND($D268&lt;&gt;"",$V268="Macro"),$D268&amp;"|"&amp;$C268,"")</f>
        <v/>
      </c>
      <c r="AL268" s="62">
        <f>""</f>
        <v/>
      </c>
      <c r="AM268" s="62">
        <f>IF(N($AL268)&gt;0,INDEX(rIni_ADM,$AL268),IF(ISNUMBER($E268),$E268,""))</f>
        <v/>
      </c>
      <c r="AN268" s="62">
        <f>IF(N($AL268)&gt;0,INDEX(rLim_ADM,$AL268),IF(ISNUMBER($F268),$F268,""))</f>
        <v/>
      </c>
    </row>
    <row r="269">
      <c r="A269" s="56">
        <f>IF(NOT((COUNTA($B269:$D269)+COUNTA($G269:$L269)+COUNTA($Q269))&gt;0),"",IF($V269="Macro",COUNTIFS($V$5:$V269,"Macro",$S$5:$S269,$S269),IF(N($U269)=0,"?",COUNTIFS(INDEX($V$5:$V$1000,1):INDEX($V$5:$V$1000,$U269-4),"Macro",INDEX($S$5:$S$1000,1):INDEX($S$5:$S$1000,$U269-4),INDEX($S$5:$S$1000,$U269-4))&amp;"."&amp;COUNTIFS($U$5:$U269,$U269,$V$5:$V269,"Sub"))))</f>
        <v/>
      </c>
      <c r="B269" s="57" t="n"/>
      <c r="C269" s="58" t="n"/>
      <c r="D269" s="58" t="n"/>
      <c r="E269" s="59" t="n"/>
      <c r="F269" s="59" t="n"/>
      <c r="G269" s="59" t="n"/>
      <c r="H269" s="60" t="n"/>
      <c r="I269" s="60" t="n"/>
      <c r="J269" s="60" t="n"/>
      <c r="K269" s="60" t="n"/>
      <c r="L269" s="60" t="n"/>
      <c r="M269" s="61">
        <f>IF(NOT((COUNTA($B269:$D269)+COUNTA($G269:$L269)+COUNTA($Q269))&gt;0),"",IF(AND($D269&lt;&gt;"",$V269="Macro"),IF(N($AH269)&gt;0,N(CHOOSE(MATCH($D269,ListaPuestos,0),INDEX('Cronograma R. Operacional'!$M$5:$M$1000,$AH269),INDEX('Cronograma R. Normativo'!$M$5:$M$1000,$AH269),INDEX('Cronograma R. Financiero'!$M$5:$M$1000,$AH269),INDEX('Cronograma Asistente Técnico'!$M$5:$M$1000,$AH269))),0),IF(ISNUMBER($G269),1,IF(N($W269)&gt;0,AVERAGEIFS($X$5:$X$1000,$U$5:$U$1000,ROW(),$V$5:$V$1000,"Sub"),$X269))))</f>
        <v/>
      </c>
      <c r="N269" s="56">
        <f>IF($M269="","",IF($M269&gt;=1,"Completado",IF($M269&gt;0,"En curso","Pendiente")))</f>
        <v/>
      </c>
      <c r="O269" s="56">
        <f>IF(NOT((COUNTA($B269:$D269)+COUNTA($G269:$L269)+COUNTA($Q269))&gt;0),"",IF(AND(AND($D269&lt;&gt;"",$V269="Macro"),N($AH269)&gt;0),CHOOSE(MATCH($D269,ListaPuestos,0),INDEX('Cronograma R. Operacional'!$O$5:$O$1000,$AH269),INDEX('Cronograma R. Normativo'!$O$5:$O$1000,$AH269),INDEX('Cronograma R. Financiero'!$O$5:$O$1000,$AH269),INDEX('Cronograma Asistente Técnico'!$O$5:$O$1000,$AH269))&amp;"",IF(ISNUMBER($G269),IF(AND(ISNUMBER($AN269),$G269&gt;$AN269),"Cumplida con "&amp;($G269-$AN269)&amp;IF($G269-$AN269=1," día"," días")&amp;" de retraso","Cumplida"),IF(N($M269)&gt;=1,"Cumplida",IF(NOT(ISNUMBER($AN269)),"Sin fecha límite",IF($AN269&lt;FechaRef,"Vencida hace "&amp;(FechaRef-$AN269)&amp;IF(FechaRef-$AN269=1," día"," días"),IF($AN269=FechaRef,"Vence hoy",IF($AN269-FechaRef&lt;=DiasAlerta,"Vence en "&amp;($AN269-FechaRef)&amp;IF($AN269-FechaRef=1," día"," días"),"En plazo"))))))))</f>
        <v/>
      </c>
      <c r="P269" s="62">
        <f>IF(NOT((COUNTA($B269:$D269)+COUNTA($G269:$L269)+COUNTA($Q269))&gt;0),"",IF($D269="","Propia",IF($V269&lt;&gt;"Macro","Solo se delegan macroactividades",IF(N($AH269)&gt;0,"✔ Recibida por "&amp;$D269,"⚠ "&amp;$D269&amp;" aún no la agrega"))))</f>
        <v/>
      </c>
      <c r="Q269" s="58" t="n"/>
      <c r="R269" s="63">
        <f>IF(NOT((COUNTA($B269:$D269)+COUNTA($G269:$L269)+COUNTA($Q269))&gt;0),"",IF((IF($C269="","Falta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",""))="","✔ OK","⚠ "&amp;LEFT(IF($C269="","Falta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",""),LEN(IF($C269="","Falta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",""))-3)))</f>
        <v/>
      </c>
      <c r="S269" s="64">
        <f>IF(NOT((COUNTA($B269:$D269)+COUNTA($G269:$L269)+COUNTA($Q269))&gt;0),"",IF(AND($V269="Sub",N($U269)&gt;0),IF(ISNUMBER(INDEX($AM$5:$AM$1000,$U269-4)),DATE(YEAR(INDEX($AM$5:$AM$1000,$U269-4)),MONTH(INDEX($AM$5:$AM$1000,$U269-4)),1),IF(ISNUMBER(INDEX($AN$5:$AN$1000,$U269-4)),DATE(YEAR(INDEX($AN$5:$AN$1000,$U269-4)),MONTH(INDEX($AN$5:$AN$1000,$U269-4)),1),MesCiclo)),IF(ISNUMBER($AM269),DATE(YEAR($AM269),MONTH($AM269),1),IF(ISNUMBER($AN269),DATE(YEAR($AN269),MONTH($AN269),1),MesCiclo))))</f>
        <v/>
      </c>
      <c r="T269" s="62">
        <f>IF(OR($S269="",$S269&lt;&gt;MesCiclo),"",COUNTIF($S$5:$S269,MesCiclo))</f>
        <v/>
      </c>
      <c r="U269" s="62">
        <f>IF($V269="","",IF($V269="Macro",ROW(),IFERROR(LOOKUP(2,1/($V$5:$V269="Macro"),ROW($V$5:$V269)),0)))</f>
        <v/>
      </c>
      <c r="V269" s="62">
        <f>IF(NOT((COUNTA($B269:$D269)+COUNTA($G269:$L269)+COUNTA($Q269))&gt;0),"",IF($B269="Subactividad","Sub","Macro"))</f>
        <v/>
      </c>
      <c r="W269" s="62">
        <f>IF($V269="Macro",COUNTIFS($U$5:$U$1000,ROW(),$V$5:$V$1000,"Sub"),"")</f>
        <v/>
      </c>
      <c r="X269" s="62">
        <f>IF($V269="","",IF(ISNUMBER($G269),1,IFERROR(LOOKUP(2,1/($I269:$L269&lt;&gt;""),$I269:$L269),0)))</f>
        <v/>
      </c>
      <c r="Y269" s="62">
        <f>IF($V269="","",IF(AND(ISNUMBER($G269),$G269&lt;=IF($S269=MesCiclo,InicioCiclo,$S269+MOD(2-WEEKDAY($S269),7))+6),1,IF(ISNUMBER($I269),$I269,0)))</f>
        <v/>
      </c>
      <c r="Z269" s="62">
        <f>IF($V269="","",IF(AND(ISNUMBER($G269),$G269&lt;=IF($S269=MesCiclo,InicioCiclo,$S269+MOD(2-WEEKDAY($S269),7))+13),1,IF(ISNUMBER($J269),$J269,$Y269)))</f>
        <v/>
      </c>
      <c r="AA269" s="62">
        <f>IF($V269="","",IF(AND(ISNUMBER($G269),$G269&lt;=IF($S269=MesCiclo,InicioCiclo,$S269+MOD(2-WEEKDAY($S269),7))+20),1,IF(ISNUMBER($K269),$K269,$Z269)))</f>
        <v/>
      </c>
      <c r="AB269" s="62">
        <f>IF($V269="","",IF(AND(ISNUMBER($G269),$G269&lt;=IF($S269=MesCiclo,InicioCiclo,$S269+MOD(2-WEEKDAY($S269),7))+27),1,IF(ISNUMBER($L269),$L269,$AA269)))</f>
        <v/>
      </c>
      <c r="AC269" s="62">
        <f>IF($V269="","",IF(AND(ISNUMBER($G269),$G269&lt;=IF($S269=MesCiclo,InicioCiclo,$S269+MOD(2-WEEKDAY($S269),7))+6),1,IF(N($W269)&gt;0,AVERAGEIFS($Y$5:$Y$1000,$U$5:$U$1000,ROW(),$V$5:$V$1000,"Sub"),$Y269)))</f>
        <v/>
      </c>
      <c r="AD269" s="62">
        <f>IF($V269="","",IF(AND(ISNUMBER($G269),$G269&lt;=IF($S269=MesCiclo,InicioCiclo,$S269+MOD(2-WEEKDAY($S269),7))+13),1,IF(N($W269)&gt;0,AVERAGEIFS($Z$5:$Z$1000,$U$5:$U$1000,ROW(),$V$5:$V$1000,"Sub"),$Z269)))</f>
        <v/>
      </c>
      <c r="AE269" s="62">
        <f>IF($V269="","",IF(AND(ISNUMBER($G269),$G269&lt;=IF($S269=MesCiclo,InicioCiclo,$S269+MOD(2-WEEKDAY($S269),7))+20),1,IF(N($W269)&gt;0,AVERAGEIFS($AA$5:$AA$1000,$U$5:$U$1000,ROW(),$V$5:$V$1000,"Sub"),$AA269)))</f>
        <v/>
      </c>
      <c r="AF269" s="62">
        <f>IF($V269="","",IF(AND(ISNUMBER($G269),$G269&lt;=IF($S269=MesCiclo,InicioCiclo,$S269+MOD(2-WEEKDAY($S269),7))+27),1,IF(N($W269)&gt;0,AVERAGEIFS($AB$5:$AB$1000,$U$5:$U$1000,ROW(),$V$5:$V$1000,"Sub"),$AB269)))</f>
        <v/>
      </c>
      <c r="AG269" s="62">
        <f>IF($V269&lt;&gt;"Macro","",IF(COUNTIFS($S$5:$S$1000,$S269,$V$5:$V$1000,"Macro",$H$5:$H$1000,"&gt;0")=0,1/COUNTIFS($S$5:$S$1000,$S269,$V$5:$V$1000,"Macro"),IF(AND(ISNUMBER($H269),N($H269)&gt;0),$H269,SUMIFS($H$5:$H$1000,$S$5:$S$1000,$S269,$V$5:$V$1000,"Macro")/COUNTIFS($S$5:$S$1000,$S269,$V$5:$V$1000,"Macro",$H$5:$H$1000,"&gt;0"))/(COUNTIFS($S$5:$S$1000,$S269,$V$5:$V$1000,"Macro")*SUMIFS($H$5:$H$1000,$S$5:$S$1000,$S269,$V$5:$V$1000,"Macro")/COUNTIFS($S$5:$S$1000,$S269,$V$5:$V$1000,"Macro",$H$5:$H$1000,"&gt;0"))))</f>
        <v/>
      </c>
      <c r="AH269" s="62">
        <f>IF(NOT(AND($D269&lt;&gt;"",$V269="Macro")),"",IFERROR(CHOOSE(MATCH($D269,ListaPuestos,0),MATCH("[Jefatura] "&amp;$C269,'Cronograma R. Operacional'!$C$5:$C$1000,0),MATCH("[Jefatura] "&amp;$C269,'Cronograma R. Normativo'!$C$5:$C$1000,0),MATCH("[Jefatura] "&amp;$C269,'Cronograma R. Financiero'!$C$5:$C$1000,0),MATCH("[Jefatura] "&amp;$C269,'Cronograma Asistente Técnico'!$C$5:$C$1000,0)),0))</f>
        <v/>
      </c>
      <c r="AI269" s="62">
        <f>IF(AND(AND($D269&lt;&gt;"",$V269="Macro"),$S269=MesCiclo),COUNTIFS($D$5:$D269,$D269,$S$5:$S269,MesCiclo,$V$5:$V269,"Macro"),"")</f>
        <v/>
      </c>
      <c r="AJ269" s="62">
        <f>IF($AI269="","",$D269&amp;"|"&amp;$AI269)</f>
        <v/>
      </c>
      <c r="AK269" s="62">
        <f>IF(AND($D269&lt;&gt;"",$V269="Macro"),$D269&amp;"|"&amp;$C269,"")</f>
        <v/>
      </c>
      <c r="AL269" s="62">
        <f>""</f>
        <v/>
      </c>
      <c r="AM269" s="62">
        <f>IF(N($AL269)&gt;0,INDEX(rIni_ADM,$AL269),IF(ISNUMBER($E269),$E269,""))</f>
        <v/>
      </c>
      <c r="AN269" s="62">
        <f>IF(N($AL269)&gt;0,INDEX(rLim_ADM,$AL269),IF(ISNUMBER($F269),$F269,""))</f>
        <v/>
      </c>
    </row>
    <row r="270">
      <c r="A270" s="56">
        <f>IF(NOT((COUNTA($B270:$D270)+COUNTA($G270:$L270)+COUNTA($Q270))&gt;0),"",IF($V270="Macro",COUNTIFS($V$5:$V270,"Macro",$S$5:$S270,$S270),IF(N($U270)=0,"?",COUNTIFS(INDEX($V$5:$V$1000,1):INDEX($V$5:$V$1000,$U270-4),"Macro",INDEX($S$5:$S$1000,1):INDEX($S$5:$S$1000,$U270-4),INDEX($S$5:$S$1000,$U270-4))&amp;"."&amp;COUNTIFS($U$5:$U270,$U270,$V$5:$V270,"Sub"))))</f>
        <v/>
      </c>
      <c r="B270" s="57" t="n"/>
      <c r="C270" s="58" t="n"/>
      <c r="D270" s="58" t="n"/>
      <c r="E270" s="59" t="n"/>
      <c r="F270" s="59" t="n"/>
      <c r="G270" s="59" t="n"/>
      <c r="H270" s="60" t="n"/>
      <c r="I270" s="60" t="n"/>
      <c r="J270" s="60" t="n"/>
      <c r="K270" s="60" t="n"/>
      <c r="L270" s="60" t="n"/>
      <c r="M270" s="61">
        <f>IF(NOT((COUNTA($B270:$D270)+COUNTA($G270:$L270)+COUNTA($Q270))&gt;0),"",IF(AND($D270&lt;&gt;"",$V270="Macro"),IF(N($AH270)&gt;0,N(CHOOSE(MATCH($D270,ListaPuestos,0),INDEX('Cronograma R. Operacional'!$M$5:$M$1000,$AH270),INDEX('Cronograma R. Normativo'!$M$5:$M$1000,$AH270),INDEX('Cronograma R. Financiero'!$M$5:$M$1000,$AH270),INDEX('Cronograma Asistente Técnico'!$M$5:$M$1000,$AH270))),0),IF(ISNUMBER($G270),1,IF(N($W270)&gt;0,AVERAGEIFS($X$5:$X$1000,$U$5:$U$1000,ROW(),$V$5:$V$1000,"Sub"),$X270))))</f>
        <v/>
      </c>
      <c r="N270" s="56">
        <f>IF($M270="","",IF($M270&gt;=1,"Completado",IF($M270&gt;0,"En curso","Pendiente")))</f>
        <v/>
      </c>
      <c r="O270" s="56">
        <f>IF(NOT((COUNTA($B270:$D270)+COUNTA($G270:$L270)+COUNTA($Q270))&gt;0),"",IF(AND(AND($D270&lt;&gt;"",$V270="Macro"),N($AH270)&gt;0),CHOOSE(MATCH($D270,ListaPuestos,0),INDEX('Cronograma R. Operacional'!$O$5:$O$1000,$AH270),INDEX('Cronograma R. Normativo'!$O$5:$O$1000,$AH270),INDEX('Cronograma R. Financiero'!$O$5:$O$1000,$AH270),INDEX('Cronograma Asistente Técnico'!$O$5:$O$1000,$AH270))&amp;"",IF(ISNUMBER($G270),IF(AND(ISNUMBER($AN270),$G270&gt;$AN270),"Cumplida con "&amp;($G270-$AN270)&amp;IF($G270-$AN270=1," día"," días")&amp;" de retraso","Cumplida"),IF(N($M270)&gt;=1,"Cumplida",IF(NOT(ISNUMBER($AN270)),"Sin fecha límite",IF($AN270&lt;FechaRef,"Vencida hace "&amp;(FechaRef-$AN270)&amp;IF(FechaRef-$AN270=1," día"," días"),IF($AN270=FechaRef,"Vence hoy",IF($AN270-FechaRef&lt;=DiasAlerta,"Vence en "&amp;($AN270-FechaRef)&amp;IF($AN270-FechaRef=1," día"," días"),"En plazo"))))))))</f>
        <v/>
      </c>
      <c r="P270" s="62">
        <f>IF(NOT((COUNTA($B270:$D270)+COUNTA($G270:$L270)+COUNTA($Q270))&gt;0),"",IF($D270="","Propia",IF($V270&lt;&gt;"Macro","Solo se delegan macroactividades",IF(N($AH270)&gt;0,"✔ Recibida por "&amp;$D270,"⚠ "&amp;$D270&amp;" aún no la agrega"))))</f>
        <v/>
      </c>
      <c r="Q270" s="58" t="n"/>
      <c r="R270" s="63">
        <f>IF(NOT((COUNTA($B270:$D270)+COUNTA($G270:$L270)+COUNTA($Q270))&gt;0),"",IF((IF($C270="","Falta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",""))="","✔ OK","⚠ "&amp;LEFT(IF($C270="","Falta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",""),LEN(IF($C270="","Falta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",""))-3)))</f>
        <v/>
      </c>
      <c r="S270" s="64">
        <f>IF(NOT((COUNTA($B270:$D270)+COUNTA($G270:$L270)+COUNTA($Q270))&gt;0),"",IF(AND($V270="Sub",N($U270)&gt;0),IF(ISNUMBER(INDEX($AM$5:$AM$1000,$U270-4)),DATE(YEAR(INDEX($AM$5:$AM$1000,$U270-4)),MONTH(INDEX($AM$5:$AM$1000,$U270-4)),1),IF(ISNUMBER(INDEX($AN$5:$AN$1000,$U270-4)),DATE(YEAR(INDEX($AN$5:$AN$1000,$U270-4)),MONTH(INDEX($AN$5:$AN$1000,$U270-4)),1),MesCiclo)),IF(ISNUMBER($AM270),DATE(YEAR($AM270),MONTH($AM270),1),IF(ISNUMBER($AN270),DATE(YEAR($AN270),MONTH($AN270),1),MesCiclo))))</f>
        <v/>
      </c>
      <c r="T270" s="62">
        <f>IF(OR($S270="",$S270&lt;&gt;MesCiclo),"",COUNTIF($S$5:$S270,MesCiclo))</f>
        <v/>
      </c>
      <c r="U270" s="62">
        <f>IF($V270="","",IF($V270="Macro",ROW(),IFERROR(LOOKUP(2,1/($V$5:$V270="Macro"),ROW($V$5:$V270)),0)))</f>
        <v/>
      </c>
      <c r="V270" s="62">
        <f>IF(NOT((COUNTA($B270:$D270)+COUNTA($G270:$L270)+COUNTA($Q270))&gt;0),"",IF($B270="Subactividad","Sub","Macro"))</f>
        <v/>
      </c>
      <c r="W270" s="62">
        <f>IF($V270="Macro",COUNTIFS($U$5:$U$1000,ROW(),$V$5:$V$1000,"Sub"),"")</f>
        <v/>
      </c>
      <c r="X270" s="62">
        <f>IF($V270="","",IF(ISNUMBER($G270),1,IFERROR(LOOKUP(2,1/($I270:$L270&lt;&gt;""),$I270:$L270),0)))</f>
        <v/>
      </c>
      <c r="Y270" s="62">
        <f>IF($V270="","",IF(AND(ISNUMBER($G270),$G270&lt;=IF($S270=MesCiclo,InicioCiclo,$S270+MOD(2-WEEKDAY($S270),7))+6),1,IF(ISNUMBER($I270),$I270,0)))</f>
        <v/>
      </c>
      <c r="Z270" s="62">
        <f>IF($V270="","",IF(AND(ISNUMBER($G270),$G270&lt;=IF($S270=MesCiclo,InicioCiclo,$S270+MOD(2-WEEKDAY($S270),7))+13),1,IF(ISNUMBER($J270),$J270,$Y270)))</f>
        <v/>
      </c>
      <c r="AA270" s="62">
        <f>IF($V270="","",IF(AND(ISNUMBER($G270),$G270&lt;=IF($S270=MesCiclo,InicioCiclo,$S270+MOD(2-WEEKDAY($S270),7))+20),1,IF(ISNUMBER($K270),$K270,$Z270)))</f>
        <v/>
      </c>
      <c r="AB270" s="62">
        <f>IF($V270="","",IF(AND(ISNUMBER($G270),$G270&lt;=IF($S270=MesCiclo,InicioCiclo,$S270+MOD(2-WEEKDAY($S270),7))+27),1,IF(ISNUMBER($L270),$L270,$AA270)))</f>
        <v/>
      </c>
      <c r="AC270" s="62">
        <f>IF($V270="","",IF(AND(ISNUMBER($G270),$G270&lt;=IF($S270=MesCiclo,InicioCiclo,$S270+MOD(2-WEEKDAY($S270),7))+6),1,IF(N($W270)&gt;0,AVERAGEIFS($Y$5:$Y$1000,$U$5:$U$1000,ROW(),$V$5:$V$1000,"Sub"),$Y270)))</f>
        <v/>
      </c>
      <c r="AD270" s="62">
        <f>IF($V270="","",IF(AND(ISNUMBER($G270),$G270&lt;=IF($S270=MesCiclo,InicioCiclo,$S270+MOD(2-WEEKDAY($S270),7))+13),1,IF(N($W270)&gt;0,AVERAGEIFS($Z$5:$Z$1000,$U$5:$U$1000,ROW(),$V$5:$V$1000,"Sub"),$Z270)))</f>
        <v/>
      </c>
      <c r="AE270" s="62">
        <f>IF($V270="","",IF(AND(ISNUMBER($G270),$G270&lt;=IF($S270=MesCiclo,InicioCiclo,$S270+MOD(2-WEEKDAY($S270),7))+20),1,IF(N($W270)&gt;0,AVERAGEIFS($AA$5:$AA$1000,$U$5:$U$1000,ROW(),$V$5:$V$1000,"Sub"),$AA270)))</f>
        <v/>
      </c>
      <c r="AF270" s="62">
        <f>IF($V270="","",IF(AND(ISNUMBER($G270),$G270&lt;=IF($S270=MesCiclo,InicioCiclo,$S270+MOD(2-WEEKDAY($S270),7))+27),1,IF(N($W270)&gt;0,AVERAGEIFS($AB$5:$AB$1000,$U$5:$U$1000,ROW(),$V$5:$V$1000,"Sub"),$AB270)))</f>
        <v/>
      </c>
      <c r="AG270" s="62">
        <f>IF($V270&lt;&gt;"Macro","",IF(COUNTIFS($S$5:$S$1000,$S270,$V$5:$V$1000,"Macro",$H$5:$H$1000,"&gt;0")=0,1/COUNTIFS($S$5:$S$1000,$S270,$V$5:$V$1000,"Macro"),IF(AND(ISNUMBER($H270),N($H270)&gt;0),$H270,SUMIFS($H$5:$H$1000,$S$5:$S$1000,$S270,$V$5:$V$1000,"Macro")/COUNTIFS($S$5:$S$1000,$S270,$V$5:$V$1000,"Macro",$H$5:$H$1000,"&gt;0"))/(COUNTIFS($S$5:$S$1000,$S270,$V$5:$V$1000,"Macro")*SUMIFS($H$5:$H$1000,$S$5:$S$1000,$S270,$V$5:$V$1000,"Macro")/COUNTIFS($S$5:$S$1000,$S270,$V$5:$V$1000,"Macro",$H$5:$H$1000,"&gt;0"))))</f>
        <v/>
      </c>
      <c r="AH270" s="62">
        <f>IF(NOT(AND($D270&lt;&gt;"",$V270="Macro")),"",IFERROR(CHOOSE(MATCH($D270,ListaPuestos,0),MATCH("[Jefatura] "&amp;$C270,'Cronograma R. Operacional'!$C$5:$C$1000,0),MATCH("[Jefatura] "&amp;$C270,'Cronograma R. Normativo'!$C$5:$C$1000,0),MATCH("[Jefatura] "&amp;$C270,'Cronograma R. Financiero'!$C$5:$C$1000,0),MATCH("[Jefatura] "&amp;$C270,'Cronograma Asistente Técnico'!$C$5:$C$1000,0)),0))</f>
        <v/>
      </c>
      <c r="AI270" s="62">
        <f>IF(AND(AND($D270&lt;&gt;"",$V270="Macro"),$S270=MesCiclo),COUNTIFS($D$5:$D270,$D270,$S$5:$S270,MesCiclo,$V$5:$V270,"Macro"),"")</f>
        <v/>
      </c>
      <c r="AJ270" s="62">
        <f>IF($AI270="","",$D270&amp;"|"&amp;$AI270)</f>
        <v/>
      </c>
      <c r="AK270" s="62">
        <f>IF(AND($D270&lt;&gt;"",$V270="Macro"),$D270&amp;"|"&amp;$C270,"")</f>
        <v/>
      </c>
      <c r="AL270" s="62">
        <f>""</f>
        <v/>
      </c>
      <c r="AM270" s="62">
        <f>IF(N($AL270)&gt;0,INDEX(rIni_ADM,$AL270),IF(ISNUMBER($E270),$E270,""))</f>
        <v/>
      </c>
      <c r="AN270" s="62">
        <f>IF(N($AL270)&gt;0,INDEX(rLim_ADM,$AL270),IF(ISNUMBER($F270),$F270,""))</f>
        <v/>
      </c>
    </row>
    <row r="271">
      <c r="A271" s="56">
        <f>IF(NOT((COUNTA($B271:$D271)+COUNTA($G271:$L271)+COUNTA($Q271))&gt;0),"",IF($V271="Macro",COUNTIFS($V$5:$V271,"Macro",$S$5:$S271,$S271),IF(N($U271)=0,"?",COUNTIFS(INDEX($V$5:$V$1000,1):INDEX($V$5:$V$1000,$U271-4),"Macro",INDEX($S$5:$S$1000,1):INDEX($S$5:$S$1000,$U271-4),INDEX($S$5:$S$1000,$U271-4))&amp;"."&amp;COUNTIFS($U$5:$U271,$U271,$V$5:$V271,"Sub"))))</f>
        <v/>
      </c>
      <c r="B271" s="57" t="n"/>
      <c r="C271" s="58" t="n"/>
      <c r="D271" s="58" t="n"/>
      <c r="E271" s="59" t="n"/>
      <c r="F271" s="59" t="n"/>
      <c r="G271" s="59" t="n"/>
      <c r="H271" s="60" t="n"/>
      <c r="I271" s="60" t="n"/>
      <c r="J271" s="60" t="n"/>
      <c r="K271" s="60" t="n"/>
      <c r="L271" s="60" t="n"/>
      <c r="M271" s="61">
        <f>IF(NOT((COUNTA($B271:$D271)+COUNTA($G271:$L271)+COUNTA($Q271))&gt;0),"",IF(AND($D271&lt;&gt;"",$V271="Macro"),IF(N($AH271)&gt;0,N(CHOOSE(MATCH($D271,ListaPuestos,0),INDEX('Cronograma R. Operacional'!$M$5:$M$1000,$AH271),INDEX('Cronograma R. Normativo'!$M$5:$M$1000,$AH271),INDEX('Cronograma R. Financiero'!$M$5:$M$1000,$AH271),INDEX('Cronograma Asistente Técnico'!$M$5:$M$1000,$AH271))),0),IF(ISNUMBER($G271),1,IF(N($W271)&gt;0,AVERAGEIFS($X$5:$X$1000,$U$5:$U$1000,ROW(),$V$5:$V$1000,"Sub"),$X271))))</f>
        <v/>
      </c>
      <c r="N271" s="56">
        <f>IF($M271="","",IF($M271&gt;=1,"Completado",IF($M271&gt;0,"En curso","Pendiente")))</f>
        <v/>
      </c>
      <c r="O271" s="56">
        <f>IF(NOT((COUNTA($B271:$D271)+COUNTA($G271:$L271)+COUNTA($Q271))&gt;0),"",IF(AND(AND($D271&lt;&gt;"",$V271="Macro"),N($AH271)&gt;0),CHOOSE(MATCH($D271,ListaPuestos,0),INDEX('Cronograma R. Operacional'!$O$5:$O$1000,$AH271),INDEX('Cronograma R. Normativo'!$O$5:$O$1000,$AH271),INDEX('Cronograma R. Financiero'!$O$5:$O$1000,$AH271),INDEX('Cronograma Asistente Técnico'!$O$5:$O$1000,$AH271))&amp;"",IF(ISNUMBER($G271),IF(AND(ISNUMBER($AN271),$G271&gt;$AN271),"Cumplida con "&amp;($G271-$AN271)&amp;IF($G271-$AN271=1," día"," días")&amp;" de retraso","Cumplida"),IF(N($M271)&gt;=1,"Cumplida",IF(NOT(ISNUMBER($AN271)),"Sin fecha límite",IF($AN271&lt;FechaRef,"Vencida hace "&amp;(FechaRef-$AN271)&amp;IF(FechaRef-$AN271=1," día"," días"),IF($AN271=FechaRef,"Vence hoy",IF($AN271-FechaRef&lt;=DiasAlerta,"Vence en "&amp;($AN271-FechaRef)&amp;IF($AN271-FechaRef=1," día"," días"),"En plazo"))))))))</f>
        <v/>
      </c>
      <c r="P271" s="62">
        <f>IF(NOT((COUNTA($B271:$D271)+COUNTA($G271:$L271)+COUNTA($Q271))&gt;0),"",IF($D271="","Propia",IF($V271&lt;&gt;"Macro","Solo se delegan macroactividades",IF(N($AH271)&gt;0,"✔ Recibida por "&amp;$D271,"⚠ "&amp;$D271&amp;" aún no la agrega"))))</f>
        <v/>
      </c>
      <c r="Q271" s="58" t="n"/>
      <c r="R271" s="63">
        <f>IF(NOT((COUNTA($B271:$D271)+COUNTA($G271:$L271)+COUNTA($Q271))&gt;0),"",IF((IF($C271="","Falta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",""))="","✔ OK","⚠ "&amp;LEFT(IF($C271="","Falta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",""),LEN(IF($C271="","Falta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",""))-3)))</f>
        <v/>
      </c>
      <c r="S271" s="64">
        <f>IF(NOT((COUNTA($B271:$D271)+COUNTA($G271:$L271)+COUNTA($Q271))&gt;0),"",IF(AND($V271="Sub",N($U271)&gt;0),IF(ISNUMBER(INDEX($AM$5:$AM$1000,$U271-4)),DATE(YEAR(INDEX($AM$5:$AM$1000,$U271-4)),MONTH(INDEX($AM$5:$AM$1000,$U271-4)),1),IF(ISNUMBER(INDEX($AN$5:$AN$1000,$U271-4)),DATE(YEAR(INDEX($AN$5:$AN$1000,$U271-4)),MONTH(INDEX($AN$5:$AN$1000,$U271-4)),1),MesCiclo)),IF(ISNUMBER($AM271),DATE(YEAR($AM271),MONTH($AM271),1),IF(ISNUMBER($AN271),DATE(YEAR($AN271),MONTH($AN271),1),MesCiclo))))</f>
        <v/>
      </c>
      <c r="T271" s="62">
        <f>IF(OR($S271="",$S271&lt;&gt;MesCiclo),"",COUNTIF($S$5:$S271,MesCiclo))</f>
        <v/>
      </c>
      <c r="U271" s="62">
        <f>IF($V271="","",IF($V271="Macro",ROW(),IFERROR(LOOKUP(2,1/($V$5:$V271="Macro"),ROW($V$5:$V271)),0)))</f>
        <v/>
      </c>
      <c r="V271" s="62">
        <f>IF(NOT((COUNTA($B271:$D271)+COUNTA($G271:$L271)+COUNTA($Q271))&gt;0),"",IF($B271="Subactividad","Sub","Macro"))</f>
        <v/>
      </c>
      <c r="W271" s="62">
        <f>IF($V271="Macro",COUNTIFS($U$5:$U$1000,ROW(),$V$5:$V$1000,"Sub"),"")</f>
        <v/>
      </c>
      <c r="X271" s="62">
        <f>IF($V271="","",IF(ISNUMBER($G271),1,IFERROR(LOOKUP(2,1/($I271:$L271&lt;&gt;""),$I271:$L271),0)))</f>
        <v/>
      </c>
      <c r="Y271" s="62">
        <f>IF($V271="","",IF(AND(ISNUMBER($G271),$G271&lt;=IF($S271=MesCiclo,InicioCiclo,$S271+MOD(2-WEEKDAY($S271),7))+6),1,IF(ISNUMBER($I271),$I271,0)))</f>
        <v/>
      </c>
      <c r="Z271" s="62">
        <f>IF($V271="","",IF(AND(ISNUMBER($G271),$G271&lt;=IF($S271=MesCiclo,InicioCiclo,$S271+MOD(2-WEEKDAY($S271),7))+13),1,IF(ISNUMBER($J271),$J271,$Y271)))</f>
        <v/>
      </c>
      <c r="AA271" s="62">
        <f>IF($V271="","",IF(AND(ISNUMBER($G271),$G271&lt;=IF($S271=MesCiclo,InicioCiclo,$S271+MOD(2-WEEKDAY($S271),7))+20),1,IF(ISNUMBER($K271),$K271,$Z271)))</f>
        <v/>
      </c>
      <c r="AB271" s="62">
        <f>IF($V271="","",IF(AND(ISNUMBER($G271),$G271&lt;=IF($S271=MesCiclo,InicioCiclo,$S271+MOD(2-WEEKDAY($S271),7))+27),1,IF(ISNUMBER($L271),$L271,$AA271)))</f>
        <v/>
      </c>
      <c r="AC271" s="62">
        <f>IF($V271="","",IF(AND(ISNUMBER($G271),$G271&lt;=IF($S271=MesCiclo,InicioCiclo,$S271+MOD(2-WEEKDAY($S271),7))+6),1,IF(N($W271)&gt;0,AVERAGEIFS($Y$5:$Y$1000,$U$5:$U$1000,ROW(),$V$5:$V$1000,"Sub"),$Y271)))</f>
        <v/>
      </c>
      <c r="AD271" s="62">
        <f>IF($V271="","",IF(AND(ISNUMBER($G271),$G271&lt;=IF($S271=MesCiclo,InicioCiclo,$S271+MOD(2-WEEKDAY($S271),7))+13),1,IF(N($W271)&gt;0,AVERAGEIFS($Z$5:$Z$1000,$U$5:$U$1000,ROW(),$V$5:$V$1000,"Sub"),$Z271)))</f>
        <v/>
      </c>
      <c r="AE271" s="62">
        <f>IF($V271="","",IF(AND(ISNUMBER($G271),$G271&lt;=IF($S271=MesCiclo,InicioCiclo,$S271+MOD(2-WEEKDAY($S271),7))+20),1,IF(N($W271)&gt;0,AVERAGEIFS($AA$5:$AA$1000,$U$5:$U$1000,ROW(),$V$5:$V$1000,"Sub"),$AA271)))</f>
        <v/>
      </c>
      <c r="AF271" s="62">
        <f>IF($V271="","",IF(AND(ISNUMBER($G271),$G271&lt;=IF($S271=MesCiclo,InicioCiclo,$S271+MOD(2-WEEKDAY($S271),7))+27),1,IF(N($W271)&gt;0,AVERAGEIFS($AB$5:$AB$1000,$U$5:$U$1000,ROW(),$V$5:$V$1000,"Sub"),$AB271)))</f>
        <v/>
      </c>
      <c r="AG271" s="62">
        <f>IF($V271&lt;&gt;"Macro","",IF(COUNTIFS($S$5:$S$1000,$S271,$V$5:$V$1000,"Macro",$H$5:$H$1000,"&gt;0")=0,1/COUNTIFS($S$5:$S$1000,$S271,$V$5:$V$1000,"Macro"),IF(AND(ISNUMBER($H271),N($H271)&gt;0),$H271,SUMIFS($H$5:$H$1000,$S$5:$S$1000,$S271,$V$5:$V$1000,"Macro")/COUNTIFS($S$5:$S$1000,$S271,$V$5:$V$1000,"Macro",$H$5:$H$1000,"&gt;0"))/(COUNTIFS($S$5:$S$1000,$S271,$V$5:$V$1000,"Macro")*SUMIFS($H$5:$H$1000,$S$5:$S$1000,$S271,$V$5:$V$1000,"Macro")/COUNTIFS($S$5:$S$1000,$S271,$V$5:$V$1000,"Macro",$H$5:$H$1000,"&gt;0"))))</f>
        <v/>
      </c>
      <c r="AH271" s="62">
        <f>IF(NOT(AND($D271&lt;&gt;"",$V271="Macro")),"",IFERROR(CHOOSE(MATCH($D271,ListaPuestos,0),MATCH("[Jefatura] "&amp;$C271,'Cronograma R. Operacional'!$C$5:$C$1000,0),MATCH("[Jefatura] "&amp;$C271,'Cronograma R. Normativo'!$C$5:$C$1000,0),MATCH("[Jefatura] "&amp;$C271,'Cronograma R. Financiero'!$C$5:$C$1000,0),MATCH("[Jefatura] "&amp;$C271,'Cronograma Asistente Técnico'!$C$5:$C$1000,0)),0))</f>
        <v/>
      </c>
      <c r="AI271" s="62">
        <f>IF(AND(AND($D271&lt;&gt;"",$V271="Macro"),$S271=MesCiclo),COUNTIFS($D$5:$D271,$D271,$S$5:$S271,MesCiclo,$V$5:$V271,"Macro"),"")</f>
        <v/>
      </c>
      <c r="AJ271" s="62">
        <f>IF($AI271="","",$D271&amp;"|"&amp;$AI271)</f>
        <v/>
      </c>
      <c r="AK271" s="62">
        <f>IF(AND($D271&lt;&gt;"",$V271="Macro"),$D271&amp;"|"&amp;$C271,"")</f>
        <v/>
      </c>
      <c r="AL271" s="62">
        <f>""</f>
        <v/>
      </c>
      <c r="AM271" s="62">
        <f>IF(N($AL271)&gt;0,INDEX(rIni_ADM,$AL271),IF(ISNUMBER($E271),$E271,""))</f>
        <v/>
      </c>
      <c r="AN271" s="62">
        <f>IF(N($AL271)&gt;0,INDEX(rLim_ADM,$AL271),IF(ISNUMBER($F271),$F271,""))</f>
        <v/>
      </c>
    </row>
    <row r="272">
      <c r="A272" s="56">
        <f>IF(NOT((COUNTA($B272:$D272)+COUNTA($G272:$L272)+COUNTA($Q272))&gt;0),"",IF($V272="Macro",COUNTIFS($V$5:$V272,"Macro",$S$5:$S272,$S272),IF(N($U272)=0,"?",COUNTIFS(INDEX($V$5:$V$1000,1):INDEX($V$5:$V$1000,$U272-4),"Macro",INDEX($S$5:$S$1000,1):INDEX($S$5:$S$1000,$U272-4),INDEX($S$5:$S$1000,$U272-4))&amp;"."&amp;COUNTIFS($U$5:$U272,$U272,$V$5:$V272,"Sub"))))</f>
        <v/>
      </c>
      <c r="B272" s="57" t="n"/>
      <c r="C272" s="58" t="n"/>
      <c r="D272" s="58" t="n"/>
      <c r="E272" s="59" t="n"/>
      <c r="F272" s="59" t="n"/>
      <c r="G272" s="59" t="n"/>
      <c r="H272" s="60" t="n"/>
      <c r="I272" s="60" t="n"/>
      <c r="J272" s="60" t="n"/>
      <c r="K272" s="60" t="n"/>
      <c r="L272" s="60" t="n"/>
      <c r="M272" s="61">
        <f>IF(NOT((COUNTA($B272:$D272)+COUNTA($G272:$L272)+COUNTA($Q272))&gt;0),"",IF(AND($D272&lt;&gt;"",$V272="Macro"),IF(N($AH272)&gt;0,N(CHOOSE(MATCH($D272,ListaPuestos,0),INDEX('Cronograma R. Operacional'!$M$5:$M$1000,$AH272),INDEX('Cronograma R. Normativo'!$M$5:$M$1000,$AH272),INDEX('Cronograma R. Financiero'!$M$5:$M$1000,$AH272),INDEX('Cronograma Asistente Técnico'!$M$5:$M$1000,$AH272))),0),IF(ISNUMBER($G272),1,IF(N($W272)&gt;0,AVERAGEIFS($X$5:$X$1000,$U$5:$U$1000,ROW(),$V$5:$V$1000,"Sub"),$X272))))</f>
        <v/>
      </c>
      <c r="N272" s="56">
        <f>IF($M272="","",IF($M272&gt;=1,"Completado",IF($M272&gt;0,"En curso","Pendiente")))</f>
        <v/>
      </c>
      <c r="O272" s="56">
        <f>IF(NOT((COUNTA($B272:$D272)+COUNTA($G272:$L272)+COUNTA($Q272))&gt;0),"",IF(AND(AND($D272&lt;&gt;"",$V272="Macro"),N($AH272)&gt;0),CHOOSE(MATCH($D272,ListaPuestos,0),INDEX('Cronograma R. Operacional'!$O$5:$O$1000,$AH272),INDEX('Cronograma R. Normativo'!$O$5:$O$1000,$AH272),INDEX('Cronograma R. Financiero'!$O$5:$O$1000,$AH272),INDEX('Cronograma Asistente Técnico'!$O$5:$O$1000,$AH272))&amp;"",IF(ISNUMBER($G272),IF(AND(ISNUMBER($AN272),$G272&gt;$AN272),"Cumplida con "&amp;($G272-$AN272)&amp;IF($G272-$AN272=1," día"," días")&amp;" de retraso","Cumplida"),IF(N($M272)&gt;=1,"Cumplida",IF(NOT(ISNUMBER($AN272)),"Sin fecha límite",IF($AN272&lt;FechaRef,"Vencida hace "&amp;(FechaRef-$AN272)&amp;IF(FechaRef-$AN272=1," día"," días"),IF($AN272=FechaRef,"Vence hoy",IF($AN272-FechaRef&lt;=DiasAlerta,"Vence en "&amp;($AN272-FechaRef)&amp;IF($AN272-FechaRef=1," día"," días"),"En plazo"))))))))</f>
        <v/>
      </c>
      <c r="P272" s="62">
        <f>IF(NOT((COUNTA($B272:$D272)+COUNTA($G272:$L272)+COUNTA($Q272))&gt;0),"",IF($D272="","Propia",IF($V272&lt;&gt;"Macro","Solo se delegan macroactividades",IF(N($AH272)&gt;0,"✔ Recibida por "&amp;$D272,"⚠ "&amp;$D272&amp;" aún no la agrega"))))</f>
        <v/>
      </c>
      <c r="Q272" s="58" t="n"/>
      <c r="R272" s="63">
        <f>IF(NOT((COUNTA($B272:$D272)+COUNTA($G272:$L272)+COUNTA($Q272))&gt;0),"",IF((IF($C272="","Falta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",""))="","✔ OK","⚠ "&amp;LEFT(IF($C272="","Falta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",""),LEN(IF($C272="","Falta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",""))-3)))</f>
        <v/>
      </c>
      <c r="S272" s="64">
        <f>IF(NOT((COUNTA($B272:$D272)+COUNTA($G272:$L272)+COUNTA($Q272))&gt;0),"",IF(AND($V272="Sub",N($U272)&gt;0),IF(ISNUMBER(INDEX($AM$5:$AM$1000,$U272-4)),DATE(YEAR(INDEX($AM$5:$AM$1000,$U272-4)),MONTH(INDEX($AM$5:$AM$1000,$U272-4)),1),IF(ISNUMBER(INDEX($AN$5:$AN$1000,$U272-4)),DATE(YEAR(INDEX($AN$5:$AN$1000,$U272-4)),MONTH(INDEX($AN$5:$AN$1000,$U272-4)),1),MesCiclo)),IF(ISNUMBER($AM272),DATE(YEAR($AM272),MONTH($AM272),1),IF(ISNUMBER($AN272),DATE(YEAR($AN272),MONTH($AN272),1),MesCiclo))))</f>
        <v/>
      </c>
      <c r="T272" s="62">
        <f>IF(OR($S272="",$S272&lt;&gt;MesCiclo),"",COUNTIF($S$5:$S272,MesCiclo))</f>
        <v/>
      </c>
      <c r="U272" s="62">
        <f>IF($V272="","",IF($V272="Macro",ROW(),IFERROR(LOOKUP(2,1/($V$5:$V272="Macro"),ROW($V$5:$V272)),0)))</f>
        <v/>
      </c>
      <c r="V272" s="62">
        <f>IF(NOT((COUNTA($B272:$D272)+COUNTA($G272:$L272)+COUNTA($Q272))&gt;0),"",IF($B272="Subactividad","Sub","Macro"))</f>
        <v/>
      </c>
      <c r="W272" s="62">
        <f>IF($V272="Macro",COUNTIFS($U$5:$U$1000,ROW(),$V$5:$V$1000,"Sub"),"")</f>
        <v/>
      </c>
      <c r="X272" s="62">
        <f>IF($V272="","",IF(ISNUMBER($G272),1,IFERROR(LOOKUP(2,1/($I272:$L272&lt;&gt;""),$I272:$L272),0)))</f>
        <v/>
      </c>
      <c r="Y272" s="62">
        <f>IF($V272="","",IF(AND(ISNUMBER($G272),$G272&lt;=IF($S272=MesCiclo,InicioCiclo,$S272+MOD(2-WEEKDAY($S272),7))+6),1,IF(ISNUMBER($I272),$I272,0)))</f>
        <v/>
      </c>
      <c r="Z272" s="62">
        <f>IF($V272="","",IF(AND(ISNUMBER($G272),$G272&lt;=IF($S272=MesCiclo,InicioCiclo,$S272+MOD(2-WEEKDAY($S272),7))+13),1,IF(ISNUMBER($J272),$J272,$Y272)))</f>
        <v/>
      </c>
      <c r="AA272" s="62">
        <f>IF($V272="","",IF(AND(ISNUMBER($G272),$G272&lt;=IF($S272=MesCiclo,InicioCiclo,$S272+MOD(2-WEEKDAY($S272),7))+20),1,IF(ISNUMBER($K272),$K272,$Z272)))</f>
        <v/>
      </c>
      <c r="AB272" s="62">
        <f>IF($V272="","",IF(AND(ISNUMBER($G272),$G272&lt;=IF($S272=MesCiclo,InicioCiclo,$S272+MOD(2-WEEKDAY($S272),7))+27),1,IF(ISNUMBER($L272),$L272,$AA272)))</f>
        <v/>
      </c>
      <c r="AC272" s="62">
        <f>IF($V272="","",IF(AND(ISNUMBER($G272),$G272&lt;=IF($S272=MesCiclo,InicioCiclo,$S272+MOD(2-WEEKDAY($S272),7))+6),1,IF(N($W272)&gt;0,AVERAGEIFS($Y$5:$Y$1000,$U$5:$U$1000,ROW(),$V$5:$V$1000,"Sub"),$Y272)))</f>
        <v/>
      </c>
      <c r="AD272" s="62">
        <f>IF($V272="","",IF(AND(ISNUMBER($G272),$G272&lt;=IF($S272=MesCiclo,InicioCiclo,$S272+MOD(2-WEEKDAY($S272),7))+13),1,IF(N($W272)&gt;0,AVERAGEIFS($Z$5:$Z$1000,$U$5:$U$1000,ROW(),$V$5:$V$1000,"Sub"),$Z272)))</f>
        <v/>
      </c>
      <c r="AE272" s="62">
        <f>IF($V272="","",IF(AND(ISNUMBER($G272),$G272&lt;=IF($S272=MesCiclo,InicioCiclo,$S272+MOD(2-WEEKDAY($S272),7))+20),1,IF(N($W272)&gt;0,AVERAGEIFS($AA$5:$AA$1000,$U$5:$U$1000,ROW(),$V$5:$V$1000,"Sub"),$AA272)))</f>
        <v/>
      </c>
      <c r="AF272" s="62">
        <f>IF($V272="","",IF(AND(ISNUMBER($G272),$G272&lt;=IF($S272=MesCiclo,InicioCiclo,$S272+MOD(2-WEEKDAY($S272),7))+27),1,IF(N($W272)&gt;0,AVERAGEIFS($AB$5:$AB$1000,$U$5:$U$1000,ROW(),$V$5:$V$1000,"Sub"),$AB272)))</f>
        <v/>
      </c>
      <c r="AG272" s="62">
        <f>IF($V272&lt;&gt;"Macro","",IF(COUNTIFS($S$5:$S$1000,$S272,$V$5:$V$1000,"Macro",$H$5:$H$1000,"&gt;0")=0,1/COUNTIFS($S$5:$S$1000,$S272,$V$5:$V$1000,"Macro"),IF(AND(ISNUMBER($H272),N($H272)&gt;0),$H272,SUMIFS($H$5:$H$1000,$S$5:$S$1000,$S272,$V$5:$V$1000,"Macro")/COUNTIFS($S$5:$S$1000,$S272,$V$5:$V$1000,"Macro",$H$5:$H$1000,"&gt;0"))/(COUNTIFS($S$5:$S$1000,$S272,$V$5:$V$1000,"Macro")*SUMIFS($H$5:$H$1000,$S$5:$S$1000,$S272,$V$5:$V$1000,"Macro")/COUNTIFS($S$5:$S$1000,$S272,$V$5:$V$1000,"Macro",$H$5:$H$1000,"&gt;0"))))</f>
        <v/>
      </c>
      <c r="AH272" s="62">
        <f>IF(NOT(AND($D272&lt;&gt;"",$V272="Macro")),"",IFERROR(CHOOSE(MATCH($D272,ListaPuestos,0),MATCH("[Jefatura] "&amp;$C272,'Cronograma R. Operacional'!$C$5:$C$1000,0),MATCH("[Jefatura] "&amp;$C272,'Cronograma R. Normativo'!$C$5:$C$1000,0),MATCH("[Jefatura] "&amp;$C272,'Cronograma R. Financiero'!$C$5:$C$1000,0),MATCH("[Jefatura] "&amp;$C272,'Cronograma Asistente Técnico'!$C$5:$C$1000,0)),0))</f>
        <v/>
      </c>
      <c r="AI272" s="62">
        <f>IF(AND(AND($D272&lt;&gt;"",$V272="Macro"),$S272=MesCiclo),COUNTIFS($D$5:$D272,$D272,$S$5:$S272,MesCiclo,$V$5:$V272,"Macro"),"")</f>
        <v/>
      </c>
      <c r="AJ272" s="62">
        <f>IF($AI272="","",$D272&amp;"|"&amp;$AI272)</f>
        <v/>
      </c>
      <c r="AK272" s="62">
        <f>IF(AND($D272&lt;&gt;"",$V272="Macro"),$D272&amp;"|"&amp;$C272,"")</f>
        <v/>
      </c>
      <c r="AL272" s="62">
        <f>""</f>
        <v/>
      </c>
      <c r="AM272" s="62">
        <f>IF(N($AL272)&gt;0,INDEX(rIni_ADM,$AL272),IF(ISNUMBER($E272),$E272,""))</f>
        <v/>
      </c>
      <c r="AN272" s="62">
        <f>IF(N($AL272)&gt;0,INDEX(rLim_ADM,$AL272),IF(ISNUMBER($F272),$F272,""))</f>
        <v/>
      </c>
    </row>
    <row r="273">
      <c r="A273" s="56">
        <f>IF(NOT((COUNTA($B273:$D273)+COUNTA($G273:$L273)+COUNTA($Q273))&gt;0),"",IF($V273="Macro",COUNTIFS($V$5:$V273,"Macro",$S$5:$S273,$S273),IF(N($U273)=0,"?",COUNTIFS(INDEX($V$5:$V$1000,1):INDEX($V$5:$V$1000,$U273-4),"Macro",INDEX($S$5:$S$1000,1):INDEX($S$5:$S$1000,$U273-4),INDEX($S$5:$S$1000,$U273-4))&amp;"."&amp;COUNTIFS($U$5:$U273,$U273,$V$5:$V273,"Sub"))))</f>
        <v/>
      </c>
      <c r="B273" s="57" t="n"/>
      <c r="C273" s="58" t="n"/>
      <c r="D273" s="58" t="n"/>
      <c r="E273" s="59" t="n"/>
      <c r="F273" s="59" t="n"/>
      <c r="G273" s="59" t="n"/>
      <c r="H273" s="60" t="n"/>
      <c r="I273" s="60" t="n"/>
      <c r="J273" s="60" t="n"/>
      <c r="K273" s="60" t="n"/>
      <c r="L273" s="60" t="n"/>
      <c r="M273" s="61">
        <f>IF(NOT((COUNTA($B273:$D273)+COUNTA($G273:$L273)+COUNTA($Q273))&gt;0),"",IF(AND($D273&lt;&gt;"",$V273="Macro"),IF(N($AH273)&gt;0,N(CHOOSE(MATCH($D273,ListaPuestos,0),INDEX('Cronograma R. Operacional'!$M$5:$M$1000,$AH273),INDEX('Cronograma R. Normativo'!$M$5:$M$1000,$AH273),INDEX('Cronograma R. Financiero'!$M$5:$M$1000,$AH273),INDEX('Cronograma Asistente Técnico'!$M$5:$M$1000,$AH273))),0),IF(ISNUMBER($G273),1,IF(N($W273)&gt;0,AVERAGEIFS($X$5:$X$1000,$U$5:$U$1000,ROW(),$V$5:$V$1000,"Sub"),$X273))))</f>
        <v/>
      </c>
      <c r="N273" s="56">
        <f>IF($M273="","",IF($M273&gt;=1,"Completado",IF($M273&gt;0,"En curso","Pendiente")))</f>
        <v/>
      </c>
      <c r="O273" s="56">
        <f>IF(NOT((COUNTA($B273:$D273)+COUNTA($G273:$L273)+COUNTA($Q273))&gt;0),"",IF(AND(AND($D273&lt;&gt;"",$V273="Macro"),N($AH273)&gt;0),CHOOSE(MATCH($D273,ListaPuestos,0),INDEX('Cronograma R. Operacional'!$O$5:$O$1000,$AH273),INDEX('Cronograma R. Normativo'!$O$5:$O$1000,$AH273),INDEX('Cronograma R. Financiero'!$O$5:$O$1000,$AH273),INDEX('Cronograma Asistente Técnico'!$O$5:$O$1000,$AH273))&amp;"",IF(ISNUMBER($G273),IF(AND(ISNUMBER($AN273),$G273&gt;$AN273),"Cumplida con "&amp;($G273-$AN273)&amp;IF($G273-$AN273=1," día"," días")&amp;" de retraso","Cumplida"),IF(N($M273)&gt;=1,"Cumplida",IF(NOT(ISNUMBER($AN273)),"Sin fecha límite",IF($AN273&lt;FechaRef,"Vencida hace "&amp;(FechaRef-$AN273)&amp;IF(FechaRef-$AN273=1," día"," días"),IF($AN273=FechaRef,"Vence hoy",IF($AN273-FechaRef&lt;=DiasAlerta,"Vence en "&amp;($AN273-FechaRef)&amp;IF($AN273-FechaRef=1," día"," días"),"En plazo"))))))))</f>
        <v/>
      </c>
      <c r="P273" s="62">
        <f>IF(NOT((COUNTA($B273:$D273)+COUNTA($G273:$L273)+COUNTA($Q273))&gt;0),"",IF($D273="","Propia",IF($V273&lt;&gt;"Macro","Solo se delegan macroactividades",IF(N($AH273)&gt;0,"✔ Recibida por "&amp;$D273,"⚠ "&amp;$D273&amp;" aún no la agrega"))))</f>
        <v/>
      </c>
      <c r="Q273" s="58" t="n"/>
      <c r="R273" s="63">
        <f>IF(NOT((COUNTA($B273:$D273)+COUNTA($G273:$L273)+COUNTA($Q273))&gt;0),"",IF((IF($C273="","Falta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",""))="","✔ OK","⚠ "&amp;LEFT(IF($C273="","Falta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",""),LEN(IF($C273="","Falta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",""))-3)))</f>
        <v/>
      </c>
      <c r="S273" s="64">
        <f>IF(NOT((COUNTA($B273:$D273)+COUNTA($G273:$L273)+COUNTA($Q273))&gt;0),"",IF(AND($V273="Sub",N($U273)&gt;0),IF(ISNUMBER(INDEX($AM$5:$AM$1000,$U273-4)),DATE(YEAR(INDEX($AM$5:$AM$1000,$U273-4)),MONTH(INDEX($AM$5:$AM$1000,$U273-4)),1),IF(ISNUMBER(INDEX($AN$5:$AN$1000,$U273-4)),DATE(YEAR(INDEX($AN$5:$AN$1000,$U273-4)),MONTH(INDEX($AN$5:$AN$1000,$U273-4)),1),MesCiclo)),IF(ISNUMBER($AM273),DATE(YEAR($AM273),MONTH($AM273),1),IF(ISNUMBER($AN273),DATE(YEAR($AN273),MONTH($AN273),1),MesCiclo))))</f>
        <v/>
      </c>
      <c r="T273" s="62">
        <f>IF(OR($S273="",$S273&lt;&gt;MesCiclo),"",COUNTIF($S$5:$S273,MesCiclo))</f>
        <v/>
      </c>
      <c r="U273" s="62">
        <f>IF($V273="","",IF($V273="Macro",ROW(),IFERROR(LOOKUP(2,1/($V$5:$V273="Macro"),ROW($V$5:$V273)),0)))</f>
        <v/>
      </c>
      <c r="V273" s="62">
        <f>IF(NOT((COUNTA($B273:$D273)+COUNTA($G273:$L273)+COUNTA($Q273))&gt;0),"",IF($B273="Subactividad","Sub","Macro"))</f>
        <v/>
      </c>
      <c r="W273" s="62">
        <f>IF($V273="Macro",COUNTIFS($U$5:$U$1000,ROW(),$V$5:$V$1000,"Sub"),"")</f>
        <v/>
      </c>
      <c r="X273" s="62">
        <f>IF($V273="","",IF(ISNUMBER($G273),1,IFERROR(LOOKUP(2,1/($I273:$L273&lt;&gt;""),$I273:$L273),0)))</f>
        <v/>
      </c>
      <c r="Y273" s="62">
        <f>IF($V273="","",IF(AND(ISNUMBER($G273),$G273&lt;=IF($S273=MesCiclo,InicioCiclo,$S273+MOD(2-WEEKDAY($S273),7))+6),1,IF(ISNUMBER($I273),$I273,0)))</f>
        <v/>
      </c>
      <c r="Z273" s="62">
        <f>IF($V273="","",IF(AND(ISNUMBER($G273),$G273&lt;=IF($S273=MesCiclo,InicioCiclo,$S273+MOD(2-WEEKDAY($S273),7))+13),1,IF(ISNUMBER($J273),$J273,$Y273)))</f>
        <v/>
      </c>
      <c r="AA273" s="62">
        <f>IF($V273="","",IF(AND(ISNUMBER($G273),$G273&lt;=IF($S273=MesCiclo,InicioCiclo,$S273+MOD(2-WEEKDAY($S273),7))+20),1,IF(ISNUMBER($K273),$K273,$Z273)))</f>
        <v/>
      </c>
      <c r="AB273" s="62">
        <f>IF($V273="","",IF(AND(ISNUMBER($G273),$G273&lt;=IF($S273=MesCiclo,InicioCiclo,$S273+MOD(2-WEEKDAY($S273),7))+27),1,IF(ISNUMBER($L273),$L273,$AA273)))</f>
        <v/>
      </c>
      <c r="AC273" s="62">
        <f>IF($V273="","",IF(AND(ISNUMBER($G273),$G273&lt;=IF($S273=MesCiclo,InicioCiclo,$S273+MOD(2-WEEKDAY($S273),7))+6),1,IF(N($W273)&gt;0,AVERAGEIFS($Y$5:$Y$1000,$U$5:$U$1000,ROW(),$V$5:$V$1000,"Sub"),$Y273)))</f>
        <v/>
      </c>
      <c r="AD273" s="62">
        <f>IF($V273="","",IF(AND(ISNUMBER($G273),$G273&lt;=IF($S273=MesCiclo,InicioCiclo,$S273+MOD(2-WEEKDAY($S273),7))+13),1,IF(N($W273)&gt;0,AVERAGEIFS($Z$5:$Z$1000,$U$5:$U$1000,ROW(),$V$5:$V$1000,"Sub"),$Z273)))</f>
        <v/>
      </c>
      <c r="AE273" s="62">
        <f>IF($V273="","",IF(AND(ISNUMBER($G273),$G273&lt;=IF($S273=MesCiclo,InicioCiclo,$S273+MOD(2-WEEKDAY($S273),7))+20),1,IF(N($W273)&gt;0,AVERAGEIFS($AA$5:$AA$1000,$U$5:$U$1000,ROW(),$V$5:$V$1000,"Sub"),$AA273)))</f>
        <v/>
      </c>
      <c r="AF273" s="62">
        <f>IF($V273="","",IF(AND(ISNUMBER($G273),$G273&lt;=IF($S273=MesCiclo,InicioCiclo,$S273+MOD(2-WEEKDAY($S273),7))+27),1,IF(N($W273)&gt;0,AVERAGEIFS($AB$5:$AB$1000,$U$5:$U$1000,ROW(),$V$5:$V$1000,"Sub"),$AB273)))</f>
        <v/>
      </c>
      <c r="AG273" s="62">
        <f>IF($V273&lt;&gt;"Macro","",IF(COUNTIFS($S$5:$S$1000,$S273,$V$5:$V$1000,"Macro",$H$5:$H$1000,"&gt;0")=0,1/COUNTIFS($S$5:$S$1000,$S273,$V$5:$V$1000,"Macro"),IF(AND(ISNUMBER($H273),N($H273)&gt;0),$H273,SUMIFS($H$5:$H$1000,$S$5:$S$1000,$S273,$V$5:$V$1000,"Macro")/COUNTIFS($S$5:$S$1000,$S273,$V$5:$V$1000,"Macro",$H$5:$H$1000,"&gt;0"))/(COUNTIFS($S$5:$S$1000,$S273,$V$5:$V$1000,"Macro")*SUMIFS($H$5:$H$1000,$S$5:$S$1000,$S273,$V$5:$V$1000,"Macro")/COUNTIFS($S$5:$S$1000,$S273,$V$5:$V$1000,"Macro",$H$5:$H$1000,"&gt;0"))))</f>
        <v/>
      </c>
      <c r="AH273" s="62">
        <f>IF(NOT(AND($D273&lt;&gt;"",$V273="Macro")),"",IFERROR(CHOOSE(MATCH($D273,ListaPuestos,0),MATCH("[Jefatura] "&amp;$C273,'Cronograma R. Operacional'!$C$5:$C$1000,0),MATCH("[Jefatura] "&amp;$C273,'Cronograma R. Normativo'!$C$5:$C$1000,0),MATCH("[Jefatura] "&amp;$C273,'Cronograma R. Financiero'!$C$5:$C$1000,0),MATCH("[Jefatura] "&amp;$C273,'Cronograma Asistente Técnico'!$C$5:$C$1000,0)),0))</f>
        <v/>
      </c>
      <c r="AI273" s="62">
        <f>IF(AND(AND($D273&lt;&gt;"",$V273="Macro"),$S273=MesCiclo),COUNTIFS($D$5:$D273,$D273,$S$5:$S273,MesCiclo,$V$5:$V273,"Macro"),"")</f>
        <v/>
      </c>
      <c r="AJ273" s="62">
        <f>IF($AI273="","",$D273&amp;"|"&amp;$AI273)</f>
        <v/>
      </c>
      <c r="AK273" s="62">
        <f>IF(AND($D273&lt;&gt;"",$V273="Macro"),$D273&amp;"|"&amp;$C273,"")</f>
        <v/>
      </c>
      <c r="AL273" s="62">
        <f>""</f>
        <v/>
      </c>
      <c r="AM273" s="62">
        <f>IF(N($AL273)&gt;0,INDEX(rIni_ADM,$AL273),IF(ISNUMBER($E273),$E273,""))</f>
        <v/>
      </c>
      <c r="AN273" s="62">
        <f>IF(N($AL273)&gt;0,INDEX(rLim_ADM,$AL273),IF(ISNUMBER($F273),$F273,""))</f>
        <v/>
      </c>
    </row>
    <row r="274">
      <c r="A274" s="56">
        <f>IF(NOT((COUNTA($B274:$D274)+COUNTA($G274:$L274)+COUNTA($Q274))&gt;0),"",IF($V274="Macro",COUNTIFS($V$5:$V274,"Macro",$S$5:$S274,$S274),IF(N($U274)=0,"?",COUNTIFS(INDEX($V$5:$V$1000,1):INDEX($V$5:$V$1000,$U274-4),"Macro",INDEX($S$5:$S$1000,1):INDEX($S$5:$S$1000,$U274-4),INDEX($S$5:$S$1000,$U274-4))&amp;"."&amp;COUNTIFS($U$5:$U274,$U274,$V$5:$V274,"Sub"))))</f>
        <v/>
      </c>
      <c r="B274" s="57" t="n"/>
      <c r="C274" s="58" t="n"/>
      <c r="D274" s="58" t="n"/>
      <c r="E274" s="59" t="n"/>
      <c r="F274" s="59" t="n"/>
      <c r="G274" s="59" t="n"/>
      <c r="H274" s="60" t="n"/>
      <c r="I274" s="60" t="n"/>
      <c r="J274" s="60" t="n"/>
      <c r="K274" s="60" t="n"/>
      <c r="L274" s="60" t="n"/>
      <c r="M274" s="61">
        <f>IF(NOT((COUNTA($B274:$D274)+COUNTA($G274:$L274)+COUNTA($Q274))&gt;0),"",IF(AND($D274&lt;&gt;"",$V274="Macro"),IF(N($AH274)&gt;0,N(CHOOSE(MATCH($D274,ListaPuestos,0),INDEX('Cronograma R. Operacional'!$M$5:$M$1000,$AH274),INDEX('Cronograma R. Normativo'!$M$5:$M$1000,$AH274),INDEX('Cronograma R. Financiero'!$M$5:$M$1000,$AH274),INDEX('Cronograma Asistente Técnico'!$M$5:$M$1000,$AH274))),0),IF(ISNUMBER($G274),1,IF(N($W274)&gt;0,AVERAGEIFS($X$5:$X$1000,$U$5:$U$1000,ROW(),$V$5:$V$1000,"Sub"),$X274))))</f>
        <v/>
      </c>
      <c r="N274" s="56">
        <f>IF($M274="","",IF($M274&gt;=1,"Completado",IF($M274&gt;0,"En curso","Pendiente")))</f>
        <v/>
      </c>
      <c r="O274" s="56">
        <f>IF(NOT((COUNTA($B274:$D274)+COUNTA($G274:$L274)+COUNTA($Q274))&gt;0),"",IF(AND(AND($D274&lt;&gt;"",$V274="Macro"),N($AH274)&gt;0),CHOOSE(MATCH($D274,ListaPuestos,0),INDEX('Cronograma R. Operacional'!$O$5:$O$1000,$AH274),INDEX('Cronograma R. Normativo'!$O$5:$O$1000,$AH274),INDEX('Cronograma R. Financiero'!$O$5:$O$1000,$AH274),INDEX('Cronograma Asistente Técnico'!$O$5:$O$1000,$AH274))&amp;"",IF(ISNUMBER($G274),IF(AND(ISNUMBER($AN274),$G274&gt;$AN274),"Cumplida con "&amp;($G274-$AN274)&amp;IF($G274-$AN274=1," día"," días")&amp;" de retraso","Cumplida"),IF(N($M274)&gt;=1,"Cumplida",IF(NOT(ISNUMBER($AN274)),"Sin fecha límite",IF($AN274&lt;FechaRef,"Vencida hace "&amp;(FechaRef-$AN274)&amp;IF(FechaRef-$AN274=1," día"," días"),IF($AN274=FechaRef,"Vence hoy",IF($AN274-FechaRef&lt;=DiasAlerta,"Vence en "&amp;($AN274-FechaRef)&amp;IF($AN274-FechaRef=1," día"," días"),"En plazo"))))))))</f>
        <v/>
      </c>
      <c r="P274" s="62">
        <f>IF(NOT((COUNTA($B274:$D274)+COUNTA($G274:$L274)+COUNTA($Q274))&gt;0),"",IF($D274="","Propia",IF($V274&lt;&gt;"Macro","Solo se delegan macroactividades",IF(N($AH274)&gt;0,"✔ Recibida por "&amp;$D274,"⚠ "&amp;$D274&amp;" aún no la agrega"))))</f>
        <v/>
      </c>
      <c r="Q274" s="58" t="n"/>
      <c r="R274" s="63">
        <f>IF(NOT((COUNTA($B274:$D274)+COUNTA($G274:$L274)+COUNTA($Q274))&gt;0),"",IF((IF($C274="","Falta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",""))="","✔ OK","⚠ "&amp;LEFT(IF($C274="","Falta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",""),LEN(IF($C274="","Falta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",""))-3)))</f>
        <v/>
      </c>
      <c r="S274" s="64">
        <f>IF(NOT((COUNTA($B274:$D274)+COUNTA($G274:$L274)+COUNTA($Q274))&gt;0),"",IF(AND($V274="Sub",N($U274)&gt;0),IF(ISNUMBER(INDEX($AM$5:$AM$1000,$U274-4)),DATE(YEAR(INDEX($AM$5:$AM$1000,$U274-4)),MONTH(INDEX($AM$5:$AM$1000,$U274-4)),1),IF(ISNUMBER(INDEX($AN$5:$AN$1000,$U274-4)),DATE(YEAR(INDEX($AN$5:$AN$1000,$U274-4)),MONTH(INDEX($AN$5:$AN$1000,$U274-4)),1),MesCiclo)),IF(ISNUMBER($AM274),DATE(YEAR($AM274),MONTH($AM274),1),IF(ISNUMBER($AN274),DATE(YEAR($AN274),MONTH($AN274),1),MesCiclo))))</f>
        <v/>
      </c>
      <c r="T274" s="62">
        <f>IF(OR($S274="",$S274&lt;&gt;MesCiclo),"",COUNTIF($S$5:$S274,MesCiclo))</f>
        <v/>
      </c>
      <c r="U274" s="62">
        <f>IF($V274="","",IF($V274="Macro",ROW(),IFERROR(LOOKUP(2,1/($V$5:$V274="Macro"),ROW($V$5:$V274)),0)))</f>
        <v/>
      </c>
      <c r="V274" s="62">
        <f>IF(NOT((COUNTA($B274:$D274)+COUNTA($G274:$L274)+COUNTA($Q274))&gt;0),"",IF($B274="Subactividad","Sub","Macro"))</f>
        <v/>
      </c>
      <c r="W274" s="62">
        <f>IF($V274="Macro",COUNTIFS($U$5:$U$1000,ROW(),$V$5:$V$1000,"Sub"),"")</f>
        <v/>
      </c>
      <c r="X274" s="62">
        <f>IF($V274="","",IF(ISNUMBER($G274),1,IFERROR(LOOKUP(2,1/($I274:$L274&lt;&gt;""),$I274:$L274),0)))</f>
        <v/>
      </c>
      <c r="Y274" s="62">
        <f>IF($V274="","",IF(AND(ISNUMBER($G274),$G274&lt;=IF($S274=MesCiclo,InicioCiclo,$S274+MOD(2-WEEKDAY($S274),7))+6),1,IF(ISNUMBER($I274),$I274,0)))</f>
        <v/>
      </c>
      <c r="Z274" s="62">
        <f>IF($V274="","",IF(AND(ISNUMBER($G274),$G274&lt;=IF($S274=MesCiclo,InicioCiclo,$S274+MOD(2-WEEKDAY($S274),7))+13),1,IF(ISNUMBER($J274),$J274,$Y274)))</f>
        <v/>
      </c>
      <c r="AA274" s="62">
        <f>IF($V274="","",IF(AND(ISNUMBER($G274),$G274&lt;=IF($S274=MesCiclo,InicioCiclo,$S274+MOD(2-WEEKDAY($S274),7))+20),1,IF(ISNUMBER($K274),$K274,$Z274)))</f>
        <v/>
      </c>
      <c r="AB274" s="62">
        <f>IF($V274="","",IF(AND(ISNUMBER($G274),$G274&lt;=IF($S274=MesCiclo,InicioCiclo,$S274+MOD(2-WEEKDAY($S274),7))+27),1,IF(ISNUMBER($L274),$L274,$AA274)))</f>
        <v/>
      </c>
      <c r="AC274" s="62">
        <f>IF($V274="","",IF(AND(ISNUMBER($G274),$G274&lt;=IF($S274=MesCiclo,InicioCiclo,$S274+MOD(2-WEEKDAY($S274),7))+6),1,IF(N($W274)&gt;0,AVERAGEIFS($Y$5:$Y$1000,$U$5:$U$1000,ROW(),$V$5:$V$1000,"Sub"),$Y274)))</f>
        <v/>
      </c>
      <c r="AD274" s="62">
        <f>IF($V274="","",IF(AND(ISNUMBER($G274),$G274&lt;=IF($S274=MesCiclo,InicioCiclo,$S274+MOD(2-WEEKDAY($S274),7))+13),1,IF(N($W274)&gt;0,AVERAGEIFS($Z$5:$Z$1000,$U$5:$U$1000,ROW(),$V$5:$V$1000,"Sub"),$Z274)))</f>
        <v/>
      </c>
      <c r="AE274" s="62">
        <f>IF($V274="","",IF(AND(ISNUMBER($G274),$G274&lt;=IF($S274=MesCiclo,InicioCiclo,$S274+MOD(2-WEEKDAY($S274),7))+20),1,IF(N($W274)&gt;0,AVERAGEIFS($AA$5:$AA$1000,$U$5:$U$1000,ROW(),$V$5:$V$1000,"Sub"),$AA274)))</f>
        <v/>
      </c>
      <c r="AF274" s="62">
        <f>IF($V274="","",IF(AND(ISNUMBER($G274),$G274&lt;=IF($S274=MesCiclo,InicioCiclo,$S274+MOD(2-WEEKDAY($S274),7))+27),1,IF(N($W274)&gt;0,AVERAGEIFS($AB$5:$AB$1000,$U$5:$U$1000,ROW(),$V$5:$V$1000,"Sub"),$AB274)))</f>
        <v/>
      </c>
      <c r="AG274" s="62">
        <f>IF($V274&lt;&gt;"Macro","",IF(COUNTIFS($S$5:$S$1000,$S274,$V$5:$V$1000,"Macro",$H$5:$H$1000,"&gt;0")=0,1/COUNTIFS($S$5:$S$1000,$S274,$V$5:$V$1000,"Macro"),IF(AND(ISNUMBER($H274),N($H274)&gt;0),$H274,SUMIFS($H$5:$H$1000,$S$5:$S$1000,$S274,$V$5:$V$1000,"Macro")/COUNTIFS($S$5:$S$1000,$S274,$V$5:$V$1000,"Macro",$H$5:$H$1000,"&gt;0"))/(COUNTIFS($S$5:$S$1000,$S274,$V$5:$V$1000,"Macro")*SUMIFS($H$5:$H$1000,$S$5:$S$1000,$S274,$V$5:$V$1000,"Macro")/COUNTIFS($S$5:$S$1000,$S274,$V$5:$V$1000,"Macro",$H$5:$H$1000,"&gt;0"))))</f>
        <v/>
      </c>
      <c r="AH274" s="62">
        <f>IF(NOT(AND($D274&lt;&gt;"",$V274="Macro")),"",IFERROR(CHOOSE(MATCH($D274,ListaPuestos,0),MATCH("[Jefatura] "&amp;$C274,'Cronograma R. Operacional'!$C$5:$C$1000,0),MATCH("[Jefatura] "&amp;$C274,'Cronograma R. Normativo'!$C$5:$C$1000,0),MATCH("[Jefatura] "&amp;$C274,'Cronograma R. Financiero'!$C$5:$C$1000,0),MATCH("[Jefatura] "&amp;$C274,'Cronograma Asistente Técnico'!$C$5:$C$1000,0)),0))</f>
        <v/>
      </c>
      <c r="AI274" s="62">
        <f>IF(AND(AND($D274&lt;&gt;"",$V274="Macro"),$S274=MesCiclo),COUNTIFS($D$5:$D274,$D274,$S$5:$S274,MesCiclo,$V$5:$V274,"Macro"),"")</f>
        <v/>
      </c>
      <c r="AJ274" s="62">
        <f>IF($AI274="","",$D274&amp;"|"&amp;$AI274)</f>
        <v/>
      </c>
      <c r="AK274" s="62">
        <f>IF(AND($D274&lt;&gt;"",$V274="Macro"),$D274&amp;"|"&amp;$C274,"")</f>
        <v/>
      </c>
      <c r="AL274" s="62">
        <f>""</f>
        <v/>
      </c>
      <c r="AM274" s="62">
        <f>IF(N($AL274)&gt;0,INDEX(rIni_ADM,$AL274),IF(ISNUMBER($E274),$E274,""))</f>
        <v/>
      </c>
      <c r="AN274" s="62">
        <f>IF(N($AL274)&gt;0,INDEX(rLim_ADM,$AL274),IF(ISNUMBER($F274),$F274,""))</f>
        <v/>
      </c>
    </row>
    <row r="275">
      <c r="A275" s="56">
        <f>IF(NOT((COUNTA($B275:$D275)+COUNTA($G275:$L275)+COUNTA($Q275))&gt;0),"",IF($V275="Macro",COUNTIFS($V$5:$V275,"Macro",$S$5:$S275,$S275),IF(N($U275)=0,"?",COUNTIFS(INDEX($V$5:$V$1000,1):INDEX($V$5:$V$1000,$U275-4),"Macro",INDEX($S$5:$S$1000,1):INDEX($S$5:$S$1000,$U275-4),INDEX($S$5:$S$1000,$U275-4))&amp;"."&amp;COUNTIFS($U$5:$U275,$U275,$V$5:$V275,"Sub"))))</f>
        <v/>
      </c>
      <c r="B275" s="57" t="n"/>
      <c r="C275" s="58" t="n"/>
      <c r="D275" s="58" t="n"/>
      <c r="E275" s="59" t="n"/>
      <c r="F275" s="59" t="n"/>
      <c r="G275" s="59" t="n"/>
      <c r="H275" s="60" t="n"/>
      <c r="I275" s="60" t="n"/>
      <c r="J275" s="60" t="n"/>
      <c r="K275" s="60" t="n"/>
      <c r="L275" s="60" t="n"/>
      <c r="M275" s="61">
        <f>IF(NOT((COUNTA($B275:$D275)+COUNTA($G275:$L275)+COUNTA($Q275))&gt;0),"",IF(AND($D275&lt;&gt;"",$V275="Macro"),IF(N($AH275)&gt;0,N(CHOOSE(MATCH($D275,ListaPuestos,0),INDEX('Cronograma R. Operacional'!$M$5:$M$1000,$AH275),INDEX('Cronograma R. Normativo'!$M$5:$M$1000,$AH275),INDEX('Cronograma R. Financiero'!$M$5:$M$1000,$AH275),INDEX('Cronograma Asistente Técnico'!$M$5:$M$1000,$AH275))),0),IF(ISNUMBER($G275),1,IF(N($W275)&gt;0,AVERAGEIFS($X$5:$X$1000,$U$5:$U$1000,ROW(),$V$5:$V$1000,"Sub"),$X275))))</f>
        <v/>
      </c>
      <c r="N275" s="56">
        <f>IF($M275="","",IF($M275&gt;=1,"Completado",IF($M275&gt;0,"En curso","Pendiente")))</f>
        <v/>
      </c>
      <c r="O275" s="56">
        <f>IF(NOT((COUNTA($B275:$D275)+COUNTA($G275:$L275)+COUNTA($Q275))&gt;0),"",IF(AND(AND($D275&lt;&gt;"",$V275="Macro"),N($AH275)&gt;0),CHOOSE(MATCH($D275,ListaPuestos,0),INDEX('Cronograma R. Operacional'!$O$5:$O$1000,$AH275),INDEX('Cronograma R. Normativo'!$O$5:$O$1000,$AH275),INDEX('Cronograma R. Financiero'!$O$5:$O$1000,$AH275),INDEX('Cronograma Asistente Técnico'!$O$5:$O$1000,$AH275))&amp;"",IF(ISNUMBER($G275),IF(AND(ISNUMBER($AN275),$G275&gt;$AN275),"Cumplida con "&amp;($G275-$AN275)&amp;IF($G275-$AN275=1," día"," días")&amp;" de retraso","Cumplida"),IF(N($M275)&gt;=1,"Cumplida",IF(NOT(ISNUMBER($AN275)),"Sin fecha límite",IF($AN275&lt;FechaRef,"Vencida hace "&amp;(FechaRef-$AN275)&amp;IF(FechaRef-$AN275=1," día"," días"),IF($AN275=FechaRef,"Vence hoy",IF($AN275-FechaRef&lt;=DiasAlerta,"Vence en "&amp;($AN275-FechaRef)&amp;IF($AN275-FechaRef=1," día"," días"),"En plazo"))))))))</f>
        <v/>
      </c>
      <c r="P275" s="62">
        <f>IF(NOT((COUNTA($B275:$D275)+COUNTA($G275:$L275)+COUNTA($Q275))&gt;0),"",IF($D275="","Propia",IF($V275&lt;&gt;"Macro","Solo se delegan macroactividades",IF(N($AH275)&gt;0,"✔ Recibida por "&amp;$D275,"⚠ "&amp;$D275&amp;" aún no la agrega"))))</f>
        <v/>
      </c>
      <c r="Q275" s="58" t="n"/>
      <c r="R275" s="63">
        <f>IF(NOT((COUNTA($B275:$D275)+COUNTA($G275:$L275)+COUNTA($Q275))&gt;0),"",IF((IF($C275="","Falta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",""))="","✔ OK","⚠ "&amp;LEFT(IF($C275="","Falta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",""),LEN(IF($C275="","Falta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",""))-3)))</f>
        <v/>
      </c>
      <c r="S275" s="64">
        <f>IF(NOT((COUNTA($B275:$D275)+COUNTA($G275:$L275)+COUNTA($Q275))&gt;0),"",IF(AND($V275="Sub",N($U275)&gt;0),IF(ISNUMBER(INDEX($AM$5:$AM$1000,$U275-4)),DATE(YEAR(INDEX($AM$5:$AM$1000,$U275-4)),MONTH(INDEX($AM$5:$AM$1000,$U275-4)),1),IF(ISNUMBER(INDEX($AN$5:$AN$1000,$U275-4)),DATE(YEAR(INDEX($AN$5:$AN$1000,$U275-4)),MONTH(INDEX($AN$5:$AN$1000,$U275-4)),1),MesCiclo)),IF(ISNUMBER($AM275),DATE(YEAR($AM275),MONTH($AM275),1),IF(ISNUMBER($AN275),DATE(YEAR($AN275),MONTH($AN275),1),MesCiclo))))</f>
        <v/>
      </c>
      <c r="T275" s="62">
        <f>IF(OR($S275="",$S275&lt;&gt;MesCiclo),"",COUNTIF($S$5:$S275,MesCiclo))</f>
        <v/>
      </c>
      <c r="U275" s="62">
        <f>IF($V275="","",IF($V275="Macro",ROW(),IFERROR(LOOKUP(2,1/($V$5:$V275="Macro"),ROW($V$5:$V275)),0)))</f>
        <v/>
      </c>
      <c r="V275" s="62">
        <f>IF(NOT((COUNTA($B275:$D275)+COUNTA($G275:$L275)+COUNTA($Q275))&gt;0),"",IF($B275="Subactividad","Sub","Macro"))</f>
        <v/>
      </c>
      <c r="W275" s="62">
        <f>IF($V275="Macro",COUNTIFS($U$5:$U$1000,ROW(),$V$5:$V$1000,"Sub"),"")</f>
        <v/>
      </c>
      <c r="X275" s="62">
        <f>IF($V275="","",IF(ISNUMBER($G275),1,IFERROR(LOOKUP(2,1/($I275:$L275&lt;&gt;""),$I275:$L275),0)))</f>
        <v/>
      </c>
      <c r="Y275" s="62">
        <f>IF($V275="","",IF(AND(ISNUMBER($G275),$G275&lt;=IF($S275=MesCiclo,InicioCiclo,$S275+MOD(2-WEEKDAY($S275),7))+6),1,IF(ISNUMBER($I275),$I275,0)))</f>
        <v/>
      </c>
      <c r="Z275" s="62">
        <f>IF($V275="","",IF(AND(ISNUMBER($G275),$G275&lt;=IF($S275=MesCiclo,InicioCiclo,$S275+MOD(2-WEEKDAY($S275),7))+13),1,IF(ISNUMBER($J275),$J275,$Y275)))</f>
        <v/>
      </c>
      <c r="AA275" s="62">
        <f>IF($V275="","",IF(AND(ISNUMBER($G275),$G275&lt;=IF($S275=MesCiclo,InicioCiclo,$S275+MOD(2-WEEKDAY($S275),7))+20),1,IF(ISNUMBER($K275),$K275,$Z275)))</f>
        <v/>
      </c>
      <c r="AB275" s="62">
        <f>IF($V275="","",IF(AND(ISNUMBER($G275),$G275&lt;=IF($S275=MesCiclo,InicioCiclo,$S275+MOD(2-WEEKDAY($S275),7))+27),1,IF(ISNUMBER($L275),$L275,$AA275)))</f>
        <v/>
      </c>
      <c r="AC275" s="62">
        <f>IF($V275="","",IF(AND(ISNUMBER($G275),$G275&lt;=IF($S275=MesCiclo,InicioCiclo,$S275+MOD(2-WEEKDAY($S275),7))+6),1,IF(N($W275)&gt;0,AVERAGEIFS($Y$5:$Y$1000,$U$5:$U$1000,ROW(),$V$5:$V$1000,"Sub"),$Y275)))</f>
        <v/>
      </c>
      <c r="AD275" s="62">
        <f>IF($V275="","",IF(AND(ISNUMBER($G275),$G275&lt;=IF($S275=MesCiclo,InicioCiclo,$S275+MOD(2-WEEKDAY($S275),7))+13),1,IF(N($W275)&gt;0,AVERAGEIFS($Z$5:$Z$1000,$U$5:$U$1000,ROW(),$V$5:$V$1000,"Sub"),$Z275)))</f>
        <v/>
      </c>
      <c r="AE275" s="62">
        <f>IF($V275="","",IF(AND(ISNUMBER($G275),$G275&lt;=IF($S275=MesCiclo,InicioCiclo,$S275+MOD(2-WEEKDAY($S275),7))+20),1,IF(N($W275)&gt;0,AVERAGEIFS($AA$5:$AA$1000,$U$5:$U$1000,ROW(),$V$5:$V$1000,"Sub"),$AA275)))</f>
        <v/>
      </c>
      <c r="AF275" s="62">
        <f>IF($V275="","",IF(AND(ISNUMBER($G275),$G275&lt;=IF($S275=MesCiclo,InicioCiclo,$S275+MOD(2-WEEKDAY($S275),7))+27),1,IF(N($W275)&gt;0,AVERAGEIFS($AB$5:$AB$1000,$U$5:$U$1000,ROW(),$V$5:$V$1000,"Sub"),$AB275)))</f>
        <v/>
      </c>
      <c r="AG275" s="62">
        <f>IF($V275&lt;&gt;"Macro","",IF(COUNTIFS($S$5:$S$1000,$S275,$V$5:$V$1000,"Macro",$H$5:$H$1000,"&gt;0")=0,1/COUNTIFS($S$5:$S$1000,$S275,$V$5:$V$1000,"Macro"),IF(AND(ISNUMBER($H275),N($H275)&gt;0),$H275,SUMIFS($H$5:$H$1000,$S$5:$S$1000,$S275,$V$5:$V$1000,"Macro")/COUNTIFS($S$5:$S$1000,$S275,$V$5:$V$1000,"Macro",$H$5:$H$1000,"&gt;0"))/(COUNTIFS($S$5:$S$1000,$S275,$V$5:$V$1000,"Macro")*SUMIFS($H$5:$H$1000,$S$5:$S$1000,$S275,$V$5:$V$1000,"Macro")/COUNTIFS($S$5:$S$1000,$S275,$V$5:$V$1000,"Macro",$H$5:$H$1000,"&gt;0"))))</f>
        <v/>
      </c>
      <c r="AH275" s="62">
        <f>IF(NOT(AND($D275&lt;&gt;"",$V275="Macro")),"",IFERROR(CHOOSE(MATCH($D275,ListaPuestos,0),MATCH("[Jefatura] "&amp;$C275,'Cronograma R. Operacional'!$C$5:$C$1000,0),MATCH("[Jefatura] "&amp;$C275,'Cronograma R. Normativo'!$C$5:$C$1000,0),MATCH("[Jefatura] "&amp;$C275,'Cronograma R. Financiero'!$C$5:$C$1000,0),MATCH("[Jefatura] "&amp;$C275,'Cronograma Asistente Técnico'!$C$5:$C$1000,0)),0))</f>
        <v/>
      </c>
      <c r="AI275" s="62">
        <f>IF(AND(AND($D275&lt;&gt;"",$V275="Macro"),$S275=MesCiclo),COUNTIFS($D$5:$D275,$D275,$S$5:$S275,MesCiclo,$V$5:$V275,"Macro"),"")</f>
        <v/>
      </c>
      <c r="AJ275" s="62">
        <f>IF($AI275="","",$D275&amp;"|"&amp;$AI275)</f>
        <v/>
      </c>
      <c r="AK275" s="62">
        <f>IF(AND($D275&lt;&gt;"",$V275="Macro"),$D275&amp;"|"&amp;$C275,"")</f>
        <v/>
      </c>
      <c r="AL275" s="62">
        <f>""</f>
        <v/>
      </c>
      <c r="AM275" s="62">
        <f>IF(N($AL275)&gt;0,INDEX(rIni_ADM,$AL275),IF(ISNUMBER($E275),$E275,""))</f>
        <v/>
      </c>
      <c r="AN275" s="62">
        <f>IF(N($AL275)&gt;0,INDEX(rLim_ADM,$AL275),IF(ISNUMBER($F275),$F275,""))</f>
        <v/>
      </c>
    </row>
    <row r="276">
      <c r="A276" s="56">
        <f>IF(NOT((COUNTA($B276:$D276)+COUNTA($G276:$L276)+COUNTA($Q276))&gt;0),"",IF($V276="Macro",COUNTIFS($V$5:$V276,"Macro",$S$5:$S276,$S276),IF(N($U276)=0,"?",COUNTIFS(INDEX($V$5:$V$1000,1):INDEX($V$5:$V$1000,$U276-4),"Macro",INDEX($S$5:$S$1000,1):INDEX($S$5:$S$1000,$U276-4),INDEX($S$5:$S$1000,$U276-4))&amp;"."&amp;COUNTIFS($U$5:$U276,$U276,$V$5:$V276,"Sub"))))</f>
        <v/>
      </c>
      <c r="B276" s="57" t="n"/>
      <c r="C276" s="58" t="n"/>
      <c r="D276" s="58" t="n"/>
      <c r="E276" s="59" t="n"/>
      <c r="F276" s="59" t="n"/>
      <c r="G276" s="59" t="n"/>
      <c r="H276" s="60" t="n"/>
      <c r="I276" s="60" t="n"/>
      <c r="J276" s="60" t="n"/>
      <c r="K276" s="60" t="n"/>
      <c r="L276" s="60" t="n"/>
      <c r="M276" s="61">
        <f>IF(NOT((COUNTA($B276:$D276)+COUNTA($G276:$L276)+COUNTA($Q276))&gt;0),"",IF(AND($D276&lt;&gt;"",$V276="Macro"),IF(N($AH276)&gt;0,N(CHOOSE(MATCH($D276,ListaPuestos,0),INDEX('Cronograma R. Operacional'!$M$5:$M$1000,$AH276),INDEX('Cronograma R. Normativo'!$M$5:$M$1000,$AH276),INDEX('Cronograma R. Financiero'!$M$5:$M$1000,$AH276),INDEX('Cronograma Asistente Técnico'!$M$5:$M$1000,$AH276))),0),IF(ISNUMBER($G276),1,IF(N($W276)&gt;0,AVERAGEIFS($X$5:$X$1000,$U$5:$U$1000,ROW(),$V$5:$V$1000,"Sub"),$X276))))</f>
        <v/>
      </c>
      <c r="N276" s="56">
        <f>IF($M276="","",IF($M276&gt;=1,"Completado",IF($M276&gt;0,"En curso","Pendiente")))</f>
        <v/>
      </c>
      <c r="O276" s="56">
        <f>IF(NOT((COUNTA($B276:$D276)+COUNTA($G276:$L276)+COUNTA($Q276))&gt;0),"",IF(AND(AND($D276&lt;&gt;"",$V276="Macro"),N($AH276)&gt;0),CHOOSE(MATCH($D276,ListaPuestos,0),INDEX('Cronograma R. Operacional'!$O$5:$O$1000,$AH276),INDEX('Cronograma R. Normativo'!$O$5:$O$1000,$AH276),INDEX('Cronograma R. Financiero'!$O$5:$O$1000,$AH276),INDEX('Cronograma Asistente Técnico'!$O$5:$O$1000,$AH276))&amp;"",IF(ISNUMBER($G276),IF(AND(ISNUMBER($AN276),$G276&gt;$AN276),"Cumplida con "&amp;($G276-$AN276)&amp;IF($G276-$AN276=1," día"," días")&amp;" de retraso","Cumplida"),IF(N($M276)&gt;=1,"Cumplida",IF(NOT(ISNUMBER($AN276)),"Sin fecha límite",IF($AN276&lt;FechaRef,"Vencida hace "&amp;(FechaRef-$AN276)&amp;IF(FechaRef-$AN276=1," día"," días"),IF($AN276=FechaRef,"Vence hoy",IF($AN276-FechaRef&lt;=DiasAlerta,"Vence en "&amp;($AN276-FechaRef)&amp;IF($AN276-FechaRef=1," día"," días"),"En plazo"))))))))</f>
        <v/>
      </c>
      <c r="P276" s="62">
        <f>IF(NOT((COUNTA($B276:$D276)+COUNTA($G276:$L276)+COUNTA($Q276))&gt;0),"",IF($D276="","Propia",IF($V276&lt;&gt;"Macro","Solo se delegan macroactividades",IF(N($AH276)&gt;0,"✔ Recibida por "&amp;$D276,"⚠ "&amp;$D276&amp;" aún no la agrega"))))</f>
        <v/>
      </c>
      <c r="Q276" s="58" t="n"/>
      <c r="R276" s="63">
        <f>IF(NOT((COUNTA($B276:$D276)+COUNTA($G276:$L276)+COUNTA($Q276))&gt;0),"",IF((IF($C276="","Falta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",""))="","✔ OK","⚠ "&amp;LEFT(IF($C276="","Falta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",""),LEN(IF($C276="","Falta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",""))-3)))</f>
        <v/>
      </c>
      <c r="S276" s="64">
        <f>IF(NOT((COUNTA($B276:$D276)+COUNTA($G276:$L276)+COUNTA($Q276))&gt;0),"",IF(AND($V276="Sub",N($U276)&gt;0),IF(ISNUMBER(INDEX($AM$5:$AM$1000,$U276-4)),DATE(YEAR(INDEX($AM$5:$AM$1000,$U276-4)),MONTH(INDEX($AM$5:$AM$1000,$U276-4)),1),IF(ISNUMBER(INDEX($AN$5:$AN$1000,$U276-4)),DATE(YEAR(INDEX($AN$5:$AN$1000,$U276-4)),MONTH(INDEX($AN$5:$AN$1000,$U276-4)),1),MesCiclo)),IF(ISNUMBER($AM276),DATE(YEAR($AM276),MONTH($AM276),1),IF(ISNUMBER($AN276),DATE(YEAR($AN276),MONTH($AN276),1),MesCiclo))))</f>
        <v/>
      </c>
      <c r="T276" s="62">
        <f>IF(OR($S276="",$S276&lt;&gt;MesCiclo),"",COUNTIF($S$5:$S276,MesCiclo))</f>
        <v/>
      </c>
      <c r="U276" s="62">
        <f>IF($V276="","",IF($V276="Macro",ROW(),IFERROR(LOOKUP(2,1/($V$5:$V276="Macro"),ROW($V$5:$V276)),0)))</f>
        <v/>
      </c>
      <c r="V276" s="62">
        <f>IF(NOT((COUNTA($B276:$D276)+COUNTA($G276:$L276)+COUNTA($Q276))&gt;0),"",IF($B276="Subactividad","Sub","Macro"))</f>
        <v/>
      </c>
      <c r="W276" s="62">
        <f>IF($V276="Macro",COUNTIFS($U$5:$U$1000,ROW(),$V$5:$V$1000,"Sub"),"")</f>
        <v/>
      </c>
      <c r="X276" s="62">
        <f>IF($V276="","",IF(ISNUMBER($G276),1,IFERROR(LOOKUP(2,1/($I276:$L276&lt;&gt;""),$I276:$L276),0)))</f>
        <v/>
      </c>
      <c r="Y276" s="62">
        <f>IF($V276="","",IF(AND(ISNUMBER($G276),$G276&lt;=IF($S276=MesCiclo,InicioCiclo,$S276+MOD(2-WEEKDAY($S276),7))+6),1,IF(ISNUMBER($I276),$I276,0)))</f>
        <v/>
      </c>
      <c r="Z276" s="62">
        <f>IF($V276="","",IF(AND(ISNUMBER($G276),$G276&lt;=IF($S276=MesCiclo,InicioCiclo,$S276+MOD(2-WEEKDAY($S276),7))+13),1,IF(ISNUMBER($J276),$J276,$Y276)))</f>
        <v/>
      </c>
      <c r="AA276" s="62">
        <f>IF($V276="","",IF(AND(ISNUMBER($G276),$G276&lt;=IF($S276=MesCiclo,InicioCiclo,$S276+MOD(2-WEEKDAY($S276),7))+20),1,IF(ISNUMBER($K276),$K276,$Z276)))</f>
        <v/>
      </c>
      <c r="AB276" s="62">
        <f>IF($V276="","",IF(AND(ISNUMBER($G276),$G276&lt;=IF($S276=MesCiclo,InicioCiclo,$S276+MOD(2-WEEKDAY($S276),7))+27),1,IF(ISNUMBER($L276),$L276,$AA276)))</f>
        <v/>
      </c>
      <c r="AC276" s="62">
        <f>IF($V276="","",IF(AND(ISNUMBER($G276),$G276&lt;=IF($S276=MesCiclo,InicioCiclo,$S276+MOD(2-WEEKDAY($S276),7))+6),1,IF(N($W276)&gt;0,AVERAGEIFS($Y$5:$Y$1000,$U$5:$U$1000,ROW(),$V$5:$V$1000,"Sub"),$Y276)))</f>
        <v/>
      </c>
      <c r="AD276" s="62">
        <f>IF($V276="","",IF(AND(ISNUMBER($G276),$G276&lt;=IF($S276=MesCiclo,InicioCiclo,$S276+MOD(2-WEEKDAY($S276),7))+13),1,IF(N($W276)&gt;0,AVERAGEIFS($Z$5:$Z$1000,$U$5:$U$1000,ROW(),$V$5:$V$1000,"Sub"),$Z276)))</f>
        <v/>
      </c>
      <c r="AE276" s="62">
        <f>IF($V276="","",IF(AND(ISNUMBER($G276),$G276&lt;=IF($S276=MesCiclo,InicioCiclo,$S276+MOD(2-WEEKDAY($S276),7))+20),1,IF(N($W276)&gt;0,AVERAGEIFS($AA$5:$AA$1000,$U$5:$U$1000,ROW(),$V$5:$V$1000,"Sub"),$AA276)))</f>
        <v/>
      </c>
      <c r="AF276" s="62">
        <f>IF($V276="","",IF(AND(ISNUMBER($G276),$G276&lt;=IF($S276=MesCiclo,InicioCiclo,$S276+MOD(2-WEEKDAY($S276),7))+27),1,IF(N($W276)&gt;0,AVERAGEIFS($AB$5:$AB$1000,$U$5:$U$1000,ROW(),$V$5:$V$1000,"Sub"),$AB276)))</f>
        <v/>
      </c>
      <c r="AG276" s="62">
        <f>IF($V276&lt;&gt;"Macro","",IF(COUNTIFS($S$5:$S$1000,$S276,$V$5:$V$1000,"Macro",$H$5:$H$1000,"&gt;0")=0,1/COUNTIFS($S$5:$S$1000,$S276,$V$5:$V$1000,"Macro"),IF(AND(ISNUMBER($H276),N($H276)&gt;0),$H276,SUMIFS($H$5:$H$1000,$S$5:$S$1000,$S276,$V$5:$V$1000,"Macro")/COUNTIFS($S$5:$S$1000,$S276,$V$5:$V$1000,"Macro",$H$5:$H$1000,"&gt;0"))/(COUNTIFS($S$5:$S$1000,$S276,$V$5:$V$1000,"Macro")*SUMIFS($H$5:$H$1000,$S$5:$S$1000,$S276,$V$5:$V$1000,"Macro")/COUNTIFS($S$5:$S$1000,$S276,$V$5:$V$1000,"Macro",$H$5:$H$1000,"&gt;0"))))</f>
        <v/>
      </c>
      <c r="AH276" s="62">
        <f>IF(NOT(AND($D276&lt;&gt;"",$V276="Macro")),"",IFERROR(CHOOSE(MATCH($D276,ListaPuestos,0),MATCH("[Jefatura] "&amp;$C276,'Cronograma R. Operacional'!$C$5:$C$1000,0),MATCH("[Jefatura] "&amp;$C276,'Cronograma R. Normativo'!$C$5:$C$1000,0),MATCH("[Jefatura] "&amp;$C276,'Cronograma R. Financiero'!$C$5:$C$1000,0),MATCH("[Jefatura] "&amp;$C276,'Cronograma Asistente Técnico'!$C$5:$C$1000,0)),0))</f>
        <v/>
      </c>
      <c r="AI276" s="62">
        <f>IF(AND(AND($D276&lt;&gt;"",$V276="Macro"),$S276=MesCiclo),COUNTIFS($D$5:$D276,$D276,$S$5:$S276,MesCiclo,$V$5:$V276,"Macro"),"")</f>
        <v/>
      </c>
      <c r="AJ276" s="62">
        <f>IF($AI276="","",$D276&amp;"|"&amp;$AI276)</f>
        <v/>
      </c>
      <c r="AK276" s="62">
        <f>IF(AND($D276&lt;&gt;"",$V276="Macro"),$D276&amp;"|"&amp;$C276,"")</f>
        <v/>
      </c>
      <c r="AL276" s="62">
        <f>""</f>
        <v/>
      </c>
      <c r="AM276" s="62">
        <f>IF(N($AL276)&gt;0,INDEX(rIni_ADM,$AL276),IF(ISNUMBER($E276),$E276,""))</f>
        <v/>
      </c>
      <c r="AN276" s="62">
        <f>IF(N($AL276)&gt;0,INDEX(rLim_ADM,$AL276),IF(ISNUMBER($F276),$F276,""))</f>
        <v/>
      </c>
    </row>
    <row r="277">
      <c r="A277" s="56">
        <f>IF(NOT((COUNTA($B277:$D277)+COUNTA($G277:$L277)+COUNTA($Q277))&gt;0),"",IF($V277="Macro",COUNTIFS($V$5:$V277,"Macro",$S$5:$S277,$S277),IF(N($U277)=0,"?",COUNTIFS(INDEX($V$5:$V$1000,1):INDEX($V$5:$V$1000,$U277-4),"Macro",INDEX($S$5:$S$1000,1):INDEX($S$5:$S$1000,$U277-4),INDEX($S$5:$S$1000,$U277-4))&amp;"."&amp;COUNTIFS($U$5:$U277,$U277,$V$5:$V277,"Sub"))))</f>
        <v/>
      </c>
      <c r="B277" s="57" t="n"/>
      <c r="C277" s="58" t="n"/>
      <c r="D277" s="58" t="n"/>
      <c r="E277" s="59" t="n"/>
      <c r="F277" s="59" t="n"/>
      <c r="G277" s="59" t="n"/>
      <c r="H277" s="60" t="n"/>
      <c r="I277" s="60" t="n"/>
      <c r="J277" s="60" t="n"/>
      <c r="K277" s="60" t="n"/>
      <c r="L277" s="60" t="n"/>
      <c r="M277" s="61">
        <f>IF(NOT((COUNTA($B277:$D277)+COUNTA($G277:$L277)+COUNTA($Q277))&gt;0),"",IF(AND($D277&lt;&gt;"",$V277="Macro"),IF(N($AH277)&gt;0,N(CHOOSE(MATCH($D277,ListaPuestos,0),INDEX('Cronograma R. Operacional'!$M$5:$M$1000,$AH277),INDEX('Cronograma R. Normativo'!$M$5:$M$1000,$AH277),INDEX('Cronograma R. Financiero'!$M$5:$M$1000,$AH277),INDEX('Cronograma Asistente Técnico'!$M$5:$M$1000,$AH277))),0),IF(ISNUMBER($G277),1,IF(N($W277)&gt;0,AVERAGEIFS($X$5:$X$1000,$U$5:$U$1000,ROW(),$V$5:$V$1000,"Sub"),$X277))))</f>
        <v/>
      </c>
      <c r="N277" s="56">
        <f>IF($M277="","",IF($M277&gt;=1,"Completado",IF($M277&gt;0,"En curso","Pendiente")))</f>
        <v/>
      </c>
      <c r="O277" s="56">
        <f>IF(NOT((COUNTA($B277:$D277)+COUNTA($G277:$L277)+COUNTA($Q277))&gt;0),"",IF(AND(AND($D277&lt;&gt;"",$V277="Macro"),N($AH277)&gt;0),CHOOSE(MATCH($D277,ListaPuestos,0),INDEX('Cronograma R. Operacional'!$O$5:$O$1000,$AH277),INDEX('Cronograma R. Normativo'!$O$5:$O$1000,$AH277),INDEX('Cronograma R. Financiero'!$O$5:$O$1000,$AH277),INDEX('Cronograma Asistente Técnico'!$O$5:$O$1000,$AH277))&amp;"",IF(ISNUMBER($G277),IF(AND(ISNUMBER($AN277),$G277&gt;$AN277),"Cumplida con "&amp;($G277-$AN277)&amp;IF($G277-$AN277=1," día"," días")&amp;" de retraso","Cumplida"),IF(N($M277)&gt;=1,"Cumplida",IF(NOT(ISNUMBER($AN277)),"Sin fecha límite",IF($AN277&lt;FechaRef,"Vencida hace "&amp;(FechaRef-$AN277)&amp;IF(FechaRef-$AN277=1," día"," días"),IF($AN277=FechaRef,"Vence hoy",IF($AN277-FechaRef&lt;=DiasAlerta,"Vence en "&amp;($AN277-FechaRef)&amp;IF($AN277-FechaRef=1," día"," días"),"En plazo"))))))))</f>
        <v/>
      </c>
      <c r="P277" s="62">
        <f>IF(NOT((COUNTA($B277:$D277)+COUNTA($G277:$L277)+COUNTA($Q277))&gt;0),"",IF($D277="","Propia",IF($V277&lt;&gt;"Macro","Solo se delegan macroactividades",IF(N($AH277)&gt;0,"✔ Recibida por "&amp;$D277,"⚠ "&amp;$D277&amp;" aún no la agrega"))))</f>
        <v/>
      </c>
      <c r="Q277" s="58" t="n"/>
      <c r="R277" s="63">
        <f>IF(NOT((COUNTA($B277:$D277)+COUNTA($G277:$L277)+COUNTA($Q277))&gt;0),"",IF((IF($C277="","Falta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",""))="","✔ OK","⚠ "&amp;LEFT(IF($C277="","Falta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",""),LEN(IF($C277="","Falta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",""))-3)))</f>
        <v/>
      </c>
      <c r="S277" s="64">
        <f>IF(NOT((COUNTA($B277:$D277)+COUNTA($G277:$L277)+COUNTA($Q277))&gt;0),"",IF(AND($V277="Sub",N($U277)&gt;0),IF(ISNUMBER(INDEX($AM$5:$AM$1000,$U277-4)),DATE(YEAR(INDEX($AM$5:$AM$1000,$U277-4)),MONTH(INDEX($AM$5:$AM$1000,$U277-4)),1),IF(ISNUMBER(INDEX($AN$5:$AN$1000,$U277-4)),DATE(YEAR(INDEX($AN$5:$AN$1000,$U277-4)),MONTH(INDEX($AN$5:$AN$1000,$U277-4)),1),MesCiclo)),IF(ISNUMBER($AM277),DATE(YEAR($AM277),MONTH($AM277),1),IF(ISNUMBER($AN277),DATE(YEAR($AN277),MONTH($AN277),1),MesCiclo))))</f>
        <v/>
      </c>
      <c r="T277" s="62">
        <f>IF(OR($S277="",$S277&lt;&gt;MesCiclo),"",COUNTIF($S$5:$S277,MesCiclo))</f>
        <v/>
      </c>
      <c r="U277" s="62">
        <f>IF($V277="","",IF($V277="Macro",ROW(),IFERROR(LOOKUP(2,1/($V$5:$V277="Macro"),ROW($V$5:$V277)),0)))</f>
        <v/>
      </c>
      <c r="V277" s="62">
        <f>IF(NOT((COUNTA($B277:$D277)+COUNTA($G277:$L277)+COUNTA($Q277))&gt;0),"",IF($B277="Subactividad","Sub","Macro"))</f>
        <v/>
      </c>
      <c r="W277" s="62">
        <f>IF($V277="Macro",COUNTIFS($U$5:$U$1000,ROW(),$V$5:$V$1000,"Sub"),"")</f>
        <v/>
      </c>
      <c r="X277" s="62">
        <f>IF($V277="","",IF(ISNUMBER($G277),1,IFERROR(LOOKUP(2,1/($I277:$L277&lt;&gt;""),$I277:$L277),0)))</f>
        <v/>
      </c>
      <c r="Y277" s="62">
        <f>IF($V277="","",IF(AND(ISNUMBER($G277),$G277&lt;=IF($S277=MesCiclo,InicioCiclo,$S277+MOD(2-WEEKDAY($S277),7))+6),1,IF(ISNUMBER($I277),$I277,0)))</f>
        <v/>
      </c>
      <c r="Z277" s="62">
        <f>IF($V277="","",IF(AND(ISNUMBER($G277),$G277&lt;=IF($S277=MesCiclo,InicioCiclo,$S277+MOD(2-WEEKDAY($S277),7))+13),1,IF(ISNUMBER($J277),$J277,$Y277)))</f>
        <v/>
      </c>
      <c r="AA277" s="62">
        <f>IF($V277="","",IF(AND(ISNUMBER($G277),$G277&lt;=IF($S277=MesCiclo,InicioCiclo,$S277+MOD(2-WEEKDAY($S277),7))+20),1,IF(ISNUMBER($K277),$K277,$Z277)))</f>
        <v/>
      </c>
      <c r="AB277" s="62">
        <f>IF($V277="","",IF(AND(ISNUMBER($G277),$G277&lt;=IF($S277=MesCiclo,InicioCiclo,$S277+MOD(2-WEEKDAY($S277),7))+27),1,IF(ISNUMBER($L277),$L277,$AA277)))</f>
        <v/>
      </c>
      <c r="AC277" s="62">
        <f>IF($V277="","",IF(AND(ISNUMBER($G277),$G277&lt;=IF($S277=MesCiclo,InicioCiclo,$S277+MOD(2-WEEKDAY($S277),7))+6),1,IF(N($W277)&gt;0,AVERAGEIFS($Y$5:$Y$1000,$U$5:$U$1000,ROW(),$V$5:$V$1000,"Sub"),$Y277)))</f>
        <v/>
      </c>
      <c r="AD277" s="62">
        <f>IF($V277="","",IF(AND(ISNUMBER($G277),$G277&lt;=IF($S277=MesCiclo,InicioCiclo,$S277+MOD(2-WEEKDAY($S277),7))+13),1,IF(N($W277)&gt;0,AVERAGEIFS($Z$5:$Z$1000,$U$5:$U$1000,ROW(),$V$5:$V$1000,"Sub"),$Z277)))</f>
        <v/>
      </c>
      <c r="AE277" s="62">
        <f>IF($V277="","",IF(AND(ISNUMBER($G277),$G277&lt;=IF($S277=MesCiclo,InicioCiclo,$S277+MOD(2-WEEKDAY($S277),7))+20),1,IF(N($W277)&gt;0,AVERAGEIFS($AA$5:$AA$1000,$U$5:$U$1000,ROW(),$V$5:$V$1000,"Sub"),$AA277)))</f>
        <v/>
      </c>
      <c r="AF277" s="62">
        <f>IF($V277="","",IF(AND(ISNUMBER($G277),$G277&lt;=IF($S277=MesCiclo,InicioCiclo,$S277+MOD(2-WEEKDAY($S277),7))+27),1,IF(N($W277)&gt;0,AVERAGEIFS($AB$5:$AB$1000,$U$5:$U$1000,ROW(),$V$5:$V$1000,"Sub"),$AB277)))</f>
        <v/>
      </c>
      <c r="AG277" s="62">
        <f>IF($V277&lt;&gt;"Macro","",IF(COUNTIFS($S$5:$S$1000,$S277,$V$5:$V$1000,"Macro",$H$5:$H$1000,"&gt;0")=0,1/COUNTIFS($S$5:$S$1000,$S277,$V$5:$V$1000,"Macro"),IF(AND(ISNUMBER($H277),N($H277)&gt;0),$H277,SUMIFS($H$5:$H$1000,$S$5:$S$1000,$S277,$V$5:$V$1000,"Macro")/COUNTIFS($S$5:$S$1000,$S277,$V$5:$V$1000,"Macro",$H$5:$H$1000,"&gt;0"))/(COUNTIFS($S$5:$S$1000,$S277,$V$5:$V$1000,"Macro")*SUMIFS($H$5:$H$1000,$S$5:$S$1000,$S277,$V$5:$V$1000,"Macro")/COUNTIFS($S$5:$S$1000,$S277,$V$5:$V$1000,"Macro",$H$5:$H$1000,"&gt;0"))))</f>
        <v/>
      </c>
      <c r="AH277" s="62">
        <f>IF(NOT(AND($D277&lt;&gt;"",$V277="Macro")),"",IFERROR(CHOOSE(MATCH($D277,ListaPuestos,0),MATCH("[Jefatura] "&amp;$C277,'Cronograma R. Operacional'!$C$5:$C$1000,0),MATCH("[Jefatura] "&amp;$C277,'Cronograma R. Normativo'!$C$5:$C$1000,0),MATCH("[Jefatura] "&amp;$C277,'Cronograma R. Financiero'!$C$5:$C$1000,0),MATCH("[Jefatura] "&amp;$C277,'Cronograma Asistente Técnico'!$C$5:$C$1000,0)),0))</f>
        <v/>
      </c>
      <c r="AI277" s="62">
        <f>IF(AND(AND($D277&lt;&gt;"",$V277="Macro"),$S277=MesCiclo),COUNTIFS($D$5:$D277,$D277,$S$5:$S277,MesCiclo,$V$5:$V277,"Macro"),"")</f>
        <v/>
      </c>
      <c r="AJ277" s="62">
        <f>IF($AI277="","",$D277&amp;"|"&amp;$AI277)</f>
        <v/>
      </c>
      <c r="AK277" s="62">
        <f>IF(AND($D277&lt;&gt;"",$V277="Macro"),$D277&amp;"|"&amp;$C277,"")</f>
        <v/>
      </c>
      <c r="AL277" s="62">
        <f>""</f>
        <v/>
      </c>
      <c r="AM277" s="62">
        <f>IF(N($AL277)&gt;0,INDEX(rIni_ADM,$AL277),IF(ISNUMBER($E277),$E277,""))</f>
        <v/>
      </c>
      <c r="AN277" s="62">
        <f>IF(N($AL277)&gt;0,INDEX(rLim_ADM,$AL277),IF(ISNUMBER($F277),$F277,""))</f>
        <v/>
      </c>
    </row>
    <row r="278">
      <c r="A278" s="56">
        <f>IF(NOT((COUNTA($B278:$D278)+COUNTA($G278:$L278)+COUNTA($Q278))&gt;0),"",IF($V278="Macro",COUNTIFS($V$5:$V278,"Macro",$S$5:$S278,$S278),IF(N($U278)=0,"?",COUNTIFS(INDEX($V$5:$V$1000,1):INDEX($V$5:$V$1000,$U278-4),"Macro",INDEX($S$5:$S$1000,1):INDEX($S$5:$S$1000,$U278-4),INDEX($S$5:$S$1000,$U278-4))&amp;"."&amp;COUNTIFS($U$5:$U278,$U278,$V$5:$V278,"Sub"))))</f>
        <v/>
      </c>
      <c r="B278" s="57" t="n"/>
      <c r="C278" s="58" t="n"/>
      <c r="D278" s="58" t="n"/>
      <c r="E278" s="59" t="n"/>
      <c r="F278" s="59" t="n"/>
      <c r="G278" s="59" t="n"/>
      <c r="H278" s="60" t="n"/>
      <c r="I278" s="60" t="n"/>
      <c r="J278" s="60" t="n"/>
      <c r="K278" s="60" t="n"/>
      <c r="L278" s="60" t="n"/>
      <c r="M278" s="61">
        <f>IF(NOT((COUNTA($B278:$D278)+COUNTA($G278:$L278)+COUNTA($Q278))&gt;0),"",IF(AND($D278&lt;&gt;"",$V278="Macro"),IF(N($AH278)&gt;0,N(CHOOSE(MATCH($D278,ListaPuestos,0),INDEX('Cronograma R. Operacional'!$M$5:$M$1000,$AH278),INDEX('Cronograma R. Normativo'!$M$5:$M$1000,$AH278),INDEX('Cronograma R. Financiero'!$M$5:$M$1000,$AH278),INDEX('Cronograma Asistente Técnico'!$M$5:$M$1000,$AH278))),0),IF(ISNUMBER($G278),1,IF(N($W278)&gt;0,AVERAGEIFS($X$5:$X$1000,$U$5:$U$1000,ROW(),$V$5:$V$1000,"Sub"),$X278))))</f>
        <v/>
      </c>
      <c r="N278" s="56">
        <f>IF($M278="","",IF($M278&gt;=1,"Completado",IF($M278&gt;0,"En curso","Pendiente")))</f>
        <v/>
      </c>
      <c r="O278" s="56">
        <f>IF(NOT((COUNTA($B278:$D278)+COUNTA($G278:$L278)+COUNTA($Q278))&gt;0),"",IF(AND(AND($D278&lt;&gt;"",$V278="Macro"),N($AH278)&gt;0),CHOOSE(MATCH($D278,ListaPuestos,0),INDEX('Cronograma R. Operacional'!$O$5:$O$1000,$AH278),INDEX('Cronograma R. Normativo'!$O$5:$O$1000,$AH278),INDEX('Cronograma R. Financiero'!$O$5:$O$1000,$AH278),INDEX('Cronograma Asistente Técnico'!$O$5:$O$1000,$AH278))&amp;"",IF(ISNUMBER($G278),IF(AND(ISNUMBER($AN278),$G278&gt;$AN278),"Cumplida con "&amp;($G278-$AN278)&amp;IF($G278-$AN278=1," día"," días")&amp;" de retraso","Cumplida"),IF(N($M278)&gt;=1,"Cumplida",IF(NOT(ISNUMBER($AN278)),"Sin fecha límite",IF($AN278&lt;FechaRef,"Vencida hace "&amp;(FechaRef-$AN278)&amp;IF(FechaRef-$AN278=1," día"," días"),IF($AN278=FechaRef,"Vence hoy",IF($AN278-FechaRef&lt;=DiasAlerta,"Vence en "&amp;($AN278-FechaRef)&amp;IF($AN278-FechaRef=1," día"," días"),"En plazo"))))))))</f>
        <v/>
      </c>
      <c r="P278" s="62">
        <f>IF(NOT((COUNTA($B278:$D278)+COUNTA($G278:$L278)+COUNTA($Q278))&gt;0),"",IF($D278="","Propia",IF($V278&lt;&gt;"Macro","Solo se delegan macroactividades",IF(N($AH278)&gt;0,"✔ Recibida por "&amp;$D278,"⚠ "&amp;$D278&amp;" aún no la agrega"))))</f>
        <v/>
      </c>
      <c r="Q278" s="58" t="n"/>
      <c r="R278" s="63">
        <f>IF(NOT((COUNTA($B278:$D278)+COUNTA($G278:$L278)+COUNTA($Q278))&gt;0),"",IF((IF($C278="","Falta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",""))="","✔ OK","⚠ "&amp;LEFT(IF($C278="","Falta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",""),LEN(IF($C278="","Falta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",""))-3)))</f>
        <v/>
      </c>
      <c r="S278" s="64">
        <f>IF(NOT((COUNTA($B278:$D278)+COUNTA($G278:$L278)+COUNTA($Q278))&gt;0),"",IF(AND($V278="Sub",N($U278)&gt;0),IF(ISNUMBER(INDEX($AM$5:$AM$1000,$U278-4)),DATE(YEAR(INDEX($AM$5:$AM$1000,$U278-4)),MONTH(INDEX($AM$5:$AM$1000,$U278-4)),1),IF(ISNUMBER(INDEX($AN$5:$AN$1000,$U278-4)),DATE(YEAR(INDEX($AN$5:$AN$1000,$U278-4)),MONTH(INDEX($AN$5:$AN$1000,$U278-4)),1),MesCiclo)),IF(ISNUMBER($AM278),DATE(YEAR($AM278),MONTH($AM278),1),IF(ISNUMBER($AN278),DATE(YEAR($AN278),MONTH($AN278),1),MesCiclo))))</f>
        <v/>
      </c>
      <c r="T278" s="62">
        <f>IF(OR($S278="",$S278&lt;&gt;MesCiclo),"",COUNTIF($S$5:$S278,MesCiclo))</f>
        <v/>
      </c>
      <c r="U278" s="62">
        <f>IF($V278="","",IF($V278="Macro",ROW(),IFERROR(LOOKUP(2,1/($V$5:$V278="Macro"),ROW($V$5:$V278)),0)))</f>
        <v/>
      </c>
      <c r="V278" s="62">
        <f>IF(NOT((COUNTA($B278:$D278)+COUNTA($G278:$L278)+COUNTA($Q278))&gt;0),"",IF($B278="Subactividad","Sub","Macro"))</f>
        <v/>
      </c>
      <c r="W278" s="62">
        <f>IF($V278="Macro",COUNTIFS($U$5:$U$1000,ROW(),$V$5:$V$1000,"Sub"),"")</f>
        <v/>
      </c>
      <c r="X278" s="62">
        <f>IF($V278="","",IF(ISNUMBER($G278),1,IFERROR(LOOKUP(2,1/($I278:$L278&lt;&gt;""),$I278:$L278),0)))</f>
        <v/>
      </c>
      <c r="Y278" s="62">
        <f>IF($V278="","",IF(AND(ISNUMBER($G278),$G278&lt;=IF($S278=MesCiclo,InicioCiclo,$S278+MOD(2-WEEKDAY($S278),7))+6),1,IF(ISNUMBER($I278),$I278,0)))</f>
        <v/>
      </c>
      <c r="Z278" s="62">
        <f>IF($V278="","",IF(AND(ISNUMBER($G278),$G278&lt;=IF($S278=MesCiclo,InicioCiclo,$S278+MOD(2-WEEKDAY($S278),7))+13),1,IF(ISNUMBER($J278),$J278,$Y278)))</f>
        <v/>
      </c>
      <c r="AA278" s="62">
        <f>IF($V278="","",IF(AND(ISNUMBER($G278),$G278&lt;=IF($S278=MesCiclo,InicioCiclo,$S278+MOD(2-WEEKDAY($S278),7))+20),1,IF(ISNUMBER($K278),$K278,$Z278)))</f>
        <v/>
      </c>
      <c r="AB278" s="62">
        <f>IF($V278="","",IF(AND(ISNUMBER($G278),$G278&lt;=IF($S278=MesCiclo,InicioCiclo,$S278+MOD(2-WEEKDAY($S278),7))+27),1,IF(ISNUMBER($L278),$L278,$AA278)))</f>
        <v/>
      </c>
      <c r="AC278" s="62">
        <f>IF($V278="","",IF(AND(ISNUMBER($G278),$G278&lt;=IF($S278=MesCiclo,InicioCiclo,$S278+MOD(2-WEEKDAY($S278),7))+6),1,IF(N($W278)&gt;0,AVERAGEIFS($Y$5:$Y$1000,$U$5:$U$1000,ROW(),$V$5:$V$1000,"Sub"),$Y278)))</f>
        <v/>
      </c>
      <c r="AD278" s="62">
        <f>IF($V278="","",IF(AND(ISNUMBER($G278),$G278&lt;=IF($S278=MesCiclo,InicioCiclo,$S278+MOD(2-WEEKDAY($S278),7))+13),1,IF(N($W278)&gt;0,AVERAGEIFS($Z$5:$Z$1000,$U$5:$U$1000,ROW(),$V$5:$V$1000,"Sub"),$Z278)))</f>
        <v/>
      </c>
      <c r="AE278" s="62">
        <f>IF($V278="","",IF(AND(ISNUMBER($G278),$G278&lt;=IF($S278=MesCiclo,InicioCiclo,$S278+MOD(2-WEEKDAY($S278),7))+20),1,IF(N($W278)&gt;0,AVERAGEIFS($AA$5:$AA$1000,$U$5:$U$1000,ROW(),$V$5:$V$1000,"Sub"),$AA278)))</f>
        <v/>
      </c>
      <c r="AF278" s="62">
        <f>IF($V278="","",IF(AND(ISNUMBER($G278),$G278&lt;=IF($S278=MesCiclo,InicioCiclo,$S278+MOD(2-WEEKDAY($S278),7))+27),1,IF(N($W278)&gt;0,AVERAGEIFS($AB$5:$AB$1000,$U$5:$U$1000,ROW(),$V$5:$V$1000,"Sub"),$AB278)))</f>
        <v/>
      </c>
      <c r="AG278" s="62">
        <f>IF($V278&lt;&gt;"Macro","",IF(COUNTIFS($S$5:$S$1000,$S278,$V$5:$V$1000,"Macro",$H$5:$H$1000,"&gt;0")=0,1/COUNTIFS($S$5:$S$1000,$S278,$V$5:$V$1000,"Macro"),IF(AND(ISNUMBER($H278),N($H278)&gt;0),$H278,SUMIFS($H$5:$H$1000,$S$5:$S$1000,$S278,$V$5:$V$1000,"Macro")/COUNTIFS($S$5:$S$1000,$S278,$V$5:$V$1000,"Macro",$H$5:$H$1000,"&gt;0"))/(COUNTIFS($S$5:$S$1000,$S278,$V$5:$V$1000,"Macro")*SUMIFS($H$5:$H$1000,$S$5:$S$1000,$S278,$V$5:$V$1000,"Macro")/COUNTIFS($S$5:$S$1000,$S278,$V$5:$V$1000,"Macro",$H$5:$H$1000,"&gt;0"))))</f>
        <v/>
      </c>
      <c r="AH278" s="62">
        <f>IF(NOT(AND($D278&lt;&gt;"",$V278="Macro")),"",IFERROR(CHOOSE(MATCH($D278,ListaPuestos,0),MATCH("[Jefatura] "&amp;$C278,'Cronograma R. Operacional'!$C$5:$C$1000,0),MATCH("[Jefatura] "&amp;$C278,'Cronograma R. Normativo'!$C$5:$C$1000,0),MATCH("[Jefatura] "&amp;$C278,'Cronograma R. Financiero'!$C$5:$C$1000,0),MATCH("[Jefatura] "&amp;$C278,'Cronograma Asistente Técnico'!$C$5:$C$1000,0)),0))</f>
        <v/>
      </c>
      <c r="AI278" s="62">
        <f>IF(AND(AND($D278&lt;&gt;"",$V278="Macro"),$S278=MesCiclo),COUNTIFS($D$5:$D278,$D278,$S$5:$S278,MesCiclo,$V$5:$V278,"Macro"),"")</f>
        <v/>
      </c>
      <c r="AJ278" s="62">
        <f>IF($AI278="","",$D278&amp;"|"&amp;$AI278)</f>
        <v/>
      </c>
      <c r="AK278" s="62">
        <f>IF(AND($D278&lt;&gt;"",$V278="Macro"),$D278&amp;"|"&amp;$C278,"")</f>
        <v/>
      </c>
      <c r="AL278" s="62">
        <f>""</f>
        <v/>
      </c>
      <c r="AM278" s="62">
        <f>IF(N($AL278)&gt;0,INDEX(rIni_ADM,$AL278),IF(ISNUMBER($E278),$E278,""))</f>
        <v/>
      </c>
      <c r="AN278" s="62">
        <f>IF(N($AL278)&gt;0,INDEX(rLim_ADM,$AL278),IF(ISNUMBER($F278),$F278,""))</f>
        <v/>
      </c>
    </row>
    <row r="279">
      <c r="A279" s="56">
        <f>IF(NOT((COUNTA($B279:$D279)+COUNTA($G279:$L279)+COUNTA($Q279))&gt;0),"",IF($V279="Macro",COUNTIFS($V$5:$V279,"Macro",$S$5:$S279,$S279),IF(N($U279)=0,"?",COUNTIFS(INDEX($V$5:$V$1000,1):INDEX($V$5:$V$1000,$U279-4),"Macro",INDEX($S$5:$S$1000,1):INDEX($S$5:$S$1000,$U279-4),INDEX($S$5:$S$1000,$U279-4))&amp;"."&amp;COUNTIFS($U$5:$U279,$U279,$V$5:$V279,"Sub"))))</f>
        <v/>
      </c>
      <c r="B279" s="57" t="n"/>
      <c r="C279" s="58" t="n"/>
      <c r="D279" s="58" t="n"/>
      <c r="E279" s="59" t="n"/>
      <c r="F279" s="59" t="n"/>
      <c r="G279" s="59" t="n"/>
      <c r="H279" s="60" t="n"/>
      <c r="I279" s="60" t="n"/>
      <c r="J279" s="60" t="n"/>
      <c r="K279" s="60" t="n"/>
      <c r="L279" s="60" t="n"/>
      <c r="M279" s="61">
        <f>IF(NOT((COUNTA($B279:$D279)+COUNTA($G279:$L279)+COUNTA($Q279))&gt;0),"",IF(AND($D279&lt;&gt;"",$V279="Macro"),IF(N($AH279)&gt;0,N(CHOOSE(MATCH($D279,ListaPuestos,0),INDEX('Cronograma R. Operacional'!$M$5:$M$1000,$AH279),INDEX('Cronograma R. Normativo'!$M$5:$M$1000,$AH279),INDEX('Cronograma R. Financiero'!$M$5:$M$1000,$AH279),INDEX('Cronograma Asistente Técnico'!$M$5:$M$1000,$AH279))),0),IF(ISNUMBER($G279),1,IF(N($W279)&gt;0,AVERAGEIFS($X$5:$X$1000,$U$5:$U$1000,ROW(),$V$5:$V$1000,"Sub"),$X279))))</f>
        <v/>
      </c>
      <c r="N279" s="56">
        <f>IF($M279="","",IF($M279&gt;=1,"Completado",IF($M279&gt;0,"En curso","Pendiente")))</f>
        <v/>
      </c>
      <c r="O279" s="56">
        <f>IF(NOT((COUNTA($B279:$D279)+COUNTA($G279:$L279)+COUNTA($Q279))&gt;0),"",IF(AND(AND($D279&lt;&gt;"",$V279="Macro"),N($AH279)&gt;0),CHOOSE(MATCH($D279,ListaPuestos,0),INDEX('Cronograma R. Operacional'!$O$5:$O$1000,$AH279),INDEX('Cronograma R. Normativo'!$O$5:$O$1000,$AH279),INDEX('Cronograma R. Financiero'!$O$5:$O$1000,$AH279),INDEX('Cronograma Asistente Técnico'!$O$5:$O$1000,$AH279))&amp;"",IF(ISNUMBER($G279),IF(AND(ISNUMBER($AN279),$G279&gt;$AN279),"Cumplida con "&amp;($G279-$AN279)&amp;IF($G279-$AN279=1," día"," días")&amp;" de retraso","Cumplida"),IF(N($M279)&gt;=1,"Cumplida",IF(NOT(ISNUMBER($AN279)),"Sin fecha límite",IF($AN279&lt;FechaRef,"Vencida hace "&amp;(FechaRef-$AN279)&amp;IF(FechaRef-$AN279=1," día"," días"),IF($AN279=FechaRef,"Vence hoy",IF($AN279-FechaRef&lt;=DiasAlerta,"Vence en "&amp;($AN279-FechaRef)&amp;IF($AN279-FechaRef=1," día"," días"),"En plazo"))))))))</f>
        <v/>
      </c>
      <c r="P279" s="62">
        <f>IF(NOT((COUNTA($B279:$D279)+COUNTA($G279:$L279)+COUNTA($Q279))&gt;0),"",IF($D279="","Propia",IF($V279&lt;&gt;"Macro","Solo se delegan macroactividades",IF(N($AH279)&gt;0,"✔ Recibida por "&amp;$D279,"⚠ "&amp;$D279&amp;" aún no la agrega"))))</f>
        <v/>
      </c>
      <c r="Q279" s="58" t="n"/>
      <c r="R279" s="63">
        <f>IF(NOT((COUNTA($B279:$D279)+COUNTA($G279:$L279)+COUNTA($Q279))&gt;0),"",IF((IF($C279="","Falta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",""))="","✔ OK","⚠ "&amp;LEFT(IF($C279="","Falta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",""),LEN(IF($C279="","Falta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",""))-3)))</f>
        <v/>
      </c>
      <c r="S279" s="64">
        <f>IF(NOT((COUNTA($B279:$D279)+COUNTA($G279:$L279)+COUNTA($Q279))&gt;0),"",IF(AND($V279="Sub",N($U279)&gt;0),IF(ISNUMBER(INDEX($AM$5:$AM$1000,$U279-4)),DATE(YEAR(INDEX($AM$5:$AM$1000,$U279-4)),MONTH(INDEX($AM$5:$AM$1000,$U279-4)),1),IF(ISNUMBER(INDEX($AN$5:$AN$1000,$U279-4)),DATE(YEAR(INDEX($AN$5:$AN$1000,$U279-4)),MONTH(INDEX($AN$5:$AN$1000,$U279-4)),1),MesCiclo)),IF(ISNUMBER($AM279),DATE(YEAR($AM279),MONTH($AM279),1),IF(ISNUMBER($AN279),DATE(YEAR($AN279),MONTH($AN279),1),MesCiclo))))</f>
        <v/>
      </c>
      <c r="T279" s="62">
        <f>IF(OR($S279="",$S279&lt;&gt;MesCiclo),"",COUNTIF($S$5:$S279,MesCiclo))</f>
        <v/>
      </c>
      <c r="U279" s="62">
        <f>IF($V279="","",IF($V279="Macro",ROW(),IFERROR(LOOKUP(2,1/($V$5:$V279="Macro"),ROW($V$5:$V279)),0)))</f>
        <v/>
      </c>
      <c r="V279" s="62">
        <f>IF(NOT((COUNTA($B279:$D279)+COUNTA($G279:$L279)+COUNTA($Q279))&gt;0),"",IF($B279="Subactividad","Sub","Macro"))</f>
        <v/>
      </c>
      <c r="W279" s="62">
        <f>IF($V279="Macro",COUNTIFS($U$5:$U$1000,ROW(),$V$5:$V$1000,"Sub"),"")</f>
        <v/>
      </c>
      <c r="X279" s="62">
        <f>IF($V279="","",IF(ISNUMBER($G279),1,IFERROR(LOOKUP(2,1/($I279:$L279&lt;&gt;""),$I279:$L279),0)))</f>
        <v/>
      </c>
      <c r="Y279" s="62">
        <f>IF($V279="","",IF(AND(ISNUMBER($G279),$G279&lt;=IF($S279=MesCiclo,InicioCiclo,$S279+MOD(2-WEEKDAY($S279),7))+6),1,IF(ISNUMBER($I279),$I279,0)))</f>
        <v/>
      </c>
      <c r="Z279" s="62">
        <f>IF($V279="","",IF(AND(ISNUMBER($G279),$G279&lt;=IF($S279=MesCiclo,InicioCiclo,$S279+MOD(2-WEEKDAY($S279),7))+13),1,IF(ISNUMBER($J279),$J279,$Y279)))</f>
        <v/>
      </c>
      <c r="AA279" s="62">
        <f>IF($V279="","",IF(AND(ISNUMBER($G279),$G279&lt;=IF($S279=MesCiclo,InicioCiclo,$S279+MOD(2-WEEKDAY($S279),7))+20),1,IF(ISNUMBER($K279),$K279,$Z279)))</f>
        <v/>
      </c>
      <c r="AB279" s="62">
        <f>IF($V279="","",IF(AND(ISNUMBER($G279),$G279&lt;=IF($S279=MesCiclo,InicioCiclo,$S279+MOD(2-WEEKDAY($S279),7))+27),1,IF(ISNUMBER($L279),$L279,$AA279)))</f>
        <v/>
      </c>
      <c r="AC279" s="62">
        <f>IF($V279="","",IF(AND(ISNUMBER($G279),$G279&lt;=IF($S279=MesCiclo,InicioCiclo,$S279+MOD(2-WEEKDAY($S279),7))+6),1,IF(N($W279)&gt;0,AVERAGEIFS($Y$5:$Y$1000,$U$5:$U$1000,ROW(),$V$5:$V$1000,"Sub"),$Y279)))</f>
        <v/>
      </c>
      <c r="AD279" s="62">
        <f>IF($V279="","",IF(AND(ISNUMBER($G279),$G279&lt;=IF($S279=MesCiclo,InicioCiclo,$S279+MOD(2-WEEKDAY($S279),7))+13),1,IF(N($W279)&gt;0,AVERAGEIFS($Z$5:$Z$1000,$U$5:$U$1000,ROW(),$V$5:$V$1000,"Sub"),$Z279)))</f>
        <v/>
      </c>
      <c r="AE279" s="62">
        <f>IF($V279="","",IF(AND(ISNUMBER($G279),$G279&lt;=IF($S279=MesCiclo,InicioCiclo,$S279+MOD(2-WEEKDAY($S279),7))+20),1,IF(N($W279)&gt;0,AVERAGEIFS($AA$5:$AA$1000,$U$5:$U$1000,ROW(),$V$5:$V$1000,"Sub"),$AA279)))</f>
        <v/>
      </c>
      <c r="AF279" s="62">
        <f>IF($V279="","",IF(AND(ISNUMBER($G279),$G279&lt;=IF($S279=MesCiclo,InicioCiclo,$S279+MOD(2-WEEKDAY($S279),7))+27),1,IF(N($W279)&gt;0,AVERAGEIFS($AB$5:$AB$1000,$U$5:$U$1000,ROW(),$V$5:$V$1000,"Sub"),$AB279)))</f>
        <v/>
      </c>
      <c r="AG279" s="62">
        <f>IF($V279&lt;&gt;"Macro","",IF(COUNTIFS($S$5:$S$1000,$S279,$V$5:$V$1000,"Macro",$H$5:$H$1000,"&gt;0")=0,1/COUNTIFS($S$5:$S$1000,$S279,$V$5:$V$1000,"Macro"),IF(AND(ISNUMBER($H279),N($H279)&gt;0),$H279,SUMIFS($H$5:$H$1000,$S$5:$S$1000,$S279,$V$5:$V$1000,"Macro")/COUNTIFS($S$5:$S$1000,$S279,$V$5:$V$1000,"Macro",$H$5:$H$1000,"&gt;0"))/(COUNTIFS($S$5:$S$1000,$S279,$V$5:$V$1000,"Macro")*SUMIFS($H$5:$H$1000,$S$5:$S$1000,$S279,$V$5:$V$1000,"Macro")/COUNTIFS($S$5:$S$1000,$S279,$V$5:$V$1000,"Macro",$H$5:$H$1000,"&gt;0"))))</f>
        <v/>
      </c>
      <c r="AH279" s="62">
        <f>IF(NOT(AND($D279&lt;&gt;"",$V279="Macro")),"",IFERROR(CHOOSE(MATCH($D279,ListaPuestos,0),MATCH("[Jefatura] "&amp;$C279,'Cronograma R. Operacional'!$C$5:$C$1000,0),MATCH("[Jefatura] "&amp;$C279,'Cronograma R. Normativo'!$C$5:$C$1000,0),MATCH("[Jefatura] "&amp;$C279,'Cronograma R. Financiero'!$C$5:$C$1000,0),MATCH("[Jefatura] "&amp;$C279,'Cronograma Asistente Técnico'!$C$5:$C$1000,0)),0))</f>
        <v/>
      </c>
      <c r="AI279" s="62">
        <f>IF(AND(AND($D279&lt;&gt;"",$V279="Macro"),$S279=MesCiclo),COUNTIFS($D$5:$D279,$D279,$S$5:$S279,MesCiclo,$V$5:$V279,"Macro"),"")</f>
        <v/>
      </c>
      <c r="AJ279" s="62">
        <f>IF($AI279="","",$D279&amp;"|"&amp;$AI279)</f>
        <v/>
      </c>
      <c r="AK279" s="62">
        <f>IF(AND($D279&lt;&gt;"",$V279="Macro"),$D279&amp;"|"&amp;$C279,"")</f>
        <v/>
      </c>
      <c r="AL279" s="62">
        <f>""</f>
        <v/>
      </c>
      <c r="AM279" s="62">
        <f>IF(N($AL279)&gt;0,INDEX(rIni_ADM,$AL279),IF(ISNUMBER($E279),$E279,""))</f>
        <v/>
      </c>
      <c r="AN279" s="62">
        <f>IF(N($AL279)&gt;0,INDEX(rLim_ADM,$AL279),IF(ISNUMBER($F279),$F279,""))</f>
        <v/>
      </c>
    </row>
    <row r="280">
      <c r="A280" s="56">
        <f>IF(NOT((COUNTA($B280:$D280)+COUNTA($G280:$L280)+COUNTA($Q280))&gt;0),"",IF($V280="Macro",COUNTIFS($V$5:$V280,"Macro",$S$5:$S280,$S280),IF(N($U280)=0,"?",COUNTIFS(INDEX($V$5:$V$1000,1):INDEX($V$5:$V$1000,$U280-4),"Macro",INDEX($S$5:$S$1000,1):INDEX($S$5:$S$1000,$U280-4),INDEX($S$5:$S$1000,$U280-4))&amp;"."&amp;COUNTIFS($U$5:$U280,$U280,$V$5:$V280,"Sub"))))</f>
        <v/>
      </c>
      <c r="B280" s="57" t="n"/>
      <c r="C280" s="58" t="n"/>
      <c r="D280" s="58" t="n"/>
      <c r="E280" s="59" t="n"/>
      <c r="F280" s="59" t="n"/>
      <c r="G280" s="59" t="n"/>
      <c r="H280" s="60" t="n"/>
      <c r="I280" s="60" t="n"/>
      <c r="J280" s="60" t="n"/>
      <c r="K280" s="60" t="n"/>
      <c r="L280" s="60" t="n"/>
      <c r="M280" s="61">
        <f>IF(NOT((COUNTA($B280:$D280)+COUNTA($G280:$L280)+COUNTA($Q280))&gt;0),"",IF(AND($D280&lt;&gt;"",$V280="Macro"),IF(N($AH280)&gt;0,N(CHOOSE(MATCH($D280,ListaPuestos,0),INDEX('Cronograma R. Operacional'!$M$5:$M$1000,$AH280),INDEX('Cronograma R. Normativo'!$M$5:$M$1000,$AH280),INDEX('Cronograma R. Financiero'!$M$5:$M$1000,$AH280),INDEX('Cronograma Asistente Técnico'!$M$5:$M$1000,$AH280))),0),IF(ISNUMBER($G280),1,IF(N($W280)&gt;0,AVERAGEIFS($X$5:$X$1000,$U$5:$U$1000,ROW(),$V$5:$V$1000,"Sub"),$X280))))</f>
        <v/>
      </c>
      <c r="N280" s="56">
        <f>IF($M280="","",IF($M280&gt;=1,"Completado",IF($M280&gt;0,"En curso","Pendiente")))</f>
        <v/>
      </c>
      <c r="O280" s="56">
        <f>IF(NOT((COUNTA($B280:$D280)+COUNTA($G280:$L280)+COUNTA($Q280))&gt;0),"",IF(AND(AND($D280&lt;&gt;"",$V280="Macro"),N($AH280)&gt;0),CHOOSE(MATCH($D280,ListaPuestos,0),INDEX('Cronograma R. Operacional'!$O$5:$O$1000,$AH280),INDEX('Cronograma R. Normativo'!$O$5:$O$1000,$AH280),INDEX('Cronograma R. Financiero'!$O$5:$O$1000,$AH280),INDEX('Cronograma Asistente Técnico'!$O$5:$O$1000,$AH280))&amp;"",IF(ISNUMBER($G280),IF(AND(ISNUMBER($AN280),$G280&gt;$AN280),"Cumplida con "&amp;($G280-$AN280)&amp;IF($G280-$AN280=1," día"," días")&amp;" de retraso","Cumplida"),IF(N($M280)&gt;=1,"Cumplida",IF(NOT(ISNUMBER($AN280)),"Sin fecha límite",IF($AN280&lt;FechaRef,"Vencida hace "&amp;(FechaRef-$AN280)&amp;IF(FechaRef-$AN280=1," día"," días"),IF($AN280=FechaRef,"Vence hoy",IF($AN280-FechaRef&lt;=DiasAlerta,"Vence en "&amp;($AN280-FechaRef)&amp;IF($AN280-FechaRef=1," día"," días"),"En plazo"))))))))</f>
        <v/>
      </c>
      <c r="P280" s="62">
        <f>IF(NOT((COUNTA($B280:$D280)+COUNTA($G280:$L280)+COUNTA($Q280))&gt;0),"",IF($D280="","Propia",IF($V280&lt;&gt;"Macro","Solo se delegan macroactividades",IF(N($AH280)&gt;0,"✔ Recibida por "&amp;$D280,"⚠ "&amp;$D280&amp;" aún no la agrega"))))</f>
        <v/>
      </c>
      <c r="Q280" s="58" t="n"/>
      <c r="R280" s="63">
        <f>IF(NOT((COUNTA($B280:$D280)+COUNTA($G280:$L280)+COUNTA($Q280))&gt;0),"",IF((IF($C280="","Falta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",""))="","✔ OK","⚠ "&amp;LEFT(IF($C280="","Falta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",""),LEN(IF($C280="","Falta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",""))-3)))</f>
        <v/>
      </c>
      <c r="S280" s="64">
        <f>IF(NOT((COUNTA($B280:$D280)+COUNTA($G280:$L280)+COUNTA($Q280))&gt;0),"",IF(AND($V280="Sub",N($U280)&gt;0),IF(ISNUMBER(INDEX($AM$5:$AM$1000,$U280-4)),DATE(YEAR(INDEX($AM$5:$AM$1000,$U280-4)),MONTH(INDEX($AM$5:$AM$1000,$U280-4)),1),IF(ISNUMBER(INDEX($AN$5:$AN$1000,$U280-4)),DATE(YEAR(INDEX($AN$5:$AN$1000,$U280-4)),MONTH(INDEX($AN$5:$AN$1000,$U280-4)),1),MesCiclo)),IF(ISNUMBER($AM280),DATE(YEAR($AM280),MONTH($AM280),1),IF(ISNUMBER($AN280),DATE(YEAR($AN280),MONTH($AN280),1),MesCiclo))))</f>
        <v/>
      </c>
      <c r="T280" s="62">
        <f>IF(OR($S280="",$S280&lt;&gt;MesCiclo),"",COUNTIF($S$5:$S280,MesCiclo))</f>
        <v/>
      </c>
      <c r="U280" s="62">
        <f>IF($V280="","",IF($V280="Macro",ROW(),IFERROR(LOOKUP(2,1/($V$5:$V280="Macro"),ROW($V$5:$V280)),0)))</f>
        <v/>
      </c>
      <c r="V280" s="62">
        <f>IF(NOT((COUNTA($B280:$D280)+COUNTA($G280:$L280)+COUNTA($Q280))&gt;0),"",IF($B280="Subactividad","Sub","Macro"))</f>
        <v/>
      </c>
      <c r="W280" s="62">
        <f>IF($V280="Macro",COUNTIFS($U$5:$U$1000,ROW(),$V$5:$V$1000,"Sub"),"")</f>
        <v/>
      </c>
      <c r="X280" s="62">
        <f>IF($V280="","",IF(ISNUMBER($G280),1,IFERROR(LOOKUP(2,1/($I280:$L280&lt;&gt;""),$I280:$L280),0)))</f>
        <v/>
      </c>
      <c r="Y280" s="62">
        <f>IF($V280="","",IF(AND(ISNUMBER($G280),$G280&lt;=IF($S280=MesCiclo,InicioCiclo,$S280+MOD(2-WEEKDAY($S280),7))+6),1,IF(ISNUMBER($I280),$I280,0)))</f>
        <v/>
      </c>
      <c r="Z280" s="62">
        <f>IF($V280="","",IF(AND(ISNUMBER($G280),$G280&lt;=IF($S280=MesCiclo,InicioCiclo,$S280+MOD(2-WEEKDAY($S280),7))+13),1,IF(ISNUMBER($J280),$J280,$Y280)))</f>
        <v/>
      </c>
      <c r="AA280" s="62">
        <f>IF($V280="","",IF(AND(ISNUMBER($G280),$G280&lt;=IF($S280=MesCiclo,InicioCiclo,$S280+MOD(2-WEEKDAY($S280),7))+20),1,IF(ISNUMBER($K280),$K280,$Z280)))</f>
        <v/>
      </c>
      <c r="AB280" s="62">
        <f>IF($V280="","",IF(AND(ISNUMBER($G280),$G280&lt;=IF($S280=MesCiclo,InicioCiclo,$S280+MOD(2-WEEKDAY($S280),7))+27),1,IF(ISNUMBER($L280),$L280,$AA280)))</f>
        <v/>
      </c>
      <c r="AC280" s="62">
        <f>IF($V280="","",IF(AND(ISNUMBER($G280),$G280&lt;=IF($S280=MesCiclo,InicioCiclo,$S280+MOD(2-WEEKDAY($S280),7))+6),1,IF(N($W280)&gt;0,AVERAGEIFS($Y$5:$Y$1000,$U$5:$U$1000,ROW(),$V$5:$V$1000,"Sub"),$Y280)))</f>
        <v/>
      </c>
      <c r="AD280" s="62">
        <f>IF($V280="","",IF(AND(ISNUMBER($G280),$G280&lt;=IF($S280=MesCiclo,InicioCiclo,$S280+MOD(2-WEEKDAY($S280),7))+13),1,IF(N($W280)&gt;0,AVERAGEIFS($Z$5:$Z$1000,$U$5:$U$1000,ROW(),$V$5:$V$1000,"Sub"),$Z280)))</f>
        <v/>
      </c>
      <c r="AE280" s="62">
        <f>IF($V280="","",IF(AND(ISNUMBER($G280),$G280&lt;=IF($S280=MesCiclo,InicioCiclo,$S280+MOD(2-WEEKDAY($S280),7))+20),1,IF(N($W280)&gt;0,AVERAGEIFS($AA$5:$AA$1000,$U$5:$U$1000,ROW(),$V$5:$V$1000,"Sub"),$AA280)))</f>
        <v/>
      </c>
      <c r="AF280" s="62">
        <f>IF($V280="","",IF(AND(ISNUMBER($G280),$G280&lt;=IF($S280=MesCiclo,InicioCiclo,$S280+MOD(2-WEEKDAY($S280),7))+27),1,IF(N($W280)&gt;0,AVERAGEIFS($AB$5:$AB$1000,$U$5:$U$1000,ROW(),$V$5:$V$1000,"Sub"),$AB280)))</f>
        <v/>
      </c>
      <c r="AG280" s="62">
        <f>IF($V280&lt;&gt;"Macro","",IF(COUNTIFS($S$5:$S$1000,$S280,$V$5:$V$1000,"Macro",$H$5:$H$1000,"&gt;0")=0,1/COUNTIFS($S$5:$S$1000,$S280,$V$5:$V$1000,"Macro"),IF(AND(ISNUMBER($H280),N($H280)&gt;0),$H280,SUMIFS($H$5:$H$1000,$S$5:$S$1000,$S280,$V$5:$V$1000,"Macro")/COUNTIFS($S$5:$S$1000,$S280,$V$5:$V$1000,"Macro",$H$5:$H$1000,"&gt;0"))/(COUNTIFS($S$5:$S$1000,$S280,$V$5:$V$1000,"Macro")*SUMIFS($H$5:$H$1000,$S$5:$S$1000,$S280,$V$5:$V$1000,"Macro")/COUNTIFS($S$5:$S$1000,$S280,$V$5:$V$1000,"Macro",$H$5:$H$1000,"&gt;0"))))</f>
        <v/>
      </c>
      <c r="AH280" s="62">
        <f>IF(NOT(AND($D280&lt;&gt;"",$V280="Macro")),"",IFERROR(CHOOSE(MATCH($D280,ListaPuestos,0),MATCH("[Jefatura] "&amp;$C280,'Cronograma R. Operacional'!$C$5:$C$1000,0),MATCH("[Jefatura] "&amp;$C280,'Cronograma R. Normativo'!$C$5:$C$1000,0),MATCH("[Jefatura] "&amp;$C280,'Cronograma R. Financiero'!$C$5:$C$1000,0),MATCH("[Jefatura] "&amp;$C280,'Cronograma Asistente Técnico'!$C$5:$C$1000,0)),0))</f>
        <v/>
      </c>
      <c r="AI280" s="62">
        <f>IF(AND(AND($D280&lt;&gt;"",$V280="Macro"),$S280=MesCiclo),COUNTIFS($D$5:$D280,$D280,$S$5:$S280,MesCiclo,$V$5:$V280,"Macro"),"")</f>
        <v/>
      </c>
      <c r="AJ280" s="62">
        <f>IF($AI280="","",$D280&amp;"|"&amp;$AI280)</f>
        <v/>
      </c>
      <c r="AK280" s="62">
        <f>IF(AND($D280&lt;&gt;"",$V280="Macro"),$D280&amp;"|"&amp;$C280,"")</f>
        <v/>
      </c>
      <c r="AL280" s="62">
        <f>""</f>
        <v/>
      </c>
      <c r="AM280" s="62">
        <f>IF(N($AL280)&gt;0,INDEX(rIni_ADM,$AL280),IF(ISNUMBER($E280),$E280,""))</f>
        <v/>
      </c>
      <c r="AN280" s="62">
        <f>IF(N($AL280)&gt;0,INDEX(rLim_ADM,$AL280),IF(ISNUMBER($F280),$F280,""))</f>
        <v/>
      </c>
    </row>
    <row r="281">
      <c r="A281" s="56">
        <f>IF(NOT((COUNTA($B281:$D281)+COUNTA($G281:$L281)+COUNTA($Q281))&gt;0),"",IF($V281="Macro",COUNTIFS($V$5:$V281,"Macro",$S$5:$S281,$S281),IF(N($U281)=0,"?",COUNTIFS(INDEX($V$5:$V$1000,1):INDEX($V$5:$V$1000,$U281-4),"Macro",INDEX($S$5:$S$1000,1):INDEX($S$5:$S$1000,$U281-4),INDEX($S$5:$S$1000,$U281-4))&amp;"."&amp;COUNTIFS($U$5:$U281,$U281,$V$5:$V281,"Sub"))))</f>
        <v/>
      </c>
      <c r="B281" s="57" t="n"/>
      <c r="C281" s="58" t="n"/>
      <c r="D281" s="58" t="n"/>
      <c r="E281" s="59" t="n"/>
      <c r="F281" s="59" t="n"/>
      <c r="G281" s="59" t="n"/>
      <c r="H281" s="60" t="n"/>
      <c r="I281" s="60" t="n"/>
      <c r="J281" s="60" t="n"/>
      <c r="K281" s="60" t="n"/>
      <c r="L281" s="60" t="n"/>
      <c r="M281" s="61">
        <f>IF(NOT((COUNTA($B281:$D281)+COUNTA($G281:$L281)+COUNTA($Q281))&gt;0),"",IF(AND($D281&lt;&gt;"",$V281="Macro"),IF(N($AH281)&gt;0,N(CHOOSE(MATCH($D281,ListaPuestos,0),INDEX('Cronograma R. Operacional'!$M$5:$M$1000,$AH281),INDEX('Cronograma R. Normativo'!$M$5:$M$1000,$AH281),INDEX('Cronograma R. Financiero'!$M$5:$M$1000,$AH281),INDEX('Cronograma Asistente Técnico'!$M$5:$M$1000,$AH281))),0),IF(ISNUMBER($G281),1,IF(N($W281)&gt;0,AVERAGEIFS($X$5:$X$1000,$U$5:$U$1000,ROW(),$V$5:$V$1000,"Sub"),$X281))))</f>
        <v/>
      </c>
      <c r="N281" s="56">
        <f>IF($M281="","",IF($M281&gt;=1,"Completado",IF($M281&gt;0,"En curso","Pendiente")))</f>
        <v/>
      </c>
      <c r="O281" s="56">
        <f>IF(NOT((COUNTA($B281:$D281)+COUNTA($G281:$L281)+COUNTA($Q281))&gt;0),"",IF(AND(AND($D281&lt;&gt;"",$V281="Macro"),N($AH281)&gt;0),CHOOSE(MATCH($D281,ListaPuestos,0),INDEX('Cronograma R. Operacional'!$O$5:$O$1000,$AH281),INDEX('Cronograma R. Normativo'!$O$5:$O$1000,$AH281),INDEX('Cronograma R. Financiero'!$O$5:$O$1000,$AH281),INDEX('Cronograma Asistente Técnico'!$O$5:$O$1000,$AH281))&amp;"",IF(ISNUMBER($G281),IF(AND(ISNUMBER($AN281),$G281&gt;$AN281),"Cumplida con "&amp;($G281-$AN281)&amp;IF($G281-$AN281=1," día"," días")&amp;" de retraso","Cumplida"),IF(N($M281)&gt;=1,"Cumplida",IF(NOT(ISNUMBER($AN281)),"Sin fecha límite",IF($AN281&lt;FechaRef,"Vencida hace "&amp;(FechaRef-$AN281)&amp;IF(FechaRef-$AN281=1," día"," días"),IF($AN281=FechaRef,"Vence hoy",IF($AN281-FechaRef&lt;=DiasAlerta,"Vence en "&amp;($AN281-FechaRef)&amp;IF($AN281-FechaRef=1," día"," días"),"En plazo"))))))))</f>
        <v/>
      </c>
      <c r="P281" s="62">
        <f>IF(NOT((COUNTA($B281:$D281)+COUNTA($G281:$L281)+COUNTA($Q281))&gt;0),"",IF($D281="","Propia",IF($V281&lt;&gt;"Macro","Solo se delegan macroactividades",IF(N($AH281)&gt;0,"✔ Recibida por "&amp;$D281,"⚠ "&amp;$D281&amp;" aún no la agrega"))))</f>
        <v/>
      </c>
      <c r="Q281" s="58" t="n"/>
      <c r="R281" s="63">
        <f>IF(NOT((COUNTA($B281:$D281)+COUNTA($G281:$L281)+COUNTA($Q281))&gt;0),"",IF((IF($C281="","Falta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",""))="","✔ OK","⚠ "&amp;LEFT(IF($C281="","Falta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",""),LEN(IF($C281="","Falta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",""))-3)))</f>
        <v/>
      </c>
      <c r="S281" s="64">
        <f>IF(NOT((COUNTA($B281:$D281)+COUNTA($G281:$L281)+COUNTA($Q281))&gt;0),"",IF(AND($V281="Sub",N($U281)&gt;0),IF(ISNUMBER(INDEX($AM$5:$AM$1000,$U281-4)),DATE(YEAR(INDEX($AM$5:$AM$1000,$U281-4)),MONTH(INDEX($AM$5:$AM$1000,$U281-4)),1),IF(ISNUMBER(INDEX($AN$5:$AN$1000,$U281-4)),DATE(YEAR(INDEX($AN$5:$AN$1000,$U281-4)),MONTH(INDEX($AN$5:$AN$1000,$U281-4)),1),MesCiclo)),IF(ISNUMBER($AM281),DATE(YEAR($AM281),MONTH($AM281),1),IF(ISNUMBER($AN281),DATE(YEAR($AN281),MONTH($AN281),1),MesCiclo))))</f>
        <v/>
      </c>
      <c r="T281" s="62">
        <f>IF(OR($S281="",$S281&lt;&gt;MesCiclo),"",COUNTIF($S$5:$S281,MesCiclo))</f>
        <v/>
      </c>
      <c r="U281" s="62">
        <f>IF($V281="","",IF($V281="Macro",ROW(),IFERROR(LOOKUP(2,1/($V$5:$V281="Macro"),ROW($V$5:$V281)),0)))</f>
        <v/>
      </c>
      <c r="V281" s="62">
        <f>IF(NOT((COUNTA($B281:$D281)+COUNTA($G281:$L281)+COUNTA($Q281))&gt;0),"",IF($B281="Subactividad","Sub","Macro"))</f>
        <v/>
      </c>
      <c r="W281" s="62">
        <f>IF($V281="Macro",COUNTIFS($U$5:$U$1000,ROW(),$V$5:$V$1000,"Sub"),"")</f>
        <v/>
      </c>
      <c r="X281" s="62">
        <f>IF($V281="","",IF(ISNUMBER($G281),1,IFERROR(LOOKUP(2,1/($I281:$L281&lt;&gt;""),$I281:$L281),0)))</f>
        <v/>
      </c>
      <c r="Y281" s="62">
        <f>IF($V281="","",IF(AND(ISNUMBER($G281),$G281&lt;=IF($S281=MesCiclo,InicioCiclo,$S281+MOD(2-WEEKDAY($S281),7))+6),1,IF(ISNUMBER($I281),$I281,0)))</f>
        <v/>
      </c>
      <c r="Z281" s="62">
        <f>IF($V281="","",IF(AND(ISNUMBER($G281),$G281&lt;=IF($S281=MesCiclo,InicioCiclo,$S281+MOD(2-WEEKDAY($S281),7))+13),1,IF(ISNUMBER($J281),$J281,$Y281)))</f>
        <v/>
      </c>
      <c r="AA281" s="62">
        <f>IF($V281="","",IF(AND(ISNUMBER($G281),$G281&lt;=IF($S281=MesCiclo,InicioCiclo,$S281+MOD(2-WEEKDAY($S281),7))+20),1,IF(ISNUMBER($K281),$K281,$Z281)))</f>
        <v/>
      </c>
      <c r="AB281" s="62">
        <f>IF($V281="","",IF(AND(ISNUMBER($G281),$G281&lt;=IF($S281=MesCiclo,InicioCiclo,$S281+MOD(2-WEEKDAY($S281),7))+27),1,IF(ISNUMBER($L281),$L281,$AA281)))</f>
        <v/>
      </c>
      <c r="AC281" s="62">
        <f>IF($V281="","",IF(AND(ISNUMBER($G281),$G281&lt;=IF($S281=MesCiclo,InicioCiclo,$S281+MOD(2-WEEKDAY($S281),7))+6),1,IF(N($W281)&gt;0,AVERAGEIFS($Y$5:$Y$1000,$U$5:$U$1000,ROW(),$V$5:$V$1000,"Sub"),$Y281)))</f>
        <v/>
      </c>
      <c r="AD281" s="62">
        <f>IF($V281="","",IF(AND(ISNUMBER($G281),$G281&lt;=IF($S281=MesCiclo,InicioCiclo,$S281+MOD(2-WEEKDAY($S281),7))+13),1,IF(N($W281)&gt;0,AVERAGEIFS($Z$5:$Z$1000,$U$5:$U$1000,ROW(),$V$5:$V$1000,"Sub"),$Z281)))</f>
        <v/>
      </c>
      <c r="AE281" s="62">
        <f>IF($V281="","",IF(AND(ISNUMBER($G281),$G281&lt;=IF($S281=MesCiclo,InicioCiclo,$S281+MOD(2-WEEKDAY($S281),7))+20),1,IF(N($W281)&gt;0,AVERAGEIFS($AA$5:$AA$1000,$U$5:$U$1000,ROW(),$V$5:$V$1000,"Sub"),$AA281)))</f>
        <v/>
      </c>
      <c r="AF281" s="62">
        <f>IF($V281="","",IF(AND(ISNUMBER($G281),$G281&lt;=IF($S281=MesCiclo,InicioCiclo,$S281+MOD(2-WEEKDAY($S281),7))+27),1,IF(N($W281)&gt;0,AVERAGEIFS($AB$5:$AB$1000,$U$5:$U$1000,ROW(),$V$5:$V$1000,"Sub"),$AB281)))</f>
        <v/>
      </c>
      <c r="AG281" s="62">
        <f>IF($V281&lt;&gt;"Macro","",IF(COUNTIFS($S$5:$S$1000,$S281,$V$5:$V$1000,"Macro",$H$5:$H$1000,"&gt;0")=0,1/COUNTIFS($S$5:$S$1000,$S281,$V$5:$V$1000,"Macro"),IF(AND(ISNUMBER($H281),N($H281)&gt;0),$H281,SUMIFS($H$5:$H$1000,$S$5:$S$1000,$S281,$V$5:$V$1000,"Macro")/COUNTIFS($S$5:$S$1000,$S281,$V$5:$V$1000,"Macro",$H$5:$H$1000,"&gt;0"))/(COUNTIFS($S$5:$S$1000,$S281,$V$5:$V$1000,"Macro")*SUMIFS($H$5:$H$1000,$S$5:$S$1000,$S281,$V$5:$V$1000,"Macro")/COUNTIFS($S$5:$S$1000,$S281,$V$5:$V$1000,"Macro",$H$5:$H$1000,"&gt;0"))))</f>
        <v/>
      </c>
      <c r="AH281" s="62">
        <f>IF(NOT(AND($D281&lt;&gt;"",$V281="Macro")),"",IFERROR(CHOOSE(MATCH($D281,ListaPuestos,0),MATCH("[Jefatura] "&amp;$C281,'Cronograma R. Operacional'!$C$5:$C$1000,0),MATCH("[Jefatura] "&amp;$C281,'Cronograma R. Normativo'!$C$5:$C$1000,0),MATCH("[Jefatura] "&amp;$C281,'Cronograma R. Financiero'!$C$5:$C$1000,0),MATCH("[Jefatura] "&amp;$C281,'Cronograma Asistente Técnico'!$C$5:$C$1000,0)),0))</f>
        <v/>
      </c>
      <c r="AI281" s="62">
        <f>IF(AND(AND($D281&lt;&gt;"",$V281="Macro"),$S281=MesCiclo),COUNTIFS($D$5:$D281,$D281,$S$5:$S281,MesCiclo,$V$5:$V281,"Macro"),"")</f>
        <v/>
      </c>
      <c r="AJ281" s="62">
        <f>IF($AI281="","",$D281&amp;"|"&amp;$AI281)</f>
        <v/>
      </c>
      <c r="AK281" s="62">
        <f>IF(AND($D281&lt;&gt;"",$V281="Macro"),$D281&amp;"|"&amp;$C281,"")</f>
        <v/>
      </c>
      <c r="AL281" s="62">
        <f>""</f>
        <v/>
      </c>
      <c r="AM281" s="62">
        <f>IF(N($AL281)&gt;0,INDEX(rIni_ADM,$AL281),IF(ISNUMBER($E281),$E281,""))</f>
        <v/>
      </c>
      <c r="AN281" s="62">
        <f>IF(N($AL281)&gt;0,INDEX(rLim_ADM,$AL281),IF(ISNUMBER($F281),$F281,""))</f>
        <v/>
      </c>
    </row>
    <row r="282">
      <c r="A282" s="56">
        <f>IF(NOT((COUNTA($B282:$D282)+COUNTA($G282:$L282)+COUNTA($Q282))&gt;0),"",IF($V282="Macro",COUNTIFS($V$5:$V282,"Macro",$S$5:$S282,$S282),IF(N($U282)=0,"?",COUNTIFS(INDEX($V$5:$V$1000,1):INDEX($V$5:$V$1000,$U282-4),"Macro",INDEX($S$5:$S$1000,1):INDEX($S$5:$S$1000,$U282-4),INDEX($S$5:$S$1000,$U282-4))&amp;"."&amp;COUNTIFS($U$5:$U282,$U282,$V$5:$V282,"Sub"))))</f>
        <v/>
      </c>
      <c r="B282" s="57" t="n"/>
      <c r="C282" s="58" t="n"/>
      <c r="D282" s="58" t="n"/>
      <c r="E282" s="59" t="n"/>
      <c r="F282" s="59" t="n"/>
      <c r="G282" s="59" t="n"/>
      <c r="H282" s="60" t="n"/>
      <c r="I282" s="60" t="n"/>
      <c r="J282" s="60" t="n"/>
      <c r="K282" s="60" t="n"/>
      <c r="L282" s="60" t="n"/>
      <c r="M282" s="61">
        <f>IF(NOT((COUNTA($B282:$D282)+COUNTA($G282:$L282)+COUNTA($Q282))&gt;0),"",IF(AND($D282&lt;&gt;"",$V282="Macro"),IF(N($AH282)&gt;0,N(CHOOSE(MATCH($D282,ListaPuestos,0),INDEX('Cronograma R. Operacional'!$M$5:$M$1000,$AH282),INDEX('Cronograma R. Normativo'!$M$5:$M$1000,$AH282),INDEX('Cronograma R. Financiero'!$M$5:$M$1000,$AH282),INDEX('Cronograma Asistente Técnico'!$M$5:$M$1000,$AH282))),0),IF(ISNUMBER($G282),1,IF(N($W282)&gt;0,AVERAGEIFS($X$5:$X$1000,$U$5:$U$1000,ROW(),$V$5:$V$1000,"Sub"),$X282))))</f>
        <v/>
      </c>
      <c r="N282" s="56">
        <f>IF($M282="","",IF($M282&gt;=1,"Completado",IF($M282&gt;0,"En curso","Pendiente")))</f>
        <v/>
      </c>
      <c r="O282" s="56">
        <f>IF(NOT((COUNTA($B282:$D282)+COUNTA($G282:$L282)+COUNTA($Q282))&gt;0),"",IF(AND(AND($D282&lt;&gt;"",$V282="Macro"),N($AH282)&gt;0),CHOOSE(MATCH($D282,ListaPuestos,0),INDEX('Cronograma R. Operacional'!$O$5:$O$1000,$AH282),INDEX('Cronograma R. Normativo'!$O$5:$O$1000,$AH282),INDEX('Cronograma R. Financiero'!$O$5:$O$1000,$AH282),INDEX('Cronograma Asistente Técnico'!$O$5:$O$1000,$AH282))&amp;"",IF(ISNUMBER($G282),IF(AND(ISNUMBER($AN282),$G282&gt;$AN282),"Cumplida con "&amp;($G282-$AN282)&amp;IF($G282-$AN282=1," día"," días")&amp;" de retraso","Cumplida"),IF(N($M282)&gt;=1,"Cumplida",IF(NOT(ISNUMBER($AN282)),"Sin fecha límite",IF($AN282&lt;FechaRef,"Vencida hace "&amp;(FechaRef-$AN282)&amp;IF(FechaRef-$AN282=1," día"," días"),IF($AN282=FechaRef,"Vence hoy",IF($AN282-FechaRef&lt;=DiasAlerta,"Vence en "&amp;($AN282-FechaRef)&amp;IF($AN282-FechaRef=1," día"," días"),"En plazo"))))))))</f>
        <v/>
      </c>
      <c r="P282" s="62">
        <f>IF(NOT((COUNTA($B282:$D282)+COUNTA($G282:$L282)+COUNTA($Q282))&gt;0),"",IF($D282="","Propia",IF($V282&lt;&gt;"Macro","Solo se delegan macroactividades",IF(N($AH282)&gt;0,"✔ Recibida por "&amp;$D282,"⚠ "&amp;$D282&amp;" aún no la agrega"))))</f>
        <v/>
      </c>
      <c r="Q282" s="58" t="n"/>
      <c r="R282" s="63">
        <f>IF(NOT((COUNTA($B282:$D282)+COUNTA($G282:$L282)+COUNTA($Q282))&gt;0),"",IF((IF($C282="","Falta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",""))="","✔ OK","⚠ "&amp;LEFT(IF($C282="","Falta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",""),LEN(IF($C282="","Falta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",""))-3)))</f>
        <v/>
      </c>
      <c r="S282" s="64">
        <f>IF(NOT((COUNTA($B282:$D282)+COUNTA($G282:$L282)+COUNTA($Q282))&gt;0),"",IF(AND($V282="Sub",N($U282)&gt;0),IF(ISNUMBER(INDEX($AM$5:$AM$1000,$U282-4)),DATE(YEAR(INDEX($AM$5:$AM$1000,$U282-4)),MONTH(INDEX($AM$5:$AM$1000,$U282-4)),1),IF(ISNUMBER(INDEX($AN$5:$AN$1000,$U282-4)),DATE(YEAR(INDEX($AN$5:$AN$1000,$U282-4)),MONTH(INDEX($AN$5:$AN$1000,$U282-4)),1),MesCiclo)),IF(ISNUMBER($AM282),DATE(YEAR($AM282),MONTH($AM282),1),IF(ISNUMBER($AN282),DATE(YEAR($AN282),MONTH($AN282),1),MesCiclo))))</f>
        <v/>
      </c>
      <c r="T282" s="62">
        <f>IF(OR($S282="",$S282&lt;&gt;MesCiclo),"",COUNTIF($S$5:$S282,MesCiclo))</f>
        <v/>
      </c>
      <c r="U282" s="62">
        <f>IF($V282="","",IF($V282="Macro",ROW(),IFERROR(LOOKUP(2,1/($V$5:$V282="Macro"),ROW($V$5:$V282)),0)))</f>
        <v/>
      </c>
      <c r="V282" s="62">
        <f>IF(NOT((COUNTA($B282:$D282)+COUNTA($G282:$L282)+COUNTA($Q282))&gt;0),"",IF($B282="Subactividad","Sub","Macro"))</f>
        <v/>
      </c>
      <c r="W282" s="62">
        <f>IF($V282="Macro",COUNTIFS($U$5:$U$1000,ROW(),$V$5:$V$1000,"Sub"),"")</f>
        <v/>
      </c>
      <c r="X282" s="62">
        <f>IF($V282="","",IF(ISNUMBER($G282),1,IFERROR(LOOKUP(2,1/($I282:$L282&lt;&gt;""),$I282:$L282),0)))</f>
        <v/>
      </c>
      <c r="Y282" s="62">
        <f>IF($V282="","",IF(AND(ISNUMBER($G282),$G282&lt;=IF($S282=MesCiclo,InicioCiclo,$S282+MOD(2-WEEKDAY($S282),7))+6),1,IF(ISNUMBER($I282),$I282,0)))</f>
        <v/>
      </c>
      <c r="Z282" s="62">
        <f>IF($V282="","",IF(AND(ISNUMBER($G282),$G282&lt;=IF($S282=MesCiclo,InicioCiclo,$S282+MOD(2-WEEKDAY($S282),7))+13),1,IF(ISNUMBER($J282),$J282,$Y282)))</f>
        <v/>
      </c>
      <c r="AA282" s="62">
        <f>IF($V282="","",IF(AND(ISNUMBER($G282),$G282&lt;=IF($S282=MesCiclo,InicioCiclo,$S282+MOD(2-WEEKDAY($S282),7))+20),1,IF(ISNUMBER($K282),$K282,$Z282)))</f>
        <v/>
      </c>
      <c r="AB282" s="62">
        <f>IF($V282="","",IF(AND(ISNUMBER($G282),$G282&lt;=IF($S282=MesCiclo,InicioCiclo,$S282+MOD(2-WEEKDAY($S282),7))+27),1,IF(ISNUMBER($L282),$L282,$AA282)))</f>
        <v/>
      </c>
      <c r="AC282" s="62">
        <f>IF($V282="","",IF(AND(ISNUMBER($G282),$G282&lt;=IF($S282=MesCiclo,InicioCiclo,$S282+MOD(2-WEEKDAY($S282),7))+6),1,IF(N($W282)&gt;0,AVERAGEIFS($Y$5:$Y$1000,$U$5:$U$1000,ROW(),$V$5:$V$1000,"Sub"),$Y282)))</f>
        <v/>
      </c>
      <c r="AD282" s="62">
        <f>IF($V282="","",IF(AND(ISNUMBER($G282),$G282&lt;=IF($S282=MesCiclo,InicioCiclo,$S282+MOD(2-WEEKDAY($S282),7))+13),1,IF(N($W282)&gt;0,AVERAGEIFS($Z$5:$Z$1000,$U$5:$U$1000,ROW(),$V$5:$V$1000,"Sub"),$Z282)))</f>
        <v/>
      </c>
      <c r="AE282" s="62">
        <f>IF($V282="","",IF(AND(ISNUMBER($G282),$G282&lt;=IF($S282=MesCiclo,InicioCiclo,$S282+MOD(2-WEEKDAY($S282),7))+20),1,IF(N($W282)&gt;0,AVERAGEIFS($AA$5:$AA$1000,$U$5:$U$1000,ROW(),$V$5:$V$1000,"Sub"),$AA282)))</f>
        <v/>
      </c>
      <c r="AF282" s="62">
        <f>IF($V282="","",IF(AND(ISNUMBER($G282),$G282&lt;=IF($S282=MesCiclo,InicioCiclo,$S282+MOD(2-WEEKDAY($S282),7))+27),1,IF(N($W282)&gt;0,AVERAGEIFS($AB$5:$AB$1000,$U$5:$U$1000,ROW(),$V$5:$V$1000,"Sub"),$AB282)))</f>
        <v/>
      </c>
      <c r="AG282" s="62">
        <f>IF($V282&lt;&gt;"Macro","",IF(COUNTIFS($S$5:$S$1000,$S282,$V$5:$V$1000,"Macro",$H$5:$H$1000,"&gt;0")=0,1/COUNTIFS($S$5:$S$1000,$S282,$V$5:$V$1000,"Macro"),IF(AND(ISNUMBER($H282),N($H282)&gt;0),$H282,SUMIFS($H$5:$H$1000,$S$5:$S$1000,$S282,$V$5:$V$1000,"Macro")/COUNTIFS($S$5:$S$1000,$S282,$V$5:$V$1000,"Macro",$H$5:$H$1000,"&gt;0"))/(COUNTIFS($S$5:$S$1000,$S282,$V$5:$V$1000,"Macro")*SUMIFS($H$5:$H$1000,$S$5:$S$1000,$S282,$V$5:$V$1000,"Macro")/COUNTIFS($S$5:$S$1000,$S282,$V$5:$V$1000,"Macro",$H$5:$H$1000,"&gt;0"))))</f>
        <v/>
      </c>
      <c r="AH282" s="62">
        <f>IF(NOT(AND($D282&lt;&gt;"",$V282="Macro")),"",IFERROR(CHOOSE(MATCH($D282,ListaPuestos,0),MATCH("[Jefatura] "&amp;$C282,'Cronograma R. Operacional'!$C$5:$C$1000,0),MATCH("[Jefatura] "&amp;$C282,'Cronograma R. Normativo'!$C$5:$C$1000,0),MATCH("[Jefatura] "&amp;$C282,'Cronograma R. Financiero'!$C$5:$C$1000,0),MATCH("[Jefatura] "&amp;$C282,'Cronograma Asistente Técnico'!$C$5:$C$1000,0)),0))</f>
        <v/>
      </c>
      <c r="AI282" s="62">
        <f>IF(AND(AND($D282&lt;&gt;"",$V282="Macro"),$S282=MesCiclo),COUNTIFS($D$5:$D282,$D282,$S$5:$S282,MesCiclo,$V$5:$V282,"Macro"),"")</f>
        <v/>
      </c>
      <c r="AJ282" s="62">
        <f>IF($AI282="","",$D282&amp;"|"&amp;$AI282)</f>
        <v/>
      </c>
      <c r="AK282" s="62">
        <f>IF(AND($D282&lt;&gt;"",$V282="Macro"),$D282&amp;"|"&amp;$C282,"")</f>
        <v/>
      </c>
      <c r="AL282" s="62">
        <f>""</f>
        <v/>
      </c>
      <c r="AM282" s="62">
        <f>IF(N($AL282)&gt;0,INDEX(rIni_ADM,$AL282),IF(ISNUMBER($E282),$E282,""))</f>
        <v/>
      </c>
      <c r="AN282" s="62">
        <f>IF(N($AL282)&gt;0,INDEX(rLim_ADM,$AL282),IF(ISNUMBER($F282),$F282,""))</f>
        <v/>
      </c>
    </row>
    <row r="283">
      <c r="A283" s="56">
        <f>IF(NOT((COUNTA($B283:$D283)+COUNTA($G283:$L283)+COUNTA($Q283))&gt;0),"",IF($V283="Macro",COUNTIFS($V$5:$V283,"Macro",$S$5:$S283,$S283),IF(N($U283)=0,"?",COUNTIFS(INDEX($V$5:$V$1000,1):INDEX($V$5:$V$1000,$U283-4),"Macro",INDEX($S$5:$S$1000,1):INDEX($S$5:$S$1000,$U283-4),INDEX($S$5:$S$1000,$U283-4))&amp;"."&amp;COUNTIFS($U$5:$U283,$U283,$V$5:$V283,"Sub"))))</f>
        <v/>
      </c>
      <c r="B283" s="57" t="n"/>
      <c r="C283" s="58" t="n"/>
      <c r="D283" s="58" t="n"/>
      <c r="E283" s="59" t="n"/>
      <c r="F283" s="59" t="n"/>
      <c r="G283" s="59" t="n"/>
      <c r="H283" s="60" t="n"/>
      <c r="I283" s="60" t="n"/>
      <c r="J283" s="60" t="n"/>
      <c r="K283" s="60" t="n"/>
      <c r="L283" s="60" t="n"/>
      <c r="M283" s="61">
        <f>IF(NOT((COUNTA($B283:$D283)+COUNTA($G283:$L283)+COUNTA($Q283))&gt;0),"",IF(AND($D283&lt;&gt;"",$V283="Macro"),IF(N($AH283)&gt;0,N(CHOOSE(MATCH($D283,ListaPuestos,0),INDEX('Cronograma R. Operacional'!$M$5:$M$1000,$AH283),INDEX('Cronograma R. Normativo'!$M$5:$M$1000,$AH283),INDEX('Cronograma R. Financiero'!$M$5:$M$1000,$AH283),INDEX('Cronograma Asistente Técnico'!$M$5:$M$1000,$AH283))),0),IF(ISNUMBER($G283),1,IF(N($W283)&gt;0,AVERAGEIFS($X$5:$X$1000,$U$5:$U$1000,ROW(),$V$5:$V$1000,"Sub"),$X283))))</f>
        <v/>
      </c>
      <c r="N283" s="56">
        <f>IF($M283="","",IF($M283&gt;=1,"Completado",IF($M283&gt;0,"En curso","Pendiente")))</f>
        <v/>
      </c>
      <c r="O283" s="56">
        <f>IF(NOT((COUNTA($B283:$D283)+COUNTA($G283:$L283)+COUNTA($Q283))&gt;0),"",IF(AND(AND($D283&lt;&gt;"",$V283="Macro"),N($AH283)&gt;0),CHOOSE(MATCH($D283,ListaPuestos,0),INDEX('Cronograma R. Operacional'!$O$5:$O$1000,$AH283),INDEX('Cronograma R. Normativo'!$O$5:$O$1000,$AH283),INDEX('Cronograma R. Financiero'!$O$5:$O$1000,$AH283),INDEX('Cronograma Asistente Técnico'!$O$5:$O$1000,$AH283))&amp;"",IF(ISNUMBER($G283),IF(AND(ISNUMBER($AN283),$G283&gt;$AN283),"Cumplida con "&amp;($G283-$AN283)&amp;IF($G283-$AN283=1," día"," días")&amp;" de retraso","Cumplida"),IF(N($M283)&gt;=1,"Cumplida",IF(NOT(ISNUMBER($AN283)),"Sin fecha límite",IF($AN283&lt;FechaRef,"Vencida hace "&amp;(FechaRef-$AN283)&amp;IF(FechaRef-$AN283=1," día"," días"),IF($AN283=FechaRef,"Vence hoy",IF($AN283-FechaRef&lt;=DiasAlerta,"Vence en "&amp;($AN283-FechaRef)&amp;IF($AN283-FechaRef=1," día"," días"),"En plazo"))))))))</f>
        <v/>
      </c>
      <c r="P283" s="62">
        <f>IF(NOT((COUNTA($B283:$D283)+COUNTA($G283:$L283)+COUNTA($Q283))&gt;0),"",IF($D283="","Propia",IF($V283&lt;&gt;"Macro","Solo se delegan macroactividades",IF(N($AH283)&gt;0,"✔ Recibida por "&amp;$D283,"⚠ "&amp;$D283&amp;" aún no la agrega"))))</f>
        <v/>
      </c>
      <c r="Q283" s="58" t="n"/>
      <c r="R283" s="63">
        <f>IF(NOT((COUNTA($B283:$D283)+COUNTA($G283:$L283)+COUNTA($Q283))&gt;0),"",IF((IF($C283="","Falta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",""))="","✔ OK","⚠ "&amp;LEFT(IF($C283="","Falta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",""),LEN(IF($C283="","Falta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",""))-3)))</f>
        <v/>
      </c>
      <c r="S283" s="64">
        <f>IF(NOT((COUNTA($B283:$D283)+COUNTA($G283:$L283)+COUNTA($Q283))&gt;0),"",IF(AND($V283="Sub",N($U283)&gt;0),IF(ISNUMBER(INDEX($AM$5:$AM$1000,$U283-4)),DATE(YEAR(INDEX($AM$5:$AM$1000,$U283-4)),MONTH(INDEX($AM$5:$AM$1000,$U283-4)),1),IF(ISNUMBER(INDEX($AN$5:$AN$1000,$U283-4)),DATE(YEAR(INDEX($AN$5:$AN$1000,$U283-4)),MONTH(INDEX($AN$5:$AN$1000,$U283-4)),1),MesCiclo)),IF(ISNUMBER($AM283),DATE(YEAR($AM283),MONTH($AM283),1),IF(ISNUMBER($AN283),DATE(YEAR($AN283),MONTH($AN283),1),MesCiclo))))</f>
        <v/>
      </c>
      <c r="T283" s="62">
        <f>IF(OR($S283="",$S283&lt;&gt;MesCiclo),"",COUNTIF($S$5:$S283,MesCiclo))</f>
        <v/>
      </c>
      <c r="U283" s="62">
        <f>IF($V283="","",IF($V283="Macro",ROW(),IFERROR(LOOKUP(2,1/($V$5:$V283="Macro"),ROW($V$5:$V283)),0)))</f>
        <v/>
      </c>
      <c r="V283" s="62">
        <f>IF(NOT((COUNTA($B283:$D283)+COUNTA($G283:$L283)+COUNTA($Q283))&gt;0),"",IF($B283="Subactividad","Sub","Macro"))</f>
        <v/>
      </c>
      <c r="W283" s="62">
        <f>IF($V283="Macro",COUNTIFS($U$5:$U$1000,ROW(),$V$5:$V$1000,"Sub"),"")</f>
        <v/>
      </c>
      <c r="X283" s="62">
        <f>IF($V283="","",IF(ISNUMBER($G283),1,IFERROR(LOOKUP(2,1/($I283:$L283&lt;&gt;""),$I283:$L283),0)))</f>
        <v/>
      </c>
      <c r="Y283" s="62">
        <f>IF($V283="","",IF(AND(ISNUMBER($G283),$G283&lt;=IF($S283=MesCiclo,InicioCiclo,$S283+MOD(2-WEEKDAY($S283),7))+6),1,IF(ISNUMBER($I283),$I283,0)))</f>
        <v/>
      </c>
      <c r="Z283" s="62">
        <f>IF($V283="","",IF(AND(ISNUMBER($G283),$G283&lt;=IF($S283=MesCiclo,InicioCiclo,$S283+MOD(2-WEEKDAY($S283),7))+13),1,IF(ISNUMBER($J283),$J283,$Y283)))</f>
        <v/>
      </c>
      <c r="AA283" s="62">
        <f>IF($V283="","",IF(AND(ISNUMBER($G283),$G283&lt;=IF($S283=MesCiclo,InicioCiclo,$S283+MOD(2-WEEKDAY($S283),7))+20),1,IF(ISNUMBER($K283),$K283,$Z283)))</f>
        <v/>
      </c>
      <c r="AB283" s="62">
        <f>IF($V283="","",IF(AND(ISNUMBER($G283),$G283&lt;=IF($S283=MesCiclo,InicioCiclo,$S283+MOD(2-WEEKDAY($S283),7))+27),1,IF(ISNUMBER($L283),$L283,$AA283)))</f>
        <v/>
      </c>
      <c r="AC283" s="62">
        <f>IF($V283="","",IF(AND(ISNUMBER($G283),$G283&lt;=IF($S283=MesCiclo,InicioCiclo,$S283+MOD(2-WEEKDAY($S283),7))+6),1,IF(N($W283)&gt;0,AVERAGEIFS($Y$5:$Y$1000,$U$5:$U$1000,ROW(),$V$5:$V$1000,"Sub"),$Y283)))</f>
        <v/>
      </c>
      <c r="AD283" s="62">
        <f>IF($V283="","",IF(AND(ISNUMBER($G283),$G283&lt;=IF($S283=MesCiclo,InicioCiclo,$S283+MOD(2-WEEKDAY($S283),7))+13),1,IF(N($W283)&gt;0,AVERAGEIFS($Z$5:$Z$1000,$U$5:$U$1000,ROW(),$V$5:$V$1000,"Sub"),$Z283)))</f>
        <v/>
      </c>
      <c r="AE283" s="62">
        <f>IF($V283="","",IF(AND(ISNUMBER($G283),$G283&lt;=IF($S283=MesCiclo,InicioCiclo,$S283+MOD(2-WEEKDAY($S283),7))+20),1,IF(N($W283)&gt;0,AVERAGEIFS($AA$5:$AA$1000,$U$5:$U$1000,ROW(),$V$5:$V$1000,"Sub"),$AA283)))</f>
        <v/>
      </c>
      <c r="AF283" s="62">
        <f>IF($V283="","",IF(AND(ISNUMBER($G283),$G283&lt;=IF($S283=MesCiclo,InicioCiclo,$S283+MOD(2-WEEKDAY($S283),7))+27),1,IF(N($W283)&gt;0,AVERAGEIFS($AB$5:$AB$1000,$U$5:$U$1000,ROW(),$V$5:$V$1000,"Sub"),$AB283)))</f>
        <v/>
      </c>
      <c r="AG283" s="62">
        <f>IF($V283&lt;&gt;"Macro","",IF(COUNTIFS($S$5:$S$1000,$S283,$V$5:$V$1000,"Macro",$H$5:$H$1000,"&gt;0")=0,1/COUNTIFS($S$5:$S$1000,$S283,$V$5:$V$1000,"Macro"),IF(AND(ISNUMBER($H283),N($H283)&gt;0),$H283,SUMIFS($H$5:$H$1000,$S$5:$S$1000,$S283,$V$5:$V$1000,"Macro")/COUNTIFS($S$5:$S$1000,$S283,$V$5:$V$1000,"Macro",$H$5:$H$1000,"&gt;0"))/(COUNTIFS($S$5:$S$1000,$S283,$V$5:$V$1000,"Macro")*SUMIFS($H$5:$H$1000,$S$5:$S$1000,$S283,$V$5:$V$1000,"Macro")/COUNTIFS($S$5:$S$1000,$S283,$V$5:$V$1000,"Macro",$H$5:$H$1000,"&gt;0"))))</f>
        <v/>
      </c>
      <c r="AH283" s="62">
        <f>IF(NOT(AND($D283&lt;&gt;"",$V283="Macro")),"",IFERROR(CHOOSE(MATCH($D283,ListaPuestos,0),MATCH("[Jefatura] "&amp;$C283,'Cronograma R. Operacional'!$C$5:$C$1000,0),MATCH("[Jefatura] "&amp;$C283,'Cronograma R. Normativo'!$C$5:$C$1000,0),MATCH("[Jefatura] "&amp;$C283,'Cronograma R. Financiero'!$C$5:$C$1000,0),MATCH("[Jefatura] "&amp;$C283,'Cronograma Asistente Técnico'!$C$5:$C$1000,0)),0))</f>
        <v/>
      </c>
      <c r="AI283" s="62">
        <f>IF(AND(AND($D283&lt;&gt;"",$V283="Macro"),$S283=MesCiclo),COUNTIFS($D$5:$D283,$D283,$S$5:$S283,MesCiclo,$V$5:$V283,"Macro"),"")</f>
        <v/>
      </c>
      <c r="AJ283" s="62">
        <f>IF($AI283="","",$D283&amp;"|"&amp;$AI283)</f>
        <v/>
      </c>
      <c r="AK283" s="62">
        <f>IF(AND($D283&lt;&gt;"",$V283="Macro"),$D283&amp;"|"&amp;$C283,"")</f>
        <v/>
      </c>
      <c r="AL283" s="62">
        <f>""</f>
        <v/>
      </c>
      <c r="AM283" s="62">
        <f>IF(N($AL283)&gt;0,INDEX(rIni_ADM,$AL283),IF(ISNUMBER($E283),$E283,""))</f>
        <v/>
      </c>
      <c r="AN283" s="62">
        <f>IF(N($AL283)&gt;0,INDEX(rLim_ADM,$AL283),IF(ISNUMBER($F283),$F283,""))</f>
        <v/>
      </c>
    </row>
    <row r="284">
      <c r="A284" s="56">
        <f>IF(NOT((COUNTA($B284:$D284)+COUNTA($G284:$L284)+COUNTA($Q284))&gt;0),"",IF($V284="Macro",COUNTIFS($V$5:$V284,"Macro",$S$5:$S284,$S284),IF(N($U284)=0,"?",COUNTIFS(INDEX($V$5:$V$1000,1):INDEX($V$5:$V$1000,$U284-4),"Macro",INDEX($S$5:$S$1000,1):INDEX($S$5:$S$1000,$U284-4),INDEX($S$5:$S$1000,$U284-4))&amp;"."&amp;COUNTIFS($U$5:$U284,$U284,$V$5:$V284,"Sub"))))</f>
        <v/>
      </c>
      <c r="B284" s="57" t="n"/>
      <c r="C284" s="58" t="n"/>
      <c r="D284" s="58" t="n"/>
      <c r="E284" s="59" t="n"/>
      <c r="F284" s="59" t="n"/>
      <c r="G284" s="59" t="n"/>
      <c r="H284" s="60" t="n"/>
      <c r="I284" s="60" t="n"/>
      <c r="J284" s="60" t="n"/>
      <c r="K284" s="60" t="n"/>
      <c r="L284" s="60" t="n"/>
      <c r="M284" s="61">
        <f>IF(NOT((COUNTA($B284:$D284)+COUNTA($G284:$L284)+COUNTA($Q284))&gt;0),"",IF(AND($D284&lt;&gt;"",$V284="Macro"),IF(N($AH284)&gt;0,N(CHOOSE(MATCH($D284,ListaPuestos,0),INDEX('Cronograma R. Operacional'!$M$5:$M$1000,$AH284),INDEX('Cronograma R. Normativo'!$M$5:$M$1000,$AH284),INDEX('Cronograma R. Financiero'!$M$5:$M$1000,$AH284),INDEX('Cronograma Asistente Técnico'!$M$5:$M$1000,$AH284))),0),IF(ISNUMBER($G284),1,IF(N($W284)&gt;0,AVERAGEIFS($X$5:$X$1000,$U$5:$U$1000,ROW(),$V$5:$V$1000,"Sub"),$X284))))</f>
        <v/>
      </c>
      <c r="N284" s="56">
        <f>IF($M284="","",IF($M284&gt;=1,"Completado",IF($M284&gt;0,"En curso","Pendiente")))</f>
        <v/>
      </c>
      <c r="O284" s="56">
        <f>IF(NOT((COUNTA($B284:$D284)+COUNTA($G284:$L284)+COUNTA($Q284))&gt;0),"",IF(AND(AND($D284&lt;&gt;"",$V284="Macro"),N($AH284)&gt;0),CHOOSE(MATCH($D284,ListaPuestos,0),INDEX('Cronograma R. Operacional'!$O$5:$O$1000,$AH284),INDEX('Cronograma R. Normativo'!$O$5:$O$1000,$AH284),INDEX('Cronograma R. Financiero'!$O$5:$O$1000,$AH284),INDEX('Cronograma Asistente Técnico'!$O$5:$O$1000,$AH284))&amp;"",IF(ISNUMBER($G284),IF(AND(ISNUMBER($AN284),$G284&gt;$AN284),"Cumplida con "&amp;($G284-$AN284)&amp;IF($G284-$AN284=1," día"," días")&amp;" de retraso","Cumplida"),IF(N($M284)&gt;=1,"Cumplida",IF(NOT(ISNUMBER($AN284)),"Sin fecha límite",IF($AN284&lt;FechaRef,"Vencida hace "&amp;(FechaRef-$AN284)&amp;IF(FechaRef-$AN284=1," día"," días"),IF($AN284=FechaRef,"Vence hoy",IF($AN284-FechaRef&lt;=DiasAlerta,"Vence en "&amp;($AN284-FechaRef)&amp;IF($AN284-FechaRef=1," día"," días"),"En plazo"))))))))</f>
        <v/>
      </c>
      <c r="P284" s="62">
        <f>IF(NOT((COUNTA($B284:$D284)+COUNTA($G284:$L284)+COUNTA($Q284))&gt;0),"",IF($D284="","Propia",IF($V284&lt;&gt;"Macro","Solo se delegan macroactividades",IF(N($AH284)&gt;0,"✔ Recibida por "&amp;$D284,"⚠ "&amp;$D284&amp;" aún no la agrega"))))</f>
        <v/>
      </c>
      <c r="Q284" s="58" t="n"/>
      <c r="R284" s="63">
        <f>IF(NOT((COUNTA($B284:$D284)+COUNTA($G284:$L284)+COUNTA($Q284))&gt;0),"",IF((IF($C284="","Falta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",""))="","✔ OK","⚠ "&amp;LEFT(IF($C284="","Falta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",""),LEN(IF($C284="","Falta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",""))-3)))</f>
        <v/>
      </c>
      <c r="S284" s="64">
        <f>IF(NOT((COUNTA($B284:$D284)+COUNTA($G284:$L284)+COUNTA($Q284))&gt;0),"",IF(AND($V284="Sub",N($U284)&gt;0),IF(ISNUMBER(INDEX($AM$5:$AM$1000,$U284-4)),DATE(YEAR(INDEX($AM$5:$AM$1000,$U284-4)),MONTH(INDEX($AM$5:$AM$1000,$U284-4)),1),IF(ISNUMBER(INDEX($AN$5:$AN$1000,$U284-4)),DATE(YEAR(INDEX($AN$5:$AN$1000,$U284-4)),MONTH(INDEX($AN$5:$AN$1000,$U284-4)),1),MesCiclo)),IF(ISNUMBER($AM284),DATE(YEAR($AM284),MONTH($AM284),1),IF(ISNUMBER($AN284),DATE(YEAR($AN284),MONTH($AN284),1),MesCiclo))))</f>
        <v/>
      </c>
      <c r="T284" s="62">
        <f>IF(OR($S284="",$S284&lt;&gt;MesCiclo),"",COUNTIF($S$5:$S284,MesCiclo))</f>
        <v/>
      </c>
      <c r="U284" s="62">
        <f>IF($V284="","",IF($V284="Macro",ROW(),IFERROR(LOOKUP(2,1/($V$5:$V284="Macro"),ROW($V$5:$V284)),0)))</f>
        <v/>
      </c>
      <c r="V284" s="62">
        <f>IF(NOT((COUNTA($B284:$D284)+COUNTA($G284:$L284)+COUNTA($Q284))&gt;0),"",IF($B284="Subactividad","Sub","Macro"))</f>
        <v/>
      </c>
      <c r="W284" s="62">
        <f>IF($V284="Macro",COUNTIFS($U$5:$U$1000,ROW(),$V$5:$V$1000,"Sub"),"")</f>
        <v/>
      </c>
      <c r="X284" s="62">
        <f>IF($V284="","",IF(ISNUMBER($G284),1,IFERROR(LOOKUP(2,1/($I284:$L284&lt;&gt;""),$I284:$L284),0)))</f>
        <v/>
      </c>
      <c r="Y284" s="62">
        <f>IF($V284="","",IF(AND(ISNUMBER($G284),$G284&lt;=IF($S284=MesCiclo,InicioCiclo,$S284+MOD(2-WEEKDAY($S284),7))+6),1,IF(ISNUMBER($I284),$I284,0)))</f>
        <v/>
      </c>
      <c r="Z284" s="62">
        <f>IF($V284="","",IF(AND(ISNUMBER($G284),$G284&lt;=IF($S284=MesCiclo,InicioCiclo,$S284+MOD(2-WEEKDAY($S284),7))+13),1,IF(ISNUMBER($J284),$J284,$Y284)))</f>
        <v/>
      </c>
      <c r="AA284" s="62">
        <f>IF($V284="","",IF(AND(ISNUMBER($G284),$G284&lt;=IF($S284=MesCiclo,InicioCiclo,$S284+MOD(2-WEEKDAY($S284),7))+20),1,IF(ISNUMBER($K284),$K284,$Z284)))</f>
        <v/>
      </c>
      <c r="AB284" s="62">
        <f>IF($V284="","",IF(AND(ISNUMBER($G284),$G284&lt;=IF($S284=MesCiclo,InicioCiclo,$S284+MOD(2-WEEKDAY($S284),7))+27),1,IF(ISNUMBER($L284),$L284,$AA284)))</f>
        <v/>
      </c>
      <c r="AC284" s="62">
        <f>IF($V284="","",IF(AND(ISNUMBER($G284),$G284&lt;=IF($S284=MesCiclo,InicioCiclo,$S284+MOD(2-WEEKDAY($S284),7))+6),1,IF(N($W284)&gt;0,AVERAGEIFS($Y$5:$Y$1000,$U$5:$U$1000,ROW(),$V$5:$V$1000,"Sub"),$Y284)))</f>
        <v/>
      </c>
      <c r="AD284" s="62">
        <f>IF($V284="","",IF(AND(ISNUMBER($G284),$G284&lt;=IF($S284=MesCiclo,InicioCiclo,$S284+MOD(2-WEEKDAY($S284),7))+13),1,IF(N($W284)&gt;0,AVERAGEIFS($Z$5:$Z$1000,$U$5:$U$1000,ROW(),$V$5:$V$1000,"Sub"),$Z284)))</f>
        <v/>
      </c>
      <c r="AE284" s="62">
        <f>IF($V284="","",IF(AND(ISNUMBER($G284),$G284&lt;=IF($S284=MesCiclo,InicioCiclo,$S284+MOD(2-WEEKDAY($S284),7))+20),1,IF(N($W284)&gt;0,AVERAGEIFS($AA$5:$AA$1000,$U$5:$U$1000,ROW(),$V$5:$V$1000,"Sub"),$AA284)))</f>
        <v/>
      </c>
      <c r="AF284" s="62">
        <f>IF($V284="","",IF(AND(ISNUMBER($G284),$G284&lt;=IF($S284=MesCiclo,InicioCiclo,$S284+MOD(2-WEEKDAY($S284),7))+27),1,IF(N($W284)&gt;0,AVERAGEIFS($AB$5:$AB$1000,$U$5:$U$1000,ROW(),$V$5:$V$1000,"Sub"),$AB284)))</f>
        <v/>
      </c>
      <c r="AG284" s="62">
        <f>IF($V284&lt;&gt;"Macro","",IF(COUNTIFS($S$5:$S$1000,$S284,$V$5:$V$1000,"Macro",$H$5:$H$1000,"&gt;0")=0,1/COUNTIFS($S$5:$S$1000,$S284,$V$5:$V$1000,"Macro"),IF(AND(ISNUMBER($H284),N($H284)&gt;0),$H284,SUMIFS($H$5:$H$1000,$S$5:$S$1000,$S284,$V$5:$V$1000,"Macro")/COUNTIFS($S$5:$S$1000,$S284,$V$5:$V$1000,"Macro",$H$5:$H$1000,"&gt;0"))/(COUNTIFS($S$5:$S$1000,$S284,$V$5:$V$1000,"Macro")*SUMIFS($H$5:$H$1000,$S$5:$S$1000,$S284,$V$5:$V$1000,"Macro")/COUNTIFS($S$5:$S$1000,$S284,$V$5:$V$1000,"Macro",$H$5:$H$1000,"&gt;0"))))</f>
        <v/>
      </c>
      <c r="AH284" s="62">
        <f>IF(NOT(AND($D284&lt;&gt;"",$V284="Macro")),"",IFERROR(CHOOSE(MATCH($D284,ListaPuestos,0),MATCH("[Jefatura] "&amp;$C284,'Cronograma R. Operacional'!$C$5:$C$1000,0),MATCH("[Jefatura] "&amp;$C284,'Cronograma R. Normativo'!$C$5:$C$1000,0),MATCH("[Jefatura] "&amp;$C284,'Cronograma R. Financiero'!$C$5:$C$1000,0),MATCH("[Jefatura] "&amp;$C284,'Cronograma Asistente Técnico'!$C$5:$C$1000,0)),0))</f>
        <v/>
      </c>
      <c r="AI284" s="62">
        <f>IF(AND(AND($D284&lt;&gt;"",$V284="Macro"),$S284=MesCiclo),COUNTIFS($D$5:$D284,$D284,$S$5:$S284,MesCiclo,$V$5:$V284,"Macro"),"")</f>
        <v/>
      </c>
      <c r="AJ284" s="62">
        <f>IF($AI284="","",$D284&amp;"|"&amp;$AI284)</f>
        <v/>
      </c>
      <c r="AK284" s="62">
        <f>IF(AND($D284&lt;&gt;"",$V284="Macro"),$D284&amp;"|"&amp;$C284,"")</f>
        <v/>
      </c>
      <c r="AL284" s="62">
        <f>""</f>
        <v/>
      </c>
      <c r="AM284" s="62">
        <f>IF(N($AL284)&gt;0,INDEX(rIni_ADM,$AL284),IF(ISNUMBER($E284),$E284,""))</f>
        <v/>
      </c>
      <c r="AN284" s="62">
        <f>IF(N($AL284)&gt;0,INDEX(rLim_ADM,$AL284),IF(ISNUMBER($F284),$F284,""))</f>
        <v/>
      </c>
    </row>
    <row r="285">
      <c r="A285" s="56">
        <f>IF(NOT((COUNTA($B285:$D285)+COUNTA($G285:$L285)+COUNTA($Q285))&gt;0),"",IF($V285="Macro",COUNTIFS($V$5:$V285,"Macro",$S$5:$S285,$S285),IF(N($U285)=0,"?",COUNTIFS(INDEX($V$5:$V$1000,1):INDEX($V$5:$V$1000,$U285-4),"Macro",INDEX($S$5:$S$1000,1):INDEX($S$5:$S$1000,$U285-4),INDEX($S$5:$S$1000,$U285-4))&amp;"."&amp;COUNTIFS($U$5:$U285,$U285,$V$5:$V285,"Sub"))))</f>
        <v/>
      </c>
      <c r="B285" s="57" t="n"/>
      <c r="C285" s="58" t="n"/>
      <c r="D285" s="58" t="n"/>
      <c r="E285" s="59" t="n"/>
      <c r="F285" s="59" t="n"/>
      <c r="G285" s="59" t="n"/>
      <c r="H285" s="60" t="n"/>
      <c r="I285" s="60" t="n"/>
      <c r="J285" s="60" t="n"/>
      <c r="K285" s="60" t="n"/>
      <c r="L285" s="60" t="n"/>
      <c r="M285" s="61">
        <f>IF(NOT((COUNTA($B285:$D285)+COUNTA($G285:$L285)+COUNTA($Q285))&gt;0),"",IF(AND($D285&lt;&gt;"",$V285="Macro"),IF(N($AH285)&gt;0,N(CHOOSE(MATCH($D285,ListaPuestos,0),INDEX('Cronograma R. Operacional'!$M$5:$M$1000,$AH285),INDEX('Cronograma R. Normativo'!$M$5:$M$1000,$AH285),INDEX('Cronograma R. Financiero'!$M$5:$M$1000,$AH285),INDEX('Cronograma Asistente Técnico'!$M$5:$M$1000,$AH285))),0),IF(ISNUMBER($G285),1,IF(N($W285)&gt;0,AVERAGEIFS($X$5:$X$1000,$U$5:$U$1000,ROW(),$V$5:$V$1000,"Sub"),$X285))))</f>
        <v/>
      </c>
      <c r="N285" s="56">
        <f>IF($M285="","",IF($M285&gt;=1,"Completado",IF($M285&gt;0,"En curso","Pendiente")))</f>
        <v/>
      </c>
      <c r="O285" s="56">
        <f>IF(NOT((COUNTA($B285:$D285)+COUNTA($G285:$L285)+COUNTA($Q285))&gt;0),"",IF(AND(AND($D285&lt;&gt;"",$V285="Macro"),N($AH285)&gt;0),CHOOSE(MATCH($D285,ListaPuestos,0),INDEX('Cronograma R. Operacional'!$O$5:$O$1000,$AH285),INDEX('Cronograma R. Normativo'!$O$5:$O$1000,$AH285),INDEX('Cronograma R. Financiero'!$O$5:$O$1000,$AH285),INDEX('Cronograma Asistente Técnico'!$O$5:$O$1000,$AH285))&amp;"",IF(ISNUMBER($G285),IF(AND(ISNUMBER($AN285),$G285&gt;$AN285),"Cumplida con "&amp;($G285-$AN285)&amp;IF($G285-$AN285=1," día"," días")&amp;" de retraso","Cumplida"),IF(N($M285)&gt;=1,"Cumplida",IF(NOT(ISNUMBER($AN285)),"Sin fecha límite",IF($AN285&lt;FechaRef,"Vencida hace "&amp;(FechaRef-$AN285)&amp;IF(FechaRef-$AN285=1," día"," días"),IF($AN285=FechaRef,"Vence hoy",IF($AN285-FechaRef&lt;=DiasAlerta,"Vence en "&amp;($AN285-FechaRef)&amp;IF($AN285-FechaRef=1," día"," días"),"En plazo"))))))))</f>
        <v/>
      </c>
      <c r="P285" s="62">
        <f>IF(NOT((COUNTA($B285:$D285)+COUNTA($G285:$L285)+COUNTA($Q285))&gt;0),"",IF($D285="","Propia",IF($V285&lt;&gt;"Macro","Solo se delegan macroactividades",IF(N($AH285)&gt;0,"✔ Recibida por "&amp;$D285,"⚠ "&amp;$D285&amp;" aún no la agrega"))))</f>
        <v/>
      </c>
      <c r="Q285" s="58" t="n"/>
      <c r="R285" s="63">
        <f>IF(NOT((COUNTA($B285:$D285)+COUNTA($G285:$L285)+COUNTA($Q285))&gt;0),"",IF((IF($C285="","Falta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",""))="","✔ OK","⚠ "&amp;LEFT(IF($C285="","Falta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",""),LEN(IF($C285="","Falta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",""))-3)))</f>
        <v/>
      </c>
      <c r="S285" s="64">
        <f>IF(NOT((COUNTA($B285:$D285)+COUNTA($G285:$L285)+COUNTA($Q285))&gt;0),"",IF(AND($V285="Sub",N($U285)&gt;0),IF(ISNUMBER(INDEX($AM$5:$AM$1000,$U285-4)),DATE(YEAR(INDEX($AM$5:$AM$1000,$U285-4)),MONTH(INDEX($AM$5:$AM$1000,$U285-4)),1),IF(ISNUMBER(INDEX($AN$5:$AN$1000,$U285-4)),DATE(YEAR(INDEX($AN$5:$AN$1000,$U285-4)),MONTH(INDEX($AN$5:$AN$1000,$U285-4)),1),MesCiclo)),IF(ISNUMBER($AM285),DATE(YEAR($AM285),MONTH($AM285),1),IF(ISNUMBER($AN285),DATE(YEAR($AN285),MONTH($AN285),1),MesCiclo))))</f>
        <v/>
      </c>
      <c r="T285" s="62">
        <f>IF(OR($S285="",$S285&lt;&gt;MesCiclo),"",COUNTIF($S$5:$S285,MesCiclo))</f>
        <v/>
      </c>
      <c r="U285" s="62">
        <f>IF($V285="","",IF($V285="Macro",ROW(),IFERROR(LOOKUP(2,1/($V$5:$V285="Macro"),ROW($V$5:$V285)),0)))</f>
        <v/>
      </c>
      <c r="V285" s="62">
        <f>IF(NOT((COUNTA($B285:$D285)+COUNTA($G285:$L285)+COUNTA($Q285))&gt;0),"",IF($B285="Subactividad","Sub","Macro"))</f>
        <v/>
      </c>
      <c r="W285" s="62">
        <f>IF($V285="Macro",COUNTIFS($U$5:$U$1000,ROW(),$V$5:$V$1000,"Sub"),"")</f>
        <v/>
      </c>
      <c r="X285" s="62">
        <f>IF($V285="","",IF(ISNUMBER($G285),1,IFERROR(LOOKUP(2,1/($I285:$L285&lt;&gt;""),$I285:$L285),0)))</f>
        <v/>
      </c>
      <c r="Y285" s="62">
        <f>IF($V285="","",IF(AND(ISNUMBER($G285),$G285&lt;=IF($S285=MesCiclo,InicioCiclo,$S285+MOD(2-WEEKDAY($S285),7))+6),1,IF(ISNUMBER($I285),$I285,0)))</f>
        <v/>
      </c>
      <c r="Z285" s="62">
        <f>IF($V285="","",IF(AND(ISNUMBER($G285),$G285&lt;=IF($S285=MesCiclo,InicioCiclo,$S285+MOD(2-WEEKDAY($S285),7))+13),1,IF(ISNUMBER($J285),$J285,$Y285)))</f>
        <v/>
      </c>
      <c r="AA285" s="62">
        <f>IF($V285="","",IF(AND(ISNUMBER($G285),$G285&lt;=IF($S285=MesCiclo,InicioCiclo,$S285+MOD(2-WEEKDAY($S285),7))+20),1,IF(ISNUMBER($K285),$K285,$Z285)))</f>
        <v/>
      </c>
      <c r="AB285" s="62">
        <f>IF($V285="","",IF(AND(ISNUMBER($G285),$G285&lt;=IF($S285=MesCiclo,InicioCiclo,$S285+MOD(2-WEEKDAY($S285),7))+27),1,IF(ISNUMBER($L285),$L285,$AA285)))</f>
        <v/>
      </c>
      <c r="AC285" s="62">
        <f>IF($V285="","",IF(AND(ISNUMBER($G285),$G285&lt;=IF($S285=MesCiclo,InicioCiclo,$S285+MOD(2-WEEKDAY($S285),7))+6),1,IF(N($W285)&gt;0,AVERAGEIFS($Y$5:$Y$1000,$U$5:$U$1000,ROW(),$V$5:$V$1000,"Sub"),$Y285)))</f>
        <v/>
      </c>
      <c r="AD285" s="62">
        <f>IF($V285="","",IF(AND(ISNUMBER($G285),$G285&lt;=IF($S285=MesCiclo,InicioCiclo,$S285+MOD(2-WEEKDAY($S285),7))+13),1,IF(N($W285)&gt;0,AVERAGEIFS($Z$5:$Z$1000,$U$5:$U$1000,ROW(),$V$5:$V$1000,"Sub"),$Z285)))</f>
        <v/>
      </c>
      <c r="AE285" s="62">
        <f>IF($V285="","",IF(AND(ISNUMBER($G285),$G285&lt;=IF($S285=MesCiclo,InicioCiclo,$S285+MOD(2-WEEKDAY($S285),7))+20),1,IF(N($W285)&gt;0,AVERAGEIFS($AA$5:$AA$1000,$U$5:$U$1000,ROW(),$V$5:$V$1000,"Sub"),$AA285)))</f>
        <v/>
      </c>
      <c r="AF285" s="62">
        <f>IF($V285="","",IF(AND(ISNUMBER($G285),$G285&lt;=IF($S285=MesCiclo,InicioCiclo,$S285+MOD(2-WEEKDAY($S285),7))+27),1,IF(N($W285)&gt;0,AVERAGEIFS($AB$5:$AB$1000,$U$5:$U$1000,ROW(),$V$5:$V$1000,"Sub"),$AB285)))</f>
        <v/>
      </c>
      <c r="AG285" s="62">
        <f>IF($V285&lt;&gt;"Macro","",IF(COUNTIFS($S$5:$S$1000,$S285,$V$5:$V$1000,"Macro",$H$5:$H$1000,"&gt;0")=0,1/COUNTIFS($S$5:$S$1000,$S285,$V$5:$V$1000,"Macro"),IF(AND(ISNUMBER($H285),N($H285)&gt;0),$H285,SUMIFS($H$5:$H$1000,$S$5:$S$1000,$S285,$V$5:$V$1000,"Macro")/COUNTIFS($S$5:$S$1000,$S285,$V$5:$V$1000,"Macro",$H$5:$H$1000,"&gt;0"))/(COUNTIFS($S$5:$S$1000,$S285,$V$5:$V$1000,"Macro")*SUMIFS($H$5:$H$1000,$S$5:$S$1000,$S285,$V$5:$V$1000,"Macro")/COUNTIFS($S$5:$S$1000,$S285,$V$5:$V$1000,"Macro",$H$5:$H$1000,"&gt;0"))))</f>
        <v/>
      </c>
      <c r="AH285" s="62">
        <f>IF(NOT(AND($D285&lt;&gt;"",$V285="Macro")),"",IFERROR(CHOOSE(MATCH($D285,ListaPuestos,0),MATCH("[Jefatura] "&amp;$C285,'Cronograma R. Operacional'!$C$5:$C$1000,0),MATCH("[Jefatura] "&amp;$C285,'Cronograma R. Normativo'!$C$5:$C$1000,0),MATCH("[Jefatura] "&amp;$C285,'Cronograma R. Financiero'!$C$5:$C$1000,0),MATCH("[Jefatura] "&amp;$C285,'Cronograma Asistente Técnico'!$C$5:$C$1000,0)),0))</f>
        <v/>
      </c>
      <c r="AI285" s="62">
        <f>IF(AND(AND($D285&lt;&gt;"",$V285="Macro"),$S285=MesCiclo),COUNTIFS($D$5:$D285,$D285,$S$5:$S285,MesCiclo,$V$5:$V285,"Macro"),"")</f>
        <v/>
      </c>
      <c r="AJ285" s="62">
        <f>IF($AI285="","",$D285&amp;"|"&amp;$AI285)</f>
        <v/>
      </c>
      <c r="AK285" s="62">
        <f>IF(AND($D285&lt;&gt;"",$V285="Macro"),$D285&amp;"|"&amp;$C285,"")</f>
        <v/>
      </c>
      <c r="AL285" s="62">
        <f>""</f>
        <v/>
      </c>
      <c r="AM285" s="62">
        <f>IF(N($AL285)&gt;0,INDEX(rIni_ADM,$AL285),IF(ISNUMBER($E285),$E285,""))</f>
        <v/>
      </c>
      <c r="AN285" s="62">
        <f>IF(N($AL285)&gt;0,INDEX(rLim_ADM,$AL285),IF(ISNUMBER($F285),$F285,""))</f>
        <v/>
      </c>
    </row>
    <row r="286">
      <c r="A286" s="56">
        <f>IF(NOT((COUNTA($B286:$D286)+COUNTA($G286:$L286)+COUNTA($Q286))&gt;0),"",IF($V286="Macro",COUNTIFS($V$5:$V286,"Macro",$S$5:$S286,$S286),IF(N($U286)=0,"?",COUNTIFS(INDEX($V$5:$V$1000,1):INDEX($V$5:$V$1000,$U286-4),"Macro",INDEX($S$5:$S$1000,1):INDEX($S$5:$S$1000,$U286-4),INDEX($S$5:$S$1000,$U286-4))&amp;"."&amp;COUNTIFS($U$5:$U286,$U286,$V$5:$V286,"Sub"))))</f>
        <v/>
      </c>
      <c r="B286" s="57" t="n"/>
      <c r="C286" s="58" t="n"/>
      <c r="D286" s="58" t="n"/>
      <c r="E286" s="59" t="n"/>
      <c r="F286" s="59" t="n"/>
      <c r="G286" s="59" t="n"/>
      <c r="H286" s="60" t="n"/>
      <c r="I286" s="60" t="n"/>
      <c r="J286" s="60" t="n"/>
      <c r="K286" s="60" t="n"/>
      <c r="L286" s="60" t="n"/>
      <c r="M286" s="61">
        <f>IF(NOT((COUNTA($B286:$D286)+COUNTA($G286:$L286)+COUNTA($Q286))&gt;0),"",IF(AND($D286&lt;&gt;"",$V286="Macro"),IF(N($AH286)&gt;0,N(CHOOSE(MATCH($D286,ListaPuestos,0),INDEX('Cronograma R. Operacional'!$M$5:$M$1000,$AH286),INDEX('Cronograma R. Normativo'!$M$5:$M$1000,$AH286),INDEX('Cronograma R. Financiero'!$M$5:$M$1000,$AH286),INDEX('Cronograma Asistente Técnico'!$M$5:$M$1000,$AH286))),0),IF(ISNUMBER($G286),1,IF(N($W286)&gt;0,AVERAGEIFS($X$5:$X$1000,$U$5:$U$1000,ROW(),$V$5:$V$1000,"Sub"),$X286))))</f>
        <v/>
      </c>
      <c r="N286" s="56">
        <f>IF($M286="","",IF($M286&gt;=1,"Completado",IF($M286&gt;0,"En curso","Pendiente")))</f>
        <v/>
      </c>
      <c r="O286" s="56">
        <f>IF(NOT((COUNTA($B286:$D286)+COUNTA($G286:$L286)+COUNTA($Q286))&gt;0),"",IF(AND(AND($D286&lt;&gt;"",$V286="Macro"),N($AH286)&gt;0),CHOOSE(MATCH($D286,ListaPuestos,0),INDEX('Cronograma R. Operacional'!$O$5:$O$1000,$AH286),INDEX('Cronograma R. Normativo'!$O$5:$O$1000,$AH286),INDEX('Cronograma R. Financiero'!$O$5:$O$1000,$AH286),INDEX('Cronograma Asistente Técnico'!$O$5:$O$1000,$AH286))&amp;"",IF(ISNUMBER($G286),IF(AND(ISNUMBER($AN286),$G286&gt;$AN286),"Cumplida con "&amp;($G286-$AN286)&amp;IF($G286-$AN286=1," día"," días")&amp;" de retraso","Cumplida"),IF(N($M286)&gt;=1,"Cumplida",IF(NOT(ISNUMBER($AN286)),"Sin fecha límite",IF($AN286&lt;FechaRef,"Vencida hace "&amp;(FechaRef-$AN286)&amp;IF(FechaRef-$AN286=1," día"," días"),IF($AN286=FechaRef,"Vence hoy",IF($AN286-FechaRef&lt;=DiasAlerta,"Vence en "&amp;($AN286-FechaRef)&amp;IF($AN286-FechaRef=1," día"," días"),"En plazo"))))))))</f>
        <v/>
      </c>
      <c r="P286" s="62">
        <f>IF(NOT((COUNTA($B286:$D286)+COUNTA($G286:$L286)+COUNTA($Q286))&gt;0),"",IF($D286="","Propia",IF($V286&lt;&gt;"Macro","Solo se delegan macroactividades",IF(N($AH286)&gt;0,"✔ Recibida por "&amp;$D286,"⚠ "&amp;$D286&amp;" aún no la agrega"))))</f>
        <v/>
      </c>
      <c r="Q286" s="58" t="n"/>
      <c r="R286" s="63">
        <f>IF(NOT((COUNTA($B286:$D286)+COUNTA($G286:$L286)+COUNTA($Q286))&gt;0),"",IF((IF($C286="","Falta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",""))="","✔ OK","⚠ "&amp;LEFT(IF($C286="","Falta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",""),LEN(IF($C286="","Falta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",""))-3)))</f>
        <v/>
      </c>
      <c r="S286" s="64">
        <f>IF(NOT((COUNTA($B286:$D286)+COUNTA($G286:$L286)+COUNTA($Q286))&gt;0),"",IF(AND($V286="Sub",N($U286)&gt;0),IF(ISNUMBER(INDEX($AM$5:$AM$1000,$U286-4)),DATE(YEAR(INDEX($AM$5:$AM$1000,$U286-4)),MONTH(INDEX($AM$5:$AM$1000,$U286-4)),1),IF(ISNUMBER(INDEX($AN$5:$AN$1000,$U286-4)),DATE(YEAR(INDEX($AN$5:$AN$1000,$U286-4)),MONTH(INDEX($AN$5:$AN$1000,$U286-4)),1),MesCiclo)),IF(ISNUMBER($AM286),DATE(YEAR($AM286),MONTH($AM286),1),IF(ISNUMBER($AN286),DATE(YEAR($AN286),MONTH($AN286),1),MesCiclo))))</f>
        <v/>
      </c>
      <c r="T286" s="62">
        <f>IF(OR($S286="",$S286&lt;&gt;MesCiclo),"",COUNTIF($S$5:$S286,MesCiclo))</f>
        <v/>
      </c>
      <c r="U286" s="62">
        <f>IF($V286="","",IF($V286="Macro",ROW(),IFERROR(LOOKUP(2,1/($V$5:$V286="Macro"),ROW($V$5:$V286)),0)))</f>
        <v/>
      </c>
      <c r="V286" s="62">
        <f>IF(NOT((COUNTA($B286:$D286)+COUNTA($G286:$L286)+COUNTA($Q286))&gt;0),"",IF($B286="Subactividad","Sub","Macro"))</f>
        <v/>
      </c>
      <c r="W286" s="62">
        <f>IF($V286="Macro",COUNTIFS($U$5:$U$1000,ROW(),$V$5:$V$1000,"Sub"),"")</f>
        <v/>
      </c>
      <c r="X286" s="62">
        <f>IF($V286="","",IF(ISNUMBER($G286),1,IFERROR(LOOKUP(2,1/($I286:$L286&lt;&gt;""),$I286:$L286),0)))</f>
        <v/>
      </c>
      <c r="Y286" s="62">
        <f>IF($V286="","",IF(AND(ISNUMBER($G286),$G286&lt;=IF($S286=MesCiclo,InicioCiclo,$S286+MOD(2-WEEKDAY($S286),7))+6),1,IF(ISNUMBER($I286),$I286,0)))</f>
        <v/>
      </c>
      <c r="Z286" s="62">
        <f>IF($V286="","",IF(AND(ISNUMBER($G286),$G286&lt;=IF($S286=MesCiclo,InicioCiclo,$S286+MOD(2-WEEKDAY($S286),7))+13),1,IF(ISNUMBER($J286),$J286,$Y286)))</f>
        <v/>
      </c>
      <c r="AA286" s="62">
        <f>IF($V286="","",IF(AND(ISNUMBER($G286),$G286&lt;=IF($S286=MesCiclo,InicioCiclo,$S286+MOD(2-WEEKDAY($S286),7))+20),1,IF(ISNUMBER($K286),$K286,$Z286)))</f>
        <v/>
      </c>
      <c r="AB286" s="62">
        <f>IF($V286="","",IF(AND(ISNUMBER($G286),$G286&lt;=IF($S286=MesCiclo,InicioCiclo,$S286+MOD(2-WEEKDAY($S286),7))+27),1,IF(ISNUMBER($L286),$L286,$AA286)))</f>
        <v/>
      </c>
      <c r="AC286" s="62">
        <f>IF($V286="","",IF(AND(ISNUMBER($G286),$G286&lt;=IF($S286=MesCiclo,InicioCiclo,$S286+MOD(2-WEEKDAY($S286),7))+6),1,IF(N($W286)&gt;0,AVERAGEIFS($Y$5:$Y$1000,$U$5:$U$1000,ROW(),$V$5:$V$1000,"Sub"),$Y286)))</f>
        <v/>
      </c>
      <c r="AD286" s="62">
        <f>IF($V286="","",IF(AND(ISNUMBER($G286),$G286&lt;=IF($S286=MesCiclo,InicioCiclo,$S286+MOD(2-WEEKDAY($S286),7))+13),1,IF(N($W286)&gt;0,AVERAGEIFS($Z$5:$Z$1000,$U$5:$U$1000,ROW(),$V$5:$V$1000,"Sub"),$Z286)))</f>
        <v/>
      </c>
      <c r="AE286" s="62">
        <f>IF($V286="","",IF(AND(ISNUMBER($G286),$G286&lt;=IF($S286=MesCiclo,InicioCiclo,$S286+MOD(2-WEEKDAY($S286),7))+20),1,IF(N($W286)&gt;0,AVERAGEIFS($AA$5:$AA$1000,$U$5:$U$1000,ROW(),$V$5:$V$1000,"Sub"),$AA286)))</f>
        <v/>
      </c>
      <c r="AF286" s="62">
        <f>IF($V286="","",IF(AND(ISNUMBER($G286),$G286&lt;=IF($S286=MesCiclo,InicioCiclo,$S286+MOD(2-WEEKDAY($S286),7))+27),1,IF(N($W286)&gt;0,AVERAGEIFS($AB$5:$AB$1000,$U$5:$U$1000,ROW(),$V$5:$V$1000,"Sub"),$AB286)))</f>
        <v/>
      </c>
      <c r="AG286" s="62">
        <f>IF($V286&lt;&gt;"Macro","",IF(COUNTIFS($S$5:$S$1000,$S286,$V$5:$V$1000,"Macro",$H$5:$H$1000,"&gt;0")=0,1/COUNTIFS($S$5:$S$1000,$S286,$V$5:$V$1000,"Macro"),IF(AND(ISNUMBER($H286),N($H286)&gt;0),$H286,SUMIFS($H$5:$H$1000,$S$5:$S$1000,$S286,$V$5:$V$1000,"Macro")/COUNTIFS($S$5:$S$1000,$S286,$V$5:$V$1000,"Macro",$H$5:$H$1000,"&gt;0"))/(COUNTIFS($S$5:$S$1000,$S286,$V$5:$V$1000,"Macro")*SUMIFS($H$5:$H$1000,$S$5:$S$1000,$S286,$V$5:$V$1000,"Macro")/COUNTIFS($S$5:$S$1000,$S286,$V$5:$V$1000,"Macro",$H$5:$H$1000,"&gt;0"))))</f>
        <v/>
      </c>
      <c r="AH286" s="62">
        <f>IF(NOT(AND($D286&lt;&gt;"",$V286="Macro")),"",IFERROR(CHOOSE(MATCH($D286,ListaPuestos,0),MATCH("[Jefatura] "&amp;$C286,'Cronograma R. Operacional'!$C$5:$C$1000,0),MATCH("[Jefatura] "&amp;$C286,'Cronograma R. Normativo'!$C$5:$C$1000,0),MATCH("[Jefatura] "&amp;$C286,'Cronograma R. Financiero'!$C$5:$C$1000,0),MATCH("[Jefatura] "&amp;$C286,'Cronograma Asistente Técnico'!$C$5:$C$1000,0)),0))</f>
        <v/>
      </c>
      <c r="AI286" s="62">
        <f>IF(AND(AND($D286&lt;&gt;"",$V286="Macro"),$S286=MesCiclo),COUNTIFS($D$5:$D286,$D286,$S$5:$S286,MesCiclo,$V$5:$V286,"Macro"),"")</f>
        <v/>
      </c>
      <c r="AJ286" s="62">
        <f>IF($AI286="","",$D286&amp;"|"&amp;$AI286)</f>
        <v/>
      </c>
      <c r="AK286" s="62">
        <f>IF(AND($D286&lt;&gt;"",$V286="Macro"),$D286&amp;"|"&amp;$C286,"")</f>
        <v/>
      </c>
      <c r="AL286" s="62">
        <f>""</f>
        <v/>
      </c>
      <c r="AM286" s="62">
        <f>IF(N($AL286)&gt;0,INDEX(rIni_ADM,$AL286),IF(ISNUMBER($E286),$E286,""))</f>
        <v/>
      </c>
      <c r="AN286" s="62">
        <f>IF(N($AL286)&gt;0,INDEX(rLim_ADM,$AL286),IF(ISNUMBER($F286),$F286,""))</f>
        <v/>
      </c>
    </row>
    <row r="287">
      <c r="A287" s="56">
        <f>IF(NOT((COUNTA($B287:$D287)+COUNTA($G287:$L287)+COUNTA($Q287))&gt;0),"",IF($V287="Macro",COUNTIFS($V$5:$V287,"Macro",$S$5:$S287,$S287),IF(N($U287)=0,"?",COUNTIFS(INDEX($V$5:$V$1000,1):INDEX($V$5:$V$1000,$U287-4),"Macro",INDEX($S$5:$S$1000,1):INDEX($S$5:$S$1000,$U287-4),INDEX($S$5:$S$1000,$U287-4))&amp;"."&amp;COUNTIFS($U$5:$U287,$U287,$V$5:$V287,"Sub"))))</f>
        <v/>
      </c>
      <c r="B287" s="57" t="n"/>
      <c r="C287" s="58" t="n"/>
      <c r="D287" s="58" t="n"/>
      <c r="E287" s="59" t="n"/>
      <c r="F287" s="59" t="n"/>
      <c r="G287" s="59" t="n"/>
      <c r="H287" s="60" t="n"/>
      <c r="I287" s="60" t="n"/>
      <c r="J287" s="60" t="n"/>
      <c r="K287" s="60" t="n"/>
      <c r="L287" s="60" t="n"/>
      <c r="M287" s="61">
        <f>IF(NOT((COUNTA($B287:$D287)+COUNTA($G287:$L287)+COUNTA($Q287))&gt;0),"",IF(AND($D287&lt;&gt;"",$V287="Macro"),IF(N($AH287)&gt;0,N(CHOOSE(MATCH($D287,ListaPuestos,0),INDEX('Cronograma R. Operacional'!$M$5:$M$1000,$AH287),INDEX('Cronograma R. Normativo'!$M$5:$M$1000,$AH287),INDEX('Cronograma R. Financiero'!$M$5:$M$1000,$AH287),INDEX('Cronograma Asistente Técnico'!$M$5:$M$1000,$AH287))),0),IF(ISNUMBER($G287),1,IF(N($W287)&gt;0,AVERAGEIFS($X$5:$X$1000,$U$5:$U$1000,ROW(),$V$5:$V$1000,"Sub"),$X287))))</f>
        <v/>
      </c>
      <c r="N287" s="56">
        <f>IF($M287="","",IF($M287&gt;=1,"Completado",IF($M287&gt;0,"En curso","Pendiente")))</f>
        <v/>
      </c>
      <c r="O287" s="56">
        <f>IF(NOT((COUNTA($B287:$D287)+COUNTA($G287:$L287)+COUNTA($Q287))&gt;0),"",IF(AND(AND($D287&lt;&gt;"",$V287="Macro"),N($AH287)&gt;0),CHOOSE(MATCH($D287,ListaPuestos,0),INDEX('Cronograma R. Operacional'!$O$5:$O$1000,$AH287),INDEX('Cronograma R. Normativo'!$O$5:$O$1000,$AH287),INDEX('Cronograma R. Financiero'!$O$5:$O$1000,$AH287),INDEX('Cronograma Asistente Técnico'!$O$5:$O$1000,$AH287))&amp;"",IF(ISNUMBER($G287),IF(AND(ISNUMBER($AN287),$G287&gt;$AN287),"Cumplida con "&amp;($G287-$AN287)&amp;IF($G287-$AN287=1," día"," días")&amp;" de retraso","Cumplida"),IF(N($M287)&gt;=1,"Cumplida",IF(NOT(ISNUMBER($AN287)),"Sin fecha límite",IF($AN287&lt;FechaRef,"Vencida hace "&amp;(FechaRef-$AN287)&amp;IF(FechaRef-$AN287=1," día"," días"),IF($AN287=FechaRef,"Vence hoy",IF($AN287-FechaRef&lt;=DiasAlerta,"Vence en "&amp;($AN287-FechaRef)&amp;IF($AN287-FechaRef=1," día"," días"),"En plazo"))))))))</f>
        <v/>
      </c>
      <c r="P287" s="62">
        <f>IF(NOT((COUNTA($B287:$D287)+COUNTA($G287:$L287)+COUNTA($Q287))&gt;0),"",IF($D287="","Propia",IF($V287&lt;&gt;"Macro","Solo se delegan macroactividades",IF(N($AH287)&gt;0,"✔ Recibida por "&amp;$D287,"⚠ "&amp;$D287&amp;" aún no la agrega"))))</f>
        <v/>
      </c>
      <c r="Q287" s="58" t="n"/>
      <c r="R287" s="63">
        <f>IF(NOT((COUNTA($B287:$D287)+COUNTA($G287:$L287)+COUNTA($Q287))&gt;0),"",IF((IF($C287="","Falta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",""))="","✔ OK","⚠ "&amp;LEFT(IF($C287="","Falta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",""),LEN(IF($C287="","Falta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",""))-3)))</f>
        <v/>
      </c>
      <c r="S287" s="64">
        <f>IF(NOT((COUNTA($B287:$D287)+COUNTA($G287:$L287)+COUNTA($Q287))&gt;0),"",IF(AND($V287="Sub",N($U287)&gt;0),IF(ISNUMBER(INDEX($AM$5:$AM$1000,$U287-4)),DATE(YEAR(INDEX($AM$5:$AM$1000,$U287-4)),MONTH(INDEX($AM$5:$AM$1000,$U287-4)),1),IF(ISNUMBER(INDEX($AN$5:$AN$1000,$U287-4)),DATE(YEAR(INDEX($AN$5:$AN$1000,$U287-4)),MONTH(INDEX($AN$5:$AN$1000,$U287-4)),1),MesCiclo)),IF(ISNUMBER($AM287),DATE(YEAR($AM287),MONTH($AM287),1),IF(ISNUMBER($AN287),DATE(YEAR($AN287),MONTH($AN287),1),MesCiclo))))</f>
        <v/>
      </c>
      <c r="T287" s="62">
        <f>IF(OR($S287="",$S287&lt;&gt;MesCiclo),"",COUNTIF($S$5:$S287,MesCiclo))</f>
        <v/>
      </c>
      <c r="U287" s="62">
        <f>IF($V287="","",IF($V287="Macro",ROW(),IFERROR(LOOKUP(2,1/($V$5:$V287="Macro"),ROW($V$5:$V287)),0)))</f>
        <v/>
      </c>
      <c r="V287" s="62">
        <f>IF(NOT((COUNTA($B287:$D287)+COUNTA($G287:$L287)+COUNTA($Q287))&gt;0),"",IF($B287="Subactividad","Sub","Macro"))</f>
        <v/>
      </c>
      <c r="W287" s="62">
        <f>IF($V287="Macro",COUNTIFS($U$5:$U$1000,ROW(),$V$5:$V$1000,"Sub"),"")</f>
        <v/>
      </c>
      <c r="X287" s="62">
        <f>IF($V287="","",IF(ISNUMBER($G287),1,IFERROR(LOOKUP(2,1/($I287:$L287&lt;&gt;""),$I287:$L287),0)))</f>
        <v/>
      </c>
      <c r="Y287" s="62">
        <f>IF($V287="","",IF(AND(ISNUMBER($G287),$G287&lt;=IF($S287=MesCiclo,InicioCiclo,$S287+MOD(2-WEEKDAY($S287),7))+6),1,IF(ISNUMBER($I287),$I287,0)))</f>
        <v/>
      </c>
      <c r="Z287" s="62">
        <f>IF($V287="","",IF(AND(ISNUMBER($G287),$G287&lt;=IF($S287=MesCiclo,InicioCiclo,$S287+MOD(2-WEEKDAY($S287),7))+13),1,IF(ISNUMBER($J287),$J287,$Y287)))</f>
        <v/>
      </c>
      <c r="AA287" s="62">
        <f>IF($V287="","",IF(AND(ISNUMBER($G287),$G287&lt;=IF($S287=MesCiclo,InicioCiclo,$S287+MOD(2-WEEKDAY($S287),7))+20),1,IF(ISNUMBER($K287),$K287,$Z287)))</f>
        <v/>
      </c>
      <c r="AB287" s="62">
        <f>IF($V287="","",IF(AND(ISNUMBER($G287),$G287&lt;=IF($S287=MesCiclo,InicioCiclo,$S287+MOD(2-WEEKDAY($S287),7))+27),1,IF(ISNUMBER($L287),$L287,$AA287)))</f>
        <v/>
      </c>
      <c r="AC287" s="62">
        <f>IF($V287="","",IF(AND(ISNUMBER($G287),$G287&lt;=IF($S287=MesCiclo,InicioCiclo,$S287+MOD(2-WEEKDAY($S287),7))+6),1,IF(N($W287)&gt;0,AVERAGEIFS($Y$5:$Y$1000,$U$5:$U$1000,ROW(),$V$5:$V$1000,"Sub"),$Y287)))</f>
        <v/>
      </c>
      <c r="AD287" s="62">
        <f>IF($V287="","",IF(AND(ISNUMBER($G287),$G287&lt;=IF($S287=MesCiclo,InicioCiclo,$S287+MOD(2-WEEKDAY($S287),7))+13),1,IF(N($W287)&gt;0,AVERAGEIFS($Z$5:$Z$1000,$U$5:$U$1000,ROW(),$V$5:$V$1000,"Sub"),$Z287)))</f>
        <v/>
      </c>
      <c r="AE287" s="62">
        <f>IF($V287="","",IF(AND(ISNUMBER($G287),$G287&lt;=IF($S287=MesCiclo,InicioCiclo,$S287+MOD(2-WEEKDAY($S287),7))+20),1,IF(N($W287)&gt;0,AVERAGEIFS($AA$5:$AA$1000,$U$5:$U$1000,ROW(),$V$5:$V$1000,"Sub"),$AA287)))</f>
        <v/>
      </c>
      <c r="AF287" s="62">
        <f>IF($V287="","",IF(AND(ISNUMBER($G287),$G287&lt;=IF($S287=MesCiclo,InicioCiclo,$S287+MOD(2-WEEKDAY($S287),7))+27),1,IF(N($W287)&gt;0,AVERAGEIFS($AB$5:$AB$1000,$U$5:$U$1000,ROW(),$V$5:$V$1000,"Sub"),$AB287)))</f>
        <v/>
      </c>
      <c r="AG287" s="62">
        <f>IF($V287&lt;&gt;"Macro","",IF(COUNTIFS($S$5:$S$1000,$S287,$V$5:$V$1000,"Macro",$H$5:$H$1000,"&gt;0")=0,1/COUNTIFS($S$5:$S$1000,$S287,$V$5:$V$1000,"Macro"),IF(AND(ISNUMBER($H287),N($H287)&gt;0),$H287,SUMIFS($H$5:$H$1000,$S$5:$S$1000,$S287,$V$5:$V$1000,"Macro")/COUNTIFS($S$5:$S$1000,$S287,$V$5:$V$1000,"Macro",$H$5:$H$1000,"&gt;0"))/(COUNTIFS($S$5:$S$1000,$S287,$V$5:$V$1000,"Macro")*SUMIFS($H$5:$H$1000,$S$5:$S$1000,$S287,$V$5:$V$1000,"Macro")/COUNTIFS($S$5:$S$1000,$S287,$V$5:$V$1000,"Macro",$H$5:$H$1000,"&gt;0"))))</f>
        <v/>
      </c>
      <c r="AH287" s="62">
        <f>IF(NOT(AND($D287&lt;&gt;"",$V287="Macro")),"",IFERROR(CHOOSE(MATCH($D287,ListaPuestos,0),MATCH("[Jefatura] "&amp;$C287,'Cronograma R. Operacional'!$C$5:$C$1000,0),MATCH("[Jefatura] "&amp;$C287,'Cronograma R. Normativo'!$C$5:$C$1000,0),MATCH("[Jefatura] "&amp;$C287,'Cronograma R. Financiero'!$C$5:$C$1000,0),MATCH("[Jefatura] "&amp;$C287,'Cronograma Asistente Técnico'!$C$5:$C$1000,0)),0))</f>
        <v/>
      </c>
      <c r="AI287" s="62">
        <f>IF(AND(AND($D287&lt;&gt;"",$V287="Macro"),$S287=MesCiclo),COUNTIFS($D$5:$D287,$D287,$S$5:$S287,MesCiclo,$V$5:$V287,"Macro"),"")</f>
        <v/>
      </c>
      <c r="AJ287" s="62">
        <f>IF($AI287="","",$D287&amp;"|"&amp;$AI287)</f>
        <v/>
      </c>
      <c r="AK287" s="62">
        <f>IF(AND($D287&lt;&gt;"",$V287="Macro"),$D287&amp;"|"&amp;$C287,"")</f>
        <v/>
      </c>
      <c r="AL287" s="62">
        <f>""</f>
        <v/>
      </c>
      <c r="AM287" s="62">
        <f>IF(N($AL287)&gt;0,INDEX(rIni_ADM,$AL287),IF(ISNUMBER($E287),$E287,""))</f>
        <v/>
      </c>
      <c r="AN287" s="62">
        <f>IF(N($AL287)&gt;0,INDEX(rLim_ADM,$AL287),IF(ISNUMBER($F287),$F287,""))</f>
        <v/>
      </c>
    </row>
    <row r="288">
      <c r="A288" s="56">
        <f>IF(NOT((COUNTA($B288:$D288)+COUNTA($G288:$L288)+COUNTA($Q288))&gt;0),"",IF($V288="Macro",COUNTIFS($V$5:$V288,"Macro",$S$5:$S288,$S288),IF(N($U288)=0,"?",COUNTIFS(INDEX($V$5:$V$1000,1):INDEX($V$5:$V$1000,$U288-4),"Macro",INDEX($S$5:$S$1000,1):INDEX($S$5:$S$1000,$U288-4),INDEX($S$5:$S$1000,$U288-4))&amp;"."&amp;COUNTIFS($U$5:$U288,$U288,$V$5:$V288,"Sub"))))</f>
        <v/>
      </c>
      <c r="B288" s="57" t="n"/>
      <c r="C288" s="58" t="n"/>
      <c r="D288" s="58" t="n"/>
      <c r="E288" s="59" t="n"/>
      <c r="F288" s="59" t="n"/>
      <c r="G288" s="59" t="n"/>
      <c r="H288" s="60" t="n"/>
      <c r="I288" s="60" t="n"/>
      <c r="J288" s="60" t="n"/>
      <c r="K288" s="60" t="n"/>
      <c r="L288" s="60" t="n"/>
      <c r="M288" s="61">
        <f>IF(NOT((COUNTA($B288:$D288)+COUNTA($G288:$L288)+COUNTA($Q288))&gt;0),"",IF(AND($D288&lt;&gt;"",$V288="Macro"),IF(N($AH288)&gt;0,N(CHOOSE(MATCH($D288,ListaPuestos,0),INDEX('Cronograma R. Operacional'!$M$5:$M$1000,$AH288),INDEX('Cronograma R. Normativo'!$M$5:$M$1000,$AH288),INDEX('Cronograma R. Financiero'!$M$5:$M$1000,$AH288),INDEX('Cronograma Asistente Técnico'!$M$5:$M$1000,$AH288))),0),IF(ISNUMBER($G288),1,IF(N($W288)&gt;0,AVERAGEIFS($X$5:$X$1000,$U$5:$U$1000,ROW(),$V$5:$V$1000,"Sub"),$X288))))</f>
        <v/>
      </c>
      <c r="N288" s="56">
        <f>IF($M288="","",IF($M288&gt;=1,"Completado",IF($M288&gt;0,"En curso","Pendiente")))</f>
        <v/>
      </c>
      <c r="O288" s="56">
        <f>IF(NOT((COUNTA($B288:$D288)+COUNTA($G288:$L288)+COUNTA($Q288))&gt;0),"",IF(AND(AND($D288&lt;&gt;"",$V288="Macro"),N($AH288)&gt;0),CHOOSE(MATCH($D288,ListaPuestos,0),INDEX('Cronograma R. Operacional'!$O$5:$O$1000,$AH288),INDEX('Cronograma R. Normativo'!$O$5:$O$1000,$AH288),INDEX('Cronograma R. Financiero'!$O$5:$O$1000,$AH288),INDEX('Cronograma Asistente Técnico'!$O$5:$O$1000,$AH288))&amp;"",IF(ISNUMBER($G288),IF(AND(ISNUMBER($AN288),$G288&gt;$AN288),"Cumplida con "&amp;($G288-$AN288)&amp;IF($G288-$AN288=1," día"," días")&amp;" de retraso","Cumplida"),IF(N($M288)&gt;=1,"Cumplida",IF(NOT(ISNUMBER($AN288)),"Sin fecha límite",IF($AN288&lt;FechaRef,"Vencida hace "&amp;(FechaRef-$AN288)&amp;IF(FechaRef-$AN288=1," día"," días"),IF($AN288=FechaRef,"Vence hoy",IF($AN288-FechaRef&lt;=DiasAlerta,"Vence en "&amp;($AN288-FechaRef)&amp;IF($AN288-FechaRef=1," día"," días"),"En plazo"))))))))</f>
        <v/>
      </c>
      <c r="P288" s="62">
        <f>IF(NOT((COUNTA($B288:$D288)+COUNTA($G288:$L288)+COUNTA($Q288))&gt;0),"",IF($D288="","Propia",IF($V288&lt;&gt;"Macro","Solo se delegan macroactividades",IF(N($AH288)&gt;0,"✔ Recibida por "&amp;$D288,"⚠ "&amp;$D288&amp;" aún no la agrega"))))</f>
        <v/>
      </c>
      <c r="Q288" s="58" t="n"/>
      <c r="R288" s="63">
        <f>IF(NOT((COUNTA($B288:$D288)+COUNTA($G288:$L288)+COUNTA($Q288))&gt;0),"",IF((IF($C288="","Falta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",""))="","✔ OK","⚠ "&amp;LEFT(IF($C288="","Falta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",""),LEN(IF($C288="","Falta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",""))-3)))</f>
        <v/>
      </c>
      <c r="S288" s="64">
        <f>IF(NOT((COUNTA($B288:$D288)+COUNTA($G288:$L288)+COUNTA($Q288))&gt;0),"",IF(AND($V288="Sub",N($U288)&gt;0),IF(ISNUMBER(INDEX($AM$5:$AM$1000,$U288-4)),DATE(YEAR(INDEX($AM$5:$AM$1000,$U288-4)),MONTH(INDEX($AM$5:$AM$1000,$U288-4)),1),IF(ISNUMBER(INDEX($AN$5:$AN$1000,$U288-4)),DATE(YEAR(INDEX($AN$5:$AN$1000,$U288-4)),MONTH(INDEX($AN$5:$AN$1000,$U288-4)),1),MesCiclo)),IF(ISNUMBER($AM288),DATE(YEAR($AM288),MONTH($AM288),1),IF(ISNUMBER($AN288),DATE(YEAR($AN288),MONTH($AN288),1),MesCiclo))))</f>
        <v/>
      </c>
      <c r="T288" s="62">
        <f>IF(OR($S288="",$S288&lt;&gt;MesCiclo),"",COUNTIF($S$5:$S288,MesCiclo))</f>
        <v/>
      </c>
      <c r="U288" s="62">
        <f>IF($V288="","",IF($V288="Macro",ROW(),IFERROR(LOOKUP(2,1/($V$5:$V288="Macro"),ROW($V$5:$V288)),0)))</f>
        <v/>
      </c>
      <c r="V288" s="62">
        <f>IF(NOT((COUNTA($B288:$D288)+COUNTA($G288:$L288)+COUNTA($Q288))&gt;0),"",IF($B288="Subactividad","Sub","Macro"))</f>
        <v/>
      </c>
      <c r="W288" s="62">
        <f>IF($V288="Macro",COUNTIFS($U$5:$U$1000,ROW(),$V$5:$V$1000,"Sub"),"")</f>
        <v/>
      </c>
      <c r="X288" s="62">
        <f>IF($V288="","",IF(ISNUMBER($G288),1,IFERROR(LOOKUP(2,1/($I288:$L288&lt;&gt;""),$I288:$L288),0)))</f>
        <v/>
      </c>
      <c r="Y288" s="62">
        <f>IF($V288="","",IF(AND(ISNUMBER($G288),$G288&lt;=IF($S288=MesCiclo,InicioCiclo,$S288+MOD(2-WEEKDAY($S288),7))+6),1,IF(ISNUMBER($I288),$I288,0)))</f>
        <v/>
      </c>
      <c r="Z288" s="62">
        <f>IF($V288="","",IF(AND(ISNUMBER($G288),$G288&lt;=IF($S288=MesCiclo,InicioCiclo,$S288+MOD(2-WEEKDAY($S288),7))+13),1,IF(ISNUMBER($J288),$J288,$Y288)))</f>
        <v/>
      </c>
      <c r="AA288" s="62">
        <f>IF($V288="","",IF(AND(ISNUMBER($G288),$G288&lt;=IF($S288=MesCiclo,InicioCiclo,$S288+MOD(2-WEEKDAY($S288),7))+20),1,IF(ISNUMBER($K288),$K288,$Z288)))</f>
        <v/>
      </c>
      <c r="AB288" s="62">
        <f>IF($V288="","",IF(AND(ISNUMBER($G288),$G288&lt;=IF($S288=MesCiclo,InicioCiclo,$S288+MOD(2-WEEKDAY($S288),7))+27),1,IF(ISNUMBER($L288),$L288,$AA288)))</f>
        <v/>
      </c>
      <c r="AC288" s="62">
        <f>IF($V288="","",IF(AND(ISNUMBER($G288),$G288&lt;=IF($S288=MesCiclo,InicioCiclo,$S288+MOD(2-WEEKDAY($S288),7))+6),1,IF(N($W288)&gt;0,AVERAGEIFS($Y$5:$Y$1000,$U$5:$U$1000,ROW(),$V$5:$V$1000,"Sub"),$Y288)))</f>
        <v/>
      </c>
      <c r="AD288" s="62">
        <f>IF($V288="","",IF(AND(ISNUMBER($G288),$G288&lt;=IF($S288=MesCiclo,InicioCiclo,$S288+MOD(2-WEEKDAY($S288),7))+13),1,IF(N($W288)&gt;0,AVERAGEIFS($Z$5:$Z$1000,$U$5:$U$1000,ROW(),$V$5:$V$1000,"Sub"),$Z288)))</f>
        <v/>
      </c>
      <c r="AE288" s="62">
        <f>IF($V288="","",IF(AND(ISNUMBER($G288),$G288&lt;=IF($S288=MesCiclo,InicioCiclo,$S288+MOD(2-WEEKDAY($S288),7))+20),1,IF(N($W288)&gt;0,AVERAGEIFS($AA$5:$AA$1000,$U$5:$U$1000,ROW(),$V$5:$V$1000,"Sub"),$AA288)))</f>
        <v/>
      </c>
      <c r="AF288" s="62">
        <f>IF($V288="","",IF(AND(ISNUMBER($G288),$G288&lt;=IF($S288=MesCiclo,InicioCiclo,$S288+MOD(2-WEEKDAY($S288),7))+27),1,IF(N($W288)&gt;0,AVERAGEIFS($AB$5:$AB$1000,$U$5:$U$1000,ROW(),$V$5:$V$1000,"Sub"),$AB288)))</f>
        <v/>
      </c>
      <c r="AG288" s="62">
        <f>IF($V288&lt;&gt;"Macro","",IF(COUNTIFS($S$5:$S$1000,$S288,$V$5:$V$1000,"Macro",$H$5:$H$1000,"&gt;0")=0,1/COUNTIFS($S$5:$S$1000,$S288,$V$5:$V$1000,"Macro"),IF(AND(ISNUMBER($H288),N($H288)&gt;0),$H288,SUMIFS($H$5:$H$1000,$S$5:$S$1000,$S288,$V$5:$V$1000,"Macro")/COUNTIFS($S$5:$S$1000,$S288,$V$5:$V$1000,"Macro",$H$5:$H$1000,"&gt;0"))/(COUNTIFS($S$5:$S$1000,$S288,$V$5:$V$1000,"Macro")*SUMIFS($H$5:$H$1000,$S$5:$S$1000,$S288,$V$5:$V$1000,"Macro")/COUNTIFS($S$5:$S$1000,$S288,$V$5:$V$1000,"Macro",$H$5:$H$1000,"&gt;0"))))</f>
        <v/>
      </c>
      <c r="AH288" s="62">
        <f>IF(NOT(AND($D288&lt;&gt;"",$V288="Macro")),"",IFERROR(CHOOSE(MATCH($D288,ListaPuestos,0),MATCH("[Jefatura] "&amp;$C288,'Cronograma R. Operacional'!$C$5:$C$1000,0),MATCH("[Jefatura] "&amp;$C288,'Cronograma R. Normativo'!$C$5:$C$1000,0),MATCH("[Jefatura] "&amp;$C288,'Cronograma R. Financiero'!$C$5:$C$1000,0),MATCH("[Jefatura] "&amp;$C288,'Cronograma Asistente Técnico'!$C$5:$C$1000,0)),0))</f>
        <v/>
      </c>
      <c r="AI288" s="62">
        <f>IF(AND(AND($D288&lt;&gt;"",$V288="Macro"),$S288=MesCiclo),COUNTIFS($D$5:$D288,$D288,$S$5:$S288,MesCiclo,$V$5:$V288,"Macro"),"")</f>
        <v/>
      </c>
      <c r="AJ288" s="62">
        <f>IF($AI288="","",$D288&amp;"|"&amp;$AI288)</f>
        <v/>
      </c>
      <c r="AK288" s="62">
        <f>IF(AND($D288&lt;&gt;"",$V288="Macro"),$D288&amp;"|"&amp;$C288,"")</f>
        <v/>
      </c>
      <c r="AL288" s="62">
        <f>""</f>
        <v/>
      </c>
      <c r="AM288" s="62">
        <f>IF(N($AL288)&gt;0,INDEX(rIni_ADM,$AL288),IF(ISNUMBER($E288),$E288,""))</f>
        <v/>
      </c>
      <c r="AN288" s="62">
        <f>IF(N($AL288)&gt;0,INDEX(rLim_ADM,$AL288),IF(ISNUMBER($F288),$F288,""))</f>
        <v/>
      </c>
    </row>
    <row r="289">
      <c r="A289" s="56">
        <f>IF(NOT((COUNTA($B289:$D289)+COUNTA($G289:$L289)+COUNTA($Q289))&gt;0),"",IF($V289="Macro",COUNTIFS($V$5:$V289,"Macro",$S$5:$S289,$S289),IF(N($U289)=0,"?",COUNTIFS(INDEX($V$5:$V$1000,1):INDEX($V$5:$V$1000,$U289-4),"Macro",INDEX($S$5:$S$1000,1):INDEX($S$5:$S$1000,$U289-4),INDEX($S$5:$S$1000,$U289-4))&amp;"."&amp;COUNTIFS($U$5:$U289,$U289,$V$5:$V289,"Sub"))))</f>
        <v/>
      </c>
      <c r="B289" s="57" t="n"/>
      <c r="C289" s="58" t="n"/>
      <c r="D289" s="58" t="n"/>
      <c r="E289" s="59" t="n"/>
      <c r="F289" s="59" t="n"/>
      <c r="G289" s="59" t="n"/>
      <c r="H289" s="60" t="n"/>
      <c r="I289" s="60" t="n"/>
      <c r="J289" s="60" t="n"/>
      <c r="K289" s="60" t="n"/>
      <c r="L289" s="60" t="n"/>
      <c r="M289" s="61">
        <f>IF(NOT((COUNTA($B289:$D289)+COUNTA($G289:$L289)+COUNTA($Q289))&gt;0),"",IF(AND($D289&lt;&gt;"",$V289="Macro"),IF(N($AH289)&gt;0,N(CHOOSE(MATCH($D289,ListaPuestos,0),INDEX('Cronograma R. Operacional'!$M$5:$M$1000,$AH289),INDEX('Cronograma R. Normativo'!$M$5:$M$1000,$AH289),INDEX('Cronograma R. Financiero'!$M$5:$M$1000,$AH289),INDEX('Cronograma Asistente Técnico'!$M$5:$M$1000,$AH289))),0),IF(ISNUMBER($G289),1,IF(N($W289)&gt;0,AVERAGEIFS($X$5:$X$1000,$U$5:$U$1000,ROW(),$V$5:$V$1000,"Sub"),$X289))))</f>
        <v/>
      </c>
      <c r="N289" s="56">
        <f>IF($M289="","",IF($M289&gt;=1,"Completado",IF($M289&gt;0,"En curso","Pendiente")))</f>
        <v/>
      </c>
      <c r="O289" s="56">
        <f>IF(NOT((COUNTA($B289:$D289)+COUNTA($G289:$L289)+COUNTA($Q289))&gt;0),"",IF(AND(AND($D289&lt;&gt;"",$V289="Macro"),N($AH289)&gt;0),CHOOSE(MATCH($D289,ListaPuestos,0),INDEX('Cronograma R. Operacional'!$O$5:$O$1000,$AH289),INDEX('Cronograma R. Normativo'!$O$5:$O$1000,$AH289),INDEX('Cronograma R. Financiero'!$O$5:$O$1000,$AH289),INDEX('Cronograma Asistente Técnico'!$O$5:$O$1000,$AH289))&amp;"",IF(ISNUMBER($G289),IF(AND(ISNUMBER($AN289),$G289&gt;$AN289),"Cumplida con "&amp;($G289-$AN289)&amp;IF($G289-$AN289=1," día"," días")&amp;" de retraso","Cumplida"),IF(N($M289)&gt;=1,"Cumplida",IF(NOT(ISNUMBER($AN289)),"Sin fecha límite",IF($AN289&lt;FechaRef,"Vencida hace "&amp;(FechaRef-$AN289)&amp;IF(FechaRef-$AN289=1," día"," días"),IF($AN289=FechaRef,"Vence hoy",IF($AN289-FechaRef&lt;=DiasAlerta,"Vence en "&amp;($AN289-FechaRef)&amp;IF($AN289-FechaRef=1," día"," días"),"En plazo"))))))))</f>
        <v/>
      </c>
      <c r="P289" s="62">
        <f>IF(NOT((COUNTA($B289:$D289)+COUNTA($G289:$L289)+COUNTA($Q289))&gt;0),"",IF($D289="","Propia",IF($V289&lt;&gt;"Macro","Solo se delegan macroactividades",IF(N($AH289)&gt;0,"✔ Recibida por "&amp;$D289,"⚠ "&amp;$D289&amp;" aún no la agrega"))))</f>
        <v/>
      </c>
      <c r="Q289" s="58" t="n"/>
      <c r="R289" s="63">
        <f>IF(NOT((COUNTA($B289:$D289)+COUNTA($G289:$L289)+COUNTA($Q289))&gt;0),"",IF((IF($C289="","Falta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",""))="","✔ OK","⚠ "&amp;LEFT(IF($C289="","Falta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",""),LEN(IF($C289="","Falta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",""))-3)))</f>
        <v/>
      </c>
      <c r="S289" s="64">
        <f>IF(NOT((COUNTA($B289:$D289)+COUNTA($G289:$L289)+COUNTA($Q289))&gt;0),"",IF(AND($V289="Sub",N($U289)&gt;0),IF(ISNUMBER(INDEX($AM$5:$AM$1000,$U289-4)),DATE(YEAR(INDEX($AM$5:$AM$1000,$U289-4)),MONTH(INDEX($AM$5:$AM$1000,$U289-4)),1),IF(ISNUMBER(INDEX($AN$5:$AN$1000,$U289-4)),DATE(YEAR(INDEX($AN$5:$AN$1000,$U289-4)),MONTH(INDEX($AN$5:$AN$1000,$U289-4)),1),MesCiclo)),IF(ISNUMBER($AM289),DATE(YEAR($AM289),MONTH($AM289),1),IF(ISNUMBER($AN289),DATE(YEAR($AN289),MONTH($AN289),1),MesCiclo))))</f>
        <v/>
      </c>
      <c r="T289" s="62">
        <f>IF(OR($S289="",$S289&lt;&gt;MesCiclo),"",COUNTIF($S$5:$S289,MesCiclo))</f>
        <v/>
      </c>
      <c r="U289" s="62">
        <f>IF($V289="","",IF($V289="Macro",ROW(),IFERROR(LOOKUP(2,1/($V$5:$V289="Macro"),ROW($V$5:$V289)),0)))</f>
        <v/>
      </c>
      <c r="V289" s="62">
        <f>IF(NOT((COUNTA($B289:$D289)+COUNTA($G289:$L289)+COUNTA($Q289))&gt;0),"",IF($B289="Subactividad","Sub","Macro"))</f>
        <v/>
      </c>
      <c r="W289" s="62">
        <f>IF($V289="Macro",COUNTIFS($U$5:$U$1000,ROW(),$V$5:$V$1000,"Sub"),"")</f>
        <v/>
      </c>
      <c r="X289" s="62">
        <f>IF($V289="","",IF(ISNUMBER($G289),1,IFERROR(LOOKUP(2,1/($I289:$L289&lt;&gt;""),$I289:$L289),0)))</f>
        <v/>
      </c>
      <c r="Y289" s="62">
        <f>IF($V289="","",IF(AND(ISNUMBER($G289),$G289&lt;=IF($S289=MesCiclo,InicioCiclo,$S289+MOD(2-WEEKDAY($S289),7))+6),1,IF(ISNUMBER($I289),$I289,0)))</f>
        <v/>
      </c>
      <c r="Z289" s="62">
        <f>IF($V289="","",IF(AND(ISNUMBER($G289),$G289&lt;=IF($S289=MesCiclo,InicioCiclo,$S289+MOD(2-WEEKDAY($S289),7))+13),1,IF(ISNUMBER($J289),$J289,$Y289)))</f>
        <v/>
      </c>
      <c r="AA289" s="62">
        <f>IF($V289="","",IF(AND(ISNUMBER($G289),$G289&lt;=IF($S289=MesCiclo,InicioCiclo,$S289+MOD(2-WEEKDAY($S289),7))+20),1,IF(ISNUMBER($K289),$K289,$Z289)))</f>
        <v/>
      </c>
      <c r="AB289" s="62">
        <f>IF($V289="","",IF(AND(ISNUMBER($G289),$G289&lt;=IF($S289=MesCiclo,InicioCiclo,$S289+MOD(2-WEEKDAY($S289),7))+27),1,IF(ISNUMBER($L289),$L289,$AA289)))</f>
        <v/>
      </c>
      <c r="AC289" s="62">
        <f>IF($V289="","",IF(AND(ISNUMBER($G289),$G289&lt;=IF($S289=MesCiclo,InicioCiclo,$S289+MOD(2-WEEKDAY($S289),7))+6),1,IF(N($W289)&gt;0,AVERAGEIFS($Y$5:$Y$1000,$U$5:$U$1000,ROW(),$V$5:$V$1000,"Sub"),$Y289)))</f>
        <v/>
      </c>
      <c r="AD289" s="62">
        <f>IF($V289="","",IF(AND(ISNUMBER($G289),$G289&lt;=IF($S289=MesCiclo,InicioCiclo,$S289+MOD(2-WEEKDAY($S289),7))+13),1,IF(N($W289)&gt;0,AVERAGEIFS($Z$5:$Z$1000,$U$5:$U$1000,ROW(),$V$5:$V$1000,"Sub"),$Z289)))</f>
        <v/>
      </c>
      <c r="AE289" s="62">
        <f>IF($V289="","",IF(AND(ISNUMBER($G289),$G289&lt;=IF($S289=MesCiclo,InicioCiclo,$S289+MOD(2-WEEKDAY($S289),7))+20),1,IF(N($W289)&gt;0,AVERAGEIFS($AA$5:$AA$1000,$U$5:$U$1000,ROW(),$V$5:$V$1000,"Sub"),$AA289)))</f>
        <v/>
      </c>
      <c r="AF289" s="62">
        <f>IF($V289="","",IF(AND(ISNUMBER($G289),$G289&lt;=IF($S289=MesCiclo,InicioCiclo,$S289+MOD(2-WEEKDAY($S289),7))+27),1,IF(N($W289)&gt;0,AVERAGEIFS($AB$5:$AB$1000,$U$5:$U$1000,ROW(),$V$5:$V$1000,"Sub"),$AB289)))</f>
        <v/>
      </c>
      <c r="AG289" s="62">
        <f>IF($V289&lt;&gt;"Macro","",IF(COUNTIFS($S$5:$S$1000,$S289,$V$5:$V$1000,"Macro",$H$5:$H$1000,"&gt;0")=0,1/COUNTIFS($S$5:$S$1000,$S289,$V$5:$V$1000,"Macro"),IF(AND(ISNUMBER($H289),N($H289)&gt;0),$H289,SUMIFS($H$5:$H$1000,$S$5:$S$1000,$S289,$V$5:$V$1000,"Macro")/COUNTIFS($S$5:$S$1000,$S289,$V$5:$V$1000,"Macro",$H$5:$H$1000,"&gt;0"))/(COUNTIFS($S$5:$S$1000,$S289,$V$5:$V$1000,"Macro")*SUMIFS($H$5:$H$1000,$S$5:$S$1000,$S289,$V$5:$V$1000,"Macro")/COUNTIFS($S$5:$S$1000,$S289,$V$5:$V$1000,"Macro",$H$5:$H$1000,"&gt;0"))))</f>
        <v/>
      </c>
      <c r="AH289" s="62">
        <f>IF(NOT(AND($D289&lt;&gt;"",$V289="Macro")),"",IFERROR(CHOOSE(MATCH($D289,ListaPuestos,0),MATCH("[Jefatura] "&amp;$C289,'Cronograma R. Operacional'!$C$5:$C$1000,0),MATCH("[Jefatura] "&amp;$C289,'Cronograma R. Normativo'!$C$5:$C$1000,0),MATCH("[Jefatura] "&amp;$C289,'Cronograma R. Financiero'!$C$5:$C$1000,0),MATCH("[Jefatura] "&amp;$C289,'Cronograma Asistente Técnico'!$C$5:$C$1000,0)),0))</f>
        <v/>
      </c>
      <c r="AI289" s="62">
        <f>IF(AND(AND($D289&lt;&gt;"",$V289="Macro"),$S289=MesCiclo),COUNTIFS($D$5:$D289,$D289,$S$5:$S289,MesCiclo,$V$5:$V289,"Macro"),"")</f>
        <v/>
      </c>
      <c r="AJ289" s="62">
        <f>IF($AI289="","",$D289&amp;"|"&amp;$AI289)</f>
        <v/>
      </c>
      <c r="AK289" s="62">
        <f>IF(AND($D289&lt;&gt;"",$V289="Macro"),$D289&amp;"|"&amp;$C289,"")</f>
        <v/>
      </c>
      <c r="AL289" s="62">
        <f>""</f>
        <v/>
      </c>
      <c r="AM289" s="62">
        <f>IF(N($AL289)&gt;0,INDEX(rIni_ADM,$AL289),IF(ISNUMBER($E289),$E289,""))</f>
        <v/>
      </c>
      <c r="AN289" s="62">
        <f>IF(N($AL289)&gt;0,INDEX(rLim_ADM,$AL289),IF(ISNUMBER($F289),$F289,""))</f>
        <v/>
      </c>
    </row>
    <row r="290">
      <c r="A290" s="56">
        <f>IF(NOT((COUNTA($B290:$D290)+COUNTA($G290:$L290)+COUNTA($Q290))&gt;0),"",IF($V290="Macro",COUNTIFS($V$5:$V290,"Macro",$S$5:$S290,$S290),IF(N($U290)=0,"?",COUNTIFS(INDEX($V$5:$V$1000,1):INDEX($V$5:$V$1000,$U290-4),"Macro",INDEX($S$5:$S$1000,1):INDEX($S$5:$S$1000,$U290-4),INDEX($S$5:$S$1000,$U290-4))&amp;"."&amp;COUNTIFS($U$5:$U290,$U290,$V$5:$V290,"Sub"))))</f>
        <v/>
      </c>
      <c r="B290" s="57" t="n"/>
      <c r="C290" s="58" t="n"/>
      <c r="D290" s="58" t="n"/>
      <c r="E290" s="59" t="n"/>
      <c r="F290" s="59" t="n"/>
      <c r="G290" s="59" t="n"/>
      <c r="H290" s="60" t="n"/>
      <c r="I290" s="60" t="n"/>
      <c r="J290" s="60" t="n"/>
      <c r="K290" s="60" t="n"/>
      <c r="L290" s="60" t="n"/>
      <c r="M290" s="61">
        <f>IF(NOT((COUNTA($B290:$D290)+COUNTA($G290:$L290)+COUNTA($Q290))&gt;0),"",IF(AND($D290&lt;&gt;"",$V290="Macro"),IF(N($AH290)&gt;0,N(CHOOSE(MATCH($D290,ListaPuestos,0),INDEX('Cronograma R. Operacional'!$M$5:$M$1000,$AH290),INDEX('Cronograma R. Normativo'!$M$5:$M$1000,$AH290),INDEX('Cronograma R. Financiero'!$M$5:$M$1000,$AH290),INDEX('Cronograma Asistente Técnico'!$M$5:$M$1000,$AH290))),0),IF(ISNUMBER($G290),1,IF(N($W290)&gt;0,AVERAGEIFS($X$5:$X$1000,$U$5:$U$1000,ROW(),$V$5:$V$1000,"Sub"),$X290))))</f>
        <v/>
      </c>
      <c r="N290" s="56">
        <f>IF($M290="","",IF($M290&gt;=1,"Completado",IF($M290&gt;0,"En curso","Pendiente")))</f>
        <v/>
      </c>
      <c r="O290" s="56">
        <f>IF(NOT((COUNTA($B290:$D290)+COUNTA($G290:$L290)+COUNTA($Q290))&gt;0),"",IF(AND(AND($D290&lt;&gt;"",$V290="Macro"),N($AH290)&gt;0),CHOOSE(MATCH($D290,ListaPuestos,0),INDEX('Cronograma R. Operacional'!$O$5:$O$1000,$AH290),INDEX('Cronograma R. Normativo'!$O$5:$O$1000,$AH290),INDEX('Cronograma R. Financiero'!$O$5:$O$1000,$AH290),INDEX('Cronograma Asistente Técnico'!$O$5:$O$1000,$AH290))&amp;"",IF(ISNUMBER($G290),IF(AND(ISNUMBER($AN290),$G290&gt;$AN290),"Cumplida con "&amp;($G290-$AN290)&amp;IF($G290-$AN290=1," día"," días")&amp;" de retraso","Cumplida"),IF(N($M290)&gt;=1,"Cumplida",IF(NOT(ISNUMBER($AN290)),"Sin fecha límite",IF($AN290&lt;FechaRef,"Vencida hace "&amp;(FechaRef-$AN290)&amp;IF(FechaRef-$AN290=1," día"," días"),IF($AN290=FechaRef,"Vence hoy",IF($AN290-FechaRef&lt;=DiasAlerta,"Vence en "&amp;($AN290-FechaRef)&amp;IF($AN290-FechaRef=1," día"," días"),"En plazo"))))))))</f>
        <v/>
      </c>
      <c r="P290" s="62">
        <f>IF(NOT((COUNTA($B290:$D290)+COUNTA($G290:$L290)+COUNTA($Q290))&gt;0),"",IF($D290="","Propia",IF($V290&lt;&gt;"Macro","Solo se delegan macroactividades",IF(N($AH290)&gt;0,"✔ Recibida por "&amp;$D290,"⚠ "&amp;$D290&amp;" aún no la agrega"))))</f>
        <v/>
      </c>
      <c r="Q290" s="58" t="n"/>
      <c r="R290" s="63">
        <f>IF(NOT((COUNTA($B290:$D290)+COUNTA($G290:$L290)+COUNTA($Q290))&gt;0),"",IF((IF($C290="","Falta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",""))="","✔ OK","⚠ "&amp;LEFT(IF($C290="","Falta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",""),LEN(IF($C290="","Falta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",""))-3)))</f>
        <v/>
      </c>
      <c r="S290" s="64">
        <f>IF(NOT((COUNTA($B290:$D290)+COUNTA($G290:$L290)+COUNTA($Q290))&gt;0),"",IF(AND($V290="Sub",N($U290)&gt;0),IF(ISNUMBER(INDEX($AM$5:$AM$1000,$U290-4)),DATE(YEAR(INDEX($AM$5:$AM$1000,$U290-4)),MONTH(INDEX($AM$5:$AM$1000,$U290-4)),1),IF(ISNUMBER(INDEX($AN$5:$AN$1000,$U290-4)),DATE(YEAR(INDEX($AN$5:$AN$1000,$U290-4)),MONTH(INDEX($AN$5:$AN$1000,$U290-4)),1),MesCiclo)),IF(ISNUMBER($AM290),DATE(YEAR($AM290),MONTH($AM290),1),IF(ISNUMBER($AN290),DATE(YEAR($AN290),MONTH($AN290),1),MesCiclo))))</f>
        <v/>
      </c>
      <c r="T290" s="62">
        <f>IF(OR($S290="",$S290&lt;&gt;MesCiclo),"",COUNTIF($S$5:$S290,MesCiclo))</f>
        <v/>
      </c>
      <c r="U290" s="62">
        <f>IF($V290="","",IF($V290="Macro",ROW(),IFERROR(LOOKUP(2,1/($V$5:$V290="Macro"),ROW($V$5:$V290)),0)))</f>
        <v/>
      </c>
      <c r="V290" s="62">
        <f>IF(NOT((COUNTA($B290:$D290)+COUNTA($G290:$L290)+COUNTA($Q290))&gt;0),"",IF($B290="Subactividad","Sub","Macro"))</f>
        <v/>
      </c>
      <c r="W290" s="62">
        <f>IF($V290="Macro",COUNTIFS($U$5:$U$1000,ROW(),$V$5:$V$1000,"Sub"),"")</f>
        <v/>
      </c>
      <c r="X290" s="62">
        <f>IF($V290="","",IF(ISNUMBER($G290),1,IFERROR(LOOKUP(2,1/($I290:$L290&lt;&gt;""),$I290:$L290),0)))</f>
        <v/>
      </c>
      <c r="Y290" s="62">
        <f>IF($V290="","",IF(AND(ISNUMBER($G290),$G290&lt;=IF($S290=MesCiclo,InicioCiclo,$S290+MOD(2-WEEKDAY($S290),7))+6),1,IF(ISNUMBER($I290),$I290,0)))</f>
        <v/>
      </c>
      <c r="Z290" s="62">
        <f>IF($V290="","",IF(AND(ISNUMBER($G290),$G290&lt;=IF($S290=MesCiclo,InicioCiclo,$S290+MOD(2-WEEKDAY($S290),7))+13),1,IF(ISNUMBER($J290),$J290,$Y290)))</f>
        <v/>
      </c>
      <c r="AA290" s="62">
        <f>IF($V290="","",IF(AND(ISNUMBER($G290),$G290&lt;=IF($S290=MesCiclo,InicioCiclo,$S290+MOD(2-WEEKDAY($S290),7))+20),1,IF(ISNUMBER($K290),$K290,$Z290)))</f>
        <v/>
      </c>
      <c r="AB290" s="62">
        <f>IF($V290="","",IF(AND(ISNUMBER($G290),$G290&lt;=IF($S290=MesCiclo,InicioCiclo,$S290+MOD(2-WEEKDAY($S290),7))+27),1,IF(ISNUMBER($L290),$L290,$AA290)))</f>
        <v/>
      </c>
      <c r="AC290" s="62">
        <f>IF($V290="","",IF(AND(ISNUMBER($G290),$G290&lt;=IF($S290=MesCiclo,InicioCiclo,$S290+MOD(2-WEEKDAY($S290),7))+6),1,IF(N($W290)&gt;0,AVERAGEIFS($Y$5:$Y$1000,$U$5:$U$1000,ROW(),$V$5:$V$1000,"Sub"),$Y290)))</f>
        <v/>
      </c>
      <c r="AD290" s="62">
        <f>IF($V290="","",IF(AND(ISNUMBER($G290),$G290&lt;=IF($S290=MesCiclo,InicioCiclo,$S290+MOD(2-WEEKDAY($S290),7))+13),1,IF(N($W290)&gt;0,AVERAGEIFS($Z$5:$Z$1000,$U$5:$U$1000,ROW(),$V$5:$V$1000,"Sub"),$Z290)))</f>
        <v/>
      </c>
      <c r="AE290" s="62">
        <f>IF($V290="","",IF(AND(ISNUMBER($G290),$G290&lt;=IF($S290=MesCiclo,InicioCiclo,$S290+MOD(2-WEEKDAY($S290),7))+20),1,IF(N($W290)&gt;0,AVERAGEIFS($AA$5:$AA$1000,$U$5:$U$1000,ROW(),$V$5:$V$1000,"Sub"),$AA290)))</f>
        <v/>
      </c>
      <c r="AF290" s="62">
        <f>IF($V290="","",IF(AND(ISNUMBER($G290),$G290&lt;=IF($S290=MesCiclo,InicioCiclo,$S290+MOD(2-WEEKDAY($S290),7))+27),1,IF(N($W290)&gt;0,AVERAGEIFS($AB$5:$AB$1000,$U$5:$U$1000,ROW(),$V$5:$V$1000,"Sub"),$AB290)))</f>
        <v/>
      </c>
      <c r="AG290" s="62">
        <f>IF($V290&lt;&gt;"Macro","",IF(COUNTIFS($S$5:$S$1000,$S290,$V$5:$V$1000,"Macro",$H$5:$H$1000,"&gt;0")=0,1/COUNTIFS($S$5:$S$1000,$S290,$V$5:$V$1000,"Macro"),IF(AND(ISNUMBER($H290),N($H290)&gt;0),$H290,SUMIFS($H$5:$H$1000,$S$5:$S$1000,$S290,$V$5:$V$1000,"Macro")/COUNTIFS($S$5:$S$1000,$S290,$V$5:$V$1000,"Macro",$H$5:$H$1000,"&gt;0"))/(COUNTIFS($S$5:$S$1000,$S290,$V$5:$V$1000,"Macro")*SUMIFS($H$5:$H$1000,$S$5:$S$1000,$S290,$V$5:$V$1000,"Macro")/COUNTIFS($S$5:$S$1000,$S290,$V$5:$V$1000,"Macro",$H$5:$H$1000,"&gt;0"))))</f>
        <v/>
      </c>
      <c r="AH290" s="62">
        <f>IF(NOT(AND($D290&lt;&gt;"",$V290="Macro")),"",IFERROR(CHOOSE(MATCH($D290,ListaPuestos,0),MATCH("[Jefatura] "&amp;$C290,'Cronograma R. Operacional'!$C$5:$C$1000,0),MATCH("[Jefatura] "&amp;$C290,'Cronograma R. Normativo'!$C$5:$C$1000,0),MATCH("[Jefatura] "&amp;$C290,'Cronograma R. Financiero'!$C$5:$C$1000,0),MATCH("[Jefatura] "&amp;$C290,'Cronograma Asistente Técnico'!$C$5:$C$1000,0)),0))</f>
        <v/>
      </c>
      <c r="AI290" s="62">
        <f>IF(AND(AND($D290&lt;&gt;"",$V290="Macro"),$S290=MesCiclo),COUNTIFS($D$5:$D290,$D290,$S$5:$S290,MesCiclo,$V$5:$V290,"Macro"),"")</f>
        <v/>
      </c>
      <c r="AJ290" s="62">
        <f>IF($AI290="","",$D290&amp;"|"&amp;$AI290)</f>
        <v/>
      </c>
      <c r="AK290" s="62">
        <f>IF(AND($D290&lt;&gt;"",$V290="Macro"),$D290&amp;"|"&amp;$C290,"")</f>
        <v/>
      </c>
      <c r="AL290" s="62">
        <f>""</f>
        <v/>
      </c>
      <c r="AM290" s="62">
        <f>IF(N($AL290)&gt;0,INDEX(rIni_ADM,$AL290),IF(ISNUMBER($E290),$E290,""))</f>
        <v/>
      </c>
      <c r="AN290" s="62">
        <f>IF(N($AL290)&gt;0,INDEX(rLim_ADM,$AL290),IF(ISNUMBER($F290),$F290,""))</f>
        <v/>
      </c>
    </row>
    <row r="291">
      <c r="A291" s="56">
        <f>IF(NOT((COUNTA($B291:$D291)+COUNTA($G291:$L291)+COUNTA($Q291))&gt;0),"",IF($V291="Macro",COUNTIFS($V$5:$V291,"Macro",$S$5:$S291,$S291),IF(N($U291)=0,"?",COUNTIFS(INDEX($V$5:$V$1000,1):INDEX($V$5:$V$1000,$U291-4),"Macro",INDEX($S$5:$S$1000,1):INDEX($S$5:$S$1000,$U291-4),INDEX($S$5:$S$1000,$U291-4))&amp;"."&amp;COUNTIFS($U$5:$U291,$U291,$V$5:$V291,"Sub"))))</f>
        <v/>
      </c>
      <c r="B291" s="57" t="n"/>
      <c r="C291" s="58" t="n"/>
      <c r="D291" s="58" t="n"/>
      <c r="E291" s="59" t="n"/>
      <c r="F291" s="59" t="n"/>
      <c r="G291" s="59" t="n"/>
      <c r="H291" s="60" t="n"/>
      <c r="I291" s="60" t="n"/>
      <c r="J291" s="60" t="n"/>
      <c r="K291" s="60" t="n"/>
      <c r="L291" s="60" t="n"/>
      <c r="M291" s="61">
        <f>IF(NOT((COUNTA($B291:$D291)+COUNTA($G291:$L291)+COUNTA($Q291))&gt;0),"",IF(AND($D291&lt;&gt;"",$V291="Macro"),IF(N($AH291)&gt;0,N(CHOOSE(MATCH($D291,ListaPuestos,0),INDEX('Cronograma R. Operacional'!$M$5:$M$1000,$AH291),INDEX('Cronograma R. Normativo'!$M$5:$M$1000,$AH291),INDEX('Cronograma R. Financiero'!$M$5:$M$1000,$AH291),INDEX('Cronograma Asistente Técnico'!$M$5:$M$1000,$AH291))),0),IF(ISNUMBER($G291),1,IF(N($W291)&gt;0,AVERAGEIFS($X$5:$X$1000,$U$5:$U$1000,ROW(),$V$5:$V$1000,"Sub"),$X291))))</f>
        <v/>
      </c>
      <c r="N291" s="56">
        <f>IF($M291="","",IF($M291&gt;=1,"Completado",IF($M291&gt;0,"En curso","Pendiente")))</f>
        <v/>
      </c>
      <c r="O291" s="56">
        <f>IF(NOT((COUNTA($B291:$D291)+COUNTA($G291:$L291)+COUNTA($Q291))&gt;0),"",IF(AND(AND($D291&lt;&gt;"",$V291="Macro"),N($AH291)&gt;0),CHOOSE(MATCH($D291,ListaPuestos,0),INDEX('Cronograma R. Operacional'!$O$5:$O$1000,$AH291),INDEX('Cronograma R. Normativo'!$O$5:$O$1000,$AH291),INDEX('Cronograma R. Financiero'!$O$5:$O$1000,$AH291),INDEX('Cronograma Asistente Técnico'!$O$5:$O$1000,$AH291))&amp;"",IF(ISNUMBER($G291),IF(AND(ISNUMBER($AN291),$G291&gt;$AN291),"Cumplida con "&amp;($G291-$AN291)&amp;IF($G291-$AN291=1," día"," días")&amp;" de retraso","Cumplida"),IF(N($M291)&gt;=1,"Cumplida",IF(NOT(ISNUMBER($AN291)),"Sin fecha límite",IF($AN291&lt;FechaRef,"Vencida hace "&amp;(FechaRef-$AN291)&amp;IF(FechaRef-$AN291=1," día"," días"),IF($AN291=FechaRef,"Vence hoy",IF($AN291-FechaRef&lt;=DiasAlerta,"Vence en "&amp;($AN291-FechaRef)&amp;IF($AN291-FechaRef=1," día"," días"),"En plazo"))))))))</f>
        <v/>
      </c>
      <c r="P291" s="62">
        <f>IF(NOT((COUNTA($B291:$D291)+COUNTA($G291:$L291)+COUNTA($Q291))&gt;0),"",IF($D291="","Propia",IF($V291&lt;&gt;"Macro","Solo se delegan macroactividades",IF(N($AH291)&gt;0,"✔ Recibida por "&amp;$D291,"⚠ "&amp;$D291&amp;" aún no la agrega"))))</f>
        <v/>
      </c>
      <c r="Q291" s="58" t="n"/>
      <c r="R291" s="63">
        <f>IF(NOT((COUNTA($B291:$D291)+COUNTA($G291:$L291)+COUNTA($Q291))&gt;0),"",IF((IF($C291="","Falta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",""))="","✔ OK","⚠ "&amp;LEFT(IF($C291="","Falta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",""),LEN(IF($C291="","Falta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",""))-3)))</f>
        <v/>
      </c>
      <c r="S291" s="64">
        <f>IF(NOT((COUNTA($B291:$D291)+COUNTA($G291:$L291)+COUNTA($Q291))&gt;0),"",IF(AND($V291="Sub",N($U291)&gt;0),IF(ISNUMBER(INDEX($AM$5:$AM$1000,$U291-4)),DATE(YEAR(INDEX($AM$5:$AM$1000,$U291-4)),MONTH(INDEX($AM$5:$AM$1000,$U291-4)),1),IF(ISNUMBER(INDEX($AN$5:$AN$1000,$U291-4)),DATE(YEAR(INDEX($AN$5:$AN$1000,$U291-4)),MONTH(INDEX($AN$5:$AN$1000,$U291-4)),1),MesCiclo)),IF(ISNUMBER($AM291),DATE(YEAR($AM291),MONTH($AM291),1),IF(ISNUMBER($AN291),DATE(YEAR($AN291),MONTH($AN291),1),MesCiclo))))</f>
        <v/>
      </c>
      <c r="T291" s="62">
        <f>IF(OR($S291="",$S291&lt;&gt;MesCiclo),"",COUNTIF($S$5:$S291,MesCiclo))</f>
        <v/>
      </c>
      <c r="U291" s="62">
        <f>IF($V291="","",IF($V291="Macro",ROW(),IFERROR(LOOKUP(2,1/($V$5:$V291="Macro"),ROW($V$5:$V291)),0)))</f>
        <v/>
      </c>
      <c r="V291" s="62">
        <f>IF(NOT((COUNTA($B291:$D291)+COUNTA($G291:$L291)+COUNTA($Q291))&gt;0),"",IF($B291="Subactividad","Sub","Macro"))</f>
        <v/>
      </c>
      <c r="W291" s="62">
        <f>IF($V291="Macro",COUNTIFS($U$5:$U$1000,ROW(),$V$5:$V$1000,"Sub"),"")</f>
        <v/>
      </c>
      <c r="X291" s="62">
        <f>IF($V291="","",IF(ISNUMBER($G291),1,IFERROR(LOOKUP(2,1/($I291:$L291&lt;&gt;""),$I291:$L291),0)))</f>
        <v/>
      </c>
      <c r="Y291" s="62">
        <f>IF($V291="","",IF(AND(ISNUMBER($G291),$G291&lt;=IF($S291=MesCiclo,InicioCiclo,$S291+MOD(2-WEEKDAY($S291),7))+6),1,IF(ISNUMBER($I291),$I291,0)))</f>
        <v/>
      </c>
      <c r="Z291" s="62">
        <f>IF($V291="","",IF(AND(ISNUMBER($G291),$G291&lt;=IF($S291=MesCiclo,InicioCiclo,$S291+MOD(2-WEEKDAY($S291),7))+13),1,IF(ISNUMBER($J291),$J291,$Y291)))</f>
        <v/>
      </c>
      <c r="AA291" s="62">
        <f>IF($V291="","",IF(AND(ISNUMBER($G291),$G291&lt;=IF($S291=MesCiclo,InicioCiclo,$S291+MOD(2-WEEKDAY($S291),7))+20),1,IF(ISNUMBER($K291),$K291,$Z291)))</f>
        <v/>
      </c>
      <c r="AB291" s="62">
        <f>IF($V291="","",IF(AND(ISNUMBER($G291),$G291&lt;=IF($S291=MesCiclo,InicioCiclo,$S291+MOD(2-WEEKDAY($S291),7))+27),1,IF(ISNUMBER($L291),$L291,$AA291)))</f>
        <v/>
      </c>
      <c r="AC291" s="62">
        <f>IF($V291="","",IF(AND(ISNUMBER($G291),$G291&lt;=IF($S291=MesCiclo,InicioCiclo,$S291+MOD(2-WEEKDAY($S291),7))+6),1,IF(N($W291)&gt;0,AVERAGEIFS($Y$5:$Y$1000,$U$5:$U$1000,ROW(),$V$5:$V$1000,"Sub"),$Y291)))</f>
        <v/>
      </c>
      <c r="AD291" s="62">
        <f>IF($V291="","",IF(AND(ISNUMBER($G291),$G291&lt;=IF($S291=MesCiclo,InicioCiclo,$S291+MOD(2-WEEKDAY($S291),7))+13),1,IF(N($W291)&gt;0,AVERAGEIFS($Z$5:$Z$1000,$U$5:$U$1000,ROW(),$V$5:$V$1000,"Sub"),$Z291)))</f>
        <v/>
      </c>
      <c r="AE291" s="62">
        <f>IF($V291="","",IF(AND(ISNUMBER($G291),$G291&lt;=IF($S291=MesCiclo,InicioCiclo,$S291+MOD(2-WEEKDAY($S291),7))+20),1,IF(N($W291)&gt;0,AVERAGEIFS($AA$5:$AA$1000,$U$5:$U$1000,ROW(),$V$5:$V$1000,"Sub"),$AA291)))</f>
        <v/>
      </c>
      <c r="AF291" s="62">
        <f>IF($V291="","",IF(AND(ISNUMBER($G291),$G291&lt;=IF($S291=MesCiclo,InicioCiclo,$S291+MOD(2-WEEKDAY($S291),7))+27),1,IF(N($W291)&gt;0,AVERAGEIFS($AB$5:$AB$1000,$U$5:$U$1000,ROW(),$V$5:$V$1000,"Sub"),$AB291)))</f>
        <v/>
      </c>
      <c r="AG291" s="62">
        <f>IF($V291&lt;&gt;"Macro","",IF(COUNTIFS($S$5:$S$1000,$S291,$V$5:$V$1000,"Macro",$H$5:$H$1000,"&gt;0")=0,1/COUNTIFS($S$5:$S$1000,$S291,$V$5:$V$1000,"Macro"),IF(AND(ISNUMBER($H291),N($H291)&gt;0),$H291,SUMIFS($H$5:$H$1000,$S$5:$S$1000,$S291,$V$5:$V$1000,"Macro")/COUNTIFS($S$5:$S$1000,$S291,$V$5:$V$1000,"Macro",$H$5:$H$1000,"&gt;0"))/(COUNTIFS($S$5:$S$1000,$S291,$V$5:$V$1000,"Macro")*SUMIFS($H$5:$H$1000,$S$5:$S$1000,$S291,$V$5:$V$1000,"Macro")/COUNTIFS($S$5:$S$1000,$S291,$V$5:$V$1000,"Macro",$H$5:$H$1000,"&gt;0"))))</f>
        <v/>
      </c>
      <c r="AH291" s="62">
        <f>IF(NOT(AND($D291&lt;&gt;"",$V291="Macro")),"",IFERROR(CHOOSE(MATCH($D291,ListaPuestos,0),MATCH("[Jefatura] "&amp;$C291,'Cronograma R. Operacional'!$C$5:$C$1000,0),MATCH("[Jefatura] "&amp;$C291,'Cronograma R. Normativo'!$C$5:$C$1000,0),MATCH("[Jefatura] "&amp;$C291,'Cronograma R. Financiero'!$C$5:$C$1000,0),MATCH("[Jefatura] "&amp;$C291,'Cronograma Asistente Técnico'!$C$5:$C$1000,0)),0))</f>
        <v/>
      </c>
      <c r="AI291" s="62">
        <f>IF(AND(AND($D291&lt;&gt;"",$V291="Macro"),$S291=MesCiclo),COUNTIFS($D$5:$D291,$D291,$S$5:$S291,MesCiclo,$V$5:$V291,"Macro"),"")</f>
        <v/>
      </c>
      <c r="AJ291" s="62">
        <f>IF($AI291="","",$D291&amp;"|"&amp;$AI291)</f>
        <v/>
      </c>
      <c r="AK291" s="62">
        <f>IF(AND($D291&lt;&gt;"",$V291="Macro"),$D291&amp;"|"&amp;$C291,"")</f>
        <v/>
      </c>
      <c r="AL291" s="62">
        <f>""</f>
        <v/>
      </c>
      <c r="AM291" s="62">
        <f>IF(N($AL291)&gt;0,INDEX(rIni_ADM,$AL291),IF(ISNUMBER($E291),$E291,""))</f>
        <v/>
      </c>
      <c r="AN291" s="62">
        <f>IF(N($AL291)&gt;0,INDEX(rLim_ADM,$AL291),IF(ISNUMBER($F291),$F291,""))</f>
        <v/>
      </c>
    </row>
    <row r="292">
      <c r="A292" s="56">
        <f>IF(NOT((COUNTA($B292:$D292)+COUNTA($G292:$L292)+COUNTA($Q292))&gt;0),"",IF($V292="Macro",COUNTIFS($V$5:$V292,"Macro",$S$5:$S292,$S292),IF(N($U292)=0,"?",COUNTIFS(INDEX($V$5:$V$1000,1):INDEX($V$5:$V$1000,$U292-4),"Macro",INDEX($S$5:$S$1000,1):INDEX($S$5:$S$1000,$U292-4),INDEX($S$5:$S$1000,$U292-4))&amp;"."&amp;COUNTIFS($U$5:$U292,$U292,$V$5:$V292,"Sub"))))</f>
        <v/>
      </c>
      <c r="B292" s="57" t="n"/>
      <c r="C292" s="58" t="n"/>
      <c r="D292" s="58" t="n"/>
      <c r="E292" s="59" t="n"/>
      <c r="F292" s="59" t="n"/>
      <c r="G292" s="59" t="n"/>
      <c r="H292" s="60" t="n"/>
      <c r="I292" s="60" t="n"/>
      <c r="J292" s="60" t="n"/>
      <c r="K292" s="60" t="n"/>
      <c r="L292" s="60" t="n"/>
      <c r="M292" s="61">
        <f>IF(NOT((COUNTA($B292:$D292)+COUNTA($G292:$L292)+COUNTA($Q292))&gt;0),"",IF(AND($D292&lt;&gt;"",$V292="Macro"),IF(N($AH292)&gt;0,N(CHOOSE(MATCH($D292,ListaPuestos,0),INDEX('Cronograma R. Operacional'!$M$5:$M$1000,$AH292),INDEX('Cronograma R. Normativo'!$M$5:$M$1000,$AH292),INDEX('Cronograma R. Financiero'!$M$5:$M$1000,$AH292),INDEX('Cronograma Asistente Técnico'!$M$5:$M$1000,$AH292))),0),IF(ISNUMBER($G292),1,IF(N($W292)&gt;0,AVERAGEIFS($X$5:$X$1000,$U$5:$U$1000,ROW(),$V$5:$V$1000,"Sub"),$X292))))</f>
        <v/>
      </c>
      <c r="N292" s="56">
        <f>IF($M292="","",IF($M292&gt;=1,"Completado",IF($M292&gt;0,"En curso","Pendiente")))</f>
        <v/>
      </c>
      <c r="O292" s="56">
        <f>IF(NOT((COUNTA($B292:$D292)+COUNTA($G292:$L292)+COUNTA($Q292))&gt;0),"",IF(AND(AND($D292&lt;&gt;"",$V292="Macro"),N($AH292)&gt;0),CHOOSE(MATCH($D292,ListaPuestos,0),INDEX('Cronograma R. Operacional'!$O$5:$O$1000,$AH292),INDEX('Cronograma R. Normativo'!$O$5:$O$1000,$AH292),INDEX('Cronograma R. Financiero'!$O$5:$O$1000,$AH292),INDEX('Cronograma Asistente Técnico'!$O$5:$O$1000,$AH292))&amp;"",IF(ISNUMBER($G292),IF(AND(ISNUMBER($AN292),$G292&gt;$AN292),"Cumplida con "&amp;($G292-$AN292)&amp;IF($G292-$AN292=1," día"," días")&amp;" de retraso","Cumplida"),IF(N($M292)&gt;=1,"Cumplida",IF(NOT(ISNUMBER($AN292)),"Sin fecha límite",IF($AN292&lt;FechaRef,"Vencida hace "&amp;(FechaRef-$AN292)&amp;IF(FechaRef-$AN292=1," día"," días"),IF($AN292=FechaRef,"Vence hoy",IF($AN292-FechaRef&lt;=DiasAlerta,"Vence en "&amp;($AN292-FechaRef)&amp;IF($AN292-FechaRef=1," día"," días"),"En plazo"))))))))</f>
        <v/>
      </c>
      <c r="P292" s="62">
        <f>IF(NOT((COUNTA($B292:$D292)+COUNTA($G292:$L292)+COUNTA($Q292))&gt;0),"",IF($D292="","Propia",IF($V292&lt;&gt;"Macro","Solo se delegan macroactividades",IF(N($AH292)&gt;0,"✔ Recibida por "&amp;$D292,"⚠ "&amp;$D292&amp;" aún no la agrega"))))</f>
        <v/>
      </c>
      <c r="Q292" s="58" t="n"/>
      <c r="R292" s="63">
        <f>IF(NOT((COUNTA($B292:$D292)+COUNTA($G292:$L292)+COUNTA($Q292))&gt;0),"",IF((IF($C292="","Falta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",""))="","✔ OK","⚠ "&amp;LEFT(IF($C292="","Falta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",""),LEN(IF($C292="","Falta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",""))-3)))</f>
        <v/>
      </c>
      <c r="S292" s="64">
        <f>IF(NOT((COUNTA($B292:$D292)+COUNTA($G292:$L292)+COUNTA($Q292))&gt;0),"",IF(AND($V292="Sub",N($U292)&gt;0),IF(ISNUMBER(INDEX($AM$5:$AM$1000,$U292-4)),DATE(YEAR(INDEX($AM$5:$AM$1000,$U292-4)),MONTH(INDEX($AM$5:$AM$1000,$U292-4)),1),IF(ISNUMBER(INDEX($AN$5:$AN$1000,$U292-4)),DATE(YEAR(INDEX($AN$5:$AN$1000,$U292-4)),MONTH(INDEX($AN$5:$AN$1000,$U292-4)),1),MesCiclo)),IF(ISNUMBER($AM292),DATE(YEAR($AM292),MONTH($AM292),1),IF(ISNUMBER($AN292),DATE(YEAR($AN292),MONTH($AN292),1),MesCiclo))))</f>
        <v/>
      </c>
      <c r="T292" s="62">
        <f>IF(OR($S292="",$S292&lt;&gt;MesCiclo),"",COUNTIF($S$5:$S292,MesCiclo))</f>
        <v/>
      </c>
      <c r="U292" s="62">
        <f>IF($V292="","",IF($V292="Macro",ROW(),IFERROR(LOOKUP(2,1/($V$5:$V292="Macro"),ROW($V$5:$V292)),0)))</f>
        <v/>
      </c>
      <c r="V292" s="62">
        <f>IF(NOT((COUNTA($B292:$D292)+COUNTA($G292:$L292)+COUNTA($Q292))&gt;0),"",IF($B292="Subactividad","Sub","Macro"))</f>
        <v/>
      </c>
      <c r="W292" s="62">
        <f>IF($V292="Macro",COUNTIFS($U$5:$U$1000,ROW(),$V$5:$V$1000,"Sub"),"")</f>
        <v/>
      </c>
      <c r="X292" s="62">
        <f>IF($V292="","",IF(ISNUMBER($G292),1,IFERROR(LOOKUP(2,1/($I292:$L292&lt;&gt;""),$I292:$L292),0)))</f>
        <v/>
      </c>
      <c r="Y292" s="62">
        <f>IF($V292="","",IF(AND(ISNUMBER($G292),$G292&lt;=IF($S292=MesCiclo,InicioCiclo,$S292+MOD(2-WEEKDAY($S292),7))+6),1,IF(ISNUMBER($I292),$I292,0)))</f>
        <v/>
      </c>
      <c r="Z292" s="62">
        <f>IF($V292="","",IF(AND(ISNUMBER($G292),$G292&lt;=IF($S292=MesCiclo,InicioCiclo,$S292+MOD(2-WEEKDAY($S292),7))+13),1,IF(ISNUMBER($J292),$J292,$Y292)))</f>
        <v/>
      </c>
      <c r="AA292" s="62">
        <f>IF($V292="","",IF(AND(ISNUMBER($G292),$G292&lt;=IF($S292=MesCiclo,InicioCiclo,$S292+MOD(2-WEEKDAY($S292),7))+20),1,IF(ISNUMBER($K292),$K292,$Z292)))</f>
        <v/>
      </c>
      <c r="AB292" s="62">
        <f>IF($V292="","",IF(AND(ISNUMBER($G292),$G292&lt;=IF($S292=MesCiclo,InicioCiclo,$S292+MOD(2-WEEKDAY($S292),7))+27),1,IF(ISNUMBER($L292),$L292,$AA292)))</f>
        <v/>
      </c>
      <c r="AC292" s="62">
        <f>IF($V292="","",IF(AND(ISNUMBER($G292),$G292&lt;=IF($S292=MesCiclo,InicioCiclo,$S292+MOD(2-WEEKDAY($S292),7))+6),1,IF(N($W292)&gt;0,AVERAGEIFS($Y$5:$Y$1000,$U$5:$U$1000,ROW(),$V$5:$V$1000,"Sub"),$Y292)))</f>
        <v/>
      </c>
      <c r="AD292" s="62">
        <f>IF($V292="","",IF(AND(ISNUMBER($G292),$G292&lt;=IF($S292=MesCiclo,InicioCiclo,$S292+MOD(2-WEEKDAY($S292),7))+13),1,IF(N($W292)&gt;0,AVERAGEIFS($Z$5:$Z$1000,$U$5:$U$1000,ROW(),$V$5:$V$1000,"Sub"),$Z292)))</f>
        <v/>
      </c>
      <c r="AE292" s="62">
        <f>IF($V292="","",IF(AND(ISNUMBER($G292),$G292&lt;=IF($S292=MesCiclo,InicioCiclo,$S292+MOD(2-WEEKDAY($S292),7))+20),1,IF(N($W292)&gt;0,AVERAGEIFS($AA$5:$AA$1000,$U$5:$U$1000,ROW(),$V$5:$V$1000,"Sub"),$AA292)))</f>
        <v/>
      </c>
      <c r="AF292" s="62">
        <f>IF($V292="","",IF(AND(ISNUMBER($G292),$G292&lt;=IF($S292=MesCiclo,InicioCiclo,$S292+MOD(2-WEEKDAY($S292),7))+27),1,IF(N($W292)&gt;0,AVERAGEIFS($AB$5:$AB$1000,$U$5:$U$1000,ROW(),$V$5:$V$1000,"Sub"),$AB292)))</f>
        <v/>
      </c>
      <c r="AG292" s="62">
        <f>IF($V292&lt;&gt;"Macro","",IF(COUNTIFS($S$5:$S$1000,$S292,$V$5:$V$1000,"Macro",$H$5:$H$1000,"&gt;0")=0,1/COUNTIFS($S$5:$S$1000,$S292,$V$5:$V$1000,"Macro"),IF(AND(ISNUMBER($H292),N($H292)&gt;0),$H292,SUMIFS($H$5:$H$1000,$S$5:$S$1000,$S292,$V$5:$V$1000,"Macro")/COUNTIFS($S$5:$S$1000,$S292,$V$5:$V$1000,"Macro",$H$5:$H$1000,"&gt;0"))/(COUNTIFS($S$5:$S$1000,$S292,$V$5:$V$1000,"Macro")*SUMIFS($H$5:$H$1000,$S$5:$S$1000,$S292,$V$5:$V$1000,"Macro")/COUNTIFS($S$5:$S$1000,$S292,$V$5:$V$1000,"Macro",$H$5:$H$1000,"&gt;0"))))</f>
        <v/>
      </c>
      <c r="AH292" s="62">
        <f>IF(NOT(AND($D292&lt;&gt;"",$V292="Macro")),"",IFERROR(CHOOSE(MATCH($D292,ListaPuestos,0),MATCH("[Jefatura] "&amp;$C292,'Cronograma R. Operacional'!$C$5:$C$1000,0),MATCH("[Jefatura] "&amp;$C292,'Cronograma R. Normativo'!$C$5:$C$1000,0),MATCH("[Jefatura] "&amp;$C292,'Cronograma R. Financiero'!$C$5:$C$1000,0),MATCH("[Jefatura] "&amp;$C292,'Cronograma Asistente Técnico'!$C$5:$C$1000,0)),0))</f>
        <v/>
      </c>
      <c r="AI292" s="62">
        <f>IF(AND(AND($D292&lt;&gt;"",$V292="Macro"),$S292=MesCiclo),COUNTIFS($D$5:$D292,$D292,$S$5:$S292,MesCiclo,$V$5:$V292,"Macro"),"")</f>
        <v/>
      </c>
      <c r="AJ292" s="62">
        <f>IF($AI292="","",$D292&amp;"|"&amp;$AI292)</f>
        <v/>
      </c>
      <c r="AK292" s="62">
        <f>IF(AND($D292&lt;&gt;"",$V292="Macro"),$D292&amp;"|"&amp;$C292,"")</f>
        <v/>
      </c>
      <c r="AL292" s="62">
        <f>""</f>
        <v/>
      </c>
      <c r="AM292" s="62">
        <f>IF(N($AL292)&gt;0,INDEX(rIni_ADM,$AL292),IF(ISNUMBER($E292),$E292,""))</f>
        <v/>
      </c>
      <c r="AN292" s="62">
        <f>IF(N($AL292)&gt;0,INDEX(rLim_ADM,$AL292),IF(ISNUMBER($F292),$F292,""))</f>
        <v/>
      </c>
    </row>
    <row r="293">
      <c r="A293" s="56">
        <f>IF(NOT((COUNTA($B293:$D293)+COUNTA($G293:$L293)+COUNTA($Q293))&gt;0),"",IF($V293="Macro",COUNTIFS($V$5:$V293,"Macro",$S$5:$S293,$S293),IF(N($U293)=0,"?",COUNTIFS(INDEX($V$5:$V$1000,1):INDEX($V$5:$V$1000,$U293-4),"Macro",INDEX($S$5:$S$1000,1):INDEX($S$5:$S$1000,$U293-4),INDEX($S$5:$S$1000,$U293-4))&amp;"."&amp;COUNTIFS($U$5:$U293,$U293,$V$5:$V293,"Sub"))))</f>
        <v/>
      </c>
      <c r="B293" s="57" t="n"/>
      <c r="C293" s="58" t="n"/>
      <c r="D293" s="58" t="n"/>
      <c r="E293" s="59" t="n"/>
      <c r="F293" s="59" t="n"/>
      <c r="G293" s="59" t="n"/>
      <c r="H293" s="60" t="n"/>
      <c r="I293" s="60" t="n"/>
      <c r="J293" s="60" t="n"/>
      <c r="K293" s="60" t="n"/>
      <c r="L293" s="60" t="n"/>
      <c r="M293" s="61">
        <f>IF(NOT((COUNTA($B293:$D293)+COUNTA($G293:$L293)+COUNTA($Q293))&gt;0),"",IF(AND($D293&lt;&gt;"",$V293="Macro"),IF(N($AH293)&gt;0,N(CHOOSE(MATCH($D293,ListaPuestos,0),INDEX('Cronograma R. Operacional'!$M$5:$M$1000,$AH293),INDEX('Cronograma R. Normativo'!$M$5:$M$1000,$AH293),INDEX('Cronograma R. Financiero'!$M$5:$M$1000,$AH293),INDEX('Cronograma Asistente Técnico'!$M$5:$M$1000,$AH293))),0),IF(ISNUMBER($G293),1,IF(N($W293)&gt;0,AVERAGEIFS($X$5:$X$1000,$U$5:$U$1000,ROW(),$V$5:$V$1000,"Sub"),$X293))))</f>
        <v/>
      </c>
      <c r="N293" s="56">
        <f>IF($M293="","",IF($M293&gt;=1,"Completado",IF($M293&gt;0,"En curso","Pendiente")))</f>
        <v/>
      </c>
      <c r="O293" s="56">
        <f>IF(NOT((COUNTA($B293:$D293)+COUNTA($G293:$L293)+COUNTA($Q293))&gt;0),"",IF(AND(AND($D293&lt;&gt;"",$V293="Macro"),N($AH293)&gt;0),CHOOSE(MATCH($D293,ListaPuestos,0),INDEX('Cronograma R. Operacional'!$O$5:$O$1000,$AH293),INDEX('Cronograma R. Normativo'!$O$5:$O$1000,$AH293),INDEX('Cronograma R. Financiero'!$O$5:$O$1000,$AH293),INDEX('Cronograma Asistente Técnico'!$O$5:$O$1000,$AH293))&amp;"",IF(ISNUMBER($G293),IF(AND(ISNUMBER($AN293),$G293&gt;$AN293),"Cumplida con "&amp;($G293-$AN293)&amp;IF($G293-$AN293=1," día"," días")&amp;" de retraso","Cumplida"),IF(N($M293)&gt;=1,"Cumplida",IF(NOT(ISNUMBER($AN293)),"Sin fecha límite",IF($AN293&lt;FechaRef,"Vencida hace "&amp;(FechaRef-$AN293)&amp;IF(FechaRef-$AN293=1," día"," días"),IF($AN293=FechaRef,"Vence hoy",IF($AN293-FechaRef&lt;=DiasAlerta,"Vence en "&amp;($AN293-FechaRef)&amp;IF($AN293-FechaRef=1," día"," días"),"En plazo"))))))))</f>
        <v/>
      </c>
      <c r="P293" s="62">
        <f>IF(NOT((COUNTA($B293:$D293)+COUNTA($G293:$L293)+COUNTA($Q293))&gt;0),"",IF($D293="","Propia",IF($V293&lt;&gt;"Macro","Solo se delegan macroactividades",IF(N($AH293)&gt;0,"✔ Recibida por "&amp;$D293,"⚠ "&amp;$D293&amp;" aún no la agrega"))))</f>
        <v/>
      </c>
      <c r="Q293" s="58" t="n"/>
      <c r="R293" s="63">
        <f>IF(NOT((COUNTA($B293:$D293)+COUNTA($G293:$L293)+COUNTA($Q293))&gt;0),"",IF((IF($C293="","Falta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",""))="","✔ OK","⚠ "&amp;LEFT(IF($C293="","Falta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",""),LEN(IF($C293="","Falta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",""))-3)))</f>
        <v/>
      </c>
      <c r="S293" s="64">
        <f>IF(NOT((COUNTA($B293:$D293)+COUNTA($G293:$L293)+COUNTA($Q293))&gt;0),"",IF(AND($V293="Sub",N($U293)&gt;0),IF(ISNUMBER(INDEX($AM$5:$AM$1000,$U293-4)),DATE(YEAR(INDEX($AM$5:$AM$1000,$U293-4)),MONTH(INDEX($AM$5:$AM$1000,$U293-4)),1),IF(ISNUMBER(INDEX($AN$5:$AN$1000,$U293-4)),DATE(YEAR(INDEX($AN$5:$AN$1000,$U293-4)),MONTH(INDEX($AN$5:$AN$1000,$U293-4)),1),MesCiclo)),IF(ISNUMBER($AM293),DATE(YEAR($AM293),MONTH($AM293),1),IF(ISNUMBER($AN293),DATE(YEAR($AN293),MONTH($AN293),1),MesCiclo))))</f>
        <v/>
      </c>
      <c r="T293" s="62">
        <f>IF(OR($S293="",$S293&lt;&gt;MesCiclo),"",COUNTIF($S$5:$S293,MesCiclo))</f>
        <v/>
      </c>
      <c r="U293" s="62">
        <f>IF($V293="","",IF($V293="Macro",ROW(),IFERROR(LOOKUP(2,1/($V$5:$V293="Macro"),ROW($V$5:$V293)),0)))</f>
        <v/>
      </c>
      <c r="V293" s="62">
        <f>IF(NOT((COUNTA($B293:$D293)+COUNTA($G293:$L293)+COUNTA($Q293))&gt;0),"",IF($B293="Subactividad","Sub","Macro"))</f>
        <v/>
      </c>
      <c r="W293" s="62">
        <f>IF($V293="Macro",COUNTIFS($U$5:$U$1000,ROW(),$V$5:$V$1000,"Sub"),"")</f>
        <v/>
      </c>
      <c r="X293" s="62">
        <f>IF($V293="","",IF(ISNUMBER($G293),1,IFERROR(LOOKUP(2,1/($I293:$L293&lt;&gt;""),$I293:$L293),0)))</f>
        <v/>
      </c>
      <c r="Y293" s="62">
        <f>IF($V293="","",IF(AND(ISNUMBER($G293),$G293&lt;=IF($S293=MesCiclo,InicioCiclo,$S293+MOD(2-WEEKDAY($S293),7))+6),1,IF(ISNUMBER($I293),$I293,0)))</f>
        <v/>
      </c>
      <c r="Z293" s="62">
        <f>IF($V293="","",IF(AND(ISNUMBER($G293),$G293&lt;=IF($S293=MesCiclo,InicioCiclo,$S293+MOD(2-WEEKDAY($S293),7))+13),1,IF(ISNUMBER($J293),$J293,$Y293)))</f>
        <v/>
      </c>
      <c r="AA293" s="62">
        <f>IF($V293="","",IF(AND(ISNUMBER($G293),$G293&lt;=IF($S293=MesCiclo,InicioCiclo,$S293+MOD(2-WEEKDAY($S293),7))+20),1,IF(ISNUMBER($K293),$K293,$Z293)))</f>
        <v/>
      </c>
      <c r="AB293" s="62">
        <f>IF($V293="","",IF(AND(ISNUMBER($G293),$G293&lt;=IF($S293=MesCiclo,InicioCiclo,$S293+MOD(2-WEEKDAY($S293),7))+27),1,IF(ISNUMBER($L293),$L293,$AA293)))</f>
        <v/>
      </c>
      <c r="AC293" s="62">
        <f>IF($V293="","",IF(AND(ISNUMBER($G293),$G293&lt;=IF($S293=MesCiclo,InicioCiclo,$S293+MOD(2-WEEKDAY($S293),7))+6),1,IF(N($W293)&gt;0,AVERAGEIFS($Y$5:$Y$1000,$U$5:$U$1000,ROW(),$V$5:$V$1000,"Sub"),$Y293)))</f>
        <v/>
      </c>
      <c r="AD293" s="62">
        <f>IF($V293="","",IF(AND(ISNUMBER($G293),$G293&lt;=IF($S293=MesCiclo,InicioCiclo,$S293+MOD(2-WEEKDAY($S293),7))+13),1,IF(N($W293)&gt;0,AVERAGEIFS($Z$5:$Z$1000,$U$5:$U$1000,ROW(),$V$5:$V$1000,"Sub"),$Z293)))</f>
        <v/>
      </c>
      <c r="AE293" s="62">
        <f>IF($V293="","",IF(AND(ISNUMBER($G293),$G293&lt;=IF($S293=MesCiclo,InicioCiclo,$S293+MOD(2-WEEKDAY($S293),7))+20),1,IF(N($W293)&gt;0,AVERAGEIFS($AA$5:$AA$1000,$U$5:$U$1000,ROW(),$V$5:$V$1000,"Sub"),$AA293)))</f>
        <v/>
      </c>
      <c r="AF293" s="62">
        <f>IF($V293="","",IF(AND(ISNUMBER($G293),$G293&lt;=IF($S293=MesCiclo,InicioCiclo,$S293+MOD(2-WEEKDAY($S293),7))+27),1,IF(N($W293)&gt;0,AVERAGEIFS($AB$5:$AB$1000,$U$5:$U$1000,ROW(),$V$5:$V$1000,"Sub"),$AB293)))</f>
        <v/>
      </c>
      <c r="AG293" s="62">
        <f>IF($V293&lt;&gt;"Macro","",IF(COUNTIFS($S$5:$S$1000,$S293,$V$5:$V$1000,"Macro",$H$5:$H$1000,"&gt;0")=0,1/COUNTIFS($S$5:$S$1000,$S293,$V$5:$V$1000,"Macro"),IF(AND(ISNUMBER($H293),N($H293)&gt;0),$H293,SUMIFS($H$5:$H$1000,$S$5:$S$1000,$S293,$V$5:$V$1000,"Macro")/COUNTIFS($S$5:$S$1000,$S293,$V$5:$V$1000,"Macro",$H$5:$H$1000,"&gt;0"))/(COUNTIFS($S$5:$S$1000,$S293,$V$5:$V$1000,"Macro")*SUMIFS($H$5:$H$1000,$S$5:$S$1000,$S293,$V$5:$V$1000,"Macro")/COUNTIFS($S$5:$S$1000,$S293,$V$5:$V$1000,"Macro",$H$5:$H$1000,"&gt;0"))))</f>
        <v/>
      </c>
      <c r="AH293" s="62">
        <f>IF(NOT(AND($D293&lt;&gt;"",$V293="Macro")),"",IFERROR(CHOOSE(MATCH($D293,ListaPuestos,0),MATCH("[Jefatura] "&amp;$C293,'Cronograma R. Operacional'!$C$5:$C$1000,0),MATCH("[Jefatura] "&amp;$C293,'Cronograma R. Normativo'!$C$5:$C$1000,0),MATCH("[Jefatura] "&amp;$C293,'Cronograma R. Financiero'!$C$5:$C$1000,0),MATCH("[Jefatura] "&amp;$C293,'Cronograma Asistente Técnico'!$C$5:$C$1000,0)),0))</f>
        <v/>
      </c>
      <c r="AI293" s="62">
        <f>IF(AND(AND($D293&lt;&gt;"",$V293="Macro"),$S293=MesCiclo),COUNTIFS($D$5:$D293,$D293,$S$5:$S293,MesCiclo,$V$5:$V293,"Macro"),"")</f>
        <v/>
      </c>
      <c r="AJ293" s="62">
        <f>IF($AI293="","",$D293&amp;"|"&amp;$AI293)</f>
        <v/>
      </c>
      <c r="AK293" s="62">
        <f>IF(AND($D293&lt;&gt;"",$V293="Macro"),$D293&amp;"|"&amp;$C293,"")</f>
        <v/>
      </c>
      <c r="AL293" s="62">
        <f>""</f>
        <v/>
      </c>
      <c r="AM293" s="62">
        <f>IF(N($AL293)&gt;0,INDEX(rIni_ADM,$AL293),IF(ISNUMBER($E293),$E293,""))</f>
        <v/>
      </c>
      <c r="AN293" s="62">
        <f>IF(N($AL293)&gt;0,INDEX(rLim_ADM,$AL293),IF(ISNUMBER($F293),$F293,""))</f>
        <v/>
      </c>
    </row>
    <row r="294">
      <c r="A294" s="56">
        <f>IF(NOT((COUNTA($B294:$D294)+COUNTA($G294:$L294)+COUNTA($Q294))&gt;0),"",IF($V294="Macro",COUNTIFS($V$5:$V294,"Macro",$S$5:$S294,$S294),IF(N($U294)=0,"?",COUNTIFS(INDEX($V$5:$V$1000,1):INDEX($V$5:$V$1000,$U294-4),"Macro",INDEX($S$5:$S$1000,1):INDEX($S$5:$S$1000,$U294-4),INDEX($S$5:$S$1000,$U294-4))&amp;"."&amp;COUNTIFS($U$5:$U294,$U294,$V$5:$V294,"Sub"))))</f>
        <v/>
      </c>
      <c r="B294" s="57" t="n"/>
      <c r="C294" s="58" t="n"/>
      <c r="D294" s="58" t="n"/>
      <c r="E294" s="59" t="n"/>
      <c r="F294" s="59" t="n"/>
      <c r="G294" s="59" t="n"/>
      <c r="H294" s="60" t="n"/>
      <c r="I294" s="60" t="n"/>
      <c r="J294" s="60" t="n"/>
      <c r="K294" s="60" t="n"/>
      <c r="L294" s="60" t="n"/>
      <c r="M294" s="61">
        <f>IF(NOT((COUNTA($B294:$D294)+COUNTA($G294:$L294)+COUNTA($Q294))&gt;0),"",IF(AND($D294&lt;&gt;"",$V294="Macro"),IF(N($AH294)&gt;0,N(CHOOSE(MATCH($D294,ListaPuestos,0),INDEX('Cronograma R. Operacional'!$M$5:$M$1000,$AH294),INDEX('Cronograma R. Normativo'!$M$5:$M$1000,$AH294),INDEX('Cronograma R. Financiero'!$M$5:$M$1000,$AH294),INDEX('Cronograma Asistente Técnico'!$M$5:$M$1000,$AH294))),0),IF(ISNUMBER($G294),1,IF(N($W294)&gt;0,AVERAGEIFS($X$5:$X$1000,$U$5:$U$1000,ROW(),$V$5:$V$1000,"Sub"),$X294))))</f>
        <v/>
      </c>
      <c r="N294" s="56">
        <f>IF($M294="","",IF($M294&gt;=1,"Completado",IF($M294&gt;0,"En curso","Pendiente")))</f>
        <v/>
      </c>
      <c r="O294" s="56">
        <f>IF(NOT((COUNTA($B294:$D294)+COUNTA($G294:$L294)+COUNTA($Q294))&gt;0),"",IF(AND(AND($D294&lt;&gt;"",$V294="Macro"),N($AH294)&gt;0),CHOOSE(MATCH($D294,ListaPuestos,0),INDEX('Cronograma R. Operacional'!$O$5:$O$1000,$AH294),INDEX('Cronograma R. Normativo'!$O$5:$O$1000,$AH294),INDEX('Cronograma R. Financiero'!$O$5:$O$1000,$AH294),INDEX('Cronograma Asistente Técnico'!$O$5:$O$1000,$AH294))&amp;"",IF(ISNUMBER($G294),IF(AND(ISNUMBER($AN294),$G294&gt;$AN294),"Cumplida con "&amp;($G294-$AN294)&amp;IF($G294-$AN294=1," día"," días")&amp;" de retraso","Cumplida"),IF(N($M294)&gt;=1,"Cumplida",IF(NOT(ISNUMBER($AN294)),"Sin fecha límite",IF($AN294&lt;FechaRef,"Vencida hace "&amp;(FechaRef-$AN294)&amp;IF(FechaRef-$AN294=1," día"," días"),IF($AN294=FechaRef,"Vence hoy",IF($AN294-FechaRef&lt;=DiasAlerta,"Vence en "&amp;($AN294-FechaRef)&amp;IF($AN294-FechaRef=1," día"," días"),"En plazo"))))))))</f>
        <v/>
      </c>
      <c r="P294" s="62">
        <f>IF(NOT((COUNTA($B294:$D294)+COUNTA($G294:$L294)+COUNTA($Q294))&gt;0),"",IF($D294="","Propia",IF($V294&lt;&gt;"Macro","Solo se delegan macroactividades",IF(N($AH294)&gt;0,"✔ Recibida por "&amp;$D294,"⚠ "&amp;$D294&amp;" aún no la agrega"))))</f>
        <v/>
      </c>
      <c r="Q294" s="58" t="n"/>
      <c r="R294" s="63">
        <f>IF(NOT((COUNTA($B294:$D294)+COUNTA($G294:$L294)+COUNTA($Q294))&gt;0),"",IF((IF($C294="","Falta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",""))="","✔ OK","⚠ "&amp;LEFT(IF($C294="","Falta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",""),LEN(IF($C294="","Falta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",""))-3)))</f>
        <v/>
      </c>
      <c r="S294" s="64">
        <f>IF(NOT((COUNTA($B294:$D294)+COUNTA($G294:$L294)+COUNTA($Q294))&gt;0),"",IF(AND($V294="Sub",N($U294)&gt;0),IF(ISNUMBER(INDEX($AM$5:$AM$1000,$U294-4)),DATE(YEAR(INDEX($AM$5:$AM$1000,$U294-4)),MONTH(INDEX($AM$5:$AM$1000,$U294-4)),1),IF(ISNUMBER(INDEX($AN$5:$AN$1000,$U294-4)),DATE(YEAR(INDEX($AN$5:$AN$1000,$U294-4)),MONTH(INDEX($AN$5:$AN$1000,$U294-4)),1),MesCiclo)),IF(ISNUMBER($AM294),DATE(YEAR($AM294),MONTH($AM294),1),IF(ISNUMBER($AN294),DATE(YEAR($AN294),MONTH($AN294),1),MesCiclo))))</f>
        <v/>
      </c>
      <c r="T294" s="62">
        <f>IF(OR($S294="",$S294&lt;&gt;MesCiclo),"",COUNTIF($S$5:$S294,MesCiclo))</f>
        <v/>
      </c>
      <c r="U294" s="62">
        <f>IF($V294="","",IF($V294="Macro",ROW(),IFERROR(LOOKUP(2,1/($V$5:$V294="Macro"),ROW($V$5:$V294)),0)))</f>
        <v/>
      </c>
      <c r="V294" s="62">
        <f>IF(NOT((COUNTA($B294:$D294)+COUNTA($G294:$L294)+COUNTA($Q294))&gt;0),"",IF($B294="Subactividad","Sub","Macro"))</f>
        <v/>
      </c>
      <c r="W294" s="62">
        <f>IF($V294="Macro",COUNTIFS($U$5:$U$1000,ROW(),$V$5:$V$1000,"Sub"),"")</f>
        <v/>
      </c>
      <c r="X294" s="62">
        <f>IF($V294="","",IF(ISNUMBER($G294),1,IFERROR(LOOKUP(2,1/($I294:$L294&lt;&gt;""),$I294:$L294),0)))</f>
        <v/>
      </c>
      <c r="Y294" s="62">
        <f>IF($V294="","",IF(AND(ISNUMBER($G294),$G294&lt;=IF($S294=MesCiclo,InicioCiclo,$S294+MOD(2-WEEKDAY($S294),7))+6),1,IF(ISNUMBER($I294),$I294,0)))</f>
        <v/>
      </c>
      <c r="Z294" s="62">
        <f>IF($V294="","",IF(AND(ISNUMBER($G294),$G294&lt;=IF($S294=MesCiclo,InicioCiclo,$S294+MOD(2-WEEKDAY($S294),7))+13),1,IF(ISNUMBER($J294),$J294,$Y294)))</f>
        <v/>
      </c>
      <c r="AA294" s="62">
        <f>IF($V294="","",IF(AND(ISNUMBER($G294),$G294&lt;=IF($S294=MesCiclo,InicioCiclo,$S294+MOD(2-WEEKDAY($S294),7))+20),1,IF(ISNUMBER($K294),$K294,$Z294)))</f>
        <v/>
      </c>
      <c r="AB294" s="62">
        <f>IF($V294="","",IF(AND(ISNUMBER($G294),$G294&lt;=IF($S294=MesCiclo,InicioCiclo,$S294+MOD(2-WEEKDAY($S294),7))+27),1,IF(ISNUMBER($L294),$L294,$AA294)))</f>
        <v/>
      </c>
      <c r="AC294" s="62">
        <f>IF($V294="","",IF(AND(ISNUMBER($G294),$G294&lt;=IF($S294=MesCiclo,InicioCiclo,$S294+MOD(2-WEEKDAY($S294),7))+6),1,IF(N($W294)&gt;0,AVERAGEIFS($Y$5:$Y$1000,$U$5:$U$1000,ROW(),$V$5:$V$1000,"Sub"),$Y294)))</f>
        <v/>
      </c>
      <c r="AD294" s="62">
        <f>IF($V294="","",IF(AND(ISNUMBER($G294),$G294&lt;=IF($S294=MesCiclo,InicioCiclo,$S294+MOD(2-WEEKDAY($S294),7))+13),1,IF(N($W294)&gt;0,AVERAGEIFS($Z$5:$Z$1000,$U$5:$U$1000,ROW(),$V$5:$V$1000,"Sub"),$Z294)))</f>
        <v/>
      </c>
      <c r="AE294" s="62">
        <f>IF($V294="","",IF(AND(ISNUMBER($G294),$G294&lt;=IF($S294=MesCiclo,InicioCiclo,$S294+MOD(2-WEEKDAY($S294),7))+20),1,IF(N($W294)&gt;0,AVERAGEIFS($AA$5:$AA$1000,$U$5:$U$1000,ROW(),$V$5:$V$1000,"Sub"),$AA294)))</f>
        <v/>
      </c>
      <c r="AF294" s="62">
        <f>IF($V294="","",IF(AND(ISNUMBER($G294),$G294&lt;=IF($S294=MesCiclo,InicioCiclo,$S294+MOD(2-WEEKDAY($S294),7))+27),1,IF(N($W294)&gt;0,AVERAGEIFS($AB$5:$AB$1000,$U$5:$U$1000,ROW(),$V$5:$V$1000,"Sub"),$AB294)))</f>
        <v/>
      </c>
      <c r="AG294" s="62">
        <f>IF($V294&lt;&gt;"Macro","",IF(COUNTIFS($S$5:$S$1000,$S294,$V$5:$V$1000,"Macro",$H$5:$H$1000,"&gt;0")=0,1/COUNTIFS($S$5:$S$1000,$S294,$V$5:$V$1000,"Macro"),IF(AND(ISNUMBER($H294),N($H294)&gt;0),$H294,SUMIFS($H$5:$H$1000,$S$5:$S$1000,$S294,$V$5:$V$1000,"Macro")/COUNTIFS($S$5:$S$1000,$S294,$V$5:$V$1000,"Macro",$H$5:$H$1000,"&gt;0"))/(COUNTIFS($S$5:$S$1000,$S294,$V$5:$V$1000,"Macro")*SUMIFS($H$5:$H$1000,$S$5:$S$1000,$S294,$V$5:$V$1000,"Macro")/COUNTIFS($S$5:$S$1000,$S294,$V$5:$V$1000,"Macro",$H$5:$H$1000,"&gt;0"))))</f>
        <v/>
      </c>
      <c r="AH294" s="62">
        <f>IF(NOT(AND($D294&lt;&gt;"",$V294="Macro")),"",IFERROR(CHOOSE(MATCH($D294,ListaPuestos,0),MATCH("[Jefatura] "&amp;$C294,'Cronograma R. Operacional'!$C$5:$C$1000,0),MATCH("[Jefatura] "&amp;$C294,'Cronograma R. Normativo'!$C$5:$C$1000,0),MATCH("[Jefatura] "&amp;$C294,'Cronograma R. Financiero'!$C$5:$C$1000,0),MATCH("[Jefatura] "&amp;$C294,'Cronograma Asistente Técnico'!$C$5:$C$1000,0)),0))</f>
        <v/>
      </c>
      <c r="AI294" s="62">
        <f>IF(AND(AND($D294&lt;&gt;"",$V294="Macro"),$S294=MesCiclo),COUNTIFS($D$5:$D294,$D294,$S$5:$S294,MesCiclo,$V$5:$V294,"Macro"),"")</f>
        <v/>
      </c>
      <c r="AJ294" s="62">
        <f>IF($AI294="","",$D294&amp;"|"&amp;$AI294)</f>
        <v/>
      </c>
      <c r="AK294" s="62">
        <f>IF(AND($D294&lt;&gt;"",$V294="Macro"),$D294&amp;"|"&amp;$C294,"")</f>
        <v/>
      </c>
      <c r="AL294" s="62">
        <f>""</f>
        <v/>
      </c>
      <c r="AM294" s="62">
        <f>IF(N($AL294)&gt;0,INDEX(rIni_ADM,$AL294),IF(ISNUMBER($E294),$E294,""))</f>
        <v/>
      </c>
      <c r="AN294" s="62">
        <f>IF(N($AL294)&gt;0,INDEX(rLim_ADM,$AL294),IF(ISNUMBER($F294),$F294,""))</f>
        <v/>
      </c>
    </row>
    <row r="295">
      <c r="A295" s="56">
        <f>IF(NOT((COUNTA($B295:$D295)+COUNTA($G295:$L295)+COUNTA($Q295))&gt;0),"",IF($V295="Macro",COUNTIFS($V$5:$V295,"Macro",$S$5:$S295,$S295),IF(N($U295)=0,"?",COUNTIFS(INDEX($V$5:$V$1000,1):INDEX($V$5:$V$1000,$U295-4),"Macro",INDEX($S$5:$S$1000,1):INDEX($S$5:$S$1000,$U295-4),INDEX($S$5:$S$1000,$U295-4))&amp;"."&amp;COUNTIFS($U$5:$U295,$U295,$V$5:$V295,"Sub"))))</f>
        <v/>
      </c>
      <c r="B295" s="57" t="n"/>
      <c r="C295" s="58" t="n"/>
      <c r="D295" s="58" t="n"/>
      <c r="E295" s="59" t="n"/>
      <c r="F295" s="59" t="n"/>
      <c r="G295" s="59" t="n"/>
      <c r="H295" s="60" t="n"/>
      <c r="I295" s="60" t="n"/>
      <c r="J295" s="60" t="n"/>
      <c r="K295" s="60" t="n"/>
      <c r="L295" s="60" t="n"/>
      <c r="M295" s="61">
        <f>IF(NOT((COUNTA($B295:$D295)+COUNTA($G295:$L295)+COUNTA($Q295))&gt;0),"",IF(AND($D295&lt;&gt;"",$V295="Macro"),IF(N($AH295)&gt;0,N(CHOOSE(MATCH($D295,ListaPuestos,0),INDEX('Cronograma R. Operacional'!$M$5:$M$1000,$AH295),INDEX('Cronograma R. Normativo'!$M$5:$M$1000,$AH295),INDEX('Cronograma R. Financiero'!$M$5:$M$1000,$AH295),INDEX('Cronograma Asistente Técnico'!$M$5:$M$1000,$AH295))),0),IF(ISNUMBER($G295),1,IF(N($W295)&gt;0,AVERAGEIFS($X$5:$X$1000,$U$5:$U$1000,ROW(),$V$5:$V$1000,"Sub"),$X295))))</f>
        <v/>
      </c>
      <c r="N295" s="56">
        <f>IF($M295="","",IF($M295&gt;=1,"Completado",IF($M295&gt;0,"En curso","Pendiente")))</f>
        <v/>
      </c>
      <c r="O295" s="56">
        <f>IF(NOT((COUNTA($B295:$D295)+COUNTA($G295:$L295)+COUNTA($Q295))&gt;0),"",IF(AND(AND($D295&lt;&gt;"",$V295="Macro"),N($AH295)&gt;0),CHOOSE(MATCH($D295,ListaPuestos,0),INDEX('Cronograma R. Operacional'!$O$5:$O$1000,$AH295),INDEX('Cronograma R. Normativo'!$O$5:$O$1000,$AH295),INDEX('Cronograma R. Financiero'!$O$5:$O$1000,$AH295),INDEX('Cronograma Asistente Técnico'!$O$5:$O$1000,$AH295))&amp;"",IF(ISNUMBER($G295),IF(AND(ISNUMBER($AN295),$G295&gt;$AN295),"Cumplida con "&amp;($G295-$AN295)&amp;IF($G295-$AN295=1," día"," días")&amp;" de retraso","Cumplida"),IF(N($M295)&gt;=1,"Cumplida",IF(NOT(ISNUMBER($AN295)),"Sin fecha límite",IF($AN295&lt;FechaRef,"Vencida hace "&amp;(FechaRef-$AN295)&amp;IF(FechaRef-$AN295=1," día"," días"),IF($AN295=FechaRef,"Vence hoy",IF($AN295-FechaRef&lt;=DiasAlerta,"Vence en "&amp;($AN295-FechaRef)&amp;IF($AN295-FechaRef=1," día"," días"),"En plazo"))))))))</f>
        <v/>
      </c>
      <c r="P295" s="62">
        <f>IF(NOT((COUNTA($B295:$D295)+COUNTA($G295:$L295)+COUNTA($Q295))&gt;0),"",IF($D295="","Propia",IF($V295&lt;&gt;"Macro","Solo se delegan macroactividades",IF(N($AH295)&gt;0,"✔ Recibida por "&amp;$D295,"⚠ "&amp;$D295&amp;" aún no la agrega"))))</f>
        <v/>
      </c>
      <c r="Q295" s="58" t="n"/>
      <c r="R295" s="63">
        <f>IF(NOT((COUNTA($B295:$D295)+COUNTA($G295:$L295)+COUNTA($Q295))&gt;0),"",IF((IF($C295="","Falta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",""))="","✔ OK","⚠ "&amp;LEFT(IF($C295="","Falta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",""),LEN(IF($C295="","Falta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",""))-3)))</f>
        <v/>
      </c>
      <c r="S295" s="64">
        <f>IF(NOT((COUNTA($B295:$D295)+COUNTA($G295:$L295)+COUNTA($Q295))&gt;0),"",IF(AND($V295="Sub",N($U295)&gt;0),IF(ISNUMBER(INDEX($AM$5:$AM$1000,$U295-4)),DATE(YEAR(INDEX($AM$5:$AM$1000,$U295-4)),MONTH(INDEX($AM$5:$AM$1000,$U295-4)),1),IF(ISNUMBER(INDEX($AN$5:$AN$1000,$U295-4)),DATE(YEAR(INDEX($AN$5:$AN$1000,$U295-4)),MONTH(INDEX($AN$5:$AN$1000,$U295-4)),1),MesCiclo)),IF(ISNUMBER($AM295),DATE(YEAR($AM295),MONTH($AM295),1),IF(ISNUMBER($AN295),DATE(YEAR($AN295),MONTH($AN295),1),MesCiclo))))</f>
        <v/>
      </c>
      <c r="T295" s="62">
        <f>IF(OR($S295="",$S295&lt;&gt;MesCiclo),"",COUNTIF($S$5:$S295,MesCiclo))</f>
        <v/>
      </c>
      <c r="U295" s="62">
        <f>IF($V295="","",IF($V295="Macro",ROW(),IFERROR(LOOKUP(2,1/($V$5:$V295="Macro"),ROW($V$5:$V295)),0)))</f>
        <v/>
      </c>
      <c r="V295" s="62">
        <f>IF(NOT((COUNTA($B295:$D295)+COUNTA($G295:$L295)+COUNTA($Q295))&gt;0),"",IF($B295="Subactividad","Sub","Macro"))</f>
        <v/>
      </c>
      <c r="W295" s="62">
        <f>IF($V295="Macro",COUNTIFS($U$5:$U$1000,ROW(),$V$5:$V$1000,"Sub"),"")</f>
        <v/>
      </c>
      <c r="X295" s="62">
        <f>IF($V295="","",IF(ISNUMBER($G295),1,IFERROR(LOOKUP(2,1/($I295:$L295&lt;&gt;""),$I295:$L295),0)))</f>
        <v/>
      </c>
      <c r="Y295" s="62">
        <f>IF($V295="","",IF(AND(ISNUMBER($G295),$G295&lt;=IF($S295=MesCiclo,InicioCiclo,$S295+MOD(2-WEEKDAY($S295),7))+6),1,IF(ISNUMBER($I295),$I295,0)))</f>
        <v/>
      </c>
      <c r="Z295" s="62">
        <f>IF($V295="","",IF(AND(ISNUMBER($G295),$G295&lt;=IF($S295=MesCiclo,InicioCiclo,$S295+MOD(2-WEEKDAY($S295),7))+13),1,IF(ISNUMBER($J295),$J295,$Y295)))</f>
        <v/>
      </c>
      <c r="AA295" s="62">
        <f>IF($V295="","",IF(AND(ISNUMBER($G295),$G295&lt;=IF($S295=MesCiclo,InicioCiclo,$S295+MOD(2-WEEKDAY($S295),7))+20),1,IF(ISNUMBER($K295),$K295,$Z295)))</f>
        <v/>
      </c>
      <c r="AB295" s="62">
        <f>IF($V295="","",IF(AND(ISNUMBER($G295),$G295&lt;=IF($S295=MesCiclo,InicioCiclo,$S295+MOD(2-WEEKDAY($S295),7))+27),1,IF(ISNUMBER($L295),$L295,$AA295)))</f>
        <v/>
      </c>
      <c r="AC295" s="62">
        <f>IF($V295="","",IF(AND(ISNUMBER($G295),$G295&lt;=IF($S295=MesCiclo,InicioCiclo,$S295+MOD(2-WEEKDAY($S295),7))+6),1,IF(N($W295)&gt;0,AVERAGEIFS($Y$5:$Y$1000,$U$5:$U$1000,ROW(),$V$5:$V$1000,"Sub"),$Y295)))</f>
        <v/>
      </c>
      <c r="AD295" s="62">
        <f>IF($V295="","",IF(AND(ISNUMBER($G295),$G295&lt;=IF($S295=MesCiclo,InicioCiclo,$S295+MOD(2-WEEKDAY($S295),7))+13),1,IF(N($W295)&gt;0,AVERAGEIFS($Z$5:$Z$1000,$U$5:$U$1000,ROW(),$V$5:$V$1000,"Sub"),$Z295)))</f>
        <v/>
      </c>
      <c r="AE295" s="62">
        <f>IF($V295="","",IF(AND(ISNUMBER($G295),$G295&lt;=IF($S295=MesCiclo,InicioCiclo,$S295+MOD(2-WEEKDAY($S295),7))+20),1,IF(N($W295)&gt;0,AVERAGEIFS($AA$5:$AA$1000,$U$5:$U$1000,ROW(),$V$5:$V$1000,"Sub"),$AA295)))</f>
        <v/>
      </c>
      <c r="AF295" s="62">
        <f>IF($V295="","",IF(AND(ISNUMBER($G295),$G295&lt;=IF($S295=MesCiclo,InicioCiclo,$S295+MOD(2-WEEKDAY($S295),7))+27),1,IF(N($W295)&gt;0,AVERAGEIFS($AB$5:$AB$1000,$U$5:$U$1000,ROW(),$V$5:$V$1000,"Sub"),$AB295)))</f>
        <v/>
      </c>
      <c r="AG295" s="62">
        <f>IF($V295&lt;&gt;"Macro","",IF(COUNTIFS($S$5:$S$1000,$S295,$V$5:$V$1000,"Macro",$H$5:$H$1000,"&gt;0")=0,1/COUNTIFS($S$5:$S$1000,$S295,$V$5:$V$1000,"Macro"),IF(AND(ISNUMBER($H295),N($H295)&gt;0),$H295,SUMIFS($H$5:$H$1000,$S$5:$S$1000,$S295,$V$5:$V$1000,"Macro")/COUNTIFS($S$5:$S$1000,$S295,$V$5:$V$1000,"Macro",$H$5:$H$1000,"&gt;0"))/(COUNTIFS($S$5:$S$1000,$S295,$V$5:$V$1000,"Macro")*SUMIFS($H$5:$H$1000,$S$5:$S$1000,$S295,$V$5:$V$1000,"Macro")/COUNTIFS($S$5:$S$1000,$S295,$V$5:$V$1000,"Macro",$H$5:$H$1000,"&gt;0"))))</f>
        <v/>
      </c>
      <c r="AH295" s="62">
        <f>IF(NOT(AND($D295&lt;&gt;"",$V295="Macro")),"",IFERROR(CHOOSE(MATCH($D295,ListaPuestos,0),MATCH("[Jefatura] "&amp;$C295,'Cronograma R. Operacional'!$C$5:$C$1000,0),MATCH("[Jefatura] "&amp;$C295,'Cronograma R. Normativo'!$C$5:$C$1000,0),MATCH("[Jefatura] "&amp;$C295,'Cronograma R. Financiero'!$C$5:$C$1000,0),MATCH("[Jefatura] "&amp;$C295,'Cronograma Asistente Técnico'!$C$5:$C$1000,0)),0))</f>
        <v/>
      </c>
      <c r="AI295" s="62">
        <f>IF(AND(AND($D295&lt;&gt;"",$V295="Macro"),$S295=MesCiclo),COUNTIFS($D$5:$D295,$D295,$S$5:$S295,MesCiclo,$V$5:$V295,"Macro"),"")</f>
        <v/>
      </c>
      <c r="AJ295" s="62">
        <f>IF($AI295="","",$D295&amp;"|"&amp;$AI295)</f>
        <v/>
      </c>
      <c r="AK295" s="62">
        <f>IF(AND($D295&lt;&gt;"",$V295="Macro"),$D295&amp;"|"&amp;$C295,"")</f>
        <v/>
      </c>
      <c r="AL295" s="62">
        <f>""</f>
        <v/>
      </c>
      <c r="AM295" s="62">
        <f>IF(N($AL295)&gt;0,INDEX(rIni_ADM,$AL295),IF(ISNUMBER($E295),$E295,""))</f>
        <v/>
      </c>
      <c r="AN295" s="62">
        <f>IF(N($AL295)&gt;0,INDEX(rLim_ADM,$AL295),IF(ISNUMBER($F295),$F295,""))</f>
        <v/>
      </c>
    </row>
    <row r="296">
      <c r="A296" s="56">
        <f>IF(NOT((COUNTA($B296:$D296)+COUNTA($G296:$L296)+COUNTA($Q296))&gt;0),"",IF($V296="Macro",COUNTIFS($V$5:$V296,"Macro",$S$5:$S296,$S296),IF(N($U296)=0,"?",COUNTIFS(INDEX($V$5:$V$1000,1):INDEX($V$5:$V$1000,$U296-4),"Macro",INDEX($S$5:$S$1000,1):INDEX($S$5:$S$1000,$U296-4),INDEX($S$5:$S$1000,$U296-4))&amp;"."&amp;COUNTIFS($U$5:$U296,$U296,$V$5:$V296,"Sub"))))</f>
        <v/>
      </c>
      <c r="B296" s="57" t="n"/>
      <c r="C296" s="58" t="n"/>
      <c r="D296" s="58" t="n"/>
      <c r="E296" s="59" t="n"/>
      <c r="F296" s="59" t="n"/>
      <c r="G296" s="59" t="n"/>
      <c r="H296" s="60" t="n"/>
      <c r="I296" s="60" t="n"/>
      <c r="J296" s="60" t="n"/>
      <c r="K296" s="60" t="n"/>
      <c r="L296" s="60" t="n"/>
      <c r="M296" s="61">
        <f>IF(NOT((COUNTA($B296:$D296)+COUNTA($G296:$L296)+COUNTA($Q296))&gt;0),"",IF(AND($D296&lt;&gt;"",$V296="Macro"),IF(N($AH296)&gt;0,N(CHOOSE(MATCH($D296,ListaPuestos,0),INDEX('Cronograma R. Operacional'!$M$5:$M$1000,$AH296),INDEX('Cronograma R. Normativo'!$M$5:$M$1000,$AH296),INDEX('Cronograma R. Financiero'!$M$5:$M$1000,$AH296),INDEX('Cronograma Asistente Técnico'!$M$5:$M$1000,$AH296))),0),IF(ISNUMBER($G296),1,IF(N($W296)&gt;0,AVERAGEIFS($X$5:$X$1000,$U$5:$U$1000,ROW(),$V$5:$V$1000,"Sub"),$X296))))</f>
        <v/>
      </c>
      <c r="N296" s="56">
        <f>IF($M296="","",IF($M296&gt;=1,"Completado",IF($M296&gt;0,"En curso","Pendiente")))</f>
        <v/>
      </c>
      <c r="O296" s="56">
        <f>IF(NOT((COUNTA($B296:$D296)+COUNTA($G296:$L296)+COUNTA($Q296))&gt;0),"",IF(AND(AND($D296&lt;&gt;"",$V296="Macro"),N($AH296)&gt;0),CHOOSE(MATCH($D296,ListaPuestos,0),INDEX('Cronograma R. Operacional'!$O$5:$O$1000,$AH296),INDEX('Cronograma R. Normativo'!$O$5:$O$1000,$AH296),INDEX('Cronograma R. Financiero'!$O$5:$O$1000,$AH296),INDEX('Cronograma Asistente Técnico'!$O$5:$O$1000,$AH296))&amp;"",IF(ISNUMBER($G296),IF(AND(ISNUMBER($AN296),$G296&gt;$AN296),"Cumplida con "&amp;($G296-$AN296)&amp;IF($G296-$AN296=1," día"," días")&amp;" de retraso","Cumplida"),IF(N($M296)&gt;=1,"Cumplida",IF(NOT(ISNUMBER($AN296)),"Sin fecha límite",IF($AN296&lt;FechaRef,"Vencida hace "&amp;(FechaRef-$AN296)&amp;IF(FechaRef-$AN296=1," día"," días"),IF($AN296=FechaRef,"Vence hoy",IF($AN296-FechaRef&lt;=DiasAlerta,"Vence en "&amp;($AN296-FechaRef)&amp;IF($AN296-FechaRef=1," día"," días"),"En plazo"))))))))</f>
        <v/>
      </c>
      <c r="P296" s="62">
        <f>IF(NOT((COUNTA($B296:$D296)+COUNTA($G296:$L296)+COUNTA($Q296))&gt;0),"",IF($D296="","Propia",IF($V296&lt;&gt;"Macro","Solo se delegan macroactividades",IF(N($AH296)&gt;0,"✔ Recibida por "&amp;$D296,"⚠ "&amp;$D296&amp;" aún no la agrega"))))</f>
        <v/>
      </c>
      <c r="Q296" s="58" t="n"/>
      <c r="R296" s="63">
        <f>IF(NOT((COUNTA($B296:$D296)+COUNTA($G296:$L296)+COUNTA($Q296))&gt;0),"",IF((IF($C296="","Falta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",""))="","✔ OK","⚠ "&amp;LEFT(IF($C296="","Falta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",""),LEN(IF($C296="","Falta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",""))-3)))</f>
        <v/>
      </c>
      <c r="S296" s="64">
        <f>IF(NOT((COUNTA($B296:$D296)+COUNTA($G296:$L296)+COUNTA($Q296))&gt;0),"",IF(AND($V296="Sub",N($U296)&gt;0),IF(ISNUMBER(INDEX($AM$5:$AM$1000,$U296-4)),DATE(YEAR(INDEX($AM$5:$AM$1000,$U296-4)),MONTH(INDEX($AM$5:$AM$1000,$U296-4)),1),IF(ISNUMBER(INDEX($AN$5:$AN$1000,$U296-4)),DATE(YEAR(INDEX($AN$5:$AN$1000,$U296-4)),MONTH(INDEX($AN$5:$AN$1000,$U296-4)),1),MesCiclo)),IF(ISNUMBER($AM296),DATE(YEAR($AM296),MONTH($AM296),1),IF(ISNUMBER($AN296),DATE(YEAR($AN296),MONTH($AN296),1),MesCiclo))))</f>
        <v/>
      </c>
      <c r="T296" s="62">
        <f>IF(OR($S296="",$S296&lt;&gt;MesCiclo),"",COUNTIF($S$5:$S296,MesCiclo))</f>
        <v/>
      </c>
      <c r="U296" s="62">
        <f>IF($V296="","",IF($V296="Macro",ROW(),IFERROR(LOOKUP(2,1/($V$5:$V296="Macro"),ROW($V$5:$V296)),0)))</f>
        <v/>
      </c>
      <c r="V296" s="62">
        <f>IF(NOT((COUNTA($B296:$D296)+COUNTA($G296:$L296)+COUNTA($Q296))&gt;0),"",IF($B296="Subactividad","Sub","Macro"))</f>
        <v/>
      </c>
      <c r="W296" s="62">
        <f>IF($V296="Macro",COUNTIFS($U$5:$U$1000,ROW(),$V$5:$V$1000,"Sub"),"")</f>
        <v/>
      </c>
      <c r="X296" s="62">
        <f>IF($V296="","",IF(ISNUMBER($G296),1,IFERROR(LOOKUP(2,1/($I296:$L296&lt;&gt;""),$I296:$L296),0)))</f>
        <v/>
      </c>
      <c r="Y296" s="62">
        <f>IF($V296="","",IF(AND(ISNUMBER($G296),$G296&lt;=IF($S296=MesCiclo,InicioCiclo,$S296+MOD(2-WEEKDAY($S296),7))+6),1,IF(ISNUMBER($I296),$I296,0)))</f>
        <v/>
      </c>
      <c r="Z296" s="62">
        <f>IF($V296="","",IF(AND(ISNUMBER($G296),$G296&lt;=IF($S296=MesCiclo,InicioCiclo,$S296+MOD(2-WEEKDAY($S296),7))+13),1,IF(ISNUMBER($J296),$J296,$Y296)))</f>
        <v/>
      </c>
      <c r="AA296" s="62">
        <f>IF($V296="","",IF(AND(ISNUMBER($G296),$G296&lt;=IF($S296=MesCiclo,InicioCiclo,$S296+MOD(2-WEEKDAY($S296),7))+20),1,IF(ISNUMBER($K296),$K296,$Z296)))</f>
        <v/>
      </c>
      <c r="AB296" s="62">
        <f>IF($V296="","",IF(AND(ISNUMBER($G296),$G296&lt;=IF($S296=MesCiclo,InicioCiclo,$S296+MOD(2-WEEKDAY($S296),7))+27),1,IF(ISNUMBER($L296),$L296,$AA296)))</f>
        <v/>
      </c>
      <c r="AC296" s="62">
        <f>IF($V296="","",IF(AND(ISNUMBER($G296),$G296&lt;=IF($S296=MesCiclo,InicioCiclo,$S296+MOD(2-WEEKDAY($S296),7))+6),1,IF(N($W296)&gt;0,AVERAGEIFS($Y$5:$Y$1000,$U$5:$U$1000,ROW(),$V$5:$V$1000,"Sub"),$Y296)))</f>
        <v/>
      </c>
      <c r="AD296" s="62">
        <f>IF($V296="","",IF(AND(ISNUMBER($G296),$G296&lt;=IF($S296=MesCiclo,InicioCiclo,$S296+MOD(2-WEEKDAY($S296),7))+13),1,IF(N($W296)&gt;0,AVERAGEIFS($Z$5:$Z$1000,$U$5:$U$1000,ROW(),$V$5:$V$1000,"Sub"),$Z296)))</f>
        <v/>
      </c>
      <c r="AE296" s="62">
        <f>IF($V296="","",IF(AND(ISNUMBER($G296),$G296&lt;=IF($S296=MesCiclo,InicioCiclo,$S296+MOD(2-WEEKDAY($S296),7))+20),1,IF(N($W296)&gt;0,AVERAGEIFS($AA$5:$AA$1000,$U$5:$U$1000,ROW(),$V$5:$V$1000,"Sub"),$AA296)))</f>
        <v/>
      </c>
      <c r="AF296" s="62">
        <f>IF($V296="","",IF(AND(ISNUMBER($G296),$G296&lt;=IF($S296=MesCiclo,InicioCiclo,$S296+MOD(2-WEEKDAY($S296),7))+27),1,IF(N($W296)&gt;0,AVERAGEIFS($AB$5:$AB$1000,$U$5:$U$1000,ROW(),$V$5:$V$1000,"Sub"),$AB296)))</f>
        <v/>
      </c>
      <c r="AG296" s="62">
        <f>IF($V296&lt;&gt;"Macro","",IF(COUNTIFS($S$5:$S$1000,$S296,$V$5:$V$1000,"Macro",$H$5:$H$1000,"&gt;0")=0,1/COUNTIFS($S$5:$S$1000,$S296,$V$5:$V$1000,"Macro"),IF(AND(ISNUMBER($H296),N($H296)&gt;0),$H296,SUMIFS($H$5:$H$1000,$S$5:$S$1000,$S296,$V$5:$V$1000,"Macro")/COUNTIFS($S$5:$S$1000,$S296,$V$5:$V$1000,"Macro",$H$5:$H$1000,"&gt;0"))/(COUNTIFS($S$5:$S$1000,$S296,$V$5:$V$1000,"Macro")*SUMIFS($H$5:$H$1000,$S$5:$S$1000,$S296,$V$5:$V$1000,"Macro")/COUNTIFS($S$5:$S$1000,$S296,$V$5:$V$1000,"Macro",$H$5:$H$1000,"&gt;0"))))</f>
        <v/>
      </c>
      <c r="AH296" s="62">
        <f>IF(NOT(AND($D296&lt;&gt;"",$V296="Macro")),"",IFERROR(CHOOSE(MATCH($D296,ListaPuestos,0),MATCH("[Jefatura] "&amp;$C296,'Cronograma R. Operacional'!$C$5:$C$1000,0),MATCH("[Jefatura] "&amp;$C296,'Cronograma R. Normativo'!$C$5:$C$1000,0),MATCH("[Jefatura] "&amp;$C296,'Cronograma R. Financiero'!$C$5:$C$1000,0),MATCH("[Jefatura] "&amp;$C296,'Cronograma Asistente Técnico'!$C$5:$C$1000,0)),0))</f>
        <v/>
      </c>
      <c r="AI296" s="62">
        <f>IF(AND(AND($D296&lt;&gt;"",$V296="Macro"),$S296=MesCiclo),COUNTIFS($D$5:$D296,$D296,$S$5:$S296,MesCiclo,$V$5:$V296,"Macro"),"")</f>
        <v/>
      </c>
      <c r="AJ296" s="62">
        <f>IF($AI296="","",$D296&amp;"|"&amp;$AI296)</f>
        <v/>
      </c>
      <c r="AK296" s="62">
        <f>IF(AND($D296&lt;&gt;"",$V296="Macro"),$D296&amp;"|"&amp;$C296,"")</f>
        <v/>
      </c>
      <c r="AL296" s="62">
        <f>""</f>
        <v/>
      </c>
      <c r="AM296" s="62">
        <f>IF(N($AL296)&gt;0,INDEX(rIni_ADM,$AL296),IF(ISNUMBER($E296),$E296,""))</f>
        <v/>
      </c>
      <c r="AN296" s="62">
        <f>IF(N($AL296)&gt;0,INDEX(rLim_ADM,$AL296),IF(ISNUMBER($F296),$F296,""))</f>
        <v/>
      </c>
    </row>
    <row r="297">
      <c r="A297" s="56">
        <f>IF(NOT((COUNTA($B297:$D297)+COUNTA($G297:$L297)+COUNTA($Q297))&gt;0),"",IF($V297="Macro",COUNTIFS($V$5:$V297,"Macro",$S$5:$S297,$S297),IF(N($U297)=0,"?",COUNTIFS(INDEX($V$5:$V$1000,1):INDEX($V$5:$V$1000,$U297-4),"Macro",INDEX($S$5:$S$1000,1):INDEX($S$5:$S$1000,$U297-4),INDEX($S$5:$S$1000,$U297-4))&amp;"."&amp;COUNTIFS($U$5:$U297,$U297,$V$5:$V297,"Sub"))))</f>
        <v/>
      </c>
      <c r="B297" s="57" t="n"/>
      <c r="C297" s="58" t="n"/>
      <c r="D297" s="58" t="n"/>
      <c r="E297" s="59" t="n"/>
      <c r="F297" s="59" t="n"/>
      <c r="G297" s="59" t="n"/>
      <c r="H297" s="60" t="n"/>
      <c r="I297" s="60" t="n"/>
      <c r="J297" s="60" t="n"/>
      <c r="K297" s="60" t="n"/>
      <c r="L297" s="60" t="n"/>
      <c r="M297" s="61">
        <f>IF(NOT((COUNTA($B297:$D297)+COUNTA($G297:$L297)+COUNTA($Q297))&gt;0),"",IF(AND($D297&lt;&gt;"",$V297="Macro"),IF(N($AH297)&gt;0,N(CHOOSE(MATCH($D297,ListaPuestos,0),INDEX('Cronograma R. Operacional'!$M$5:$M$1000,$AH297),INDEX('Cronograma R. Normativo'!$M$5:$M$1000,$AH297),INDEX('Cronograma R. Financiero'!$M$5:$M$1000,$AH297),INDEX('Cronograma Asistente Técnico'!$M$5:$M$1000,$AH297))),0),IF(ISNUMBER($G297),1,IF(N($W297)&gt;0,AVERAGEIFS($X$5:$X$1000,$U$5:$U$1000,ROW(),$V$5:$V$1000,"Sub"),$X297))))</f>
        <v/>
      </c>
      <c r="N297" s="56">
        <f>IF($M297="","",IF($M297&gt;=1,"Completado",IF($M297&gt;0,"En curso","Pendiente")))</f>
        <v/>
      </c>
      <c r="O297" s="56">
        <f>IF(NOT((COUNTA($B297:$D297)+COUNTA($G297:$L297)+COUNTA($Q297))&gt;0),"",IF(AND(AND($D297&lt;&gt;"",$V297="Macro"),N($AH297)&gt;0),CHOOSE(MATCH($D297,ListaPuestos,0),INDEX('Cronograma R. Operacional'!$O$5:$O$1000,$AH297),INDEX('Cronograma R. Normativo'!$O$5:$O$1000,$AH297),INDEX('Cronograma R. Financiero'!$O$5:$O$1000,$AH297),INDEX('Cronograma Asistente Técnico'!$O$5:$O$1000,$AH297))&amp;"",IF(ISNUMBER($G297),IF(AND(ISNUMBER($AN297),$G297&gt;$AN297),"Cumplida con "&amp;($G297-$AN297)&amp;IF($G297-$AN297=1," día"," días")&amp;" de retraso","Cumplida"),IF(N($M297)&gt;=1,"Cumplida",IF(NOT(ISNUMBER($AN297)),"Sin fecha límite",IF($AN297&lt;FechaRef,"Vencida hace "&amp;(FechaRef-$AN297)&amp;IF(FechaRef-$AN297=1," día"," días"),IF($AN297=FechaRef,"Vence hoy",IF($AN297-FechaRef&lt;=DiasAlerta,"Vence en "&amp;($AN297-FechaRef)&amp;IF($AN297-FechaRef=1," día"," días"),"En plazo"))))))))</f>
        <v/>
      </c>
      <c r="P297" s="62">
        <f>IF(NOT((COUNTA($B297:$D297)+COUNTA($G297:$L297)+COUNTA($Q297))&gt;0),"",IF($D297="","Propia",IF($V297&lt;&gt;"Macro","Solo se delegan macroactividades",IF(N($AH297)&gt;0,"✔ Recibida por "&amp;$D297,"⚠ "&amp;$D297&amp;" aún no la agrega"))))</f>
        <v/>
      </c>
      <c r="Q297" s="58" t="n"/>
      <c r="R297" s="63">
        <f>IF(NOT((COUNTA($B297:$D297)+COUNTA($G297:$L297)+COUNTA($Q297))&gt;0),"",IF((IF($C297="","Falta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",""))="","✔ OK","⚠ "&amp;LEFT(IF($C297="","Falta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",""),LEN(IF($C297="","Falta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",""))-3)))</f>
        <v/>
      </c>
      <c r="S297" s="64">
        <f>IF(NOT((COUNTA($B297:$D297)+COUNTA($G297:$L297)+COUNTA($Q297))&gt;0),"",IF(AND($V297="Sub",N($U297)&gt;0),IF(ISNUMBER(INDEX($AM$5:$AM$1000,$U297-4)),DATE(YEAR(INDEX($AM$5:$AM$1000,$U297-4)),MONTH(INDEX($AM$5:$AM$1000,$U297-4)),1),IF(ISNUMBER(INDEX($AN$5:$AN$1000,$U297-4)),DATE(YEAR(INDEX($AN$5:$AN$1000,$U297-4)),MONTH(INDEX($AN$5:$AN$1000,$U297-4)),1),MesCiclo)),IF(ISNUMBER($AM297),DATE(YEAR($AM297),MONTH($AM297),1),IF(ISNUMBER($AN297),DATE(YEAR($AN297),MONTH($AN297),1),MesCiclo))))</f>
        <v/>
      </c>
      <c r="T297" s="62">
        <f>IF(OR($S297="",$S297&lt;&gt;MesCiclo),"",COUNTIF($S$5:$S297,MesCiclo))</f>
        <v/>
      </c>
      <c r="U297" s="62">
        <f>IF($V297="","",IF($V297="Macro",ROW(),IFERROR(LOOKUP(2,1/($V$5:$V297="Macro"),ROW($V$5:$V297)),0)))</f>
        <v/>
      </c>
      <c r="V297" s="62">
        <f>IF(NOT((COUNTA($B297:$D297)+COUNTA($G297:$L297)+COUNTA($Q297))&gt;0),"",IF($B297="Subactividad","Sub","Macro"))</f>
        <v/>
      </c>
      <c r="W297" s="62">
        <f>IF($V297="Macro",COUNTIFS($U$5:$U$1000,ROW(),$V$5:$V$1000,"Sub"),"")</f>
        <v/>
      </c>
      <c r="X297" s="62">
        <f>IF($V297="","",IF(ISNUMBER($G297),1,IFERROR(LOOKUP(2,1/($I297:$L297&lt;&gt;""),$I297:$L297),0)))</f>
        <v/>
      </c>
      <c r="Y297" s="62">
        <f>IF($V297="","",IF(AND(ISNUMBER($G297),$G297&lt;=IF($S297=MesCiclo,InicioCiclo,$S297+MOD(2-WEEKDAY($S297),7))+6),1,IF(ISNUMBER($I297),$I297,0)))</f>
        <v/>
      </c>
      <c r="Z297" s="62">
        <f>IF($V297="","",IF(AND(ISNUMBER($G297),$G297&lt;=IF($S297=MesCiclo,InicioCiclo,$S297+MOD(2-WEEKDAY($S297),7))+13),1,IF(ISNUMBER($J297),$J297,$Y297)))</f>
        <v/>
      </c>
      <c r="AA297" s="62">
        <f>IF($V297="","",IF(AND(ISNUMBER($G297),$G297&lt;=IF($S297=MesCiclo,InicioCiclo,$S297+MOD(2-WEEKDAY($S297),7))+20),1,IF(ISNUMBER($K297),$K297,$Z297)))</f>
        <v/>
      </c>
      <c r="AB297" s="62">
        <f>IF($V297="","",IF(AND(ISNUMBER($G297),$G297&lt;=IF($S297=MesCiclo,InicioCiclo,$S297+MOD(2-WEEKDAY($S297),7))+27),1,IF(ISNUMBER($L297),$L297,$AA297)))</f>
        <v/>
      </c>
      <c r="AC297" s="62">
        <f>IF($V297="","",IF(AND(ISNUMBER($G297),$G297&lt;=IF($S297=MesCiclo,InicioCiclo,$S297+MOD(2-WEEKDAY($S297),7))+6),1,IF(N($W297)&gt;0,AVERAGEIFS($Y$5:$Y$1000,$U$5:$U$1000,ROW(),$V$5:$V$1000,"Sub"),$Y297)))</f>
        <v/>
      </c>
      <c r="AD297" s="62">
        <f>IF($V297="","",IF(AND(ISNUMBER($G297),$G297&lt;=IF($S297=MesCiclo,InicioCiclo,$S297+MOD(2-WEEKDAY($S297),7))+13),1,IF(N($W297)&gt;0,AVERAGEIFS($Z$5:$Z$1000,$U$5:$U$1000,ROW(),$V$5:$V$1000,"Sub"),$Z297)))</f>
        <v/>
      </c>
      <c r="AE297" s="62">
        <f>IF($V297="","",IF(AND(ISNUMBER($G297),$G297&lt;=IF($S297=MesCiclo,InicioCiclo,$S297+MOD(2-WEEKDAY($S297),7))+20),1,IF(N($W297)&gt;0,AVERAGEIFS($AA$5:$AA$1000,$U$5:$U$1000,ROW(),$V$5:$V$1000,"Sub"),$AA297)))</f>
        <v/>
      </c>
      <c r="AF297" s="62">
        <f>IF($V297="","",IF(AND(ISNUMBER($G297),$G297&lt;=IF($S297=MesCiclo,InicioCiclo,$S297+MOD(2-WEEKDAY($S297),7))+27),1,IF(N($W297)&gt;0,AVERAGEIFS($AB$5:$AB$1000,$U$5:$U$1000,ROW(),$V$5:$V$1000,"Sub"),$AB297)))</f>
        <v/>
      </c>
      <c r="AG297" s="62">
        <f>IF($V297&lt;&gt;"Macro","",IF(COUNTIFS($S$5:$S$1000,$S297,$V$5:$V$1000,"Macro",$H$5:$H$1000,"&gt;0")=0,1/COUNTIFS($S$5:$S$1000,$S297,$V$5:$V$1000,"Macro"),IF(AND(ISNUMBER($H297),N($H297)&gt;0),$H297,SUMIFS($H$5:$H$1000,$S$5:$S$1000,$S297,$V$5:$V$1000,"Macro")/COUNTIFS($S$5:$S$1000,$S297,$V$5:$V$1000,"Macro",$H$5:$H$1000,"&gt;0"))/(COUNTIFS($S$5:$S$1000,$S297,$V$5:$V$1000,"Macro")*SUMIFS($H$5:$H$1000,$S$5:$S$1000,$S297,$V$5:$V$1000,"Macro")/COUNTIFS($S$5:$S$1000,$S297,$V$5:$V$1000,"Macro",$H$5:$H$1000,"&gt;0"))))</f>
        <v/>
      </c>
      <c r="AH297" s="62">
        <f>IF(NOT(AND($D297&lt;&gt;"",$V297="Macro")),"",IFERROR(CHOOSE(MATCH($D297,ListaPuestos,0),MATCH("[Jefatura] "&amp;$C297,'Cronograma R. Operacional'!$C$5:$C$1000,0),MATCH("[Jefatura] "&amp;$C297,'Cronograma R. Normativo'!$C$5:$C$1000,0),MATCH("[Jefatura] "&amp;$C297,'Cronograma R. Financiero'!$C$5:$C$1000,0),MATCH("[Jefatura] "&amp;$C297,'Cronograma Asistente Técnico'!$C$5:$C$1000,0)),0))</f>
        <v/>
      </c>
      <c r="AI297" s="62">
        <f>IF(AND(AND($D297&lt;&gt;"",$V297="Macro"),$S297=MesCiclo),COUNTIFS($D$5:$D297,$D297,$S$5:$S297,MesCiclo,$V$5:$V297,"Macro"),"")</f>
        <v/>
      </c>
      <c r="AJ297" s="62">
        <f>IF($AI297="","",$D297&amp;"|"&amp;$AI297)</f>
        <v/>
      </c>
      <c r="AK297" s="62">
        <f>IF(AND($D297&lt;&gt;"",$V297="Macro"),$D297&amp;"|"&amp;$C297,"")</f>
        <v/>
      </c>
      <c r="AL297" s="62">
        <f>""</f>
        <v/>
      </c>
      <c r="AM297" s="62">
        <f>IF(N($AL297)&gt;0,INDEX(rIni_ADM,$AL297),IF(ISNUMBER($E297),$E297,""))</f>
        <v/>
      </c>
      <c r="AN297" s="62">
        <f>IF(N($AL297)&gt;0,INDEX(rLim_ADM,$AL297),IF(ISNUMBER($F297),$F297,""))</f>
        <v/>
      </c>
    </row>
    <row r="298">
      <c r="A298" s="56">
        <f>IF(NOT((COUNTA($B298:$D298)+COUNTA($G298:$L298)+COUNTA($Q298))&gt;0),"",IF($V298="Macro",COUNTIFS($V$5:$V298,"Macro",$S$5:$S298,$S298),IF(N($U298)=0,"?",COUNTIFS(INDEX($V$5:$V$1000,1):INDEX($V$5:$V$1000,$U298-4),"Macro",INDEX($S$5:$S$1000,1):INDEX($S$5:$S$1000,$U298-4),INDEX($S$5:$S$1000,$U298-4))&amp;"."&amp;COUNTIFS($U$5:$U298,$U298,$V$5:$V298,"Sub"))))</f>
        <v/>
      </c>
      <c r="B298" s="57" t="n"/>
      <c r="C298" s="58" t="n"/>
      <c r="D298" s="58" t="n"/>
      <c r="E298" s="59" t="n"/>
      <c r="F298" s="59" t="n"/>
      <c r="G298" s="59" t="n"/>
      <c r="H298" s="60" t="n"/>
      <c r="I298" s="60" t="n"/>
      <c r="J298" s="60" t="n"/>
      <c r="K298" s="60" t="n"/>
      <c r="L298" s="60" t="n"/>
      <c r="M298" s="61">
        <f>IF(NOT((COUNTA($B298:$D298)+COUNTA($G298:$L298)+COUNTA($Q298))&gt;0),"",IF(AND($D298&lt;&gt;"",$V298="Macro"),IF(N($AH298)&gt;0,N(CHOOSE(MATCH($D298,ListaPuestos,0),INDEX('Cronograma R. Operacional'!$M$5:$M$1000,$AH298),INDEX('Cronograma R. Normativo'!$M$5:$M$1000,$AH298),INDEX('Cronograma R. Financiero'!$M$5:$M$1000,$AH298),INDEX('Cronograma Asistente Técnico'!$M$5:$M$1000,$AH298))),0),IF(ISNUMBER($G298),1,IF(N($W298)&gt;0,AVERAGEIFS($X$5:$X$1000,$U$5:$U$1000,ROW(),$V$5:$V$1000,"Sub"),$X298))))</f>
        <v/>
      </c>
      <c r="N298" s="56">
        <f>IF($M298="","",IF($M298&gt;=1,"Completado",IF($M298&gt;0,"En curso","Pendiente")))</f>
        <v/>
      </c>
      <c r="O298" s="56">
        <f>IF(NOT((COUNTA($B298:$D298)+COUNTA($G298:$L298)+COUNTA($Q298))&gt;0),"",IF(AND(AND($D298&lt;&gt;"",$V298="Macro"),N($AH298)&gt;0),CHOOSE(MATCH($D298,ListaPuestos,0),INDEX('Cronograma R. Operacional'!$O$5:$O$1000,$AH298),INDEX('Cronograma R. Normativo'!$O$5:$O$1000,$AH298),INDEX('Cronograma R. Financiero'!$O$5:$O$1000,$AH298),INDEX('Cronograma Asistente Técnico'!$O$5:$O$1000,$AH298))&amp;"",IF(ISNUMBER($G298),IF(AND(ISNUMBER($AN298),$G298&gt;$AN298),"Cumplida con "&amp;($G298-$AN298)&amp;IF($G298-$AN298=1," día"," días")&amp;" de retraso","Cumplida"),IF(N($M298)&gt;=1,"Cumplida",IF(NOT(ISNUMBER($AN298)),"Sin fecha límite",IF($AN298&lt;FechaRef,"Vencida hace "&amp;(FechaRef-$AN298)&amp;IF(FechaRef-$AN298=1," día"," días"),IF($AN298=FechaRef,"Vence hoy",IF($AN298-FechaRef&lt;=DiasAlerta,"Vence en "&amp;($AN298-FechaRef)&amp;IF($AN298-FechaRef=1," día"," días"),"En plazo"))))))))</f>
        <v/>
      </c>
      <c r="P298" s="62">
        <f>IF(NOT((COUNTA($B298:$D298)+COUNTA($G298:$L298)+COUNTA($Q298))&gt;0),"",IF($D298="","Propia",IF($V298&lt;&gt;"Macro","Solo se delegan macroactividades",IF(N($AH298)&gt;0,"✔ Recibida por "&amp;$D298,"⚠ "&amp;$D298&amp;" aún no la agrega"))))</f>
        <v/>
      </c>
      <c r="Q298" s="58" t="n"/>
      <c r="R298" s="63">
        <f>IF(NOT((COUNTA($B298:$D298)+COUNTA($G298:$L298)+COUNTA($Q298))&gt;0),"",IF((IF($C298="","Falta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",""))="","✔ OK","⚠ "&amp;LEFT(IF($C298="","Falta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",""),LEN(IF($C298="","Falta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",""))-3)))</f>
        <v/>
      </c>
      <c r="S298" s="64">
        <f>IF(NOT((COUNTA($B298:$D298)+COUNTA($G298:$L298)+COUNTA($Q298))&gt;0),"",IF(AND($V298="Sub",N($U298)&gt;0),IF(ISNUMBER(INDEX($AM$5:$AM$1000,$U298-4)),DATE(YEAR(INDEX($AM$5:$AM$1000,$U298-4)),MONTH(INDEX($AM$5:$AM$1000,$U298-4)),1),IF(ISNUMBER(INDEX($AN$5:$AN$1000,$U298-4)),DATE(YEAR(INDEX($AN$5:$AN$1000,$U298-4)),MONTH(INDEX($AN$5:$AN$1000,$U298-4)),1),MesCiclo)),IF(ISNUMBER($AM298),DATE(YEAR($AM298),MONTH($AM298),1),IF(ISNUMBER($AN298),DATE(YEAR($AN298),MONTH($AN298),1),MesCiclo))))</f>
        <v/>
      </c>
      <c r="T298" s="62">
        <f>IF(OR($S298="",$S298&lt;&gt;MesCiclo),"",COUNTIF($S$5:$S298,MesCiclo))</f>
        <v/>
      </c>
      <c r="U298" s="62">
        <f>IF($V298="","",IF($V298="Macro",ROW(),IFERROR(LOOKUP(2,1/($V$5:$V298="Macro"),ROW($V$5:$V298)),0)))</f>
        <v/>
      </c>
      <c r="V298" s="62">
        <f>IF(NOT((COUNTA($B298:$D298)+COUNTA($G298:$L298)+COUNTA($Q298))&gt;0),"",IF($B298="Subactividad","Sub","Macro"))</f>
        <v/>
      </c>
      <c r="W298" s="62">
        <f>IF($V298="Macro",COUNTIFS($U$5:$U$1000,ROW(),$V$5:$V$1000,"Sub"),"")</f>
        <v/>
      </c>
      <c r="X298" s="62">
        <f>IF($V298="","",IF(ISNUMBER($G298),1,IFERROR(LOOKUP(2,1/($I298:$L298&lt;&gt;""),$I298:$L298),0)))</f>
        <v/>
      </c>
      <c r="Y298" s="62">
        <f>IF($V298="","",IF(AND(ISNUMBER($G298),$G298&lt;=IF($S298=MesCiclo,InicioCiclo,$S298+MOD(2-WEEKDAY($S298),7))+6),1,IF(ISNUMBER($I298),$I298,0)))</f>
        <v/>
      </c>
      <c r="Z298" s="62">
        <f>IF($V298="","",IF(AND(ISNUMBER($G298),$G298&lt;=IF($S298=MesCiclo,InicioCiclo,$S298+MOD(2-WEEKDAY($S298),7))+13),1,IF(ISNUMBER($J298),$J298,$Y298)))</f>
        <v/>
      </c>
      <c r="AA298" s="62">
        <f>IF($V298="","",IF(AND(ISNUMBER($G298),$G298&lt;=IF($S298=MesCiclo,InicioCiclo,$S298+MOD(2-WEEKDAY($S298),7))+20),1,IF(ISNUMBER($K298),$K298,$Z298)))</f>
        <v/>
      </c>
      <c r="AB298" s="62">
        <f>IF($V298="","",IF(AND(ISNUMBER($G298),$G298&lt;=IF($S298=MesCiclo,InicioCiclo,$S298+MOD(2-WEEKDAY($S298),7))+27),1,IF(ISNUMBER($L298),$L298,$AA298)))</f>
        <v/>
      </c>
      <c r="AC298" s="62">
        <f>IF($V298="","",IF(AND(ISNUMBER($G298),$G298&lt;=IF($S298=MesCiclo,InicioCiclo,$S298+MOD(2-WEEKDAY($S298),7))+6),1,IF(N($W298)&gt;0,AVERAGEIFS($Y$5:$Y$1000,$U$5:$U$1000,ROW(),$V$5:$V$1000,"Sub"),$Y298)))</f>
        <v/>
      </c>
      <c r="AD298" s="62">
        <f>IF($V298="","",IF(AND(ISNUMBER($G298),$G298&lt;=IF($S298=MesCiclo,InicioCiclo,$S298+MOD(2-WEEKDAY($S298),7))+13),1,IF(N($W298)&gt;0,AVERAGEIFS($Z$5:$Z$1000,$U$5:$U$1000,ROW(),$V$5:$V$1000,"Sub"),$Z298)))</f>
        <v/>
      </c>
      <c r="AE298" s="62">
        <f>IF($V298="","",IF(AND(ISNUMBER($G298),$G298&lt;=IF($S298=MesCiclo,InicioCiclo,$S298+MOD(2-WEEKDAY($S298),7))+20),1,IF(N($W298)&gt;0,AVERAGEIFS($AA$5:$AA$1000,$U$5:$U$1000,ROW(),$V$5:$V$1000,"Sub"),$AA298)))</f>
        <v/>
      </c>
      <c r="AF298" s="62">
        <f>IF($V298="","",IF(AND(ISNUMBER($G298),$G298&lt;=IF($S298=MesCiclo,InicioCiclo,$S298+MOD(2-WEEKDAY($S298),7))+27),1,IF(N($W298)&gt;0,AVERAGEIFS($AB$5:$AB$1000,$U$5:$U$1000,ROW(),$V$5:$V$1000,"Sub"),$AB298)))</f>
        <v/>
      </c>
      <c r="AG298" s="62">
        <f>IF($V298&lt;&gt;"Macro","",IF(COUNTIFS($S$5:$S$1000,$S298,$V$5:$V$1000,"Macro",$H$5:$H$1000,"&gt;0")=0,1/COUNTIFS($S$5:$S$1000,$S298,$V$5:$V$1000,"Macro"),IF(AND(ISNUMBER($H298),N($H298)&gt;0),$H298,SUMIFS($H$5:$H$1000,$S$5:$S$1000,$S298,$V$5:$V$1000,"Macro")/COUNTIFS($S$5:$S$1000,$S298,$V$5:$V$1000,"Macro",$H$5:$H$1000,"&gt;0"))/(COUNTIFS($S$5:$S$1000,$S298,$V$5:$V$1000,"Macro")*SUMIFS($H$5:$H$1000,$S$5:$S$1000,$S298,$V$5:$V$1000,"Macro")/COUNTIFS($S$5:$S$1000,$S298,$V$5:$V$1000,"Macro",$H$5:$H$1000,"&gt;0"))))</f>
        <v/>
      </c>
      <c r="AH298" s="62">
        <f>IF(NOT(AND($D298&lt;&gt;"",$V298="Macro")),"",IFERROR(CHOOSE(MATCH($D298,ListaPuestos,0),MATCH("[Jefatura] "&amp;$C298,'Cronograma R. Operacional'!$C$5:$C$1000,0),MATCH("[Jefatura] "&amp;$C298,'Cronograma R. Normativo'!$C$5:$C$1000,0),MATCH("[Jefatura] "&amp;$C298,'Cronograma R. Financiero'!$C$5:$C$1000,0),MATCH("[Jefatura] "&amp;$C298,'Cronograma Asistente Técnico'!$C$5:$C$1000,0)),0))</f>
        <v/>
      </c>
      <c r="AI298" s="62">
        <f>IF(AND(AND($D298&lt;&gt;"",$V298="Macro"),$S298=MesCiclo),COUNTIFS($D$5:$D298,$D298,$S$5:$S298,MesCiclo,$V$5:$V298,"Macro"),"")</f>
        <v/>
      </c>
      <c r="AJ298" s="62">
        <f>IF($AI298="","",$D298&amp;"|"&amp;$AI298)</f>
        <v/>
      </c>
      <c r="AK298" s="62">
        <f>IF(AND($D298&lt;&gt;"",$V298="Macro"),$D298&amp;"|"&amp;$C298,"")</f>
        <v/>
      </c>
      <c r="AL298" s="62">
        <f>""</f>
        <v/>
      </c>
      <c r="AM298" s="62">
        <f>IF(N($AL298)&gt;0,INDEX(rIni_ADM,$AL298),IF(ISNUMBER($E298),$E298,""))</f>
        <v/>
      </c>
      <c r="AN298" s="62">
        <f>IF(N($AL298)&gt;0,INDEX(rLim_ADM,$AL298),IF(ISNUMBER($F298),$F298,""))</f>
        <v/>
      </c>
    </row>
    <row r="299">
      <c r="A299" s="56">
        <f>IF(NOT((COUNTA($B299:$D299)+COUNTA($G299:$L299)+COUNTA($Q299))&gt;0),"",IF($V299="Macro",COUNTIFS($V$5:$V299,"Macro",$S$5:$S299,$S299),IF(N($U299)=0,"?",COUNTIFS(INDEX($V$5:$V$1000,1):INDEX($V$5:$V$1000,$U299-4),"Macro",INDEX($S$5:$S$1000,1):INDEX($S$5:$S$1000,$U299-4),INDEX($S$5:$S$1000,$U299-4))&amp;"."&amp;COUNTIFS($U$5:$U299,$U299,$V$5:$V299,"Sub"))))</f>
        <v/>
      </c>
      <c r="B299" s="57" t="n"/>
      <c r="C299" s="58" t="n"/>
      <c r="D299" s="58" t="n"/>
      <c r="E299" s="59" t="n"/>
      <c r="F299" s="59" t="n"/>
      <c r="G299" s="59" t="n"/>
      <c r="H299" s="60" t="n"/>
      <c r="I299" s="60" t="n"/>
      <c r="J299" s="60" t="n"/>
      <c r="K299" s="60" t="n"/>
      <c r="L299" s="60" t="n"/>
      <c r="M299" s="61">
        <f>IF(NOT((COUNTA($B299:$D299)+COUNTA($G299:$L299)+COUNTA($Q299))&gt;0),"",IF(AND($D299&lt;&gt;"",$V299="Macro"),IF(N($AH299)&gt;0,N(CHOOSE(MATCH($D299,ListaPuestos,0),INDEX('Cronograma R. Operacional'!$M$5:$M$1000,$AH299),INDEX('Cronograma R. Normativo'!$M$5:$M$1000,$AH299),INDEX('Cronograma R. Financiero'!$M$5:$M$1000,$AH299),INDEX('Cronograma Asistente Técnico'!$M$5:$M$1000,$AH299))),0),IF(ISNUMBER($G299),1,IF(N($W299)&gt;0,AVERAGEIFS($X$5:$X$1000,$U$5:$U$1000,ROW(),$V$5:$V$1000,"Sub"),$X299))))</f>
        <v/>
      </c>
      <c r="N299" s="56">
        <f>IF($M299="","",IF($M299&gt;=1,"Completado",IF($M299&gt;0,"En curso","Pendiente")))</f>
        <v/>
      </c>
      <c r="O299" s="56">
        <f>IF(NOT((COUNTA($B299:$D299)+COUNTA($G299:$L299)+COUNTA($Q299))&gt;0),"",IF(AND(AND($D299&lt;&gt;"",$V299="Macro"),N($AH299)&gt;0),CHOOSE(MATCH($D299,ListaPuestos,0),INDEX('Cronograma R. Operacional'!$O$5:$O$1000,$AH299),INDEX('Cronograma R. Normativo'!$O$5:$O$1000,$AH299),INDEX('Cronograma R. Financiero'!$O$5:$O$1000,$AH299),INDEX('Cronograma Asistente Técnico'!$O$5:$O$1000,$AH299))&amp;"",IF(ISNUMBER($G299),IF(AND(ISNUMBER($AN299),$G299&gt;$AN299),"Cumplida con "&amp;($G299-$AN299)&amp;IF($G299-$AN299=1," día"," días")&amp;" de retraso","Cumplida"),IF(N($M299)&gt;=1,"Cumplida",IF(NOT(ISNUMBER($AN299)),"Sin fecha límite",IF($AN299&lt;FechaRef,"Vencida hace "&amp;(FechaRef-$AN299)&amp;IF(FechaRef-$AN299=1," día"," días"),IF($AN299=FechaRef,"Vence hoy",IF($AN299-FechaRef&lt;=DiasAlerta,"Vence en "&amp;($AN299-FechaRef)&amp;IF($AN299-FechaRef=1," día"," días"),"En plazo"))))))))</f>
        <v/>
      </c>
      <c r="P299" s="62">
        <f>IF(NOT((COUNTA($B299:$D299)+COUNTA($G299:$L299)+COUNTA($Q299))&gt;0),"",IF($D299="","Propia",IF($V299&lt;&gt;"Macro","Solo se delegan macroactividades",IF(N($AH299)&gt;0,"✔ Recibida por "&amp;$D299,"⚠ "&amp;$D299&amp;" aún no la agrega"))))</f>
        <v/>
      </c>
      <c r="Q299" s="58" t="n"/>
      <c r="R299" s="63">
        <f>IF(NOT((COUNTA($B299:$D299)+COUNTA($G299:$L299)+COUNTA($Q299))&gt;0),"",IF((IF($C299="","Falta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",""))="","✔ OK","⚠ "&amp;LEFT(IF($C299="","Falta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",""),LEN(IF($C299="","Falta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",""))-3)))</f>
        <v/>
      </c>
      <c r="S299" s="64">
        <f>IF(NOT((COUNTA($B299:$D299)+COUNTA($G299:$L299)+COUNTA($Q299))&gt;0),"",IF(AND($V299="Sub",N($U299)&gt;0),IF(ISNUMBER(INDEX($AM$5:$AM$1000,$U299-4)),DATE(YEAR(INDEX($AM$5:$AM$1000,$U299-4)),MONTH(INDEX($AM$5:$AM$1000,$U299-4)),1),IF(ISNUMBER(INDEX($AN$5:$AN$1000,$U299-4)),DATE(YEAR(INDEX($AN$5:$AN$1000,$U299-4)),MONTH(INDEX($AN$5:$AN$1000,$U299-4)),1),MesCiclo)),IF(ISNUMBER($AM299),DATE(YEAR($AM299),MONTH($AM299),1),IF(ISNUMBER($AN299),DATE(YEAR($AN299),MONTH($AN299),1),MesCiclo))))</f>
        <v/>
      </c>
      <c r="T299" s="62">
        <f>IF(OR($S299="",$S299&lt;&gt;MesCiclo),"",COUNTIF($S$5:$S299,MesCiclo))</f>
        <v/>
      </c>
      <c r="U299" s="62">
        <f>IF($V299="","",IF($V299="Macro",ROW(),IFERROR(LOOKUP(2,1/($V$5:$V299="Macro"),ROW($V$5:$V299)),0)))</f>
        <v/>
      </c>
      <c r="V299" s="62">
        <f>IF(NOT((COUNTA($B299:$D299)+COUNTA($G299:$L299)+COUNTA($Q299))&gt;0),"",IF($B299="Subactividad","Sub","Macro"))</f>
        <v/>
      </c>
      <c r="W299" s="62">
        <f>IF($V299="Macro",COUNTIFS($U$5:$U$1000,ROW(),$V$5:$V$1000,"Sub"),"")</f>
        <v/>
      </c>
      <c r="X299" s="62">
        <f>IF($V299="","",IF(ISNUMBER($G299),1,IFERROR(LOOKUP(2,1/($I299:$L299&lt;&gt;""),$I299:$L299),0)))</f>
        <v/>
      </c>
      <c r="Y299" s="62">
        <f>IF($V299="","",IF(AND(ISNUMBER($G299),$G299&lt;=IF($S299=MesCiclo,InicioCiclo,$S299+MOD(2-WEEKDAY($S299),7))+6),1,IF(ISNUMBER($I299),$I299,0)))</f>
        <v/>
      </c>
      <c r="Z299" s="62">
        <f>IF($V299="","",IF(AND(ISNUMBER($G299),$G299&lt;=IF($S299=MesCiclo,InicioCiclo,$S299+MOD(2-WEEKDAY($S299),7))+13),1,IF(ISNUMBER($J299),$J299,$Y299)))</f>
        <v/>
      </c>
      <c r="AA299" s="62">
        <f>IF($V299="","",IF(AND(ISNUMBER($G299),$G299&lt;=IF($S299=MesCiclo,InicioCiclo,$S299+MOD(2-WEEKDAY($S299),7))+20),1,IF(ISNUMBER($K299),$K299,$Z299)))</f>
        <v/>
      </c>
      <c r="AB299" s="62">
        <f>IF($V299="","",IF(AND(ISNUMBER($G299),$G299&lt;=IF($S299=MesCiclo,InicioCiclo,$S299+MOD(2-WEEKDAY($S299),7))+27),1,IF(ISNUMBER($L299),$L299,$AA299)))</f>
        <v/>
      </c>
      <c r="AC299" s="62">
        <f>IF($V299="","",IF(AND(ISNUMBER($G299),$G299&lt;=IF($S299=MesCiclo,InicioCiclo,$S299+MOD(2-WEEKDAY($S299),7))+6),1,IF(N($W299)&gt;0,AVERAGEIFS($Y$5:$Y$1000,$U$5:$U$1000,ROW(),$V$5:$V$1000,"Sub"),$Y299)))</f>
        <v/>
      </c>
      <c r="AD299" s="62">
        <f>IF($V299="","",IF(AND(ISNUMBER($G299),$G299&lt;=IF($S299=MesCiclo,InicioCiclo,$S299+MOD(2-WEEKDAY($S299),7))+13),1,IF(N($W299)&gt;0,AVERAGEIFS($Z$5:$Z$1000,$U$5:$U$1000,ROW(),$V$5:$V$1000,"Sub"),$Z299)))</f>
        <v/>
      </c>
      <c r="AE299" s="62">
        <f>IF($V299="","",IF(AND(ISNUMBER($G299),$G299&lt;=IF($S299=MesCiclo,InicioCiclo,$S299+MOD(2-WEEKDAY($S299),7))+20),1,IF(N($W299)&gt;0,AVERAGEIFS($AA$5:$AA$1000,$U$5:$U$1000,ROW(),$V$5:$V$1000,"Sub"),$AA299)))</f>
        <v/>
      </c>
      <c r="AF299" s="62">
        <f>IF($V299="","",IF(AND(ISNUMBER($G299),$G299&lt;=IF($S299=MesCiclo,InicioCiclo,$S299+MOD(2-WEEKDAY($S299),7))+27),1,IF(N($W299)&gt;0,AVERAGEIFS($AB$5:$AB$1000,$U$5:$U$1000,ROW(),$V$5:$V$1000,"Sub"),$AB299)))</f>
        <v/>
      </c>
      <c r="AG299" s="62">
        <f>IF($V299&lt;&gt;"Macro","",IF(COUNTIFS($S$5:$S$1000,$S299,$V$5:$V$1000,"Macro",$H$5:$H$1000,"&gt;0")=0,1/COUNTIFS($S$5:$S$1000,$S299,$V$5:$V$1000,"Macro"),IF(AND(ISNUMBER($H299),N($H299)&gt;0),$H299,SUMIFS($H$5:$H$1000,$S$5:$S$1000,$S299,$V$5:$V$1000,"Macro")/COUNTIFS($S$5:$S$1000,$S299,$V$5:$V$1000,"Macro",$H$5:$H$1000,"&gt;0"))/(COUNTIFS($S$5:$S$1000,$S299,$V$5:$V$1000,"Macro")*SUMIFS($H$5:$H$1000,$S$5:$S$1000,$S299,$V$5:$V$1000,"Macro")/COUNTIFS($S$5:$S$1000,$S299,$V$5:$V$1000,"Macro",$H$5:$H$1000,"&gt;0"))))</f>
        <v/>
      </c>
      <c r="AH299" s="62">
        <f>IF(NOT(AND($D299&lt;&gt;"",$V299="Macro")),"",IFERROR(CHOOSE(MATCH($D299,ListaPuestos,0),MATCH("[Jefatura] "&amp;$C299,'Cronograma R. Operacional'!$C$5:$C$1000,0),MATCH("[Jefatura] "&amp;$C299,'Cronograma R. Normativo'!$C$5:$C$1000,0),MATCH("[Jefatura] "&amp;$C299,'Cronograma R. Financiero'!$C$5:$C$1000,0),MATCH("[Jefatura] "&amp;$C299,'Cronograma Asistente Técnico'!$C$5:$C$1000,0)),0))</f>
        <v/>
      </c>
      <c r="AI299" s="62">
        <f>IF(AND(AND($D299&lt;&gt;"",$V299="Macro"),$S299=MesCiclo),COUNTIFS($D$5:$D299,$D299,$S$5:$S299,MesCiclo,$V$5:$V299,"Macro"),"")</f>
        <v/>
      </c>
      <c r="AJ299" s="62">
        <f>IF($AI299="","",$D299&amp;"|"&amp;$AI299)</f>
        <v/>
      </c>
      <c r="AK299" s="62">
        <f>IF(AND($D299&lt;&gt;"",$V299="Macro"),$D299&amp;"|"&amp;$C299,"")</f>
        <v/>
      </c>
      <c r="AL299" s="62">
        <f>""</f>
        <v/>
      </c>
      <c r="AM299" s="62">
        <f>IF(N($AL299)&gt;0,INDEX(rIni_ADM,$AL299),IF(ISNUMBER($E299),$E299,""))</f>
        <v/>
      </c>
      <c r="AN299" s="62">
        <f>IF(N($AL299)&gt;0,INDEX(rLim_ADM,$AL299),IF(ISNUMBER($F299),$F299,""))</f>
        <v/>
      </c>
    </row>
    <row r="300">
      <c r="A300" s="56">
        <f>IF(NOT((COUNTA($B300:$D300)+COUNTA($G300:$L300)+COUNTA($Q300))&gt;0),"",IF($V300="Macro",COUNTIFS($V$5:$V300,"Macro",$S$5:$S300,$S300),IF(N($U300)=0,"?",COUNTIFS(INDEX($V$5:$V$1000,1):INDEX($V$5:$V$1000,$U300-4),"Macro",INDEX($S$5:$S$1000,1):INDEX($S$5:$S$1000,$U300-4),INDEX($S$5:$S$1000,$U300-4))&amp;"."&amp;COUNTIFS($U$5:$U300,$U300,$V$5:$V300,"Sub"))))</f>
        <v/>
      </c>
      <c r="B300" s="57" t="n"/>
      <c r="C300" s="58" t="n"/>
      <c r="D300" s="58" t="n"/>
      <c r="E300" s="59" t="n"/>
      <c r="F300" s="59" t="n"/>
      <c r="G300" s="59" t="n"/>
      <c r="H300" s="60" t="n"/>
      <c r="I300" s="60" t="n"/>
      <c r="J300" s="60" t="n"/>
      <c r="K300" s="60" t="n"/>
      <c r="L300" s="60" t="n"/>
      <c r="M300" s="61">
        <f>IF(NOT((COUNTA($B300:$D300)+COUNTA($G300:$L300)+COUNTA($Q300))&gt;0),"",IF(AND($D300&lt;&gt;"",$V300="Macro"),IF(N($AH300)&gt;0,N(CHOOSE(MATCH($D300,ListaPuestos,0),INDEX('Cronograma R. Operacional'!$M$5:$M$1000,$AH300),INDEX('Cronograma R. Normativo'!$M$5:$M$1000,$AH300),INDEX('Cronograma R. Financiero'!$M$5:$M$1000,$AH300),INDEX('Cronograma Asistente Técnico'!$M$5:$M$1000,$AH300))),0),IF(ISNUMBER($G300),1,IF(N($W300)&gt;0,AVERAGEIFS($X$5:$X$1000,$U$5:$U$1000,ROW(),$V$5:$V$1000,"Sub"),$X300))))</f>
        <v/>
      </c>
      <c r="N300" s="56">
        <f>IF($M300="","",IF($M300&gt;=1,"Completado",IF($M300&gt;0,"En curso","Pendiente")))</f>
        <v/>
      </c>
      <c r="O300" s="56">
        <f>IF(NOT((COUNTA($B300:$D300)+COUNTA($G300:$L300)+COUNTA($Q300))&gt;0),"",IF(AND(AND($D300&lt;&gt;"",$V300="Macro"),N($AH300)&gt;0),CHOOSE(MATCH($D300,ListaPuestos,0),INDEX('Cronograma R. Operacional'!$O$5:$O$1000,$AH300),INDEX('Cronograma R. Normativo'!$O$5:$O$1000,$AH300),INDEX('Cronograma R. Financiero'!$O$5:$O$1000,$AH300),INDEX('Cronograma Asistente Técnico'!$O$5:$O$1000,$AH300))&amp;"",IF(ISNUMBER($G300),IF(AND(ISNUMBER($AN300),$G300&gt;$AN300),"Cumplida con "&amp;($G300-$AN300)&amp;IF($G300-$AN300=1," día"," días")&amp;" de retraso","Cumplida"),IF(N($M300)&gt;=1,"Cumplida",IF(NOT(ISNUMBER($AN300)),"Sin fecha límite",IF($AN300&lt;FechaRef,"Vencida hace "&amp;(FechaRef-$AN300)&amp;IF(FechaRef-$AN300=1," día"," días"),IF($AN300=FechaRef,"Vence hoy",IF($AN300-FechaRef&lt;=DiasAlerta,"Vence en "&amp;($AN300-FechaRef)&amp;IF($AN300-FechaRef=1," día"," días"),"En plazo"))))))))</f>
        <v/>
      </c>
      <c r="P300" s="62">
        <f>IF(NOT((COUNTA($B300:$D300)+COUNTA($G300:$L300)+COUNTA($Q300))&gt;0),"",IF($D300="","Propia",IF($V300&lt;&gt;"Macro","Solo se delegan macroactividades",IF(N($AH300)&gt;0,"✔ Recibida por "&amp;$D300,"⚠ "&amp;$D300&amp;" aún no la agrega"))))</f>
        <v/>
      </c>
      <c r="Q300" s="58" t="n"/>
      <c r="R300" s="63">
        <f>IF(NOT((COUNTA($B300:$D300)+COUNTA($G300:$L300)+COUNTA($Q300))&gt;0),"",IF((IF($C300="","Falta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",""))="","✔ OK","⚠ "&amp;LEFT(IF($C300="","Falta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",""),LEN(IF($C300="","Falta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",""))-3)))</f>
        <v/>
      </c>
      <c r="S300" s="64">
        <f>IF(NOT((COUNTA($B300:$D300)+COUNTA($G300:$L300)+COUNTA($Q300))&gt;0),"",IF(AND($V300="Sub",N($U300)&gt;0),IF(ISNUMBER(INDEX($AM$5:$AM$1000,$U300-4)),DATE(YEAR(INDEX($AM$5:$AM$1000,$U300-4)),MONTH(INDEX($AM$5:$AM$1000,$U300-4)),1),IF(ISNUMBER(INDEX($AN$5:$AN$1000,$U300-4)),DATE(YEAR(INDEX($AN$5:$AN$1000,$U300-4)),MONTH(INDEX($AN$5:$AN$1000,$U300-4)),1),MesCiclo)),IF(ISNUMBER($AM300),DATE(YEAR($AM300),MONTH($AM300),1),IF(ISNUMBER($AN300),DATE(YEAR($AN300),MONTH($AN300),1),MesCiclo))))</f>
        <v/>
      </c>
      <c r="T300" s="62">
        <f>IF(OR($S300="",$S300&lt;&gt;MesCiclo),"",COUNTIF($S$5:$S300,MesCiclo))</f>
        <v/>
      </c>
      <c r="U300" s="62">
        <f>IF($V300="","",IF($V300="Macro",ROW(),IFERROR(LOOKUP(2,1/($V$5:$V300="Macro"),ROW($V$5:$V300)),0)))</f>
        <v/>
      </c>
      <c r="V300" s="62">
        <f>IF(NOT((COUNTA($B300:$D300)+COUNTA($G300:$L300)+COUNTA($Q300))&gt;0),"",IF($B300="Subactividad","Sub","Macro"))</f>
        <v/>
      </c>
      <c r="W300" s="62">
        <f>IF($V300="Macro",COUNTIFS($U$5:$U$1000,ROW(),$V$5:$V$1000,"Sub"),"")</f>
        <v/>
      </c>
      <c r="X300" s="62">
        <f>IF($V300="","",IF(ISNUMBER($G300),1,IFERROR(LOOKUP(2,1/($I300:$L300&lt;&gt;""),$I300:$L300),0)))</f>
        <v/>
      </c>
      <c r="Y300" s="62">
        <f>IF($V300="","",IF(AND(ISNUMBER($G300),$G300&lt;=IF($S300=MesCiclo,InicioCiclo,$S300+MOD(2-WEEKDAY($S300),7))+6),1,IF(ISNUMBER($I300),$I300,0)))</f>
        <v/>
      </c>
      <c r="Z300" s="62">
        <f>IF($V300="","",IF(AND(ISNUMBER($G300),$G300&lt;=IF($S300=MesCiclo,InicioCiclo,$S300+MOD(2-WEEKDAY($S300),7))+13),1,IF(ISNUMBER($J300),$J300,$Y300)))</f>
        <v/>
      </c>
      <c r="AA300" s="62">
        <f>IF($V300="","",IF(AND(ISNUMBER($G300),$G300&lt;=IF($S300=MesCiclo,InicioCiclo,$S300+MOD(2-WEEKDAY($S300),7))+20),1,IF(ISNUMBER($K300),$K300,$Z300)))</f>
        <v/>
      </c>
      <c r="AB300" s="62">
        <f>IF($V300="","",IF(AND(ISNUMBER($G300),$G300&lt;=IF($S300=MesCiclo,InicioCiclo,$S300+MOD(2-WEEKDAY($S300),7))+27),1,IF(ISNUMBER($L300),$L300,$AA300)))</f>
        <v/>
      </c>
      <c r="AC300" s="62">
        <f>IF($V300="","",IF(AND(ISNUMBER($G300),$G300&lt;=IF($S300=MesCiclo,InicioCiclo,$S300+MOD(2-WEEKDAY($S300),7))+6),1,IF(N($W300)&gt;0,AVERAGEIFS($Y$5:$Y$1000,$U$5:$U$1000,ROW(),$V$5:$V$1000,"Sub"),$Y300)))</f>
        <v/>
      </c>
      <c r="AD300" s="62">
        <f>IF($V300="","",IF(AND(ISNUMBER($G300),$G300&lt;=IF($S300=MesCiclo,InicioCiclo,$S300+MOD(2-WEEKDAY($S300),7))+13),1,IF(N($W300)&gt;0,AVERAGEIFS($Z$5:$Z$1000,$U$5:$U$1000,ROW(),$V$5:$V$1000,"Sub"),$Z300)))</f>
        <v/>
      </c>
      <c r="AE300" s="62">
        <f>IF($V300="","",IF(AND(ISNUMBER($G300),$G300&lt;=IF($S300=MesCiclo,InicioCiclo,$S300+MOD(2-WEEKDAY($S300),7))+20),1,IF(N($W300)&gt;0,AVERAGEIFS($AA$5:$AA$1000,$U$5:$U$1000,ROW(),$V$5:$V$1000,"Sub"),$AA300)))</f>
        <v/>
      </c>
      <c r="AF300" s="62">
        <f>IF($V300="","",IF(AND(ISNUMBER($G300),$G300&lt;=IF($S300=MesCiclo,InicioCiclo,$S300+MOD(2-WEEKDAY($S300),7))+27),1,IF(N($W300)&gt;0,AVERAGEIFS($AB$5:$AB$1000,$U$5:$U$1000,ROW(),$V$5:$V$1000,"Sub"),$AB300)))</f>
        <v/>
      </c>
      <c r="AG300" s="62">
        <f>IF($V300&lt;&gt;"Macro","",IF(COUNTIFS($S$5:$S$1000,$S300,$V$5:$V$1000,"Macro",$H$5:$H$1000,"&gt;0")=0,1/COUNTIFS($S$5:$S$1000,$S300,$V$5:$V$1000,"Macro"),IF(AND(ISNUMBER($H300),N($H300)&gt;0),$H300,SUMIFS($H$5:$H$1000,$S$5:$S$1000,$S300,$V$5:$V$1000,"Macro")/COUNTIFS($S$5:$S$1000,$S300,$V$5:$V$1000,"Macro",$H$5:$H$1000,"&gt;0"))/(COUNTIFS($S$5:$S$1000,$S300,$V$5:$V$1000,"Macro")*SUMIFS($H$5:$H$1000,$S$5:$S$1000,$S300,$V$5:$V$1000,"Macro")/COUNTIFS($S$5:$S$1000,$S300,$V$5:$V$1000,"Macro",$H$5:$H$1000,"&gt;0"))))</f>
        <v/>
      </c>
      <c r="AH300" s="62">
        <f>IF(NOT(AND($D300&lt;&gt;"",$V300="Macro")),"",IFERROR(CHOOSE(MATCH($D300,ListaPuestos,0),MATCH("[Jefatura] "&amp;$C300,'Cronograma R. Operacional'!$C$5:$C$1000,0),MATCH("[Jefatura] "&amp;$C300,'Cronograma R. Normativo'!$C$5:$C$1000,0),MATCH("[Jefatura] "&amp;$C300,'Cronograma R. Financiero'!$C$5:$C$1000,0),MATCH("[Jefatura] "&amp;$C300,'Cronograma Asistente Técnico'!$C$5:$C$1000,0)),0))</f>
        <v/>
      </c>
      <c r="AI300" s="62">
        <f>IF(AND(AND($D300&lt;&gt;"",$V300="Macro"),$S300=MesCiclo),COUNTIFS($D$5:$D300,$D300,$S$5:$S300,MesCiclo,$V$5:$V300,"Macro"),"")</f>
        <v/>
      </c>
      <c r="AJ300" s="62">
        <f>IF($AI300="","",$D300&amp;"|"&amp;$AI300)</f>
        <v/>
      </c>
      <c r="AK300" s="62">
        <f>IF(AND($D300&lt;&gt;"",$V300="Macro"),$D300&amp;"|"&amp;$C300,"")</f>
        <v/>
      </c>
      <c r="AL300" s="62">
        <f>""</f>
        <v/>
      </c>
      <c r="AM300" s="62">
        <f>IF(N($AL300)&gt;0,INDEX(rIni_ADM,$AL300),IF(ISNUMBER($E300),$E300,""))</f>
        <v/>
      </c>
      <c r="AN300" s="62">
        <f>IF(N($AL300)&gt;0,INDEX(rLim_ADM,$AL300),IF(ISNUMBER($F300),$F300,""))</f>
        <v/>
      </c>
    </row>
    <row r="301">
      <c r="A301" s="56">
        <f>IF(NOT((COUNTA($B301:$D301)+COUNTA($G301:$L301)+COUNTA($Q301))&gt;0),"",IF($V301="Macro",COUNTIFS($V$5:$V301,"Macro",$S$5:$S301,$S301),IF(N($U301)=0,"?",COUNTIFS(INDEX($V$5:$V$1000,1):INDEX($V$5:$V$1000,$U301-4),"Macro",INDEX($S$5:$S$1000,1):INDEX($S$5:$S$1000,$U301-4),INDEX($S$5:$S$1000,$U301-4))&amp;"."&amp;COUNTIFS($U$5:$U301,$U301,$V$5:$V301,"Sub"))))</f>
        <v/>
      </c>
      <c r="B301" s="57" t="n"/>
      <c r="C301" s="58" t="n"/>
      <c r="D301" s="58" t="n"/>
      <c r="E301" s="59" t="n"/>
      <c r="F301" s="59" t="n"/>
      <c r="G301" s="59" t="n"/>
      <c r="H301" s="60" t="n"/>
      <c r="I301" s="60" t="n"/>
      <c r="J301" s="60" t="n"/>
      <c r="K301" s="60" t="n"/>
      <c r="L301" s="60" t="n"/>
      <c r="M301" s="61">
        <f>IF(NOT((COUNTA($B301:$D301)+COUNTA($G301:$L301)+COUNTA($Q301))&gt;0),"",IF(AND($D301&lt;&gt;"",$V301="Macro"),IF(N($AH301)&gt;0,N(CHOOSE(MATCH($D301,ListaPuestos,0),INDEX('Cronograma R. Operacional'!$M$5:$M$1000,$AH301),INDEX('Cronograma R. Normativo'!$M$5:$M$1000,$AH301),INDEX('Cronograma R. Financiero'!$M$5:$M$1000,$AH301),INDEX('Cronograma Asistente Técnico'!$M$5:$M$1000,$AH301))),0),IF(ISNUMBER($G301),1,IF(N($W301)&gt;0,AVERAGEIFS($X$5:$X$1000,$U$5:$U$1000,ROW(),$V$5:$V$1000,"Sub"),$X301))))</f>
        <v/>
      </c>
      <c r="N301" s="56">
        <f>IF($M301="","",IF($M301&gt;=1,"Completado",IF($M301&gt;0,"En curso","Pendiente")))</f>
        <v/>
      </c>
      <c r="O301" s="56">
        <f>IF(NOT((COUNTA($B301:$D301)+COUNTA($G301:$L301)+COUNTA($Q301))&gt;0),"",IF(AND(AND($D301&lt;&gt;"",$V301="Macro"),N($AH301)&gt;0),CHOOSE(MATCH($D301,ListaPuestos,0),INDEX('Cronograma R. Operacional'!$O$5:$O$1000,$AH301),INDEX('Cronograma R. Normativo'!$O$5:$O$1000,$AH301),INDEX('Cronograma R. Financiero'!$O$5:$O$1000,$AH301),INDEX('Cronograma Asistente Técnico'!$O$5:$O$1000,$AH301))&amp;"",IF(ISNUMBER($G301),IF(AND(ISNUMBER($AN301),$G301&gt;$AN301),"Cumplida con "&amp;($G301-$AN301)&amp;IF($G301-$AN301=1," día"," días")&amp;" de retraso","Cumplida"),IF(N($M301)&gt;=1,"Cumplida",IF(NOT(ISNUMBER($AN301)),"Sin fecha límite",IF($AN301&lt;FechaRef,"Vencida hace "&amp;(FechaRef-$AN301)&amp;IF(FechaRef-$AN301=1," día"," días"),IF($AN301=FechaRef,"Vence hoy",IF($AN301-FechaRef&lt;=DiasAlerta,"Vence en "&amp;($AN301-FechaRef)&amp;IF($AN301-FechaRef=1," día"," días"),"En plazo"))))))))</f>
        <v/>
      </c>
      <c r="P301" s="62">
        <f>IF(NOT((COUNTA($B301:$D301)+COUNTA($G301:$L301)+COUNTA($Q301))&gt;0),"",IF($D301="","Propia",IF($V301&lt;&gt;"Macro","Solo se delegan macroactividades",IF(N($AH301)&gt;0,"✔ Recibida por "&amp;$D301,"⚠ "&amp;$D301&amp;" aún no la agrega"))))</f>
        <v/>
      </c>
      <c r="Q301" s="58" t="n"/>
      <c r="R301" s="63">
        <f>IF(NOT((COUNTA($B301:$D301)+COUNTA($G301:$L301)+COUNTA($Q301))&gt;0),"",IF((IF($C301="","Falta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",""))="","✔ OK","⚠ "&amp;LEFT(IF($C301="","Falta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",""),LEN(IF($C301="","Falta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",""))-3)))</f>
        <v/>
      </c>
      <c r="S301" s="64">
        <f>IF(NOT((COUNTA($B301:$D301)+COUNTA($G301:$L301)+COUNTA($Q301))&gt;0),"",IF(AND($V301="Sub",N($U301)&gt;0),IF(ISNUMBER(INDEX($AM$5:$AM$1000,$U301-4)),DATE(YEAR(INDEX($AM$5:$AM$1000,$U301-4)),MONTH(INDEX($AM$5:$AM$1000,$U301-4)),1),IF(ISNUMBER(INDEX($AN$5:$AN$1000,$U301-4)),DATE(YEAR(INDEX($AN$5:$AN$1000,$U301-4)),MONTH(INDEX($AN$5:$AN$1000,$U301-4)),1),MesCiclo)),IF(ISNUMBER($AM301),DATE(YEAR($AM301),MONTH($AM301),1),IF(ISNUMBER($AN301),DATE(YEAR($AN301),MONTH($AN301),1),MesCiclo))))</f>
        <v/>
      </c>
      <c r="T301" s="62">
        <f>IF(OR($S301="",$S301&lt;&gt;MesCiclo),"",COUNTIF($S$5:$S301,MesCiclo))</f>
        <v/>
      </c>
      <c r="U301" s="62">
        <f>IF($V301="","",IF($V301="Macro",ROW(),IFERROR(LOOKUP(2,1/($V$5:$V301="Macro"),ROW($V$5:$V301)),0)))</f>
        <v/>
      </c>
      <c r="V301" s="62">
        <f>IF(NOT((COUNTA($B301:$D301)+COUNTA($G301:$L301)+COUNTA($Q301))&gt;0),"",IF($B301="Subactividad","Sub","Macro"))</f>
        <v/>
      </c>
      <c r="W301" s="62">
        <f>IF($V301="Macro",COUNTIFS($U$5:$U$1000,ROW(),$V$5:$V$1000,"Sub"),"")</f>
        <v/>
      </c>
      <c r="X301" s="62">
        <f>IF($V301="","",IF(ISNUMBER($G301),1,IFERROR(LOOKUP(2,1/($I301:$L301&lt;&gt;""),$I301:$L301),0)))</f>
        <v/>
      </c>
      <c r="Y301" s="62">
        <f>IF($V301="","",IF(AND(ISNUMBER($G301),$G301&lt;=IF($S301=MesCiclo,InicioCiclo,$S301+MOD(2-WEEKDAY($S301),7))+6),1,IF(ISNUMBER($I301),$I301,0)))</f>
        <v/>
      </c>
      <c r="Z301" s="62">
        <f>IF($V301="","",IF(AND(ISNUMBER($G301),$G301&lt;=IF($S301=MesCiclo,InicioCiclo,$S301+MOD(2-WEEKDAY($S301),7))+13),1,IF(ISNUMBER($J301),$J301,$Y301)))</f>
        <v/>
      </c>
      <c r="AA301" s="62">
        <f>IF($V301="","",IF(AND(ISNUMBER($G301),$G301&lt;=IF($S301=MesCiclo,InicioCiclo,$S301+MOD(2-WEEKDAY($S301),7))+20),1,IF(ISNUMBER($K301),$K301,$Z301)))</f>
        <v/>
      </c>
      <c r="AB301" s="62">
        <f>IF($V301="","",IF(AND(ISNUMBER($G301),$G301&lt;=IF($S301=MesCiclo,InicioCiclo,$S301+MOD(2-WEEKDAY($S301),7))+27),1,IF(ISNUMBER($L301),$L301,$AA301)))</f>
        <v/>
      </c>
      <c r="AC301" s="62">
        <f>IF($V301="","",IF(AND(ISNUMBER($G301),$G301&lt;=IF($S301=MesCiclo,InicioCiclo,$S301+MOD(2-WEEKDAY($S301),7))+6),1,IF(N($W301)&gt;0,AVERAGEIFS($Y$5:$Y$1000,$U$5:$U$1000,ROW(),$V$5:$V$1000,"Sub"),$Y301)))</f>
        <v/>
      </c>
      <c r="AD301" s="62">
        <f>IF($V301="","",IF(AND(ISNUMBER($G301),$G301&lt;=IF($S301=MesCiclo,InicioCiclo,$S301+MOD(2-WEEKDAY($S301),7))+13),1,IF(N($W301)&gt;0,AVERAGEIFS($Z$5:$Z$1000,$U$5:$U$1000,ROW(),$V$5:$V$1000,"Sub"),$Z301)))</f>
        <v/>
      </c>
      <c r="AE301" s="62">
        <f>IF($V301="","",IF(AND(ISNUMBER($G301),$G301&lt;=IF($S301=MesCiclo,InicioCiclo,$S301+MOD(2-WEEKDAY($S301),7))+20),1,IF(N($W301)&gt;0,AVERAGEIFS($AA$5:$AA$1000,$U$5:$U$1000,ROW(),$V$5:$V$1000,"Sub"),$AA301)))</f>
        <v/>
      </c>
      <c r="AF301" s="62">
        <f>IF($V301="","",IF(AND(ISNUMBER($G301),$G301&lt;=IF($S301=MesCiclo,InicioCiclo,$S301+MOD(2-WEEKDAY($S301),7))+27),1,IF(N($W301)&gt;0,AVERAGEIFS($AB$5:$AB$1000,$U$5:$U$1000,ROW(),$V$5:$V$1000,"Sub"),$AB301)))</f>
        <v/>
      </c>
      <c r="AG301" s="62">
        <f>IF($V301&lt;&gt;"Macro","",IF(COUNTIFS($S$5:$S$1000,$S301,$V$5:$V$1000,"Macro",$H$5:$H$1000,"&gt;0")=0,1/COUNTIFS($S$5:$S$1000,$S301,$V$5:$V$1000,"Macro"),IF(AND(ISNUMBER($H301),N($H301)&gt;0),$H301,SUMIFS($H$5:$H$1000,$S$5:$S$1000,$S301,$V$5:$V$1000,"Macro")/COUNTIFS($S$5:$S$1000,$S301,$V$5:$V$1000,"Macro",$H$5:$H$1000,"&gt;0"))/(COUNTIFS($S$5:$S$1000,$S301,$V$5:$V$1000,"Macro")*SUMIFS($H$5:$H$1000,$S$5:$S$1000,$S301,$V$5:$V$1000,"Macro")/COUNTIFS($S$5:$S$1000,$S301,$V$5:$V$1000,"Macro",$H$5:$H$1000,"&gt;0"))))</f>
        <v/>
      </c>
      <c r="AH301" s="62">
        <f>IF(NOT(AND($D301&lt;&gt;"",$V301="Macro")),"",IFERROR(CHOOSE(MATCH($D301,ListaPuestos,0),MATCH("[Jefatura] "&amp;$C301,'Cronograma R. Operacional'!$C$5:$C$1000,0),MATCH("[Jefatura] "&amp;$C301,'Cronograma R. Normativo'!$C$5:$C$1000,0),MATCH("[Jefatura] "&amp;$C301,'Cronograma R. Financiero'!$C$5:$C$1000,0),MATCH("[Jefatura] "&amp;$C301,'Cronograma Asistente Técnico'!$C$5:$C$1000,0)),0))</f>
        <v/>
      </c>
      <c r="AI301" s="62">
        <f>IF(AND(AND($D301&lt;&gt;"",$V301="Macro"),$S301=MesCiclo),COUNTIFS($D$5:$D301,$D301,$S$5:$S301,MesCiclo,$V$5:$V301,"Macro"),"")</f>
        <v/>
      </c>
      <c r="AJ301" s="62">
        <f>IF($AI301="","",$D301&amp;"|"&amp;$AI301)</f>
        <v/>
      </c>
      <c r="AK301" s="62">
        <f>IF(AND($D301&lt;&gt;"",$V301="Macro"),$D301&amp;"|"&amp;$C301,"")</f>
        <v/>
      </c>
      <c r="AL301" s="62">
        <f>""</f>
        <v/>
      </c>
      <c r="AM301" s="62">
        <f>IF(N($AL301)&gt;0,INDEX(rIni_ADM,$AL301),IF(ISNUMBER($E301),$E301,""))</f>
        <v/>
      </c>
      <c r="AN301" s="62">
        <f>IF(N($AL301)&gt;0,INDEX(rLim_ADM,$AL301),IF(ISNUMBER($F301),$F301,""))</f>
        <v/>
      </c>
    </row>
    <row r="302">
      <c r="A302" s="56">
        <f>IF(NOT((COUNTA($B302:$D302)+COUNTA($G302:$L302)+COUNTA($Q302))&gt;0),"",IF($V302="Macro",COUNTIFS($V$5:$V302,"Macro",$S$5:$S302,$S302),IF(N($U302)=0,"?",COUNTIFS(INDEX($V$5:$V$1000,1):INDEX($V$5:$V$1000,$U302-4),"Macro",INDEX($S$5:$S$1000,1):INDEX($S$5:$S$1000,$U302-4),INDEX($S$5:$S$1000,$U302-4))&amp;"."&amp;COUNTIFS($U$5:$U302,$U302,$V$5:$V302,"Sub"))))</f>
        <v/>
      </c>
      <c r="B302" s="57" t="n"/>
      <c r="C302" s="58" t="n"/>
      <c r="D302" s="58" t="n"/>
      <c r="E302" s="59" t="n"/>
      <c r="F302" s="59" t="n"/>
      <c r="G302" s="59" t="n"/>
      <c r="H302" s="60" t="n"/>
      <c r="I302" s="60" t="n"/>
      <c r="J302" s="60" t="n"/>
      <c r="K302" s="60" t="n"/>
      <c r="L302" s="60" t="n"/>
      <c r="M302" s="61">
        <f>IF(NOT((COUNTA($B302:$D302)+COUNTA($G302:$L302)+COUNTA($Q302))&gt;0),"",IF(AND($D302&lt;&gt;"",$V302="Macro"),IF(N($AH302)&gt;0,N(CHOOSE(MATCH($D302,ListaPuestos,0),INDEX('Cronograma R. Operacional'!$M$5:$M$1000,$AH302),INDEX('Cronograma R. Normativo'!$M$5:$M$1000,$AH302),INDEX('Cronograma R. Financiero'!$M$5:$M$1000,$AH302),INDEX('Cronograma Asistente Técnico'!$M$5:$M$1000,$AH302))),0),IF(ISNUMBER($G302),1,IF(N($W302)&gt;0,AVERAGEIFS($X$5:$X$1000,$U$5:$U$1000,ROW(),$V$5:$V$1000,"Sub"),$X302))))</f>
        <v/>
      </c>
      <c r="N302" s="56">
        <f>IF($M302="","",IF($M302&gt;=1,"Completado",IF($M302&gt;0,"En curso","Pendiente")))</f>
        <v/>
      </c>
      <c r="O302" s="56">
        <f>IF(NOT((COUNTA($B302:$D302)+COUNTA($G302:$L302)+COUNTA($Q302))&gt;0),"",IF(AND(AND($D302&lt;&gt;"",$V302="Macro"),N($AH302)&gt;0),CHOOSE(MATCH($D302,ListaPuestos,0),INDEX('Cronograma R. Operacional'!$O$5:$O$1000,$AH302),INDEX('Cronograma R. Normativo'!$O$5:$O$1000,$AH302),INDEX('Cronograma R. Financiero'!$O$5:$O$1000,$AH302),INDEX('Cronograma Asistente Técnico'!$O$5:$O$1000,$AH302))&amp;"",IF(ISNUMBER($G302),IF(AND(ISNUMBER($AN302),$G302&gt;$AN302),"Cumplida con "&amp;($G302-$AN302)&amp;IF($G302-$AN302=1," día"," días")&amp;" de retraso","Cumplida"),IF(N($M302)&gt;=1,"Cumplida",IF(NOT(ISNUMBER($AN302)),"Sin fecha límite",IF($AN302&lt;FechaRef,"Vencida hace "&amp;(FechaRef-$AN302)&amp;IF(FechaRef-$AN302=1," día"," días"),IF($AN302=FechaRef,"Vence hoy",IF($AN302-FechaRef&lt;=DiasAlerta,"Vence en "&amp;($AN302-FechaRef)&amp;IF($AN302-FechaRef=1," día"," días"),"En plazo"))))))))</f>
        <v/>
      </c>
      <c r="P302" s="62">
        <f>IF(NOT((COUNTA($B302:$D302)+COUNTA($G302:$L302)+COUNTA($Q302))&gt;0),"",IF($D302="","Propia",IF($V302&lt;&gt;"Macro","Solo se delegan macroactividades",IF(N($AH302)&gt;0,"✔ Recibida por "&amp;$D302,"⚠ "&amp;$D302&amp;" aún no la agrega"))))</f>
        <v/>
      </c>
      <c r="Q302" s="58" t="n"/>
      <c r="R302" s="63">
        <f>IF(NOT((COUNTA($B302:$D302)+COUNTA($G302:$L302)+COUNTA($Q302))&gt;0),"",IF((IF($C302="","Falta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",""))="","✔ OK","⚠ "&amp;LEFT(IF($C302="","Falta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",""),LEN(IF($C302="","Falta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",""))-3)))</f>
        <v/>
      </c>
      <c r="S302" s="64">
        <f>IF(NOT((COUNTA($B302:$D302)+COUNTA($G302:$L302)+COUNTA($Q302))&gt;0),"",IF(AND($V302="Sub",N($U302)&gt;0),IF(ISNUMBER(INDEX($AM$5:$AM$1000,$U302-4)),DATE(YEAR(INDEX($AM$5:$AM$1000,$U302-4)),MONTH(INDEX($AM$5:$AM$1000,$U302-4)),1),IF(ISNUMBER(INDEX($AN$5:$AN$1000,$U302-4)),DATE(YEAR(INDEX($AN$5:$AN$1000,$U302-4)),MONTH(INDEX($AN$5:$AN$1000,$U302-4)),1),MesCiclo)),IF(ISNUMBER($AM302),DATE(YEAR($AM302),MONTH($AM302),1),IF(ISNUMBER($AN302),DATE(YEAR($AN302),MONTH($AN302),1),MesCiclo))))</f>
        <v/>
      </c>
      <c r="T302" s="62">
        <f>IF(OR($S302="",$S302&lt;&gt;MesCiclo),"",COUNTIF($S$5:$S302,MesCiclo))</f>
        <v/>
      </c>
      <c r="U302" s="62">
        <f>IF($V302="","",IF($V302="Macro",ROW(),IFERROR(LOOKUP(2,1/($V$5:$V302="Macro"),ROW($V$5:$V302)),0)))</f>
        <v/>
      </c>
      <c r="V302" s="62">
        <f>IF(NOT((COUNTA($B302:$D302)+COUNTA($G302:$L302)+COUNTA($Q302))&gt;0),"",IF($B302="Subactividad","Sub","Macro"))</f>
        <v/>
      </c>
      <c r="W302" s="62">
        <f>IF($V302="Macro",COUNTIFS($U$5:$U$1000,ROW(),$V$5:$V$1000,"Sub"),"")</f>
        <v/>
      </c>
      <c r="X302" s="62">
        <f>IF($V302="","",IF(ISNUMBER($G302),1,IFERROR(LOOKUP(2,1/($I302:$L302&lt;&gt;""),$I302:$L302),0)))</f>
        <v/>
      </c>
      <c r="Y302" s="62">
        <f>IF($V302="","",IF(AND(ISNUMBER($G302),$G302&lt;=IF($S302=MesCiclo,InicioCiclo,$S302+MOD(2-WEEKDAY($S302),7))+6),1,IF(ISNUMBER($I302),$I302,0)))</f>
        <v/>
      </c>
      <c r="Z302" s="62">
        <f>IF($V302="","",IF(AND(ISNUMBER($G302),$G302&lt;=IF($S302=MesCiclo,InicioCiclo,$S302+MOD(2-WEEKDAY($S302),7))+13),1,IF(ISNUMBER($J302),$J302,$Y302)))</f>
        <v/>
      </c>
      <c r="AA302" s="62">
        <f>IF($V302="","",IF(AND(ISNUMBER($G302),$G302&lt;=IF($S302=MesCiclo,InicioCiclo,$S302+MOD(2-WEEKDAY($S302),7))+20),1,IF(ISNUMBER($K302),$K302,$Z302)))</f>
        <v/>
      </c>
      <c r="AB302" s="62">
        <f>IF($V302="","",IF(AND(ISNUMBER($G302),$G302&lt;=IF($S302=MesCiclo,InicioCiclo,$S302+MOD(2-WEEKDAY($S302),7))+27),1,IF(ISNUMBER($L302),$L302,$AA302)))</f>
        <v/>
      </c>
      <c r="AC302" s="62">
        <f>IF($V302="","",IF(AND(ISNUMBER($G302),$G302&lt;=IF($S302=MesCiclo,InicioCiclo,$S302+MOD(2-WEEKDAY($S302),7))+6),1,IF(N($W302)&gt;0,AVERAGEIFS($Y$5:$Y$1000,$U$5:$U$1000,ROW(),$V$5:$V$1000,"Sub"),$Y302)))</f>
        <v/>
      </c>
      <c r="AD302" s="62">
        <f>IF($V302="","",IF(AND(ISNUMBER($G302),$G302&lt;=IF($S302=MesCiclo,InicioCiclo,$S302+MOD(2-WEEKDAY($S302),7))+13),1,IF(N($W302)&gt;0,AVERAGEIFS($Z$5:$Z$1000,$U$5:$U$1000,ROW(),$V$5:$V$1000,"Sub"),$Z302)))</f>
        <v/>
      </c>
      <c r="AE302" s="62">
        <f>IF($V302="","",IF(AND(ISNUMBER($G302),$G302&lt;=IF($S302=MesCiclo,InicioCiclo,$S302+MOD(2-WEEKDAY($S302),7))+20),1,IF(N($W302)&gt;0,AVERAGEIFS($AA$5:$AA$1000,$U$5:$U$1000,ROW(),$V$5:$V$1000,"Sub"),$AA302)))</f>
        <v/>
      </c>
      <c r="AF302" s="62">
        <f>IF($V302="","",IF(AND(ISNUMBER($G302),$G302&lt;=IF($S302=MesCiclo,InicioCiclo,$S302+MOD(2-WEEKDAY($S302),7))+27),1,IF(N($W302)&gt;0,AVERAGEIFS($AB$5:$AB$1000,$U$5:$U$1000,ROW(),$V$5:$V$1000,"Sub"),$AB302)))</f>
        <v/>
      </c>
      <c r="AG302" s="62">
        <f>IF($V302&lt;&gt;"Macro","",IF(COUNTIFS($S$5:$S$1000,$S302,$V$5:$V$1000,"Macro",$H$5:$H$1000,"&gt;0")=0,1/COUNTIFS($S$5:$S$1000,$S302,$V$5:$V$1000,"Macro"),IF(AND(ISNUMBER($H302),N($H302)&gt;0),$H302,SUMIFS($H$5:$H$1000,$S$5:$S$1000,$S302,$V$5:$V$1000,"Macro")/COUNTIFS($S$5:$S$1000,$S302,$V$5:$V$1000,"Macro",$H$5:$H$1000,"&gt;0"))/(COUNTIFS($S$5:$S$1000,$S302,$V$5:$V$1000,"Macro")*SUMIFS($H$5:$H$1000,$S$5:$S$1000,$S302,$V$5:$V$1000,"Macro")/COUNTIFS($S$5:$S$1000,$S302,$V$5:$V$1000,"Macro",$H$5:$H$1000,"&gt;0"))))</f>
        <v/>
      </c>
      <c r="AH302" s="62">
        <f>IF(NOT(AND($D302&lt;&gt;"",$V302="Macro")),"",IFERROR(CHOOSE(MATCH($D302,ListaPuestos,0),MATCH("[Jefatura] "&amp;$C302,'Cronograma R. Operacional'!$C$5:$C$1000,0),MATCH("[Jefatura] "&amp;$C302,'Cronograma R. Normativo'!$C$5:$C$1000,0),MATCH("[Jefatura] "&amp;$C302,'Cronograma R. Financiero'!$C$5:$C$1000,0),MATCH("[Jefatura] "&amp;$C302,'Cronograma Asistente Técnico'!$C$5:$C$1000,0)),0))</f>
        <v/>
      </c>
      <c r="AI302" s="62">
        <f>IF(AND(AND($D302&lt;&gt;"",$V302="Macro"),$S302=MesCiclo),COUNTIFS($D$5:$D302,$D302,$S$5:$S302,MesCiclo,$V$5:$V302,"Macro"),"")</f>
        <v/>
      </c>
      <c r="AJ302" s="62">
        <f>IF($AI302="","",$D302&amp;"|"&amp;$AI302)</f>
        <v/>
      </c>
      <c r="AK302" s="62">
        <f>IF(AND($D302&lt;&gt;"",$V302="Macro"),$D302&amp;"|"&amp;$C302,"")</f>
        <v/>
      </c>
      <c r="AL302" s="62">
        <f>""</f>
        <v/>
      </c>
      <c r="AM302" s="62">
        <f>IF(N($AL302)&gt;0,INDEX(rIni_ADM,$AL302),IF(ISNUMBER($E302),$E302,""))</f>
        <v/>
      </c>
      <c r="AN302" s="62">
        <f>IF(N($AL302)&gt;0,INDEX(rLim_ADM,$AL302),IF(ISNUMBER($F302),$F302,""))</f>
        <v/>
      </c>
    </row>
    <row r="303">
      <c r="A303" s="56">
        <f>IF(NOT((COUNTA($B303:$D303)+COUNTA($G303:$L303)+COUNTA($Q303))&gt;0),"",IF($V303="Macro",COUNTIFS($V$5:$V303,"Macro",$S$5:$S303,$S303),IF(N($U303)=0,"?",COUNTIFS(INDEX($V$5:$V$1000,1):INDEX($V$5:$V$1000,$U303-4),"Macro",INDEX($S$5:$S$1000,1):INDEX($S$5:$S$1000,$U303-4),INDEX($S$5:$S$1000,$U303-4))&amp;"."&amp;COUNTIFS($U$5:$U303,$U303,$V$5:$V303,"Sub"))))</f>
        <v/>
      </c>
      <c r="B303" s="57" t="n"/>
      <c r="C303" s="58" t="n"/>
      <c r="D303" s="58" t="n"/>
      <c r="E303" s="59" t="n"/>
      <c r="F303" s="59" t="n"/>
      <c r="G303" s="59" t="n"/>
      <c r="H303" s="60" t="n"/>
      <c r="I303" s="60" t="n"/>
      <c r="J303" s="60" t="n"/>
      <c r="K303" s="60" t="n"/>
      <c r="L303" s="60" t="n"/>
      <c r="M303" s="61">
        <f>IF(NOT((COUNTA($B303:$D303)+COUNTA($G303:$L303)+COUNTA($Q303))&gt;0),"",IF(AND($D303&lt;&gt;"",$V303="Macro"),IF(N($AH303)&gt;0,N(CHOOSE(MATCH($D303,ListaPuestos,0),INDEX('Cronograma R. Operacional'!$M$5:$M$1000,$AH303),INDEX('Cronograma R. Normativo'!$M$5:$M$1000,$AH303),INDEX('Cronograma R. Financiero'!$M$5:$M$1000,$AH303),INDEX('Cronograma Asistente Técnico'!$M$5:$M$1000,$AH303))),0),IF(ISNUMBER($G303),1,IF(N($W303)&gt;0,AVERAGEIFS($X$5:$X$1000,$U$5:$U$1000,ROW(),$V$5:$V$1000,"Sub"),$X303))))</f>
        <v/>
      </c>
      <c r="N303" s="56">
        <f>IF($M303="","",IF($M303&gt;=1,"Completado",IF($M303&gt;0,"En curso","Pendiente")))</f>
        <v/>
      </c>
      <c r="O303" s="56">
        <f>IF(NOT((COUNTA($B303:$D303)+COUNTA($G303:$L303)+COUNTA($Q303))&gt;0),"",IF(AND(AND($D303&lt;&gt;"",$V303="Macro"),N($AH303)&gt;0),CHOOSE(MATCH($D303,ListaPuestos,0),INDEX('Cronograma R. Operacional'!$O$5:$O$1000,$AH303),INDEX('Cronograma R. Normativo'!$O$5:$O$1000,$AH303),INDEX('Cronograma R. Financiero'!$O$5:$O$1000,$AH303),INDEX('Cronograma Asistente Técnico'!$O$5:$O$1000,$AH303))&amp;"",IF(ISNUMBER($G303),IF(AND(ISNUMBER($AN303),$G303&gt;$AN303),"Cumplida con "&amp;($G303-$AN303)&amp;IF($G303-$AN303=1," día"," días")&amp;" de retraso","Cumplida"),IF(N($M303)&gt;=1,"Cumplida",IF(NOT(ISNUMBER($AN303)),"Sin fecha límite",IF($AN303&lt;FechaRef,"Vencida hace "&amp;(FechaRef-$AN303)&amp;IF(FechaRef-$AN303=1," día"," días"),IF($AN303=FechaRef,"Vence hoy",IF($AN303-FechaRef&lt;=DiasAlerta,"Vence en "&amp;($AN303-FechaRef)&amp;IF($AN303-FechaRef=1," día"," días"),"En plazo"))))))))</f>
        <v/>
      </c>
      <c r="P303" s="62">
        <f>IF(NOT((COUNTA($B303:$D303)+COUNTA($G303:$L303)+COUNTA($Q303))&gt;0),"",IF($D303="","Propia",IF($V303&lt;&gt;"Macro","Solo se delegan macroactividades",IF(N($AH303)&gt;0,"✔ Recibida por "&amp;$D303,"⚠ "&amp;$D303&amp;" aún no la agrega"))))</f>
        <v/>
      </c>
      <c r="Q303" s="58" t="n"/>
      <c r="R303" s="63">
        <f>IF(NOT((COUNTA($B303:$D303)+COUNTA($G303:$L303)+COUNTA($Q303))&gt;0),"",IF((IF($C303="","Falta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",""))="","✔ OK","⚠ "&amp;LEFT(IF($C303="","Falta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",""),LEN(IF($C303="","Falta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",""))-3)))</f>
        <v/>
      </c>
      <c r="S303" s="64">
        <f>IF(NOT((COUNTA($B303:$D303)+COUNTA($G303:$L303)+COUNTA($Q303))&gt;0),"",IF(AND($V303="Sub",N($U303)&gt;0),IF(ISNUMBER(INDEX($AM$5:$AM$1000,$U303-4)),DATE(YEAR(INDEX($AM$5:$AM$1000,$U303-4)),MONTH(INDEX($AM$5:$AM$1000,$U303-4)),1),IF(ISNUMBER(INDEX($AN$5:$AN$1000,$U303-4)),DATE(YEAR(INDEX($AN$5:$AN$1000,$U303-4)),MONTH(INDEX($AN$5:$AN$1000,$U303-4)),1),MesCiclo)),IF(ISNUMBER($AM303),DATE(YEAR($AM303),MONTH($AM303),1),IF(ISNUMBER($AN303),DATE(YEAR($AN303),MONTH($AN303),1),MesCiclo))))</f>
        <v/>
      </c>
      <c r="T303" s="62">
        <f>IF(OR($S303="",$S303&lt;&gt;MesCiclo),"",COUNTIF($S$5:$S303,MesCiclo))</f>
        <v/>
      </c>
      <c r="U303" s="62">
        <f>IF($V303="","",IF($V303="Macro",ROW(),IFERROR(LOOKUP(2,1/($V$5:$V303="Macro"),ROW($V$5:$V303)),0)))</f>
        <v/>
      </c>
      <c r="V303" s="62">
        <f>IF(NOT((COUNTA($B303:$D303)+COUNTA($G303:$L303)+COUNTA($Q303))&gt;0),"",IF($B303="Subactividad","Sub","Macro"))</f>
        <v/>
      </c>
      <c r="W303" s="62">
        <f>IF($V303="Macro",COUNTIFS($U$5:$U$1000,ROW(),$V$5:$V$1000,"Sub"),"")</f>
        <v/>
      </c>
      <c r="X303" s="62">
        <f>IF($V303="","",IF(ISNUMBER($G303),1,IFERROR(LOOKUP(2,1/($I303:$L303&lt;&gt;""),$I303:$L303),0)))</f>
        <v/>
      </c>
      <c r="Y303" s="62">
        <f>IF($V303="","",IF(AND(ISNUMBER($G303),$G303&lt;=IF($S303=MesCiclo,InicioCiclo,$S303+MOD(2-WEEKDAY($S303),7))+6),1,IF(ISNUMBER($I303),$I303,0)))</f>
        <v/>
      </c>
      <c r="Z303" s="62">
        <f>IF($V303="","",IF(AND(ISNUMBER($G303),$G303&lt;=IF($S303=MesCiclo,InicioCiclo,$S303+MOD(2-WEEKDAY($S303),7))+13),1,IF(ISNUMBER($J303),$J303,$Y303)))</f>
        <v/>
      </c>
      <c r="AA303" s="62">
        <f>IF($V303="","",IF(AND(ISNUMBER($G303),$G303&lt;=IF($S303=MesCiclo,InicioCiclo,$S303+MOD(2-WEEKDAY($S303),7))+20),1,IF(ISNUMBER($K303),$K303,$Z303)))</f>
        <v/>
      </c>
      <c r="AB303" s="62">
        <f>IF($V303="","",IF(AND(ISNUMBER($G303),$G303&lt;=IF($S303=MesCiclo,InicioCiclo,$S303+MOD(2-WEEKDAY($S303),7))+27),1,IF(ISNUMBER($L303),$L303,$AA303)))</f>
        <v/>
      </c>
      <c r="AC303" s="62">
        <f>IF($V303="","",IF(AND(ISNUMBER($G303),$G303&lt;=IF($S303=MesCiclo,InicioCiclo,$S303+MOD(2-WEEKDAY($S303),7))+6),1,IF(N($W303)&gt;0,AVERAGEIFS($Y$5:$Y$1000,$U$5:$U$1000,ROW(),$V$5:$V$1000,"Sub"),$Y303)))</f>
        <v/>
      </c>
      <c r="AD303" s="62">
        <f>IF($V303="","",IF(AND(ISNUMBER($G303),$G303&lt;=IF($S303=MesCiclo,InicioCiclo,$S303+MOD(2-WEEKDAY($S303),7))+13),1,IF(N($W303)&gt;0,AVERAGEIFS($Z$5:$Z$1000,$U$5:$U$1000,ROW(),$V$5:$V$1000,"Sub"),$Z303)))</f>
        <v/>
      </c>
      <c r="AE303" s="62">
        <f>IF($V303="","",IF(AND(ISNUMBER($G303),$G303&lt;=IF($S303=MesCiclo,InicioCiclo,$S303+MOD(2-WEEKDAY($S303),7))+20),1,IF(N($W303)&gt;0,AVERAGEIFS($AA$5:$AA$1000,$U$5:$U$1000,ROW(),$V$5:$V$1000,"Sub"),$AA303)))</f>
        <v/>
      </c>
      <c r="AF303" s="62">
        <f>IF($V303="","",IF(AND(ISNUMBER($G303),$G303&lt;=IF($S303=MesCiclo,InicioCiclo,$S303+MOD(2-WEEKDAY($S303),7))+27),1,IF(N($W303)&gt;0,AVERAGEIFS($AB$5:$AB$1000,$U$5:$U$1000,ROW(),$V$5:$V$1000,"Sub"),$AB303)))</f>
        <v/>
      </c>
      <c r="AG303" s="62">
        <f>IF($V303&lt;&gt;"Macro","",IF(COUNTIFS($S$5:$S$1000,$S303,$V$5:$V$1000,"Macro",$H$5:$H$1000,"&gt;0")=0,1/COUNTIFS($S$5:$S$1000,$S303,$V$5:$V$1000,"Macro"),IF(AND(ISNUMBER($H303),N($H303)&gt;0),$H303,SUMIFS($H$5:$H$1000,$S$5:$S$1000,$S303,$V$5:$V$1000,"Macro")/COUNTIFS($S$5:$S$1000,$S303,$V$5:$V$1000,"Macro",$H$5:$H$1000,"&gt;0"))/(COUNTIFS($S$5:$S$1000,$S303,$V$5:$V$1000,"Macro")*SUMIFS($H$5:$H$1000,$S$5:$S$1000,$S303,$V$5:$V$1000,"Macro")/COUNTIFS($S$5:$S$1000,$S303,$V$5:$V$1000,"Macro",$H$5:$H$1000,"&gt;0"))))</f>
        <v/>
      </c>
      <c r="AH303" s="62">
        <f>IF(NOT(AND($D303&lt;&gt;"",$V303="Macro")),"",IFERROR(CHOOSE(MATCH($D303,ListaPuestos,0),MATCH("[Jefatura] "&amp;$C303,'Cronograma R. Operacional'!$C$5:$C$1000,0),MATCH("[Jefatura] "&amp;$C303,'Cronograma R. Normativo'!$C$5:$C$1000,0),MATCH("[Jefatura] "&amp;$C303,'Cronograma R. Financiero'!$C$5:$C$1000,0),MATCH("[Jefatura] "&amp;$C303,'Cronograma Asistente Técnico'!$C$5:$C$1000,0)),0))</f>
        <v/>
      </c>
      <c r="AI303" s="62">
        <f>IF(AND(AND($D303&lt;&gt;"",$V303="Macro"),$S303=MesCiclo),COUNTIFS($D$5:$D303,$D303,$S$5:$S303,MesCiclo,$V$5:$V303,"Macro"),"")</f>
        <v/>
      </c>
      <c r="AJ303" s="62">
        <f>IF($AI303="","",$D303&amp;"|"&amp;$AI303)</f>
        <v/>
      </c>
      <c r="AK303" s="62">
        <f>IF(AND($D303&lt;&gt;"",$V303="Macro"),$D303&amp;"|"&amp;$C303,"")</f>
        <v/>
      </c>
      <c r="AL303" s="62">
        <f>""</f>
        <v/>
      </c>
      <c r="AM303" s="62">
        <f>IF(N($AL303)&gt;0,INDEX(rIni_ADM,$AL303),IF(ISNUMBER($E303),$E303,""))</f>
        <v/>
      </c>
      <c r="AN303" s="62">
        <f>IF(N($AL303)&gt;0,INDEX(rLim_ADM,$AL303),IF(ISNUMBER($F303),$F303,""))</f>
        <v/>
      </c>
    </row>
    <row r="304">
      <c r="A304" s="56">
        <f>IF(NOT((COUNTA($B304:$D304)+COUNTA($G304:$L304)+COUNTA($Q304))&gt;0),"",IF($V304="Macro",COUNTIFS($V$5:$V304,"Macro",$S$5:$S304,$S304),IF(N($U304)=0,"?",COUNTIFS(INDEX($V$5:$V$1000,1):INDEX($V$5:$V$1000,$U304-4),"Macro",INDEX($S$5:$S$1000,1):INDEX($S$5:$S$1000,$U304-4),INDEX($S$5:$S$1000,$U304-4))&amp;"."&amp;COUNTIFS($U$5:$U304,$U304,$V$5:$V304,"Sub"))))</f>
        <v/>
      </c>
      <c r="B304" s="57" t="n"/>
      <c r="C304" s="58" t="n"/>
      <c r="D304" s="58" t="n"/>
      <c r="E304" s="59" t="n"/>
      <c r="F304" s="59" t="n"/>
      <c r="G304" s="59" t="n"/>
      <c r="H304" s="60" t="n"/>
      <c r="I304" s="60" t="n"/>
      <c r="J304" s="60" t="n"/>
      <c r="K304" s="60" t="n"/>
      <c r="L304" s="60" t="n"/>
      <c r="M304" s="61">
        <f>IF(NOT((COUNTA($B304:$D304)+COUNTA($G304:$L304)+COUNTA($Q304))&gt;0),"",IF(AND($D304&lt;&gt;"",$V304="Macro"),IF(N($AH304)&gt;0,N(CHOOSE(MATCH($D304,ListaPuestos,0),INDEX('Cronograma R. Operacional'!$M$5:$M$1000,$AH304),INDEX('Cronograma R. Normativo'!$M$5:$M$1000,$AH304),INDEX('Cronograma R. Financiero'!$M$5:$M$1000,$AH304),INDEX('Cronograma Asistente Técnico'!$M$5:$M$1000,$AH304))),0),IF(ISNUMBER($G304),1,IF(N($W304)&gt;0,AVERAGEIFS($X$5:$X$1000,$U$5:$U$1000,ROW(),$V$5:$V$1000,"Sub"),$X304))))</f>
        <v/>
      </c>
      <c r="N304" s="56">
        <f>IF($M304="","",IF($M304&gt;=1,"Completado",IF($M304&gt;0,"En curso","Pendiente")))</f>
        <v/>
      </c>
      <c r="O304" s="56">
        <f>IF(NOT((COUNTA($B304:$D304)+COUNTA($G304:$L304)+COUNTA($Q304))&gt;0),"",IF(AND(AND($D304&lt;&gt;"",$V304="Macro"),N($AH304)&gt;0),CHOOSE(MATCH($D304,ListaPuestos,0),INDEX('Cronograma R. Operacional'!$O$5:$O$1000,$AH304),INDEX('Cronograma R. Normativo'!$O$5:$O$1000,$AH304),INDEX('Cronograma R. Financiero'!$O$5:$O$1000,$AH304),INDEX('Cronograma Asistente Técnico'!$O$5:$O$1000,$AH304))&amp;"",IF(ISNUMBER($G304),IF(AND(ISNUMBER($AN304),$G304&gt;$AN304),"Cumplida con "&amp;($G304-$AN304)&amp;IF($G304-$AN304=1," día"," días")&amp;" de retraso","Cumplida"),IF(N($M304)&gt;=1,"Cumplida",IF(NOT(ISNUMBER($AN304)),"Sin fecha límite",IF($AN304&lt;FechaRef,"Vencida hace "&amp;(FechaRef-$AN304)&amp;IF(FechaRef-$AN304=1," día"," días"),IF($AN304=FechaRef,"Vence hoy",IF($AN304-FechaRef&lt;=DiasAlerta,"Vence en "&amp;($AN304-FechaRef)&amp;IF($AN304-FechaRef=1," día"," días"),"En plazo"))))))))</f>
        <v/>
      </c>
      <c r="P304" s="62">
        <f>IF(NOT((COUNTA($B304:$D304)+COUNTA($G304:$L304)+COUNTA($Q304))&gt;0),"",IF($D304="","Propia",IF($V304&lt;&gt;"Macro","Solo se delegan macroactividades",IF(N($AH304)&gt;0,"✔ Recibida por "&amp;$D304,"⚠ "&amp;$D304&amp;" aún no la agrega"))))</f>
        <v/>
      </c>
      <c r="Q304" s="58" t="n"/>
      <c r="R304" s="63">
        <f>IF(NOT((COUNTA($B304:$D304)+COUNTA($G304:$L304)+COUNTA($Q304))&gt;0),"",IF((IF($C304="","Falta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",""))="","✔ OK","⚠ "&amp;LEFT(IF($C304="","Falta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",""),LEN(IF($C304="","Falta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",""))-3)))</f>
        <v/>
      </c>
      <c r="S304" s="64">
        <f>IF(NOT((COUNTA($B304:$D304)+COUNTA($G304:$L304)+COUNTA($Q304))&gt;0),"",IF(AND($V304="Sub",N($U304)&gt;0),IF(ISNUMBER(INDEX($AM$5:$AM$1000,$U304-4)),DATE(YEAR(INDEX($AM$5:$AM$1000,$U304-4)),MONTH(INDEX($AM$5:$AM$1000,$U304-4)),1),IF(ISNUMBER(INDEX($AN$5:$AN$1000,$U304-4)),DATE(YEAR(INDEX($AN$5:$AN$1000,$U304-4)),MONTH(INDEX($AN$5:$AN$1000,$U304-4)),1),MesCiclo)),IF(ISNUMBER($AM304),DATE(YEAR($AM304),MONTH($AM304),1),IF(ISNUMBER($AN304),DATE(YEAR($AN304),MONTH($AN304),1),MesCiclo))))</f>
        <v/>
      </c>
      <c r="T304" s="62">
        <f>IF(OR($S304="",$S304&lt;&gt;MesCiclo),"",COUNTIF($S$5:$S304,MesCiclo))</f>
        <v/>
      </c>
      <c r="U304" s="62">
        <f>IF($V304="","",IF($V304="Macro",ROW(),IFERROR(LOOKUP(2,1/($V$5:$V304="Macro"),ROW($V$5:$V304)),0)))</f>
        <v/>
      </c>
      <c r="V304" s="62">
        <f>IF(NOT((COUNTA($B304:$D304)+COUNTA($G304:$L304)+COUNTA($Q304))&gt;0),"",IF($B304="Subactividad","Sub","Macro"))</f>
        <v/>
      </c>
      <c r="W304" s="62">
        <f>IF($V304="Macro",COUNTIFS($U$5:$U$1000,ROW(),$V$5:$V$1000,"Sub"),"")</f>
        <v/>
      </c>
      <c r="X304" s="62">
        <f>IF($V304="","",IF(ISNUMBER($G304),1,IFERROR(LOOKUP(2,1/($I304:$L304&lt;&gt;""),$I304:$L304),0)))</f>
        <v/>
      </c>
      <c r="Y304" s="62">
        <f>IF($V304="","",IF(AND(ISNUMBER($G304),$G304&lt;=IF($S304=MesCiclo,InicioCiclo,$S304+MOD(2-WEEKDAY($S304),7))+6),1,IF(ISNUMBER($I304),$I304,0)))</f>
        <v/>
      </c>
      <c r="Z304" s="62">
        <f>IF($V304="","",IF(AND(ISNUMBER($G304),$G304&lt;=IF($S304=MesCiclo,InicioCiclo,$S304+MOD(2-WEEKDAY($S304),7))+13),1,IF(ISNUMBER($J304),$J304,$Y304)))</f>
        <v/>
      </c>
      <c r="AA304" s="62">
        <f>IF($V304="","",IF(AND(ISNUMBER($G304),$G304&lt;=IF($S304=MesCiclo,InicioCiclo,$S304+MOD(2-WEEKDAY($S304),7))+20),1,IF(ISNUMBER($K304),$K304,$Z304)))</f>
        <v/>
      </c>
      <c r="AB304" s="62">
        <f>IF($V304="","",IF(AND(ISNUMBER($G304),$G304&lt;=IF($S304=MesCiclo,InicioCiclo,$S304+MOD(2-WEEKDAY($S304),7))+27),1,IF(ISNUMBER($L304),$L304,$AA304)))</f>
        <v/>
      </c>
      <c r="AC304" s="62">
        <f>IF($V304="","",IF(AND(ISNUMBER($G304),$G304&lt;=IF($S304=MesCiclo,InicioCiclo,$S304+MOD(2-WEEKDAY($S304),7))+6),1,IF(N($W304)&gt;0,AVERAGEIFS($Y$5:$Y$1000,$U$5:$U$1000,ROW(),$V$5:$V$1000,"Sub"),$Y304)))</f>
        <v/>
      </c>
      <c r="AD304" s="62">
        <f>IF($V304="","",IF(AND(ISNUMBER($G304),$G304&lt;=IF($S304=MesCiclo,InicioCiclo,$S304+MOD(2-WEEKDAY($S304),7))+13),1,IF(N($W304)&gt;0,AVERAGEIFS($Z$5:$Z$1000,$U$5:$U$1000,ROW(),$V$5:$V$1000,"Sub"),$Z304)))</f>
        <v/>
      </c>
      <c r="AE304" s="62">
        <f>IF($V304="","",IF(AND(ISNUMBER($G304),$G304&lt;=IF($S304=MesCiclo,InicioCiclo,$S304+MOD(2-WEEKDAY($S304),7))+20),1,IF(N($W304)&gt;0,AVERAGEIFS($AA$5:$AA$1000,$U$5:$U$1000,ROW(),$V$5:$V$1000,"Sub"),$AA304)))</f>
        <v/>
      </c>
      <c r="AF304" s="62">
        <f>IF($V304="","",IF(AND(ISNUMBER($G304),$G304&lt;=IF($S304=MesCiclo,InicioCiclo,$S304+MOD(2-WEEKDAY($S304),7))+27),1,IF(N($W304)&gt;0,AVERAGEIFS($AB$5:$AB$1000,$U$5:$U$1000,ROW(),$V$5:$V$1000,"Sub"),$AB304)))</f>
        <v/>
      </c>
      <c r="AG304" s="62">
        <f>IF($V304&lt;&gt;"Macro","",IF(COUNTIFS($S$5:$S$1000,$S304,$V$5:$V$1000,"Macro",$H$5:$H$1000,"&gt;0")=0,1/COUNTIFS($S$5:$S$1000,$S304,$V$5:$V$1000,"Macro"),IF(AND(ISNUMBER($H304),N($H304)&gt;0),$H304,SUMIFS($H$5:$H$1000,$S$5:$S$1000,$S304,$V$5:$V$1000,"Macro")/COUNTIFS($S$5:$S$1000,$S304,$V$5:$V$1000,"Macro",$H$5:$H$1000,"&gt;0"))/(COUNTIFS($S$5:$S$1000,$S304,$V$5:$V$1000,"Macro")*SUMIFS($H$5:$H$1000,$S$5:$S$1000,$S304,$V$5:$V$1000,"Macro")/COUNTIFS($S$5:$S$1000,$S304,$V$5:$V$1000,"Macro",$H$5:$H$1000,"&gt;0"))))</f>
        <v/>
      </c>
      <c r="AH304" s="62">
        <f>IF(NOT(AND($D304&lt;&gt;"",$V304="Macro")),"",IFERROR(CHOOSE(MATCH($D304,ListaPuestos,0),MATCH("[Jefatura] "&amp;$C304,'Cronograma R. Operacional'!$C$5:$C$1000,0),MATCH("[Jefatura] "&amp;$C304,'Cronograma R. Normativo'!$C$5:$C$1000,0),MATCH("[Jefatura] "&amp;$C304,'Cronograma R. Financiero'!$C$5:$C$1000,0),MATCH("[Jefatura] "&amp;$C304,'Cronograma Asistente Técnico'!$C$5:$C$1000,0)),0))</f>
        <v/>
      </c>
      <c r="AI304" s="62">
        <f>IF(AND(AND($D304&lt;&gt;"",$V304="Macro"),$S304=MesCiclo),COUNTIFS($D$5:$D304,$D304,$S$5:$S304,MesCiclo,$V$5:$V304,"Macro"),"")</f>
        <v/>
      </c>
      <c r="AJ304" s="62">
        <f>IF($AI304="","",$D304&amp;"|"&amp;$AI304)</f>
        <v/>
      </c>
      <c r="AK304" s="62">
        <f>IF(AND($D304&lt;&gt;"",$V304="Macro"),$D304&amp;"|"&amp;$C304,"")</f>
        <v/>
      </c>
      <c r="AL304" s="62">
        <f>""</f>
        <v/>
      </c>
      <c r="AM304" s="62">
        <f>IF(N($AL304)&gt;0,INDEX(rIni_ADM,$AL304),IF(ISNUMBER($E304),$E304,""))</f>
        <v/>
      </c>
      <c r="AN304" s="62">
        <f>IF(N($AL304)&gt;0,INDEX(rLim_ADM,$AL304),IF(ISNUMBER($F304),$F304,""))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S1"/>
    <mergeCell ref="M3:O3"/>
    <mergeCell ref="E3:J3"/>
    <mergeCell ref="A2:S2"/>
    <mergeCell ref="K3:L3"/>
    <mergeCell ref="Q3:S3"/>
  </mergeCells>
  <conditionalFormatting sqref="M3:O3">
    <cfRule type="expression" priority="1" dxfId="8" stopIfTrue="1">
      <formula>COUNTIFS($S$5:$S$1000,MesCiclo,$O$5:$O$1000,"Vencida*")&gt;0</formula>
    </cfRule>
    <cfRule type="expression" priority="2" dxfId="9" stopIfTrue="1">
      <formula>COUNTIFS($S$5:$S$1000,MesCiclo,$O$5:$O$1000,"Vence*")&gt;0</formula>
    </cfRule>
    <cfRule type="expression" priority="3" dxfId="0">
      <formula>TRUE</formula>
    </cfRule>
  </conditionalFormatting>
  <conditionalFormatting sqref="C5:C1000">
    <cfRule type="expression" priority="4" dxfId="10" stopIfTrue="1">
      <formula>LEFT($C5,11)="[Jefatura] "</formula>
    </cfRule>
    <cfRule type="expression" priority="7" dxfId="11">
      <formula>$V5="Sub"</formula>
    </cfRule>
  </conditionalFormatting>
  <conditionalFormatting sqref="A5:C1000">
    <cfRule type="expression" priority="5" dxfId="5" stopIfTrue="1">
      <formula>AND($V5="Macro",$C5="")</formula>
    </cfRule>
    <cfRule type="expression" priority="6" dxfId="12">
      <formula>$V5="Macro"</formula>
    </cfRule>
  </conditionalFormatting>
  <conditionalFormatting sqref="P5:P1000">
    <cfRule type="expression" priority="8" dxfId="0">
      <formula>LEFT($P5,1)="✔"</formula>
    </cfRule>
    <cfRule type="expression" priority="9" dxfId="2">
      <formula>LEFT($P5,1)="⚠"</formula>
    </cfRule>
  </conditionalFormatting>
  <conditionalFormatting sqref="N5:N1000">
    <cfRule type="expression" priority="10" dxfId="0">
      <formula>$N5="Completado"</formula>
    </cfRule>
    <cfRule type="expression" priority="11" dxfId="4">
      <formula>$N5="En curso"</formula>
    </cfRule>
    <cfRule type="expression" priority="12" dxfId="5">
      <formula>$N5="Pendiente"</formula>
    </cfRule>
  </conditionalFormatting>
  <conditionalFormatting sqref="O5:O1000">
    <cfRule type="expression" priority="13" dxfId="8" stopIfTrue="1">
      <formula>LEFT($O5,7)="Vencida"</formula>
    </cfRule>
    <cfRule type="expression" priority="14" dxfId="9" stopIfTrue="1">
      <formula>LEFT($O5,5)="Vence"</formula>
    </cfRule>
    <cfRule type="expression" priority="15" dxfId="0" stopIfTrue="1">
      <formula>LEFT($O5,8)="Cumplida"</formula>
    </cfRule>
    <cfRule type="expression" priority="16" dxfId="13" stopIfTrue="1">
      <formula>$O5="En plazo"</formula>
    </cfRule>
    <cfRule type="expression" priority="17" dxfId="5">
      <formula>$O5="Sin fecha límite"</formula>
    </cfRule>
  </conditionalFormatting>
  <conditionalFormatting sqref="M5:M1000">
    <cfRule type="expression" priority="18" dxfId="0">
      <formula>AND(ISNUMBER($M5),$M5&gt;=1)</formula>
    </cfRule>
    <cfRule type="dataBar" priority="19">
      <dataBar showValue="1">
        <cfvo type="num" val="0"/>
        <cfvo type="num" val="1"/>
        <color rgb="005B9BD5"/>
      </dataBar>
    </cfRule>
  </conditionalFormatting>
  <conditionalFormatting sqref="G5:G1000">
    <cfRule type="expression" priority="20" dxfId="0">
      <formula>ISNUMBER($G5)</formula>
    </cfRule>
  </conditionalFormatting>
  <conditionalFormatting sqref="F5:F1000">
    <cfRule type="expression" priority="21" dxfId="6" stopIfTrue="1">
      <formula>AND(ISNUMBER($AN5),$AN5&lt;FechaRef,N($M5)&lt;1)</formula>
    </cfRule>
    <cfRule type="expression" priority="22" dxfId="7">
      <formula>AND(ISNUMBER($AN5),$AN5&gt;=FechaRef,$AN5-FechaRef&lt;=DiasAlerta,N($M5)&lt;1)</formula>
    </cfRule>
  </conditionalFormatting>
  <conditionalFormatting sqref="E5:F1000">
    <cfRule type="expression" priority="23" dxfId="10" stopIfTrue="1">
      <formula>AND(N($AL5)&gt;0)</formula>
    </cfRule>
    <cfRule type="expression" priority="24" dxfId="5" stopIfTrue="1">
      <formula>AND((COUNTA($B5:$D5)+COUNTA($G5:$L5)+COUNTA($Q5))&gt;0,$AM5="")</formula>
    </cfRule>
    <cfRule type="expression" priority="25" dxfId="6">
      <formula>AND(ISNUMBER($E5),ISNUMBER($F5),$E5&gt;$F5)</formula>
    </cfRule>
  </conditionalFormatting>
  <conditionalFormatting sqref="H5:H1000">
    <cfRule type="expression" priority="26" dxfId="5" stopIfTrue="1">
      <formula>AND($V5="Sub",$H5&lt;&gt;"")</formula>
    </cfRule>
    <cfRule type="expression" priority="27" dxfId="14" stopIfTrue="1">
      <formula>$V5="Sub"</formula>
    </cfRule>
  </conditionalFormatting>
  <conditionalFormatting sqref="I5:L1000">
    <cfRule type="expression" priority="28" dxfId="5" stopIfTrue="1">
      <formula>AND(N($W5)&gt;0,I5&lt;&gt;"")</formula>
    </cfRule>
    <cfRule type="expression" priority="29" dxfId="14" stopIfTrue="1">
      <formula>OR(N($W5)&gt;0,ISNUMBER($G5))</formula>
    </cfRule>
    <cfRule type="expression" priority="30" dxfId="5" stopIfTrue="1">
      <formula>AND(I5&lt;&gt;"",OR(NOT(ISNUMBER(I5)),I5&gt;1,I5&lt;0))</formula>
    </cfRule>
  </conditionalFormatting>
  <conditionalFormatting sqref="J5:L1000">
    <cfRule type="expression" priority="31" dxfId="6">
      <formula>AND(J5&lt;&gt;"",J5&lt;MAX($I5:I5))</formula>
    </cfRule>
  </conditionalFormatting>
  <conditionalFormatting sqref="Q5:Q1000">
    <cfRule type="expression" priority="32" dxfId="5">
      <formula>AND(ObsObligatoria="Sí",ISNUMBER($F5),$F5&lt;FechaRef,N($M5)&lt;1,$Q5="")</formula>
    </cfRule>
  </conditionalFormatting>
  <conditionalFormatting sqref="R5:R1000">
    <cfRule type="expression" priority="33" dxfId="5">
      <formula>LEFT($R5,1)="⚠"</formula>
    </cfRule>
    <cfRule type="expression" priority="34" dxfId="15">
      <formula>LEFT($R5,1)="✔"</formula>
    </cfRule>
  </conditionalFormatting>
  <conditionalFormatting sqref="S5:S1000">
    <cfRule type="expression" priority="35" dxfId="1">
      <formula>AND($S5&lt;&gt;"",$S5=MesCiclo)</formula>
    </cfRule>
  </conditionalFormatting>
  <dataValidations count="6"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). Vacío = Macroactividad." type="list">
      <formula1>"Macroactividad,Subactividad"</formula1>
    </dataValidation>
    <dataValidation sqref="E5:E1000 F5:F1000" showDropDown="0" showInputMessage="0" showErrorMessage="1" allowBlank="1" errorTitle="Fecha no válida" error="Ingrese una fecha válida (dd/mm/aaaa)." type="date" operator="greaterThan">
      <formula1>36526</formula1>
    </dataValidation>
    <dataValidation sqref="G5:G1000" showDropDown="0" showInputMessage="1" showErrorMessage="1" allowBlank="1" errorTitle="Fecha no válida" error="Ingrese una fecha válida (dd/mm/aaaa)." promptTitle="Fecha de cumplimiento" prompt="Escriba la fecha en que se cumplió. La actividad queda al 100% y ya no aparece vencida." type="date" operator="greaterThan">
      <formula1>36526</formula1>
    </dataValidation>
    <dataValidation sqref="H5:H1000" showDropDown="0" showInputMessage="1" showErrorMessage="1" allowBlank="1" errorTitle="Peso no válido" error="Ingrese un porcentaje entre 0% y 100% (por ejemplo 40%)." promptTitle="Peso (solo macroactividades)" prompt="Opcional. Vacío = todas las macroactividades del mes valen igual. Si escribe pesos, se ajustan solos a 100%. Las subactividades no llevan peso." type="decimal" operator="between">
      <formula1>0</formula1>
      <formula2>1</formula2>
    </dataValidation>
    <dataValidation sqref="I5:L1000" showDropDown="0" showInputMessage="1" showErrorMessage="1" allowBlank="1" errorTitle="Avance no válido" error="Ingrese un porcentaje entre 0% y 100%. Deje la celda vacía si la semana no ha llegado." promptTitle="Avance parcial (opcional)" prompt="% TOTAL logrado hasta esta semana. Cuando termine, escriba la Fecha de cumplimiento. Si la macroactividad tiene subactividades, déjelo vacío." type="decimal" operator="between">
      <formula1>0</formula1>
      <formula2>1</formula2>
    </dataValidation>
    <dataValidation sqref="D5:D1000" showDropDown="0" showInputMessage="1" showErrorMessage="1" allowBlank="1" errorTitle="Puesto no válido" error="Elija un puesto de la lista o deje vacío (actividad de la jefatura)." promptTitle="Delegar a" prompt="Elija el puesto al que delega esta macroactividad. Vacío = la hace la jefatura." type="list">
      <formula1>ListaPuestos</formula1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Q29"/>
  <sheetViews>
    <sheetView showGridLines="0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8" customWidth="1" min="11" max="11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28" customHeight="1">
      <c r="B1" s="65" t="inlineStr">
        <is>
          <t>Historial mensual de actividades</t>
        </is>
      </c>
      <c r="C1" s="65" t="n"/>
      <c r="D1" s="65" t="n"/>
      <c r="E1" s="65" t="n"/>
      <c r="F1" s="65" t="n"/>
      <c r="G1" s="65" t="n"/>
      <c r="H1" s="65" t="n"/>
      <c r="I1" s="65" t="n"/>
      <c r="J1" s="65" t="n"/>
      <c r="K1" s="65" t="n"/>
    </row>
    <row r="2" ht="32" customHeight="1">
      <c r="B2" s="48" t="inlineStr">
        <is>
          <t>HOJA AUTOMÁTICA: resume cada mes con las actividades guardadas en los Cronogramas (nada se borra al empezar un mes). Empieza en octubre 2026 y muestra 24 meses (el mes actual se resalta en amarillo). «Sin datos» = el puesto no registró actividades ese mes; «Pesos ≠ 100%» = los pesos de ese mes no suman 100%.</t>
        </is>
      </c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</row>
    <row r="4">
      <c r="B4" s="66" t="inlineStr">
        <is>
          <t>Mes</t>
        </is>
      </c>
      <c r="C4" s="67" t="inlineStr">
        <is>
          <t>Riesgo Operacional</t>
        </is>
      </c>
      <c r="D4" s="67" t="n"/>
      <c r="E4" s="68" t="inlineStr">
        <is>
          <t>Riesgo Normativo</t>
        </is>
      </c>
      <c r="F4" s="68" t="n"/>
      <c r="G4" s="69" t="inlineStr">
        <is>
          <t>Riesgo Financiero</t>
        </is>
      </c>
      <c r="H4" s="69" t="n"/>
      <c r="I4" s="7" t="inlineStr">
        <is>
          <t>Asistente Técnico de Riesgo</t>
        </is>
      </c>
      <c r="J4" s="7" t="n"/>
      <c r="K4" s="66" t="inlineStr">
        <is>
          <t>Avance general</t>
        </is>
      </c>
    </row>
    <row r="5" ht="28" customHeight="1">
      <c r="B5" s="66" t="n"/>
      <c r="C5" s="31" t="inlineStr">
        <is>
          <t>Avance</t>
        </is>
      </c>
      <c r="D5" s="31" t="inlineStr">
        <is>
          <t>Completadas / total</t>
        </is>
      </c>
      <c r="E5" s="31" t="inlineStr">
        <is>
          <t>Avance</t>
        </is>
      </c>
      <c r="F5" s="31" t="inlineStr">
        <is>
          <t>Completadas / total</t>
        </is>
      </c>
      <c r="G5" s="31" t="inlineStr">
        <is>
          <t>Avance</t>
        </is>
      </c>
      <c r="H5" s="31" t="inlineStr">
        <is>
          <t>Completadas / total</t>
        </is>
      </c>
      <c r="I5" s="31" t="inlineStr">
        <is>
          <t>Avance</t>
        </is>
      </c>
      <c r="J5" s="31" t="inlineStr">
        <is>
          <t>Completadas / total</t>
        </is>
      </c>
      <c r="K5" s="66" t="n"/>
      <c r="M5" t="inlineStr">
        <is>
          <t>Mes (gráfico)</t>
        </is>
      </c>
      <c r="N5" t="inlineStr">
        <is>
          <t>R. Operacional</t>
        </is>
      </c>
      <c r="O5" t="inlineStr">
        <is>
          <t>R. Normativo</t>
        </is>
      </c>
      <c r="P5" t="inlineStr">
        <is>
          <t>R. Financiero</t>
        </is>
      </c>
      <c r="Q5" t="inlineStr">
        <is>
          <t>Asistente Técnico</t>
        </is>
      </c>
    </row>
    <row r="6" ht="20" customHeight="1">
      <c r="B6" s="70">
        <f>DATE(YEAR(HistInicio),MONTH(HistInicio)+0,1)</f>
        <v/>
      </c>
      <c r="C6" s="20">
        <f>IF(COUNTIFS(rMes_RO,$B6,rTipo_RO,"Macro")=0,"Sin datos",IF(ABS(SUMIFS(rPeso_RO,rMes_RO,$B6,rTipo_RO,"Macro")-1)&gt;0.0001,"Pesos ≠ 100%",SUMPRODUCT(--((rMes_RO=$B6)*(rTipo_RO="Macro")),rPeso_RO,rAvance_RO)))</f>
        <v/>
      </c>
      <c r="D6" s="22">
        <f>IF(COUNTIFS(rMes_RO,$B6,rTipo_RO,"Macro")=0,"",COUNTIFS(rEstado_RO,"Completado",rMes_RO,$B6,rTipo_RO,"Macro")&amp;" / "&amp;COUNTIFS(rMes_RO,$B6,rTipo_RO,"Macro"))</f>
        <v/>
      </c>
      <c r="E6" s="20">
        <f>IF(COUNTIFS(rMes_RN,$B6,rTipo_RN,"Macro")=0,"Sin datos",IF(ABS(SUMIFS(rPeso_RN,rMes_RN,$B6,rTipo_RN,"Macro")-1)&gt;0.0001,"Pesos ≠ 100%",SUMPRODUCT(--((rMes_RN=$B6)*(rTipo_RN="Macro")),rPeso_RN,rAvance_RN)))</f>
        <v/>
      </c>
      <c r="F6" s="22">
        <f>IF(COUNTIFS(rMes_RN,$B6,rTipo_RN,"Macro")=0,"",COUNTIFS(rEstado_RN,"Completado",rMes_RN,$B6,rTipo_RN,"Macro")&amp;" / "&amp;COUNTIFS(rMes_RN,$B6,rTipo_RN,"Macro"))</f>
        <v/>
      </c>
      <c r="G6" s="20">
        <f>IF(COUNTIFS(rMes_RF,$B6,rTipo_RF,"Macro")=0,"Sin datos",IF(ABS(SUMIFS(rPeso_RF,rMes_RF,$B6,rTipo_RF,"Macro")-1)&gt;0.0001,"Pesos ≠ 100%",SUMPRODUCT(--((rMes_RF=$B6)*(rTipo_RF="Macro")),rPeso_RF,rAvance_RF)))</f>
        <v/>
      </c>
      <c r="H6" s="22">
        <f>IF(COUNTIFS(rMes_RF,$B6,rTipo_RF,"Macro")=0,"",COUNTIFS(rEstado_RF,"Completado",rMes_RF,$B6,rTipo_RF,"Macro")&amp;" / "&amp;COUNTIFS(rMes_RF,$B6,rTipo_RF,"Macro"))</f>
        <v/>
      </c>
      <c r="I6" s="20">
        <f>IF(COUNTIFS(rMes_ATR,$B6,rTipo_ATR,"Macro")=0,"Sin datos",IF(ABS(SUMIFS(rPeso_ATR,rMes_ATR,$B6,rTipo_ATR,"Macro")-1)&gt;0.0001,"Pesos ≠ 100%",SUMPRODUCT(--((rMes_ATR=$B6)*(rTipo_ATR="Macro")),rPeso_ATR,rAvance_ATR)))</f>
        <v/>
      </c>
      <c r="J6" s="22">
        <f>IF(COUNTIFS(rMes_ATR,$B6,rTipo_ATR,"Macro")=0,"",COUNTIFS(rEstado_ATR,"Completado",rMes_ATR,$B6,rTipo_ATR,"Macro")&amp;" / "&amp;COUNTIFS(rMes_ATR,$B6,rTipo_ATR,"Macro"))</f>
        <v/>
      </c>
      <c r="K6" s="71">
        <f>IF(COUNT(C6,E6,G6,I6)=4,AVERAGE(C6,E6,G6,I6),IF(COUNTIF(C6:J6,"Sin datos")=4,"Sin datos","No definitivo"))</f>
        <v/>
      </c>
      <c r="M6">
        <f>CHOOSE(MONTH(DATE(YEAR(MAX(HistInicio,EDATE(MesCiclo,-5))),MONTH(MAX(HistInicio,EDATE(MesCiclo,-5)))+0,1)),"ene","feb","mar","abr","may","jun","jul","ago","sep","oct","nov","dic")&amp;" "&amp;YEAR(DATE(YEAR(MAX(HistInicio,EDATE(MesCiclo,-5))),MONTH(MAX(HistInicio,EDATE(MesCiclo,-5)))+0,1))</f>
        <v/>
      </c>
      <c r="N6">
        <f>IFERROR(N(INDEX(C6:C29,MATCH(DATE(YEAR(MAX(HistInicio,EDATE(MesCiclo,-5))),MONTH(MAX(HistInicio,EDATE(MesCiclo,-5)))+0,1),B6:B29,0))),0)</f>
        <v/>
      </c>
      <c r="O6">
        <f>IFERROR(N(INDEX(E6:E29,MATCH(DATE(YEAR(MAX(HistInicio,EDATE(MesCiclo,-5))),MONTH(MAX(HistInicio,EDATE(MesCiclo,-5)))+0,1),B6:B29,0))),0)</f>
        <v/>
      </c>
      <c r="P6">
        <f>IFERROR(N(INDEX(G6:G29,MATCH(DATE(YEAR(MAX(HistInicio,EDATE(MesCiclo,-5))),MONTH(MAX(HistInicio,EDATE(MesCiclo,-5)))+0,1),B6:B29,0))),0)</f>
        <v/>
      </c>
      <c r="Q6">
        <f>IFERROR(N(INDEX(I6:I29,MATCH(DATE(YEAR(MAX(HistInicio,EDATE(MesCiclo,-5))),MONTH(MAX(HistInicio,EDATE(MesCiclo,-5)))+0,1),B6:B29,0))),0)</f>
        <v/>
      </c>
    </row>
    <row r="7" ht="20" customHeight="1">
      <c r="B7" s="70">
        <f>DATE(YEAR(HistInicio),MONTH(HistInicio)+1,1)</f>
        <v/>
      </c>
      <c r="C7" s="20">
        <f>IF(COUNTIFS(rMes_RO,$B7,rTipo_RO,"Macro")=0,"Sin datos",IF(ABS(SUMIFS(rPeso_RO,rMes_RO,$B7,rTipo_RO,"Macro")-1)&gt;0.0001,"Pesos ≠ 100%",SUMPRODUCT(--((rMes_RO=$B7)*(rTipo_RO="Macro")),rPeso_RO,rAvance_RO)))</f>
        <v/>
      </c>
      <c r="D7" s="22">
        <f>IF(COUNTIFS(rMes_RO,$B7,rTipo_RO,"Macro")=0,"",COUNTIFS(rEstado_RO,"Completado",rMes_RO,$B7,rTipo_RO,"Macro")&amp;" / "&amp;COUNTIFS(rMes_RO,$B7,rTipo_RO,"Macro"))</f>
        <v/>
      </c>
      <c r="E7" s="20">
        <f>IF(COUNTIFS(rMes_RN,$B7,rTipo_RN,"Macro")=0,"Sin datos",IF(ABS(SUMIFS(rPeso_RN,rMes_RN,$B7,rTipo_RN,"Macro")-1)&gt;0.0001,"Pesos ≠ 100%",SUMPRODUCT(--((rMes_RN=$B7)*(rTipo_RN="Macro")),rPeso_RN,rAvance_RN)))</f>
        <v/>
      </c>
      <c r="F7" s="22">
        <f>IF(COUNTIFS(rMes_RN,$B7,rTipo_RN,"Macro")=0,"",COUNTIFS(rEstado_RN,"Completado",rMes_RN,$B7,rTipo_RN,"Macro")&amp;" / "&amp;COUNTIFS(rMes_RN,$B7,rTipo_RN,"Macro"))</f>
        <v/>
      </c>
      <c r="G7" s="20">
        <f>IF(COUNTIFS(rMes_RF,$B7,rTipo_RF,"Macro")=0,"Sin datos",IF(ABS(SUMIFS(rPeso_RF,rMes_RF,$B7,rTipo_RF,"Macro")-1)&gt;0.0001,"Pesos ≠ 100%",SUMPRODUCT(--((rMes_RF=$B7)*(rTipo_RF="Macro")),rPeso_RF,rAvance_RF)))</f>
        <v/>
      </c>
      <c r="H7" s="22">
        <f>IF(COUNTIFS(rMes_RF,$B7,rTipo_RF,"Macro")=0,"",COUNTIFS(rEstado_RF,"Completado",rMes_RF,$B7,rTipo_RF,"Macro")&amp;" / "&amp;COUNTIFS(rMes_RF,$B7,rTipo_RF,"Macro"))</f>
        <v/>
      </c>
      <c r="I7" s="20">
        <f>IF(COUNTIFS(rMes_ATR,$B7,rTipo_ATR,"Macro")=0,"Sin datos",IF(ABS(SUMIFS(rPeso_ATR,rMes_ATR,$B7,rTipo_ATR,"Macro")-1)&gt;0.0001,"Pesos ≠ 100%",SUMPRODUCT(--((rMes_ATR=$B7)*(rTipo_ATR="Macro")),rPeso_ATR,rAvance_ATR)))</f>
        <v/>
      </c>
      <c r="J7" s="22">
        <f>IF(COUNTIFS(rMes_ATR,$B7,rTipo_ATR,"Macro")=0,"",COUNTIFS(rEstado_ATR,"Completado",rMes_ATR,$B7,rTipo_ATR,"Macro")&amp;" / "&amp;COUNTIFS(rMes_ATR,$B7,rTipo_ATR,"Macro"))</f>
        <v/>
      </c>
      <c r="K7" s="71">
        <f>IF(COUNT(C7,E7,G7,I7)=4,AVERAGE(C7,E7,G7,I7),IF(COUNTIF(C7:J7,"Sin datos")=4,"Sin datos","No definitivo"))</f>
        <v/>
      </c>
      <c r="M7">
        <f>CHOOSE(MONTH(DATE(YEAR(MAX(HistInicio,EDATE(MesCiclo,-5))),MONTH(MAX(HistInicio,EDATE(MesCiclo,-5)))+1,1)),"ene","feb","mar","abr","may","jun","jul","ago","sep","oct","nov","dic")&amp;" "&amp;YEAR(DATE(YEAR(MAX(HistInicio,EDATE(MesCiclo,-5))),MONTH(MAX(HistInicio,EDATE(MesCiclo,-5)))+1,1))</f>
        <v/>
      </c>
      <c r="N7">
        <f>IFERROR(N(INDEX(C6:C29,MATCH(DATE(YEAR(MAX(HistInicio,EDATE(MesCiclo,-5))),MONTH(MAX(HistInicio,EDATE(MesCiclo,-5)))+1,1),B6:B29,0))),0)</f>
        <v/>
      </c>
      <c r="O7">
        <f>IFERROR(N(INDEX(E6:E29,MATCH(DATE(YEAR(MAX(HistInicio,EDATE(MesCiclo,-5))),MONTH(MAX(HistInicio,EDATE(MesCiclo,-5)))+1,1),B6:B29,0))),0)</f>
        <v/>
      </c>
      <c r="P7">
        <f>IFERROR(N(INDEX(G6:G29,MATCH(DATE(YEAR(MAX(HistInicio,EDATE(MesCiclo,-5))),MONTH(MAX(HistInicio,EDATE(MesCiclo,-5)))+1,1),B6:B29,0))),0)</f>
        <v/>
      </c>
      <c r="Q7">
        <f>IFERROR(N(INDEX(I6:I29,MATCH(DATE(YEAR(MAX(HistInicio,EDATE(MesCiclo,-5))),MONTH(MAX(HistInicio,EDATE(MesCiclo,-5)))+1,1),B6:B29,0))),0)</f>
        <v/>
      </c>
    </row>
    <row r="8" ht="20" customHeight="1">
      <c r="B8" s="70">
        <f>DATE(YEAR(HistInicio),MONTH(HistInicio)+2,1)</f>
        <v/>
      </c>
      <c r="C8" s="20">
        <f>IF(COUNTIFS(rMes_RO,$B8,rTipo_RO,"Macro")=0,"Sin datos",IF(ABS(SUMIFS(rPeso_RO,rMes_RO,$B8,rTipo_RO,"Macro")-1)&gt;0.0001,"Pesos ≠ 100%",SUMPRODUCT(--((rMes_RO=$B8)*(rTipo_RO="Macro")),rPeso_RO,rAvance_RO)))</f>
        <v/>
      </c>
      <c r="D8" s="22">
        <f>IF(COUNTIFS(rMes_RO,$B8,rTipo_RO,"Macro")=0,"",COUNTIFS(rEstado_RO,"Completado",rMes_RO,$B8,rTipo_RO,"Macro")&amp;" / "&amp;COUNTIFS(rMes_RO,$B8,rTipo_RO,"Macro"))</f>
        <v/>
      </c>
      <c r="E8" s="20">
        <f>IF(COUNTIFS(rMes_RN,$B8,rTipo_RN,"Macro")=0,"Sin datos",IF(ABS(SUMIFS(rPeso_RN,rMes_RN,$B8,rTipo_RN,"Macro")-1)&gt;0.0001,"Pesos ≠ 100%",SUMPRODUCT(--((rMes_RN=$B8)*(rTipo_RN="Macro")),rPeso_RN,rAvance_RN)))</f>
        <v/>
      </c>
      <c r="F8" s="22">
        <f>IF(COUNTIFS(rMes_RN,$B8,rTipo_RN,"Macro")=0,"",COUNTIFS(rEstado_RN,"Completado",rMes_RN,$B8,rTipo_RN,"Macro")&amp;" / "&amp;COUNTIFS(rMes_RN,$B8,rTipo_RN,"Macro"))</f>
        <v/>
      </c>
      <c r="G8" s="20">
        <f>IF(COUNTIFS(rMes_RF,$B8,rTipo_RF,"Macro")=0,"Sin datos",IF(ABS(SUMIFS(rPeso_RF,rMes_RF,$B8,rTipo_RF,"Macro")-1)&gt;0.0001,"Pesos ≠ 100%",SUMPRODUCT(--((rMes_RF=$B8)*(rTipo_RF="Macro")),rPeso_RF,rAvance_RF)))</f>
        <v/>
      </c>
      <c r="H8" s="22">
        <f>IF(COUNTIFS(rMes_RF,$B8,rTipo_RF,"Macro")=0,"",COUNTIFS(rEstado_RF,"Completado",rMes_RF,$B8,rTipo_RF,"Macro")&amp;" / "&amp;COUNTIFS(rMes_RF,$B8,rTipo_RF,"Macro"))</f>
        <v/>
      </c>
      <c r="I8" s="20">
        <f>IF(COUNTIFS(rMes_ATR,$B8,rTipo_ATR,"Macro")=0,"Sin datos",IF(ABS(SUMIFS(rPeso_ATR,rMes_ATR,$B8,rTipo_ATR,"Macro")-1)&gt;0.0001,"Pesos ≠ 100%",SUMPRODUCT(--((rMes_ATR=$B8)*(rTipo_ATR="Macro")),rPeso_ATR,rAvance_ATR)))</f>
        <v/>
      </c>
      <c r="J8" s="22">
        <f>IF(COUNTIFS(rMes_ATR,$B8,rTipo_ATR,"Macro")=0,"",COUNTIFS(rEstado_ATR,"Completado",rMes_ATR,$B8,rTipo_ATR,"Macro")&amp;" / "&amp;COUNTIFS(rMes_ATR,$B8,rTipo_ATR,"Macro"))</f>
        <v/>
      </c>
      <c r="K8" s="71">
        <f>IF(COUNT(C8,E8,G8,I8)=4,AVERAGE(C8,E8,G8,I8),IF(COUNTIF(C8:J8,"Sin datos")=4,"Sin datos","No definitivo"))</f>
        <v/>
      </c>
      <c r="M8">
        <f>CHOOSE(MONTH(DATE(YEAR(MAX(HistInicio,EDATE(MesCiclo,-5))),MONTH(MAX(HistInicio,EDATE(MesCiclo,-5)))+2,1)),"ene","feb","mar","abr","may","jun","jul","ago","sep","oct","nov","dic")&amp;" "&amp;YEAR(DATE(YEAR(MAX(HistInicio,EDATE(MesCiclo,-5))),MONTH(MAX(HistInicio,EDATE(MesCiclo,-5)))+2,1))</f>
        <v/>
      </c>
      <c r="N8">
        <f>IFERROR(N(INDEX(C6:C29,MATCH(DATE(YEAR(MAX(HistInicio,EDATE(MesCiclo,-5))),MONTH(MAX(HistInicio,EDATE(MesCiclo,-5)))+2,1),B6:B29,0))),0)</f>
        <v/>
      </c>
      <c r="O8">
        <f>IFERROR(N(INDEX(E6:E29,MATCH(DATE(YEAR(MAX(HistInicio,EDATE(MesCiclo,-5))),MONTH(MAX(HistInicio,EDATE(MesCiclo,-5)))+2,1),B6:B29,0))),0)</f>
        <v/>
      </c>
      <c r="P8">
        <f>IFERROR(N(INDEX(G6:G29,MATCH(DATE(YEAR(MAX(HistInicio,EDATE(MesCiclo,-5))),MONTH(MAX(HistInicio,EDATE(MesCiclo,-5)))+2,1),B6:B29,0))),0)</f>
        <v/>
      </c>
      <c r="Q8">
        <f>IFERROR(N(INDEX(I6:I29,MATCH(DATE(YEAR(MAX(HistInicio,EDATE(MesCiclo,-5))),MONTH(MAX(HistInicio,EDATE(MesCiclo,-5)))+2,1),B6:B29,0))),0)</f>
        <v/>
      </c>
    </row>
    <row r="9" ht="20" customHeight="1">
      <c r="B9" s="70">
        <f>DATE(YEAR(HistInicio),MONTH(HistInicio)+3,1)</f>
        <v/>
      </c>
      <c r="C9" s="20">
        <f>IF(COUNTIFS(rMes_RO,$B9,rTipo_RO,"Macro")=0,"Sin datos",IF(ABS(SUMIFS(rPeso_RO,rMes_RO,$B9,rTipo_RO,"Macro")-1)&gt;0.0001,"Pesos ≠ 100%",SUMPRODUCT(--((rMes_RO=$B9)*(rTipo_RO="Macro")),rPeso_RO,rAvance_RO)))</f>
        <v/>
      </c>
      <c r="D9" s="22">
        <f>IF(COUNTIFS(rMes_RO,$B9,rTipo_RO,"Macro")=0,"",COUNTIFS(rEstado_RO,"Completado",rMes_RO,$B9,rTipo_RO,"Macro")&amp;" / "&amp;COUNTIFS(rMes_RO,$B9,rTipo_RO,"Macro"))</f>
        <v/>
      </c>
      <c r="E9" s="20">
        <f>IF(COUNTIFS(rMes_RN,$B9,rTipo_RN,"Macro")=0,"Sin datos",IF(ABS(SUMIFS(rPeso_RN,rMes_RN,$B9,rTipo_RN,"Macro")-1)&gt;0.0001,"Pesos ≠ 100%",SUMPRODUCT(--((rMes_RN=$B9)*(rTipo_RN="Macro")),rPeso_RN,rAvance_RN)))</f>
        <v/>
      </c>
      <c r="F9" s="22">
        <f>IF(COUNTIFS(rMes_RN,$B9,rTipo_RN,"Macro")=0,"",COUNTIFS(rEstado_RN,"Completado",rMes_RN,$B9,rTipo_RN,"Macro")&amp;" / "&amp;COUNTIFS(rMes_RN,$B9,rTipo_RN,"Macro"))</f>
        <v/>
      </c>
      <c r="G9" s="20">
        <f>IF(COUNTIFS(rMes_RF,$B9,rTipo_RF,"Macro")=0,"Sin datos",IF(ABS(SUMIFS(rPeso_RF,rMes_RF,$B9,rTipo_RF,"Macro")-1)&gt;0.0001,"Pesos ≠ 100%",SUMPRODUCT(--((rMes_RF=$B9)*(rTipo_RF="Macro")),rPeso_RF,rAvance_RF)))</f>
        <v/>
      </c>
      <c r="H9" s="22">
        <f>IF(COUNTIFS(rMes_RF,$B9,rTipo_RF,"Macro")=0,"",COUNTIFS(rEstado_RF,"Completado",rMes_RF,$B9,rTipo_RF,"Macro")&amp;" / "&amp;COUNTIFS(rMes_RF,$B9,rTipo_RF,"Macro"))</f>
        <v/>
      </c>
      <c r="I9" s="20">
        <f>IF(COUNTIFS(rMes_ATR,$B9,rTipo_ATR,"Macro")=0,"Sin datos",IF(ABS(SUMIFS(rPeso_ATR,rMes_ATR,$B9,rTipo_ATR,"Macro")-1)&gt;0.0001,"Pesos ≠ 100%",SUMPRODUCT(--((rMes_ATR=$B9)*(rTipo_ATR="Macro")),rPeso_ATR,rAvance_ATR)))</f>
        <v/>
      </c>
      <c r="J9" s="22">
        <f>IF(COUNTIFS(rMes_ATR,$B9,rTipo_ATR,"Macro")=0,"",COUNTIFS(rEstado_ATR,"Completado",rMes_ATR,$B9,rTipo_ATR,"Macro")&amp;" / "&amp;COUNTIFS(rMes_ATR,$B9,rTipo_ATR,"Macro"))</f>
        <v/>
      </c>
      <c r="K9" s="71">
        <f>IF(COUNT(C9,E9,G9,I9)=4,AVERAGE(C9,E9,G9,I9),IF(COUNTIF(C9:J9,"Sin datos")=4,"Sin datos","No definitivo"))</f>
        <v/>
      </c>
      <c r="M9">
        <f>CHOOSE(MONTH(DATE(YEAR(MAX(HistInicio,EDATE(MesCiclo,-5))),MONTH(MAX(HistInicio,EDATE(MesCiclo,-5)))+3,1)),"ene","feb","mar","abr","may","jun","jul","ago","sep","oct","nov","dic")&amp;" "&amp;YEAR(DATE(YEAR(MAX(HistInicio,EDATE(MesCiclo,-5))),MONTH(MAX(HistInicio,EDATE(MesCiclo,-5)))+3,1))</f>
        <v/>
      </c>
      <c r="N9">
        <f>IFERROR(N(INDEX(C6:C29,MATCH(DATE(YEAR(MAX(HistInicio,EDATE(MesCiclo,-5))),MONTH(MAX(HistInicio,EDATE(MesCiclo,-5)))+3,1),B6:B29,0))),0)</f>
        <v/>
      </c>
      <c r="O9">
        <f>IFERROR(N(INDEX(E6:E29,MATCH(DATE(YEAR(MAX(HistInicio,EDATE(MesCiclo,-5))),MONTH(MAX(HistInicio,EDATE(MesCiclo,-5)))+3,1),B6:B29,0))),0)</f>
        <v/>
      </c>
      <c r="P9">
        <f>IFERROR(N(INDEX(G6:G29,MATCH(DATE(YEAR(MAX(HistInicio,EDATE(MesCiclo,-5))),MONTH(MAX(HistInicio,EDATE(MesCiclo,-5)))+3,1),B6:B29,0))),0)</f>
        <v/>
      </c>
      <c r="Q9">
        <f>IFERROR(N(INDEX(I6:I29,MATCH(DATE(YEAR(MAX(HistInicio,EDATE(MesCiclo,-5))),MONTH(MAX(HistInicio,EDATE(MesCiclo,-5)))+3,1),B6:B29,0))),0)</f>
        <v/>
      </c>
    </row>
    <row r="10" ht="20" customHeight="1">
      <c r="B10" s="70">
        <f>DATE(YEAR(HistInicio),MONTH(HistInicio)+4,1)</f>
        <v/>
      </c>
      <c r="C10" s="20">
        <f>IF(COUNTIFS(rMes_RO,$B10,rTipo_RO,"Macro")=0,"Sin datos",IF(ABS(SUMIFS(rPeso_RO,rMes_RO,$B10,rTipo_RO,"Macro")-1)&gt;0.0001,"Pesos ≠ 100%",SUMPRODUCT(--((rMes_RO=$B10)*(rTipo_RO="Macro")),rPeso_RO,rAvance_RO)))</f>
        <v/>
      </c>
      <c r="D10" s="22">
        <f>IF(COUNTIFS(rMes_RO,$B10,rTipo_RO,"Macro")=0,"",COUNTIFS(rEstado_RO,"Completado",rMes_RO,$B10,rTipo_RO,"Macro")&amp;" / "&amp;COUNTIFS(rMes_RO,$B10,rTipo_RO,"Macro"))</f>
        <v/>
      </c>
      <c r="E10" s="20">
        <f>IF(COUNTIFS(rMes_RN,$B10,rTipo_RN,"Macro")=0,"Sin datos",IF(ABS(SUMIFS(rPeso_RN,rMes_RN,$B10,rTipo_RN,"Macro")-1)&gt;0.0001,"Pesos ≠ 100%",SUMPRODUCT(--((rMes_RN=$B10)*(rTipo_RN="Macro")),rPeso_RN,rAvance_RN)))</f>
        <v/>
      </c>
      <c r="F10" s="22">
        <f>IF(COUNTIFS(rMes_RN,$B10,rTipo_RN,"Macro")=0,"",COUNTIFS(rEstado_RN,"Completado",rMes_RN,$B10,rTipo_RN,"Macro")&amp;" / "&amp;COUNTIFS(rMes_RN,$B10,rTipo_RN,"Macro"))</f>
        <v/>
      </c>
      <c r="G10" s="20">
        <f>IF(COUNTIFS(rMes_RF,$B10,rTipo_RF,"Macro")=0,"Sin datos",IF(ABS(SUMIFS(rPeso_RF,rMes_RF,$B10,rTipo_RF,"Macro")-1)&gt;0.0001,"Pesos ≠ 100%",SUMPRODUCT(--((rMes_RF=$B10)*(rTipo_RF="Macro")),rPeso_RF,rAvance_RF)))</f>
        <v/>
      </c>
      <c r="H10" s="22">
        <f>IF(COUNTIFS(rMes_RF,$B10,rTipo_RF,"Macro")=0,"",COUNTIFS(rEstado_RF,"Completado",rMes_RF,$B10,rTipo_RF,"Macro")&amp;" / "&amp;COUNTIFS(rMes_RF,$B10,rTipo_RF,"Macro"))</f>
        <v/>
      </c>
      <c r="I10" s="20">
        <f>IF(COUNTIFS(rMes_ATR,$B10,rTipo_ATR,"Macro")=0,"Sin datos",IF(ABS(SUMIFS(rPeso_ATR,rMes_ATR,$B10,rTipo_ATR,"Macro")-1)&gt;0.0001,"Pesos ≠ 100%",SUMPRODUCT(--((rMes_ATR=$B10)*(rTipo_ATR="Macro")),rPeso_ATR,rAvance_ATR)))</f>
        <v/>
      </c>
      <c r="J10" s="22">
        <f>IF(COUNTIFS(rMes_ATR,$B10,rTipo_ATR,"Macro")=0,"",COUNTIFS(rEstado_ATR,"Completado",rMes_ATR,$B10,rTipo_ATR,"Macro")&amp;" / "&amp;COUNTIFS(rMes_ATR,$B10,rTipo_ATR,"Macro"))</f>
        <v/>
      </c>
      <c r="K10" s="71">
        <f>IF(COUNT(C10,E10,G10,I10)=4,AVERAGE(C10,E10,G10,I10),IF(COUNTIF(C10:J10,"Sin datos")=4,"Sin datos","No definitivo"))</f>
        <v/>
      </c>
      <c r="M10">
        <f>CHOOSE(MONTH(DATE(YEAR(MAX(HistInicio,EDATE(MesCiclo,-5))),MONTH(MAX(HistInicio,EDATE(MesCiclo,-5)))+4,1)),"ene","feb","mar","abr","may","jun","jul","ago","sep","oct","nov","dic")&amp;" "&amp;YEAR(DATE(YEAR(MAX(HistInicio,EDATE(MesCiclo,-5))),MONTH(MAX(HistInicio,EDATE(MesCiclo,-5)))+4,1))</f>
        <v/>
      </c>
      <c r="N10">
        <f>IFERROR(N(INDEX(C6:C29,MATCH(DATE(YEAR(MAX(HistInicio,EDATE(MesCiclo,-5))),MONTH(MAX(HistInicio,EDATE(MesCiclo,-5)))+4,1),B6:B29,0))),0)</f>
        <v/>
      </c>
      <c r="O10">
        <f>IFERROR(N(INDEX(E6:E29,MATCH(DATE(YEAR(MAX(HistInicio,EDATE(MesCiclo,-5))),MONTH(MAX(HistInicio,EDATE(MesCiclo,-5)))+4,1),B6:B29,0))),0)</f>
        <v/>
      </c>
      <c r="P10">
        <f>IFERROR(N(INDEX(G6:G29,MATCH(DATE(YEAR(MAX(HistInicio,EDATE(MesCiclo,-5))),MONTH(MAX(HistInicio,EDATE(MesCiclo,-5)))+4,1),B6:B29,0))),0)</f>
        <v/>
      </c>
      <c r="Q10">
        <f>IFERROR(N(INDEX(I6:I29,MATCH(DATE(YEAR(MAX(HistInicio,EDATE(MesCiclo,-5))),MONTH(MAX(HistInicio,EDATE(MesCiclo,-5)))+4,1),B6:B29,0))),0)</f>
        <v/>
      </c>
    </row>
    <row r="11" ht="20" customHeight="1">
      <c r="B11" s="70">
        <f>DATE(YEAR(HistInicio),MONTH(HistInicio)+5,1)</f>
        <v/>
      </c>
      <c r="C11" s="20">
        <f>IF(COUNTIFS(rMes_RO,$B11,rTipo_RO,"Macro")=0,"Sin datos",IF(ABS(SUMIFS(rPeso_RO,rMes_RO,$B11,rTipo_RO,"Macro")-1)&gt;0.0001,"Pesos ≠ 100%",SUMPRODUCT(--((rMes_RO=$B11)*(rTipo_RO="Macro")),rPeso_RO,rAvance_RO)))</f>
        <v/>
      </c>
      <c r="D11" s="22">
        <f>IF(COUNTIFS(rMes_RO,$B11,rTipo_RO,"Macro")=0,"",COUNTIFS(rEstado_RO,"Completado",rMes_RO,$B11,rTipo_RO,"Macro")&amp;" / "&amp;COUNTIFS(rMes_RO,$B11,rTipo_RO,"Macro"))</f>
        <v/>
      </c>
      <c r="E11" s="20">
        <f>IF(COUNTIFS(rMes_RN,$B11,rTipo_RN,"Macro")=0,"Sin datos",IF(ABS(SUMIFS(rPeso_RN,rMes_RN,$B11,rTipo_RN,"Macro")-1)&gt;0.0001,"Pesos ≠ 100%",SUMPRODUCT(--((rMes_RN=$B11)*(rTipo_RN="Macro")),rPeso_RN,rAvance_RN)))</f>
        <v/>
      </c>
      <c r="F11" s="22">
        <f>IF(COUNTIFS(rMes_RN,$B11,rTipo_RN,"Macro")=0,"",COUNTIFS(rEstado_RN,"Completado",rMes_RN,$B11,rTipo_RN,"Macro")&amp;" / "&amp;COUNTIFS(rMes_RN,$B11,rTipo_RN,"Macro"))</f>
        <v/>
      </c>
      <c r="G11" s="20">
        <f>IF(COUNTIFS(rMes_RF,$B11,rTipo_RF,"Macro")=0,"Sin datos",IF(ABS(SUMIFS(rPeso_RF,rMes_RF,$B11,rTipo_RF,"Macro")-1)&gt;0.0001,"Pesos ≠ 100%",SUMPRODUCT(--((rMes_RF=$B11)*(rTipo_RF="Macro")),rPeso_RF,rAvance_RF)))</f>
        <v/>
      </c>
      <c r="H11" s="22">
        <f>IF(COUNTIFS(rMes_RF,$B11,rTipo_RF,"Macro")=0,"",COUNTIFS(rEstado_RF,"Completado",rMes_RF,$B11,rTipo_RF,"Macro")&amp;" / "&amp;COUNTIFS(rMes_RF,$B11,rTipo_RF,"Macro"))</f>
        <v/>
      </c>
      <c r="I11" s="20">
        <f>IF(COUNTIFS(rMes_ATR,$B11,rTipo_ATR,"Macro")=0,"Sin datos",IF(ABS(SUMIFS(rPeso_ATR,rMes_ATR,$B11,rTipo_ATR,"Macro")-1)&gt;0.0001,"Pesos ≠ 100%",SUMPRODUCT(--((rMes_ATR=$B11)*(rTipo_ATR="Macro")),rPeso_ATR,rAvance_ATR)))</f>
        <v/>
      </c>
      <c r="J11" s="22">
        <f>IF(COUNTIFS(rMes_ATR,$B11,rTipo_ATR,"Macro")=0,"",COUNTIFS(rEstado_ATR,"Completado",rMes_ATR,$B11,rTipo_ATR,"Macro")&amp;" / "&amp;COUNTIFS(rMes_ATR,$B11,rTipo_ATR,"Macro"))</f>
        <v/>
      </c>
      <c r="K11" s="71">
        <f>IF(COUNT(C11,E11,G11,I11)=4,AVERAGE(C11,E11,G11,I11),IF(COUNTIF(C11:J11,"Sin datos")=4,"Sin datos","No definitivo"))</f>
        <v/>
      </c>
      <c r="M11">
        <f>CHOOSE(MONTH(DATE(YEAR(MAX(HistInicio,EDATE(MesCiclo,-5))),MONTH(MAX(HistInicio,EDATE(MesCiclo,-5)))+5,1)),"ene","feb","mar","abr","may","jun","jul","ago","sep","oct","nov","dic")&amp;" "&amp;YEAR(DATE(YEAR(MAX(HistInicio,EDATE(MesCiclo,-5))),MONTH(MAX(HistInicio,EDATE(MesCiclo,-5)))+5,1))</f>
        <v/>
      </c>
      <c r="N11">
        <f>IFERROR(N(INDEX(C6:C29,MATCH(DATE(YEAR(MAX(HistInicio,EDATE(MesCiclo,-5))),MONTH(MAX(HistInicio,EDATE(MesCiclo,-5)))+5,1),B6:B29,0))),0)</f>
        <v/>
      </c>
      <c r="O11">
        <f>IFERROR(N(INDEX(E6:E29,MATCH(DATE(YEAR(MAX(HistInicio,EDATE(MesCiclo,-5))),MONTH(MAX(HistInicio,EDATE(MesCiclo,-5)))+5,1),B6:B29,0))),0)</f>
        <v/>
      </c>
      <c r="P11">
        <f>IFERROR(N(INDEX(G6:G29,MATCH(DATE(YEAR(MAX(HistInicio,EDATE(MesCiclo,-5))),MONTH(MAX(HistInicio,EDATE(MesCiclo,-5)))+5,1),B6:B29,0))),0)</f>
        <v/>
      </c>
      <c r="Q11">
        <f>IFERROR(N(INDEX(I6:I29,MATCH(DATE(YEAR(MAX(HistInicio,EDATE(MesCiclo,-5))),MONTH(MAX(HistInicio,EDATE(MesCiclo,-5)))+5,1),B6:B29,0))),0)</f>
        <v/>
      </c>
    </row>
    <row r="12" ht="20" customHeight="1">
      <c r="B12" s="70">
        <f>DATE(YEAR(HistInicio),MONTH(HistInicio)+6,1)</f>
        <v/>
      </c>
      <c r="C12" s="20">
        <f>IF(COUNTIFS(rMes_RO,$B12,rTipo_RO,"Macro")=0,"Sin datos",IF(ABS(SUMIFS(rPeso_RO,rMes_RO,$B12,rTipo_RO,"Macro")-1)&gt;0.0001,"Pesos ≠ 100%",SUMPRODUCT(--((rMes_RO=$B12)*(rTipo_RO="Macro")),rPeso_RO,rAvance_RO)))</f>
        <v/>
      </c>
      <c r="D12" s="22">
        <f>IF(COUNTIFS(rMes_RO,$B12,rTipo_RO,"Macro")=0,"",COUNTIFS(rEstado_RO,"Completado",rMes_RO,$B12,rTipo_RO,"Macro")&amp;" / "&amp;COUNTIFS(rMes_RO,$B12,rTipo_RO,"Macro"))</f>
        <v/>
      </c>
      <c r="E12" s="20">
        <f>IF(COUNTIFS(rMes_RN,$B12,rTipo_RN,"Macro")=0,"Sin datos",IF(ABS(SUMIFS(rPeso_RN,rMes_RN,$B12,rTipo_RN,"Macro")-1)&gt;0.0001,"Pesos ≠ 100%",SUMPRODUCT(--((rMes_RN=$B12)*(rTipo_RN="Macro")),rPeso_RN,rAvance_RN)))</f>
        <v/>
      </c>
      <c r="F12" s="22">
        <f>IF(COUNTIFS(rMes_RN,$B12,rTipo_RN,"Macro")=0,"",COUNTIFS(rEstado_RN,"Completado",rMes_RN,$B12,rTipo_RN,"Macro")&amp;" / "&amp;COUNTIFS(rMes_RN,$B12,rTipo_RN,"Macro"))</f>
        <v/>
      </c>
      <c r="G12" s="20">
        <f>IF(COUNTIFS(rMes_RF,$B12,rTipo_RF,"Macro")=0,"Sin datos",IF(ABS(SUMIFS(rPeso_RF,rMes_RF,$B12,rTipo_RF,"Macro")-1)&gt;0.0001,"Pesos ≠ 100%",SUMPRODUCT(--((rMes_RF=$B12)*(rTipo_RF="Macro")),rPeso_RF,rAvance_RF)))</f>
        <v/>
      </c>
      <c r="H12" s="22">
        <f>IF(COUNTIFS(rMes_RF,$B12,rTipo_RF,"Macro")=0,"",COUNTIFS(rEstado_RF,"Completado",rMes_RF,$B12,rTipo_RF,"Macro")&amp;" / "&amp;COUNTIFS(rMes_RF,$B12,rTipo_RF,"Macro"))</f>
        <v/>
      </c>
      <c r="I12" s="20">
        <f>IF(COUNTIFS(rMes_ATR,$B12,rTipo_ATR,"Macro")=0,"Sin datos",IF(ABS(SUMIFS(rPeso_ATR,rMes_ATR,$B12,rTipo_ATR,"Macro")-1)&gt;0.0001,"Pesos ≠ 100%",SUMPRODUCT(--((rMes_ATR=$B12)*(rTipo_ATR="Macro")),rPeso_ATR,rAvance_ATR)))</f>
        <v/>
      </c>
      <c r="J12" s="22">
        <f>IF(COUNTIFS(rMes_ATR,$B12,rTipo_ATR,"Macro")=0,"",COUNTIFS(rEstado_ATR,"Completado",rMes_ATR,$B12,rTipo_ATR,"Macro")&amp;" / "&amp;COUNTIFS(rMes_ATR,$B12,rTipo_ATR,"Macro"))</f>
        <v/>
      </c>
      <c r="K12" s="71">
        <f>IF(COUNT(C12,E12,G12,I12)=4,AVERAGE(C12,E12,G12,I12),IF(COUNTIF(C12:J12,"Sin datos")=4,"Sin datos","No definitivo"))</f>
        <v/>
      </c>
    </row>
    <row r="13" ht="20" customHeight="1">
      <c r="B13" s="70">
        <f>DATE(YEAR(HistInicio),MONTH(HistInicio)+7,1)</f>
        <v/>
      </c>
      <c r="C13" s="20">
        <f>IF(COUNTIFS(rMes_RO,$B13,rTipo_RO,"Macro")=0,"Sin datos",IF(ABS(SUMIFS(rPeso_RO,rMes_RO,$B13,rTipo_RO,"Macro")-1)&gt;0.0001,"Pesos ≠ 100%",SUMPRODUCT(--((rMes_RO=$B13)*(rTipo_RO="Macro")),rPeso_RO,rAvance_RO)))</f>
        <v/>
      </c>
      <c r="D13" s="22">
        <f>IF(COUNTIFS(rMes_RO,$B13,rTipo_RO,"Macro")=0,"",COUNTIFS(rEstado_RO,"Completado",rMes_RO,$B13,rTipo_RO,"Macro")&amp;" / "&amp;COUNTIFS(rMes_RO,$B13,rTipo_RO,"Macro"))</f>
        <v/>
      </c>
      <c r="E13" s="20">
        <f>IF(COUNTIFS(rMes_RN,$B13,rTipo_RN,"Macro")=0,"Sin datos",IF(ABS(SUMIFS(rPeso_RN,rMes_RN,$B13,rTipo_RN,"Macro")-1)&gt;0.0001,"Pesos ≠ 100%",SUMPRODUCT(--((rMes_RN=$B13)*(rTipo_RN="Macro")),rPeso_RN,rAvance_RN)))</f>
        <v/>
      </c>
      <c r="F13" s="22">
        <f>IF(COUNTIFS(rMes_RN,$B13,rTipo_RN,"Macro")=0,"",COUNTIFS(rEstado_RN,"Completado",rMes_RN,$B13,rTipo_RN,"Macro")&amp;" / "&amp;COUNTIFS(rMes_RN,$B13,rTipo_RN,"Macro"))</f>
        <v/>
      </c>
      <c r="G13" s="20">
        <f>IF(COUNTIFS(rMes_RF,$B13,rTipo_RF,"Macro")=0,"Sin datos",IF(ABS(SUMIFS(rPeso_RF,rMes_RF,$B13,rTipo_RF,"Macro")-1)&gt;0.0001,"Pesos ≠ 100%",SUMPRODUCT(--((rMes_RF=$B13)*(rTipo_RF="Macro")),rPeso_RF,rAvance_RF)))</f>
        <v/>
      </c>
      <c r="H13" s="22">
        <f>IF(COUNTIFS(rMes_RF,$B13,rTipo_RF,"Macro")=0,"",COUNTIFS(rEstado_RF,"Completado",rMes_RF,$B13,rTipo_RF,"Macro")&amp;" / "&amp;COUNTIFS(rMes_RF,$B13,rTipo_RF,"Macro"))</f>
        <v/>
      </c>
      <c r="I13" s="20">
        <f>IF(COUNTIFS(rMes_ATR,$B13,rTipo_ATR,"Macro")=0,"Sin datos",IF(ABS(SUMIFS(rPeso_ATR,rMes_ATR,$B13,rTipo_ATR,"Macro")-1)&gt;0.0001,"Pesos ≠ 100%",SUMPRODUCT(--((rMes_ATR=$B13)*(rTipo_ATR="Macro")),rPeso_ATR,rAvance_ATR)))</f>
        <v/>
      </c>
      <c r="J13" s="22">
        <f>IF(COUNTIFS(rMes_ATR,$B13,rTipo_ATR,"Macro")=0,"",COUNTIFS(rEstado_ATR,"Completado",rMes_ATR,$B13,rTipo_ATR,"Macro")&amp;" / "&amp;COUNTIFS(rMes_ATR,$B13,rTipo_ATR,"Macro"))</f>
        <v/>
      </c>
      <c r="K13" s="71">
        <f>IF(COUNT(C13,E13,G13,I13)=4,AVERAGE(C13,E13,G13,I13),IF(COUNTIF(C13:J13,"Sin datos")=4,"Sin datos","No definitivo"))</f>
        <v/>
      </c>
    </row>
    <row r="14" ht="20" customHeight="1">
      <c r="B14" s="70">
        <f>DATE(YEAR(HistInicio),MONTH(HistInicio)+8,1)</f>
        <v/>
      </c>
      <c r="C14" s="20">
        <f>IF(COUNTIFS(rMes_RO,$B14,rTipo_RO,"Macro")=0,"Sin datos",IF(ABS(SUMIFS(rPeso_RO,rMes_RO,$B14,rTipo_RO,"Macro")-1)&gt;0.0001,"Pesos ≠ 100%",SUMPRODUCT(--((rMes_RO=$B14)*(rTipo_RO="Macro")),rPeso_RO,rAvance_RO)))</f>
        <v/>
      </c>
      <c r="D14" s="22">
        <f>IF(COUNTIFS(rMes_RO,$B14,rTipo_RO,"Macro")=0,"",COUNTIFS(rEstado_RO,"Completado",rMes_RO,$B14,rTipo_RO,"Macro")&amp;" / "&amp;COUNTIFS(rMes_RO,$B14,rTipo_RO,"Macro"))</f>
        <v/>
      </c>
      <c r="E14" s="20">
        <f>IF(COUNTIFS(rMes_RN,$B14,rTipo_RN,"Macro")=0,"Sin datos",IF(ABS(SUMIFS(rPeso_RN,rMes_RN,$B14,rTipo_RN,"Macro")-1)&gt;0.0001,"Pesos ≠ 100%",SUMPRODUCT(--((rMes_RN=$B14)*(rTipo_RN="Macro")),rPeso_RN,rAvance_RN)))</f>
        <v/>
      </c>
      <c r="F14" s="22">
        <f>IF(COUNTIFS(rMes_RN,$B14,rTipo_RN,"Macro")=0,"",COUNTIFS(rEstado_RN,"Completado",rMes_RN,$B14,rTipo_RN,"Macro")&amp;" / "&amp;COUNTIFS(rMes_RN,$B14,rTipo_RN,"Macro"))</f>
        <v/>
      </c>
      <c r="G14" s="20">
        <f>IF(COUNTIFS(rMes_RF,$B14,rTipo_RF,"Macro")=0,"Sin datos",IF(ABS(SUMIFS(rPeso_RF,rMes_RF,$B14,rTipo_RF,"Macro")-1)&gt;0.0001,"Pesos ≠ 100%",SUMPRODUCT(--((rMes_RF=$B14)*(rTipo_RF="Macro")),rPeso_RF,rAvance_RF)))</f>
        <v/>
      </c>
      <c r="H14" s="22">
        <f>IF(COUNTIFS(rMes_RF,$B14,rTipo_RF,"Macro")=0,"",COUNTIFS(rEstado_RF,"Completado",rMes_RF,$B14,rTipo_RF,"Macro")&amp;" / "&amp;COUNTIFS(rMes_RF,$B14,rTipo_RF,"Macro"))</f>
        <v/>
      </c>
      <c r="I14" s="20">
        <f>IF(COUNTIFS(rMes_ATR,$B14,rTipo_ATR,"Macro")=0,"Sin datos",IF(ABS(SUMIFS(rPeso_ATR,rMes_ATR,$B14,rTipo_ATR,"Macro")-1)&gt;0.0001,"Pesos ≠ 100%",SUMPRODUCT(--((rMes_ATR=$B14)*(rTipo_ATR="Macro")),rPeso_ATR,rAvance_ATR)))</f>
        <v/>
      </c>
      <c r="J14" s="22">
        <f>IF(COUNTIFS(rMes_ATR,$B14,rTipo_ATR,"Macro")=0,"",COUNTIFS(rEstado_ATR,"Completado",rMes_ATR,$B14,rTipo_ATR,"Macro")&amp;" / "&amp;COUNTIFS(rMes_ATR,$B14,rTipo_ATR,"Macro"))</f>
        <v/>
      </c>
      <c r="K14" s="71">
        <f>IF(COUNT(C14,E14,G14,I14)=4,AVERAGE(C14,E14,G14,I14),IF(COUNTIF(C14:J14,"Sin datos")=4,"Sin datos","No definitivo"))</f>
        <v/>
      </c>
    </row>
    <row r="15" ht="20" customHeight="1">
      <c r="B15" s="70">
        <f>DATE(YEAR(HistInicio),MONTH(HistInicio)+9,1)</f>
        <v/>
      </c>
      <c r="C15" s="20">
        <f>IF(COUNTIFS(rMes_RO,$B15,rTipo_RO,"Macro")=0,"Sin datos",IF(ABS(SUMIFS(rPeso_RO,rMes_RO,$B15,rTipo_RO,"Macro")-1)&gt;0.0001,"Pesos ≠ 100%",SUMPRODUCT(--((rMes_RO=$B15)*(rTipo_RO="Macro")),rPeso_RO,rAvance_RO)))</f>
        <v/>
      </c>
      <c r="D15" s="22">
        <f>IF(COUNTIFS(rMes_RO,$B15,rTipo_RO,"Macro")=0,"",COUNTIFS(rEstado_RO,"Completado",rMes_RO,$B15,rTipo_RO,"Macro")&amp;" / "&amp;COUNTIFS(rMes_RO,$B15,rTipo_RO,"Macro"))</f>
        <v/>
      </c>
      <c r="E15" s="20">
        <f>IF(COUNTIFS(rMes_RN,$B15,rTipo_RN,"Macro")=0,"Sin datos",IF(ABS(SUMIFS(rPeso_RN,rMes_RN,$B15,rTipo_RN,"Macro")-1)&gt;0.0001,"Pesos ≠ 100%",SUMPRODUCT(--((rMes_RN=$B15)*(rTipo_RN="Macro")),rPeso_RN,rAvance_RN)))</f>
        <v/>
      </c>
      <c r="F15" s="22">
        <f>IF(COUNTIFS(rMes_RN,$B15,rTipo_RN,"Macro")=0,"",COUNTIFS(rEstado_RN,"Completado",rMes_RN,$B15,rTipo_RN,"Macro")&amp;" / "&amp;COUNTIFS(rMes_RN,$B15,rTipo_RN,"Macro"))</f>
        <v/>
      </c>
      <c r="G15" s="20">
        <f>IF(COUNTIFS(rMes_RF,$B15,rTipo_RF,"Macro")=0,"Sin datos",IF(ABS(SUMIFS(rPeso_RF,rMes_RF,$B15,rTipo_RF,"Macro")-1)&gt;0.0001,"Pesos ≠ 100%",SUMPRODUCT(--((rMes_RF=$B15)*(rTipo_RF="Macro")),rPeso_RF,rAvance_RF)))</f>
        <v/>
      </c>
      <c r="H15" s="22">
        <f>IF(COUNTIFS(rMes_RF,$B15,rTipo_RF,"Macro")=0,"",COUNTIFS(rEstado_RF,"Completado",rMes_RF,$B15,rTipo_RF,"Macro")&amp;" / "&amp;COUNTIFS(rMes_RF,$B15,rTipo_RF,"Macro"))</f>
        <v/>
      </c>
      <c r="I15" s="20">
        <f>IF(COUNTIFS(rMes_ATR,$B15,rTipo_ATR,"Macro")=0,"Sin datos",IF(ABS(SUMIFS(rPeso_ATR,rMes_ATR,$B15,rTipo_ATR,"Macro")-1)&gt;0.0001,"Pesos ≠ 100%",SUMPRODUCT(--((rMes_ATR=$B15)*(rTipo_ATR="Macro")),rPeso_ATR,rAvance_ATR)))</f>
        <v/>
      </c>
      <c r="J15" s="22">
        <f>IF(COUNTIFS(rMes_ATR,$B15,rTipo_ATR,"Macro")=0,"",COUNTIFS(rEstado_ATR,"Completado",rMes_ATR,$B15,rTipo_ATR,"Macro")&amp;" / "&amp;COUNTIFS(rMes_ATR,$B15,rTipo_ATR,"Macro"))</f>
        <v/>
      </c>
      <c r="K15" s="71">
        <f>IF(COUNT(C15,E15,G15,I15)=4,AVERAGE(C15,E15,G15,I15),IF(COUNTIF(C15:J15,"Sin datos")=4,"Sin datos","No definitivo"))</f>
        <v/>
      </c>
    </row>
    <row r="16" ht="20" customHeight="1">
      <c r="B16" s="70">
        <f>DATE(YEAR(HistInicio),MONTH(HistInicio)+10,1)</f>
        <v/>
      </c>
      <c r="C16" s="20">
        <f>IF(COUNTIFS(rMes_RO,$B16,rTipo_RO,"Macro")=0,"Sin datos",IF(ABS(SUMIFS(rPeso_RO,rMes_RO,$B16,rTipo_RO,"Macro")-1)&gt;0.0001,"Pesos ≠ 100%",SUMPRODUCT(--((rMes_RO=$B16)*(rTipo_RO="Macro")),rPeso_RO,rAvance_RO)))</f>
        <v/>
      </c>
      <c r="D16" s="22">
        <f>IF(COUNTIFS(rMes_RO,$B16,rTipo_RO,"Macro")=0,"",COUNTIFS(rEstado_RO,"Completado",rMes_RO,$B16,rTipo_RO,"Macro")&amp;" / "&amp;COUNTIFS(rMes_RO,$B16,rTipo_RO,"Macro"))</f>
        <v/>
      </c>
      <c r="E16" s="20">
        <f>IF(COUNTIFS(rMes_RN,$B16,rTipo_RN,"Macro")=0,"Sin datos",IF(ABS(SUMIFS(rPeso_RN,rMes_RN,$B16,rTipo_RN,"Macro")-1)&gt;0.0001,"Pesos ≠ 100%",SUMPRODUCT(--((rMes_RN=$B16)*(rTipo_RN="Macro")),rPeso_RN,rAvance_RN)))</f>
        <v/>
      </c>
      <c r="F16" s="22">
        <f>IF(COUNTIFS(rMes_RN,$B16,rTipo_RN,"Macro")=0,"",COUNTIFS(rEstado_RN,"Completado",rMes_RN,$B16,rTipo_RN,"Macro")&amp;" / "&amp;COUNTIFS(rMes_RN,$B16,rTipo_RN,"Macro"))</f>
        <v/>
      </c>
      <c r="G16" s="20">
        <f>IF(COUNTIFS(rMes_RF,$B16,rTipo_RF,"Macro")=0,"Sin datos",IF(ABS(SUMIFS(rPeso_RF,rMes_RF,$B16,rTipo_RF,"Macro")-1)&gt;0.0001,"Pesos ≠ 100%",SUMPRODUCT(--((rMes_RF=$B16)*(rTipo_RF="Macro")),rPeso_RF,rAvance_RF)))</f>
        <v/>
      </c>
      <c r="H16" s="22">
        <f>IF(COUNTIFS(rMes_RF,$B16,rTipo_RF,"Macro")=0,"",COUNTIFS(rEstado_RF,"Completado",rMes_RF,$B16,rTipo_RF,"Macro")&amp;" / "&amp;COUNTIFS(rMes_RF,$B16,rTipo_RF,"Macro"))</f>
        <v/>
      </c>
      <c r="I16" s="20">
        <f>IF(COUNTIFS(rMes_ATR,$B16,rTipo_ATR,"Macro")=0,"Sin datos",IF(ABS(SUMIFS(rPeso_ATR,rMes_ATR,$B16,rTipo_ATR,"Macro")-1)&gt;0.0001,"Pesos ≠ 100%",SUMPRODUCT(--((rMes_ATR=$B16)*(rTipo_ATR="Macro")),rPeso_ATR,rAvance_ATR)))</f>
        <v/>
      </c>
      <c r="J16" s="22">
        <f>IF(COUNTIFS(rMes_ATR,$B16,rTipo_ATR,"Macro")=0,"",COUNTIFS(rEstado_ATR,"Completado",rMes_ATR,$B16,rTipo_ATR,"Macro")&amp;" / "&amp;COUNTIFS(rMes_ATR,$B16,rTipo_ATR,"Macro"))</f>
        <v/>
      </c>
      <c r="K16" s="71">
        <f>IF(COUNT(C16,E16,G16,I16)=4,AVERAGE(C16,E16,G16,I16),IF(COUNTIF(C16:J16,"Sin datos")=4,"Sin datos","No definitivo"))</f>
        <v/>
      </c>
    </row>
    <row r="17" ht="20" customHeight="1">
      <c r="B17" s="70">
        <f>DATE(YEAR(HistInicio),MONTH(HistInicio)+11,1)</f>
        <v/>
      </c>
      <c r="C17" s="20">
        <f>IF(COUNTIFS(rMes_RO,$B17,rTipo_RO,"Macro")=0,"Sin datos",IF(ABS(SUMIFS(rPeso_RO,rMes_RO,$B17,rTipo_RO,"Macro")-1)&gt;0.0001,"Pesos ≠ 100%",SUMPRODUCT(--((rMes_RO=$B17)*(rTipo_RO="Macro")),rPeso_RO,rAvance_RO)))</f>
        <v/>
      </c>
      <c r="D17" s="22">
        <f>IF(COUNTIFS(rMes_RO,$B17,rTipo_RO,"Macro")=0,"",COUNTIFS(rEstado_RO,"Completado",rMes_RO,$B17,rTipo_RO,"Macro")&amp;" / "&amp;COUNTIFS(rMes_RO,$B17,rTipo_RO,"Macro"))</f>
        <v/>
      </c>
      <c r="E17" s="20">
        <f>IF(COUNTIFS(rMes_RN,$B17,rTipo_RN,"Macro")=0,"Sin datos",IF(ABS(SUMIFS(rPeso_RN,rMes_RN,$B17,rTipo_RN,"Macro")-1)&gt;0.0001,"Pesos ≠ 100%",SUMPRODUCT(--((rMes_RN=$B17)*(rTipo_RN="Macro")),rPeso_RN,rAvance_RN)))</f>
        <v/>
      </c>
      <c r="F17" s="22">
        <f>IF(COUNTIFS(rMes_RN,$B17,rTipo_RN,"Macro")=0,"",COUNTIFS(rEstado_RN,"Completado",rMes_RN,$B17,rTipo_RN,"Macro")&amp;" / "&amp;COUNTIFS(rMes_RN,$B17,rTipo_RN,"Macro"))</f>
        <v/>
      </c>
      <c r="G17" s="20">
        <f>IF(COUNTIFS(rMes_RF,$B17,rTipo_RF,"Macro")=0,"Sin datos",IF(ABS(SUMIFS(rPeso_RF,rMes_RF,$B17,rTipo_RF,"Macro")-1)&gt;0.0001,"Pesos ≠ 100%",SUMPRODUCT(--((rMes_RF=$B17)*(rTipo_RF="Macro")),rPeso_RF,rAvance_RF)))</f>
        <v/>
      </c>
      <c r="H17" s="22">
        <f>IF(COUNTIFS(rMes_RF,$B17,rTipo_RF,"Macro")=0,"",COUNTIFS(rEstado_RF,"Completado",rMes_RF,$B17,rTipo_RF,"Macro")&amp;" / "&amp;COUNTIFS(rMes_RF,$B17,rTipo_RF,"Macro"))</f>
        <v/>
      </c>
      <c r="I17" s="20">
        <f>IF(COUNTIFS(rMes_ATR,$B17,rTipo_ATR,"Macro")=0,"Sin datos",IF(ABS(SUMIFS(rPeso_ATR,rMes_ATR,$B17,rTipo_ATR,"Macro")-1)&gt;0.0001,"Pesos ≠ 100%",SUMPRODUCT(--((rMes_ATR=$B17)*(rTipo_ATR="Macro")),rPeso_ATR,rAvance_ATR)))</f>
        <v/>
      </c>
      <c r="J17" s="22">
        <f>IF(COUNTIFS(rMes_ATR,$B17,rTipo_ATR,"Macro")=0,"",COUNTIFS(rEstado_ATR,"Completado",rMes_ATR,$B17,rTipo_ATR,"Macro")&amp;" / "&amp;COUNTIFS(rMes_ATR,$B17,rTipo_ATR,"Macro"))</f>
        <v/>
      </c>
      <c r="K17" s="71">
        <f>IF(COUNT(C17,E17,G17,I17)=4,AVERAGE(C17,E17,G17,I17),IF(COUNTIF(C17:J17,"Sin datos")=4,"Sin datos","No definitivo"))</f>
        <v/>
      </c>
    </row>
    <row r="18" ht="20" customHeight="1">
      <c r="B18" s="70">
        <f>DATE(YEAR(HistInicio),MONTH(HistInicio)+12,1)</f>
        <v/>
      </c>
      <c r="C18" s="20">
        <f>IF(COUNTIFS(rMes_RO,$B18,rTipo_RO,"Macro")=0,"Sin datos",IF(ABS(SUMIFS(rPeso_RO,rMes_RO,$B18,rTipo_RO,"Macro")-1)&gt;0.0001,"Pesos ≠ 100%",SUMPRODUCT(--((rMes_RO=$B18)*(rTipo_RO="Macro")),rPeso_RO,rAvance_RO)))</f>
        <v/>
      </c>
      <c r="D18" s="22">
        <f>IF(COUNTIFS(rMes_RO,$B18,rTipo_RO,"Macro")=0,"",COUNTIFS(rEstado_RO,"Completado",rMes_RO,$B18,rTipo_RO,"Macro")&amp;" / "&amp;COUNTIFS(rMes_RO,$B18,rTipo_RO,"Macro"))</f>
        <v/>
      </c>
      <c r="E18" s="20">
        <f>IF(COUNTIFS(rMes_RN,$B18,rTipo_RN,"Macro")=0,"Sin datos",IF(ABS(SUMIFS(rPeso_RN,rMes_RN,$B18,rTipo_RN,"Macro")-1)&gt;0.0001,"Pesos ≠ 100%",SUMPRODUCT(--((rMes_RN=$B18)*(rTipo_RN="Macro")),rPeso_RN,rAvance_RN)))</f>
        <v/>
      </c>
      <c r="F18" s="22">
        <f>IF(COUNTIFS(rMes_RN,$B18,rTipo_RN,"Macro")=0,"",COUNTIFS(rEstado_RN,"Completado",rMes_RN,$B18,rTipo_RN,"Macro")&amp;" / "&amp;COUNTIFS(rMes_RN,$B18,rTipo_RN,"Macro"))</f>
        <v/>
      </c>
      <c r="G18" s="20">
        <f>IF(COUNTIFS(rMes_RF,$B18,rTipo_RF,"Macro")=0,"Sin datos",IF(ABS(SUMIFS(rPeso_RF,rMes_RF,$B18,rTipo_RF,"Macro")-1)&gt;0.0001,"Pesos ≠ 100%",SUMPRODUCT(--((rMes_RF=$B18)*(rTipo_RF="Macro")),rPeso_RF,rAvance_RF)))</f>
        <v/>
      </c>
      <c r="H18" s="22">
        <f>IF(COUNTIFS(rMes_RF,$B18,rTipo_RF,"Macro")=0,"",COUNTIFS(rEstado_RF,"Completado",rMes_RF,$B18,rTipo_RF,"Macro")&amp;" / "&amp;COUNTIFS(rMes_RF,$B18,rTipo_RF,"Macro"))</f>
        <v/>
      </c>
      <c r="I18" s="20">
        <f>IF(COUNTIFS(rMes_ATR,$B18,rTipo_ATR,"Macro")=0,"Sin datos",IF(ABS(SUMIFS(rPeso_ATR,rMes_ATR,$B18,rTipo_ATR,"Macro")-1)&gt;0.0001,"Pesos ≠ 100%",SUMPRODUCT(--((rMes_ATR=$B18)*(rTipo_ATR="Macro")),rPeso_ATR,rAvance_ATR)))</f>
        <v/>
      </c>
      <c r="J18" s="22">
        <f>IF(COUNTIFS(rMes_ATR,$B18,rTipo_ATR,"Macro")=0,"",COUNTIFS(rEstado_ATR,"Completado",rMes_ATR,$B18,rTipo_ATR,"Macro")&amp;" / "&amp;COUNTIFS(rMes_ATR,$B18,rTipo_ATR,"Macro"))</f>
        <v/>
      </c>
      <c r="K18" s="71">
        <f>IF(COUNT(C18,E18,G18,I18)=4,AVERAGE(C18,E18,G18,I18),IF(COUNTIF(C18:J18,"Sin datos")=4,"Sin datos","No definitivo"))</f>
        <v/>
      </c>
    </row>
    <row r="19" ht="20" customHeight="1">
      <c r="B19" s="70">
        <f>DATE(YEAR(HistInicio),MONTH(HistInicio)+13,1)</f>
        <v/>
      </c>
      <c r="C19" s="20">
        <f>IF(COUNTIFS(rMes_RO,$B19,rTipo_RO,"Macro")=0,"Sin datos",IF(ABS(SUMIFS(rPeso_RO,rMes_RO,$B19,rTipo_RO,"Macro")-1)&gt;0.0001,"Pesos ≠ 100%",SUMPRODUCT(--((rMes_RO=$B19)*(rTipo_RO="Macro")),rPeso_RO,rAvance_RO)))</f>
        <v/>
      </c>
      <c r="D19" s="22">
        <f>IF(COUNTIFS(rMes_RO,$B19,rTipo_RO,"Macro")=0,"",COUNTIFS(rEstado_RO,"Completado",rMes_RO,$B19,rTipo_RO,"Macro")&amp;" / "&amp;COUNTIFS(rMes_RO,$B19,rTipo_RO,"Macro"))</f>
        <v/>
      </c>
      <c r="E19" s="20">
        <f>IF(COUNTIFS(rMes_RN,$B19,rTipo_RN,"Macro")=0,"Sin datos",IF(ABS(SUMIFS(rPeso_RN,rMes_RN,$B19,rTipo_RN,"Macro")-1)&gt;0.0001,"Pesos ≠ 100%",SUMPRODUCT(--((rMes_RN=$B19)*(rTipo_RN="Macro")),rPeso_RN,rAvance_RN)))</f>
        <v/>
      </c>
      <c r="F19" s="22">
        <f>IF(COUNTIFS(rMes_RN,$B19,rTipo_RN,"Macro")=0,"",COUNTIFS(rEstado_RN,"Completado",rMes_RN,$B19,rTipo_RN,"Macro")&amp;" / "&amp;COUNTIFS(rMes_RN,$B19,rTipo_RN,"Macro"))</f>
        <v/>
      </c>
      <c r="G19" s="20">
        <f>IF(COUNTIFS(rMes_RF,$B19,rTipo_RF,"Macro")=0,"Sin datos",IF(ABS(SUMIFS(rPeso_RF,rMes_RF,$B19,rTipo_RF,"Macro")-1)&gt;0.0001,"Pesos ≠ 100%",SUMPRODUCT(--((rMes_RF=$B19)*(rTipo_RF="Macro")),rPeso_RF,rAvance_RF)))</f>
        <v/>
      </c>
      <c r="H19" s="22">
        <f>IF(COUNTIFS(rMes_RF,$B19,rTipo_RF,"Macro")=0,"",COUNTIFS(rEstado_RF,"Completado",rMes_RF,$B19,rTipo_RF,"Macro")&amp;" / "&amp;COUNTIFS(rMes_RF,$B19,rTipo_RF,"Macro"))</f>
        <v/>
      </c>
      <c r="I19" s="20">
        <f>IF(COUNTIFS(rMes_ATR,$B19,rTipo_ATR,"Macro")=0,"Sin datos",IF(ABS(SUMIFS(rPeso_ATR,rMes_ATR,$B19,rTipo_ATR,"Macro")-1)&gt;0.0001,"Pesos ≠ 100%",SUMPRODUCT(--((rMes_ATR=$B19)*(rTipo_ATR="Macro")),rPeso_ATR,rAvance_ATR)))</f>
        <v/>
      </c>
      <c r="J19" s="22">
        <f>IF(COUNTIFS(rMes_ATR,$B19,rTipo_ATR,"Macro")=0,"",COUNTIFS(rEstado_ATR,"Completado",rMes_ATR,$B19,rTipo_ATR,"Macro")&amp;" / "&amp;COUNTIFS(rMes_ATR,$B19,rTipo_ATR,"Macro"))</f>
        <v/>
      </c>
      <c r="K19" s="71">
        <f>IF(COUNT(C19,E19,G19,I19)=4,AVERAGE(C19,E19,G19,I19),IF(COUNTIF(C19:J19,"Sin datos")=4,"Sin datos","No definitivo"))</f>
        <v/>
      </c>
    </row>
    <row r="20" ht="20" customHeight="1">
      <c r="B20" s="70">
        <f>DATE(YEAR(HistInicio),MONTH(HistInicio)+14,1)</f>
        <v/>
      </c>
      <c r="C20" s="20">
        <f>IF(COUNTIFS(rMes_RO,$B20,rTipo_RO,"Macro")=0,"Sin datos",IF(ABS(SUMIFS(rPeso_RO,rMes_RO,$B20,rTipo_RO,"Macro")-1)&gt;0.0001,"Pesos ≠ 100%",SUMPRODUCT(--((rMes_RO=$B20)*(rTipo_RO="Macro")),rPeso_RO,rAvance_RO)))</f>
        <v/>
      </c>
      <c r="D20" s="22">
        <f>IF(COUNTIFS(rMes_RO,$B20,rTipo_RO,"Macro")=0,"",COUNTIFS(rEstado_RO,"Completado",rMes_RO,$B20,rTipo_RO,"Macro")&amp;" / "&amp;COUNTIFS(rMes_RO,$B20,rTipo_RO,"Macro"))</f>
        <v/>
      </c>
      <c r="E20" s="20">
        <f>IF(COUNTIFS(rMes_RN,$B20,rTipo_RN,"Macro")=0,"Sin datos",IF(ABS(SUMIFS(rPeso_RN,rMes_RN,$B20,rTipo_RN,"Macro")-1)&gt;0.0001,"Pesos ≠ 100%",SUMPRODUCT(--((rMes_RN=$B20)*(rTipo_RN="Macro")),rPeso_RN,rAvance_RN)))</f>
        <v/>
      </c>
      <c r="F20" s="22">
        <f>IF(COUNTIFS(rMes_RN,$B20,rTipo_RN,"Macro")=0,"",COUNTIFS(rEstado_RN,"Completado",rMes_RN,$B20,rTipo_RN,"Macro")&amp;" / "&amp;COUNTIFS(rMes_RN,$B20,rTipo_RN,"Macro"))</f>
        <v/>
      </c>
      <c r="G20" s="20">
        <f>IF(COUNTIFS(rMes_RF,$B20,rTipo_RF,"Macro")=0,"Sin datos",IF(ABS(SUMIFS(rPeso_RF,rMes_RF,$B20,rTipo_RF,"Macro")-1)&gt;0.0001,"Pesos ≠ 100%",SUMPRODUCT(--((rMes_RF=$B20)*(rTipo_RF="Macro")),rPeso_RF,rAvance_RF)))</f>
        <v/>
      </c>
      <c r="H20" s="22">
        <f>IF(COUNTIFS(rMes_RF,$B20,rTipo_RF,"Macro")=0,"",COUNTIFS(rEstado_RF,"Completado",rMes_RF,$B20,rTipo_RF,"Macro")&amp;" / "&amp;COUNTIFS(rMes_RF,$B20,rTipo_RF,"Macro"))</f>
        <v/>
      </c>
      <c r="I20" s="20">
        <f>IF(COUNTIFS(rMes_ATR,$B20,rTipo_ATR,"Macro")=0,"Sin datos",IF(ABS(SUMIFS(rPeso_ATR,rMes_ATR,$B20,rTipo_ATR,"Macro")-1)&gt;0.0001,"Pesos ≠ 100%",SUMPRODUCT(--((rMes_ATR=$B20)*(rTipo_ATR="Macro")),rPeso_ATR,rAvance_ATR)))</f>
        <v/>
      </c>
      <c r="J20" s="22">
        <f>IF(COUNTIFS(rMes_ATR,$B20,rTipo_ATR,"Macro")=0,"",COUNTIFS(rEstado_ATR,"Completado",rMes_ATR,$B20,rTipo_ATR,"Macro")&amp;" / "&amp;COUNTIFS(rMes_ATR,$B20,rTipo_ATR,"Macro"))</f>
        <v/>
      </c>
      <c r="K20" s="71">
        <f>IF(COUNT(C20,E20,G20,I20)=4,AVERAGE(C20,E20,G20,I20),IF(COUNTIF(C20:J20,"Sin datos")=4,"Sin datos","No definitivo"))</f>
        <v/>
      </c>
    </row>
    <row r="21" ht="20" customHeight="1">
      <c r="B21" s="70">
        <f>DATE(YEAR(HistInicio),MONTH(HistInicio)+15,1)</f>
        <v/>
      </c>
      <c r="C21" s="20">
        <f>IF(COUNTIFS(rMes_RO,$B21,rTipo_RO,"Macro")=0,"Sin datos",IF(ABS(SUMIFS(rPeso_RO,rMes_RO,$B21,rTipo_RO,"Macro")-1)&gt;0.0001,"Pesos ≠ 100%",SUMPRODUCT(--((rMes_RO=$B21)*(rTipo_RO="Macro")),rPeso_RO,rAvance_RO)))</f>
        <v/>
      </c>
      <c r="D21" s="22">
        <f>IF(COUNTIFS(rMes_RO,$B21,rTipo_RO,"Macro")=0,"",COUNTIFS(rEstado_RO,"Completado",rMes_RO,$B21,rTipo_RO,"Macro")&amp;" / "&amp;COUNTIFS(rMes_RO,$B21,rTipo_RO,"Macro"))</f>
        <v/>
      </c>
      <c r="E21" s="20">
        <f>IF(COUNTIFS(rMes_RN,$B21,rTipo_RN,"Macro")=0,"Sin datos",IF(ABS(SUMIFS(rPeso_RN,rMes_RN,$B21,rTipo_RN,"Macro")-1)&gt;0.0001,"Pesos ≠ 100%",SUMPRODUCT(--((rMes_RN=$B21)*(rTipo_RN="Macro")),rPeso_RN,rAvance_RN)))</f>
        <v/>
      </c>
      <c r="F21" s="22">
        <f>IF(COUNTIFS(rMes_RN,$B21,rTipo_RN,"Macro")=0,"",COUNTIFS(rEstado_RN,"Completado",rMes_RN,$B21,rTipo_RN,"Macro")&amp;" / "&amp;COUNTIFS(rMes_RN,$B21,rTipo_RN,"Macro"))</f>
        <v/>
      </c>
      <c r="G21" s="20">
        <f>IF(COUNTIFS(rMes_RF,$B21,rTipo_RF,"Macro")=0,"Sin datos",IF(ABS(SUMIFS(rPeso_RF,rMes_RF,$B21,rTipo_RF,"Macro")-1)&gt;0.0001,"Pesos ≠ 100%",SUMPRODUCT(--((rMes_RF=$B21)*(rTipo_RF="Macro")),rPeso_RF,rAvance_RF)))</f>
        <v/>
      </c>
      <c r="H21" s="22">
        <f>IF(COUNTIFS(rMes_RF,$B21,rTipo_RF,"Macro")=0,"",COUNTIFS(rEstado_RF,"Completado",rMes_RF,$B21,rTipo_RF,"Macro")&amp;" / "&amp;COUNTIFS(rMes_RF,$B21,rTipo_RF,"Macro"))</f>
        <v/>
      </c>
      <c r="I21" s="20">
        <f>IF(COUNTIFS(rMes_ATR,$B21,rTipo_ATR,"Macro")=0,"Sin datos",IF(ABS(SUMIFS(rPeso_ATR,rMes_ATR,$B21,rTipo_ATR,"Macro")-1)&gt;0.0001,"Pesos ≠ 100%",SUMPRODUCT(--((rMes_ATR=$B21)*(rTipo_ATR="Macro")),rPeso_ATR,rAvance_ATR)))</f>
        <v/>
      </c>
      <c r="J21" s="22">
        <f>IF(COUNTIFS(rMes_ATR,$B21,rTipo_ATR,"Macro")=0,"",COUNTIFS(rEstado_ATR,"Completado",rMes_ATR,$B21,rTipo_ATR,"Macro")&amp;" / "&amp;COUNTIFS(rMes_ATR,$B21,rTipo_ATR,"Macro"))</f>
        <v/>
      </c>
      <c r="K21" s="71">
        <f>IF(COUNT(C21,E21,G21,I21)=4,AVERAGE(C21,E21,G21,I21),IF(COUNTIF(C21:J21,"Sin datos")=4,"Sin datos","No definitivo"))</f>
        <v/>
      </c>
    </row>
    <row r="22" ht="20" customHeight="1">
      <c r="B22" s="70">
        <f>DATE(YEAR(HistInicio),MONTH(HistInicio)+16,1)</f>
        <v/>
      </c>
      <c r="C22" s="20">
        <f>IF(COUNTIFS(rMes_RO,$B22,rTipo_RO,"Macro")=0,"Sin datos",IF(ABS(SUMIFS(rPeso_RO,rMes_RO,$B22,rTipo_RO,"Macro")-1)&gt;0.0001,"Pesos ≠ 100%",SUMPRODUCT(--((rMes_RO=$B22)*(rTipo_RO="Macro")),rPeso_RO,rAvance_RO)))</f>
        <v/>
      </c>
      <c r="D22" s="22">
        <f>IF(COUNTIFS(rMes_RO,$B22,rTipo_RO,"Macro")=0,"",COUNTIFS(rEstado_RO,"Completado",rMes_RO,$B22,rTipo_RO,"Macro")&amp;" / "&amp;COUNTIFS(rMes_RO,$B22,rTipo_RO,"Macro"))</f>
        <v/>
      </c>
      <c r="E22" s="20">
        <f>IF(COUNTIFS(rMes_RN,$B22,rTipo_RN,"Macro")=0,"Sin datos",IF(ABS(SUMIFS(rPeso_RN,rMes_RN,$B22,rTipo_RN,"Macro")-1)&gt;0.0001,"Pesos ≠ 100%",SUMPRODUCT(--((rMes_RN=$B22)*(rTipo_RN="Macro")),rPeso_RN,rAvance_RN)))</f>
        <v/>
      </c>
      <c r="F22" s="22">
        <f>IF(COUNTIFS(rMes_RN,$B22,rTipo_RN,"Macro")=0,"",COUNTIFS(rEstado_RN,"Completado",rMes_RN,$B22,rTipo_RN,"Macro")&amp;" / "&amp;COUNTIFS(rMes_RN,$B22,rTipo_RN,"Macro"))</f>
        <v/>
      </c>
      <c r="G22" s="20">
        <f>IF(COUNTIFS(rMes_RF,$B22,rTipo_RF,"Macro")=0,"Sin datos",IF(ABS(SUMIFS(rPeso_RF,rMes_RF,$B22,rTipo_RF,"Macro")-1)&gt;0.0001,"Pesos ≠ 100%",SUMPRODUCT(--((rMes_RF=$B22)*(rTipo_RF="Macro")),rPeso_RF,rAvance_RF)))</f>
        <v/>
      </c>
      <c r="H22" s="22">
        <f>IF(COUNTIFS(rMes_RF,$B22,rTipo_RF,"Macro")=0,"",COUNTIFS(rEstado_RF,"Completado",rMes_RF,$B22,rTipo_RF,"Macro")&amp;" / "&amp;COUNTIFS(rMes_RF,$B22,rTipo_RF,"Macro"))</f>
        <v/>
      </c>
      <c r="I22" s="20">
        <f>IF(COUNTIFS(rMes_ATR,$B22,rTipo_ATR,"Macro")=0,"Sin datos",IF(ABS(SUMIFS(rPeso_ATR,rMes_ATR,$B22,rTipo_ATR,"Macro")-1)&gt;0.0001,"Pesos ≠ 100%",SUMPRODUCT(--((rMes_ATR=$B22)*(rTipo_ATR="Macro")),rPeso_ATR,rAvance_ATR)))</f>
        <v/>
      </c>
      <c r="J22" s="22">
        <f>IF(COUNTIFS(rMes_ATR,$B22,rTipo_ATR,"Macro")=0,"",COUNTIFS(rEstado_ATR,"Completado",rMes_ATR,$B22,rTipo_ATR,"Macro")&amp;" / "&amp;COUNTIFS(rMes_ATR,$B22,rTipo_ATR,"Macro"))</f>
        <v/>
      </c>
      <c r="K22" s="71">
        <f>IF(COUNT(C22,E22,G22,I22)=4,AVERAGE(C22,E22,G22,I22),IF(COUNTIF(C22:J22,"Sin datos")=4,"Sin datos","No definitivo"))</f>
        <v/>
      </c>
    </row>
    <row r="23" ht="20" customHeight="1">
      <c r="B23" s="70">
        <f>DATE(YEAR(HistInicio),MONTH(HistInicio)+17,1)</f>
        <v/>
      </c>
      <c r="C23" s="20">
        <f>IF(COUNTIFS(rMes_RO,$B23,rTipo_RO,"Macro")=0,"Sin datos",IF(ABS(SUMIFS(rPeso_RO,rMes_RO,$B23,rTipo_RO,"Macro")-1)&gt;0.0001,"Pesos ≠ 100%",SUMPRODUCT(--((rMes_RO=$B23)*(rTipo_RO="Macro")),rPeso_RO,rAvance_RO)))</f>
        <v/>
      </c>
      <c r="D23" s="22">
        <f>IF(COUNTIFS(rMes_RO,$B23,rTipo_RO,"Macro")=0,"",COUNTIFS(rEstado_RO,"Completado",rMes_RO,$B23,rTipo_RO,"Macro")&amp;" / "&amp;COUNTIFS(rMes_RO,$B23,rTipo_RO,"Macro"))</f>
        <v/>
      </c>
      <c r="E23" s="20">
        <f>IF(COUNTIFS(rMes_RN,$B23,rTipo_RN,"Macro")=0,"Sin datos",IF(ABS(SUMIFS(rPeso_RN,rMes_RN,$B23,rTipo_RN,"Macro")-1)&gt;0.0001,"Pesos ≠ 100%",SUMPRODUCT(--((rMes_RN=$B23)*(rTipo_RN="Macro")),rPeso_RN,rAvance_RN)))</f>
        <v/>
      </c>
      <c r="F23" s="22">
        <f>IF(COUNTIFS(rMes_RN,$B23,rTipo_RN,"Macro")=0,"",COUNTIFS(rEstado_RN,"Completado",rMes_RN,$B23,rTipo_RN,"Macro")&amp;" / "&amp;COUNTIFS(rMes_RN,$B23,rTipo_RN,"Macro"))</f>
        <v/>
      </c>
      <c r="G23" s="20">
        <f>IF(COUNTIFS(rMes_RF,$B23,rTipo_RF,"Macro")=0,"Sin datos",IF(ABS(SUMIFS(rPeso_RF,rMes_RF,$B23,rTipo_RF,"Macro")-1)&gt;0.0001,"Pesos ≠ 100%",SUMPRODUCT(--((rMes_RF=$B23)*(rTipo_RF="Macro")),rPeso_RF,rAvance_RF)))</f>
        <v/>
      </c>
      <c r="H23" s="22">
        <f>IF(COUNTIFS(rMes_RF,$B23,rTipo_RF,"Macro")=0,"",COUNTIFS(rEstado_RF,"Completado",rMes_RF,$B23,rTipo_RF,"Macro")&amp;" / "&amp;COUNTIFS(rMes_RF,$B23,rTipo_RF,"Macro"))</f>
        <v/>
      </c>
      <c r="I23" s="20">
        <f>IF(COUNTIFS(rMes_ATR,$B23,rTipo_ATR,"Macro")=0,"Sin datos",IF(ABS(SUMIFS(rPeso_ATR,rMes_ATR,$B23,rTipo_ATR,"Macro")-1)&gt;0.0001,"Pesos ≠ 100%",SUMPRODUCT(--((rMes_ATR=$B23)*(rTipo_ATR="Macro")),rPeso_ATR,rAvance_ATR)))</f>
        <v/>
      </c>
      <c r="J23" s="22">
        <f>IF(COUNTIFS(rMes_ATR,$B23,rTipo_ATR,"Macro")=0,"",COUNTIFS(rEstado_ATR,"Completado",rMes_ATR,$B23,rTipo_ATR,"Macro")&amp;" / "&amp;COUNTIFS(rMes_ATR,$B23,rTipo_ATR,"Macro"))</f>
        <v/>
      </c>
      <c r="K23" s="71">
        <f>IF(COUNT(C23,E23,G23,I23)=4,AVERAGE(C23,E23,G23,I23),IF(COUNTIF(C23:J23,"Sin datos")=4,"Sin datos","No definitivo"))</f>
        <v/>
      </c>
    </row>
    <row r="24" ht="20" customHeight="1">
      <c r="B24" s="70">
        <f>DATE(YEAR(HistInicio),MONTH(HistInicio)+18,1)</f>
        <v/>
      </c>
      <c r="C24" s="20">
        <f>IF(COUNTIFS(rMes_RO,$B24,rTipo_RO,"Macro")=0,"Sin datos",IF(ABS(SUMIFS(rPeso_RO,rMes_RO,$B24,rTipo_RO,"Macro")-1)&gt;0.0001,"Pesos ≠ 100%",SUMPRODUCT(--((rMes_RO=$B24)*(rTipo_RO="Macro")),rPeso_RO,rAvance_RO)))</f>
        <v/>
      </c>
      <c r="D24" s="22">
        <f>IF(COUNTIFS(rMes_RO,$B24,rTipo_RO,"Macro")=0,"",COUNTIFS(rEstado_RO,"Completado",rMes_RO,$B24,rTipo_RO,"Macro")&amp;" / "&amp;COUNTIFS(rMes_RO,$B24,rTipo_RO,"Macro"))</f>
        <v/>
      </c>
      <c r="E24" s="20">
        <f>IF(COUNTIFS(rMes_RN,$B24,rTipo_RN,"Macro")=0,"Sin datos",IF(ABS(SUMIFS(rPeso_RN,rMes_RN,$B24,rTipo_RN,"Macro")-1)&gt;0.0001,"Pesos ≠ 100%",SUMPRODUCT(--((rMes_RN=$B24)*(rTipo_RN="Macro")),rPeso_RN,rAvance_RN)))</f>
        <v/>
      </c>
      <c r="F24" s="22">
        <f>IF(COUNTIFS(rMes_RN,$B24,rTipo_RN,"Macro")=0,"",COUNTIFS(rEstado_RN,"Completado",rMes_RN,$B24,rTipo_RN,"Macro")&amp;" / "&amp;COUNTIFS(rMes_RN,$B24,rTipo_RN,"Macro"))</f>
        <v/>
      </c>
      <c r="G24" s="20">
        <f>IF(COUNTIFS(rMes_RF,$B24,rTipo_RF,"Macro")=0,"Sin datos",IF(ABS(SUMIFS(rPeso_RF,rMes_RF,$B24,rTipo_RF,"Macro")-1)&gt;0.0001,"Pesos ≠ 100%",SUMPRODUCT(--((rMes_RF=$B24)*(rTipo_RF="Macro")),rPeso_RF,rAvance_RF)))</f>
        <v/>
      </c>
      <c r="H24" s="22">
        <f>IF(COUNTIFS(rMes_RF,$B24,rTipo_RF,"Macro")=0,"",COUNTIFS(rEstado_RF,"Completado",rMes_RF,$B24,rTipo_RF,"Macro")&amp;" / "&amp;COUNTIFS(rMes_RF,$B24,rTipo_RF,"Macro"))</f>
        <v/>
      </c>
      <c r="I24" s="20">
        <f>IF(COUNTIFS(rMes_ATR,$B24,rTipo_ATR,"Macro")=0,"Sin datos",IF(ABS(SUMIFS(rPeso_ATR,rMes_ATR,$B24,rTipo_ATR,"Macro")-1)&gt;0.0001,"Pesos ≠ 100%",SUMPRODUCT(--((rMes_ATR=$B24)*(rTipo_ATR="Macro")),rPeso_ATR,rAvance_ATR)))</f>
        <v/>
      </c>
      <c r="J24" s="22">
        <f>IF(COUNTIFS(rMes_ATR,$B24,rTipo_ATR,"Macro")=0,"",COUNTIFS(rEstado_ATR,"Completado",rMes_ATR,$B24,rTipo_ATR,"Macro")&amp;" / "&amp;COUNTIFS(rMes_ATR,$B24,rTipo_ATR,"Macro"))</f>
        <v/>
      </c>
      <c r="K24" s="71">
        <f>IF(COUNT(C24,E24,G24,I24)=4,AVERAGE(C24,E24,G24,I24),IF(COUNTIF(C24:J24,"Sin datos")=4,"Sin datos","No definitivo"))</f>
        <v/>
      </c>
    </row>
    <row r="25" ht="20" customHeight="1">
      <c r="B25" s="70">
        <f>DATE(YEAR(HistInicio),MONTH(HistInicio)+19,1)</f>
        <v/>
      </c>
      <c r="C25" s="20">
        <f>IF(COUNTIFS(rMes_RO,$B25,rTipo_RO,"Macro")=0,"Sin datos",IF(ABS(SUMIFS(rPeso_RO,rMes_RO,$B25,rTipo_RO,"Macro")-1)&gt;0.0001,"Pesos ≠ 100%",SUMPRODUCT(--((rMes_RO=$B25)*(rTipo_RO="Macro")),rPeso_RO,rAvance_RO)))</f>
        <v/>
      </c>
      <c r="D25" s="22">
        <f>IF(COUNTIFS(rMes_RO,$B25,rTipo_RO,"Macro")=0,"",COUNTIFS(rEstado_RO,"Completado",rMes_RO,$B25,rTipo_RO,"Macro")&amp;" / "&amp;COUNTIFS(rMes_RO,$B25,rTipo_RO,"Macro"))</f>
        <v/>
      </c>
      <c r="E25" s="20">
        <f>IF(COUNTIFS(rMes_RN,$B25,rTipo_RN,"Macro")=0,"Sin datos",IF(ABS(SUMIFS(rPeso_RN,rMes_RN,$B25,rTipo_RN,"Macro")-1)&gt;0.0001,"Pesos ≠ 100%",SUMPRODUCT(--((rMes_RN=$B25)*(rTipo_RN="Macro")),rPeso_RN,rAvance_RN)))</f>
        <v/>
      </c>
      <c r="F25" s="22">
        <f>IF(COUNTIFS(rMes_RN,$B25,rTipo_RN,"Macro")=0,"",COUNTIFS(rEstado_RN,"Completado",rMes_RN,$B25,rTipo_RN,"Macro")&amp;" / "&amp;COUNTIFS(rMes_RN,$B25,rTipo_RN,"Macro"))</f>
        <v/>
      </c>
      <c r="G25" s="20">
        <f>IF(COUNTIFS(rMes_RF,$B25,rTipo_RF,"Macro")=0,"Sin datos",IF(ABS(SUMIFS(rPeso_RF,rMes_RF,$B25,rTipo_RF,"Macro")-1)&gt;0.0001,"Pesos ≠ 100%",SUMPRODUCT(--((rMes_RF=$B25)*(rTipo_RF="Macro")),rPeso_RF,rAvance_RF)))</f>
        <v/>
      </c>
      <c r="H25" s="22">
        <f>IF(COUNTIFS(rMes_RF,$B25,rTipo_RF,"Macro")=0,"",COUNTIFS(rEstado_RF,"Completado",rMes_RF,$B25,rTipo_RF,"Macro")&amp;" / "&amp;COUNTIFS(rMes_RF,$B25,rTipo_RF,"Macro"))</f>
        <v/>
      </c>
      <c r="I25" s="20">
        <f>IF(COUNTIFS(rMes_ATR,$B25,rTipo_ATR,"Macro")=0,"Sin datos",IF(ABS(SUMIFS(rPeso_ATR,rMes_ATR,$B25,rTipo_ATR,"Macro")-1)&gt;0.0001,"Pesos ≠ 100%",SUMPRODUCT(--((rMes_ATR=$B25)*(rTipo_ATR="Macro")),rPeso_ATR,rAvance_ATR)))</f>
        <v/>
      </c>
      <c r="J25" s="22">
        <f>IF(COUNTIFS(rMes_ATR,$B25,rTipo_ATR,"Macro")=0,"",COUNTIFS(rEstado_ATR,"Completado",rMes_ATR,$B25,rTipo_ATR,"Macro")&amp;" / "&amp;COUNTIFS(rMes_ATR,$B25,rTipo_ATR,"Macro"))</f>
        <v/>
      </c>
      <c r="K25" s="71">
        <f>IF(COUNT(C25,E25,G25,I25)=4,AVERAGE(C25,E25,G25,I25),IF(COUNTIF(C25:J25,"Sin datos")=4,"Sin datos","No definitivo"))</f>
        <v/>
      </c>
    </row>
    <row r="26" ht="20" customHeight="1">
      <c r="B26" s="70">
        <f>DATE(YEAR(HistInicio),MONTH(HistInicio)+20,1)</f>
        <v/>
      </c>
      <c r="C26" s="20">
        <f>IF(COUNTIFS(rMes_RO,$B26,rTipo_RO,"Macro")=0,"Sin datos",IF(ABS(SUMIFS(rPeso_RO,rMes_RO,$B26,rTipo_RO,"Macro")-1)&gt;0.0001,"Pesos ≠ 100%",SUMPRODUCT(--((rMes_RO=$B26)*(rTipo_RO="Macro")),rPeso_RO,rAvance_RO)))</f>
        <v/>
      </c>
      <c r="D26" s="22">
        <f>IF(COUNTIFS(rMes_RO,$B26,rTipo_RO,"Macro")=0,"",COUNTIFS(rEstado_RO,"Completado",rMes_RO,$B26,rTipo_RO,"Macro")&amp;" / "&amp;COUNTIFS(rMes_RO,$B26,rTipo_RO,"Macro"))</f>
        <v/>
      </c>
      <c r="E26" s="20">
        <f>IF(COUNTIFS(rMes_RN,$B26,rTipo_RN,"Macro")=0,"Sin datos",IF(ABS(SUMIFS(rPeso_RN,rMes_RN,$B26,rTipo_RN,"Macro")-1)&gt;0.0001,"Pesos ≠ 100%",SUMPRODUCT(--((rMes_RN=$B26)*(rTipo_RN="Macro")),rPeso_RN,rAvance_RN)))</f>
        <v/>
      </c>
      <c r="F26" s="22">
        <f>IF(COUNTIFS(rMes_RN,$B26,rTipo_RN,"Macro")=0,"",COUNTIFS(rEstado_RN,"Completado",rMes_RN,$B26,rTipo_RN,"Macro")&amp;" / "&amp;COUNTIFS(rMes_RN,$B26,rTipo_RN,"Macro"))</f>
        <v/>
      </c>
      <c r="G26" s="20">
        <f>IF(COUNTIFS(rMes_RF,$B26,rTipo_RF,"Macro")=0,"Sin datos",IF(ABS(SUMIFS(rPeso_RF,rMes_RF,$B26,rTipo_RF,"Macro")-1)&gt;0.0001,"Pesos ≠ 100%",SUMPRODUCT(--((rMes_RF=$B26)*(rTipo_RF="Macro")),rPeso_RF,rAvance_RF)))</f>
        <v/>
      </c>
      <c r="H26" s="22">
        <f>IF(COUNTIFS(rMes_RF,$B26,rTipo_RF,"Macro")=0,"",COUNTIFS(rEstado_RF,"Completado",rMes_RF,$B26,rTipo_RF,"Macro")&amp;" / "&amp;COUNTIFS(rMes_RF,$B26,rTipo_RF,"Macro"))</f>
        <v/>
      </c>
      <c r="I26" s="20">
        <f>IF(COUNTIFS(rMes_ATR,$B26,rTipo_ATR,"Macro")=0,"Sin datos",IF(ABS(SUMIFS(rPeso_ATR,rMes_ATR,$B26,rTipo_ATR,"Macro")-1)&gt;0.0001,"Pesos ≠ 100%",SUMPRODUCT(--((rMes_ATR=$B26)*(rTipo_ATR="Macro")),rPeso_ATR,rAvance_ATR)))</f>
        <v/>
      </c>
      <c r="J26" s="22">
        <f>IF(COUNTIFS(rMes_ATR,$B26,rTipo_ATR,"Macro")=0,"",COUNTIFS(rEstado_ATR,"Completado",rMes_ATR,$B26,rTipo_ATR,"Macro")&amp;" / "&amp;COUNTIFS(rMes_ATR,$B26,rTipo_ATR,"Macro"))</f>
        <v/>
      </c>
      <c r="K26" s="71">
        <f>IF(COUNT(C26,E26,G26,I26)=4,AVERAGE(C26,E26,G26,I26),IF(COUNTIF(C26:J26,"Sin datos")=4,"Sin datos","No definitivo"))</f>
        <v/>
      </c>
    </row>
    <row r="27" ht="20" customHeight="1">
      <c r="B27" s="70">
        <f>DATE(YEAR(HistInicio),MONTH(HistInicio)+21,1)</f>
        <v/>
      </c>
      <c r="C27" s="20">
        <f>IF(COUNTIFS(rMes_RO,$B27,rTipo_RO,"Macro")=0,"Sin datos",IF(ABS(SUMIFS(rPeso_RO,rMes_RO,$B27,rTipo_RO,"Macro")-1)&gt;0.0001,"Pesos ≠ 100%",SUMPRODUCT(--((rMes_RO=$B27)*(rTipo_RO="Macro")),rPeso_RO,rAvance_RO)))</f>
        <v/>
      </c>
      <c r="D27" s="22">
        <f>IF(COUNTIFS(rMes_RO,$B27,rTipo_RO,"Macro")=0,"",COUNTIFS(rEstado_RO,"Completado",rMes_RO,$B27,rTipo_RO,"Macro")&amp;" / "&amp;COUNTIFS(rMes_RO,$B27,rTipo_RO,"Macro"))</f>
        <v/>
      </c>
      <c r="E27" s="20">
        <f>IF(COUNTIFS(rMes_RN,$B27,rTipo_RN,"Macro")=0,"Sin datos",IF(ABS(SUMIFS(rPeso_RN,rMes_RN,$B27,rTipo_RN,"Macro")-1)&gt;0.0001,"Pesos ≠ 100%",SUMPRODUCT(--((rMes_RN=$B27)*(rTipo_RN="Macro")),rPeso_RN,rAvance_RN)))</f>
        <v/>
      </c>
      <c r="F27" s="22">
        <f>IF(COUNTIFS(rMes_RN,$B27,rTipo_RN,"Macro")=0,"",COUNTIFS(rEstado_RN,"Completado",rMes_RN,$B27,rTipo_RN,"Macro")&amp;" / "&amp;COUNTIFS(rMes_RN,$B27,rTipo_RN,"Macro"))</f>
        <v/>
      </c>
      <c r="G27" s="20">
        <f>IF(COUNTIFS(rMes_RF,$B27,rTipo_RF,"Macro")=0,"Sin datos",IF(ABS(SUMIFS(rPeso_RF,rMes_RF,$B27,rTipo_RF,"Macro")-1)&gt;0.0001,"Pesos ≠ 100%",SUMPRODUCT(--((rMes_RF=$B27)*(rTipo_RF="Macro")),rPeso_RF,rAvance_RF)))</f>
        <v/>
      </c>
      <c r="H27" s="22">
        <f>IF(COUNTIFS(rMes_RF,$B27,rTipo_RF,"Macro")=0,"",COUNTIFS(rEstado_RF,"Completado",rMes_RF,$B27,rTipo_RF,"Macro")&amp;" / "&amp;COUNTIFS(rMes_RF,$B27,rTipo_RF,"Macro"))</f>
        <v/>
      </c>
      <c r="I27" s="20">
        <f>IF(COUNTIFS(rMes_ATR,$B27,rTipo_ATR,"Macro")=0,"Sin datos",IF(ABS(SUMIFS(rPeso_ATR,rMes_ATR,$B27,rTipo_ATR,"Macro")-1)&gt;0.0001,"Pesos ≠ 100%",SUMPRODUCT(--((rMes_ATR=$B27)*(rTipo_ATR="Macro")),rPeso_ATR,rAvance_ATR)))</f>
        <v/>
      </c>
      <c r="J27" s="22">
        <f>IF(COUNTIFS(rMes_ATR,$B27,rTipo_ATR,"Macro")=0,"",COUNTIFS(rEstado_ATR,"Completado",rMes_ATR,$B27,rTipo_ATR,"Macro")&amp;" / "&amp;COUNTIFS(rMes_ATR,$B27,rTipo_ATR,"Macro"))</f>
        <v/>
      </c>
      <c r="K27" s="71">
        <f>IF(COUNT(C27,E27,G27,I27)=4,AVERAGE(C27,E27,G27,I27),IF(COUNTIF(C27:J27,"Sin datos")=4,"Sin datos","No definitivo"))</f>
        <v/>
      </c>
    </row>
    <row r="28" ht="20" customHeight="1">
      <c r="B28" s="70">
        <f>DATE(YEAR(HistInicio),MONTH(HistInicio)+22,1)</f>
        <v/>
      </c>
      <c r="C28" s="20">
        <f>IF(COUNTIFS(rMes_RO,$B28,rTipo_RO,"Macro")=0,"Sin datos",IF(ABS(SUMIFS(rPeso_RO,rMes_RO,$B28,rTipo_RO,"Macro")-1)&gt;0.0001,"Pesos ≠ 100%",SUMPRODUCT(--((rMes_RO=$B28)*(rTipo_RO="Macro")),rPeso_RO,rAvance_RO)))</f>
        <v/>
      </c>
      <c r="D28" s="22">
        <f>IF(COUNTIFS(rMes_RO,$B28,rTipo_RO,"Macro")=0,"",COUNTIFS(rEstado_RO,"Completado",rMes_RO,$B28,rTipo_RO,"Macro")&amp;" / "&amp;COUNTIFS(rMes_RO,$B28,rTipo_RO,"Macro"))</f>
        <v/>
      </c>
      <c r="E28" s="20">
        <f>IF(COUNTIFS(rMes_RN,$B28,rTipo_RN,"Macro")=0,"Sin datos",IF(ABS(SUMIFS(rPeso_RN,rMes_RN,$B28,rTipo_RN,"Macro")-1)&gt;0.0001,"Pesos ≠ 100%",SUMPRODUCT(--((rMes_RN=$B28)*(rTipo_RN="Macro")),rPeso_RN,rAvance_RN)))</f>
        <v/>
      </c>
      <c r="F28" s="22">
        <f>IF(COUNTIFS(rMes_RN,$B28,rTipo_RN,"Macro")=0,"",COUNTIFS(rEstado_RN,"Completado",rMes_RN,$B28,rTipo_RN,"Macro")&amp;" / "&amp;COUNTIFS(rMes_RN,$B28,rTipo_RN,"Macro"))</f>
        <v/>
      </c>
      <c r="G28" s="20">
        <f>IF(COUNTIFS(rMes_RF,$B28,rTipo_RF,"Macro")=0,"Sin datos",IF(ABS(SUMIFS(rPeso_RF,rMes_RF,$B28,rTipo_RF,"Macro")-1)&gt;0.0001,"Pesos ≠ 100%",SUMPRODUCT(--((rMes_RF=$B28)*(rTipo_RF="Macro")),rPeso_RF,rAvance_RF)))</f>
        <v/>
      </c>
      <c r="H28" s="22">
        <f>IF(COUNTIFS(rMes_RF,$B28,rTipo_RF,"Macro")=0,"",COUNTIFS(rEstado_RF,"Completado",rMes_RF,$B28,rTipo_RF,"Macro")&amp;" / "&amp;COUNTIFS(rMes_RF,$B28,rTipo_RF,"Macro"))</f>
        <v/>
      </c>
      <c r="I28" s="20">
        <f>IF(COUNTIFS(rMes_ATR,$B28,rTipo_ATR,"Macro")=0,"Sin datos",IF(ABS(SUMIFS(rPeso_ATR,rMes_ATR,$B28,rTipo_ATR,"Macro")-1)&gt;0.0001,"Pesos ≠ 100%",SUMPRODUCT(--((rMes_ATR=$B28)*(rTipo_ATR="Macro")),rPeso_ATR,rAvance_ATR)))</f>
        <v/>
      </c>
      <c r="J28" s="22">
        <f>IF(COUNTIFS(rMes_ATR,$B28,rTipo_ATR,"Macro")=0,"",COUNTIFS(rEstado_ATR,"Completado",rMes_ATR,$B28,rTipo_ATR,"Macro")&amp;" / "&amp;COUNTIFS(rMes_ATR,$B28,rTipo_ATR,"Macro"))</f>
        <v/>
      </c>
      <c r="K28" s="71">
        <f>IF(COUNT(C28,E28,G28,I28)=4,AVERAGE(C28,E28,G28,I28),IF(COUNTIF(C28:J28,"Sin datos")=4,"Sin datos","No definitivo"))</f>
        <v/>
      </c>
    </row>
    <row r="29" ht="20" customHeight="1">
      <c r="B29" s="70">
        <f>DATE(YEAR(HistInicio),MONTH(HistInicio)+23,1)</f>
        <v/>
      </c>
      <c r="C29" s="20">
        <f>IF(COUNTIFS(rMes_RO,$B29,rTipo_RO,"Macro")=0,"Sin datos",IF(ABS(SUMIFS(rPeso_RO,rMes_RO,$B29,rTipo_RO,"Macro")-1)&gt;0.0001,"Pesos ≠ 100%",SUMPRODUCT(--((rMes_RO=$B29)*(rTipo_RO="Macro")),rPeso_RO,rAvance_RO)))</f>
        <v/>
      </c>
      <c r="D29" s="22">
        <f>IF(COUNTIFS(rMes_RO,$B29,rTipo_RO,"Macro")=0,"",COUNTIFS(rEstado_RO,"Completado",rMes_RO,$B29,rTipo_RO,"Macro")&amp;" / "&amp;COUNTIFS(rMes_RO,$B29,rTipo_RO,"Macro"))</f>
        <v/>
      </c>
      <c r="E29" s="20">
        <f>IF(COUNTIFS(rMes_RN,$B29,rTipo_RN,"Macro")=0,"Sin datos",IF(ABS(SUMIFS(rPeso_RN,rMes_RN,$B29,rTipo_RN,"Macro")-1)&gt;0.0001,"Pesos ≠ 100%",SUMPRODUCT(--((rMes_RN=$B29)*(rTipo_RN="Macro")),rPeso_RN,rAvance_RN)))</f>
        <v/>
      </c>
      <c r="F29" s="22">
        <f>IF(COUNTIFS(rMes_RN,$B29,rTipo_RN,"Macro")=0,"",COUNTIFS(rEstado_RN,"Completado",rMes_RN,$B29,rTipo_RN,"Macro")&amp;" / "&amp;COUNTIFS(rMes_RN,$B29,rTipo_RN,"Macro"))</f>
        <v/>
      </c>
      <c r="G29" s="20">
        <f>IF(COUNTIFS(rMes_RF,$B29,rTipo_RF,"Macro")=0,"Sin datos",IF(ABS(SUMIFS(rPeso_RF,rMes_RF,$B29,rTipo_RF,"Macro")-1)&gt;0.0001,"Pesos ≠ 100%",SUMPRODUCT(--((rMes_RF=$B29)*(rTipo_RF="Macro")),rPeso_RF,rAvance_RF)))</f>
        <v/>
      </c>
      <c r="H29" s="22">
        <f>IF(COUNTIFS(rMes_RF,$B29,rTipo_RF,"Macro")=0,"",COUNTIFS(rEstado_RF,"Completado",rMes_RF,$B29,rTipo_RF,"Macro")&amp;" / "&amp;COUNTIFS(rMes_RF,$B29,rTipo_RF,"Macro"))</f>
        <v/>
      </c>
      <c r="I29" s="20">
        <f>IF(COUNTIFS(rMes_ATR,$B29,rTipo_ATR,"Macro")=0,"Sin datos",IF(ABS(SUMIFS(rPeso_ATR,rMes_ATR,$B29,rTipo_ATR,"Macro")-1)&gt;0.0001,"Pesos ≠ 100%",SUMPRODUCT(--((rMes_ATR=$B29)*(rTipo_ATR="Macro")),rPeso_ATR,rAvance_ATR)))</f>
        <v/>
      </c>
      <c r="J29" s="22">
        <f>IF(COUNTIFS(rMes_ATR,$B29,rTipo_ATR,"Macro")=0,"",COUNTIFS(rEstado_ATR,"Completado",rMes_ATR,$B29,rTipo_ATR,"Macro")&amp;" / "&amp;COUNTIFS(rMes_ATR,$B29,rTipo_ATR,"Macro"))</f>
        <v/>
      </c>
      <c r="K29" s="71">
        <f>IF(COUNT(C29,E29,G29,I29)=4,AVERAGE(C29,E29,G29,I29),IF(COUNTIF(C29:J29,"Sin datos")=4,"Sin datos","No definitivo"))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">
    <mergeCell ref="G4:H4"/>
    <mergeCell ref="E4:F4"/>
    <mergeCell ref="I4:J4"/>
    <mergeCell ref="B1:K1"/>
    <mergeCell ref="B4:B5"/>
    <mergeCell ref="K4:K5"/>
    <mergeCell ref="B2:K2"/>
    <mergeCell ref="C4:D4"/>
  </mergeCells>
  <conditionalFormatting sqref="C6:K29">
    <cfRule type="expression" priority="1" dxfId="0">
      <formula>AND(ISNUMBER(C6),C6&gt;=1)</formula>
    </cfRule>
    <cfRule type="expression" priority="2" dxfId="16">
      <formula>AND(ISNUMBER(C6),C6&lt;1)</formula>
    </cfRule>
    <cfRule type="expression" priority="3" dxfId="7">
      <formula>OR(C6="Pesos ≠ 100%",C6="No definitivo")</formula>
    </cfRule>
    <cfRule type="expression" priority="4" dxfId="17">
      <formula>C6="Sin datos"</formula>
    </cfRule>
  </conditionalFormatting>
  <conditionalFormatting sqref="B6:B29">
    <cfRule type="expression" priority="5" dxfId="1">
      <formula>$B6=MesCiclo</formula>
    </cfRule>
  </conditionalFormatting>
  <pageMargins left="0.75" right="0.75" top="1" bottom="1" header="0.5" footer="0.5"/>
  <pageSetup orientation="landscape" fitToHeight="0" fitToWidth="1"/>
  <rowBreaks count="1" manualBreakCount="1">
    <brk id="30" min="0" max="16383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AN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48" customWidth="1" min="3" max="3"/>
    <col hidden="1" width="22" customWidth="1" min="4" max="4"/>
    <col width="12" customWidth="1" min="5" max="5"/>
    <col width="12" customWidth="1" min="6" max="6"/>
    <col width="14" customWidth="1" min="7" max="7"/>
    <col width="12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  <col width="12" customWidth="1" min="14" max="14"/>
    <col width="24" customWidth="1" min="15" max="15"/>
    <col hidden="1" width="30" customWidth="1" min="16" max="16"/>
    <col width="36" customWidth="1" min="17" max="17"/>
    <col width="44" customWidth="1" min="18" max="18"/>
    <col width="14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</cols>
  <sheetData>
    <row r="1" ht="28" customHeight="1">
      <c r="A1" s="72" t="inlineStr">
        <is>
          <t>Cronograma – Riesgo Operacional</t>
        </is>
      </c>
      <c r="B1" s="72" t="n"/>
      <c r="C1" s="72" t="n"/>
      <c r="D1" s="72" t="n"/>
      <c r="E1" s="72" t="n"/>
      <c r="F1" s="72" t="n"/>
      <c r="G1" s="72" t="n"/>
      <c r="H1" s="72" t="n"/>
      <c r="I1" s="72" t="n"/>
      <c r="J1" s="72" t="n"/>
      <c r="K1" s="72" t="n"/>
      <c r="L1" s="72" t="n"/>
      <c r="M1" s="72" t="n"/>
      <c r="N1" s="72" t="n"/>
      <c r="O1" s="72" t="n"/>
      <c r="P1" s="72" t="n"/>
      <c r="Q1" s="72" t="n"/>
      <c r="R1" s="72" t="n"/>
      <c r="S1" s="72" t="n"/>
    </row>
    <row r="2" ht="44" customHeight="1">
      <c r="A2" s="48" t="inlineStr">
        <is>
          <t>Llene solo las celdas GRIS SUAVE; las AZUL CLARO son automáticas. En «Tipo» elija Macroactividad o Subactividad: las subactividades van en las filas de ABAJO de su macroactividad (se ven con ↳) y su promedio da el % de la macroactividad. Cuando termine algo, escriba la FECHA DE CUMPLIMIENTO: queda al 100% y ya no aparece vencido. Si quiere registrar avances parciales, escriba en cada semana el % total logrado hasta esa semana. Cada mes agregue sus actividades debajo de las anteriores (no borre los meses pasados: quedan como historial).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  <c r="L2" s="48" t="n"/>
      <c r="M2" s="48" t="n"/>
      <c r="N2" s="48" t="n"/>
      <c r="O2" s="48" t="n"/>
      <c r="P2" s="48" t="n"/>
      <c r="Q2" s="48" t="n"/>
      <c r="R2" s="48" t="n"/>
      <c r="S2" s="48" t="n"/>
    </row>
    <row r="3" ht="22" customHeight="1">
      <c r="A3" s="49" t="inlineStr">
        <is>
          <t>Llenar</t>
        </is>
      </c>
      <c r="B3" s="50" t="inlineStr">
        <is>
          <t>Automático</t>
        </is>
      </c>
      <c r="C3" s="73" t="inlineStr">
        <is>
          <t>Macroactividad (fila resaltada)</t>
        </is>
      </c>
      <c r="E3" s="6" t="inlineStr">
        <is>
          <t>Peso: solo macroactividades. Si lo deja vacío valen igual; si lo escribe, se ajusta solo a 100%.</t>
        </is>
      </c>
      <c r="F3" s="6" t="n"/>
      <c r="G3" s="6" t="n"/>
      <c r="H3" s="6" t="n"/>
      <c r="I3" s="6" t="n"/>
      <c r="J3" s="6" t="n"/>
      <c r="K3" s="52" t="inlineStr">
        <is>
          <t>Plazos del mes:</t>
        </is>
      </c>
      <c r="M3" s="43">
        <f>COUNTIFS($S$5:$S$1000,MesCiclo,$O$5:$O$1000,"Vencida*")&amp;" vencida(s)  ·  "&amp;COUNTIFS($S$5:$S$1000,MesCiclo,$O$5:$O$1000,"Vence*")&amp;" por vencer"</f>
        <v/>
      </c>
      <c r="N3" s="43" t="n"/>
      <c r="O3" s="43" t="n"/>
      <c r="Q3" s="45">
        <f>IF(COUNTIFS('Administración'!$D$5:$D$1000,"Riesgo Operacional",'Administración'!$S$5:$S$1000,MesCiclo,'Administración'!$V$5:$V$1000,"Macro")=0,"Sin actividades delegadas por la jefatura este mes","★ La jefatura le delegó "&amp;COUNTIFS('Administración'!$D$5:$D$1000,"Riesgo Operacional",'Administración'!$S$5:$S$1000,MesCiclo,'Administración'!$V$5:$V$1000,"Macro")&amp;" actividad(es) este mes · "&amp;(COUNTIFS('Administración'!$D$5:$D$1000,"Riesgo Operacional",'Administración'!$S$5:$S$1000,MesCiclo,'Administración'!$V$5:$V$1000,"Macro")-COUNTIFS('Administración'!$D$5:$D$1000,"Riesgo Operacional",'Administración'!$S$5:$S$1000,MesCiclo,'Administración'!$V$5:$V$1000,"Macro",'Administración'!$AH$5:$AH$1000,"&gt;0"))&amp;" pendiente(s) de agregar (elíjalas en la lista de «Actividad»). Cuentan en su avance del mes.")</f>
        <v/>
      </c>
      <c r="R3" s="45" t="n"/>
      <c r="S3" s="45" t="n"/>
    </row>
    <row r="4" ht="42" customHeight="1">
      <c r="A4" s="54" t="inlineStr">
        <is>
          <t>N°</t>
        </is>
      </c>
      <c r="B4" s="67" t="inlineStr">
        <is>
          <t>Tipo</t>
        </is>
      </c>
      <c r="C4" s="67" t="inlineStr">
        <is>
          <t>Actividad</t>
        </is>
      </c>
      <c r="D4" s="67" t="inlineStr">
        <is>
          <t>Delegar a</t>
        </is>
      </c>
      <c r="E4" s="67" t="inlineStr">
        <is>
          <t>Fecha de inicio</t>
        </is>
      </c>
      <c r="F4" s="67" t="inlineStr">
        <is>
          <t>Fecha límite</t>
        </is>
      </c>
      <c r="G4" s="67" t="inlineStr">
        <is>
          <t>Fecha de cumplimiento</t>
        </is>
      </c>
      <c r="H4" s="67" t="inlineStr">
        <is>
          <t>Peso (%)</t>
        </is>
      </c>
      <c r="I4" s="67" t="inlineStr">
        <is>
          <t>Avance Semana 1 (%)</t>
        </is>
      </c>
      <c r="J4" s="67" t="inlineStr">
        <is>
          <t>Avance Semana 2 (%)</t>
        </is>
      </c>
      <c r="K4" s="67" t="inlineStr">
        <is>
          <t>Avance Semana 3 (%)</t>
        </is>
      </c>
      <c r="L4" s="67" t="inlineStr">
        <is>
          <t>Avance Semana 4 (%)</t>
        </is>
      </c>
      <c r="M4" s="54" t="inlineStr">
        <is>
          <t>% de Avance Total Actual</t>
        </is>
      </c>
      <c r="N4" s="54" t="inlineStr">
        <is>
          <t>Estado</t>
        </is>
      </c>
      <c r="O4" s="54" t="inlineStr">
        <is>
          <t>Alerta de plazo</t>
        </is>
      </c>
      <c r="P4" s="54" t="inlineStr">
        <is>
          <t>Seguimiento de la delegación</t>
        </is>
      </c>
      <c r="Q4" s="67" t="inlineStr">
        <is>
          <t>Observaciones</t>
        </is>
      </c>
      <c r="R4" s="54" t="inlineStr">
        <is>
          <t>Revisión automática (alertas)</t>
        </is>
      </c>
      <c r="S4" s="54" t="inlineStr">
        <is>
          <t>Mes</t>
        </is>
      </c>
      <c r="T4" s="54" t="inlineStr">
        <is>
          <t>Orden en el mes (aux)</t>
        </is>
      </c>
      <c r="U4" s="54" t="inlineStr">
        <is>
          <t>Grupo (aux)</t>
        </is>
      </c>
      <c r="V4" s="54" t="inlineStr">
        <is>
          <t>Tipo (aux)</t>
        </is>
      </c>
      <c r="W4" s="54" t="inlineStr">
        <is>
          <t>N subactividades (aux)</t>
        </is>
      </c>
      <c r="X4" s="54" t="inlineStr">
        <is>
          <t>Avance propio (aux)</t>
        </is>
      </c>
      <c r="Y4" s="54" t="inlineStr">
        <is>
          <t>Propio S1 (aux)</t>
        </is>
      </c>
      <c r="Z4" s="54" t="inlineStr">
        <is>
          <t>Propio S2 (aux)</t>
        </is>
      </c>
      <c r="AA4" s="54" t="inlineStr">
        <is>
          <t>Propio S3 (aux)</t>
        </is>
      </c>
      <c r="AB4" s="54" t="inlineStr">
        <is>
          <t>Propio S4 (aux)</t>
        </is>
      </c>
      <c r="AC4" s="54" t="inlineStr">
        <is>
          <t>Efectivo S1 (aux)</t>
        </is>
      </c>
      <c r="AD4" s="54" t="inlineStr">
        <is>
          <t>Efectivo S2 (aux)</t>
        </is>
      </c>
      <c r="AE4" s="54" t="inlineStr">
        <is>
          <t>Efectivo S3 (aux)</t>
        </is>
      </c>
      <c r="AF4" s="54" t="inlineStr">
        <is>
          <t>Efectivo S4 (aux)</t>
        </is>
      </c>
      <c r="AG4" s="54" t="inlineStr">
        <is>
          <t>Peso efectivo (aux)</t>
        </is>
      </c>
      <c r="AH4" s="54" t="inlineStr">
        <is>
          <t>Fila en el puesto (aux)</t>
        </is>
      </c>
      <c r="AI4" s="54" t="inlineStr">
        <is>
          <t>N° delegada en el mes (aux)</t>
        </is>
      </c>
      <c r="AJ4" s="54" t="inlineStr">
        <is>
          <t>Clave delegada (aux)</t>
        </is>
      </c>
      <c r="AK4" s="54" t="inlineStr">
        <is>
          <t>Clave puesto-actividad (aux)</t>
        </is>
      </c>
      <c r="AL4" s="54" t="inlineStr">
        <is>
          <t>Fila en Administración (aux)</t>
        </is>
      </c>
      <c r="AM4" s="54" t="inlineStr">
        <is>
          <t>Inicio efectivo (aux)</t>
        </is>
      </c>
      <c r="AN4" s="54" t="inlineStr">
        <is>
          <t>Límite efectivo (aux)</t>
        </is>
      </c>
    </row>
    <row r="5">
      <c r="A5" s="56">
        <f>IF(NOT((COUNTA($B5:$D5)+COUNTA($G5:$L5)+COUNTA($Q5))&gt;0),"",IF($V5="Macro",COUNTIFS($V$5:$V5,"Macro",$S$5:$S5,$S5),IF(N($U5)=0,"?",COUNTIFS(INDEX($V$5:$V$1000,1):INDEX($V$5:$V$1000,$U5-4),"Macro",INDEX($S$5:$S$1000,1):INDEX($S$5:$S$1000,$U5-4),INDEX($S$5:$S$1000,$U5-4))&amp;"."&amp;COUNTIFS($U$5:$U5,$U5,$V$5:$V5,"Sub"))))</f>
        <v/>
      </c>
      <c r="B5" s="57" t="n"/>
      <c r="C5" s="58" t="n"/>
      <c r="D5" s="58" t="n"/>
      <c r="E5" s="59">
        <f>IF(N($AL5)&gt;0,INDEX(rIni_ADM,$AL5),"")</f>
        <v/>
      </c>
      <c r="F5" s="59">
        <f>IF(N($AL5)&gt;0,INDEX(rLim_ADM,$AL5),"")</f>
        <v/>
      </c>
      <c r="G5" s="59" t="n"/>
      <c r="H5" s="60" t="n"/>
      <c r="I5" s="60" t="n"/>
      <c r="J5" s="60" t="n"/>
      <c r="K5" s="60" t="n"/>
      <c r="L5" s="60" t="n"/>
      <c r="M5" s="61">
        <f>IF(NOT((COUNTA($B5:$D5)+COUNTA($G5:$L5)+COUNTA($Q5))&gt;0),"",IF(ISNUMBER($G5),1,IF(N($W5)&gt;0,AVERAGEIFS($X$5:$X$1000,$U$5:$U$1000,ROW(),$V$5:$V$1000,"Sub"),$X5)))</f>
        <v/>
      </c>
      <c r="N5" s="56">
        <f>IF($M5="","",IF($M5&gt;=1,"Completado",IF($M5&gt;0,"En curso","Pendiente")))</f>
        <v/>
      </c>
      <c r="O5" s="56">
        <f>IF(NOT((COUNTA($B5:$D5)+COUNTA($G5:$L5)+COUNTA($Q5))&gt;0),"",IF(ISNUMBER($G5),IF(AND(ISNUMBER($AN5),$G5&gt;$AN5),"Cumplida con "&amp;($G5-$AN5)&amp;IF($G5-$AN5=1," día"," días")&amp;" de retraso","Cumplida"),IF(N($M5)&gt;=1,"Cumplida",IF(NOT(ISNUMBER($AN5)),"Sin fecha límite",IF($AN5&lt;FechaRef,"Vencida hace "&amp;(FechaRef-$AN5)&amp;IF(FechaRef-$AN5=1," día"," días"),IF($AN5=FechaRef,"Vence hoy",IF($AN5-FechaRef&lt;=DiasAlerta,"Vence en "&amp;($AN5-FechaRef)&amp;IF($AN5-FechaRef=1," día"," días"),"En plazo")))))))</f>
        <v/>
      </c>
      <c r="P5" s="62" t="n"/>
      <c r="Q5" s="58" t="n"/>
      <c r="R5" s="63">
        <f>IF(NOT((COUNTA($B5:$D5)+COUNTA($G5:$L5)+COUNTA($Q5))&gt;0),"",IF((IF($C5="","Falta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",""))="","✔ OK","⚠ "&amp;LEFT(IF($C5="","Falta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",""),LEN(IF($C5="","Falta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",""))-3)))</f>
        <v/>
      </c>
      <c r="S5" s="64">
        <f>IF(NOT((COUNTA($B5:$D5)+COUNTA($G5:$L5)+COUNTA($Q5))&gt;0),"",IF(AND($V5="Sub",N($U5)&gt;0),IF(ISNUMBER(INDEX($AM$5:$AM$1000,$U5-4)),DATE(YEAR(INDEX($AM$5:$AM$1000,$U5-4)),MONTH(INDEX($AM$5:$AM$1000,$U5-4)),1),IF(ISNUMBER(INDEX($AN$5:$AN$1000,$U5-4)),DATE(YEAR(INDEX($AN$5:$AN$1000,$U5-4)),MONTH(INDEX($AN$5:$AN$1000,$U5-4)),1),MesCiclo)),IF(ISNUMBER($AM5),DATE(YEAR($AM5),MONTH($AM5),1),IF(ISNUMBER($AN5),DATE(YEAR($AN5),MONTH($AN5),1),MesCiclo))))</f>
        <v/>
      </c>
      <c r="T5" s="62">
        <f>IF(OR($S5="",$S5&lt;&gt;MesCiclo),"",COUNTIF($S$5:$S5,MesCiclo))</f>
        <v/>
      </c>
      <c r="U5" s="62">
        <f>IF($V5="","",IF($V5="Macro",ROW(),IFERROR(LOOKUP(2,1/($V$5:$V5="Macro"),ROW($V$5:$V5)),0)))</f>
        <v/>
      </c>
      <c r="V5" s="62">
        <f>IF(NOT((COUNTA($B5:$D5)+COUNTA($G5:$L5)+COUNTA($Q5))&gt;0),"",IF($B5="Subactividad","Sub","Macro"))</f>
        <v/>
      </c>
      <c r="W5" s="62">
        <f>IF($V5="Macro",COUNTIFS($U$5:$U$1000,ROW(),$V$5:$V$1000,"Sub"),"")</f>
        <v/>
      </c>
      <c r="X5" s="62">
        <f>IF($V5="","",IF(ISNUMBER($G5),1,IFERROR(LOOKUP(2,1/($I5:$L5&lt;&gt;""),$I5:$L5),0)))</f>
        <v/>
      </c>
      <c r="Y5" s="62">
        <f>IF($V5="","",IF(AND(ISNUMBER($G5),$G5&lt;=IF($S5=MesCiclo,InicioCiclo,$S5+MOD(2-WEEKDAY($S5),7))+6),1,IF(ISNUMBER($I5),$I5,0)))</f>
        <v/>
      </c>
      <c r="Z5" s="62">
        <f>IF($V5="","",IF(AND(ISNUMBER($G5),$G5&lt;=IF($S5=MesCiclo,InicioCiclo,$S5+MOD(2-WEEKDAY($S5),7))+13),1,IF(ISNUMBER($J5),$J5,$Y5)))</f>
        <v/>
      </c>
      <c r="AA5" s="62">
        <f>IF($V5="","",IF(AND(ISNUMBER($G5),$G5&lt;=IF($S5=MesCiclo,InicioCiclo,$S5+MOD(2-WEEKDAY($S5),7))+20),1,IF(ISNUMBER($K5),$K5,$Z5)))</f>
        <v/>
      </c>
      <c r="AB5" s="62">
        <f>IF($V5="","",IF(AND(ISNUMBER($G5),$G5&lt;=IF($S5=MesCiclo,InicioCiclo,$S5+MOD(2-WEEKDAY($S5),7))+27),1,IF(ISNUMBER($L5),$L5,$AA5)))</f>
        <v/>
      </c>
      <c r="AC5" s="62">
        <f>IF($V5="","",IF(AND(ISNUMBER($G5),$G5&lt;=IF($S5=MesCiclo,InicioCiclo,$S5+MOD(2-WEEKDAY($S5),7))+6),1,IF(N($W5)&gt;0,AVERAGEIFS($Y$5:$Y$1000,$U$5:$U$1000,ROW(),$V$5:$V$1000,"Sub"),$Y5)))</f>
        <v/>
      </c>
      <c r="AD5" s="62">
        <f>IF($V5="","",IF(AND(ISNUMBER($G5),$G5&lt;=IF($S5=MesCiclo,InicioCiclo,$S5+MOD(2-WEEKDAY($S5),7))+13),1,IF(N($W5)&gt;0,AVERAGEIFS($Z$5:$Z$1000,$U$5:$U$1000,ROW(),$V$5:$V$1000,"Sub"),$Z5)))</f>
        <v/>
      </c>
      <c r="AE5" s="62">
        <f>IF($V5="","",IF(AND(ISNUMBER($G5),$G5&lt;=IF($S5=MesCiclo,InicioCiclo,$S5+MOD(2-WEEKDAY($S5),7))+20),1,IF(N($W5)&gt;0,AVERAGEIFS($AA$5:$AA$1000,$U$5:$U$1000,ROW(),$V$5:$V$1000,"Sub"),$AA5)))</f>
        <v/>
      </c>
      <c r="AF5" s="62">
        <f>IF($V5="","",IF(AND(ISNUMBER($G5),$G5&lt;=IF($S5=MesCiclo,InicioCiclo,$S5+MOD(2-WEEKDAY($S5),7))+27),1,IF(N($W5)&gt;0,AVERAGEIFS($AB$5:$AB$1000,$U$5:$U$1000,ROW(),$V$5:$V$1000,"Sub"),$AB5)))</f>
        <v/>
      </c>
      <c r="AG5" s="62">
        <f>IF($V5&lt;&gt;"Macro","",IF(COUNTIFS($S$5:$S$1000,$S5,$V$5:$V$1000,"Macro",$H$5:$H$1000,"&gt;0")=0,1/COUNTIFS($S$5:$S$1000,$S5,$V$5:$V$1000,"Macro"),IF(AND(ISNUMBER($H5),N($H5)&gt;0),$H5,SUMIFS($H$5:$H$1000,$S$5:$S$1000,$S5,$V$5:$V$1000,"Macro")/COUNTIFS($S$5:$S$1000,$S5,$V$5:$V$1000,"Macro",$H$5:$H$1000,"&gt;0"))/(COUNTIFS($S$5:$S$1000,$S5,$V$5:$V$1000,"Macro")*SUMIFS($H$5:$H$1000,$S$5:$S$1000,$S5,$V$5:$V$1000,"Macro")/COUNTIFS($S$5:$S$1000,$S5,$V$5:$V$1000,"Macro",$H$5:$H$1000,"&gt;0"))))</f>
        <v/>
      </c>
      <c r="AH5" s="62" t="n"/>
      <c r="AI5" s="62" t="n"/>
      <c r="AJ5" s="62" t="n"/>
      <c r="AK5" s="62" t="n"/>
      <c r="AL5" s="62">
        <f>IF(LEFT($C5,11)="[Jefatura] ",IFERROR(MATCH("Riesgo Operacional|"&amp;MID($C5,12,500),rDname_ADM,0),0),"")</f>
        <v/>
      </c>
      <c r="AM5" s="62">
        <f>IF(N($AL5)&gt;0,INDEX(rIni_ADM,$AL5),IF(ISNUMBER($E5),$E5,""))</f>
        <v/>
      </c>
      <c r="AN5" s="62">
        <f>IF(N($AL5)&gt;0,INDEX(rLim_ADM,$AL5),IF(ISNUMBER($F5),$F5,""))</f>
        <v/>
      </c>
    </row>
    <row r="6">
      <c r="A6" s="56">
        <f>IF(NOT((COUNTA($B6:$D6)+COUNTA($G6:$L6)+COUNTA($Q6))&gt;0),"",IF($V6="Macro",COUNTIFS($V$5:$V6,"Macro",$S$5:$S6,$S6),IF(N($U6)=0,"?",COUNTIFS(INDEX($V$5:$V$1000,1):INDEX($V$5:$V$1000,$U6-4),"Macro",INDEX($S$5:$S$1000,1):INDEX($S$5:$S$1000,$U6-4),INDEX($S$5:$S$1000,$U6-4))&amp;"."&amp;COUNTIFS($U$5:$U6,$U6,$V$5:$V6,"Sub"))))</f>
        <v/>
      </c>
      <c r="B6" s="57" t="n"/>
      <c r="C6" s="58" t="n"/>
      <c r="D6" s="58" t="n"/>
      <c r="E6" s="59">
        <f>IF(N($AL6)&gt;0,INDEX(rIni_ADM,$AL6),"")</f>
        <v/>
      </c>
      <c r="F6" s="59">
        <f>IF(N($AL6)&gt;0,INDEX(rLim_ADM,$AL6),"")</f>
        <v/>
      </c>
      <c r="G6" s="59" t="n"/>
      <c r="H6" s="60" t="n"/>
      <c r="I6" s="60" t="n"/>
      <c r="J6" s="60" t="n"/>
      <c r="K6" s="60" t="n"/>
      <c r="L6" s="60" t="n"/>
      <c r="M6" s="61">
        <f>IF(NOT((COUNTA($B6:$D6)+COUNTA($G6:$L6)+COUNTA($Q6))&gt;0),"",IF(ISNUMBER($G6),1,IF(N($W6)&gt;0,AVERAGEIFS($X$5:$X$1000,$U$5:$U$1000,ROW(),$V$5:$V$1000,"Sub"),$X6)))</f>
        <v/>
      </c>
      <c r="N6" s="56">
        <f>IF($M6="","",IF($M6&gt;=1,"Completado",IF($M6&gt;0,"En curso","Pendiente")))</f>
        <v/>
      </c>
      <c r="O6" s="56">
        <f>IF(NOT((COUNTA($B6:$D6)+COUNTA($G6:$L6)+COUNTA($Q6))&gt;0),"",IF(ISNUMBER($G6),IF(AND(ISNUMBER($AN6),$G6&gt;$AN6),"Cumplida con "&amp;($G6-$AN6)&amp;IF($G6-$AN6=1," día"," días")&amp;" de retraso","Cumplida"),IF(N($M6)&gt;=1,"Cumplida",IF(NOT(ISNUMBER($AN6)),"Sin fecha límite",IF($AN6&lt;FechaRef,"Vencida hace "&amp;(FechaRef-$AN6)&amp;IF(FechaRef-$AN6=1," día"," días"),IF($AN6=FechaRef,"Vence hoy",IF($AN6-FechaRef&lt;=DiasAlerta,"Vence en "&amp;($AN6-FechaRef)&amp;IF($AN6-FechaRef=1," día"," días"),"En plazo")))))))</f>
        <v/>
      </c>
      <c r="P6" s="62" t="n"/>
      <c r="Q6" s="58" t="n"/>
      <c r="R6" s="63">
        <f>IF(NOT((COUNTA($B6:$D6)+COUNTA($G6:$L6)+COUNTA($Q6))&gt;0),"",IF((IF($C6="","Falta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",""))="","✔ OK","⚠ "&amp;LEFT(IF($C6="","Falta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",""),LEN(IF($C6="","Falta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",""))-3)))</f>
        <v/>
      </c>
      <c r="S6" s="64">
        <f>IF(NOT((COUNTA($B6:$D6)+COUNTA($G6:$L6)+COUNTA($Q6))&gt;0),"",IF(AND($V6="Sub",N($U6)&gt;0),IF(ISNUMBER(INDEX($AM$5:$AM$1000,$U6-4)),DATE(YEAR(INDEX($AM$5:$AM$1000,$U6-4)),MONTH(INDEX($AM$5:$AM$1000,$U6-4)),1),IF(ISNUMBER(INDEX($AN$5:$AN$1000,$U6-4)),DATE(YEAR(INDEX($AN$5:$AN$1000,$U6-4)),MONTH(INDEX($AN$5:$AN$1000,$U6-4)),1),MesCiclo)),IF(ISNUMBER($AM6),DATE(YEAR($AM6),MONTH($AM6),1),IF(ISNUMBER($AN6),DATE(YEAR($AN6),MONTH($AN6),1),MesCiclo))))</f>
        <v/>
      </c>
      <c r="T6" s="62">
        <f>IF(OR($S6="",$S6&lt;&gt;MesCiclo),"",COUNTIF($S$5:$S6,MesCiclo))</f>
        <v/>
      </c>
      <c r="U6" s="62">
        <f>IF($V6="","",IF($V6="Macro",ROW(),IFERROR(LOOKUP(2,1/($V$5:$V6="Macro"),ROW($V$5:$V6)),0)))</f>
        <v/>
      </c>
      <c r="V6" s="62">
        <f>IF(NOT((COUNTA($B6:$D6)+COUNTA($G6:$L6)+COUNTA($Q6))&gt;0),"",IF($B6="Subactividad","Sub","Macro"))</f>
        <v/>
      </c>
      <c r="W6" s="62">
        <f>IF($V6="Macro",COUNTIFS($U$5:$U$1000,ROW(),$V$5:$V$1000,"Sub"),"")</f>
        <v/>
      </c>
      <c r="X6" s="62">
        <f>IF($V6="","",IF(ISNUMBER($G6),1,IFERROR(LOOKUP(2,1/($I6:$L6&lt;&gt;""),$I6:$L6),0)))</f>
        <v/>
      </c>
      <c r="Y6" s="62">
        <f>IF($V6="","",IF(AND(ISNUMBER($G6),$G6&lt;=IF($S6=MesCiclo,InicioCiclo,$S6+MOD(2-WEEKDAY($S6),7))+6),1,IF(ISNUMBER($I6),$I6,0)))</f>
        <v/>
      </c>
      <c r="Z6" s="62">
        <f>IF($V6="","",IF(AND(ISNUMBER($G6),$G6&lt;=IF($S6=MesCiclo,InicioCiclo,$S6+MOD(2-WEEKDAY($S6),7))+13),1,IF(ISNUMBER($J6),$J6,$Y6)))</f>
        <v/>
      </c>
      <c r="AA6" s="62">
        <f>IF($V6="","",IF(AND(ISNUMBER($G6),$G6&lt;=IF($S6=MesCiclo,InicioCiclo,$S6+MOD(2-WEEKDAY($S6),7))+20),1,IF(ISNUMBER($K6),$K6,$Z6)))</f>
        <v/>
      </c>
      <c r="AB6" s="62">
        <f>IF($V6="","",IF(AND(ISNUMBER($G6),$G6&lt;=IF($S6=MesCiclo,InicioCiclo,$S6+MOD(2-WEEKDAY($S6),7))+27),1,IF(ISNUMBER($L6),$L6,$AA6)))</f>
        <v/>
      </c>
      <c r="AC6" s="62">
        <f>IF($V6="","",IF(AND(ISNUMBER($G6),$G6&lt;=IF($S6=MesCiclo,InicioCiclo,$S6+MOD(2-WEEKDAY($S6),7))+6),1,IF(N($W6)&gt;0,AVERAGEIFS($Y$5:$Y$1000,$U$5:$U$1000,ROW(),$V$5:$V$1000,"Sub"),$Y6)))</f>
        <v/>
      </c>
      <c r="AD6" s="62">
        <f>IF($V6="","",IF(AND(ISNUMBER($G6),$G6&lt;=IF($S6=MesCiclo,InicioCiclo,$S6+MOD(2-WEEKDAY($S6),7))+13),1,IF(N($W6)&gt;0,AVERAGEIFS($Z$5:$Z$1000,$U$5:$U$1000,ROW(),$V$5:$V$1000,"Sub"),$Z6)))</f>
        <v/>
      </c>
      <c r="AE6" s="62">
        <f>IF($V6="","",IF(AND(ISNUMBER($G6),$G6&lt;=IF($S6=MesCiclo,InicioCiclo,$S6+MOD(2-WEEKDAY($S6),7))+20),1,IF(N($W6)&gt;0,AVERAGEIFS($AA$5:$AA$1000,$U$5:$U$1000,ROW(),$V$5:$V$1000,"Sub"),$AA6)))</f>
        <v/>
      </c>
      <c r="AF6" s="62">
        <f>IF($V6="","",IF(AND(ISNUMBER($G6),$G6&lt;=IF($S6=MesCiclo,InicioCiclo,$S6+MOD(2-WEEKDAY($S6),7))+27),1,IF(N($W6)&gt;0,AVERAGEIFS($AB$5:$AB$1000,$U$5:$U$1000,ROW(),$V$5:$V$1000,"Sub"),$AB6)))</f>
        <v/>
      </c>
      <c r="AG6" s="62">
        <f>IF($V6&lt;&gt;"Macro","",IF(COUNTIFS($S$5:$S$1000,$S6,$V$5:$V$1000,"Macro",$H$5:$H$1000,"&gt;0")=0,1/COUNTIFS($S$5:$S$1000,$S6,$V$5:$V$1000,"Macro"),IF(AND(ISNUMBER($H6),N($H6)&gt;0),$H6,SUMIFS($H$5:$H$1000,$S$5:$S$1000,$S6,$V$5:$V$1000,"Macro")/COUNTIFS($S$5:$S$1000,$S6,$V$5:$V$1000,"Macro",$H$5:$H$1000,"&gt;0"))/(COUNTIFS($S$5:$S$1000,$S6,$V$5:$V$1000,"Macro")*SUMIFS($H$5:$H$1000,$S$5:$S$1000,$S6,$V$5:$V$1000,"Macro")/COUNTIFS($S$5:$S$1000,$S6,$V$5:$V$1000,"Macro",$H$5:$H$1000,"&gt;0"))))</f>
        <v/>
      </c>
      <c r="AH6" s="62" t="n"/>
      <c r="AI6" s="62" t="n"/>
      <c r="AJ6" s="62" t="n"/>
      <c r="AK6" s="62" t="n"/>
      <c r="AL6" s="62">
        <f>IF(LEFT($C6,11)="[Jefatura] ",IFERROR(MATCH("Riesgo Operacional|"&amp;MID($C6,12,500),rDname_ADM,0),0),"")</f>
        <v/>
      </c>
      <c r="AM6" s="62">
        <f>IF(N($AL6)&gt;0,INDEX(rIni_ADM,$AL6),IF(ISNUMBER($E6),$E6,""))</f>
        <v/>
      </c>
      <c r="AN6" s="62">
        <f>IF(N($AL6)&gt;0,INDEX(rLim_ADM,$AL6),IF(ISNUMBER($F6),$F6,""))</f>
        <v/>
      </c>
    </row>
    <row r="7">
      <c r="A7" s="56">
        <f>IF(NOT((COUNTA($B7:$D7)+COUNTA($G7:$L7)+COUNTA($Q7))&gt;0),"",IF($V7="Macro",COUNTIFS($V$5:$V7,"Macro",$S$5:$S7,$S7),IF(N($U7)=0,"?",COUNTIFS(INDEX($V$5:$V$1000,1):INDEX($V$5:$V$1000,$U7-4),"Macro",INDEX($S$5:$S$1000,1):INDEX($S$5:$S$1000,$U7-4),INDEX($S$5:$S$1000,$U7-4))&amp;"."&amp;COUNTIFS($U$5:$U7,$U7,$V$5:$V7,"Sub"))))</f>
        <v/>
      </c>
      <c r="B7" s="57" t="n"/>
      <c r="C7" s="58" t="n"/>
      <c r="D7" s="58" t="n"/>
      <c r="E7" s="59">
        <f>IF(N($AL7)&gt;0,INDEX(rIni_ADM,$AL7),"")</f>
        <v/>
      </c>
      <c r="F7" s="59">
        <f>IF(N($AL7)&gt;0,INDEX(rLim_ADM,$AL7),"")</f>
        <v/>
      </c>
      <c r="G7" s="59" t="n"/>
      <c r="H7" s="60" t="n"/>
      <c r="I7" s="60" t="n"/>
      <c r="J7" s="60" t="n"/>
      <c r="K7" s="60" t="n"/>
      <c r="L7" s="60" t="n"/>
      <c r="M7" s="61">
        <f>IF(NOT((COUNTA($B7:$D7)+COUNTA($G7:$L7)+COUNTA($Q7))&gt;0),"",IF(ISNUMBER($G7),1,IF(N($W7)&gt;0,AVERAGEIFS($X$5:$X$1000,$U$5:$U$1000,ROW(),$V$5:$V$1000,"Sub"),$X7)))</f>
        <v/>
      </c>
      <c r="N7" s="56">
        <f>IF($M7="","",IF($M7&gt;=1,"Completado",IF($M7&gt;0,"En curso","Pendiente")))</f>
        <v/>
      </c>
      <c r="O7" s="56">
        <f>IF(NOT((COUNTA($B7:$D7)+COUNTA($G7:$L7)+COUNTA($Q7))&gt;0),"",IF(ISNUMBER($G7),IF(AND(ISNUMBER($AN7),$G7&gt;$AN7),"Cumplida con "&amp;($G7-$AN7)&amp;IF($G7-$AN7=1," día"," días")&amp;" de retraso","Cumplida"),IF(N($M7)&gt;=1,"Cumplida",IF(NOT(ISNUMBER($AN7)),"Sin fecha límite",IF($AN7&lt;FechaRef,"Vencida hace "&amp;(FechaRef-$AN7)&amp;IF(FechaRef-$AN7=1," día"," días"),IF($AN7=FechaRef,"Vence hoy",IF($AN7-FechaRef&lt;=DiasAlerta,"Vence en "&amp;($AN7-FechaRef)&amp;IF($AN7-FechaRef=1," día"," días"),"En plazo")))))))</f>
        <v/>
      </c>
      <c r="P7" s="62" t="n"/>
      <c r="Q7" s="58" t="n"/>
      <c r="R7" s="63">
        <f>IF(NOT((COUNTA($B7:$D7)+COUNTA($G7:$L7)+COUNTA($Q7))&gt;0),"",IF((IF($C7="","Falta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",""))="","✔ OK","⚠ "&amp;LEFT(IF($C7="","Falta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",""),LEN(IF($C7="","Falta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",""))-3)))</f>
        <v/>
      </c>
      <c r="S7" s="64">
        <f>IF(NOT((COUNTA($B7:$D7)+COUNTA($G7:$L7)+COUNTA($Q7))&gt;0),"",IF(AND($V7="Sub",N($U7)&gt;0),IF(ISNUMBER(INDEX($AM$5:$AM$1000,$U7-4)),DATE(YEAR(INDEX($AM$5:$AM$1000,$U7-4)),MONTH(INDEX($AM$5:$AM$1000,$U7-4)),1),IF(ISNUMBER(INDEX($AN$5:$AN$1000,$U7-4)),DATE(YEAR(INDEX($AN$5:$AN$1000,$U7-4)),MONTH(INDEX($AN$5:$AN$1000,$U7-4)),1),MesCiclo)),IF(ISNUMBER($AM7),DATE(YEAR($AM7),MONTH($AM7),1),IF(ISNUMBER($AN7),DATE(YEAR($AN7),MONTH($AN7),1),MesCiclo))))</f>
        <v/>
      </c>
      <c r="T7" s="62">
        <f>IF(OR($S7="",$S7&lt;&gt;MesCiclo),"",COUNTIF($S$5:$S7,MesCiclo))</f>
        <v/>
      </c>
      <c r="U7" s="62">
        <f>IF($V7="","",IF($V7="Macro",ROW(),IFERROR(LOOKUP(2,1/($V$5:$V7="Macro"),ROW($V$5:$V7)),0)))</f>
        <v/>
      </c>
      <c r="V7" s="62">
        <f>IF(NOT((COUNTA($B7:$D7)+COUNTA($G7:$L7)+COUNTA($Q7))&gt;0),"",IF($B7="Subactividad","Sub","Macro"))</f>
        <v/>
      </c>
      <c r="W7" s="62">
        <f>IF($V7="Macro",COUNTIFS($U$5:$U$1000,ROW(),$V$5:$V$1000,"Sub"),"")</f>
        <v/>
      </c>
      <c r="X7" s="62">
        <f>IF($V7="","",IF(ISNUMBER($G7),1,IFERROR(LOOKUP(2,1/($I7:$L7&lt;&gt;""),$I7:$L7),0)))</f>
        <v/>
      </c>
      <c r="Y7" s="62">
        <f>IF($V7="","",IF(AND(ISNUMBER($G7),$G7&lt;=IF($S7=MesCiclo,InicioCiclo,$S7+MOD(2-WEEKDAY($S7),7))+6),1,IF(ISNUMBER($I7),$I7,0)))</f>
        <v/>
      </c>
      <c r="Z7" s="62">
        <f>IF($V7="","",IF(AND(ISNUMBER($G7),$G7&lt;=IF($S7=MesCiclo,InicioCiclo,$S7+MOD(2-WEEKDAY($S7),7))+13),1,IF(ISNUMBER($J7),$J7,$Y7)))</f>
        <v/>
      </c>
      <c r="AA7" s="62">
        <f>IF($V7="","",IF(AND(ISNUMBER($G7),$G7&lt;=IF($S7=MesCiclo,InicioCiclo,$S7+MOD(2-WEEKDAY($S7),7))+20),1,IF(ISNUMBER($K7),$K7,$Z7)))</f>
        <v/>
      </c>
      <c r="AB7" s="62">
        <f>IF($V7="","",IF(AND(ISNUMBER($G7),$G7&lt;=IF($S7=MesCiclo,InicioCiclo,$S7+MOD(2-WEEKDAY($S7),7))+27),1,IF(ISNUMBER($L7),$L7,$AA7)))</f>
        <v/>
      </c>
      <c r="AC7" s="62">
        <f>IF($V7="","",IF(AND(ISNUMBER($G7),$G7&lt;=IF($S7=MesCiclo,InicioCiclo,$S7+MOD(2-WEEKDAY($S7),7))+6),1,IF(N($W7)&gt;0,AVERAGEIFS($Y$5:$Y$1000,$U$5:$U$1000,ROW(),$V$5:$V$1000,"Sub"),$Y7)))</f>
        <v/>
      </c>
      <c r="AD7" s="62">
        <f>IF($V7="","",IF(AND(ISNUMBER($G7),$G7&lt;=IF($S7=MesCiclo,InicioCiclo,$S7+MOD(2-WEEKDAY($S7),7))+13),1,IF(N($W7)&gt;0,AVERAGEIFS($Z$5:$Z$1000,$U$5:$U$1000,ROW(),$V$5:$V$1000,"Sub"),$Z7)))</f>
        <v/>
      </c>
      <c r="AE7" s="62">
        <f>IF($V7="","",IF(AND(ISNUMBER($G7),$G7&lt;=IF($S7=MesCiclo,InicioCiclo,$S7+MOD(2-WEEKDAY($S7),7))+20),1,IF(N($W7)&gt;0,AVERAGEIFS($AA$5:$AA$1000,$U$5:$U$1000,ROW(),$V$5:$V$1000,"Sub"),$AA7)))</f>
        <v/>
      </c>
      <c r="AF7" s="62">
        <f>IF($V7="","",IF(AND(ISNUMBER($G7),$G7&lt;=IF($S7=MesCiclo,InicioCiclo,$S7+MOD(2-WEEKDAY($S7),7))+27),1,IF(N($W7)&gt;0,AVERAGEIFS($AB$5:$AB$1000,$U$5:$U$1000,ROW(),$V$5:$V$1000,"Sub"),$AB7)))</f>
        <v/>
      </c>
      <c r="AG7" s="62">
        <f>IF($V7&lt;&gt;"Macro","",IF(COUNTIFS($S$5:$S$1000,$S7,$V$5:$V$1000,"Macro",$H$5:$H$1000,"&gt;0")=0,1/COUNTIFS($S$5:$S$1000,$S7,$V$5:$V$1000,"Macro"),IF(AND(ISNUMBER($H7),N($H7)&gt;0),$H7,SUMIFS($H$5:$H$1000,$S$5:$S$1000,$S7,$V$5:$V$1000,"Macro")/COUNTIFS($S$5:$S$1000,$S7,$V$5:$V$1000,"Macro",$H$5:$H$1000,"&gt;0"))/(COUNTIFS($S$5:$S$1000,$S7,$V$5:$V$1000,"Macro")*SUMIFS($H$5:$H$1000,$S$5:$S$1000,$S7,$V$5:$V$1000,"Macro")/COUNTIFS($S$5:$S$1000,$S7,$V$5:$V$1000,"Macro",$H$5:$H$1000,"&gt;0"))))</f>
        <v/>
      </c>
      <c r="AH7" s="62" t="n"/>
      <c r="AI7" s="62" t="n"/>
      <c r="AJ7" s="62" t="n"/>
      <c r="AK7" s="62" t="n"/>
      <c r="AL7" s="62">
        <f>IF(LEFT($C7,11)="[Jefatura] ",IFERROR(MATCH("Riesgo Operacional|"&amp;MID($C7,12,500),rDname_ADM,0),0),"")</f>
        <v/>
      </c>
      <c r="AM7" s="62">
        <f>IF(N($AL7)&gt;0,INDEX(rIni_ADM,$AL7),IF(ISNUMBER($E7),$E7,""))</f>
        <v/>
      </c>
      <c r="AN7" s="62">
        <f>IF(N($AL7)&gt;0,INDEX(rLim_ADM,$AL7),IF(ISNUMBER($F7),$F7,""))</f>
        <v/>
      </c>
    </row>
    <row r="8">
      <c r="A8" s="56">
        <f>IF(NOT((COUNTA($B8:$D8)+COUNTA($G8:$L8)+COUNTA($Q8))&gt;0),"",IF($V8="Macro",COUNTIFS($V$5:$V8,"Macro",$S$5:$S8,$S8),IF(N($U8)=0,"?",COUNTIFS(INDEX($V$5:$V$1000,1):INDEX($V$5:$V$1000,$U8-4),"Macro",INDEX($S$5:$S$1000,1):INDEX($S$5:$S$1000,$U8-4),INDEX($S$5:$S$1000,$U8-4))&amp;"."&amp;COUNTIFS($U$5:$U8,$U8,$V$5:$V8,"Sub"))))</f>
        <v/>
      </c>
      <c r="B8" s="57" t="n"/>
      <c r="C8" s="58" t="n"/>
      <c r="D8" s="58" t="n"/>
      <c r="E8" s="59">
        <f>IF(N($AL8)&gt;0,INDEX(rIni_ADM,$AL8),"")</f>
        <v/>
      </c>
      <c r="F8" s="59">
        <f>IF(N($AL8)&gt;0,INDEX(rLim_ADM,$AL8),"")</f>
        <v/>
      </c>
      <c r="G8" s="59" t="n"/>
      <c r="H8" s="60" t="n"/>
      <c r="I8" s="60" t="n"/>
      <c r="J8" s="60" t="n"/>
      <c r="K8" s="60" t="n"/>
      <c r="L8" s="60" t="n"/>
      <c r="M8" s="61">
        <f>IF(NOT((COUNTA($B8:$D8)+COUNTA($G8:$L8)+COUNTA($Q8))&gt;0),"",IF(ISNUMBER($G8),1,IF(N($W8)&gt;0,AVERAGEIFS($X$5:$X$1000,$U$5:$U$1000,ROW(),$V$5:$V$1000,"Sub"),$X8)))</f>
        <v/>
      </c>
      <c r="N8" s="56">
        <f>IF($M8="","",IF($M8&gt;=1,"Completado",IF($M8&gt;0,"En curso","Pendiente")))</f>
        <v/>
      </c>
      <c r="O8" s="56">
        <f>IF(NOT((COUNTA($B8:$D8)+COUNTA($G8:$L8)+COUNTA($Q8))&gt;0),"",IF(ISNUMBER($G8),IF(AND(ISNUMBER($AN8),$G8&gt;$AN8),"Cumplida con "&amp;($G8-$AN8)&amp;IF($G8-$AN8=1," día"," días")&amp;" de retraso","Cumplida"),IF(N($M8)&gt;=1,"Cumplida",IF(NOT(ISNUMBER($AN8)),"Sin fecha límite",IF($AN8&lt;FechaRef,"Vencida hace "&amp;(FechaRef-$AN8)&amp;IF(FechaRef-$AN8=1," día"," días"),IF($AN8=FechaRef,"Vence hoy",IF($AN8-FechaRef&lt;=DiasAlerta,"Vence en "&amp;($AN8-FechaRef)&amp;IF($AN8-FechaRef=1," día"," días"),"En plazo")))))))</f>
        <v/>
      </c>
      <c r="P8" s="62" t="n"/>
      <c r="Q8" s="58" t="n"/>
      <c r="R8" s="63">
        <f>IF(NOT((COUNTA($B8:$D8)+COUNTA($G8:$L8)+COUNTA($Q8))&gt;0),"",IF((IF($C8="","Falta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",""))="","✔ OK","⚠ "&amp;LEFT(IF($C8="","Falta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",""),LEN(IF($C8="","Falta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",""))-3)))</f>
        <v/>
      </c>
      <c r="S8" s="64">
        <f>IF(NOT((COUNTA($B8:$D8)+COUNTA($G8:$L8)+COUNTA($Q8))&gt;0),"",IF(AND($V8="Sub",N($U8)&gt;0),IF(ISNUMBER(INDEX($AM$5:$AM$1000,$U8-4)),DATE(YEAR(INDEX($AM$5:$AM$1000,$U8-4)),MONTH(INDEX($AM$5:$AM$1000,$U8-4)),1),IF(ISNUMBER(INDEX($AN$5:$AN$1000,$U8-4)),DATE(YEAR(INDEX($AN$5:$AN$1000,$U8-4)),MONTH(INDEX($AN$5:$AN$1000,$U8-4)),1),MesCiclo)),IF(ISNUMBER($AM8),DATE(YEAR($AM8),MONTH($AM8),1),IF(ISNUMBER($AN8),DATE(YEAR($AN8),MONTH($AN8),1),MesCiclo))))</f>
        <v/>
      </c>
      <c r="T8" s="62">
        <f>IF(OR($S8="",$S8&lt;&gt;MesCiclo),"",COUNTIF($S$5:$S8,MesCiclo))</f>
        <v/>
      </c>
      <c r="U8" s="62">
        <f>IF($V8="","",IF($V8="Macro",ROW(),IFERROR(LOOKUP(2,1/($V$5:$V8="Macro"),ROW($V$5:$V8)),0)))</f>
        <v/>
      </c>
      <c r="V8" s="62">
        <f>IF(NOT((COUNTA($B8:$D8)+COUNTA($G8:$L8)+COUNTA($Q8))&gt;0),"",IF($B8="Subactividad","Sub","Macro"))</f>
        <v/>
      </c>
      <c r="W8" s="62">
        <f>IF($V8="Macro",COUNTIFS($U$5:$U$1000,ROW(),$V$5:$V$1000,"Sub"),"")</f>
        <v/>
      </c>
      <c r="X8" s="62">
        <f>IF($V8="","",IF(ISNUMBER($G8),1,IFERROR(LOOKUP(2,1/($I8:$L8&lt;&gt;""),$I8:$L8),0)))</f>
        <v/>
      </c>
      <c r="Y8" s="62">
        <f>IF($V8="","",IF(AND(ISNUMBER($G8),$G8&lt;=IF($S8=MesCiclo,InicioCiclo,$S8+MOD(2-WEEKDAY($S8),7))+6),1,IF(ISNUMBER($I8),$I8,0)))</f>
        <v/>
      </c>
      <c r="Z8" s="62">
        <f>IF($V8="","",IF(AND(ISNUMBER($G8),$G8&lt;=IF($S8=MesCiclo,InicioCiclo,$S8+MOD(2-WEEKDAY($S8),7))+13),1,IF(ISNUMBER($J8),$J8,$Y8)))</f>
        <v/>
      </c>
      <c r="AA8" s="62">
        <f>IF($V8="","",IF(AND(ISNUMBER($G8),$G8&lt;=IF($S8=MesCiclo,InicioCiclo,$S8+MOD(2-WEEKDAY($S8),7))+20),1,IF(ISNUMBER($K8),$K8,$Z8)))</f>
        <v/>
      </c>
      <c r="AB8" s="62">
        <f>IF($V8="","",IF(AND(ISNUMBER($G8),$G8&lt;=IF($S8=MesCiclo,InicioCiclo,$S8+MOD(2-WEEKDAY($S8),7))+27),1,IF(ISNUMBER($L8),$L8,$AA8)))</f>
        <v/>
      </c>
      <c r="AC8" s="62">
        <f>IF($V8="","",IF(AND(ISNUMBER($G8),$G8&lt;=IF($S8=MesCiclo,InicioCiclo,$S8+MOD(2-WEEKDAY($S8),7))+6),1,IF(N($W8)&gt;0,AVERAGEIFS($Y$5:$Y$1000,$U$5:$U$1000,ROW(),$V$5:$V$1000,"Sub"),$Y8)))</f>
        <v/>
      </c>
      <c r="AD8" s="62">
        <f>IF($V8="","",IF(AND(ISNUMBER($G8),$G8&lt;=IF($S8=MesCiclo,InicioCiclo,$S8+MOD(2-WEEKDAY($S8),7))+13),1,IF(N($W8)&gt;0,AVERAGEIFS($Z$5:$Z$1000,$U$5:$U$1000,ROW(),$V$5:$V$1000,"Sub"),$Z8)))</f>
        <v/>
      </c>
      <c r="AE8" s="62">
        <f>IF($V8="","",IF(AND(ISNUMBER($G8),$G8&lt;=IF($S8=MesCiclo,InicioCiclo,$S8+MOD(2-WEEKDAY($S8),7))+20),1,IF(N($W8)&gt;0,AVERAGEIFS($AA$5:$AA$1000,$U$5:$U$1000,ROW(),$V$5:$V$1000,"Sub"),$AA8)))</f>
        <v/>
      </c>
      <c r="AF8" s="62">
        <f>IF($V8="","",IF(AND(ISNUMBER($G8),$G8&lt;=IF($S8=MesCiclo,InicioCiclo,$S8+MOD(2-WEEKDAY($S8),7))+27),1,IF(N($W8)&gt;0,AVERAGEIFS($AB$5:$AB$1000,$U$5:$U$1000,ROW(),$V$5:$V$1000,"Sub"),$AB8)))</f>
        <v/>
      </c>
      <c r="AG8" s="62">
        <f>IF($V8&lt;&gt;"Macro","",IF(COUNTIFS($S$5:$S$1000,$S8,$V$5:$V$1000,"Macro",$H$5:$H$1000,"&gt;0")=0,1/COUNTIFS($S$5:$S$1000,$S8,$V$5:$V$1000,"Macro"),IF(AND(ISNUMBER($H8),N($H8)&gt;0),$H8,SUMIFS($H$5:$H$1000,$S$5:$S$1000,$S8,$V$5:$V$1000,"Macro")/COUNTIFS($S$5:$S$1000,$S8,$V$5:$V$1000,"Macro",$H$5:$H$1000,"&gt;0"))/(COUNTIFS($S$5:$S$1000,$S8,$V$5:$V$1000,"Macro")*SUMIFS($H$5:$H$1000,$S$5:$S$1000,$S8,$V$5:$V$1000,"Macro")/COUNTIFS($S$5:$S$1000,$S8,$V$5:$V$1000,"Macro",$H$5:$H$1000,"&gt;0"))))</f>
        <v/>
      </c>
      <c r="AH8" s="62" t="n"/>
      <c r="AI8" s="62" t="n"/>
      <c r="AJ8" s="62" t="n"/>
      <c r="AK8" s="62" t="n"/>
      <c r="AL8" s="62">
        <f>IF(LEFT($C8,11)="[Jefatura] ",IFERROR(MATCH("Riesgo Operacional|"&amp;MID($C8,12,500),rDname_ADM,0),0),"")</f>
        <v/>
      </c>
      <c r="AM8" s="62">
        <f>IF(N($AL8)&gt;0,INDEX(rIni_ADM,$AL8),IF(ISNUMBER($E8),$E8,""))</f>
        <v/>
      </c>
      <c r="AN8" s="62">
        <f>IF(N($AL8)&gt;0,INDEX(rLim_ADM,$AL8),IF(ISNUMBER($F8),$F8,""))</f>
        <v/>
      </c>
    </row>
    <row r="9">
      <c r="A9" s="56">
        <f>IF(NOT((COUNTA($B9:$D9)+COUNTA($G9:$L9)+COUNTA($Q9))&gt;0),"",IF($V9="Macro",COUNTIFS($V$5:$V9,"Macro",$S$5:$S9,$S9),IF(N($U9)=0,"?",COUNTIFS(INDEX($V$5:$V$1000,1):INDEX($V$5:$V$1000,$U9-4),"Macro",INDEX($S$5:$S$1000,1):INDEX($S$5:$S$1000,$U9-4),INDEX($S$5:$S$1000,$U9-4))&amp;"."&amp;COUNTIFS($U$5:$U9,$U9,$V$5:$V9,"Sub"))))</f>
        <v/>
      </c>
      <c r="B9" s="57" t="n"/>
      <c r="C9" s="58" t="n"/>
      <c r="D9" s="58" t="n"/>
      <c r="E9" s="59">
        <f>IF(N($AL9)&gt;0,INDEX(rIni_ADM,$AL9),"")</f>
        <v/>
      </c>
      <c r="F9" s="59">
        <f>IF(N($AL9)&gt;0,INDEX(rLim_ADM,$AL9),"")</f>
        <v/>
      </c>
      <c r="G9" s="59" t="n"/>
      <c r="H9" s="60" t="n"/>
      <c r="I9" s="60" t="n"/>
      <c r="J9" s="60" t="n"/>
      <c r="K9" s="60" t="n"/>
      <c r="L9" s="60" t="n"/>
      <c r="M9" s="61">
        <f>IF(NOT((COUNTA($B9:$D9)+COUNTA($G9:$L9)+COUNTA($Q9))&gt;0),"",IF(ISNUMBER($G9),1,IF(N($W9)&gt;0,AVERAGEIFS($X$5:$X$1000,$U$5:$U$1000,ROW(),$V$5:$V$1000,"Sub"),$X9)))</f>
        <v/>
      </c>
      <c r="N9" s="56">
        <f>IF($M9="","",IF($M9&gt;=1,"Completado",IF($M9&gt;0,"En curso","Pendiente")))</f>
        <v/>
      </c>
      <c r="O9" s="56">
        <f>IF(NOT((COUNTA($B9:$D9)+COUNTA($G9:$L9)+COUNTA($Q9))&gt;0),"",IF(ISNUMBER($G9),IF(AND(ISNUMBER($AN9),$G9&gt;$AN9),"Cumplida con "&amp;($G9-$AN9)&amp;IF($G9-$AN9=1," día"," días")&amp;" de retraso","Cumplida"),IF(N($M9)&gt;=1,"Cumplida",IF(NOT(ISNUMBER($AN9)),"Sin fecha límite",IF($AN9&lt;FechaRef,"Vencida hace "&amp;(FechaRef-$AN9)&amp;IF(FechaRef-$AN9=1," día"," días"),IF($AN9=FechaRef,"Vence hoy",IF($AN9-FechaRef&lt;=DiasAlerta,"Vence en "&amp;($AN9-FechaRef)&amp;IF($AN9-FechaRef=1," día"," días"),"En plazo")))))))</f>
        <v/>
      </c>
      <c r="P9" s="62" t="n"/>
      <c r="Q9" s="58" t="n"/>
      <c r="R9" s="63">
        <f>IF(NOT((COUNTA($B9:$D9)+COUNTA($G9:$L9)+COUNTA($Q9))&gt;0),"",IF((IF($C9="","Falta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",""))="","✔ OK","⚠ "&amp;LEFT(IF($C9="","Falta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",""),LEN(IF($C9="","Falta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",""))-3)))</f>
        <v/>
      </c>
      <c r="S9" s="64">
        <f>IF(NOT((COUNTA($B9:$D9)+COUNTA($G9:$L9)+COUNTA($Q9))&gt;0),"",IF(AND($V9="Sub",N($U9)&gt;0),IF(ISNUMBER(INDEX($AM$5:$AM$1000,$U9-4)),DATE(YEAR(INDEX($AM$5:$AM$1000,$U9-4)),MONTH(INDEX($AM$5:$AM$1000,$U9-4)),1),IF(ISNUMBER(INDEX($AN$5:$AN$1000,$U9-4)),DATE(YEAR(INDEX($AN$5:$AN$1000,$U9-4)),MONTH(INDEX($AN$5:$AN$1000,$U9-4)),1),MesCiclo)),IF(ISNUMBER($AM9),DATE(YEAR($AM9),MONTH($AM9),1),IF(ISNUMBER($AN9),DATE(YEAR($AN9),MONTH($AN9),1),MesCiclo))))</f>
        <v/>
      </c>
      <c r="T9" s="62">
        <f>IF(OR($S9="",$S9&lt;&gt;MesCiclo),"",COUNTIF($S$5:$S9,MesCiclo))</f>
        <v/>
      </c>
      <c r="U9" s="62">
        <f>IF($V9="","",IF($V9="Macro",ROW(),IFERROR(LOOKUP(2,1/($V$5:$V9="Macro"),ROW($V$5:$V9)),0)))</f>
        <v/>
      </c>
      <c r="V9" s="62">
        <f>IF(NOT((COUNTA($B9:$D9)+COUNTA($G9:$L9)+COUNTA($Q9))&gt;0),"",IF($B9="Subactividad","Sub","Macro"))</f>
        <v/>
      </c>
      <c r="W9" s="62">
        <f>IF($V9="Macro",COUNTIFS($U$5:$U$1000,ROW(),$V$5:$V$1000,"Sub"),"")</f>
        <v/>
      </c>
      <c r="X9" s="62">
        <f>IF($V9="","",IF(ISNUMBER($G9),1,IFERROR(LOOKUP(2,1/($I9:$L9&lt;&gt;""),$I9:$L9),0)))</f>
        <v/>
      </c>
      <c r="Y9" s="62">
        <f>IF($V9="","",IF(AND(ISNUMBER($G9),$G9&lt;=IF($S9=MesCiclo,InicioCiclo,$S9+MOD(2-WEEKDAY($S9),7))+6),1,IF(ISNUMBER($I9),$I9,0)))</f>
        <v/>
      </c>
      <c r="Z9" s="62">
        <f>IF($V9="","",IF(AND(ISNUMBER($G9),$G9&lt;=IF($S9=MesCiclo,InicioCiclo,$S9+MOD(2-WEEKDAY($S9),7))+13),1,IF(ISNUMBER($J9),$J9,$Y9)))</f>
        <v/>
      </c>
      <c r="AA9" s="62">
        <f>IF($V9="","",IF(AND(ISNUMBER($G9),$G9&lt;=IF($S9=MesCiclo,InicioCiclo,$S9+MOD(2-WEEKDAY($S9),7))+20),1,IF(ISNUMBER($K9),$K9,$Z9)))</f>
        <v/>
      </c>
      <c r="AB9" s="62">
        <f>IF($V9="","",IF(AND(ISNUMBER($G9),$G9&lt;=IF($S9=MesCiclo,InicioCiclo,$S9+MOD(2-WEEKDAY($S9),7))+27),1,IF(ISNUMBER($L9),$L9,$AA9)))</f>
        <v/>
      </c>
      <c r="AC9" s="62">
        <f>IF($V9="","",IF(AND(ISNUMBER($G9),$G9&lt;=IF($S9=MesCiclo,InicioCiclo,$S9+MOD(2-WEEKDAY($S9),7))+6),1,IF(N($W9)&gt;0,AVERAGEIFS($Y$5:$Y$1000,$U$5:$U$1000,ROW(),$V$5:$V$1000,"Sub"),$Y9)))</f>
        <v/>
      </c>
      <c r="AD9" s="62">
        <f>IF($V9="","",IF(AND(ISNUMBER($G9),$G9&lt;=IF($S9=MesCiclo,InicioCiclo,$S9+MOD(2-WEEKDAY($S9),7))+13),1,IF(N($W9)&gt;0,AVERAGEIFS($Z$5:$Z$1000,$U$5:$U$1000,ROW(),$V$5:$V$1000,"Sub"),$Z9)))</f>
        <v/>
      </c>
      <c r="AE9" s="62">
        <f>IF($V9="","",IF(AND(ISNUMBER($G9),$G9&lt;=IF($S9=MesCiclo,InicioCiclo,$S9+MOD(2-WEEKDAY($S9),7))+20),1,IF(N($W9)&gt;0,AVERAGEIFS($AA$5:$AA$1000,$U$5:$U$1000,ROW(),$V$5:$V$1000,"Sub"),$AA9)))</f>
        <v/>
      </c>
      <c r="AF9" s="62">
        <f>IF($V9="","",IF(AND(ISNUMBER($G9),$G9&lt;=IF($S9=MesCiclo,InicioCiclo,$S9+MOD(2-WEEKDAY($S9),7))+27),1,IF(N($W9)&gt;0,AVERAGEIFS($AB$5:$AB$1000,$U$5:$U$1000,ROW(),$V$5:$V$1000,"Sub"),$AB9)))</f>
        <v/>
      </c>
      <c r="AG9" s="62">
        <f>IF($V9&lt;&gt;"Macro","",IF(COUNTIFS($S$5:$S$1000,$S9,$V$5:$V$1000,"Macro",$H$5:$H$1000,"&gt;0")=0,1/COUNTIFS($S$5:$S$1000,$S9,$V$5:$V$1000,"Macro"),IF(AND(ISNUMBER($H9),N($H9)&gt;0),$H9,SUMIFS($H$5:$H$1000,$S$5:$S$1000,$S9,$V$5:$V$1000,"Macro")/COUNTIFS($S$5:$S$1000,$S9,$V$5:$V$1000,"Macro",$H$5:$H$1000,"&gt;0"))/(COUNTIFS($S$5:$S$1000,$S9,$V$5:$V$1000,"Macro")*SUMIFS($H$5:$H$1000,$S$5:$S$1000,$S9,$V$5:$V$1000,"Macro")/COUNTIFS($S$5:$S$1000,$S9,$V$5:$V$1000,"Macro",$H$5:$H$1000,"&gt;0"))))</f>
        <v/>
      </c>
      <c r="AH9" s="62" t="n"/>
      <c r="AI9" s="62" t="n"/>
      <c r="AJ9" s="62" t="n"/>
      <c r="AK9" s="62" t="n"/>
      <c r="AL9" s="62">
        <f>IF(LEFT($C9,11)="[Jefatura] ",IFERROR(MATCH("Riesgo Operacional|"&amp;MID($C9,12,500),rDname_ADM,0),0),"")</f>
        <v/>
      </c>
      <c r="AM9" s="62">
        <f>IF(N($AL9)&gt;0,INDEX(rIni_ADM,$AL9),IF(ISNUMBER($E9),$E9,""))</f>
        <v/>
      </c>
      <c r="AN9" s="62">
        <f>IF(N($AL9)&gt;0,INDEX(rLim_ADM,$AL9),IF(ISNUMBER($F9),$F9,""))</f>
        <v/>
      </c>
    </row>
    <row r="10">
      <c r="A10" s="56">
        <f>IF(NOT((COUNTA($B10:$D10)+COUNTA($G10:$L10)+COUNTA($Q10))&gt;0),"",IF($V10="Macro",COUNTIFS($V$5:$V10,"Macro",$S$5:$S10,$S10),IF(N($U10)=0,"?",COUNTIFS(INDEX($V$5:$V$1000,1):INDEX($V$5:$V$1000,$U10-4),"Macro",INDEX($S$5:$S$1000,1):INDEX($S$5:$S$1000,$U10-4),INDEX($S$5:$S$1000,$U10-4))&amp;"."&amp;COUNTIFS($U$5:$U10,$U10,$V$5:$V10,"Sub"))))</f>
        <v/>
      </c>
      <c r="B10" s="57" t="n"/>
      <c r="C10" s="58" t="n"/>
      <c r="D10" s="58" t="n"/>
      <c r="E10" s="59">
        <f>IF(N($AL10)&gt;0,INDEX(rIni_ADM,$AL10),"")</f>
        <v/>
      </c>
      <c r="F10" s="59">
        <f>IF(N($AL10)&gt;0,INDEX(rLim_ADM,$AL10),"")</f>
        <v/>
      </c>
      <c r="G10" s="59" t="n"/>
      <c r="H10" s="60" t="n"/>
      <c r="I10" s="60" t="n"/>
      <c r="J10" s="60" t="n"/>
      <c r="K10" s="60" t="n"/>
      <c r="L10" s="60" t="n"/>
      <c r="M10" s="61">
        <f>IF(NOT((COUNTA($B10:$D10)+COUNTA($G10:$L10)+COUNTA($Q10))&gt;0),"",IF(ISNUMBER($G10),1,IF(N($W10)&gt;0,AVERAGEIFS($X$5:$X$1000,$U$5:$U$1000,ROW(),$V$5:$V$1000,"Sub"),$X10)))</f>
        <v/>
      </c>
      <c r="N10" s="56">
        <f>IF($M10="","",IF($M10&gt;=1,"Completado",IF($M10&gt;0,"En curso","Pendiente")))</f>
        <v/>
      </c>
      <c r="O10" s="56">
        <f>IF(NOT((COUNTA($B10:$D10)+COUNTA($G10:$L10)+COUNTA($Q10))&gt;0),"",IF(ISNUMBER($G10),IF(AND(ISNUMBER($AN10),$G10&gt;$AN10),"Cumplida con "&amp;($G10-$AN10)&amp;IF($G10-$AN10=1," día"," días")&amp;" de retraso","Cumplida"),IF(N($M10)&gt;=1,"Cumplida",IF(NOT(ISNUMBER($AN10)),"Sin fecha límite",IF($AN10&lt;FechaRef,"Vencida hace "&amp;(FechaRef-$AN10)&amp;IF(FechaRef-$AN10=1," día"," días"),IF($AN10=FechaRef,"Vence hoy",IF($AN10-FechaRef&lt;=DiasAlerta,"Vence en "&amp;($AN10-FechaRef)&amp;IF($AN10-FechaRef=1," día"," días"),"En plazo")))))))</f>
        <v/>
      </c>
      <c r="P10" s="62" t="n"/>
      <c r="Q10" s="58" t="n"/>
      <c r="R10" s="63">
        <f>IF(NOT((COUNTA($B10:$D10)+COUNTA($G10:$L10)+COUNTA($Q10))&gt;0),"",IF((IF($C10="","Falta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",""))="","✔ OK","⚠ "&amp;LEFT(IF($C10="","Falta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",""),LEN(IF($C10="","Falta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",""))-3)))</f>
        <v/>
      </c>
      <c r="S10" s="64">
        <f>IF(NOT((COUNTA($B10:$D10)+COUNTA($G10:$L10)+COUNTA($Q10))&gt;0),"",IF(AND($V10="Sub",N($U10)&gt;0),IF(ISNUMBER(INDEX($AM$5:$AM$1000,$U10-4)),DATE(YEAR(INDEX($AM$5:$AM$1000,$U10-4)),MONTH(INDEX($AM$5:$AM$1000,$U10-4)),1),IF(ISNUMBER(INDEX($AN$5:$AN$1000,$U10-4)),DATE(YEAR(INDEX($AN$5:$AN$1000,$U10-4)),MONTH(INDEX($AN$5:$AN$1000,$U10-4)),1),MesCiclo)),IF(ISNUMBER($AM10),DATE(YEAR($AM10),MONTH($AM10),1),IF(ISNUMBER($AN10),DATE(YEAR($AN10),MONTH($AN10),1),MesCiclo))))</f>
        <v/>
      </c>
      <c r="T10" s="62">
        <f>IF(OR($S10="",$S10&lt;&gt;MesCiclo),"",COUNTIF($S$5:$S10,MesCiclo))</f>
        <v/>
      </c>
      <c r="U10" s="62">
        <f>IF($V10="","",IF($V10="Macro",ROW(),IFERROR(LOOKUP(2,1/($V$5:$V10="Macro"),ROW($V$5:$V10)),0)))</f>
        <v/>
      </c>
      <c r="V10" s="62">
        <f>IF(NOT((COUNTA($B10:$D10)+COUNTA($G10:$L10)+COUNTA($Q10))&gt;0),"",IF($B10="Subactividad","Sub","Macro"))</f>
        <v/>
      </c>
      <c r="W10" s="62">
        <f>IF($V10="Macro",COUNTIFS($U$5:$U$1000,ROW(),$V$5:$V$1000,"Sub"),"")</f>
        <v/>
      </c>
      <c r="X10" s="62">
        <f>IF($V10="","",IF(ISNUMBER($G10),1,IFERROR(LOOKUP(2,1/($I10:$L10&lt;&gt;""),$I10:$L10),0)))</f>
        <v/>
      </c>
      <c r="Y10" s="62">
        <f>IF($V10="","",IF(AND(ISNUMBER($G10),$G10&lt;=IF($S10=MesCiclo,InicioCiclo,$S10+MOD(2-WEEKDAY($S10),7))+6),1,IF(ISNUMBER($I10),$I10,0)))</f>
        <v/>
      </c>
      <c r="Z10" s="62">
        <f>IF($V10="","",IF(AND(ISNUMBER($G10),$G10&lt;=IF($S10=MesCiclo,InicioCiclo,$S10+MOD(2-WEEKDAY($S10),7))+13),1,IF(ISNUMBER($J10),$J10,$Y10)))</f>
        <v/>
      </c>
      <c r="AA10" s="62">
        <f>IF($V10="","",IF(AND(ISNUMBER($G10),$G10&lt;=IF($S10=MesCiclo,InicioCiclo,$S10+MOD(2-WEEKDAY($S10),7))+20),1,IF(ISNUMBER($K10),$K10,$Z10)))</f>
        <v/>
      </c>
      <c r="AB10" s="62">
        <f>IF($V10="","",IF(AND(ISNUMBER($G10),$G10&lt;=IF($S10=MesCiclo,InicioCiclo,$S10+MOD(2-WEEKDAY($S10),7))+27),1,IF(ISNUMBER($L10),$L10,$AA10)))</f>
        <v/>
      </c>
      <c r="AC10" s="62">
        <f>IF($V10="","",IF(AND(ISNUMBER($G10),$G10&lt;=IF($S10=MesCiclo,InicioCiclo,$S10+MOD(2-WEEKDAY($S10),7))+6),1,IF(N($W10)&gt;0,AVERAGEIFS($Y$5:$Y$1000,$U$5:$U$1000,ROW(),$V$5:$V$1000,"Sub"),$Y10)))</f>
        <v/>
      </c>
      <c r="AD10" s="62">
        <f>IF($V10="","",IF(AND(ISNUMBER($G10),$G10&lt;=IF($S10=MesCiclo,InicioCiclo,$S10+MOD(2-WEEKDAY($S10),7))+13),1,IF(N($W10)&gt;0,AVERAGEIFS($Z$5:$Z$1000,$U$5:$U$1000,ROW(),$V$5:$V$1000,"Sub"),$Z10)))</f>
        <v/>
      </c>
      <c r="AE10" s="62">
        <f>IF($V10="","",IF(AND(ISNUMBER($G10),$G10&lt;=IF($S10=MesCiclo,InicioCiclo,$S10+MOD(2-WEEKDAY($S10),7))+20),1,IF(N($W10)&gt;0,AVERAGEIFS($AA$5:$AA$1000,$U$5:$U$1000,ROW(),$V$5:$V$1000,"Sub"),$AA10)))</f>
        <v/>
      </c>
      <c r="AF10" s="62">
        <f>IF($V10="","",IF(AND(ISNUMBER($G10),$G10&lt;=IF($S10=MesCiclo,InicioCiclo,$S10+MOD(2-WEEKDAY($S10),7))+27),1,IF(N($W10)&gt;0,AVERAGEIFS($AB$5:$AB$1000,$U$5:$U$1000,ROW(),$V$5:$V$1000,"Sub"),$AB10)))</f>
        <v/>
      </c>
      <c r="AG10" s="62">
        <f>IF($V10&lt;&gt;"Macro","",IF(COUNTIFS($S$5:$S$1000,$S10,$V$5:$V$1000,"Macro",$H$5:$H$1000,"&gt;0")=0,1/COUNTIFS($S$5:$S$1000,$S10,$V$5:$V$1000,"Macro"),IF(AND(ISNUMBER($H10),N($H10)&gt;0),$H10,SUMIFS($H$5:$H$1000,$S$5:$S$1000,$S10,$V$5:$V$1000,"Macro")/COUNTIFS($S$5:$S$1000,$S10,$V$5:$V$1000,"Macro",$H$5:$H$1000,"&gt;0"))/(COUNTIFS($S$5:$S$1000,$S10,$V$5:$V$1000,"Macro")*SUMIFS($H$5:$H$1000,$S$5:$S$1000,$S10,$V$5:$V$1000,"Macro")/COUNTIFS($S$5:$S$1000,$S10,$V$5:$V$1000,"Macro",$H$5:$H$1000,"&gt;0"))))</f>
        <v/>
      </c>
      <c r="AH10" s="62" t="n"/>
      <c r="AI10" s="62" t="n"/>
      <c r="AJ10" s="62" t="n"/>
      <c r="AK10" s="62" t="n"/>
      <c r="AL10" s="62">
        <f>IF(LEFT($C10,11)="[Jefatura] ",IFERROR(MATCH("Riesgo Operacional|"&amp;MID($C10,12,500),rDname_ADM,0),0),"")</f>
        <v/>
      </c>
      <c r="AM10" s="62">
        <f>IF(N($AL10)&gt;0,INDEX(rIni_ADM,$AL10),IF(ISNUMBER($E10),$E10,""))</f>
        <v/>
      </c>
      <c r="AN10" s="62">
        <f>IF(N($AL10)&gt;0,INDEX(rLim_ADM,$AL10),IF(ISNUMBER($F10),$F10,""))</f>
        <v/>
      </c>
    </row>
    <row r="11">
      <c r="A11" s="56">
        <f>IF(NOT((COUNTA($B11:$D11)+COUNTA($G11:$L11)+COUNTA($Q11))&gt;0),"",IF($V11="Macro",COUNTIFS($V$5:$V11,"Macro",$S$5:$S11,$S11),IF(N($U11)=0,"?",COUNTIFS(INDEX($V$5:$V$1000,1):INDEX($V$5:$V$1000,$U11-4),"Macro",INDEX($S$5:$S$1000,1):INDEX($S$5:$S$1000,$U11-4),INDEX($S$5:$S$1000,$U11-4))&amp;"."&amp;COUNTIFS($U$5:$U11,$U11,$V$5:$V11,"Sub"))))</f>
        <v/>
      </c>
      <c r="B11" s="57" t="n"/>
      <c r="C11" s="58" t="n"/>
      <c r="D11" s="58" t="n"/>
      <c r="E11" s="59">
        <f>IF(N($AL11)&gt;0,INDEX(rIni_ADM,$AL11),"")</f>
        <v/>
      </c>
      <c r="F11" s="59">
        <f>IF(N($AL11)&gt;0,INDEX(rLim_ADM,$AL11),"")</f>
        <v/>
      </c>
      <c r="G11" s="59" t="n"/>
      <c r="H11" s="60" t="n"/>
      <c r="I11" s="60" t="n"/>
      <c r="J11" s="60" t="n"/>
      <c r="K11" s="60" t="n"/>
      <c r="L11" s="60" t="n"/>
      <c r="M11" s="61">
        <f>IF(NOT((COUNTA($B11:$D11)+COUNTA($G11:$L11)+COUNTA($Q11))&gt;0),"",IF(ISNUMBER($G11),1,IF(N($W11)&gt;0,AVERAGEIFS($X$5:$X$1000,$U$5:$U$1000,ROW(),$V$5:$V$1000,"Sub"),$X11)))</f>
        <v/>
      </c>
      <c r="N11" s="56">
        <f>IF($M11="","",IF($M11&gt;=1,"Completado",IF($M11&gt;0,"En curso","Pendiente")))</f>
        <v/>
      </c>
      <c r="O11" s="56">
        <f>IF(NOT((COUNTA($B11:$D11)+COUNTA($G11:$L11)+COUNTA($Q11))&gt;0),"",IF(ISNUMBER($G11),IF(AND(ISNUMBER($AN11),$G11&gt;$AN11),"Cumplida con "&amp;($G11-$AN11)&amp;IF($G11-$AN11=1," día"," días")&amp;" de retraso","Cumplida"),IF(N($M11)&gt;=1,"Cumplida",IF(NOT(ISNUMBER($AN11)),"Sin fecha límite",IF($AN11&lt;FechaRef,"Vencida hace "&amp;(FechaRef-$AN11)&amp;IF(FechaRef-$AN11=1," día"," días"),IF($AN11=FechaRef,"Vence hoy",IF($AN11-FechaRef&lt;=DiasAlerta,"Vence en "&amp;($AN11-FechaRef)&amp;IF($AN11-FechaRef=1," día"," días"),"En plazo")))))))</f>
        <v/>
      </c>
      <c r="P11" s="62" t="n"/>
      <c r="Q11" s="58" t="n"/>
      <c r="R11" s="63">
        <f>IF(NOT((COUNTA($B11:$D11)+COUNTA($G11:$L11)+COUNTA($Q11))&gt;0),"",IF((IF($C11="","Falta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",""))="","✔ OK","⚠ "&amp;LEFT(IF($C11="","Falta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",""),LEN(IF($C11="","Falta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",""))-3)))</f>
        <v/>
      </c>
      <c r="S11" s="64">
        <f>IF(NOT((COUNTA($B11:$D11)+COUNTA($G11:$L11)+COUNTA($Q11))&gt;0),"",IF(AND($V11="Sub",N($U11)&gt;0),IF(ISNUMBER(INDEX($AM$5:$AM$1000,$U11-4)),DATE(YEAR(INDEX($AM$5:$AM$1000,$U11-4)),MONTH(INDEX($AM$5:$AM$1000,$U11-4)),1),IF(ISNUMBER(INDEX($AN$5:$AN$1000,$U11-4)),DATE(YEAR(INDEX($AN$5:$AN$1000,$U11-4)),MONTH(INDEX($AN$5:$AN$1000,$U11-4)),1),MesCiclo)),IF(ISNUMBER($AM11),DATE(YEAR($AM11),MONTH($AM11),1),IF(ISNUMBER($AN11),DATE(YEAR($AN11),MONTH($AN11),1),MesCiclo))))</f>
        <v/>
      </c>
      <c r="T11" s="62">
        <f>IF(OR($S11="",$S11&lt;&gt;MesCiclo),"",COUNTIF($S$5:$S11,MesCiclo))</f>
        <v/>
      </c>
      <c r="U11" s="62">
        <f>IF($V11="","",IF($V11="Macro",ROW(),IFERROR(LOOKUP(2,1/($V$5:$V11="Macro"),ROW($V$5:$V11)),0)))</f>
        <v/>
      </c>
      <c r="V11" s="62">
        <f>IF(NOT((COUNTA($B11:$D11)+COUNTA($G11:$L11)+COUNTA($Q11))&gt;0),"",IF($B11="Subactividad","Sub","Macro"))</f>
        <v/>
      </c>
      <c r="W11" s="62">
        <f>IF($V11="Macro",COUNTIFS($U$5:$U$1000,ROW(),$V$5:$V$1000,"Sub"),"")</f>
        <v/>
      </c>
      <c r="X11" s="62">
        <f>IF($V11="","",IF(ISNUMBER($G11),1,IFERROR(LOOKUP(2,1/($I11:$L11&lt;&gt;""),$I11:$L11),0)))</f>
        <v/>
      </c>
      <c r="Y11" s="62">
        <f>IF($V11="","",IF(AND(ISNUMBER($G11),$G11&lt;=IF($S11=MesCiclo,InicioCiclo,$S11+MOD(2-WEEKDAY($S11),7))+6),1,IF(ISNUMBER($I11),$I11,0)))</f>
        <v/>
      </c>
      <c r="Z11" s="62">
        <f>IF($V11="","",IF(AND(ISNUMBER($G11),$G11&lt;=IF($S11=MesCiclo,InicioCiclo,$S11+MOD(2-WEEKDAY($S11),7))+13),1,IF(ISNUMBER($J11),$J11,$Y11)))</f>
        <v/>
      </c>
      <c r="AA11" s="62">
        <f>IF($V11="","",IF(AND(ISNUMBER($G11),$G11&lt;=IF($S11=MesCiclo,InicioCiclo,$S11+MOD(2-WEEKDAY($S11),7))+20),1,IF(ISNUMBER($K11),$K11,$Z11)))</f>
        <v/>
      </c>
      <c r="AB11" s="62">
        <f>IF($V11="","",IF(AND(ISNUMBER($G11),$G11&lt;=IF($S11=MesCiclo,InicioCiclo,$S11+MOD(2-WEEKDAY($S11),7))+27),1,IF(ISNUMBER($L11),$L11,$AA11)))</f>
        <v/>
      </c>
      <c r="AC11" s="62">
        <f>IF($V11="","",IF(AND(ISNUMBER($G11),$G11&lt;=IF($S11=MesCiclo,InicioCiclo,$S11+MOD(2-WEEKDAY($S11),7))+6),1,IF(N($W11)&gt;0,AVERAGEIFS($Y$5:$Y$1000,$U$5:$U$1000,ROW(),$V$5:$V$1000,"Sub"),$Y11)))</f>
        <v/>
      </c>
      <c r="AD11" s="62">
        <f>IF($V11="","",IF(AND(ISNUMBER($G11),$G11&lt;=IF($S11=MesCiclo,InicioCiclo,$S11+MOD(2-WEEKDAY($S11),7))+13),1,IF(N($W11)&gt;0,AVERAGEIFS($Z$5:$Z$1000,$U$5:$U$1000,ROW(),$V$5:$V$1000,"Sub"),$Z11)))</f>
        <v/>
      </c>
      <c r="AE11" s="62">
        <f>IF($V11="","",IF(AND(ISNUMBER($G11),$G11&lt;=IF($S11=MesCiclo,InicioCiclo,$S11+MOD(2-WEEKDAY($S11),7))+20),1,IF(N($W11)&gt;0,AVERAGEIFS($AA$5:$AA$1000,$U$5:$U$1000,ROW(),$V$5:$V$1000,"Sub"),$AA11)))</f>
        <v/>
      </c>
      <c r="AF11" s="62">
        <f>IF($V11="","",IF(AND(ISNUMBER($G11),$G11&lt;=IF($S11=MesCiclo,InicioCiclo,$S11+MOD(2-WEEKDAY($S11),7))+27),1,IF(N($W11)&gt;0,AVERAGEIFS($AB$5:$AB$1000,$U$5:$U$1000,ROW(),$V$5:$V$1000,"Sub"),$AB11)))</f>
        <v/>
      </c>
      <c r="AG11" s="62">
        <f>IF($V11&lt;&gt;"Macro","",IF(COUNTIFS($S$5:$S$1000,$S11,$V$5:$V$1000,"Macro",$H$5:$H$1000,"&gt;0")=0,1/COUNTIFS($S$5:$S$1000,$S11,$V$5:$V$1000,"Macro"),IF(AND(ISNUMBER($H11),N($H11)&gt;0),$H11,SUMIFS($H$5:$H$1000,$S$5:$S$1000,$S11,$V$5:$V$1000,"Macro")/COUNTIFS($S$5:$S$1000,$S11,$V$5:$V$1000,"Macro",$H$5:$H$1000,"&gt;0"))/(COUNTIFS($S$5:$S$1000,$S11,$V$5:$V$1000,"Macro")*SUMIFS($H$5:$H$1000,$S$5:$S$1000,$S11,$V$5:$V$1000,"Macro")/COUNTIFS($S$5:$S$1000,$S11,$V$5:$V$1000,"Macro",$H$5:$H$1000,"&gt;0"))))</f>
        <v/>
      </c>
      <c r="AH11" s="62" t="n"/>
      <c r="AI11" s="62" t="n"/>
      <c r="AJ11" s="62" t="n"/>
      <c r="AK11" s="62" t="n"/>
      <c r="AL11" s="62">
        <f>IF(LEFT($C11,11)="[Jefatura] ",IFERROR(MATCH("Riesgo Operacional|"&amp;MID($C11,12,500),rDname_ADM,0),0),"")</f>
        <v/>
      </c>
      <c r="AM11" s="62">
        <f>IF(N($AL11)&gt;0,INDEX(rIni_ADM,$AL11),IF(ISNUMBER($E11),$E11,""))</f>
        <v/>
      </c>
      <c r="AN11" s="62">
        <f>IF(N($AL11)&gt;0,INDEX(rLim_ADM,$AL11),IF(ISNUMBER($F11),$F11,""))</f>
        <v/>
      </c>
    </row>
    <row r="12">
      <c r="A12" s="56">
        <f>IF(NOT((COUNTA($B12:$D12)+COUNTA($G12:$L12)+COUNTA($Q12))&gt;0),"",IF($V12="Macro",COUNTIFS($V$5:$V12,"Macro",$S$5:$S12,$S12),IF(N($U12)=0,"?",COUNTIFS(INDEX($V$5:$V$1000,1):INDEX($V$5:$V$1000,$U12-4),"Macro",INDEX($S$5:$S$1000,1):INDEX($S$5:$S$1000,$U12-4),INDEX($S$5:$S$1000,$U12-4))&amp;"."&amp;COUNTIFS($U$5:$U12,$U12,$V$5:$V12,"Sub"))))</f>
        <v/>
      </c>
      <c r="B12" s="57" t="n"/>
      <c r="C12" s="58" t="n"/>
      <c r="D12" s="58" t="n"/>
      <c r="E12" s="59">
        <f>IF(N($AL12)&gt;0,INDEX(rIni_ADM,$AL12),"")</f>
        <v/>
      </c>
      <c r="F12" s="59">
        <f>IF(N($AL12)&gt;0,INDEX(rLim_ADM,$AL12),"")</f>
        <v/>
      </c>
      <c r="G12" s="59" t="n"/>
      <c r="H12" s="60" t="n"/>
      <c r="I12" s="60" t="n"/>
      <c r="J12" s="60" t="n"/>
      <c r="K12" s="60" t="n"/>
      <c r="L12" s="60" t="n"/>
      <c r="M12" s="61">
        <f>IF(NOT((COUNTA($B12:$D12)+COUNTA($G12:$L12)+COUNTA($Q12))&gt;0),"",IF(ISNUMBER($G12),1,IF(N($W12)&gt;0,AVERAGEIFS($X$5:$X$1000,$U$5:$U$1000,ROW(),$V$5:$V$1000,"Sub"),$X12)))</f>
        <v/>
      </c>
      <c r="N12" s="56">
        <f>IF($M12="","",IF($M12&gt;=1,"Completado",IF($M12&gt;0,"En curso","Pendiente")))</f>
        <v/>
      </c>
      <c r="O12" s="56">
        <f>IF(NOT((COUNTA($B12:$D12)+COUNTA($G12:$L12)+COUNTA($Q12))&gt;0),"",IF(ISNUMBER($G12),IF(AND(ISNUMBER($AN12),$G12&gt;$AN12),"Cumplida con "&amp;($G12-$AN12)&amp;IF($G12-$AN12=1," día"," días")&amp;" de retraso","Cumplida"),IF(N($M12)&gt;=1,"Cumplida",IF(NOT(ISNUMBER($AN12)),"Sin fecha límite",IF($AN12&lt;FechaRef,"Vencida hace "&amp;(FechaRef-$AN12)&amp;IF(FechaRef-$AN12=1," día"," días"),IF($AN12=FechaRef,"Vence hoy",IF($AN12-FechaRef&lt;=DiasAlerta,"Vence en "&amp;($AN12-FechaRef)&amp;IF($AN12-FechaRef=1," día"," días"),"En plazo")))))))</f>
        <v/>
      </c>
      <c r="P12" s="62" t="n"/>
      <c r="Q12" s="58" t="n"/>
      <c r="R12" s="63">
        <f>IF(NOT((COUNTA($B12:$D12)+COUNTA($G12:$L12)+COUNTA($Q12))&gt;0),"",IF((IF($C12="","Falta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",""))="","✔ OK","⚠ "&amp;LEFT(IF($C12="","Falta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",""),LEN(IF($C12="","Falta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",""))-3)))</f>
        <v/>
      </c>
      <c r="S12" s="64">
        <f>IF(NOT((COUNTA($B12:$D12)+COUNTA($G12:$L12)+COUNTA($Q12))&gt;0),"",IF(AND($V12="Sub",N($U12)&gt;0),IF(ISNUMBER(INDEX($AM$5:$AM$1000,$U12-4)),DATE(YEAR(INDEX($AM$5:$AM$1000,$U12-4)),MONTH(INDEX($AM$5:$AM$1000,$U12-4)),1),IF(ISNUMBER(INDEX($AN$5:$AN$1000,$U12-4)),DATE(YEAR(INDEX($AN$5:$AN$1000,$U12-4)),MONTH(INDEX($AN$5:$AN$1000,$U12-4)),1),MesCiclo)),IF(ISNUMBER($AM12),DATE(YEAR($AM12),MONTH($AM12),1),IF(ISNUMBER($AN12),DATE(YEAR($AN12),MONTH($AN12),1),MesCiclo))))</f>
        <v/>
      </c>
      <c r="T12" s="62">
        <f>IF(OR($S12="",$S12&lt;&gt;MesCiclo),"",COUNTIF($S$5:$S12,MesCiclo))</f>
        <v/>
      </c>
      <c r="U12" s="62">
        <f>IF($V12="","",IF($V12="Macro",ROW(),IFERROR(LOOKUP(2,1/($V$5:$V12="Macro"),ROW($V$5:$V12)),0)))</f>
        <v/>
      </c>
      <c r="V12" s="62">
        <f>IF(NOT((COUNTA($B12:$D12)+COUNTA($G12:$L12)+COUNTA($Q12))&gt;0),"",IF($B12="Subactividad","Sub","Macro"))</f>
        <v/>
      </c>
      <c r="W12" s="62">
        <f>IF($V12="Macro",COUNTIFS($U$5:$U$1000,ROW(),$V$5:$V$1000,"Sub"),"")</f>
        <v/>
      </c>
      <c r="X12" s="62">
        <f>IF($V12="","",IF(ISNUMBER($G12),1,IFERROR(LOOKUP(2,1/($I12:$L12&lt;&gt;""),$I12:$L12),0)))</f>
        <v/>
      </c>
      <c r="Y12" s="62">
        <f>IF($V12="","",IF(AND(ISNUMBER($G12),$G12&lt;=IF($S12=MesCiclo,InicioCiclo,$S12+MOD(2-WEEKDAY($S12),7))+6),1,IF(ISNUMBER($I12),$I12,0)))</f>
        <v/>
      </c>
      <c r="Z12" s="62">
        <f>IF($V12="","",IF(AND(ISNUMBER($G12),$G12&lt;=IF($S12=MesCiclo,InicioCiclo,$S12+MOD(2-WEEKDAY($S12),7))+13),1,IF(ISNUMBER($J12),$J12,$Y12)))</f>
        <v/>
      </c>
      <c r="AA12" s="62">
        <f>IF($V12="","",IF(AND(ISNUMBER($G12),$G12&lt;=IF($S12=MesCiclo,InicioCiclo,$S12+MOD(2-WEEKDAY($S12),7))+20),1,IF(ISNUMBER($K12),$K12,$Z12)))</f>
        <v/>
      </c>
      <c r="AB12" s="62">
        <f>IF($V12="","",IF(AND(ISNUMBER($G12),$G12&lt;=IF($S12=MesCiclo,InicioCiclo,$S12+MOD(2-WEEKDAY($S12),7))+27),1,IF(ISNUMBER($L12),$L12,$AA12)))</f>
        <v/>
      </c>
      <c r="AC12" s="62">
        <f>IF($V12="","",IF(AND(ISNUMBER($G12),$G12&lt;=IF($S12=MesCiclo,InicioCiclo,$S12+MOD(2-WEEKDAY($S12),7))+6),1,IF(N($W12)&gt;0,AVERAGEIFS($Y$5:$Y$1000,$U$5:$U$1000,ROW(),$V$5:$V$1000,"Sub"),$Y12)))</f>
        <v/>
      </c>
      <c r="AD12" s="62">
        <f>IF($V12="","",IF(AND(ISNUMBER($G12),$G12&lt;=IF($S12=MesCiclo,InicioCiclo,$S12+MOD(2-WEEKDAY($S12),7))+13),1,IF(N($W12)&gt;0,AVERAGEIFS($Z$5:$Z$1000,$U$5:$U$1000,ROW(),$V$5:$V$1000,"Sub"),$Z12)))</f>
        <v/>
      </c>
      <c r="AE12" s="62">
        <f>IF($V12="","",IF(AND(ISNUMBER($G12),$G12&lt;=IF($S12=MesCiclo,InicioCiclo,$S12+MOD(2-WEEKDAY($S12),7))+20),1,IF(N($W12)&gt;0,AVERAGEIFS($AA$5:$AA$1000,$U$5:$U$1000,ROW(),$V$5:$V$1000,"Sub"),$AA12)))</f>
        <v/>
      </c>
      <c r="AF12" s="62">
        <f>IF($V12="","",IF(AND(ISNUMBER($G12),$G12&lt;=IF($S12=MesCiclo,InicioCiclo,$S12+MOD(2-WEEKDAY($S12),7))+27),1,IF(N($W12)&gt;0,AVERAGEIFS($AB$5:$AB$1000,$U$5:$U$1000,ROW(),$V$5:$V$1000,"Sub"),$AB12)))</f>
        <v/>
      </c>
      <c r="AG12" s="62">
        <f>IF($V12&lt;&gt;"Macro","",IF(COUNTIFS($S$5:$S$1000,$S12,$V$5:$V$1000,"Macro",$H$5:$H$1000,"&gt;0")=0,1/COUNTIFS($S$5:$S$1000,$S12,$V$5:$V$1000,"Macro"),IF(AND(ISNUMBER($H12),N($H12)&gt;0),$H12,SUMIFS($H$5:$H$1000,$S$5:$S$1000,$S12,$V$5:$V$1000,"Macro")/COUNTIFS($S$5:$S$1000,$S12,$V$5:$V$1000,"Macro",$H$5:$H$1000,"&gt;0"))/(COUNTIFS($S$5:$S$1000,$S12,$V$5:$V$1000,"Macro")*SUMIFS($H$5:$H$1000,$S$5:$S$1000,$S12,$V$5:$V$1000,"Macro")/COUNTIFS($S$5:$S$1000,$S12,$V$5:$V$1000,"Macro",$H$5:$H$1000,"&gt;0"))))</f>
        <v/>
      </c>
      <c r="AH12" s="62" t="n"/>
      <c r="AI12" s="62" t="n"/>
      <c r="AJ12" s="62" t="n"/>
      <c r="AK12" s="62" t="n"/>
      <c r="AL12" s="62">
        <f>IF(LEFT($C12,11)="[Jefatura] ",IFERROR(MATCH("Riesgo Operacional|"&amp;MID($C12,12,500),rDname_ADM,0),0),"")</f>
        <v/>
      </c>
      <c r="AM12" s="62">
        <f>IF(N($AL12)&gt;0,INDEX(rIni_ADM,$AL12),IF(ISNUMBER($E12),$E12,""))</f>
        <v/>
      </c>
      <c r="AN12" s="62">
        <f>IF(N($AL12)&gt;0,INDEX(rLim_ADM,$AL12),IF(ISNUMBER($F12),$F12,""))</f>
        <v/>
      </c>
    </row>
    <row r="13">
      <c r="A13" s="56">
        <f>IF(NOT((COUNTA($B13:$D13)+COUNTA($G13:$L13)+COUNTA($Q13))&gt;0),"",IF($V13="Macro",COUNTIFS($V$5:$V13,"Macro",$S$5:$S13,$S13),IF(N($U13)=0,"?",COUNTIFS(INDEX($V$5:$V$1000,1):INDEX($V$5:$V$1000,$U13-4),"Macro",INDEX($S$5:$S$1000,1):INDEX($S$5:$S$1000,$U13-4),INDEX($S$5:$S$1000,$U13-4))&amp;"."&amp;COUNTIFS($U$5:$U13,$U13,$V$5:$V13,"Sub"))))</f>
        <v/>
      </c>
      <c r="B13" s="57" t="n"/>
      <c r="C13" s="58" t="n"/>
      <c r="D13" s="58" t="n"/>
      <c r="E13" s="59">
        <f>IF(N($AL13)&gt;0,INDEX(rIni_ADM,$AL13),"")</f>
        <v/>
      </c>
      <c r="F13" s="59">
        <f>IF(N($AL13)&gt;0,INDEX(rLim_ADM,$AL13),"")</f>
        <v/>
      </c>
      <c r="G13" s="59" t="n"/>
      <c r="H13" s="60" t="n"/>
      <c r="I13" s="60" t="n"/>
      <c r="J13" s="60" t="n"/>
      <c r="K13" s="60" t="n"/>
      <c r="L13" s="60" t="n"/>
      <c r="M13" s="61">
        <f>IF(NOT((COUNTA($B13:$D13)+COUNTA($G13:$L13)+COUNTA($Q13))&gt;0),"",IF(ISNUMBER($G13),1,IF(N($W13)&gt;0,AVERAGEIFS($X$5:$X$1000,$U$5:$U$1000,ROW(),$V$5:$V$1000,"Sub"),$X13)))</f>
        <v/>
      </c>
      <c r="N13" s="56">
        <f>IF($M13="","",IF($M13&gt;=1,"Completado",IF($M13&gt;0,"En curso","Pendiente")))</f>
        <v/>
      </c>
      <c r="O13" s="56">
        <f>IF(NOT((COUNTA($B13:$D13)+COUNTA($G13:$L13)+COUNTA($Q13))&gt;0),"",IF(ISNUMBER($G13),IF(AND(ISNUMBER($AN13),$G13&gt;$AN13),"Cumplida con "&amp;($G13-$AN13)&amp;IF($G13-$AN13=1," día"," días")&amp;" de retraso","Cumplida"),IF(N($M13)&gt;=1,"Cumplida",IF(NOT(ISNUMBER($AN13)),"Sin fecha límite",IF($AN13&lt;FechaRef,"Vencida hace "&amp;(FechaRef-$AN13)&amp;IF(FechaRef-$AN13=1," día"," días"),IF($AN13=FechaRef,"Vence hoy",IF($AN13-FechaRef&lt;=DiasAlerta,"Vence en "&amp;($AN13-FechaRef)&amp;IF($AN13-FechaRef=1," día"," días"),"En plazo")))))))</f>
        <v/>
      </c>
      <c r="P13" s="62" t="n"/>
      <c r="Q13" s="58" t="n"/>
      <c r="R13" s="63">
        <f>IF(NOT((COUNTA($B13:$D13)+COUNTA($G13:$L13)+COUNTA($Q13))&gt;0),"",IF((IF($C13="","Falta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",""))="","✔ OK","⚠ "&amp;LEFT(IF($C13="","Falta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",""),LEN(IF($C13="","Falta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",""))-3)))</f>
        <v/>
      </c>
      <c r="S13" s="64">
        <f>IF(NOT((COUNTA($B13:$D13)+COUNTA($G13:$L13)+COUNTA($Q13))&gt;0),"",IF(AND($V13="Sub",N($U13)&gt;0),IF(ISNUMBER(INDEX($AM$5:$AM$1000,$U13-4)),DATE(YEAR(INDEX($AM$5:$AM$1000,$U13-4)),MONTH(INDEX($AM$5:$AM$1000,$U13-4)),1),IF(ISNUMBER(INDEX($AN$5:$AN$1000,$U13-4)),DATE(YEAR(INDEX($AN$5:$AN$1000,$U13-4)),MONTH(INDEX($AN$5:$AN$1000,$U13-4)),1),MesCiclo)),IF(ISNUMBER($AM13),DATE(YEAR($AM13),MONTH($AM13),1),IF(ISNUMBER($AN13),DATE(YEAR($AN13),MONTH($AN13),1),MesCiclo))))</f>
        <v/>
      </c>
      <c r="T13" s="62">
        <f>IF(OR($S13="",$S13&lt;&gt;MesCiclo),"",COUNTIF($S$5:$S13,MesCiclo))</f>
        <v/>
      </c>
      <c r="U13" s="62">
        <f>IF($V13="","",IF($V13="Macro",ROW(),IFERROR(LOOKUP(2,1/($V$5:$V13="Macro"),ROW($V$5:$V13)),0)))</f>
        <v/>
      </c>
      <c r="V13" s="62">
        <f>IF(NOT((COUNTA($B13:$D13)+COUNTA($G13:$L13)+COUNTA($Q13))&gt;0),"",IF($B13="Subactividad","Sub","Macro"))</f>
        <v/>
      </c>
      <c r="W13" s="62">
        <f>IF($V13="Macro",COUNTIFS($U$5:$U$1000,ROW(),$V$5:$V$1000,"Sub"),"")</f>
        <v/>
      </c>
      <c r="X13" s="62">
        <f>IF($V13="","",IF(ISNUMBER($G13),1,IFERROR(LOOKUP(2,1/($I13:$L13&lt;&gt;""),$I13:$L13),0)))</f>
        <v/>
      </c>
      <c r="Y13" s="62">
        <f>IF($V13="","",IF(AND(ISNUMBER($G13),$G13&lt;=IF($S13=MesCiclo,InicioCiclo,$S13+MOD(2-WEEKDAY($S13),7))+6),1,IF(ISNUMBER($I13),$I13,0)))</f>
        <v/>
      </c>
      <c r="Z13" s="62">
        <f>IF($V13="","",IF(AND(ISNUMBER($G13),$G13&lt;=IF($S13=MesCiclo,InicioCiclo,$S13+MOD(2-WEEKDAY($S13),7))+13),1,IF(ISNUMBER($J13),$J13,$Y13)))</f>
        <v/>
      </c>
      <c r="AA13" s="62">
        <f>IF($V13="","",IF(AND(ISNUMBER($G13),$G13&lt;=IF($S13=MesCiclo,InicioCiclo,$S13+MOD(2-WEEKDAY($S13),7))+20),1,IF(ISNUMBER($K13),$K13,$Z13)))</f>
        <v/>
      </c>
      <c r="AB13" s="62">
        <f>IF($V13="","",IF(AND(ISNUMBER($G13),$G13&lt;=IF($S13=MesCiclo,InicioCiclo,$S13+MOD(2-WEEKDAY($S13),7))+27),1,IF(ISNUMBER($L13),$L13,$AA13)))</f>
        <v/>
      </c>
      <c r="AC13" s="62">
        <f>IF($V13="","",IF(AND(ISNUMBER($G13),$G13&lt;=IF($S13=MesCiclo,InicioCiclo,$S13+MOD(2-WEEKDAY($S13),7))+6),1,IF(N($W13)&gt;0,AVERAGEIFS($Y$5:$Y$1000,$U$5:$U$1000,ROW(),$V$5:$V$1000,"Sub"),$Y13)))</f>
        <v/>
      </c>
      <c r="AD13" s="62">
        <f>IF($V13="","",IF(AND(ISNUMBER($G13),$G13&lt;=IF($S13=MesCiclo,InicioCiclo,$S13+MOD(2-WEEKDAY($S13),7))+13),1,IF(N($W13)&gt;0,AVERAGEIFS($Z$5:$Z$1000,$U$5:$U$1000,ROW(),$V$5:$V$1000,"Sub"),$Z13)))</f>
        <v/>
      </c>
      <c r="AE13" s="62">
        <f>IF($V13="","",IF(AND(ISNUMBER($G13),$G13&lt;=IF($S13=MesCiclo,InicioCiclo,$S13+MOD(2-WEEKDAY($S13),7))+20),1,IF(N($W13)&gt;0,AVERAGEIFS($AA$5:$AA$1000,$U$5:$U$1000,ROW(),$V$5:$V$1000,"Sub"),$AA13)))</f>
        <v/>
      </c>
      <c r="AF13" s="62">
        <f>IF($V13="","",IF(AND(ISNUMBER($G13),$G13&lt;=IF($S13=MesCiclo,InicioCiclo,$S13+MOD(2-WEEKDAY($S13),7))+27),1,IF(N($W13)&gt;0,AVERAGEIFS($AB$5:$AB$1000,$U$5:$U$1000,ROW(),$V$5:$V$1000,"Sub"),$AB13)))</f>
        <v/>
      </c>
      <c r="AG13" s="62">
        <f>IF($V13&lt;&gt;"Macro","",IF(COUNTIFS($S$5:$S$1000,$S13,$V$5:$V$1000,"Macro",$H$5:$H$1000,"&gt;0")=0,1/COUNTIFS($S$5:$S$1000,$S13,$V$5:$V$1000,"Macro"),IF(AND(ISNUMBER($H13),N($H13)&gt;0),$H13,SUMIFS($H$5:$H$1000,$S$5:$S$1000,$S13,$V$5:$V$1000,"Macro")/COUNTIFS($S$5:$S$1000,$S13,$V$5:$V$1000,"Macro",$H$5:$H$1000,"&gt;0"))/(COUNTIFS($S$5:$S$1000,$S13,$V$5:$V$1000,"Macro")*SUMIFS($H$5:$H$1000,$S$5:$S$1000,$S13,$V$5:$V$1000,"Macro")/COUNTIFS($S$5:$S$1000,$S13,$V$5:$V$1000,"Macro",$H$5:$H$1000,"&gt;0"))))</f>
        <v/>
      </c>
      <c r="AH13" s="62" t="n"/>
      <c r="AI13" s="62" t="n"/>
      <c r="AJ13" s="62" t="n"/>
      <c r="AK13" s="62" t="n"/>
      <c r="AL13" s="62">
        <f>IF(LEFT($C13,11)="[Jefatura] ",IFERROR(MATCH("Riesgo Operacional|"&amp;MID($C13,12,500),rDname_ADM,0),0),"")</f>
        <v/>
      </c>
      <c r="AM13" s="62">
        <f>IF(N($AL13)&gt;0,INDEX(rIni_ADM,$AL13),IF(ISNUMBER($E13),$E13,""))</f>
        <v/>
      </c>
      <c r="AN13" s="62">
        <f>IF(N($AL13)&gt;0,INDEX(rLim_ADM,$AL13),IF(ISNUMBER($F13),$F13,""))</f>
        <v/>
      </c>
    </row>
    <row r="14">
      <c r="A14" s="56">
        <f>IF(NOT((COUNTA($B14:$D14)+COUNTA($G14:$L14)+COUNTA($Q14))&gt;0),"",IF($V14="Macro",COUNTIFS($V$5:$V14,"Macro",$S$5:$S14,$S14),IF(N($U14)=0,"?",COUNTIFS(INDEX($V$5:$V$1000,1):INDEX($V$5:$V$1000,$U14-4),"Macro",INDEX($S$5:$S$1000,1):INDEX($S$5:$S$1000,$U14-4),INDEX($S$5:$S$1000,$U14-4))&amp;"."&amp;COUNTIFS($U$5:$U14,$U14,$V$5:$V14,"Sub"))))</f>
        <v/>
      </c>
      <c r="B14" s="57" t="n"/>
      <c r="C14" s="58" t="n"/>
      <c r="D14" s="58" t="n"/>
      <c r="E14" s="59">
        <f>IF(N($AL14)&gt;0,INDEX(rIni_ADM,$AL14),"")</f>
        <v/>
      </c>
      <c r="F14" s="59">
        <f>IF(N($AL14)&gt;0,INDEX(rLim_ADM,$AL14),"")</f>
        <v/>
      </c>
      <c r="G14" s="59" t="n"/>
      <c r="H14" s="60" t="n"/>
      <c r="I14" s="60" t="n"/>
      <c r="J14" s="60" t="n"/>
      <c r="K14" s="60" t="n"/>
      <c r="L14" s="60" t="n"/>
      <c r="M14" s="61">
        <f>IF(NOT((COUNTA($B14:$D14)+COUNTA($G14:$L14)+COUNTA($Q14))&gt;0),"",IF(ISNUMBER($G14),1,IF(N($W14)&gt;0,AVERAGEIFS($X$5:$X$1000,$U$5:$U$1000,ROW(),$V$5:$V$1000,"Sub"),$X14)))</f>
        <v/>
      </c>
      <c r="N14" s="56">
        <f>IF($M14="","",IF($M14&gt;=1,"Completado",IF($M14&gt;0,"En curso","Pendiente")))</f>
        <v/>
      </c>
      <c r="O14" s="56">
        <f>IF(NOT((COUNTA($B14:$D14)+COUNTA($G14:$L14)+COUNTA($Q14))&gt;0),"",IF(ISNUMBER($G14),IF(AND(ISNUMBER($AN14),$G14&gt;$AN14),"Cumplida con "&amp;($G14-$AN14)&amp;IF($G14-$AN14=1," día"," días")&amp;" de retraso","Cumplida"),IF(N($M14)&gt;=1,"Cumplida",IF(NOT(ISNUMBER($AN14)),"Sin fecha límite",IF($AN14&lt;FechaRef,"Vencida hace "&amp;(FechaRef-$AN14)&amp;IF(FechaRef-$AN14=1," día"," días"),IF($AN14=FechaRef,"Vence hoy",IF($AN14-FechaRef&lt;=DiasAlerta,"Vence en "&amp;($AN14-FechaRef)&amp;IF($AN14-FechaRef=1," día"," días"),"En plazo")))))))</f>
        <v/>
      </c>
      <c r="P14" s="62" t="n"/>
      <c r="Q14" s="58" t="n"/>
      <c r="R14" s="63">
        <f>IF(NOT((COUNTA($B14:$D14)+COUNTA($G14:$L14)+COUNTA($Q14))&gt;0),"",IF((IF($C14="","Falta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",""))="","✔ OK","⚠ "&amp;LEFT(IF($C14="","Falta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",""),LEN(IF($C14="","Falta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",""))-3)))</f>
        <v/>
      </c>
      <c r="S14" s="64">
        <f>IF(NOT((COUNTA($B14:$D14)+COUNTA($G14:$L14)+COUNTA($Q14))&gt;0),"",IF(AND($V14="Sub",N($U14)&gt;0),IF(ISNUMBER(INDEX($AM$5:$AM$1000,$U14-4)),DATE(YEAR(INDEX($AM$5:$AM$1000,$U14-4)),MONTH(INDEX($AM$5:$AM$1000,$U14-4)),1),IF(ISNUMBER(INDEX($AN$5:$AN$1000,$U14-4)),DATE(YEAR(INDEX($AN$5:$AN$1000,$U14-4)),MONTH(INDEX($AN$5:$AN$1000,$U14-4)),1),MesCiclo)),IF(ISNUMBER($AM14),DATE(YEAR($AM14),MONTH($AM14),1),IF(ISNUMBER($AN14),DATE(YEAR($AN14),MONTH($AN14),1),MesCiclo))))</f>
        <v/>
      </c>
      <c r="T14" s="62">
        <f>IF(OR($S14="",$S14&lt;&gt;MesCiclo),"",COUNTIF($S$5:$S14,MesCiclo))</f>
        <v/>
      </c>
      <c r="U14" s="62">
        <f>IF($V14="","",IF($V14="Macro",ROW(),IFERROR(LOOKUP(2,1/($V$5:$V14="Macro"),ROW($V$5:$V14)),0)))</f>
        <v/>
      </c>
      <c r="V14" s="62">
        <f>IF(NOT((COUNTA($B14:$D14)+COUNTA($G14:$L14)+COUNTA($Q14))&gt;0),"",IF($B14="Subactividad","Sub","Macro"))</f>
        <v/>
      </c>
      <c r="W14" s="62">
        <f>IF($V14="Macro",COUNTIFS($U$5:$U$1000,ROW(),$V$5:$V$1000,"Sub"),"")</f>
        <v/>
      </c>
      <c r="X14" s="62">
        <f>IF($V14="","",IF(ISNUMBER($G14),1,IFERROR(LOOKUP(2,1/($I14:$L14&lt;&gt;""),$I14:$L14),0)))</f>
        <v/>
      </c>
      <c r="Y14" s="62">
        <f>IF($V14="","",IF(AND(ISNUMBER($G14),$G14&lt;=IF($S14=MesCiclo,InicioCiclo,$S14+MOD(2-WEEKDAY($S14),7))+6),1,IF(ISNUMBER($I14),$I14,0)))</f>
        <v/>
      </c>
      <c r="Z14" s="62">
        <f>IF($V14="","",IF(AND(ISNUMBER($G14),$G14&lt;=IF($S14=MesCiclo,InicioCiclo,$S14+MOD(2-WEEKDAY($S14),7))+13),1,IF(ISNUMBER($J14),$J14,$Y14)))</f>
        <v/>
      </c>
      <c r="AA14" s="62">
        <f>IF($V14="","",IF(AND(ISNUMBER($G14),$G14&lt;=IF($S14=MesCiclo,InicioCiclo,$S14+MOD(2-WEEKDAY($S14),7))+20),1,IF(ISNUMBER($K14),$K14,$Z14)))</f>
        <v/>
      </c>
      <c r="AB14" s="62">
        <f>IF($V14="","",IF(AND(ISNUMBER($G14),$G14&lt;=IF($S14=MesCiclo,InicioCiclo,$S14+MOD(2-WEEKDAY($S14),7))+27),1,IF(ISNUMBER($L14),$L14,$AA14)))</f>
        <v/>
      </c>
      <c r="AC14" s="62">
        <f>IF($V14="","",IF(AND(ISNUMBER($G14),$G14&lt;=IF($S14=MesCiclo,InicioCiclo,$S14+MOD(2-WEEKDAY($S14),7))+6),1,IF(N($W14)&gt;0,AVERAGEIFS($Y$5:$Y$1000,$U$5:$U$1000,ROW(),$V$5:$V$1000,"Sub"),$Y14)))</f>
        <v/>
      </c>
      <c r="AD14" s="62">
        <f>IF($V14="","",IF(AND(ISNUMBER($G14),$G14&lt;=IF($S14=MesCiclo,InicioCiclo,$S14+MOD(2-WEEKDAY($S14),7))+13),1,IF(N($W14)&gt;0,AVERAGEIFS($Z$5:$Z$1000,$U$5:$U$1000,ROW(),$V$5:$V$1000,"Sub"),$Z14)))</f>
        <v/>
      </c>
      <c r="AE14" s="62">
        <f>IF($V14="","",IF(AND(ISNUMBER($G14),$G14&lt;=IF($S14=MesCiclo,InicioCiclo,$S14+MOD(2-WEEKDAY($S14),7))+20),1,IF(N($W14)&gt;0,AVERAGEIFS($AA$5:$AA$1000,$U$5:$U$1000,ROW(),$V$5:$V$1000,"Sub"),$AA14)))</f>
        <v/>
      </c>
      <c r="AF14" s="62">
        <f>IF($V14="","",IF(AND(ISNUMBER($G14),$G14&lt;=IF($S14=MesCiclo,InicioCiclo,$S14+MOD(2-WEEKDAY($S14),7))+27),1,IF(N($W14)&gt;0,AVERAGEIFS($AB$5:$AB$1000,$U$5:$U$1000,ROW(),$V$5:$V$1000,"Sub"),$AB14)))</f>
        <v/>
      </c>
      <c r="AG14" s="62">
        <f>IF($V14&lt;&gt;"Macro","",IF(COUNTIFS($S$5:$S$1000,$S14,$V$5:$V$1000,"Macro",$H$5:$H$1000,"&gt;0")=0,1/COUNTIFS($S$5:$S$1000,$S14,$V$5:$V$1000,"Macro"),IF(AND(ISNUMBER($H14),N($H14)&gt;0),$H14,SUMIFS($H$5:$H$1000,$S$5:$S$1000,$S14,$V$5:$V$1000,"Macro")/COUNTIFS($S$5:$S$1000,$S14,$V$5:$V$1000,"Macro",$H$5:$H$1000,"&gt;0"))/(COUNTIFS($S$5:$S$1000,$S14,$V$5:$V$1000,"Macro")*SUMIFS($H$5:$H$1000,$S$5:$S$1000,$S14,$V$5:$V$1000,"Macro")/COUNTIFS($S$5:$S$1000,$S14,$V$5:$V$1000,"Macro",$H$5:$H$1000,"&gt;0"))))</f>
        <v/>
      </c>
      <c r="AH14" s="62" t="n"/>
      <c r="AI14" s="62" t="n"/>
      <c r="AJ14" s="62" t="n"/>
      <c r="AK14" s="62" t="n"/>
      <c r="AL14" s="62">
        <f>IF(LEFT($C14,11)="[Jefatura] ",IFERROR(MATCH("Riesgo Operacional|"&amp;MID($C14,12,500),rDname_ADM,0),0),"")</f>
        <v/>
      </c>
      <c r="AM14" s="62">
        <f>IF(N($AL14)&gt;0,INDEX(rIni_ADM,$AL14),IF(ISNUMBER($E14),$E14,""))</f>
        <v/>
      </c>
      <c r="AN14" s="62">
        <f>IF(N($AL14)&gt;0,INDEX(rLim_ADM,$AL14),IF(ISNUMBER($F14),$F14,""))</f>
        <v/>
      </c>
    </row>
    <row r="15">
      <c r="A15" s="56">
        <f>IF(NOT((COUNTA($B15:$D15)+COUNTA($G15:$L15)+COUNTA($Q15))&gt;0),"",IF($V15="Macro",COUNTIFS($V$5:$V15,"Macro",$S$5:$S15,$S15),IF(N($U15)=0,"?",COUNTIFS(INDEX($V$5:$V$1000,1):INDEX($V$5:$V$1000,$U15-4),"Macro",INDEX($S$5:$S$1000,1):INDEX($S$5:$S$1000,$U15-4),INDEX($S$5:$S$1000,$U15-4))&amp;"."&amp;COUNTIFS($U$5:$U15,$U15,$V$5:$V15,"Sub"))))</f>
        <v/>
      </c>
      <c r="B15" s="57" t="n"/>
      <c r="C15" s="58" t="n"/>
      <c r="D15" s="58" t="n"/>
      <c r="E15" s="59">
        <f>IF(N($AL15)&gt;0,INDEX(rIni_ADM,$AL15),"")</f>
        <v/>
      </c>
      <c r="F15" s="59">
        <f>IF(N($AL15)&gt;0,INDEX(rLim_ADM,$AL15),"")</f>
        <v/>
      </c>
      <c r="G15" s="59" t="n"/>
      <c r="H15" s="60" t="n"/>
      <c r="I15" s="60" t="n"/>
      <c r="J15" s="60" t="n"/>
      <c r="K15" s="60" t="n"/>
      <c r="L15" s="60" t="n"/>
      <c r="M15" s="61">
        <f>IF(NOT((COUNTA($B15:$D15)+COUNTA($G15:$L15)+COUNTA($Q15))&gt;0),"",IF(ISNUMBER($G15),1,IF(N($W15)&gt;0,AVERAGEIFS($X$5:$X$1000,$U$5:$U$1000,ROW(),$V$5:$V$1000,"Sub"),$X15)))</f>
        <v/>
      </c>
      <c r="N15" s="56">
        <f>IF($M15="","",IF($M15&gt;=1,"Completado",IF($M15&gt;0,"En curso","Pendiente")))</f>
        <v/>
      </c>
      <c r="O15" s="56">
        <f>IF(NOT((COUNTA($B15:$D15)+COUNTA($G15:$L15)+COUNTA($Q15))&gt;0),"",IF(ISNUMBER($G15),IF(AND(ISNUMBER($AN15),$G15&gt;$AN15),"Cumplida con "&amp;($G15-$AN15)&amp;IF($G15-$AN15=1," día"," días")&amp;" de retraso","Cumplida"),IF(N($M15)&gt;=1,"Cumplida",IF(NOT(ISNUMBER($AN15)),"Sin fecha límite",IF($AN15&lt;FechaRef,"Vencida hace "&amp;(FechaRef-$AN15)&amp;IF(FechaRef-$AN15=1," día"," días"),IF($AN15=FechaRef,"Vence hoy",IF($AN15-FechaRef&lt;=DiasAlerta,"Vence en "&amp;($AN15-FechaRef)&amp;IF($AN15-FechaRef=1," día"," días"),"En plazo")))))))</f>
        <v/>
      </c>
      <c r="P15" s="62" t="n"/>
      <c r="Q15" s="58" t="n"/>
      <c r="R15" s="63">
        <f>IF(NOT((COUNTA($B15:$D15)+COUNTA($G15:$L15)+COUNTA($Q15))&gt;0),"",IF((IF($C15="","Falta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",""))="","✔ OK","⚠ "&amp;LEFT(IF($C15="","Falta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",""),LEN(IF($C15="","Falta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",""))-3)))</f>
        <v/>
      </c>
      <c r="S15" s="64">
        <f>IF(NOT((COUNTA($B15:$D15)+COUNTA($G15:$L15)+COUNTA($Q15))&gt;0),"",IF(AND($V15="Sub",N($U15)&gt;0),IF(ISNUMBER(INDEX($AM$5:$AM$1000,$U15-4)),DATE(YEAR(INDEX($AM$5:$AM$1000,$U15-4)),MONTH(INDEX($AM$5:$AM$1000,$U15-4)),1),IF(ISNUMBER(INDEX($AN$5:$AN$1000,$U15-4)),DATE(YEAR(INDEX($AN$5:$AN$1000,$U15-4)),MONTH(INDEX($AN$5:$AN$1000,$U15-4)),1),MesCiclo)),IF(ISNUMBER($AM15),DATE(YEAR($AM15),MONTH($AM15),1),IF(ISNUMBER($AN15),DATE(YEAR($AN15),MONTH($AN15),1),MesCiclo))))</f>
        <v/>
      </c>
      <c r="T15" s="62">
        <f>IF(OR($S15="",$S15&lt;&gt;MesCiclo),"",COUNTIF($S$5:$S15,MesCiclo))</f>
        <v/>
      </c>
      <c r="U15" s="62">
        <f>IF($V15="","",IF($V15="Macro",ROW(),IFERROR(LOOKUP(2,1/($V$5:$V15="Macro"),ROW($V$5:$V15)),0)))</f>
        <v/>
      </c>
      <c r="V15" s="62">
        <f>IF(NOT((COUNTA($B15:$D15)+COUNTA($G15:$L15)+COUNTA($Q15))&gt;0),"",IF($B15="Subactividad","Sub","Macro"))</f>
        <v/>
      </c>
      <c r="W15" s="62">
        <f>IF($V15="Macro",COUNTIFS($U$5:$U$1000,ROW(),$V$5:$V$1000,"Sub"),"")</f>
        <v/>
      </c>
      <c r="X15" s="62">
        <f>IF($V15="","",IF(ISNUMBER($G15),1,IFERROR(LOOKUP(2,1/($I15:$L15&lt;&gt;""),$I15:$L15),0)))</f>
        <v/>
      </c>
      <c r="Y15" s="62">
        <f>IF($V15="","",IF(AND(ISNUMBER($G15),$G15&lt;=IF($S15=MesCiclo,InicioCiclo,$S15+MOD(2-WEEKDAY($S15),7))+6),1,IF(ISNUMBER($I15),$I15,0)))</f>
        <v/>
      </c>
      <c r="Z15" s="62">
        <f>IF($V15="","",IF(AND(ISNUMBER($G15),$G15&lt;=IF($S15=MesCiclo,InicioCiclo,$S15+MOD(2-WEEKDAY($S15),7))+13),1,IF(ISNUMBER($J15),$J15,$Y15)))</f>
        <v/>
      </c>
      <c r="AA15" s="62">
        <f>IF($V15="","",IF(AND(ISNUMBER($G15),$G15&lt;=IF($S15=MesCiclo,InicioCiclo,$S15+MOD(2-WEEKDAY($S15),7))+20),1,IF(ISNUMBER($K15),$K15,$Z15)))</f>
        <v/>
      </c>
      <c r="AB15" s="62">
        <f>IF($V15="","",IF(AND(ISNUMBER($G15),$G15&lt;=IF($S15=MesCiclo,InicioCiclo,$S15+MOD(2-WEEKDAY($S15),7))+27),1,IF(ISNUMBER($L15),$L15,$AA15)))</f>
        <v/>
      </c>
      <c r="AC15" s="62">
        <f>IF($V15="","",IF(AND(ISNUMBER($G15),$G15&lt;=IF($S15=MesCiclo,InicioCiclo,$S15+MOD(2-WEEKDAY($S15),7))+6),1,IF(N($W15)&gt;0,AVERAGEIFS($Y$5:$Y$1000,$U$5:$U$1000,ROW(),$V$5:$V$1000,"Sub"),$Y15)))</f>
        <v/>
      </c>
      <c r="AD15" s="62">
        <f>IF($V15="","",IF(AND(ISNUMBER($G15),$G15&lt;=IF($S15=MesCiclo,InicioCiclo,$S15+MOD(2-WEEKDAY($S15),7))+13),1,IF(N($W15)&gt;0,AVERAGEIFS($Z$5:$Z$1000,$U$5:$U$1000,ROW(),$V$5:$V$1000,"Sub"),$Z15)))</f>
        <v/>
      </c>
      <c r="AE15" s="62">
        <f>IF($V15="","",IF(AND(ISNUMBER($G15),$G15&lt;=IF($S15=MesCiclo,InicioCiclo,$S15+MOD(2-WEEKDAY($S15),7))+20),1,IF(N($W15)&gt;0,AVERAGEIFS($AA$5:$AA$1000,$U$5:$U$1000,ROW(),$V$5:$V$1000,"Sub"),$AA15)))</f>
        <v/>
      </c>
      <c r="AF15" s="62">
        <f>IF($V15="","",IF(AND(ISNUMBER($G15),$G15&lt;=IF($S15=MesCiclo,InicioCiclo,$S15+MOD(2-WEEKDAY($S15),7))+27),1,IF(N($W15)&gt;0,AVERAGEIFS($AB$5:$AB$1000,$U$5:$U$1000,ROW(),$V$5:$V$1000,"Sub"),$AB15)))</f>
        <v/>
      </c>
      <c r="AG15" s="62">
        <f>IF($V15&lt;&gt;"Macro","",IF(COUNTIFS($S$5:$S$1000,$S15,$V$5:$V$1000,"Macro",$H$5:$H$1000,"&gt;0")=0,1/COUNTIFS($S$5:$S$1000,$S15,$V$5:$V$1000,"Macro"),IF(AND(ISNUMBER($H15),N($H15)&gt;0),$H15,SUMIFS($H$5:$H$1000,$S$5:$S$1000,$S15,$V$5:$V$1000,"Macro")/COUNTIFS($S$5:$S$1000,$S15,$V$5:$V$1000,"Macro",$H$5:$H$1000,"&gt;0"))/(COUNTIFS($S$5:$S$1000,$S15,$V$5:$V$1000,"Macro")*SUMIFS($H$5:$H$1000,$S$5:$S$1000,$S15,$V$5:$V$1000,"Macro")/COUNTIFS($S$5:$S$1000,$S15,$V$5:$V$1000,"Macro",$H$5:$H$1000,"&gt;0"))))</f>
        <v/>
      </c>
      <c r="AH15" s="62" t="n"/>
      <c r="AI15" s="62" t="n"/>
      <c r="AJ15" s="62" t="n"/>
      <c r="AK15" s="62" t="n"/>
      <c r="AL15" s="62">
        <f>IF(LEFT($C15,11)="[Jefatura] ",IFERROR(MATCH("Riesgo Operacional|"&amp;MID($C15,12,500),rDname_ADM,0),0),"")</f>
        <v/>
      </c>
      <c r="AM15" s="62">
        <f>IF(N($AL15)&gt;0,INDEX(rIni_ADM,$AL15),IF(ISNUMBER($E15),$E15,""))</f>
        <v/>
      </c>
      <c r="AN15" s="62">
        <f>IF(N($AL15)&gt;0,INDEX(rLim_ADM,$AL15),IF(ISNUMBER($F15),$F15,""))</f>
        <v/>
      </c>
    </row>
    <row r="16">
      <c r="A16" s="56">
        <f>IF(NOT((COUNTA($B16:$D16)+COUNTA($G16:$L16)+COUNTA($Q16))&gt;0),"",IF($V16="Macro",COUNTIFS($V$5:$V16,"Macro",$S$5:$S16,$S16),IF(N($U16)=0,"?",COUNTIFS(INDEX($V$5:$V$1000,1):INDEX($V$5:$V$1000,$U16-4),"Macro",INDEX($S$5:$S$1000,1):INDEX($S$5:$S$1000,$U16-4),INDEX($S$5:$S$1000,$U16-4))&amp;"."&amp;COUNTIFS($U$5:$U16,$U16,$V$5:$V16,"Sub"))))</f>
        <v/>
      </c>
      <c r="B16" s="57" t="n"/>
      <c r="C16" s="58" t="n"/>
      <c r="D16" s="58" t="n"/>
      <c r="E16" s="59">
        <f>IF(N($AL16)&gt;0,INDEX(rIni_ADM,$AL16),"")</f>
        <v/>
      </c>
      <c r="F16" s="59">
        <f>IF(N($AL16)&gt;0,INDEX(rLim_ADM,$AL16),"")</f>
        <v/>
      </c>
      <c r="G16" s="59" t="n"/>
      <c r="H16" s="60" t="n"/>
      <c r="I16" s="60" t="n"/>
      <c r="J16" s="60" t="n"/>
      <c r="K16" s="60" t="n"/>
      <c r="L16" s="60" t="n"/>
      <c r="M16" s="61">
        <f>IF(NOT((COUNTA($B16:$D16)+COUNTA($G16:$L16)+COUNTA($Q16))&gt;0),"",IF(ISNUMBER($G16),1,IF(N($W16)&gt;0,AVERAGEIFS($X$5:$X$1000,$U$5:$U$1000,ROW(),$V$5:$V$1000,"Sub"),$X16)))</f>
        <v/>
      </c>
      <c r="N16" s="56">
        <f>IF($M16="","",IF($M16&gt;=1,"Completado",IF($M16&gt;0,"En curso","Pendiente")))</f>
        <v/>
      </c>
      <c r="O16" s="56">
        <f>IF(NOT((COUNTA($B16:$D16)+COUNTA($G16:$L16)+COUNTA($Q16))&gt;0),"",IF(ISNUMBER($G16),IF(AND(ISNUMBER($AN16),$G16&gt;$AN16),"Cumplida con "&amp;($G16-$AN16)&amp;IF($G16-$AN16=1," día"," días")&amp;" de retraso","Cumplida"),IF(N($M16)&gt;=1,"Cumplida",IF(NOT(ISNUMBER($AN16)),"Sin fecha límite",IF($AN16&lt;FechaRef,"Vencida hace "&amp;(FechaRef-$AN16)&amp;IF(FechaRef-$AN16=1," día"," días"),IF($AN16=FechaRef,"Vence hoy",IF($AN16-FechaRef&lt;=DiasAlerta,"Vence en "&amp;($AN16-FechaRef)&amp;IF($AN16-FechaRef=1," día"," días"),"En plazo")))))))</f>
        <v/>
      </c>
      <c r="P16" s="62" t="n"/>
      <c r="Q16" s="58" t="n"/>
      <c r="R16" s="63">
        <f>IF(NOT((COUNTA($B16:$D16)+COUNTA($G16:$L16)+COUNTA($Q16))&gt;0),"",IF((IF($C16="","Falta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",""))="","✔ OK","⚠ "&amp;LEFT(IF($C16="","Falta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",""),LEN(IF($C16="","Falta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",""))-3)))</f>
        <v/>
      </c>
      <c r="S16" s="64">
        <f>IF(NOT((COUNTA($B16:$D16)+COUNTA($G16:$L16)+COUNTA($Q16))&gt;0),"",IF(AND($V16="Sub",N($U16)&gt;0),IF(ISNUMBER(INDEX($AM$5:$AM$1000,$U16-4)),DATE(YEAR(INDEX($AM$5:$AM$1000,$U16-4)),MONTH(INDEX($AM$5:$AM$1000,$U16-4)),1),IF(ISNUMBER(INDEX($AN$5:$AN$1000,$U16-4)),DATE(YEAR(INDEX($AN$5:$AN$1000,$U16-4)),MONTH(INDEX($AN$5:$AN$1000,$U16-4)),1),MesCiclo)),IF(ISNUMBER($AM16),DATE(YEAR($AM16),MONTH($AM16),1),IF(ISNUMBER($AN16),DATE(YEAR($AN16),MONTH($AN16),1),MesCiclo))))</f>
        <v/>
      </c>
      <c r="T16" s="62">
        <f>IF(OR($S16="",$S16&lt;&gt;MesCiclo),"",COUNTIF($S$5:$S16,MesCiclo))</f>
        <v/>
      </c>
      <c r="U16" s="62">
        <f>IF($V16="","",IF($V16="Macro",ROW(),IFERROR(LOOKUP(2,1/($V$5:$V16="Macro"),ROW($V$5:$V16)),0)))</f>
        <v/>
      </c>
      <c r="V16" s="62">
        <f>IF(NOT((COUNTA($B16:$D16)+COUNTA($G16:$L16)+COUNTA($Q16))&gt;0),"",IF($B16="Subactividad","Sub","Macro"))</f>
        <v/>
      </c>
      <c r="W16" s="62">
        <f>IF($V16="Macro",COUNTIFS($U$5:$U$1000,ROW(),$V$5:$V$1000,"Sub"),"")</f>
        <v/>
      </c>
      <c r="X16" s="62">
        <f>IF($V16="","",IF(ISNUMBER($G16),1,IFERROR(LOOKUP(2,1/($I16:$L16&lt;&gt;""),$I16:$L16),0)))</f>
        <v/>
      </c>
      <c r="Y16" s="62">
        <f>IF($V16="","",IF(AND(ISNUMBER($G16),$G16&lt;=IF($S16=MesCiclo,InicioCiclo,$S16+MOD(2-WEEKDAY($S16),7))+6),1,IF(ISNUMBER($I16),$I16,0)))</f>
        <v/>
      </c>
      <c r="Z16" s="62">
        <f>IF($V16="","",IF(AND(ISNUMBER($G16),$G16&lt;=IF($S16=MesCiclo,InicioCiclo,$S16+MOD(2-WEEKDAY($S16),7))+13),1,IF(ISNUMBER($J16),$J16,$Y16)))</f>
        <v/>
      </c>
      <c r="AA16" s="62">
        <f>IF($V16="","",IF(AND(ISNUMBER($G16),$G16&lt;=IF($S16=MesCiclo,InicioCiclo,$S16+MOD(2-WEEKDAY($S16),7))+20),1,IF(ISNUMBER($K16),$K16,$Z16)))</f>
        <v/>
      </c>
      <c r="AB16" s="62">
        <f>IF($V16="","",IF(AND(ISNUMBER($G16),$G16&lt;=IF($S16=MesCiclo,InicioCiclo,$S16+MOD(2-WEEKDAY($S16),7))+27),1,IF(ISNUMBER($L16),$L16,$AA16)))</f>
        <v/>
      </c>
      <c r="AC16" s="62">
        <f>IF($V16="","",IF(AND(ISNUMBER($G16),$G16&lt;=IF($S16=MesCiclo,InicioCiclo,$S16+MOD(2-WEEKDAY($S16),7))+6),1,IF(N($W16)&gt;0,AVERAGEIFS($Y$5:$Y$1000,$U$5:$U$1000,ROW(),$V$5:$V$1000,"Sub"),$Y16)))</f>
        <v/>
      </c>
      <c r="AD16" s="62">
        <f>IF($V16="","",IF(AND(ISNUMBER($G16),$G16&lt;=IF($S16=MesCiclo,InicioCiclo,$S16+MOD(2-WEEKDAY($S16),7))+13),1,IF(N($W16)&gt;0,AVERAGEIFS($Z$5:$Z$1000,$U$5:$U$1000,ROW(),$V$5:$V$1000,"Sub"),$Z16)))</f>
        <v/>
      </c>
      <c r="AE16" s="62">
        <f>IF($V16="","",IF(AND(ISNUMBER($G16),$G16&lt;=IF($S16=MesCiclo,InicioCiclo,$S16+MOD(2-WEEKDAY($S16),7))+20),1,IF(N($W16)&gt;0,AVERAGEIFS($AA$5:$AA$1000,$U$5:$U$1000,ROW(),$V$5:$V$1000,"Sub"),$AA16)))</f>
        <v/>
      </c>
      <c r="AF16" s="62">
        <f>IF($V16="","",IF(AND(ISNUMBER($G16),$G16&lt;=IF($S16=MesCiclo,InicioCiclo,$S16+MOD(2-WEEKDAY($S16),7))+27),1,IF(N($W16)&gt;0,AVERAGEIFS($AB$5:$AB$1000,$U$5:$U$1000,ROW(),$V$5:$V$1000,"Sub"),$AB16)))</f>
        <v/>
      </c>
      <c r="AG16" s="62">
        <f>IF($V16&lt;&gt;"Macro","",IF(COUNTIFS($S$5:$S$1000,$S16,$V$5:$V$1000,"Macro",$H$5:$H$1000,"&gt;0")=0,1/COUNTIFS($S$5:$S$1000,$S16,$V$5:$V$1000,"Macro"),IF(AND(ISNUMBER($H16),N($H16)&gt;0),$H16,SUMIFS($H$5:$H$1000,$S$5:$S$1000,$S16,$V$5:$V$1000,"Macro")/COUNTIFS($S$5:$S$1000,$S16,$V$5:$V$1000,"Macro",$H$5:$H$1000,"&gt;0"))/(COUNTIFS($S$5:$S$1000,$S16,$V$5:$V$1000,"Macro")*SUMIFS($H$5:$H$1000,$S$5:$S$1000,$S16,$V$5:$V$1000,"Macro")/COUNTIFS($S$5:$S$1000,$S16,$V$5:$V$1000,"Macro",$H$5:$H$1000,"&gt;0"))))</f>
        <v/>
      </c>
      <c r="AH16" s="62" t="n"/>
      <c r="AI16" s="62" t="n"/>
      <c r="AJ16" s="62" t="n"/>
      <c r="AK16" s="62" t="n"/>
      <c r="AL16" s="62">
        <f>IF(LEFT($C16,11)="[Jefatura] ",IFERROR(MATCH("Riesgo Operacional|"&amp;MID($C16,12,500),rDname_ADM,0),0),"")</f>
        <v/>
      </c>
      <c r="AM16" s="62">
        <f>IF(N($AL16)&gt;0,INDEX(rIni_ADM,$AL16),IF(ISNUMBER($E16),$E16,""))</f>
        <v/>
      </c>
      <c r="AN16" s="62">
        <f>IF(N($AL16)&gt;0,INDEX(rLim_ADM,$AL16),IF(ISNUMBER($F16),$F16,""))</f>
        <v/>
      </c>
    </row>
    <row r="17">
      <c r="A17" s="56">
        <f>IF(NOT((COUNTA($B17:$D17)+COUNTA($G17:$L17)+COUNTA($Q17))&gt;0),"",IF($V17="Macro",COUNTIFS($V$5:$V17,"Macro",$S$5:$S17,$S17),IF(N($U17)=0,"?",COUNTIFS(INDEX($V$5:$V$1000,1):INDEX($V$5:$V$1000,$U17-4),"Macro",INDEX($S$5:$S$1000,1):INDEX($S$5:$S$1000,$U17-4),INDEX($S$5:$S$1000,$U17-4))&amp;"."&amp;COUNTIFS($U$5:$U17,$U17,$V$5:$V17,"Sub"))))</f>
        <v/>
      </c>
      <c r="B17" s="57" t="n"/>
      <c r="C17" s="58" t="n"/>
      <c r="D17" s="58" t="n"/>
      <c r="E17" s="59">
        <f>IF(N($AL17)&gt;0,INDEX(rIni_ADM,$AL17),"")</f>
        <v/>
      </c>
      <c r="F17" s="59">
        <f>IF(N($AL17)&gt;0,INDEX(rLim_ADM,$AL17),"")</f>
        <v/>
      </c>
      <c r="G17" s="59" t="n"/>
      <c r="H17" s="60" t="n"/>
      <c r="I17" s="60" t="n"/>
      <c r="J17" s="60" t="n"/>
      <c r="K17" s="60" t="n"/>
      <c r="L17" s="60" t="n"/>
      <c r="M17" s="61">
        <f>IF(NOT((COUNTA($B17:$D17)+COUNTA($G17:$L17)+COUNTA($Q17))&gt;0),"",IF(ISNUMBER($G17),1,IF(N($W17)&gt;0,AVERAGEIFS($X$5:$X$1000,$U$5:$U$1000,ROW(),$V$5:$V$1000,"Sub"),$X17)))</f>
        <v/>
      </c>
      <c r="N17" s="56">
        <f>IF($M17="","",IF($M17&gt;=1,"Completado",IF($M17&gt;0,"En curso","Pendiente")))</f>
        <v/>
      </c>
      <c r="O17" s="56">
        <f>IF(NOT((COUNTA($B17:$D17)+COUNTA($G17:$L17)+COUNTA($Q17))&gt;0),"",IF(ISNUMBER($G17),IF(AND(ISNUMBER($AN17),$G17&gt;$AN17),"Cumplida con "&amp;($G17-$AN17)&amp;IF($G17-$AN17=1," día"," días")&amp;" de retraso","Cumplida"),IF(N($M17)&gt;=1,"Cumplida",IF(NOT(ISNUMBER($AN17)),"Sin fecha límite",IF($AN17&lt;FechaRef,"Vencida hace "&amp;(FechaRef-$AN17)&amp;IF(FechaRef-$AN17=1," día"," días"),IF($AN17=FechaRef,"Vence hoy",IF($AN17-FechaRef&lt;=DiasAlerta,"Vence en "&amp;($AN17-FechaRef)&amp;IF($AN17-FechaRef=1," día"," días"),"En plazo")))))))</f>
        <v/>
      </c>
      <c r="P17" s="62" t="n"/>
      <c r="Q17" s="58" t="n"/>
      <c r="R17" s="63">
        <f>IF(NOT((COUNTA($B17:$D17)+COUNTA($G17:$L17)+COUNTA($Q17))&gt;0),"",IF((IF($C17="","Falta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",""))="","✔ OK","⚠ "&amp;LEFT(IF($C17="","Falta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",""),LEN(IF($C17="","Falta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",""))-3)))</f>
        <v/>
      </c>
      <c r="S17" s="64">
        <f>IF(NOT((COUNTA($B17:$D17)+COUNTA($G17:$L17)+COUNTA($Q17))&gt;0),"",IF(AND($V17="Sub",N($U17)&gt;0),IF(ISNUMBER(INDEX($AM$5:$AM$1000,$U17-4)),DATE(YEAR(INDEX($AM$5:$AM$1000,$U17-4)),MONTH(INDEX($AM$5:$AM$1000,$U17-4)),1),IF(ISNUMBER(INDEX($AN$5:$AN$1000,$U17-4)),DATE(YEAR(INDEX($AN$5:$AN$1000,$U17-4)),MONTH(INDEX($AN$5:$AN$1000,$U17-4)),1),MesCiclo)),IF(ISNUMBER($AM17),DATE(YEAR($AM17),MONTH($AM17),1),IF(ISNUMBER($AN17),DATE(YEAR($AN17),MONTH($AN17),1),MesCiclo))))</f>
        <v/>
      </c>
      <c r="T17" s="62">
        <f>IF(OR($S17="",$S17&lt;&gt;MesCiclo),"",COUNTIF($S$5:$S17,MesCiclo))</f>
        <v/>
      </c>
      <c r="U17" s="62">
        <f>IF($V17="","",IF($V17="Macro",ROW(),IFERROR(LOOKUP(2,1/($V$5:$V17="Macro"),ROW($V$5:$V17)),0)))</f>
        <v/>
      </c>
      <c r="V17" s="62">
        <f>IF(NOT((COUNTA($B17:$D17)+COUNTA($G17:$L17)+COUNTA($Q17))&gt;0),"",IF($B17="Subactividad","Sub","Macro"))</f>
        <v/>
      </c>
      <c r="W17" s="62">
        <f>IF($V17="Macro",COUNTIFS($U$5:$U$1000,ROW(),$V$5:$V$1000,"Sub"),"")</f>
        <v/>
      </c>
      <c r="X17" s="62">
        <f>IF($V17="","",IF(ISNUMBER($G17),1,IFERROR(LOOKUP(2,1/($I17:$L17&lt;&gt;""),$I17:$L17),0)))</f>
        <v/>
      </c>
      <c r="Y17" s="62">
        <f>IF($V17="","",IF(AND(ISNUMBER($G17),$G17&lt;=IF($S17=MesCiclo,InicioCiclo,$S17+MOD(2-WEEKDAY($S17),7))+6),1,IF(ISNUMBER($I17),$I17,0)))</f>
        <v/>
      </c>
      <c r="Z17" s="62">
        <f>IF($V17="","",IF(AND(ISNUMBER($G17),$G17&lt;=IF($S17=MesCiclo,InicioCiclo,$S17+MOD(2-WEEKDAY($S17),7))+13),1,IF(ISNUMBER($J17),$J17,$Y17)))</f>
        <v/>
      </c>
      <c r="AA17" s="62">
        <f>IF($V17="","",IF(AND(ISNUMBER($G17),$G17&lt;=IF($S17=MesCiclo,InicioCiclo,$S17+MOD(2-WEEKDAY($S17),7))+20),1,IF(ISNUMBER($K17),$K17,$Z17)))</f>
        <v/>
      </c>
      <c r="AB17" s="62">
        <f>IF($V17="","",IF(AND(ISNUMBER($G17),$G17&lt;=IF($S17=MesCiclo,InicioCiclo,$S17+MOD(2-WEEKDAY($S17),7))+27),1,IF(ISNUMBER($L17),$L17,$AA17)))</f>
        <v/>
      </c>
      <c r="AC17" s="62">
        <f>IF($V17="","",IF(AND(ISNUMBER($G17),$G17&lt;=IF($S17=MesCiclo,InicioCiclo,$S17+MOD(2-WEEKDAY($S17),7))+6),1,IF(N($W17)&gt;0,AVERAGEIFS($Y$5:$Y$1000,$U$5:$U$1000,ROW(),$V$5:$V$1000,"Sub"),$Y17)))</f>
        <v/>
      </c>
      <c r="AD17" s="62">
        <f>IF($V17="","",IF(AND(ISNUMBER($G17),$G17&lt;=IF($S17=MesCiclo,InicioCiclo,$S17+MOD(2-WEEKDAY($S17),7))+13),1,IF(N($W17)&gt;0,AVERAGEIFS($Z$5:$Z$1000,$U$5:$U$1000,ROW(),$V$5:$V$1000,"Sub"),$Z17)))</f>
        <v/>
      </c>
      <c r="AE17" s="62">
        <f>IF($V17="","",IF(AND(ISNUMBER($G17),$G17&lt;=IF($S17=MesCiclo,InicioCiclo,$S17+MOD(2-WEEKDAY($S17),7))+20),1,IF(N($W17)&gt;0,AVERAGEIFS($AA$5:$AA$1000,$U$5:$U$1000,ROW(),$V$5:$V$1000,"Sub"),$AA17)))</f>
        <v/>
      </c>
      <c r="AF17" s="62">
        <f>IF($V17="","",IF(AND(ISNUMBER($G17),$G17&lt;=IF($S17=MesCiclo,InicioCiclo,$S17+MOD(2-WEEKDAY($S17),7))+27),1,IF(N($W17)&gt;0,AVERAGEIFS($AB$5:$AB$1000,$U$5:$U$1000,ROW(),$V$5:$V$1000,"Sub"),$AB17)))</f>
        <v/>
      </c>
      <c r="AG17" s="62">
        <f>IF($V17&lt;&gt;"Macro","",IF(COUNTIFS($S$5:$S$1000,$S17,$V$5:$V$1000,"Macro",$H$5:$H$1000,"&gt;0")=0,1/COUNTIFS($S$5:$S$1000,$S17,$V$5:$V$1000,"Macro"),IF(AND(ISNUMBER($H17),N($H17)&gt;0),$H17,SUMIFS($H$5:$H$1000,$S$5:$S$1000,$S17,$V$5:$V$1000,"Macro")/COUNTIFS($S$5:$S$1000,$S17,$V$5:$V$1000,"Macro",$H$5:$H$1000,"&gt;0"))/(COUNTIFS($S$5:$S$1000,$S17,$V$5:$V$1000,"Macro")*SUMIFS($H$5:$H$1000,$S$5:$S$1000,$S17,$V$5:$V$1000,"Macro")/COUNTIFS($S$5:$S$1000,$S17,$V$5:$V$1000,"Macro",$H$5:$H$1000,"&gt;0"))))</f>
        <v/>
      </c>
      <c r="AH17" s="62" t="n"/>
      <c r="AI17" s="62" t="n"/>
      <c r="AJ17" s="62" t="n"/>
      <c r="AK17" s="62" t="n"/>
      <c r="AL17" s="62">
        <f>IF(LEFT($C17,11)="[Jefatura] ",IFERROR(MATCH("Riesgo Operacional|"&amp;MID($C17,12,500),rDname_ADM,0),0),"")</f>
        <v/>
      </c>
      <c r="AM17" s="62">
        <f>IF(N($AL17)&gt;0,INDEX(rIni_ADM,$AL17),IF(ISNUMBER($E17),$E17,""))</f>
        <v/>
      </c>
      <c r="AN17" s="62">
        <f>IF(N($AL17)&gt;0,INDEX(rLim_ADM,$AL17),IF(ISNUMBER($F17),$F17,""))</f>
        <v/>
      </c>
    </row>
    <row r="18">
      <c r="A18" s="56">
        <f>IF(NOT((COUNTA($B18:$D18)+COUNTA($G18:$L18)+COUNTA($Q18))&gt;0),"",IF($V18="Macro",COUNTIFS($V$5:$V18,"Macro",$S$5:$S18,$S18),IF(N($U18)=0,"?",COUNTIFS(INDEX($V$5:$V$1000,1):INDEX($V$5:$V$1000,$U18-4),"Macro",INDEX($S$5:$S$1000,1):INDEX($S$5:$S$1000,$U18-4),INDEX($S$5:$S$1000,$U18-4))&amp;"."&amp;COUNTIFS($U$5:$U18,$U18,$V$5:$V18,"Sub"))))</f>
        <v/>
      </c>
      <c r="B18" s="57" t="n"/>
      <c r="C18" s="58" t="n"/>
      <c r="D18" s="58" t="n"/>
      <c r="E18" s="59">
        <f>IF(N($AL18)&gt;0,INDEX(rIni_ADM,$AL18),"")</f>
        <v/>
      </c>
      <c r="F18" s="59">
        <f>IF(N($AL18)&gt;0,INDEX(rLim_ADM,$AL18),"")</f>
        <v/>
      </c>
      <c r="G18" s="59" t="n"/>
      <c r="H18" s="60" t="n"/>
      <c r="I18" s="60" t="n"/>
      <c r="J18" s="60" t="n"/>
      <c r="K18" s="60" t="n"/>
      <c r="L18" s="60" t="n"/>
      <c r="M18" s="61">
        <f>IF(NOT((COUNTA($B18:$D18)+COUNTA($G18:$L18)+COUNTA($Q18))&gt;0),"",IF(ISNUMBER($G18),1,IF(N($W18)&gt;0,AVERAGEIFS($X$5:$X$1000,$U$5:$U$1000,ROW(),$V$5:$V$1000,"Sub"),$X18)))</f>
        <v/>
      </c>
      <c r="N18" s="56">
        <f>IF($M18="","",IF($M18&gt;=1,"Completado",IF($M18&gt;0,"En curso","Pendiente")))</f>
        <v/>
      </c>
      <c r="O18" s="56">
        <f>IF(NOT((COUNTA($B18:$D18)+COUNTA($G18:$L18)+COUNTA($Q18))&gt;0),"",IF(ISNUMBER($G18),IF(AND(ISNUMBER($AN18),$G18&gt;$AN18),"Cumplida con "&amp;($G18-$AN18)&amp;IF($G18-$AN18=1," día"," días")&amp;" de retraso","Cumplida"),IF(N($M18)&gt;=1,"Cumplida",IF(NOT(ISNUMBER($AN18)),"Sin fecha límite",IF($AN18&lt;FechaRef,"Vencida hace "&amp;(FechaRef-$AN18)&amp;IF(FechaRef-$AN18=1," día"," días"),IF($AN18=FechaRef,"Vence hoy",IF($AN18-FechaRef&lt;=DiasAlerta,"Vence en "&amp;($AN18-FechaRef)&amp;IF($AN18-FechaRef=1," día"," días"),"En plazo")))))))</f>
        <v/>
      </c>
      <c r="P18" s="62" t="n"/>
      <c r="Q18" s="58" t="n"/>
      <c r="R18" s="63">
        <f>IF(NOT((COUNTA($B18:$D18)+COUNTA($G18:$L18)+COUNTA($Q18))&gt;0),"",IF((IF($C18="","Falta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",""))="","✔ OK","⚠ "&amp;LEFT(IF($C18="","Falta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",""),LEN(IF($C18="","Falta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",""))-3)))</f>
        <v/>
      </c>
      <c r="S18" s="64">
        <f>IF(NOT((COUNTA($B18:$D18)+COUNTA($G18:$L18)+COUNTA($Q18))&gt;0),"",IF(AND($V18="Sub",N($U18)&gt;0),IF(ISNUMBER(INDEX($AM$5:$AM$1000,$U18-4)),DATE(YEAR(INDEX($AM$5:$AM$1000,$U18-4)),MONTH(INDEX($AM$5:$AM$1000,$U18-4)),1),IF(ISNUMBER(INDEX($AN$5:$AN$1000,$U18-4)),DATE(YEAR(INDEX($AN$5:$AN$1000,$U18-4)),MONTH(INDEX($AN$5:$AN$1000,$U18-4)),1),MesCiclo)),IF(ISNUMBER($AM18),DATE(YEAR($AM18),MONTH($AM18),1),IF(ISNUMBER($AN18),DATE(YEAR($AN18),MONTH($AN18),1),MesCiclo))))</f>
        <v/>
      </c>
      <c r="T18" s="62">
        <f>IF(OR($S18="",$S18&lt;&gt;MesCiclo),"",COUNTIF($S$5:$S18,MesCiclo))</f>
        <v/>
      </c>
      <c r="U18" s="62">
        <f>IF($V18="","",IF($V18="Macro",ROW(),IFERROR(LOOKUP(2,1/($V$5:$V18="Macro"),ROW($V$5:$V18)),0)))</f>
        <v/>
      </c>
      <c r="V18" s="62">
        <f>IF(NOT((COUNTA($B18:$D18)+COUNTA($G18:$L18)+COUNTA($Q18))&gt;0),"",IF($B18="Subactividad","Sub","Macro"))</f>
        <v/>
      </c>
      <c r="W18" s="62">
        <f>IF($V18="Macro",COUNTIFS($U$5:$U$1000,ROW(),$V$5:$V$1000,"Sub"),"")</f>
        <v/>
      </c>
      <c r="X18" s="62">
        <f>IF($V18="","",IF(ISNUMBER($G18),1,IFERROR(LOOKUP(2,1/($I18:$L18&lt;&gt;""),$I18:$L18),0)))</f>
        <v/>
      </c>
      <c r="Y18" s="62">
        <f>IF($V18="","",IF(AND(ISNUMBER($G18),$G18&lt;=IF($S18=MesCiclo,InicioCiclo,$S18+MOD(2-WEEKDAY($S18),7))+6),1,IF(ISNUMBER($I18),$I18,0)))</f>
        <v/>
      </c>
      <c r="Z18" s="62">
        <f>IF($V18="","",IF(AND(ISNUMBER($G18),$G18&lt;=IF($S18=MesCiclo,InicioCiclo,$S18+MOD(2-WEEKDAY($S18),7))+13),1,IF(ISNUMBER($J18),$J18,$Y18)))</f>
        <v/>
      </c>
      <c r="AA18" s="62">
        <f>IF($V18="","",IF(AND(ISNUMBER($G18),$G18&lt;=IF($S18=MesCiclo,InicioCiclo,$S18+MOD(2-WEEKDAY($S18),7))+20),1,IF(ISNUMBER($K18),$K18,$Z18)))</f>
        <v/>
      </c>
      <c r="AB18" s="62">
        <f>IF($V18="","",IF(AND(ISNUMBER($G18),$G18&lt;=IF($S18=MesCiclo,InicioCiclo,$S18+MOD(2-WEEKDAY($S18),7))+27),1,IF(ISNUMBER($L18),$L18,$AA18)))</f>
        <v/>
      </c>
      <c r="AC18" s="62">
        <f>IF($V18="","",IF(AND(ISNUMBER($G18),$G18&lt;=IF($S18=MesCiclo,InicioCiclo,$S18+MOD(2-WEEKDAY($S18),7))+6),1,IF(N($W18)&gt;0,AVERAGEIFS($Y$5:$Y$1000,$U$5:$U$1000,ROW(),$V$5:$V$1000,"Sub"),$Y18)))</f>
        <v/>
      </c>
      <c r="AD18" s="62">
        <f>IF($V18="","",IF(AND(ISNUMBER($G18),$G18&lt;=IF($S18=MesCiclo,InicioCiclo,$S18+MOD(2-WEEKDAY($S18),7))+13),1,IF(N($W18)&gt;0,AVERAGEIFS($Z$5:$Z$1000,$U$5:$U$1000,ROW(),$V$5:$V$1000,"Sub"),$Z18)))</f>
        <v/>
      </c>
      <c r="AE18" s="62">
        <f>IF($V18="","",IF(AND(ISNUMBER($G18),$G18&lt;=IF($S18=MesCiclo,InicioCiclo,$S18+MOD(2-WEEKDAY($S18),7))+20),1,IF(N($W18)&gt;0,AVERAGEIFS($AA$5:$AA$1000,$U$5:$U$1000,ROW(),$V$5:$V$1000,"Sub"),$AA18)))</f>
        <v/>
      </c>
      <c r="AF18" s="62">
        <f>IF($V18="","",IF(AND(ISNUMBER($G18),$G18&lt;=IF($S18=MesCiclo,InicioCiclo,$S18+MOD(2-WEEKDAY($S18),7))+27),1,IF(N($W18)&gt;0,AVERAGEIFS($AB$5:$AB$1000,$U$5:$U$1000,ROW(),$V$5:$V$1000,"Sub"),$AB18)))</f>
        <v/>
      </c>
      <c r="AG18" s="62">
        <f>IF($V18&lt;&gt;"Macro","",IF(COUNTIFS($S$5:$S$1000,$S18,$V$5:$V$1000,"Macro",$H$5:$H$1000,"&gt;0")=0,1/COUNTIFS($S$5:$S$1000,$S18,$V$5:$V$1000,"Macro"),IF(AND(ISNUMBER($H18),N($H18)&gt;0),$H18,SUMIFS($H$5:$H$1000,$S$5:$S$1000,$S18,$V$5:$V$1000,"Macro")/COUNTIFS($S$5:$S$1000,$S18,$V$5:$V$1000,"Macro",$H$5:$H$1000,"&gt;0"))/(COUNTIFS($S$5:$S$1000,$S18,$V$5:$V$1000,"Macro")*SUMIFS($H$5:$H$1000,$S$5:$S$1000,$S18,$V$5:$V$1000,"Macro")/COUNTIFS($S$5:$S$1000,$S18,$V$5:$V$1000,"Macro",$H$5:$H$1000,"&gt;0"))))</f>
        <v/>
      </c>
      <c r="AH18" s="62" t="n"/>
      <c r="AI18" s="62" t="n"/>
      <c r="AJ18" s="62" t="n"/>
      <c r="AK18" s="62" t="n"/>
      <c r="AL18" s="62">
        <f>IF(LEFT($C18,11)="[Jefatura] ",IFERROR(MATCH("Riesgo Operacional|"&amp;MID($C18,12,500),rDname_ADM,0),0),"")</f>
        <v/>
      </c>
      <c r="AM18" s="62">
        <f>IF(N($AL18)&gt;0,INDEX(rIni_ADM,$AL18),IF(ISNUMBER($E18),$E18,""))</f>
        <v/>
      </c>
      <c r="AN18" s="62">
        <f>IF(N($AL18)&gt;0,INDEX(rLim_ADM,$AL18),IF(ISNUMBER($F18),$F18,""))</f>
        <v/>
      </c>
    </row>
    <row r="19">
      <c r="A19" s="56">
        <f>IF(NOT((COUNTA($B19:$D19)+COUNTA($G19:$L19)+COUNTA($Q19))&gt;0),"",IF($V19="Macro",COUNTIFS($V$5:$V19,"Macro",$S$5:$S19,$S19),IF(N($U19)=0,"?",COUNTIFS(INDEX($V$5:$V$1000,1):INDEX($V$5:$V$1000,$U19-4),"Macro",INDEX($S$5:$S$1000,1):INDEX($S$5:$S$1000,$U19-4),INDEX($S$5:$S$1000,$U19-4))&amp;"."&amp;COUNTIFS($U$5:$U19,$U19,$V$5:$V19,"Sub"))))</f>
        <v/>
      </c>
      <c r="B19" s="57" t="n"/>
      <c r="C19" s="58" t="n"/>
      <c r="D19" s="58" t="n"/>
      <c r="E19" s="59">
        <f>IF(N($AL19)&gt;0,INDEX(rIni_ADM,$AL19),"")</f>
        <v/>
      </c>
      <c r="F19" s="59">
        <f>IF(N($AL19)&gt;0,INDEX(rLim_ADM,$AL19),"")</f>
        <v/>
      </c>
      <c r="G19" s="59" t="n"/>
      <c r="H19" s="60" t="n"/>
      <c r="I19" s="60" t="n"/>
      <c r="J19" s="60" t="n"/>
      <c r="K19" s="60" t="n"/>
      <c r="L19" s="60" t="n"/>
      <c r="M19" s="61">
        <f>IF(NOT((COUNTA($B19:$D19)+COUNTA($G19:$L19)+COUNTA($Q19))&gt;0),"",IF(ISNUMBER($G19),1,IF(N($W19)&gt;0,AVERAGEIFS($X$5:$X$1000,$U$5:$U$1000,ROW(),$V$5:$V$1000,"Sub"),$X19)))</f>
        <v/>
      </c>
      <c r="N19" s="56">
        <f>IF($M19="","",IF($M19&gt;=1,"Completado",IF($M19&gt;0,"En curso","Pendiente")))</f>
        <v/>
      </c>
      <c r="O19" s="56">
        <f>IF(NOT((COUNTA($B19:$D19)+COUNTA($G19:$L19)+COUNTA($Q19))&gt;0),"",IF(ISNUMBER($G19),IF(AND(ISNUMBER($AN19),$G19&gt;$AN19),"Cumplida con "&amp;($G19-$AN19)&amp;IF($G19-$AN19=1," día"," días")&amp;" de retraso","Cumplida"),IF(N($M19)&gt;=1,"Cumplida",IF(NOT(ISNUMBER($AN19)),"Sin fecha límite",IF($AN19&lt;FechaRef,"Vencida hace "&amp;(FechaRef-$AN19)&amp;IF(FechaRef-$AN19=1," día"," días"),IF($AN19=FechaRef,"Vence hoy",IF($AN19-FechaRef&lt;=DiasAlerta,"Vence en "&amp;($AN19-FechaRef)&amp;IF($AN19-FechaRef=1," día"," días"),"En plazo")))))))</f>
        <v/>
      </c>
      <c r="P19" s="62" t="n"/>
      <c r="Q19" s="58" t="n"/>
      <c r="R19" s="63">
        <f>IF(NOT((COUNTA($B19:$D19)+COUNTA($G19:$L19)+COUNTA($Q19))&gt;0),"",IF((IF($C19="","Falta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",""))="","✔ OK","⚠ "&amp;LEFT(IF($C19="","Falta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",""),LEN(IF($C19="","Falta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",""))-3)))</f>
        <v/>
      </c>
      <c r="S19" s="64">
        <f>IF(NOT((COUNTA($B19:$D19)+COUNTA($G19:$L19)+COUNTA($Q19))&gt;0),"",IF(AND($V19="Sub",N($U19)&gt;0),IF(ISNUMBER(INDEX($AM$5:$AM$1000,$U19-4)),DATE(YEAR(INDEX($AM$5:$AM$1000,$U19-4)),MONTH(INDEX($AM$5:$AM$1000,$U19-4)),1),IF(ISNUMBER(INDEX($AN$5:$AN$1000,$U19-4)),DATE(YEAR(INDEX($AN$5:$AN$1000,$U19-4)),MONTH(INDEX($AN$5:$AN$1000,$U19-4)),1),MesCiclo)),IF(ISNUMBER($AM19),DATE(YEAR($AM19),MONTH($AM19),1),IF(ISNUMBER($AN19),DATE(YEAR($AN19),MONTH($AN19),1),MesCiclo))))</f>
        <v/>
      </c>
      <c r="T19" s="62">
        <f>IF(OR($S19="",$S19&lt;&gt;MesCiclo),"",COUNTIF($S$5:$S19,MesCiclo))</f>
        <v/>
      </c>
      <c r="U19" s="62">
        <f>IF($V19="","",IF($V19="Macro",ROW(),IFERROR(LOOKUP(2,1/($V$5:$V19="Macro"),ROW($V$5:$V19)),0)))</f>
        <v/>
      </c>
      <c r="V19" s="62">
        <f>IF(NOT((COUNTA($B19:$D19)+COUNTA($G19:$L19)+COUNTA($Q19))&gt;0),"",IF($B19="Subactividad","Sub","Macro"))</f>
        <v/>
      </c>
      <c r="W19" s="62">
        <f>IF($V19="Macro",COUNTIFS($U$5:$U$1000,ROW(),$V$5:$V$1000,"Sub"),"")</f>
        <v/>
      </c>
      <c r="X19" s="62">
        <f>IF($V19="","",IF(ISNUMBER($G19),1,IFERROR(LOOKUP(2,1/($I19:$L19&lt;&gt;""),$I19:$L19),0)))</f>
        <v/>
      </c>
      <c r="Y19" s="62">
        <f>IF($V19="","",IF(AND(ISNUMBER($G19),$G19&lt;=IF($S19=MesCiclo,InicioCiclo,$S19+MOD(2-WEEKDAY($S19),7))+6),1,IF(ISNUMBER($I19),$I19,0)))</f>
        <v/>
      </c>
      <c r="Z19" s="62">
        <f>IF($V19="","",IF(AND(ISNUMBER($G19),$G19&lt;=IF($S19=MesCiclo,InicioCiclo,$S19+MOD(2-WEEKDAY($S19),7))+13),1,IF(ISNUMBER($J19),$J19,$Y19)))</f>
        <v/>
      </c>
      <c r="AA19" s="62">
        <f>IF($V19="","",IF(AND(ISNUMBER($G19),$G19&lt;=IF($S19=MesCiclo,InicioCiclo,$S19+MOD(2-WEEKDAY($S19),7))+20),1,IF(ISNUMBER($K19),$K19,$Z19)))</f>
        <v/>
      </c>
      <c r="AB19" s="62">
        <f>IF($V19="","",IF(AND(ISNUMBER($G19),$G19&lt;=IF($S19=MesCiclo,InicioCiclo,$S19+MOD(2-WEEKDAY($S19),7))+27),1,IF(ISNUMBER($L19),$L19,$AA19)))</f>
        <v/>
      </c>
      <c r="AC19" s="62">
        <f>IF($V19="","",IF(AND(ISNUMBER($G19),$G19&lt;=IF($S19=MesCiclo,InicioCiclo,$S19+MOD(2-WEEKDAY($S19),7))+6),1,IF(N($W19)&gt;0,AVERAGEIFS($Y$5:$Y$1000,$U$5:$U$1000,ROW(),$V$5:$V$1000,"Sub"),$Y19)))</f>
        <v/>
      </c>
      <c r="AD19" s="62">
        <f>IF($V19="","",IF(AND(ISNUMBER($G19),$G19&lt;=IF($S19=MesCiclo,InicioCiclo,$S19+MOD(2-WEEKDAY($S19),7))+13),1,IF(N($W19)&gt;0,AVERAGEIFS($Z$5:$Z$1000,$U$5:$U$1000,ROW(),$V$5:$V$1000,"Sub"),$Z19)))</f>
        <v/>
      </c>
      <c r="AE19" s="62">
        <f>IF($V19="","",IF(AND(ISNUMBER($G19),$G19&lt;=IF($S19=MesCiclo,InicioCiclo,$S19+MOD(2-WEEKDAY($S19),7))+20),1,IF(N($W19)&gt;0,AVERAGEIFS($AA$5:$AA$1000,$U$5:$U$1000,ROW(),$V$5:$V$1000,"Sub"),$AA19)))</f>
        <v/>
      </c>
      <c r="AF19" s="62">
        <f>IF($V19="","",IF(AND(ISNUMBER($G19),$G19&lt;=IF($S19=MesCiclo,InicioCiclo,$S19+MOD(2-WEEKDAY($S19),7))+27),1,IF(N($W19)&gt;0,AVERAGEIFS($AB$5:$AB$1000,$U$5:$U$1000,ROW(),$V$5:$V$1000,"Sub"),$AB19)))</f>
        <v/>
      </c>
      <c r="AG19" s="62">
        <f>IF($V19&lt;&gt;"Macro","",IF(COUNTIFS($S$5:$S$1000,$S19,$V$5:$V$1000,"Macro",$H$5:$H$1000,"&gt;0")=0,1/COUNTIFS($S$5:$S$1000,$S19,$V$5:$V$1000,"Macro"),IF(AND(ISNUMBER($H19),N($H19)&gt;0),$H19,SUMIFS($H$5:$H$1000,$S$5:$S$1000,$S19,$V$5:$V$1000,"Macro")/COUNTIFS($S$5:$S$1000,$S19,$V$5:$V$1000,"Macro",$H$5:$H$1000,"&gt;0"))/(COUNTIFS($S$5:$S$1000,$S19,$V$5:$V$1000,"Macro")*SUMIFS($H$5:$H$1000,$S$5:$S$1000,$S19,$V$5:$V$1000,"Macro")/COUNTIFS($S$5:$S$1000,$S19,$V$5:$V$1000,"Macro",$H$5:$H$1000,"&gt;0"))))</f>
        <v/>
      </c>
      <c r="AH19" s="62" t="n"/>
      <c r="AI19" s="62" t="n"/>
      <c r="AJ19" s="62" t="n"/>
      <c r="AK19" s="62" t="n"/>
      <c r="AL19" s="62">
        <f>IF(LEFT($C19,11)="[Jefatura] ",IFERROR(MATCH("Riesgo Operacional|"&amp;MID($C19,12,500),rDname_ADM,0),0),"")</f>
        <v/>
      </c>
      <c r="AM19" s="62">
        <f>IF(N($AL19)&gt;0,INDEX(rIni_ADM,$AL19),IF(ISNUMBER($E19),$E19,""))</f>
        <v/>
      </c>
      <c r="AN19" s="62">
        <f>IF(N($AL19)&gt;0,INDEX(rLim_ADM,$AL19),IF(ISNUMBER($F19),$F19,""))</f>
        <v/>
      </c>
    </row>
    <row r="20">
      <c r="A20" s="56">
        <f>IF(NOT((COUNTA($B20:$D20)+COUNTA($G20:$L20)+COUNTA($Q20))&gt;0),"",IF($V20="Macro",COUNTIFS($V$5:$V20,"Macro",$S$5:$S20,$S20),IF(N($U20)=0,"?",COUNTIFS(INDEX($V$5:$V$1000,1):INDEX($V$5:$V$1000,$U20-4),"Macro",INDEX($S$5:$S$1000,1):INDEX($S$5:$S$1000,$U20-4),INDEX($S$5:$S$1000,$U20-4))&amp;"."&amp;COUNTIFS($U$5:$U20,$U20,$V$5:$V20,"Sub"))))</f>
        <v/>
      </c>
      <c r="B20" s="57" t="n"/>
      <c r="C20" s="58" t="n"/>
      <c r="D20" s="58" t="n"/>
      <c r="E20" s="59">
        <f>IF(N($AL20)&gt;0,INDEX(rIni_ADM,$AL20),"")</f>
        <v/>
      </c>
      <c r="F20" s="59">
        <f>IF(N($AL20)&gt;0,INDEX(rLim_ADM,$AL20),"")</f>
        <v/>
      </c>
      <c r="G20" s="59" t="n"/>
      <c r="H20" s="60" t="n"/>
      <c r="I20" s="60" t="n"/>
      <c r="J20" s="60" t="n"/>
      <c r="K20" s="60" t="n"/>
      <c r="L20" s="60" t="n"/>
      <c r="M20" s="61">
        <f>IF(NOT((COUNTA($B20:$D20)+COUNTA($G20:$L20)+COUNTA($Q20))&gt;0),"",IF(ISNUMBER($G20),1,IF(N($W20)&gt;0,AVERAGEIFS($X$5:$X$1000,$U$5:$U$1000,ROW(),$V$5:$V$1000,"Sub"),$X20)))</f>
        <v/>
      </c>
      <c r="N20" s="56">
        <f>IF($M20="","",IF($M20&gt;=1,"Completado",IF($M20&gt;0,"En curso","Pendiente")))</f>
        <v/>
      </c>
      <c r="O20" s="56">
        <f>IF(NOT((COUNTA($B20:$D20)+COUNTA($G20:$L20)+COUNTA($Q20))&gt;0),"",IF(ISNUMBER($G20),IF(AND(ISNUMBER($AN20),$G20&gt;$AN20),"Cumplida con "&amp;($G20-$AN20)&amp;IF($G20-$AN20=1," día"," días")&amp;" de retraso","Cumplida"),IF(N($M20)&gt;=1,"Cumplida",IF(NOT(ISNUMBER($AN20)),"Sin fecha límite",IF($AN20&lt;FechaRef,"Vencida hace "&amp;(FechaRef-$AN20)&amp;IF(FechaRef-$AN20=1," día"," días"),IF($AN20=FechaRef,"Vence hoy",IF($AN20-FechaRef&lt;=DiasAlerta,"Vence en "&amp;($AN20-FechaRef)&amp;IF($AN20-FechaRef=1," día"," días"),"En plazo")))))))</f>
        <v/>
      </c>
      <c r="P20" s="62" t="n"/>
      <c r="Q20" s="58" t="n"/>
      <c r="R20" s="63">
        <f>IF(NOT((COUNTA($B20:$D20)+COUNTA($G20:$L20)+COUNTA($Q20))&gt;0),"",IF((IF($C20="","Falta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",""))="","✔ OK","⚠ "&amp;LEFT(IF($C20="","Falta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",""),LEN(IF($C20="","Falta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",""))-3)))</f>
        <v/>
      </c>
      <c r="S20" s="64">
        <f>IF(NOT((COUNTA($B20:$D20)+COUNTA($G20:$L20)+COUNTA($Q20))&gt;0),"",IF(AND($V20="Sub",N($U20)&gt;0),IF(ISNUMBER(INDEX($AM$5:$AM$1000,$U20-4)),DATE(YEAR(INDEX($AM$5:$AM$1000,$U20-4)),MONTH(INDEX($AM$5:$AM$1000,$U20-4)),1),IF(ISNUMBER(INDEX($AN$5:$AN$1000,$U20-4)),DATE(YEAR(INDEX($AN$5:$AN$1000,$U20-4)),MONTH(INDEX($AN$5:$AN$1000,$U20-4)),1),MesCiclo)),IF(ISNUMBER($AM20),DATE(YEAR($AM20),MONTH($AM20),1),IF(ISNUMBER($AN20),DATE(YEAR($AN20),MONTH($AN20),1),MesCiclo))))</f>
        <v/>
      </c>
      <c r="T20" s="62">
        <f>IF(OR($S20="",$S20&lt;&gt;MesCiclo),"",COUNTIF($S$5:$S20,MesCiclo))</f>
        <v/>
      </c>
      <c r="U20" s="62">
        <f>IF($V20="","",IF($V20="Macro",ROW(),IFERROR(LOOKUP(2,1/($V$5:$V20="Macro"),ROW($V$5:$V20)),0)))</f>
        <v/>
      </c>
      <c r="V20" s="62">
        <f>IF(NOT((COUNTA($B20:$D20)+COUNTA($G20:$L20)+COUNTA($Q20))&gt;0),"",IF($B20="Subactividad","Sub","Macro"))</f>
        <v/>
      </c>
      <c r="W20" s="62">
        <f>IF($V20="Macro",COUNTIFS($U$5:$U$1000,ROW(),$V$5:$V$1000,"Sub"),"")</f>
        <v/>
      </c>
      <c r="X20" s="62">
        <f>IF($V20="","",IF(ISNUMBER($G20),1,IFERROR(LOOKUP(2,1/($I20:$L20&lt;&gt;""),$I20:$L20),0)))</f>
        <v/>
      </c>
      <c r="Y20" s="62">
        <f>IF($V20="","",IF(AND(ISNUMBER($G20),$G20&lt;=IF($S20=MesCiclo,InicioCiclo,$S20+MOD(2-WEEKDAY($S20),7))+6),1,IF(ISNUMBER($I20),$I20,0)))</f>
        <v/>
      </c>
      <c r="Z20" s="62">
        <f>IF($V20="","",IF(AND(ISNUMBER($G20),$G20&lt;=IF($S20=MesCiclo,InicioCiclo,$S20+MOD(2-WEEKDAY($S20),7))+13),1,IF(ISNUMBER($J20),$J20,$Y20)))</f>
        <v/>
      </c>
      <c r="AA20" s="62">
        <f>IF($V20="","",IF(AND(ISNUMBER($G20),$G20&lt;=IF($S20=MesCiclo,InicioCiclo,$S20+MOD(2-WEEKDAY($S20),7))+20),1,IF(ISNUMBER($K20),$K20,$Z20)))</f>
        <v/>
      </c>
      <c r="AB20" s="62">
        <f>IF($V20="","",IF(AND(ISNUMBER($G20),$G20&lt;=IF($S20=MesCiclo,InicioCiclo,$S20+MOD(2-WEEKDAY($S20),7))+27),1,IF(ISNUMBER($L20),$L20,$AA20)))</f>
        <v/>
      </c>
      <c r="AC20" s="62">
        <f>IF($V20="","",IF(AND(ISNUMBER($G20),$G20&lt;=IF($S20=MesCiclo,InicioCiclo,$S20+MOD(2-WEEKDAY($S20),7))+6),1,IF(N($W20)&gt;0,AVERAGEIFS($Y$5:$Y$1000,$U$5:$U$1000,ROW(),$V$5:$V$1000,"Sub"),$Y20)))</f>
        <v/>
      </c>
      <c r="AD20" s="62">
        <f>IF($V20="","",IF(AND(ISNUMBER($G20),$G20&lt;=IF($S20=MesCiclo,InicioCiclo,$S20+MOD(2-WEEKDAY($S20),7))+13),1,IF(N($W20)&gt;0,AVERAGEIFS($Z$5:$Z$1000,$U$5:$U$1000,ROW(),$V$5:$V$1000,"Sub"),$Z20)))</f>
        <v/>
      </c>
      <c r="AE20" s="62">
        <f>IF($V20="","",IF(AND(ISNUMBER($G20),$G20&lt;=IF($S20=MesCiclo,InicioCiclo,$S20+MOD(2-WEEKDAY($S20),7))+20),1,IF(N($W20)&gt;0,AVERAGEIFS($AA$5:$AA$1000,$U$5:$U$1000,ROW(),$V$5:$V$1000,"Sub"),$AA20)))</f>
        <v/>
      </c>
      <c r="AF20" s="62">
        <f>IF($V20="","",IF(AND(ISNUMBER($G20),$G20&lt;=IF($S20=MesCiclo,InicioCiclo,$S20+MOD(2-WEEKDAY($S20),7))+27),1,IF(N($W20)&gt;0,AVERAGEIFS($AB$5:$AB$1000,$U$5:$U$1000,ROW(),$V$5:$V$1000,"Sub"),$AB20)))</f>
        <v/>
      </c>
      <c r="AG20" s="62">
        <f>IF($V20&lt;&gt;"Macro","",IF(COUNTIFS($S$5:$S$1000,$S20,$V$5:$V$1000,"Macro",$H$5:$H$1000,"&gt;0")=0,1/COUNTIFS($S$5:$S$1000,$S20,$V$5:$V$1000,"Macro"),IF(AND(ISNUMBER($H20),N($H20)&gt;0),$H20,SUMIFS($H$5:$H$1000,$S$5:$S$1000,$S20,$V$5:$V$1000,"Macro")/COUNTIFS($S$5:$S$1000,$S20,$V$5:$V$1000,"Macro",$H$5:$H$1000,"&gt;0"))/(COUNTIFS($S$5:$S$1000,$S20,$V$5:$V$1000,"Macro")*SUMIFS($H$5:$H$1000,$S$5:$S$1000,$S20,$V$5:$V$1000,"Macro")/COUNTIFS($S$5:$S$1000,$S20,$V$5:$V$1000,"Macro",$H$5:$H$1000,"&gt;0"))))</f>
        <v/>
      </c>
      <c r="AH20" s="62" t="n"/>
      <c r="AI20" s="62" t="n"/>
      <c r="AJ20" s="62" t="n"/>
      <c r="AK20" s="62" t="n"/>
      <c r="AL20" s="62">
        <f>IF(LEFT($C20,11)="[Jefatura] ",IFERROR(MATCH("Riesgo Operacional|"&amp;MID($C20,12,500),rDname_ADM,0),0),"")</f>
        <v/>
      </c>
      <c r="AM20" s="62">
        <f>IF(N($AL20)&gt;0,INDEX(rIni_ADM,$AL20),IF(ISNUMBER($E20),$E20,""))</f>
        <v/>
      </c>
      <c r="AN20" s="62">
        <f>IF(N($AL20)&gt;0,INDEX(rLim_ADM,$AL20),IF(ISNUMBER($F20),$F20,""))</f>
        <v/>
      </c>
    </row>
    <row r="21">
      <c r="A21" s="56">
        <f>IF(NOT((COUNTA($B21:$D21)+COUNTA($G21:$L21)+COUNTA($Q21))&gt;0),"",IF($V21="Macro",COUNTIFS($V$5:$V21,"Macro",$S$5:$S21,$S21),IF(N($U21)=0,"?",COUNTIFS(INDEX($V$5:$V$1000,1):INDEX($V$5:$V$1000,$U21-4),"Macro",INDEX($S$5:$S$1000,1):INDEX($S$5:$S$1000,$U21-4),INDEX($S$5:$S$1000,$U21-4))&amp;"."&amp;COUNTIFS($U$5:$U21,$U21,$V$5:$V21,"Sub"))))</f>
        <v/>
      </c>
      <c r="B21" s="57" t="n"/>
      <c r="C21" s="58" t="n"/>
      <c r="D21" s="58" t="n"/>
      <c r="E21" s="59">
        <f>IF(N($AL21)&gt;0,INDEX(rIni_ADM,$AL21),"")</f>
        <v/>
      </c>
      <c r="F21" s="59">
        <f>IF(N($AL21)&gt;0,INDEX(rLim_ADM,$AL21),"")</f>
        <v/>
      </c>
      <c r="G21" s="59" t="n"/>
      <c r="H21" s="60" t="n"/>
      <c r="I21" s="60" t="n"/>
      <c r="J21" s="60" t="n"/>
      <c r="K21" s="60" t="n"/>
      <c r="L21" s="60" t="n"/>
      <c r="M21" s="61">
        <f>IF(NOT((COUNTA($B21:$D21)+COUNTA($G21:$L21)+COUNTA($Q21))&gt;0),"",IF(ISNUMBER($G21),1,IF(N($W21)&gt;0,AVERAGEIFS($X$5:$X$1000,$U$5:$U$1000,ROW(),$V$5:$V$1000,"Sub"),$X21)))</f>
        <v/>
      </c>
      <c r="N21" s="56">
        <f>IF($M21="","",IF($M21&gt;=1,"Completado",IF($M21&gt;0,"En curso","Pendiente")))</f>
        <v/>
      </c>
      <c r="O21" s="56">
        <f>IF(NOT((COUNTA($B21:$D21)+COUNTA($G21:$L21)+COUNTA($Q21))&gt;0),"",IF(ISNUMBER($G21),IF(AND(ISNUMBER($AN21),$G21&gt;$AN21),"Cumplida con "&amp;($G21-$AN21)&amp;IF($G21-$AN21=1," día"," días")&amp;" de retraso","Cumplida"),IF(N($M21)&gt;=1,"Cumplida",IF(NOT(ISNUMBER($AN21)),"Sin fecha límite",IF($AN21&lt;FechaRef,"Vencida hace "&amp;(FechaRef-$AN21)&amp;IF(FechaRef-$AN21=1," día"," días"),IF($AN21=FechaRef,"Vence hoy",IF($AN21-FechaRef&lt;=DiasAlerta,"Vence en "&amp;($AN21-FechaRef)&amp;IF($AN21-FechaRef=1," día"," días"),"En plazo")))))))</f>
        <v/>
      </c>
      <c r="P21" s="62" t="n"/>
      <c r="Q21" s="58" t="n"/>
      <c r="R21" s="63">
        <f>IF(NOT((COUNTA($B21:$D21)+COUNTA($G21:$L21)+COUNTA($Q21))&gt;0),"",IF((IF($C21="","Falta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",""))="","✔ OK","⚠ "&amp;LEFT(IF($C21="","Falta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",""),LEN(IF($C21="","Falta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",""))-3)))</f>
        <v/>
      </c>
      <c r="S21" s="64">
        <f>IF(NOT((COUNTA($B21:$D21)+COUNTA($G21:$L21)+COUNTA($Q21))&gt;0),"",IF(AND($V21="Sub",N($U21)&gt;0),IF(ISNUMBER(INDEX($AM$5:$AM$1000,$U21-4)),DATE(YEAR(INDEX($AM$5:$AM$1000,$U21-4)),MONTH(INDEX($AM$5:$AM$1000,$U21-4)),1),IF(ISNUMBER(INDEX($AN$5:$AN$1000,$U21-4)),DATE(YEAR(INDEX($AN$5:$AN$1000,$U21-4)),MONTH(INDEX($AN$5:$AN$1000,$U21-4)),1),MesCiclo)),IF(ISNUMBER($AM21),DATE(YEAR($AM21),MONTH($AM21),1),IF(ISNUMBER($AN21),DATE(YEAR($AN21),MONTH($AN21),1),MesCiclo))))</f>
        <v/>
      </c>
      <c r="T21" s="62">
        <f>IF(OR($S21="",$S21&lt;&gt;MesCiclo),"",COUNTIF($S$5:$S21,MesCiclo))</f>
        <v/>
      </c>
      <c r="U21" s="62">
        <f>IF($V21="","",IF($V21="Macro",ROW(),IFERROR(LOOKUP(2,1/($V$5:$V21="Macro"),ROW($V$5:$V21)),0)))</f>
        <v/>
      </c>
      <c r="V21" s="62">
        <f>IF(NOT((COUNTA($B21:$D21)+COUNTA($G21:$L21)+COUNTA($Q21))&gt;0),"",IF($B21="Subactividad","Sub","Macro"))</f>
        <v/>
      </c>
      <c r="W21" s="62">
        <f>IF($V21="Macro",COUNTIFS($U$5:$U$1000,ROW(),$V$5:$V$1000,"Sub"),"")</f>
        <v/>
      </c>
      <c r="X21" s="62">
        <f>IF($V21="","",IF(ISNUMBER($G21),1,IFERROR(LOOKUP(2,1/($I21:$L21&lt;&gt;""),$I21:$L21),0)))</f>
        <v/>
      </c>
      <c r="Y21" s="62">
        <f>IF($V21="","",IF(AND(ISNUMBER($G21),$G21&lt;=IF($S21=MesCiclo,InicioCiclo,$S21+MOD(2-WEEKDAY($S21),7))+6),1,IF(ISNUMBER($I21),$I21,0)))</f>
        <v/>
      </c>
      <c r="Z21" s="62">
        <f>IF($V21="","",IF(AND(ISNUMBER($G21),$G21&lt;=IF($S21=MesCiclo,InicioCiclo,$S21+MOD(2-WEEKDAY($S21),7))+13),1,IF(ISNUMBER($J21),$J21,$Y21)))</f>
        <v/>
      </c>
      <c r="AA21" s="62">
        <f>IF($V21="","",IF(AND(ISNUMBER($G21),$G21&lt;=IF($S21=MesCiclo,InicioCiclo,$S21+MOD(2-WEEKDAY($S21),7))+20),1,IF(ISNUMBER($K21),$K21,$Z21)))</f>
        <v/>
      </c>
      <c r="AB21" s="62">
        <f>IF($V21="","",IF(AND(ISNUMBER($G21),$G21&lt;=IF($S21=MesCiclo,InicioCiclo,$S21+MOD(2-WEEKDAY($S21),7))+27),1,IF(ISNUMBER($L21),$L21,$AA21)))</f>
        <v/>
      </c>
      <c r="AC21" s="62">
        <f>IF($V21="","",IF(AND(ISNUMBER($G21),$G21&lt;=IF($S21=MesCiclo,InicioCiclo,$S21+MOD(2-WEEKDAY($S21),7))+6),1,IF(N($W21)&gt;0,AVERAGEIFS($Y$5:$Y$1000,$U$5:$U$1000,ROW(),$V$5:$V$1000,"Sub"),$Y21)))</f>
        <v/>
      </c>
      <c r="AD21" s="62">
        <f>IF($V21="","",IF(AND(ISNUMBER($G21),$G21&lt;=IF($S21=MesCiclo,InicioCiclo,$S21+MOD(2-WEEKDAY($S21),7))+13),1,IF(N($W21)&gt;0,AVERAGEIFS($Z$5:$Z$1000,$U$5:$U$1000,ROW(),$V$5:$V$1000,"Sub"),$Z21)))</f>
        <v/>
      </c>
      <c r="AE21" s="62">
        <f>IF($V21="","",IF(AND(ISNUMBER($G21),$G21&lt;=IF($S21=MesCiclo,InicioCiclo,$S21+MOD(2-WEEKDAY($S21),7))+20),1,IF(N($W21)&gt;0,AVERAGEIFS($AA$5:$AA$1000,$U$5:$U$1000,ROW(),$V$5:$V$1000,"Sub"),$AA21)))</f>
        <v/>
      </c>
      <c r="AF21" s="62">
        <f>IF($V21="","",IF(AND(ISNUMBER($G21),$G21&lt;=IF($S21=MesCiclo,InicioCiclo,$S21+MOD(2-WEEKDAY($S21),7))+27),1,IF(N($W21)&gt;0,AVERAGEIFS($AB$5:$AB$1000,$U$5:$U$1000,ROW(),$V$5:$V$1000,"Sub"),$AB21)))</f>
        <v/>
      </c>
      <c r="AG21" s="62">
        <f>IF($V21&lt;&gt;"Macro","",IF(COUNTIFS($S$5:$S$1000,$S21,$V$5:$V$1000,"Macro",$H$5:$H$1000,"&gt;0")=0,1/COUNTIFS($S$5:$S$1000,$S21,$V$5:$V$1000,"Macro"),IF(AND(ISNUMBER($H21),N($H21)&gt;0),$H21,SUMIFS($H$5:$H$1000,$S$5:$S$1000,$S21,$V$5:$V$1000,"Macro")/COUNTIFS($S$5:$S$1000,$S21,$V$5:$V$1000,"Macro",$H$5:$H$1000,"&gt;0"))/(COUNTIFS($S$5:$S$1000,$S21,$V$5:$V$1000,"Macro")*SUMIFS($H$5:$H$1000,$S$5:$S$1000,$S21,$V$5:$V$1000,"Macro")/COUNTIFS($S$5:$S$1000,$S21,$V$5:$V$1000,"Macro",$H$5:$H$1000,"&gt;0"))))</f>
        <v/>
      </c>
      <c r="AH21" s="62" t="n"/>
      <c r="AI21" s="62" t="n"/>
      <c r="AJ21" s="62" t="n"/>
      <c r="AK21" s="62" t="n"/>
      <c r="AL21" s="62">
        <f>IF(LEFT($C21,11)="[Jefatura] ",IFERROR(MATCH("Riesgo Operacional|"&amp;MID($C21,12,500),rDname_ADM,0),0),"")</f>
        <v/>
      </c>
      <c r="AM21" s="62">
        <f>IF(N($AL21)&gt;0,INDEX(rIni_ADM,$AL21),IF(ISNUMBER($E21),$E21,""))</f>
        <v/>
      </c>
      <c r="AN21" s="62">
        <f>IF(N($AL21)&gt;0,INDEX(rLim_ADM,$AL21),IF(ISNUMBER($F21),$F21,""))</f>
        <v/>
      </c>
    </row>
    <row r="22">
      <c r="A22" s="56">
        <f>IF(NOT((COUNTA($B22:$D22)+COUNTA($G22:$L22)+COUNTA($Q22))&gt;0),"",IF($V22="Macro",COUNTIFS($V$5:$V22,"Macro",$S$5:$S22,$S22),IF(N($U22)=0,"?",COUNTIFS(INDEX($V$5:$V$1000,1):INDEX($V$5:$V$1000,$U22-4),"Macro",INDEX($S$5:$S$1000,1):INDEX($S$5:$S$1000,$U22-4),INDEX($S$5:$S$1000,$U22-4))&amp;"."&amp;COUNTIFS($U$5:$U22,$U22,$V$5:$V22,"Sub"))))</f>
        <v/>
      </c>
      <c r="B22" s="57" t="n"/>
      <c r="C22" s="58" t="n"/>
      <c r="D22" s="58" t="n"/>
      <c r="E22" s="59">
        <f>IF(N($AL22)&gt;0,INDEX(rIni_ADM,$AL22),"")</f>
        <v/>
      </c>
      <c r="F22" s="59">
        <f>IF(N($AL22)&gt;0,INDEX(rLim_ADM,$AL22),"")</f>
        <v/>
      </c>
      <c r="G22" s="59" t="n"/>
      <c r="H22" s="60" t="n"/>
      <c r="I22" s="60" t="n"/>
      <c r="J22" s="60" t="n"/>
      <c r="K22" s="60" t="n"/>
      <c r="L22" s="60" t="n"/>
      <c r="M22" s="61">
        <f>IF(NOT((COUNTA($B22:$D22)+COUNTA($G22:$L22)+COUNTA($Q22))&gt;0),"",IF(ISNUMBER($G22),1,IF(N($W22)&gt;0,AVERAGEIFS($X$5:$X$1000,$U$5:$U$1000,ROW(),$V$5:$V$1000,"Sub"),$X22)))</f>
        <v/>
      </c>
      <c r="N22" s="56">
        <f>IF($M22="","",IF($M22&gt;=1,"Completado",IF($M22&gt;0,"En curso","Pendiente")))</f>
        <v/>
      </c>
      <c r="O22" s="56">
        <f>IF(NOT((COUNTA($B22:$D22)+COUNTA($G22:$L22)+COUNTA($Q22))&gt;0),"",IF(ISNUMBER($G22),IF(AND(ISNUMBER($AN22),$G22&gt;$AN22),"Cumplida con "&amp;($G22-$AN22)&amp;IF($G22-$AN22=1," día"," días")&amp;" de retraso","Cumplida"),IF(N($M22)&gt;=1,"Cumplida",IF(NOT(ISNUMBER($AN22)),"Sin fecha límite",IF($AN22&lt;FechaRef,"Vencida hace "&amp;(FechaRef-$AN22)&amp;IF(FechaRef-$AN22=1," día"," días"),IF($AN22=FechaRef,"Vence hoy",IF($AN22-FechaRef&lt;=DiasAlerta,"Vence en "&amp;($AN22-FechaRef)&amp;IF($AN22-FechaRef=1," día"," días"),"En plazo")))))))</f>
        <v/>
      </c>
      <c r="P22" s="62" t="n"/>
      <c r="Q22" s="58" t="n"/>
      <c r="R22" s="63">
        <f>IF(NOT((COUNTA($B22:$D22)+COUNTA($G22:$L22)+COUNTA($Q22))&gt;0),"",IF((IF($C22="","Falta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",""))="","✔ OK","⚠ "&amp;LEFT(IF($C22="","Falta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",""),LEN(IF($C22="","Falta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",""))-3)))</f>
        <v/>
      </c>
      <c r="S22" s="64">
        <f>IF(NOT((COUNTA($B22:$D22)+COUNTA($G22:$L22)+COUNTA($Q22))&gt;0),"",IF(AND($V22="Sub",N($U22)&gt;0),IF(ISNUMBER(INDEX($AM$5:$AM$1000,$U22-4)),DATE(YEAR(INDEX($AM$5:$AM$1000,$U22-4)),MONTH(INDEX($AM$5:$AM$1000,$U22-4)),1),IF(ISNUMBER(INDEX($AN$5:$AN$1000,$U22-4)),DATE(YEAR(INDEX($AN$5:$AN$1000,$U22-4)),MONTH(INDEX($AN$5:$AN$1000,$U22-4)),1),MesCiclo)),IF(ISNUMBER($AM22),DATE(YEAR($AM22),MONTH($AM22),1),IF(ISNUMBER($AN22),DATE(YEAR($AN22),MONTH($AN22),1),MesCiclo))))</f>
        <v/>
      </c>
      <c r="T22" s="62">
        <f>IF(OR($S22="",$S22&lt;&gt;MesCiclo),"",COUNTIF($S$5:$S22,MesCiclo))</f>
        <v/>
      </c>
      <c r="U22" s="62">
        <f>IF($V22="","",IF($V22="Macro",ROW(),IFERROR(LOOKUP(2,1/($V$5:$V22="Macro"),ROW($V$5:$V22)),0)))</f>
        <v/>
      </c>
      <c r="V22" s="62">
        <f>IF(NOT((COUNTA($B22:$D22)+COUNTA($G22:$L22)+COUNTA($Q22))&gt;0),"",IF($B22="Subactividad","Sub","Macro"))</f>
        <v/>
      </c>
      <c r="W22" s="62">
        <f>IF($V22="Macro",COUNTIFS($U$5:$U$1000,ROW(),$V$5:$V$1000,"Sub"),"")</f>
        <v/>
      </c>
      <c r="X22" s="62">
        <f>IF($V22="","",IF(ISNUMBER($G22),1,IFERROR(LOOKUP(2,1/($I22:$L22&lt;&gt;""),$I22:$L22),0)))</f>
        <v/>
      </c>
      <c r="Y22" s="62">
        <f>IF($V22="","",IF(AND(ISNUMBER($G22),$G22&lt;=IF($S22=MesCiclo,InicioCiclo,$S22+MOD(2-WEEKDAY($S22),7))+6),1,IF(ISNUMBER($I22),$I22,0)))</f>
        <v/>
      </c>
      <c r="Z22" s="62">
        <f>IF($V22="","",IF(AND(ISNUMBER($G22),$G22&lt;=IF($S22=MesCiclo,InicioCiclo,$S22+MOD(2-WEEKDAY($S22),7))+13),1,IF(ISNUMBER($J22),$J22,$Y22)))</f>
        <v/>
      </c>
      <c r="AA22" s="62">
        <f>IF($V22="","",IF(AND(ISNUMBER($G22),$G22&lt;=IF($S22=MesCiclo,InicioCiclo,$S22+MOD(2-WEEKDAY($S22),7))+20),1,IF(ISNUMBER($K22),$K22,$Z22)))</f>
        <v/>
      </c>
      <c r="AB22" s="62">
        <f>IF($V22="","",IF(AND(ISNUMBER($G22),$G22&lt;=IF($S22=MesCiclo,InicioCiclo,$S22+MOD(2-WEEKDAY($S22),7))+27),1,IF(ISNUMBER($L22),$L22,$AA22)))</f>
        <v/>
      </c>
      <c r="AC22" s="62">
        <f>IF($V22="","",IF(AND(ISNUMBER($G22),$G22&lt;=IF($S22=MesCiclo,InicioCiclo,$S22+MOD(2-WEEKDAY($S22),7))+6),1,IF(N($W22)&gt;0,AVERAGEIFS($Y$5:$Y$1000,$U$5:$U$1000,ROW(),$V$5:$V$1000,"Sub"),$Y22)))</f>
        <v/>
      </c>
      <c r="AD22" s="62">
        <f>IF($V22="","",IF(AND(ISNUMBER($G22),$G22&lt;=IF($S22=MesCiclo,InicioCiclo,$S22+MOD(2-WEEKDAY($S22),7))+13),1,IF(N($W22)&gt;0,AVERAGEIFS($Z$5:$Z$1000,$U$5:$U$1000,ROW(),$V$5:$V$1000,"Sub"),$Z22)))</f>
        <v/>
      </c>
      <c r="AE22" s="62">
        <f>IF($V22="","",IF(AND(ISNUMBER($G22),$G22&lt;=IF($S22=MesCiclo,InicioCiclo,$S22+MOD(2-WEEKDAY($S22),7))+20),1,IF(N($W22)&gt;0,AVERAGEIFS($AA$5:$AA$1000,$U$5:$U$1000,ROW(),$V$5:$V$1000,"Sub"),$AA22)))</f>
        <v/>
      </c>
      <c r="AF22" s="62">
        <f>IF($V22="","",IF(AND(ISNUMBER($G22),$G22&lt;=IF($S22=MesCiclo,InicioCiclo,$S22+MOD(2-WEEKDAY($S22),7))+27),1,IF(N($W22)&gt;0,AVERAGEIFS($AB$5:$AB$1000,$U$5:$U$1000,ROW(),$V$5:$V$1000,"Sub"),$AB22)))</f>
        <v/>
      </c>
      <c r="AG22" s="62">
        <f>IF($V22&lt;&gt;"Macro","",IF(COUNTIFS($S$5:$S$1000,$S22,$V$5:$V$1000,"Macro",$H$5:$H$1000,"&gt;0")=0,1/COUNTIFS($S$5:$S$1000,$S22,$V$5:$V$1000,"Macro"),IF(AND(ISNUMBER($H22),N($H22)&gt;0),$H22,SUMIFS($H$5:$H$1000,$S$5:$S$1000,$S22,$V$5:$V$1000,"Macro")/COUNTIFS($S$5:$S$1000,$S22,$V$5:$V$1000,"Macro",$H$5:$H$1000,"&gt;0"))/(COUNTIFS($S$5:$S$1000,$S22,$V$5:$V$1000,"Macro")*SUMIFS($H$5:$H$1000,$S$5:$S$1000,$S22,$V$5:$V$1000,"Macro")/COUNTIFS($S$5:$S$1000,$S22,$V$5:$V$1000,"Macro",$H$5:$H$1000,"&gt;0"))))</f>
        <v/>
      </c>
      <c r="AH22" s="62" t="n"/>
      <c r="AI22" s="62" t="n"/>
      <c r="AJ22" s="62" t="n"/>
      <c r="AK22" s="62" t="n"/>
      <c r="AL22" s="62">
        <f>IF(LEFT($C22,11)="[Jefatura] ",IFERROR(MATCH("Riesgo Operacional|"&amp;MID($C22,12,500),rDname_ADM,0),0),"")</f>
        <v/>
      </c>
      <c r="AM22" s="62">
        <f>IF(N($AL22)&gt;0,INDEX(rIni_ADM,$AL22),IF(ISNUMBER($E22),$E22,""))</f>
        <v/>
      </c>
      <c r="AN22" s="62">
        <f>IF(N($AL22)&gt;0,INDEX(rLim_ADM,$AL22),IF(ISNUMBER($F22),$F22,""))</f>
        <v/>
      </c>
    </row>
    <row r="23">
      <c r="A23" s="56">
        <f>IF(NOT((COUNTA($B23:$D23)+COUNTA($G23:$L23)+COUNTA($Q23))&gt;0),"",IF($V23="Macro",COUNTIFS($V$5:$V23,"Macro",$S$5:$S23,$S23),IF(N($U23)=0,"?",COUNTIFS(INDEX($V$5:$V$1000,1):INDEX($V$5:$V$1000,$U23-4),"Macro",INDEX($S$5:$S$1000,1):INDEX($S$5:$S$1000,$U23-4),INDEX($S$5:$S$1000,$U23-4))&amp;"."&amp;COUNTIFS($U$5:$U23,$U23,$V$5:$V23,"Sub"))))</f>
        <v/>
      </c>
      <c r="B23" s="57" t="n"/>
      <c r="C23" s="58" t="n"/>
      <c r="D23" s="58" t="n"/>
      <c r="E23" s="59">
        <f>IF(N($AL23)&gt;0,INDEX(rIni_ADM,$AL23),"")</f>
        <v/>
      </c>
      <c r="F23" s="59">
        <f>IF(N($AL23)&gt;0,INDEX(rLim_ADM,$AL23),"")</f>
        <v/>
      </c>
      <c r="G23" s="59" t="n"/>
      <c r="H23" s="60" t="n"/>
      <c r="I23" s="60" t="n"/>
      <c r="J23" s="60" t="n"/>
      <c r="K23" s="60" t="n"/>
      <c r="L23" s="60" t="n"/>
      <c r="M23" s="61">
        <f>IF(NOT((COUNTA($B23:$D23)+COUNTA($G23:$L23)+COUNTA($Q23))&gt;0),"",IF(ISNUMBER($G23),1,IF(N($W23)&gt;0,AVERAGEIFS($X$5:$X$1000,$U$5:$U$1000,ROW(),$V$5:$V$1000,"Sub"),$X23)))</f>
        <v/>
      </c>
      <c r="N23" s="56">
        <f>IF($M23="","",IF($M23&gt;=1,"Completado",IF($M23&gt;0,"En curso","Pendiente")))</f>
        <v/>
      </c>
      <c r="O23" s="56">
        <f>IF(NOT((COUNTA($B23:$D23)+COUNTA($G23:$L23)+COUNTA($Q23))&gt;0),"",IF(ISNUMBER($G23),IF(AND(ISNUMBER($AN23),$G23&gt;$AN23),"Cumplida con "&amp;($G23-$AN23)&amp;IF($G23-$AN23=1," día"," días")&amp;" de retraso","Cumplida"),IF(N($M23)&gt;=1,"Cumplida",IF(NOT(ISNUMBER($AN23)),"Sin fecha límite",IF($AN23&lt;FechaRef,"Vencida hace "&amp;(FechaRef-$AN23)&amp;IF(FechaRef-$AN23=1," día"," días"),IF($AN23=FechaRef,"Vence hoy",IF($AN23-FechaRef&lt;=DiasAlerta,"Vence en "&amp;($AN23-FechaRef)&amp;IF($AN23-FechaRef=1," día"," días"),"En plazo")))))))</f>
        <v/>
      </c>
      <c r="P23" s="62" t="n"/>
      <c r="Q23" s="58" t="n"/>
      <c r="R23" s="63">
        <f>IF(NOT((COUNTA($B23:$D23)+COUNTA($G23:$L23)+COUNTA($Q23))&gt;0),"",IF((IF($C23="","Falta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",""))="","✔ OK","⚠ "&amp;LEFT(IF($C23="","Falta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",""),LEN(IF($C23="","Falta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",""))-3)))</f>
        <v/>
      </c>
      <c r="S23" s="64">
        <f>IF(NOT((COUNTA($B23:$D23)+COUNTA($G23:$L23)+COUNTA($Q23))&gt;0),"",IF(AND($V23="Sub",N($U23)&gt;0),IF(ISNUMBER(INDEX($AM$5:$AM$1000,$U23-4)),DATE(YEAR(INDEX($AM$5:$AM$1000,$U23-4)),MONTH(INDEX($AM$5:$AM$1000,$U23-4)),1),IF(ISNUMBER(INDEX($AN$5:$AN$1000,$U23-4)),DATE(YEAR(INDEX($AN$5:$AN$1000,$U23-4)),MONTH(INDEX($AN$5:$AN$1000,$U23-4)),1),MesCiclo)),IF(ISNUMBER($AM23),DATE(YEAR($AM23),MONTH($AM23),1),IF(ISNUMBER($AN23),DATE(YEAR($AN23),MONTH($AN23),1),MesCiclo))))</f>
        <v/>
      </c>
      <c r="T23" s="62">
        <f>IF(OR($S23="",$S23&lt;&gt;MesCiclo),"",COUNTIF($S$5:$S23,MesCiclo))</f>
        <v/>
      </c>
      <c r="U23" s="62">
        <f>IF($V23="","",IF($V23="Macro",ROW(),IFERROR(LOOKUP(2,1/($V$5:$V23="Macro"),ROW($V$5:$V23)),0)))</f>
        <v/>
      </c>
      <c r="V23" s="62">
        <f>IF(NOT((COUNTA($B23:$D23)+COUNTA($G23:$L23)+COUNTA($Q23))&gt;0),"",IF($B23="Subactividad","Sub","Macro"))</f>
        <v/>
      </c>
      <c r="W23" s="62">
        <f>IF($V23="Macro",COUNTIFS($U$5:$U$1000,ROW(),$V$5:$V$1000,"Sub"),"")</f>
        <v/>
      </c>
      <c r="X23" s="62">
        <f>IF($V23="","",IF(ISNUMBER($G23),1,IFERROR(LOOKUP(2,1/($I23:$L23&lt;&gt;""),$I23:$L23),0)))</f>
        <v/>
      </c>
      <c r="Y23" s="62">
        <f>IF($V23="","",IF(AND(ISNUMBER($G23),$G23&lt;=IF($S23=MesCiclo,InicioCiclo,$S23+MOD(2-WEEKDAY($S23),7))+6),1,IF(ISNUMBER($I23),$I23,0)))</f>
        <v/>
      </c>
      <c r="Z23" s="62">
        <f>IF($V23="","",IF(AND(ISNUMBER($G23),$G23&lt;=IF($S23=MesCiclo,InicioCiclo,$S23+MOD(2-WEEKDAY($S23),7))+13),1,IF(ISNUMBER($J23),$J23,$Y23)))</f>
        <v/>
      </c>
      <c r="AA23" s="62">
        <f>IF($V23="","",IF(AND(ISNUMBER($G23),$G23&lt;=IF($S23=MesCiclo,InicioCiclo,$S23+MOD(2-WEEKDAY($S23),7))+20),1,IF(ISNUMBER($K23),$K23,$Z23)))</f>
        <v/>
      </c>
      <c r="AB23" s="62">
        <f>IF($V23="","",IF(AND(ISNUMBER($G23),$G23&lt;=IF($S23=MesCiclo,InicioCiclo,$S23+MOD(2-WEEKDAY($S23),7))+27),1,IF(ISNUMBER($L23),$L23,$AA23)))</f>
        <v/>
      </c>
      <c r="AC23" s="62">
        <f>IF($V23="","",IF(AND(ISNUMBER($G23),$G23&lt;=IF($S23=MesCiclo,InicioCiclo,$S23+MOD(2-WEEKDAY($S23),7))+6),1,IF(N($W23)&gt;0,AVERAGEIFS($Y$5:$Y$1000,$U$5:$U$1000,ROW(),$V$5:$V$1000,"Sub"),$Y23)))</f>
        <v/>
      </c>
      <c r="AD23" s="62">
        <f>IF($V23="","",IF(AND(ISNUMBER($G23),$G23&lt;=IF($S23=MesCiclo,InicioCiclo,$S23+MOD(2-WEEKDAY($S23),7))+13),1,IF(N($W23)&gt;0,AVERAGEIFS($Z$5:$Z$1000,$U$5:$U$1000,ROW(),$V$5:$V$1000,"Sub"),$Z23)))</f>
        <v/>
      </c>
      <c r="AE23" s="62">
        <f>IF($V23="","",IF(AND(ISNUMBER($G23),$G23&lt;=IF($S23=MesCiclo,InicioCiclo,$S23+MOD(2-WEEKDAY($S23),7))+20),1,IF(N($W23)&gt;0,AVERAGEIFS($AA$5:$AA$1000,$U$5:$U$1000,ROW(),$V$5:$V$1000,"Sub"),$AA23)))</f>
        <v/>
      </c>
      <c r="AF23" s="62">
        <f>IF($V23="","",IF(AND(ISNUMBER($G23),$G23&lt;=IF($S23=MesCiclo,InicioCiclo,$S23+MOD(2-WEEKDAY($S23),7))+27),1,IF(N($W23)&gt;0,AVERAGEIFS($AB$5:$AB$1000,$U$5:$U$1000,ROW(),$V$5:$V$1000,"Sub"),$AB23)))</f>
        <v/>
      </c>
      <c r="AG23" s="62">
        <f>IF($V23&lt;&gt;"Macro","",IF(COUNTIFS($S$5:$S$1000,$S23,$V$5:$V$1000,"Macro",$H$5:$H$1000,"&gt;0")=0,1/COUNTIFS($S$5:$S$1000,$S23,$V$5:$V$1000,"Macro"),IF(AND(ISNUMBER($H23),N($H23)&gt;0),$H23,SUMIFS($H$5:$H$1000,$S$5:$S$1000,$S23,$V$5:$V$1000,"Macro")/COUNTIFS($S$5:$S$1000,$S23,$V$5:$V$1000,"Macro",$H$5:$H$1000,"&gt;0"))/(COUNTIFS($S$5:$S$1000,$S23,$V$5:$V$1000,"Macro")*SUMIFS($H$5:$H$1000,$S$5:$S$1000,$S23,$V$5:$V$1000,"Macro")/COUNTIFS($S$5:$S$1000,$S23,$V$5:$V$1000,"Macro",$H$5:$H$1000,"&gt;0"))))</f>
        <v/>
      </c>
      <c r="AH23" s="62" t="n"/>
      <c r="AI23" s="62" t="n"/>
      <c r="AJ23" s="62" t="n"/>
      <c r="AK23" s="62" t="n"/>
      <c r="AL23" s="62">
        <f>IF(LEFT($C23,11)="[Jefatura] ",IFERROR(MATCH("Riesgo Operacional|"&amp;MID($C23,12,500),rDname_ADM,0),0),"")</f>
        <v/>
      </c>
      <c r="AM23" s="62">
        <f>IF(N($AL23)&gt;0,INDEX(rIni_ADM,$AL23),IF(ISNUMBER($E23),$E23,""))</f>
        <v/>
      </c>
      <c r="AN23" s="62">
        <f>IF(N($AL23)&gt;0,INDEX(rLim_ADM,$AL23),IF(ISNUMBER($F23),$F23,""))</f>
        <v/>
      </c>
    </row>
    <row r="24">
      <c r="A24" s="56">
        <f>IF(NOT((COUNTA($B24:$D24)+COUNTA($G24:$L24)+COUNTA($Q24))&gt;0),"",IF($V24="Macro",COUNTIFS($V$5:$V24,"Macro",$S$5:$S24,$S24),IF(N($U24)=0,"?",COUNTIFS(INDEX($V$5:$V$1000,1):INDEX($V$5:$V$1000,$U24-4),"Macro",INDEX($S$5:$S$1000,1):INDEX($S$5:$S$1000,$U24-4),INDEX($S$5:$S$1000,$U24-4))&amp;"."&amp;COUNTIFS($U$5:$U24,$U24,$V$5:$V24,"Sub"))))</f>
        <v/>
      </c>
      <c r="B24" s="57" t="n"/>
      <c r="C24" s="58" t="n"/>
      <c r="D24" s="58" t="n"/>
      <c r="E24" s="59">
        <f>IF(N($AL24)&gt;0,INDEX(rIni_ADM,$AL24),"")</f>
        <v/>
      </c>
      <c r="F24" s="59">
        <f>IF(N($AL24)&gt;0,INDEX(rLim_ADM,$AL24),"")</f>
        <v/>
      </c>
      <c r="G24" s="59" t="n"/>
      <c r="H24" s="60" t="n"/>
      <c r="I24" s="60" t="n"/>
      <c r="J24" s="60" t="n"/>
      <c r="K24" s="60" t="n"/>
      <c r="L24" s="60" t="n"/>
      <c r="M24" s="61">
        <f>IF(NOT((COUNTA($B24:$D24)+COUNTA($G24:$L24)+COUNTA($Q24))&gt;0),"",IF(ISNUMBER($G24),1,IF(N($W24)&gt;0,AVERAGEIFS($X$5:$X$1000,$U$5:$U$1000,ROW(),$V$5:$V$1000,"Sub"),$X24)))</f>
        <v/>
      </c>
      <c r="N24" s="56">
        <f>IF($M24="","",IF($M24&gt;=1,"Completado",IF($M24&gt;0,"En curso","Pendiente")))</f>
        <v/>
      </c>
      <c r="O24" s="56">
        <f>IF(NOT((COUNTA($B24:$D24)+COUNTA($G24:$L24)+COUNTA($Q24))&gt;0),"",IF(ISNUMBER($G24),IF(AND(ISNUMBER($AN24),$G24&gt;$AN24),"Cumplida con "&amp;($G24-$AN24)&amp;IF($G24-$AN24=1," día"," días")&amp;" de retraso","Cumplida"),IF(N($M24)&gt;=1,"Cumplida",IF(NOT(ISNUMBER($AN24)),"Sin fecha límite",IF($AN24&lt;FechaRef,"Vencida hace "&amp;(FechaRef-$AN24)&amp;IF(FechaRef-$AN24=1," día"," días"),IF($AN24=FechaRef,"Vence hoy",IF($AN24-FechaRef&lt;=DiasAlerta,"Vence en "&amp;($AN24-FechaRef)&amp;IF($AN24-FechaRef=1," día"," días"),"En plazo")))))))</f>
        <v/>
      </c>
      <c r="P24" s="62" t="n"/>
      <c r="Q24" s="58" t="n"/>
      <c r="R24" s="63">
        <f>IF(NOT((COUNTA($B24:$D24)+COUNTA($G24:$L24)+COUNTA($Q24))&gt;0),"",IF((IF($C24="","Falta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",""))="","✔ OK","⚠ "&amp;LEFT(IF($C24="","Falta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",""),LEN(IF($C24="","Falta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",""))-3)))</f>
        <v/>
      </c>
      <c r="S24" s="64">
        <f>IF(NOT((COUNTA($B24:$D24)+COUNTA($G24:$L24)+COUNTA($Q24))&gt;0),"",IF(AND($V24="Sub",N($U24)&gt;0),IF(ISNUMBER(INDEX($AM$5:$AM$1000,$U24-4)),DATE(YEAR(INDEX($AM$5:$AM$1000,$U24-4)),MONTH(INDEX($AM$5:$AM$1000,$U24-4)),1),IF(ISNUMBER(INDEX($AN$5:$AN$1000,$U24-4)),DATE(YEAR(INDEX($AN$5:$AN$1000,$U24-4)),MONTH(INDEX($AN$5:$AN$1000,$U24-4)),1),MesCiclo)),IF(ISNUMBER($AM24),DATE(YEAR($AM24),MONTH($AM24),1),IF(ISNUMBER($AN24),DATE(YEAR($AN24),MONTH($AN24),1),MesCiclo))))</f>
        <v/>
      </c>
      <c r="T24" s="62">
        <f>IF(OR($S24="",$S24&lt;&gt;MesCiclo),"",COUNTIF($S$5:$S24,MesCiclo))</f>
        <v/>
      </c>
      <c r="U24" s="62">
        <f>IF($V24="","",IF($V24="Macro",ROW(),IFERROR(LOOKUP(2,1/($V$5:$V24="Macro"),ROW($V$5:$V24)),0)))</f>
        <v/>
      </c>
      <c r="V24" s="62">
        <f>IF(NOT((COUNTA($B24:$D24)+COUNTA($G24:$L24)+COUNTA($Q24))&gt;0),"",IF($B24="Subactividad","Sub","Macro"))</f>
        <v/>
      </c>
      <c r="W24" s="62">
        <f>IF($V24="Macro",COUNTIFS($U$5:$U$1000,ROW(),$V$5:$V$1000,"Sub"),"")</f>
        <v/>
      </c>
      <c r="X24" s="62">
        <f>IF($V24="","",IF(ISNUMBER($G24),1,IFERROR(LOOKUP(2,1/($I24:$L24&lt;&gt;""),$I24:$L24),0)))</f>
        <v/>
      </c>
      <c r="Y24" s="62">
        <f>IF($V24="","",IF(AND(ISNUMBER($G24),$G24&lt;=IF($S24=MesCiclo,InicioCiclo,$S24+MOD(2-WEEKDAY($S24),7))+6),1,IF(ISNUMBER($I24),$I24,0)))</f>
        <v/>
      </c>
      <c r="Z24" s="62">
        <f>IF($V24="","",IF(AND(ISNUMBER($G24),$G24&lt;=IF($S24=MesCiclo,InicioCiclo,$S24+MOD(2-WEEKDAY($S24),7))+13),1,IF(ISNUMBER($J24),$J24,$Y24)))</f>
        <v/>
      </c>
      <c r="AA24" s="62">
        <f>IF($V24="","",IF(AND(ISNUMBER($G24),$G24&lt;=IF($S24=MesCiclo,InicioCiclo,$S24+MOD(2-WEEKDAY($S24),7))+20),1,IF(ISNUMBER($K24),$K24,$Z24)))</f>
        <v/>
      </c>
      <c r="AB24" s="62">
        <f>IF($V24="","",IF(AND(ISNUMBER($G24),$G24&lt;=IF($S24=MesCiclo,InicioCiclo,$S24+MOD(2-WEEKDAY($S24),7))+27),1,IF(ISNUMBER($L24),$L24,$AA24)))</f>
        <v/>
      </c>
      <c r="AC24" s="62">
        <f>IF($V24="","",IF(AND(ISNUMBER($G24),$G24&lt;=IF($S24=MesCiclo,InicioCiclo,$S24+MOD(2-WEEKDAY($S24),7))+6),1,IF(N($W24)&gt;0,AVERAGEIFS($Y$5:$Y$1000,$U$5:$U$1000,ROW(),$V$5:$V$1000,"Sub"),$Y24)))</f>
        <v/>
      </c>
      <c r="AD24" s="62">
        <f>IF($V24="","",IF(AND(ISNUMBER($G24),$G24&lt;=IF($S24=MesCiclo,InicioCiclo,$S24+MOD(2-WEEKDAY($S24),7))+13),1,IF(N($W24)&gt;0,AVERAGEIFS($Z$5:$Z$1000,$U$5:$U$1000,ROW(),$V$5:$V$1000,"Sub"),$Z24)))</f>
        <v/>
      </c>
      <c r="AE24" s="62">
        <f>IF($V24="","",IF(AND(ISNUMBER($G24),$G24&lt;=IF($S24=MesCiclo,InicioCiclo,$S24+MOD(2-WEEKDAY($S24),7))+20),1,IF(N($W24)&gt;0,AVERAGEIFS($AA$5:$AA$1000,$U$5:$U$1000,ROW(),$V$5:$V$1000,"Sub"),$AA24)))</f>
        <v/>
      </c>
      <c r="AF24" s="62">
        <f>IF($V24="","",IF(AND(ISNUMBER($G24),$G24&lt;=IF($S24=MesCiclo,InicioCiclo,$S24+MOD(2-WEEKDAY($S24),7))+27),1,IF(N($W24)&gt;0,AVERAGEIFS($AB$5:$AB$1000,$U$5:$U$1000,ROW(),$V$5:$V$1000,"Sub"),$AB24)))</f>
        <v/>
      </c>
      <c r="AG24" s="62">
        <f>IF($V24&lt;&gt;"Macro","",IF(COUNTIFS($S$5:$S$1000,$S24,$V$5:$V$1000,"Macro",$H$5:$H$1000,"&gt;0")=0,1/COUNTIFS($S$5:$S$1000,$S24,$V$5:$V$1000,"Macro"),IF(AND(ISNUMBER($H24),N($H24)&gt;0),$H24,SUMIFS($H$5:$H$1000,$S$5:$S$1000,$S24,$V$5:$V$1000,"Macro")/COUNTIFS($S$5:$S$1000,$S24,$V$5:$V$1000,"Macro",$H$5:$H$1000,"&gt;0"))/(COUNTIFS($S$5:$S$1000,$S24,$V$5:$V$1000,"Macro")*SUMIFS($H$5:$H$1000,$S$5:$S$1000,$S24,$V$5:$V$1000,"Macro")/COUNTIFS($S$5:$S$1000,$S24,$V$5:$V$1000,"Macro",$H$5:$H$1000,"&gt;0"))))</f>
        <v/>
      </c>
      <c r="AH24" s="62" t="n"/>
      <c r="AI24" s="62" t="n"/>
      <c r="AJ24" s="62" t="n"/>
      <c r="AK24" s="62" t="n"/>
      <c r="AL24" s="62">
        <f>IF(LEFT($C24,11)="[Jefatura] ",IFERROR(MATCH("Riesgo Operacional|"&amp;MID($C24,12,500),rDname_ADM,0),0),"")</f>
        <v/>
      </c>
      <c r="AM24" s="62">
        <f>IF(N($AL24)&gt;0,INDEX(rIni_ADM,$AL24),IF(ISNUMBER($E24),$E24,""))</f>
        <v/>
      </c>
      <c r="AN24" s="62">
        <f>IF(N($AL24)&gt;0,INDEX(rLim_ADM,$AL24),IF(ISNUMBER($F24),$F24,""))</f>
        <v/>
      </c>
    </row>
    <row r="25">
      <c r="A25" s="56">
        <f>IF(NOT((COUNTA($B25:$D25)+COUNTA($G25:$L25)+COUNTA($Q25))&gt;0),"",IF($V25="Macro",COUNTIFS($V$5:$V25,"Macro",$S$5:$S25,$S25),IF(N($U25)=0,"?",COUNTIFS(INDEX($V$5:$V$1000,1):INDEX($V$5:$V$1000,$U25-4),"Macro",INDEX($S$5:$S$1000,1):INDEX($S$5:$S$1000,$U25-4),INDEX($S$5:$S$1000,$U25-4))&amp;"."&amp;COUNTIFS($U$5:$U25,$U25,$V$5:$V25,"Sub"))))</f>
        <v/>
      </c>
      <c r="B25" s="57" t="n"/>
      <c r="C25" s="58" t="n"/>
      <c r="D25" s="58" t="n"/>
      <c r="E25" s="59">
        <f>IF(N($AL25)&gt;0,INDEX(rIni_ADM,$AL25),"")</f>
        <v/>
      </c>
      <c r="F25" s="59">
        <f>IF(N($AL25)&gt;0,INDEX(rLim_ADM,$AL25),"")</f>
        <v/>
      </c>
      <c r="G25" s="59" t="n"/>
      <c r="H25" s="60" t="n"/>
      <c r="I25" s="60" t="n"/>
      <c r="J25" s="60" t="n"/>
      <c r="K25" s="60" t="n"/>
      <c r="L25" s="60" t="n"/>
      <c r="M25" s="61">
        <f>IF(NOT((COUNTA($B25:$D25)+COUNTA($G25:$L25)+COUNTA($Q25))&gt;0),"",IF(ISNUMBER($G25),1,IF(N($W25)&gt;0,AVERAGEIFS($X$5:$X$1000,$U$5:$U$1000,ROW(),$V$5:$V$1000,"Sub"),$X25)))</f>
        <v/>
      </c>
      <c r="N25" s="56">
        <f>IF($M25="","",IF($M25&gt;=1,"Completado",IF($M25&gt;0,"En curso","Pendiente")))</f>
        <v/>
      </c>
      <c r="O25" s="56">
        <f>IF(NOT((COUNTA($B25:$D25)+COUNTA($G25:$L25)+COUNTA($Q25))&gt;0),"",IF(ISNUMBER($G25),IF(AND(ISNUMBER($AN25),$G25&gt;$AN25),"Cumplida con "&amp;($G25-$AN25)&amp;IF($G25-$AN25=1," día"," días")&amp;" de retraso","Cumplida"),IF(N($M25)&gt;=1,"Cumplida",IF(NOT(ISNUMBER($AN25)),"Sin fecha límite",IF($AN25&lt;FechaRef,"Vencida hace "&amp;(FechaRef-$AN25)&amp;IF(FechaRef-$AN25=1," día"," días"),IF($AN25=FechaRef,"Vence hoy",IF($AN25-FechaRef&lt;=DiasAlerta,"Vence en "&amp;($AN25-FechaRef)&amp;IF($AN25-FechaRef=1," día"," días"),"En plazo")))))))</f>
        <v/>
      </c>
      <c r="P25" s="62" t="n"/>
      <c r="Q25" s="58" t="n"/>
      <c r="R25" s="63">
        <f>IF(NOT((COUNTA($B25:$D25)+COUNTA($G25:$L25)+COUNTA($Q25))&gt;0),"",IF((IF($C25="","Falta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",""))="","✔ OK","⚠ "&amp;LEFT(IF($C25="","Falta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",""),LEN(IF($C25="","Falta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",""))-3)))</f>
        <v/>
      </c>
      <c r="S25" s="64">
        <f>IF(NOT((COUNTA($B25:$D25)+COUNTA($G25:$L25)+COUNTA($Q25))&gt;0),"",IF(AND($V25="Sub",N($U25)&gt;0),IF(ISNUMBER(INDEX($AM$5:$AM$1000,$U25-4)),DATE(YEAR(INDEX($AM$5:$AM$1000,$U25-4)),MONTH(INDEX($AM$5:$AM$1000,$U25-4)),1),IF(ISNUMBER(INDEX($AN$5:$AN$1000,$U25-4)),DATE(YEAR(INDEX($AN$5:$AN$1000,$U25-4)),MONTH(INDEX($AN$5:$AN$1000,$U25-4)),1),MesCiclo)),IF(ISNUMBER($AM25),DATE(YEAR($AM25),MONTH($AM25),1),IF(ISNUMBER($AN25),DATE(YEAR($AN25),MONTH($AN25),1),MesCiclo))))</f>
        <v/>
      </c>
      <c r="T25" s="62">
        <f>IF(OR($S25="",$S25&lt;&gt;MesCiclo),"",COUNTIF($S$5:$S25,MesCiclo))</f>
        <v/>
      </c>
      <c r="U25" s="62">
        <f>IF($V25="","",IF($V25="Macro",ROW(),IFERROR(LOOKUP(2,1/($V$5:$V25="Macro"),ROW($V$5:$V25)),0)))</f>
        <v/>
      </c>
      <c r="V25" s="62">
        <f>IF(NOT((COUNTA($B25:$D25)+COUNTA($G25:$L25)+COUNTA($Q25))&gt;0),"",IF($B25="Subactividad","Sub","Macro"))</f>
        <v/>
      </c>
      <c r="W25" s="62">
        <f>IF($V25="Macro",COUNTIFS($U$5:$U$1000,ROW(),$V$5:$V$1000,"Sub"),"")</f>
        <v/>
      </c>
      <c r="X25" s="62">
        <f>IF($V25="","",IF(ISNUMBER($G25),1,IFERROR(LOOKUP(2,1/($I25:$L25&lt;&gt;""),$I25:$L25),0)))</f>
        <v/>
      </c>
      <c r="Y25" s="62">
        <f>IF($V25="","",IF(AND(ISNUMBER($G25),$G25&lt;=IF($S25=MesCiclo,InicioCiclo,$S25+MOD(2-WEEKDAY($S25),7))+6),1,IF(ISNUMBER($I25),$I25,0)))</f>
        <v/>
      </c>
      <c r="Z25" s="62">
        <f>IF($V25="","",IF(AND(ISNUMBER($G25),$G25&lt;=IF($S25=MesCiclo,InicioCiclo,$S25+MOD(2-WEEKDAY($S25),7))+13),1,IF(ISNUMBER($J25),$J25,$Y25)))</f>
        <v/>
      </c>
      <c r="AA25" s="62">
        <f>IF($V25="","",IF(AND(ISNUMBER($G25),$G25&lt;=IF($S25=MesCiclo,InicioCiclo,$S25+MOD(2-WEEKDAY($S25),7))+20),1,IF(ISNUMBER($K25),$K25,$Z25)))</f>
        <v/>
      </c>
      <c r="AB25" s="62">
        <f>IF($V25="","",IF(AND(ISNUMBER($G25),$G25&lt;=IF($S25=MesCiclo,InicioCiclo,$S25+MOD(2-WEEKDAY($S25),7))+27),1,IF(ISNUMBER($L25),$L25,$AA25)))</f>
        <v/>
      </c>
      <c r="AC25" s="62">
        <f>IF($V25="","",IF(AND(ISNUMBER($G25),$G25&lt;=IF($S25=MesCiclo,InicioCiclo,$S25+MOD(2-WEEKDAY($S25),7))+6),1,IF(N($W25)&gt;0,AVERAGEIFS($Y$5:$Y$1000,$U$5:$U$1000,ROW(),$V$5:$V$1000,"Sub"),$Y25)))</f>
        <v/>
      </c>
      <c r="AD25" s="62">
        <f>IF($V25="","",IF(AND(ISNUMBER($G25),$G25&lt;=IF($S25=MesCiclo,InicioCiclo,$S25+MOD(2-WEEKDAY($S25),7))+13),1,IF(N($W25)&gt;0,AVERAGEIFS($Z$5:$Z$1000,$U$5:$U$1000,ROW(),$V$5:$V$1000,"Sub"),$Z25)))</f>
        <v/>
      </c>
      <c r="AE25" s="62">
        <f>IF($V25="","",IF(AND(ISNUMBER($G25),$G25&lt;=IF($S25=MesCiclo,InicioCiclo,$S25+MOD(2-WEEKDAY($S25),7))+20),1,IF(N($W25)&gt;0,AVERAGEIFS($AA$5:$AA$1000,$U$5:$U$1000,ROW(),$V$5:$V$1000,"Sub"),$AA25)))</f>
        <v/>
      </c>
      <c r="AF25" s="62">
        <f>IF($V25="","",IF(AND(ISNUMBER($G25),$G25&lt;=IF($S25=MesCiclo,InicioCiclo,$S25+MOD(2-WEEKDAY($S25),7))+27),1,IF(N($W25)&gt;0,AVERAGEIFS($AB$5:$AB$1000,$U$5:$U$1000,ROW(),$V$5:$V$1000,"Sub"),$AB25)))</f>
        <v/>
      </c>
      <c r="AG25" s="62">
        <f>IF($V25&lt;&gt;"Macro","",IF(COUNTIFS($S$5:$S$1000,$S25,$V$5:$V$1000,"Macro",$H$5:$H$1000,"&gt;0")=0,1/COUNTIFS($S$5:$S$1000,$S25,$V$5:$V$1000,"Macro"),IF(AND(ISNUMBER($H25),N($H25)&gt;0),$H25,SUMIFS($H$5:$H$1000,$S$5:$S$1000,$S25,$V$5:$V$1000,"Macro")/COUNTIFS($S$5:$S$1000,$S25,$V$5:$V$1000,"Macro",$H$5:$H$1000,"&gt;0"))/(COUNTIFS($S$5:$S$1000,$S25,$V$5:$V$1000,"Macro")*SUMIFS($H$5:$H$1000,$S$5:$S$1000,$S25,$V$5:$V$1000,"Macro")/COUNTIFS($S$5:$S$1000,$S25,$V$5:$V$1000,"Macro",$H$5:$H$1000,"&gt;0"))))</f>
        <v/>
      </c>
      <c r="AH25" s="62" t="n"/>
      <c r="AI25" s="62" t="n"/>
      <c r="AJ25" s="62" t="n"/>
      <c r="AK25" s="62" t="n"/>
      <c r="AL25" s="62">
        <f>IF(LEFT($C25,11)="[Jefatura] ",IFERROR(MATCH("Riesgo Operacional|"&amp;MID($C25,12,500),rDname_ADM,0),0),"")</f>
        <v/>
      </c>
      <c r="AM25" s="62">
        <f>IF(N($AL25)&gt;0,INDEX(rIni_ADM,$AL25),IF(ISNUMBER($E25),$E25,""))</f>
        <v/>
      </c>
      <c r="AN25" s="62">
        <f>IF(N($AL25)&gt;0,INDEX(rLim_ADM,$AL25),IF(ISNUMBER($F25),$F25,""))</f>
        <v/>
      </c>
    </row>
    <row r="26">
      <c r="A26" s="56">
        <f>IF(NOT((COUNTA($B26:$D26)+COUNTA($G26:$L26)+COUNTA($Q26))&gt;0),"",IF($V26="Macro",COUNTIFS($V$5:$V26,"Macro",$S$5:$S26,$S26),IF(N($U26)=0,"?",COUNTIFS(INDEX($V$5:$V$1000,1):INDEX($V$5:$V$1000,$U26-4),"Macro",INDEX($S$5:$S$1000,1):INDEX($S$5:$S$1000,$U26-4),INDEX($S$5:$S$1000,$U26-4))&amp;"."&amp;COUNTIFS($U$5:$U26,$U26,$V$5:$V26,"Sub"))))</f>
        <v/>
      </c>
      <c r="B26" s="57" t="n"/>
      <c r="C26" s="58" t="n"/>
      <c r="D26" s="58" t="n"/>
      <c r="E26" s="59">
        <f>IF(N($AL26)&gt;0,INDEX(rIni_ADM,$AL26),"")</f>
        <v/>
      </c>
      <c r="F26" s="59">
        <f>IF(N($AL26)&gt;0,INDEX(rLim_ADM,$AL26),"")</f>
        <v/>
      </c>
      <c r="G26" s="59" t="n"/>
      <c r="H26" s="60" t="n"/>
      <c r="I26" s="60" t="n"/>
      <c r="J26" s="60" t="n"/>
      <c r="K26" s="60" t="n"/>
      <c r="L26" s="60" t="n"/>
      <c r="M26" s="61">
        <f>IF(NOT((COUNTA($B26:$D26)+COUNTA($G26:$L26)+COUNTA($Q26))&gt;0),"",IF(ISNUMBER($G26),1,IF(N($W26)&gt;0,AVERAGEIFS($X$5:$X$1000,$U$5:$U$1000,ROW(),$V$5:$V$1000,"Sub"),$X26)))</f>
        <v/>
      </c>
      <c r="N26" s="56">
        <f>IF($M26="","",IF($M26&gt;=1,"Completado",IF($M26&gt;0,"En curso","Pendiente")))</f>
        <v/>
      </c>
      <c r="O26" s="56">
        <f>IF(NOT((COUNTA($B26:$D26)+COUNTA($G26:$L26)+COUNTA($Q26))&gt;0),"",IF(ISNUMBER($G26),IF(AND(ISNUMBER($AN26),$G26&gt;$AN26),"Cumplida con "&amp;($G26-$AN26)&amp;IF($G26-$AN26=1," día"," días")&amp;" de retraso","Cumplida"),IF(N($M26)&gt;=1,"Cumplida",IF(NOT(ISNUMBER($AN26)),"Sin fecha límite",IF($AN26&lt;FechaRef,"Vencida hace "&amp;(FechaRef-$AN26)&amp;IF(FechaRef-$AN26=1," día"," días"),IF($AN26=FechaRef,"Vence hoy",IF($AN26-FechaRef&lt;=DiasAlerta,"Vence en "&amp;($AN26-FechaRef)&amp;IF($AN26-FechaRef=1," día"," días"),"En plazo")))))))</f>
        <v/>
      </c>
      <c r="P26" s="62" t="n"/>
      <c r="Q26" s="58" t="n"/>
      <c r="R26" s="63">
        <f>IF(NOT((COUNTA($B26:$D26)+COUNTA($G26:$L26)+COUNTA($Q26))&gt;0),"",IF((IF($C26="","Falta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",""))="","✔ OK","⚠ "&amp;LEFT(IF($C26="","Falta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",""),LEN(IF($C26="","Falta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",""))-3)))</f>
        <v/>
      </c>
      <c r="S26" s="64">
        <f>IF(NOT((COUNTA($B26:$D26)+COUNTA($G26:$L26)+COUNTA($Q26))&gt;0),"",IF(AND($V26="Sub",N($U26)&gt;0),IF(ISNUMBER(INDEX($AM$5:$AM$1000,$U26-4)),DATE(YEAR(INDEX($AM$5:$AM$1000,$U26-4)),MONTH(INDEX($AM$5:$AM$1000,$U26-4)),1),IF(ISNUMBER(INDEX($AN$5:$AN$1000,$U26-4)),DATE(YEAR(INDEX($AN$5:$AN$1000,$U26-4)),MONTH(INDEX($AN$5:$AN$1000,$U26-4)),1),MesCiclo)),IF(ISNUMBER($AM26),DATE(YEAR($AM26),MONTH($AM26),1),IF(ISNUMBER($AN26),DATE(YEAR($AN26),MONTH($AN26),1),MesCiclo))))</f>
        <v/>
      </c>
      <c r="T26" s="62">
        <f>IF(OR($S26="",$S26&lt;&gt;MesCiclo),"",COUNTIF($S$5:$S26,MesCiclo))</f>
        <v/>
      </c>
      <c r="U26" s="62">
        <f>IF($V26="","",IF($V26="Macro",ROW(),IFERROR(LOOKUP(2,1/($V$5:$V26="Macro"),ROW($V$5:$V26)),0)))</f>
        <v/>
      </c>
      <c r="V26" s="62">
        <f>IF(NOT((COUNTA($B26:$D26)+COUNTA($G26:$L26)+COUNTA($Q26))&gt;0),"",IF($B26="Subactividad","Sub","Macro"))</f>
        <v/>
      </c>
      <c r="W26" s="62">
        <f>IF($V26="Macro",COUNTIFS($U$5:$U$1000,ROW(),$V$5:$V$1000,"Sub"),"")</f>
        <v/>
      </c>
      <c r="X26" s="62">
        <f>IF($V26="","",IF(ISNUMBER($G26),1,IFERROR(LOOKUP(2,1/($I26:$L26&lt;&gt;""),$I26:$L26),0)))</f>
        <v/>
      </c>
      <c r="Y26" s="62">
        <f>IF($V26="","",IF(AND(ISNUMBER($G26),$G26&lt;=IF($S26=MesCiclo,InicioCiclo,$S26+MOD(2-WEEKDAY($S26),7))+6),1,IF(ISNUMBER($I26),$I26,0)))</f>
        <v/>
      </c>
      <c r="Z26" s="62">
        <f>IF($V26="","",IF(AND(ISNUMBER($G26),$G26&lt;=IF($S26=MesCiclo,InicioCiclo,$S26+MOD(2-WEEKDAY($S26),7))+13),1,IF(ISNUMBER($J26),$J26,$Y26)))</f>
        <v/>
      </c>
      <c r="AA26" s="62">
        <f>IF($V26="","",IF(AND(ISNUMBER($G26),$G26&lt;=IF($S26=MesCiclo,InicioCiclo,$S26+MOD(2-WEEKDAY($S26),7))+20),1,IF(ISNUMBER($K26),$K26,$Z26)))</f>
        <v/>
      </c>
      <c r="AB26" s="62">
        <f>IF($V26="","",IF(AND(ISNUMBER($G26),$G26&lt;=IF($S26=MesCiclo,InicioCiclo,$S26+MOD(2-WEEKDAY($S26),7))+27),1,IF(ISNUMBER($L26),$L26,$AA26)))</f>
        <v/>
      </c>
      <c r="AC26" s="62">
        <f>IF($V26="","",IF(AND(ISNUMBER($G26),$G26&lt;=IF($S26=MesCiclo,InicioCiclo,$S26+MOD(2-WEEKDAY($S26),7))+6),1,IF(N($W26)&gt;0,AVERAGEIFS($Y$5:$Y$1000,$U$5:$U$1000,ROW(),$V$5:$V$1000,"Sub"),$Y26)))</f>
        <v/>
      </c>
      <c r="AD26" s="62">
        <f>IF($V26="","",IF(AND(ISNUMBER($G26),$G26&lt;=IF($S26=MesCiclo,InicioCiclo,$S26+MOD(2-WEEKDAY($S26),7))+13),1,IF(N($W26)&gt;0,AVERAGEIFS($Z$5:$Z$1000,$U$5:$U$1000,ROW(),$V$5:$V$1000,"Sub"),$Z26)))</f>
        <v/>
      </c>
      <c r="AE26" s="62">
        <f>IF($V26="","",IF(AND(ISNUMBER($G26),$G26&lt;=IF($S26=MesCiclo,InicioCiclo,$S26+MOD(2-WEEKDAY($S26),7))+20),1,IF(N($W26)&gt;0,AVERAGEIFS($AA$5:$AA$1000,$U$5:$U$1000,ROW(),$V$5:$V$1000,"Sub"),$AA26)))</f>
        <v/>
      </c>
      <c r="AF26" s="62">
        <f>IF($V26="","",IF(AND(ISNUMBER($G26),$G26&lt;=IF($S26=MesCiclo,InicioCiclo,$S26+MOD(2-WEEKDAY($S26),7))+27),1,IF(N($W26)&gt;0,AVERAGEIFS($AB$5:$AB$1000,$U$5:$U$1000,ROW(),$V$5:$V$1000,"Sub"),$AB26)))</f>
        <v/>
      </c>
      <c r="AG26" s="62">
        <f>IF($V26&lt;&gt;"Macro","",IF(COUNTIFS($S$5:$S$1000,$S26,$V$5:$V$1000,"Macro",$H$5:$H$1000,"&gt;0")=0,1/COUNTIFS($S$5:$S$1000,$S26,$V$5:$V$1000,"Macro"),IF(AND(ISNUMBER($H26),N($H26)&gt;0),$H26,SUMIFS($H$5:$H$1000,$S$5:$S$1000,$S26,$V$5:$V$1000,"Macro")/COUNTIFS($S$5:$S$1000,$S26,$V$5:$V$1000,"Macro",$H$5:$H$1000,"&gt;0"))/(COUNTIFS($S$5:$S$1000,$S26,$V$5:$V$1000,"Macro")*SUMIFS($H$5:$H$1000,$S$5:$S$1000,$S26,$V$5:$V$1000,"Macro")/COUNTIFS($S$5:$S$1000,$S26,$V$5:$V$1000,"Macro",$H$5:$H$1000,"&gt;0"))))</f>
        <v/>
      </c>
      <c r="AH26" s="62" t="n"/>
      <c r="AI26" s="62" t="n"/>
      <c r="AJ26" s="62" t="n"/>
      <c r="AK26" s="62" t="n"/>
      <c r="AL26" s="62">
        <f>IF(LEFT($C26,11)="[Jefatura] ",IFERROR(MATCH("Riesgo Operacional|"&amp;MID($C26,12,500),rDname_ADM,0),0),"")</f>
        <v/>
      </c>
      <c r="AM26" s="62">
        <f>IF(N($AL26)&gt;0,INDEX(rIni_ADM,$AL26),IF(ISNUMBER($E26),$E26,""))</f>
        <v/>
      </c>
      <c r="AN26" s="62">
        <f>IF(N($AL26)&gt;0,INDEX(rLim_ADM,$AL26),IF(ISNUMBER($F26),$F26,""))</f>
        <v/>
      </c>
    </row>
    <row r="27">
      <c r="A27" s="56">
        <f>IF(NOT((COUNTA($B27:$D27)+COUNTA($G27:$L27)+COUNTA($Q27))&gt;0),"",IF($V27="Macro",COUNTIFS($V$5:$V27,"Macro",$S$5:$S27,$S27),IF(N($U27)=0,"?",COUNTIFS(INDEX($V$5:$V$1000,1):INDEX($V$5:$V$1000,$U27-4),"Macro",INDEX($S$5:$S$1000,1):INDEX($S$5:$S$1000,$U27-4),INDEX($S$5:$S$1000,$U27-4))&amp;"."&amp;COUNTIFS($U$5:$U27,$U27,$V$5:$V27,"Sub"))))</f>
        <v/>
      </c>
      <c r="B27" s="57" t="n"/>
      <c r="C27" s="58" t="n"/>
      <c r="D27" s="58" t="n"/>
      <c r="E27" s="59">
        <f>IF(N($AL27)&gt;0,INDEX(rIni_ADM,$AL27),"")</f>
        <v/>
      </c>
      <c r="F27" s="59">
        <f>IF(N($AL27)&gt;0,INDEX(rLim_ADM,$AL27),"")</f>
        <v/>
      </c>
      <c r="G27" s="59" t="n"/>
      <c r="H27" s="60" t="n"/>
      <c r="I27" s="60" t="n"/>
      <c r="J27" s="60" t="n"/>
      <c r="K27" s="60" t="n"/>
      <c r="L27" s="60" t="n"/>
      <c r="M27" s="61">
        <f>IF(NOT((COUNTA($B27:$D27)+COUNTA($G27:$L27)+COUNTA($Q27))&gt;0),"",IF(ISNUMBER($G27),1,IF(N($W27)&gt;0,AVERAGEIFS($X$5:$X$1000,$U$5:$U$1000,ROW(),$V$5:$V$1000,"Sub"),$X27)))</f>
        <v/>
      </c>
      <c r="N27" s="56">
        <f>IF($M27="","",IF($M27&gt;=1,"Completado",IF($M27&gt;0,"En curso","Pendiente")))</f>
        <v/>
      </c>
      <c r="O27" s="56">
        <f>IF(NOT((COUNTA($B27:$D27)+COUNTA($G27:$L27)+COUNTA($Q27))&gt;0),"",IF(ISNUMBER($G27),IF(AND(ISNUMBER($AN27),$G27&gt;$AN27),"Cumplida con "&amp;($G27-$AN27)&amp;IF($G27-$AN27=1," día"," días")&amp;" de retraso","Cumplida"),IF(N($M27)&gt;=1,"Cumplida",IF(NOT(ISNUMBER($AN27)),"Sin fecha límite",IF($AN27&lt;FechaRef,"Vencida hace "&amp;(FechaRef-$AN27)&amp;IF(FechaRef-$AN27=1," día"," días"),IF($AN27=FechaRef,"Vence hoy",IF($AN27-FechaRef&lt;=DiasAlerta,"Vence en "&amp;($AN27-FechaRef)&amp;IF($AN27-FechaRef=1," día"," días"),"En plazo")))))))</f>
        <v/>
      </c>
      <c r="P27" s="62" t="n"/>
      <c r="Q27" s="58" t="n"/>
      <c r="R27" s="63">
        <f>IF(NOT((COUNTA($B27:$D27)+COUNTA($G27:$L27)+COUNTA($Q27))&gt;0),"",IF((IF($C27="","Falta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",""))="","✔ OK","⚠ "&amp;LEFT(IF($C27="","Falta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",""),LEN(IF($C27="","Falta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",""))-3)))</f>
        <v/>
      </c>
      <c r="S27" s="64">
        <f>IF(NOT((COUNTA($B27:$D27)+COUNTA($G27:$L27)+COUNTA($Q27))&gt;0),"",IF(AND($V27="Sub",N($U27)&gt;0),IF(ISNUMBER(INDEX($AM$5:$AM$1000,$U27-4)),DATE(YEAR(INDEX($AM$5:$AM$1000,$U27-4)),MONTH(INDEX($AM$5:$AM$1000,$U27-4)),1),IF(ISNUMBER(INDEX($AN$5:$AN$1000,$U27-4)),DATE(YEAR(INDEX($AN$5:$AN$1000,$U27-4)),MONTH(INDEX($AN$5:$AN$1000,$U27-4)),1),MesCiclo)),IF(ISNUMBER($AM27),DATE(YEAR($AM27),MONTH($AM27),1),IF(ISNUMBER($AN27),DATE(YEAR($AN27),MONTH($AN27),1),MesCiclo))))</f>
        <v/>
      </c>
      <c r="T27" s="62">
        <f>IF(OR($S27="",$S27&lt;&gt;MesCiclo),"",COUNTIF($S$5:$S27,MesCiclo))</f>
        <v/>
      </c>
      <c r="U27" s="62">
        <f>IF($V27="","",IF($V27="Macro",ROW(),IFERROR(LOOKUP(2,1/($V$5:$V27="Macro"),ROW($V$5:$V27)),0)))</f>
        <v/>
      </c>
      <c r="V27" s="62">
        <f>IF(NOT((COUNTA($B27:$D27)+COUNTA($G27:$L27)+COUNTA($Q27))&gt;0),"",IF($B27="Subactividad","Sub","Macro"))</f>
        <v/>
      </c>
      <c r="W27" s="62">
        <f>IF($V27="Macro",COUNTIFS($U$5:$U$1000,ROW(),$V$5:$V$1000,"Sub"),"")</f>
        <v/>
      </c>
      <c r="X27" s="62">
        <f>IF($V27="","",IF(ISNUMBER($G27),1,IFERROR(LOOKUP(2,1/($I27:$L27&lt;&gt;""),$I27:$L27),0)))</f>
        <v/>
      </c>
      <c r="Y27" s="62">
        <f>IF($V27="","",IF(AND(ISNUMBER($G27),$G27&lt;=IF($S27=MesCiclo,InicioCiclo,$S27+MOD(2-WEEKDAY($S27),7))+6),1,IF(ISNUMBER($I27),$I27,0)))</f>
        <v/>
      </c>
      <c r="Z27" s="62">
        <f>IF($V27="","",IF(AND(ISNUMBER($G27),$G27&lt;=IF($S27=MesCiclo,InicioCiclo,$S27+MOD(2-WEEKDAY($S27),7))+13),1,IF(ISNUMBER($J27),$J27,$Y27)))</f>
        <v/>
      </c>
      <c r="AA27" s="62">
        <f>IF($V27="","",IF(AND(ISNUMBER($G27),$G27&lt;=IF($S27=MesCiclo,InicioCiclo,$S27+MOD(2-WEEKDAY($S27),7))+20),1,IF(ISNUMBER($K27),$K27,$Z27)))</f>
        <v/>
      </c>
      <c r="AB27" s="62">
        <f>IF($V27="","",IF(AND(ISNUMBER($G27),$G27&lt;=IF($S27=MesCiclo,InicioCiclo,$S27+MOD(2-WEEKDAY($S27),7))+27),1,IF(ISNUMBER($L27),$L27,$AA27)))</f>
        <v/>
      </c>
      <c r="AC27" s="62">
        <f>IF($V27="","",IF(AND(ISNUMBER($G27),$G27&lt;=IF($S27=MesCiclo,InicioCiclo,$S27+MOD(2-WEEKDAY($S27),7))+6),1,IF(N($W27)&gt;0,AVERAGEIFS($Y$5:$Y$1000,$U$5:$U$1000,ROW(),$V$5:$V$1000,"Sub"),$Y27)))</f>
        <v/>
      </c>
      <c r="AD27" s="62">
        <f>IF($V27="","",IF(AND(ISNUMBER($G27),$G27&lt;=IF($S27=MesCiclo,InicioCiclo,$S27+MOD(2-WEEKDAY($S27),7))+13),1,IF(N($W27)&gt;0,AVERAGEIFS($Z$5:$Z$1000,$U$5:$U$1000,ROW(),$V$5:$V$1000,"Sub"),$Z27)))</f>
        <v/>
      </c>
      <c r="AE27" s="62">
        <f>IF($V27="","",IF(AND(ISNUMBER($G27),$G27&lt;=IF($S27=MesCiclo,InicioCiclo,$S27+MOD(2-WEEKDAY($S27),7))+20),1,IF(N($W27)&gt;0,AVERAGEIFS($AA$5:$AA$1000,$U$5:$U$1000,ROW(),$V$5:$V$1000,"Sub"),$AA27)))</f>
        <v/>
      </c>
      <c r="AF27" s="62">
        <f>IF($V27="","",IF(AND(ISNUMBER($G27),$G27&lt;=IF($S27=MesCiclo,InicioCiclo,$S27+MOD(2-WEEKDAY($S27),7))+27),1,IF(N($W27)&gt;0,AVERAGEIFS($AB$5:$AB$1000,$U$5:$U$1000,ROW(),$V$5:$V$1000,"Sub"),$AB27)))</f>
        <v/>
      </c>
      <c r="AG27" s="62">
        <f>IF($V27&lt;&gt;"Macro","",IF(COUNTIFS($S$5:$S$1000,$S27,$V$5:$V$1000,"Macro",$H$5:$H$1000,"&gt;0")=0,1/COUNTIFS($S$5:$S$1000,$S27,$V$5:$V$1000,"Macro"),IF(AND(ISNUMBER($H27),N($H27)&gt;0),$H27,SUMIFS($H$5:$H$1000,$S$5:$S$1000,$S27,$V$5:$V$1000,"Macro")/COUNTIFS($S$5:$S$1000,$S27,$V$5:$V$1000,"Macro",$H$5:$H$1000,"&gt;0"))/(COUNTIFS($S$5:$S$1000,$S27,$V$5:$V$1000,"Macro")*SUMIFS($H$5:$H$1000,$S$5:$S$1000,$S27,$V$5:$V$1000,"Macro")/COUNTIFS($S$5:$S$1000,$S27,$V$5:$V$1000,"Macro",$H$5:$H$1000,"&gt;0"))))</f>
        <v/>
      </c>
      <c r="AH27" s="62" t="n"/>
      <c r="AI27" s="62" t="n"/>
      <c r="AJ27" s="62" t="n"/>
      <c r="AK27" s="62" t="n"/>
      <c r="AL27" s="62">
        <f>IF(LEFT($C27,11)="[Jefatura] ",IFERROR(MATCH("Riesgo Operacional|"&amp;MID($C27,12,500),rDname_ADM,0),0),"")</f>
        <v/>
      </c>
      <c r="AM27" s="62">
        <f>IF(N($AL27)&gt;0,INDEX(rIni_ADM,$AL27),IF(ISNUMBER($E27),$E27,""))</f>
        <v/>
      </c>
      <c r="AN27" s="62">
        <f>IF(N($AL27)&gt;0,INDEX(rLim_ADM,$AL27),IF(ISNUMBER($F27),$F27,""))</f>
        <v/>
      </c>
    </row>
    <row r="28">
      <c r="A28" s="56">
        <f>IF(NOT((COUNTA($B28:$D28)+COUNTA($G28:$L28)+COUNTA($Q28))&gt;0),"",IF($V28="Macro",COUNTIFS($V$5:$V28,"Macro",$S$5:$S28,$S28),IF(N($U28)=0,"?",COUNTIFS(INDEX($V$5:$V$1000,1):INDEX($V$5:$V$1000,$U28-4),"Macro",INDEX($S$5:$S$1000,1):INDEX($S$5:$S$1000,$U28-4),INDEX($S$5:$S$1000,$U28-4))&amp;"."&amp;COUNTIFS($U$5:$U28,$U28,$V$5:$V28,"Sub"))))</f>
        <v/>
      </c>
      <c r="B28" s="57" t="n"/>
      <c r="C28" s="58" t="n"/>
      <c r="D28" s="58" t="n"/>
      <c r="E28" s="59">
        <f>IF(N($AL28)&gt;0,INDEX(rIni_ADM,$AL28),"")</f>
        <v/>
      </c>
      <c r="F28" s="59">
        <f>IF(N($AL28)&gt;0,INDEX(rLim_ADM,$AL28),"")</f>
        <v/>
      </c>
      <c r="G28" s="59" t="n"/>
      <c r="H28" s="60" t="n"/>
      <c r="I28" s="60" t="n"/>
      <c r="J28" s="60" t="n"/>
      <c r="K28" s="60" t="n"/>
      <c r="L28" s="60" t="n"/>
      <c r="M28" s="61">
        <f>IF(NOT((COUNTA($B28:$D28)+COUNTA($G28:$L28)+COUNTA($Q28))&gt;0),"",IF(ISNUMBER($G28),1,IF(N($W28)&gt;0,AVERAGEIFS($X$5:$X$1000,$U$5:$U$1000,ROW(),$V$5:$V$1000,"Sub"),$X28)))</f>
        <v/>
      </c>
      <c r="N28" s="56">
        <f>IF($M28="","",IF($M28&gt;=1,"Completado",IF($M28&gt;0,"En curso","Pendiente")))</f>
        <v/>
      </c>
      <c r="O28" s="56">
        <f>IF(NOT((COUNTA($B28:$D28)+COUNTA($G28:$L28)+COUNTA($Q28))&gt;0),"",IF(ISNUMBER($G28),IF(AND(ISNUMBER($AN28),$G28&gt;$AN28),"Cumplida con "&amp;($G28-$AN28)&amp;IF($G28-$AN28=1," día"," días")&amp;" de retraso","Cumplida"),IF(N($M28)&gt;=1,"Cumplida",IF(NOT(ISNUMBER($AN28)),"Sin fecha límite",IF($AN28&lt;FechaRef,"Vencida hace "&amp;(FechaRef-$AN28)&amp;IF(FechaRef-$AN28=1," día"," días"),IF($AN28=FechaRef,"Vence hoy",IF($AN28-FechaRef&lt;=DiasAlerta,"Vence en "&amp;($AN28-FechaRef)&amp;IF($AN28-FechaRef=1," día"," días"),"En plazo")))))))</f>
        <v/>
      </c>
      <c r="P28" s="62" t="n"/>
      <c r="Q28" s="58" t="n"/>
      <c r="R28" s="63">
        <f>IF(NOT((COUNTA($B28:$D28)+COUNTA($G28:$L28)+COUNTA($Q28))&gt;0),"",IF((IF($C28="","Falta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",""))="","✔ OK","⚠ "&amp;LEFT(IF($C28="","Falta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",""),LEN(IF($C28="","Falta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",""))-3)))</f>
        <v/>
      </c>
      <c r="S28" s="64">
        <f>IF(NOT((COUNTA($B28:$D28)+COUNTA($G28:$L28)+COUNTA($Q28))&gt;0),"",IF(AND($V28="Sub",N($U28)&gt;0),IF(ISNUMBER(INDEX($AM$5:$AM$1000,$U28-4)),DATE(YEAR(INDEX($AM$5:$AM$1000,$U28-4)),MONTH(INDEX($AM$5:$AM$1000,$U28-4)),1),IF(ISNUMBER(INDEX($AN$5:$AN$1000,$U28-4)),DATE(YEAR(INDEX($AN$5:$AN$1000,$U28-4)),MONTH(INDEX($AN$5:$AN$1000,$U28-4)),1),MesCiclo)),IF(ISNUMBER($AM28),DATE(YEAR($AM28),MONTH($AM28),1),IF(ISNUMBER($AN28),DATE(YEAR($AN28),MONTH($AN28),1),MesCiclo))))</f>
        <v/>
      </c>
      <c r="T28" s="62">
        <f>IF(OR($S28="",$S28&lt;&gt;MesCiclo),"",COUNTIF($S$5:$S28,MesCiclo))</f>
        <v/>
      </c>
      <c r="U28" s="62">
        <f>IF($V28="","",IF($V28="Macro",ROW(),IFERROR(LOOKUP(2,1/($V$5:$V28="Macro"),ROW($V$5:$V28)),0)))</f>
        <v/>
      </c>
      <c r="V28" s="62">
        <f>IF(NOT((COUNTA($B28:$D28)+COUNTA($G28:$L28)+COUNTA($Q28))&gt;0),"",IF($B28="Subactividad","Sub","Macro"))</f>
        <v/>
      </c>
      <c r="W28" s="62">
        <f>IF($V28="Macro",COUNTIFS($U$5:$U$1000,ROW(),$V$5:$V$1000,"Sub"),"")</f>
        <v/>
      </c>
      <c r="X28" s="62">
        <f>IF($V28="","",IF(ISNUMBER($G28),1,IFERROR(LOOKUP(2,1/($I28:$L28&lt;&gt;""),$I28:$L28),0)))</f>
        <v/>
      </c>
      <c r="Y28" s="62">
        <f>IF($V28="","",IF(AND(ISNUMBER($G28),$G28&lt;=IF($S28=MesCiclo,InicioCiclo,$S28+MOD(2-WEEKDAY($S28),7))+6),1,IF(ISNUMBER($I28),$I28,0)))</f>
        <v/>
      </c>
      <c r="Z28" s="62">
        <f>IF($V28="","",IF(AND(ISNUMBER($G28),$G28&lt;=IF($S28=MesCiclo,InicioCiclo,$S28+MOD(2-WEEKDAY($S28),7))+13),1,IF(ISNUMBER($J28),$J28,$Y28)))</f>
        <v/>
      </c>
      <c r="AA28" s="62">
        <f>IF($V28="","",IF(AND(ISNUMBER($G28),$G28&lt;=IF($S28=MesCiclo,InicioCiclo,$S28+MOD(2-WEEKDAY($S28),7))+20),1,IF(ISNUMBER($K28),$K28,$Z28)))</f>
        <v/>
      </c>
      <c r="AB28" s="62">
        <f>IF($V28="","",IF(AND(ISNUMBER($G28),$G28&lt;=IF($S28=MesCiclo,InicioCiclo,$S28+MOD(2-WEEKDAY($S28),7))+27),1,IF(ISNUMBER($L28),$L28,$AA28)))</f>
        <v/>
      </c>
      <c r="AC28" s="62">
        <f>IF($V28="","",IF(AND(ISNUMBER($G28),$G28&lt;=IF($S28=MesCiclo,InicioCiclo,$S28+MOD(2-WEEKDAY($S28),7))+6),1,IF(N($W28)&gt;0,AVERAGEIFS($Y$5:$Y$1000,$U$5:$U$1000,ROW(),$V$5:$V$1000,"Sub"),$Y28)))</f>
        <v/>
      </c>
      <c r="AD28" s="62">
        <f>IF($V28="","",IF(AND(ISNUMBER($G28),$G28&lt;=IF($S28=MesCiclo,InicioCiclo,$S28+MOD(2-WEEKDAY($S28),7))+13),1,IF(N($W28)&gt;0,AVERAGEIFS($Z$5:$Z$1000,$U$5:$U$1000,ROW(),$V$5:$V$1000,"Sub"),$Z28)))</f>
        <v/>
      </c>
      <c r="AE28" s="62">
        <f>IF($V28="","",IF(AND(ISNUMBER($G28),$G28&lt;=IF($S28=MesCiclo,InicioCiclo,$S28+MOD(2-WEEKDAY($S28),7))+20),1,IF(N($W28)&gt;0,AVERAGEIFS($AA$5:$AA$1000,$U$5:$U$1000,ROW(),$V$5:$V$1000,"Sub"),$AA28)))</f>
        <v/>
      </c>
      <c r="AF28" s="62">
        <f>IF($V28="","",IF(AND(ISNUMBER($G28),$G28&lt;=IF($S28=MesCiclo,InicioCiclo,$S28+MOD(2-WEEKDAY($S28),7))+27),1,IF(N($W28)&gt;0,AVERAGEIFS($AB$5:$AB$1000,$U$5:$U$1000,ROW(),$V$5:$V$1000,"Sub"),$AB28)))</f>
        <v/>
      </c>
      <c r="AG28" s="62">
        <f>IF($V28&lt;&gt;"Macro","",IF(COUNTIFS($S$5:$S$1000,$S28,$V$5:$V$1000,"Macro",$H$5:$H$1000,"&gt;0")=0,1/COUNTIFS($S$5:$S$1000,$S28,$V$5:$V$1000,"Macro"),IF(AND(ISNUMBER($H28),N($H28)&gt;0),$H28,SUMIFS($H$5:$H$1000,$S$5:$S$1000,$S28,$V$5:$V$1000,"Macro")/COUNTIFS($S$5:$S$1000,$S28,$V$5:$V$1000,"Macro",$H$5:$H$1000,"&gt;0"))/(COUNTIFS($S$5:$S$1000,$S28,$V$5:$V$1000,"Macro")*SUMIFS($H$5:$H$1000,$S$5:$S$1000,$S28,$V$5:$V$1000,"Macro")/COUNTIFS($S$5:$S$1000,$S28,$V$5:$V$1000,"Macro",$H$5:$H$1000,"&gt;0"))))</f>
        <v/>
      </c>
      <c r="AH28" s="62" t="n"/>
      <c r="AI28" s="62" t="n"/>
      <c r="AJ28" s="62" t="n"/>
      <c r="AK28" s="62" t="n"/>
      <c r="AL28" s="62">
        <f>IF(LEFT($C28,11)="[Jefatura] ",IFERROR(MATCH("Riesgo Operacional|"&amp;MID($C28,12,500),rDname_ADM,0),0),"")</f>
        <v/>
      </c>
      <c r="AM28" s="62">
        <f>IF(N($AL28)&gt;0,INDEX(rIni_ADM,$AL28),IF(ISNUMBER($E28),$E28,""))</f>
        <v/>
      </c>
      <c r="AN28" s="62">
        <f>IF(N($AL28)&gt;0,INDEX(rLim_ADM,$AL28),IF(ISNUMBER($F28),$F28,""))</f>
        <v/>
      </c>
    </row>
    <row r="29">
      <c r="A29" s="56">
        <f>IF(NOT((COUNTA($B29:$D29)+COUNTA($G29:$L29)+COUNTA($Q29))&gt;0),"",IF($V29="Macro",COUNTIFS($V$5:$V29,"Macro",$S$5:$S29,$S29),IF(N($U29)=0,"?",COUNTIFS(INDEX($V$5:$V$1000,1):INDEX($V$5:$V$1000,$U29-4),"Macro",INDEX($S$5:$S$1000,1):INDEX($S$5:$S$1000,$U29-4),INDEX($S$5:$S$1000,$U29-4))&amp;"."&amp;COUNTIFS($U$5:$U29,$U29,$V$5:$V29,"Sub"))))</f>
        <v/>
      </c>
      <c r="B29" s="57" t="n"/>
      <c r="C29" s="58" t="n"/>
      <c r="D29" s="58" t="n"/>
      <c r="E29" s="59">
        <f>IF(N($AL29)&gt;0,INDEX(rIni_ADM,$AL29),"")</f>
        <v/>
      </c>
      <c r="F29" s="59">
        <f>IF(N($AL29)&gt;0,INDEX(rLim_ADM,$AL29),"")</f>
        <v/>
      </c>
      <c r="G29" s="59" t="n"/>
      <c r="H29" s="60" t="n"/>
      <c r="I29" s="60" t="n"/>
      <c r="J29" s="60" t="n"/>
      <c r="K29" s="60" t="n"/>
      <c r="L29" s="60" t="n"/>
      <c r="M29" s="61">
        <f>IF(NOT((COUNTA($B29:$D29)+COUNTA($G29:$L29)+COUNTA($Q29))&gt;0),"",IF(ISNUMBER($G29),1,IF(N($W29)&gt;0,AVERAGEIFS($X$5:$X$1000,$U$5:$U$1000,ROW(),$V$5:$V$1000,"Sub"),$X29)))</f>
        <v/>
      </c>
      <c r="N29" s="56">
        <f>IF($M29="","",IF($M29&gt;=1,"Completado",IF($M29&gt;0,"En curso","Pendiente")))</f>
        <v/>
      </c>
      <c r="O29" s="56">
        <f>IF(NOT((COUNTA($B29:$D29)+COUNTA($G29:$L29)+COUNTA($Q29))&gt;0),"",IF(ISNUMBER($G29),IF(AND(ISNUMBER($AN29),$G29&gt;$AN29),"Cumplida con "&amp;($G29-$AN29)&amp;IF($G29-$AN29=1," día"," días")&amp;" de retraso","Cumplida"),IF(N($M29)&gt;=1,"Cumplida",IF(NOT(ISNUMBER($AN29)),"Sin fecha límite",IF($AN29&lt;FechaRef,"Vencida hace "&amp;(FechaRef-$AN29)&amp;IF(FechaRef-$AN29=1," día"," días"),IF($AN29=FechaRef,"Vence hoy",IF($AN29-FechaRef&lt;=DiasAlerta,"Vence en "&amp;($AN29-FechaRef)&amp;IF($AN29-FechaRef=1," día"," días"),"En plazo")))))))</f>
        <v/>
      </c>
      <c r="P29" s="62" t="n"/>
      <c r="Q29" s="58" t="n"/>
      <c r="R29" s="63">
        <f>IF(NOT((COUNTA($B29:$D29)+COUNTA($G29:$L29)+COUNTA($Q29))&gt;0),"",IF((IF($C29="","Falta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",""))="","✔ OK","⚠ "&amp;LEFT(IF($C29="","Falta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",""),LEN(IF($C29="","Falta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",""))-3)))</f>
        <v/>
      </c>
      <c r="S29" s="64">
        <f>IF(NOT((COUNTA($B29:$D29)+COUNTA($G29:$L29)+COUNTA($Q29))&gt;0),"",IF(AND($V29="Sub",N($U29)&gt;0),IF(ISNUMBER(INDEX($AM$5:$AM$1000,$U29-4)),DATE(YEAR(INDEX($AM$5:$AM$1000,$U29-4)),MONTH(INDEX($AM$5:$AM$1000,$U29-4)),1),IF(ISNUMBER(INDEX($AN$5:$AN$1000,$U29-4)),DATE(YEAR(INDEX($AN$5:$AN$1000,$U29-4)),MONTH(INDEX($AN$5:$AN$1000,$U29-4)),1),MesCiclo)),IF(ISNUMBER($AM29),DATE(YEAR($AM29),MONTH($AM29),1),IF(ISNUMBER($AN29),DATE(YEAR($AN29),MONTH($AN29),1),MesCiclo))))</f>
        <v/>
      </c>
      <c r="T29" s="62">
        <f>IF(OR($S29="",$S29&lt;&gt;MesCiclo),"",COUNTIF($S$5:$S29,MesCiclo))</f>
        <v/>
      </c>
      <c r="U29" s="62">
        <f>IF($V29="","",IF($V29="Macro",ROW(),IFERROR(LOOKUP(2,1/($V$5:$V29="Macro"),ROW($V$5:$V29)),0)))</f>
        <v/>
      </c>
      <c r="V29" s="62">
        <f>IF(NOT((COUNTA($B29:$D29)+COUNTA($G29:$L29)+COUNTA($Q29))&gt;0),"",IF($B29="Subactividad","Sub","Macro"))</f>
        <v/>
      </c>
      <c r="W29" s="62">
        <f>IF($V29="Macro",COUNTIFS($U$5:$U$1000,ROW(),$V$5:$V$1000,"Sub"),"")</f>
        <v/>
      </c>
      <c r="X29" s="62">
        <f>IF($V29="","",IF(ISNUMBER($G29),1,IFERROR(LOOKUP(2,1/($I29:$L29&lt;&gt;""),$I29:$L29),0)))</f>
        <v/>
      </c>
      <c r="Y29" s="62">
        <f>IF($V29="","",IF(AND(ISNUMBER($G29),$G29&lt;=IF($S29=MesCiclo,InicioCiclo,$S29+MOD(2-WEEKDAY($S29),7))+6),1,IF(ISNUMBER($I29),$I29,0)))</f>
        <v/>
      </c>
      <c r="Z29" s="62">
        <f>IF($V29="","",IF(AND(ISNUMBER($G29),$G29&lt;=IF($S29=MesCiclo,InicioCiclo,$S29+MOD(2-WEEKDAY($S29),7))+13),1,IF(ISNUMBER($J29),$J29,$Y29)))</f>
        <v/>
      </c>
      <c r="AA29" s="62">
        <f>IF($V29="","",IF(AND(ISNUMBER($G29),$G29&lt;=IF($S29=MesCiclo,InicioCiclo,$S29+MOD(2-WEEKDAY($S29),7))+20),1,IF(ISNUMBER($K29),$K29,$Z29)))</f>
        <v/>
      </c>
      <c r="AB29" s="62">
        <f>IF($V29="","",IF(AND(ISNUMBER($G29),$G29&lt;=IF($S29=MesCiclo,InicioCiclo,$S29+MOD(2-WEEKDAY($S29),7))+27),1,IF(ISNUMBER($L29),$L29,$AA29)))</f>
        <v/>
      </c>
      <c r="AC29" s="62">
        <f>IF($V29="","",IF(AND(ISNUMBER($G29),$G29&lt;=IF($S29=MesCiclo,InicioCiclo,$S29+MOD(2-WEEKDAY($S29),7))+6),1,IF(N($W29)&gt;0,AVERAGEIFS($Y$5:$Y$1000,$U$5:$U$1000,ROW(),$V$5:$V$1000,"Sub"),$Y29)))</f>
        <v/>
      </c>
      <c r="AD29" s="62">
        <f>IF($V29="","",IF(AND(ISNUMBER($G29),$G29&lt;=IF($S29=MesCiclo,InicioCiclo,$S29+MOD(2-WEEKDAY($S29),7))+13),1,IF(N($W29)&gt;0,AVERAGEIFS($Z$5:$Z$1000,$U$5:$U$1000,ROW(),$V$5:$V$1000,"Sub"),$Z29)))</f>
        <v/>
      </c>
      <c r="AE29" s="62">
        <f>IF($V29="","",IF(AND(ISNUMBER($G29),$G29&lt;=IF($S29=MesCiclo,InicioCiclo,$S29+MOD(2-WEEKDAY($S29),7))+20),1,IF(N($W29)&gt;0,AVERAGEIFS($AA$5:$AA$1000,$U$5:$U$1000,ROW(),$V$5:$V$1000,"Sub"),$AA29)))</f>
        <v/>
      </c>
      <c r="AF29" s="62">
        <f>IF($V29="","",IF(AND(ISNUMBER($G29),$G29&lt;=IF($S29=MesCiclo,InicioCiclo,$S29+MOD(2-WEEKDAY($S29),7))+27),1,IF(N($W29)&gt;0,AVERAGEIFS($AB$5:$AB$1000,$U$5:$U$1000,ROW(),$V$5:$V$1000,"Sub"),$AB29)))</f>
        <v/>
      </c>
      <c r="AG29" s="62">
        <f>IF($V29&lt;&gt;"Macro","",IF(COUNTIFS($S$5:$S$1000,$S29,$V$5:$V$1000,"Macro",$H$5:$H$1000,"&gt;0")=0,1/COUNTIFS($S$5:$S$1000,$S29,$V$5:$V$1000,"Macro"),IF(AND(ISNUMBER($H29),N($H29)&gt;0),$H29,SUMIFS($H$5:$H$1000,$S$5:$S$1000,$S29,$V$5:$V$1000,"Macro")/COUNTIFS($S$5:$S$1000,$S29,$V$5:$V$1000,"Macro",$H$5:$H$1000,"&gt;0"))/(COUNTIFS($S$5:$S$1000,$S29,$V$5:$V$1000,"Macro")*SUMIFS($H$5:$H$1000,$S$5:$S$1000,$S29,$V$5:$V$1000,"Macro")/COUNTIFS($S$5:$S$1000,$S29,$V$5:$V$1000,"Macro",$H$5:$H$1000,"&gt;0"))))</f>
        <v/>
      </c>
      <c r="AH29" s="62" t="n"/>
      <c r="AI29" s="62" t="n"/>
      <c r="AJ29" s="62" t="n"/>
      <c r="AK29" s="62" t="n"/>
      <c r="AL29" s="62">
        <f>IF(LEFT($C29,11)="[Jefatura] ",IFERROR(MATCH("Riesgo Operacional|"&amp;MID($C29,12,500),rDname_ADM,0),0),"")</f>
        <v/>
      </c>
      <c r="AM29" s="62">
        <f>IF(N($AL29)&gt;0,INDEX(rIni_ADM,$AL29),IF(ISNUMBER($E29),$E29,""))</f>
        <v/>
      </c>
      <c r="AN29" s="62">
        <f>IF(N($AL29)&gt;0,INDEX(rLim_ADM,$AL29),IF(ISNUMBER($F29),$F29,""))</f>
        <v/>
      </c>
    </row>
    <row r="30">
      <c r="A30" s="56">
        <f>IF(NOT((COUNTA($B30:$D30)+COUNTA($G30:$L30)+COUNTA($Q30))&gt;0),"",IF($V30="Macro",COUNTIFS($V$5:$V30,"Macro",$S$5:$S30,$S30),IF(N($U30)=0,"?",COUNTIFS(INDEX($V$5:$V$1000,1):INDEX($V$5:$V$1000,$U30-4),"Macro",INDEX($S$5:$S$1000,1):INDEX($S$5:$S$1000,$U30-4),INDEX($S$5:$S$1000,$U30-4))&amp;"."&amp;COUNTIFS($U$5:$U30,$U30,$V$5:$V30,"Sub"))))</f>
        <v/>
      </c>
      <c r="B30" s="57" t="n"/>
      <c r="C30" s="58" t="n"/>
      <c r="D30" s="58" t="n"/>
      <c r="E30" s="59">
        <f>IF(N($AL30)&gt;0,INDEX(rIni_ADM,$AL30),"")</f>
        <v/>
      </c>
      <c r="F30" s="59">
        <f>IF(N($AL30)&gt;0,INDEX(rLim_ADM,$AL30),"")</f>
        <v/>
      </c>
      <c r="G30" s="59" t="n"/>
      <c r="H30" s="60" t="n"/>
      <c r="I30" s="60" t="n"/>
      <c r="J30" s="60" t="n"/>
      <c r="K30" s="60" t="n"/>
      <c r="L30" s="60" t="n"/>
      <c r="M30" s="61">
        <f>IF(NOT((COUNTA($B30:$D30)+COUNTA($G30:$L30)+COUNTA($Q30))&gt;0),"",IF(ISNUMBER($G30),1,IF(N($W30)&gt;0,AVERAGEIFS($X$5:$X$1000,$U$5:$U$1000,ROW(),$V$5:$V$1000,"Sub"),$X30)))</f>
        <v/>
      </c>
      <c r="N30" s="56">
        <f>IF($M30="","",IF($M30&gt;=1,"Completado",IF($M30&gt;0,"En curso","Pendiente")))</f>
        <v/>
      </c>
      <c r="O30" s="56">
        <f>IF(NOT((COUNTA($B30:$D30)+COUNTA($G30:$L30)+COUNTA($Q30))&gt;0),"",IF(ISNUMBER($G30),IF(AND(ISNUMBER($AN30),$G30&gt;$AN30),"Cumplida con "&amp;($G30-$AN30)&amp;IF($G30-$AN30=1," día"," días")&amp;" de retraso","Cumplida"),IF(N($M30)&gt;=1,"Cumplida",IF(NOT(ISNUMBER($AN30)),"Sin fecha límite",IF($AN30&lt;FechaRef,"Vencida hace "&amp;(FechaRef-$AN30)&amp;IF(FechaRef-$AN30=1," día"," días"),IF($AN30=FechaRef,"Vence hoy",IF($AN30-FechaRef&lt;=DiasAlerta,"Vence en "&amp;($AN30-FechaRef)&amp;IF($AN30-FechaRef=1," día"," días"),"En plazo")))))))</f>
        <v/>
      </c>
      <c r="P30" s="62" t="n"/>
      <c r="Q30" s="58" t="n"/>
      <c r="R30" s="63">
        <f>IF(NOT((COUNTA($B30:$D30)+COUNTA($G30:$L30)+COUNTA($Q30))&gt;0),"",IF((IF($C30="","Falta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",""))="","✔ OK","⚠ "&amp;LEFT(IF($C30="","Falta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",""),LEN(IF($C30="","Falta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",""))-3)))</f>
        <v/>
      </c>
      <c r="S30" s="64">
        <f>IF(NOT((COUNTA($B30:$D30)+COUNTA($G30:$L30)+COUNTA($Q30))&gt;0),"",IF(AND($V30="Sub",N($U30)&gt;0),IF(ISNUMBER(INDEX($AM$5:$AM$1000,$U30-4)),DATE(YEAR(INDEX($AM$5:$AM$1000,$U30-4)),MONTH(INDEX($AM$5:$AM$1000,$U30-4)),1),IF(ISNUMBER(INDEX($AN$5:$AN$1000,$U30-4)),DATE(YEAR(INDEX($AN$5:$AN$1000,$U30-4)),MONTH(INDEX($AN$5:$AN$1000,$U30-4)),1),MesCiclo)),IF(ISNUMBER($AM30),DATE(YEAR($AM30),MONTH($AM30),1),IF(ISNUMBER($AN30),DATE(YEAR($AN30),MONTH($AN30),1),MesCiclo))))</f>
        <v/>
      </c>
      <c r="T30" s="62">
        <f>IF(OR($S30="",$S30&lt;&gt;MesCiclo),"",COUNTIF($S$5:$S30,MesCiclo))</f>
        <v/>
      </c>
      <c r="U30" s="62">
        <f>IF($V30="","",IF($V30="Macro",ROW(),IFERROR(LOOKUP(2,1/($V$5:$V30="Macro"),ROW($V$5:$V30)),0)))</f>
        <v/>
      </c>
      <c r="V30" s="62">
        <f>IF(NOT((COUNTA($B30:$D30)+COUNTA($G30:$L30)+COUNTA($Q30))&gt;0),"",IF($B30="Subactividad","Sub","Macro"))</f>
        <v/>
      </c>
      <c r="W30" s="62">
        <f>IF($V30="Macro",COUNTIFS($U$5:$U$1000,ROW(),$V$5:$V$1000,"Sub"),"")</f>
        <v/>
      </c>
      <c r="X30" s="62">
        <f>IF($V30="","",IF(ISNUMBER($G30),1,IFERROR(LOOKUP(2,1/($I30:$L30&lt;&gt;""),$I30:$L30),0)))</f>
        <v/>
      </c>
      <c r="Y30" s="62">
        <f>IF($V30="","",IF(AND(ISNUMBER($G30),$G30&lt;=IF($S30=MesCiclo,InicioCiclo,$S30+MOD(2-WEEKDAY($S30),7))+6),1,IF(ISNUMBER($I30),$I30,0)))</f>
        <v/>
      </c>
      <c r="Z30" s="62">
        <f>IF($V30="","",IF(AND(ISNUMBER($G30),$G30&lt;=IF($S30=MesCiclo,InicioCiclo,$S30+MOD(2-WEEKDAY($S30),7))+13),1,IF(ISNUMBER($J30),$J30,$Y30)))</f>
        <v/>
      </c>
      <c r="AA30" s="62">
        <f>IF($V30="","",IF(AND(ISNUMBER($G30),$G30&lt;=IF($S30=MesCiclo,InicioCiclo,$S30+MOD(2-WEEKDAY($S30),7))+20),1,IF(ISNUMBER($K30),$K30,$Z30)))</f>
        <v/>
      </c>
      <c r="AB30" s="62">
        <f>IF($V30="","",IF(AND(ISNUMBER($G30),$G30&lt;=IF($S30=MesCiclo,InicioCiclo,$S30+MOD(2-WEEKDAY($S30),7))+27),1,IF(ISNUMBER($L30),$L30,$AA30)))</f>
        <v/>
      </c>
      <c r="AC30" s="62">
        <f>IF($V30="","",IF(AND(ISNUMBER($G30),$G30&lt;=IF($S30=MesCiclo,InicioCiclo,$S30+MOD(2-WEEKDAY($S30),7))+6),1,IF(N($W30)&gt;0,AVERAGEIFS($Y$5:$Y$1000,$U$5:$U$1000,ROW(),$V$5:$V$1000,"Sub"),$Y30)))</f>
        <v/>
      </c>
      <c r="AD30" s="62">
        <f>IF($V30="","",IF(AND(ISNUMBER($G30),$G30&lt;=IF($S30=MesCiclo,InicioCiclo,$S30+MOD(2-WEEKDAY($S30),7))+13),1,IF(N($W30)&gt;0,AVERAGEIFS($Z$5:$Z$1000,$U$5:$U$1000,ROW(),$V$5:$V$1000,"Sub"),$Z30)))</f>
        <v/>
      </c>
      <c r="AE30" s="62">
        <f>IF($V30="","",IF(AND(ISNUMBER($G30),$G30&lt;=IF($S30=MesCiclo,InicioCiclo,$S30+MOD(2-WEEKDAY($S30),7))+20),1,IF(N($W30)&gt;0,AVERAGEIFS($AA$5:$AA$1000,$U$5:$U$1000,ROW(),$V$5:$V$1000,"Sub"),$AA30)))</f>
        <v/>
      </c>
      <c r="AF30" s="62">
        <f>IF($V30="","",IF(AND(ISNUMBER($G30),$G30&lt;=IF($S30=MesCiclo,InicioCiclo,$S30+MOD(2-WEEKDAY($S30),7))+27),1,IF(N($W30)&gt;0,AVERAGEIFS($AB$5:$AB$1000,$U$5:$U$1000,ROW(),$V$5:$V$1000,"Sub"),$AB30)))</f>
        <v/>
      </c>
      <c r="AG30" s="62">
        <f>IF($V30&lt;&gt;"Macro","",IF(COUNTIFS($S$5:$S$1000,$S30,$V$5:$V$1000,"Macro",$H$5:$H$1000,"&gt;0")=0,1/COUNTIFS($S$5:$S$1000,$S30,$V$5:$V$1000,"Macro"),IF(AND(ISNUMBER($H30),N($H30)&gt;0),$H30,SUMIFS($H$5:$H$1000,$S$5:$S$1000,$S30,$V$5:$V$1000,"Macro")/COUNTIFS($S$5:$S$1000,$S30,$V$5:$V$1000,"Macro",$H$5:$H$1000,"&gt;0"))/(COUNTIFS($S$5:$S$1000,$S30,$V$5:$V$1000,"Macro")*SUMIFS($H$5:$H$1000,$S$5:$S$1000,$S30,$V$5:$V$1000,"Macro")/COUNTIFS($S$5:$S$1000,$S30,$V$5:$V$1000,"Macro",$H$5:$H$1000,"&gt;0"))))</f>
        <v/>
      </c>
      <c r="AH30" s="62" t="n"/>
      <c r="AI30" s="62" t="n"/>
      <c r="AJ30" s="62" t="n"/>
      <c r="AK30" s="62" t="n"/>
      <c r="AL30" s="62">
        <f>IF(LEFT($C30,11)="[Jefatura] ",IFERROR(MATCH("Riesgo Operacional|"&amp;MID($C30,12,500),rDname_ADM,0),0),"")</f>
        <v/>
      </c>
      <c r="AM30" s="62">
        <f>IF(N($AL30)&gt;0,INDEX(rIni_ADM,$AL30),IF(ISNUMBER($E30),$E30,""))</f>
        <v/>
      </c>
      <c r="AN30" s="62">
        <f>IF(N($AL30)&gt;0,INDEX(rLim_ADM,$AL30),IF(ISNUMBER($F30),$F30,""))</f>
        <v/>
      </c>
    </row>
    <row r="31">
      <c r="A31" s="56">
        <f>IF(NOT((COUNTA($B31:$D31)+COUNTA($G31:$L31)+COUNTA($Q31))&gt;0),"",IF($V31="Macro",COUNTIFS($V$5:$V31,"Macro",$S$5:$S31,$S31),IF(N($U31)=0,"?",COUNTIFS(INDEX($V$5:$V$1000,1):INDEX($V$5:$V$1000,$U31-4),"Macro",INDEX($S$5:$S$1000,1):INDEX($S$5:$S$1000,$U31-4),INDEX($S$5:$S$1000,$U31-4))&amp;"."&amp;COUNTIFS($U$5:$U31,$U31,$V$5:$V31,"Sub"))))</f>
        <v/>
      </c>
      <c r="B31" s="57" t="n"/>
      <c r="C31" s="58" t="n"/>
      <c r="D31" s="58" t="n"/>
      <c r="E31" s="59">
        <f>IF(N($AL31)&gt;0,INDEX(rIni_ADM,$AL31),"")</f>
        <v/>
      </c>
      <c r="F31" s="59">
        <f>IF(N($AL31)&gt;0,INDEX(rLim_ADM,$AL31),"")</f>
        <v/>
      </c>
      <c r="G31" s="59" t="n"/>
      <c r="H31" s="60" t="n"/>
      <c r="I31" s="60" t="n"/>
      <c r="J31" s="60" t="n"/>
      <c r="K31" s="60" t="n"/>
      <c r="L31" s="60" t="n"/>
      <c r="M31" s="61">
        <f>IF(NOT((COUNTA($B31:$D31)+COUNTA($G31:$L31)+COUNTA($Q31))&gt;0),"",IF(ISNUMBER($G31),1,IF(N($W31)&gt;0,AVERAGEIFS($X$5:$X$1000,$U$5:$U$1000,ROW(),$V$5:$V$1000,"Sub"),$X31)))</f>
        <v/>
      </c>
      <c r="N31" s="56">
        <f>IF($M31="","",IF($M31&gt;=1,"Completado",IF($M31&gt;0,"En curso","Pendiente")))</f>
        <v/>
      </c>
      <c r="O31" s="56">
        <f>IF(NOT((COUNTA($B31:$D31)+COUNTA($G31:$L31)+COUNTA($Q31))&gt;0),"",IF(ISNUMBER($G31),IF(AND(ISNUMBER($AN31),$G31&gt;$AN31),"Cumplida con "&amp;($G31-$AN31)&amp;IF($G31-$AN31=1," día"," días")&amp;" de retraso","Cumplida"),IF(N($M31)&gt;=1,"Cumplida",IF(NOT(ISNUMBER($AN31)),"Sin fecha límite",IF($AN31&lt;FechaRef,"Vencida hace "&amp;(FechaRef-$AN31)&amp;IF(FechaRef-$AN31=1," día"," días"),IF($AN31=FechaRef,"Vence hoy",IF($AN31-FechaRef&lt;=DiasAlerta,"Vence en "&amp;($AN31-FechaRef)&amp;IF($AN31-FechaRef=1," día"," días"),"En plazo")))))))</f>
        <v/>
      </c>
      <c r="P31" s="62" t="n"/>
      <c r="Q31" s="58" t="n"/>
      <c r="R31" s="63">
        <f>IF(NOT((COUNTA($B31:$D31)+COUNTA($G31:$L31)+COUNTA($Q31))&gt;0),"",IF((IF($C31="","Falta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",""))="","✔ OK","⚠ "&amp;LEFT(IF($C31="","Falta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",""),LEN(IF($C31="","Falta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",""))-3)))</f>
        <v/>
      </c>
      <c r="S31" s="64">
        <f>IF(NOT((COUNTA($B31:$D31)+COUNTA($G31:$L31)+COUNTA($Q31))&gt;0),"",IF(AND($V31="Sub",N($U31)&gt;0),IF(ISNUMBER(INDEX($AM$5:$AM$1000,$U31-4)),DATE(YEAR(INDEX($AM$5:$AM$1000,$U31-4)),MONTH(INDEX($AM$5:$AM$1000,$U31-4)),1),IF(ISNUMBER(INDEX($AN$5:$AN$1000,$U31-4)),DATE(YEAR(INDEX($AN$5:$AN$1000,$U31-4)),MONTH(INDEX($AN$5:$AN$1000,$U31-4)),1),MesCiclo)),IF(ISNUMBER($AM31),DATE(YEAR($AM31),MONTH($AM31),1),IF(ISNUMBER($AN31),DATE(YEAR($AN31),MONTH($AN31),1),MesCiclo))))</f>
        <v/>
      </c>
      <c r="T31" s="62">
        <f>IF(OR($S31="",$S31&lt;&gt;MesCiclo),"",COUNTIF($S$5:$S31,MesCiclo))</f>
        <v/>
      </c>
      <c r="U31" s="62">
        <f>IF($V31="","",IF($V31="Macro",ROW(),IFERROR(LOOKUP(2,1/($V$5:$V31="Macro"),ROW($V$5:$V31)),0)))</f>
        <v/>
      </c>
      <c r="V31" s="62">
        <f>IF(NOT((COUNTA($B31:$D31)+COUNTA($G31:$L31)+COUNTA($Q31))&gt;0),"",IF($B31="Subactividad","Sub","Macro"))</f>
        <v/>
      </c>
      <c r="W31" s="62">
        <f>IF($V31="Macro",COUNTIFS($U$5:$U$1000,ROW(),$V$5:$V$1000,"Sub"),"")</f>
        <v/>
      </c>
      <c r="X31" s="62">
        <f>IF($V31="","",IF(ISNUMBER($G31),1,IFERROR(LOOKUP(2,1/($I31:$L31&lt;&gt;""),$I31:$L31),0)))</f>
        <v/>
      </c>
      <c r="Y31" s="62">
        <f>IF($V31="","",IF(AND(ISNUMBER($G31),$G31&lt;=IF($S31=MesCiclo,InicioCiclo,$S31+MOD(2-WEEKDAY($S31),7))+6),1,IF(ISNUMBER($I31),$I31,0)))</f>
        <v/>
      </c>
      <c r="Z31" s="62">
        <f>IF($V31="","",IF(AND(ISNUMBER($G31),$G31&lt;=IF($S31=MesCiclo,InicioCiclo,$S31+MOD(2-WEEKDAY($S31),7))+13),1,IF(ISNUMBER($J31),$J31,$Y31)))</f>
        <v/>
      </c>
      <c r="AA31" s="62">
        <f>IF($V31="","",IF(AND(ISNUMBER($G31),$G31&lt;=IF($S31=MesCiclo,InicioCiclo,$S31+MOD(2-WEEKDAY($S31),7))+20),1,IF(ISNUMBER($K31),$K31,$Z31)))</f>
        <v/>
      </c>
      <c r="AB31" s="62">
        <f>IF($V31="","",IF(AND(ISNUMBER($G31),$G31&lt;=IF($S31=MesCiclo,InicioCiclo,$S31+MOD(2-WEEKDAY($S31),7))+27),1,IF(ISNUMBER($L31),$L31,$AA31)))</f>
        <v/>
      </c>
      <c r="AC31" s="62">
        <f>IF($V31="","",IF(AND(ISNUMBER($G31),$G31&lt;=IF($S31=MesCiclo,InicioCiclo,$S31+MOD(2-WEEKDAY($S31),7))+6),1,IF(N($W31)&gt;0,AVERAGEIFS($Y$5:$Y$1000,$U$5:$U$1000,ROW(),$V$5:$V$1000,"Sub"),$Y31)))</f>
        <v/>
      </c>
      <c r="AD31" s="62">
        <f>IF($V31="","",IF(AND(ISNUMBER($G31),$G31&lt;=IF($S31=MesCiclo,InicioCiclo,$S31+MOD(2-WEEKDAY($S31),7))+13),1,IF(N($W31)&gt;0,AVERAGEIFS($Z$5:$Z$1000,$U$5:$U$1000,ROW(),$V$5:$V$1000,"Sub"),$Z31)))</f>
        <v/>
      </c>
      <c r="AE31" s="62">
        <f>IF($V31="","",IF(AND(ISNUMBER($G31),$G31&lt;=IF($S31=MesCiclo,InicioCiclo,$S31+MOD(2-WEEKDAY($S31),7))+20),1,IF(N($W31)&gt;0,AVERAGEIFS($AA$5:$AA$1000,$U$5:$U$1000,ROW(),$V$5:$V$1000,"Sub"),$AA31)))</f>
        <v/>
      </c>
      <c r="AF31" s="62">
        <f>IF($V31="","",IF(AND(ISNUMBER($G31),$G31&lt;=IF($S31=MesCiclo,InicioCiclo,$S31+MOD(2-WEEKDAY($S31),7))+27),1,IF(N($W31)&gt;0,AVERAGEIFS($AB$5:$AB$1000,$U$5:$U$1000,ROW(),$V$5:$V$1000,"Sub"),$AB31)))</f>
        <v/>
      </c>
      <c r="AG31" s="62">
        <f>IF($V31&lt;&gt;"Macro","",IF(COUNTIFS($S$5:$S$1000,$S31,$V$5:$V$1000,"Macro",$H$5:$H$1000,"&gt;0")=0,1/COUNTIFS($S$5:$S$1000,$S31,$V$5:$V$1000,"Macro"),IF(AND(ISNUMBER($H31),N($H31)&gt;0),$H31,SUMIFS($H$5:$H$1000,$S$5:$S$1000,$S31,$V$5:$V$1000,"Macro")/COUNTIFS($S$5:$S$1000,$S31,$V$5:$V$1000,"Macro",$H$5:$H$1000,"&gt;0"))/(COUNTIFS($S$5:$S$1000,$S31,$V$5:$V$1000,"Macro")*SUMIFS($H$5:$H$1000,$S$5:$S$1000,$S31,$V$5:$V$1000,"Macro")/COUNTIFS($S$5:$S$1000,$S31,$V$5:$V$1000,"Macro",$H$5:$H$1000,"&gt;0"))))</f>
        <v/>
      </c>
      <c r="AH31" s="62" t="n"/>
      <c r="AI31" s="62" t="n"/>
      <c r="AJ31" s="62" t="n"/>
      <c r="AK31" s="62" t="n"/>
      <c r="AL31" s="62">
        <f>IF(LEFT($C31,11)="[Jefatura] ",IFERROR(MATCH("Riesgo Operacional|"&amp;MID($C31,12,500),rDname_ADM,0),0),"")</f>
        <v/>
      </c>
      <c r="AM31" s="62">
        <f>IF(N($AL31)&gt;0,INDEX(rIni_ADM,$AL31),IF(ISNUMBER($E31),$E31,""))</f>
        <v/>
      </c>
      <c r="AN31" s="62">
        <f>IF(N($AL31)&gt;0,INDEX(rLim_ADM,$AL31),IF(ISNUMBER($F31),$F31,""))</f>
        <v/>
      </c>
    </row>
    <row r="32">
      <c r="A32" s="56">
        <f>IF(NOT((COUNTA($B32:$D32)+COUNTA($G32:$L32)+COUNTA($Q32))&gt;0),"",IF($V32="Macro",COUNTIFS($V$5:$V32,"Macro",$S$5:$S32,$S32),IF(N($U32)=0,"?",COUNTIFS(INDEX($V$5:$V$1000,1):INDEX($V$5:$V$1000,$U32-4),"Macro",INDEX($S$5:$S$1000,1):INDEX($S$5:$S$1000,$U32-4),INDEX($S$5:$S$1000,$U32-4))&amp;"."&amp;COUNTIFS($U$5:$U32,$U32,$V$5:$V32,"Sub"))))</f>
        <v/>
      </c>
      <c r="B32" s="57" t="n"/>
      <c r="C32" s="58" t="n"/>
      <c r="D32" s="58" t="n"/>
      <c r="E32" s="59">
        <f>IF(N($AL32)&gt;0,INDEX(rIni_ADM,$AL32),"")</f>
        <v/>
      </c>
      <c r="F32" s="59">
        <f>IF(N($AL32)&gt;0,INDEX(rLim_ADM,$AL32),"")</f>
        <v/>
      </c>
      <c r="G32" s="59" t="n"/>
      <c r="H32" s="60" t="n"/>
      <c r="I32" s="60" t="n"/>
      <c r="J32" s="60" t="n"/>
      <c r="K32" s="60" t="n"/>
      <c r="L32" s="60" t="n"/>
      <c r="M32" s="61">
        <f>IF(NOT((COUNTA($B32:$D32)+COUNTA($G32:$L32)+COUNTA($Q32))&gt;0),"",IF(ISNUMBER($G32),1,IF(N($W32)&gt;0,AVERAGEIFS($X$5:$X$1000,$U$5:$U$1000,ROW(),$V$5:$V$1000,"Sub"),$X32)))</f>
        <v/>
      </c>
      <c r="N32" s="56">
        <f>IF($M32="","",IF($M32&gt;=1,"Completado",IF($M32&gt;0,"En curso","Pendiente")))</f>
        <v/>
      </c>
      <c r="O32" s="56">
        <f>IF(NOT((COUNTA($B32:$D32)+COUNTA($G32:$L32)+COUNTA($Q32))&gt;0),"",IF(ISNUMBER($G32),IF(AND(ISNUMBER($AN32),$G32&gt;$AN32),"Cumplida con "&amp;($G32-$AN32)&amp;IF($G32-$AN32=1," día"," días")&amp;" de retraso","Cumplida"),IF(N($M32)&gt;=1,"Cumplida",IF(NOT(ISNUMBER($AN32)),"Sin fecha límite",IF($AN32&lt;FechaRef,"Vencida hace "&amp;(FechaRef-$AN32)&amp;IF(FechaRef-$AN32=1," día"," días"),IF($AN32=FechaRef,"Vence hoy",IF($AN32-FechaRef&lt;=DiasAlerta,"Vence en "&amp;($AN32-FechaRef)&amp;IF($AN32-FechaRef=1," día"," días"),"En plazo")))))))</f>
        <v/>
      </c>
      <c r="P32" s="62" t="n"/>
      <c r="Q32" s="58" t="n"/>
      <c r="R32" s="63">
        <f>IF(NOT((COUNTA($B32:$D32)+COUNTA($G32:$L32)+COUNTA($Q32))&gt;0),"",IF((IF($C32="","Falta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",""))="","✔ OK","⚠ "&amp;LEFT(IF($C32="","Falta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",""),LEN(IF($C32="","Falta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",""))-3)))</f>
        <v/>
      </c>
      <c r="S32" s="64">
        <f>IF(NOT((COUNTA($B32:$D32)+COUNTA($G32:$L32)+COUNTA($Q32))&gt;0),"",IF(AND($V32="Sub",N($U32)&gt;0),IF(ISNUMBER(INDEX($AM$5:$AM$1000,$U32-4)),DATE(YEAR(INDEX($AM$5:$AM$1000,$U32-4)),MONTH(INDEX($AM$5:$AM$1000,$U32-4)),1),IF(ISNUMBER(INDEX($AN$5:$AN$1000,$U32-4)),DATE(YEAR(INDEX($AN$5:$AN$1000,$U32-4)),MONTH(INDEX($AN$5:$AN$1000,$U32-4)),1),MesCiclo)),IF(ISNUMBER($AM32),DATE(YEAR($AM32),MONTH($AM32),1),IF(ISNUMBER($AN32),DATE(YEAR($AN32),MONTH($AN32),1),MesCiclo))))</f>
        <v/>
      </c>
      <c r="T32" s="62">
        <f>IF(OR($S32="",$S32&lt;&gt;MesCiclo),"",COUNTIF($S$5:$S32,MesCiclo))</f>
        <v/>
      </c>
      <c r="U32" s="62">
        <f>IF($V32="","",IF($V32="Macro",ROW(),IFERROR(LOOKUP(2,1/($V$5:$V32="Macro"),ROW($V$5:$V32)),0)))</f>
        <v/>
      </c>
      <c r="V32" s="62">
        <f>IF(NOT((COUNTA($B32:$D32)+COUNTA($G32:$L32)+COUNTA($Q32))&gt;0),"",IF($B32="Subactividad","Sub","Macro"))</f>
        <v/>
      </c>
      <c r="W32" s="62">
        <f>IF($V32="Macro",COUNTIFS($U$5:$U$1000,ROW(),$V$5:$V$1000,"Sub"),"")</f>
        <v/>
      </c>
      <c r="X32" s="62">
        <f>IF($V32="","",IF(ISNUMBER($G32),1,IFERROR(LOOKUP(2,1/($I32:$L32&lt;&gt;""),$I32:$L32),0)))</f>
        <v/>
      </c>
      <c r="Y32" s="62">
        <f>IF($V32="","",IF(AND(ISNUMBER($G32),$G32&lt;=IF($S32=MesCiclo,InicioCiclo,$S32+MOD(2-WEEKDAY($S32),7))+6),1,IF(ISNUMBER($I32),$I32,0)))</f>
        <v/>
      </c>
      <c r="Z32" s="62">
        <f>IF($V32="","",IF(AND(ISNUMBER($G32),$G32&lt;=IF($S32=MesCiclo,InicioCiclo,$S32+MOD(2-WEEKDAY($S32),7))+13),1,IF(ISNUMBER($J32),$J32,$Y32)))</f>
        <v/>
      </c>
      <c r="AA32" s="62">
        <f>IF($V32="","",IF(AND(ISNUMBER($G32),$G32&lt;=IF($S32=MesCiclo,InicioCiclo,$S32+MOD(2-WEEKDAY($S32),7))+20),1,IF(ISNUMBER($K32),$K32,$Z32)))</f>
        <v/>
      </c>
      <c r="AB32" s="62">
        <f>IF($V32="","",IF(AND(ISNUMBER($G32),$G32&lt;=IF($S32=MesCiclo,InicioCiclo,$S32+MOD(2-WEEKDAY($S32),7))+27),1,IF(ISNUMBER($L32),$L32,$AA32)))</f>
        <v/>
      </c>
      <c r="AC32" s="62">
        <f>IF($V32="","",IF(AND(ISNUMBER($G32),$G32&lt;=IF($S32=MesCiclo,InicioCiclo,$S32+MOD(2-WEEKDAY($S32),7))+6),1,IF(N($W32)&gt;0,AVERAGEIFS($Y$5:$Y$1000,$U$5:$U$1000,ROW(),$V$5:$V$1000,"Sub"),$Y32)))</f>
        <v/>
      </c>
      <c r="AD32" s="62">
        <f>IF($V32="","",IF(AND(ISNUMBER($G32),$G32&lt;=IF($S32=MesCiclo,InicioCiclo,$S32+MOD(2-WEEKDAY($S32),7))+13),1,IF(N($W32)&gt;0,AVERAGEIFS($Z$5:$Z$1000,$U$5:$U$1000,ROW(),$V$5:$V$1000,"Sub"),$Z32)))</f>
        <v/>
      </c>
      <c r="AE32" s="62">
        <f>IF($V32="","",IF(AND(ISNUMBER($G32),$G32&lt;=IF($S32=MesCiclo,InicioCiclo,$S32+MOD(2-WEEKDAY($S32),7))+20),1,IF(N($W32)&gt;0,AVERAGEIFS($AA$5:$AA$1000,$U$5:$U$1000,ROW(),$V$5:$V$1000,"Sub"),$AA32)))</f>
        <v/>
      </c>
      <c r="AF32" s="62">
        <f>IF($V32="","",IF(AND(ISNUMBER($G32),$G32&lt;=IF($S32=MesCiclo,InicioCiclo,$S32+MOD(2-WEEKDAY($S32),7))+27),1,IF(N($W32)&gt;0,AVERAGEIFS($AB$5:$AB$1000,$U$5:$U$1000,ROW(),$V$5:$V$1000,"Sub"),$AB32)))</f>
        <v/>
      </c>
      <c r="AG32" s="62">
        <f>IF($V32&lt;&gt;"Macro","",IF(COUNTIFS($S$5:$S$1000,$S32,$V$5:$V$1000,"Macro",$H$5:$H$1000,"&gt;0")=0,1/COUNTIFS($S$5:$S$1000,$S32,$V$5:$V$1000,"Macro"),IF(AND(ISNUMBER($H32),N($H32)&gt;0),$H32,SUMIFS($H$5:$H$1000,$S$5:$S$1000,$S32,$V$5:$V$1000,"Macro")/COUNTIFS($S$5:$S$1000,$S32,$V$5:$V$1000,"Macro",$H$5:$H$1000,"&gt;0"))/(COUNTIFS($S$5:$S$1000,$S32,$V$5:$V$1000,"Macro")*SUMIFS($H$5:$H$1000,$S$5:$S$1000,$S32,$V$5:$V$1000,"Macro")/COUNTIFS($S$5:$S$1000,$S32,$V$5:$V$1000,"Macro",$H$5:$H$1000,"&gt;0"))))</f>
        <v/>
      </c>
      <c r="AH32" s="62" t="n"/>
      <c r="AI32" s="62" t="n"/>
      <c r="AJ32" s="62" t="n"/>
      <c r="AK32" s="62" t="n"/>
      <c r="AL32" s="62">
        <f>IF(LEFT($C32,11)="[Jefatura] ",IFERROR(MATCH("Riesgo Operacional|"&amp;MID($C32,12,500),rDname_ADM,0),0),"")</f>
        <v/>
      </c>
      <c r="AM32" s="62">
        <f>IF(N($AL32)&gt;0,INDEX(rIni_ADM,$AL32),IF(ISNUMBER($E32),$E32,""))</f>
        <v/>
      </c>
      <c r="AN32" s="62">
        <f>IF(N($AL32)&gt;0,INDEX(rLim_ADM,$AL32),IF(ISNUMBER($F32),$F32,""))</f>
        <v/>
      </c>
    </row>
    <row r="33">
      <c r="A33" s="56">
        <f>IF(NOT((COUNTA($B33:$D33)+COUNTA($G33:$L33)+COUNTA($Q33))&gt;0),"",IF($V33="Macro",COUNTIFS($V$5:$V33,"Macro",$S$5:$S33,$S33),IF(N($U33)=0,"?",COUNTIFS(INDEX($V$5:$V$1000,1):INDEX($V$5:$V$1000,$U33-4),"Macro",INDEX($S$5:$S$1000,1):INDEX($S$5:$S$1000,$U33-4),INDEX($S$5:$S$1000,$U33-4))&amp;"."&amp;COUNTIFS($U$5:$U33,$U33,$V$5:$V33,"Sub"))))</f>
        <v/>
      </c>
      <c r="B33" s="57" t="n"/>
      <c r="C33" s="58" t="n"/>
      <c r="D33" s="58" t="n"/>
      <c r="E33" s="59">
        <f>IF(N($AL33)&gt;0,INDEX(rIni_ADM,$AL33),"")</f>
        <v/>
      </c>
      <c r="F33" s="59">
        <f>IF(N($AL33)&gt;0,INDEX(rLim_ADM,$AL33),"")</f>
        <v/>
      </c>
      <c r="G33" s="59" t="n"/>
      <c r="H33" s="60" t="n"/>
      <c r="I33" s="60" t="n"/>
      <c r="J33" s="60" t="n"/>
      <c r="K33" s="60" t="n"/>
      <c r="L33" s="60" t="n"/>
      <c r="M33" s="61">
        <f>IF(NOT((COUNTA($B33:$D33)+COUNTA($G33:$L33)+COUNTA($Q33))&gt;0),"",IF(ISNUMBER($G33),1,IF(N($W33)&gt;0,AVERAGEIFS($X$5:$X$1000,$U$5:$U$1000,ROW(),$V$5:$V$1000,"Sub"),$X33)))</f>
        <v/>
      </c>
      <c r="N33" s="56">
        <f>IF($M33="","",IF($M33&gt;=1,"Completado",IF($M33&gt;0,"En curso","Pendiente")))</f>
        <v/>
      </c>
      <c r="O33" s="56">
        <f>IF(NOT((COUNTA($B33:$D33)+COUNTA($G33:$L33)+COUNTA($Q33))&gt;0),"",IF(ISNUMBER($G33),IF(AND(ISNUMBER($AN33),$G33&gt;$AN33),"Cumplida con "&amp;($G33-$AN33)&amp;IF($G33-$AN33=1," día"," días")&amp;" de retraso","Cumplida"),IF(N($M33)&gt;=1,"Cumplida",IF(NOT(ISNUMBER($AN33)),"Sin fecha límite",IF($AN33&lt;FechaRef,"Vencida hace "&amp;(FechaRef-$AN33)&amp;IF(FechaRef-$AN33=1," día"," días"),IF($AN33=FechaRef,"Vence hoy",IF($AN33-FechaRef&lt;=DiasAlerta,"Vence en "&amp;($AN33-FechaRef)&amp;IF($AN33-FechaRef=1," día"," días"),"En plazo")))))))</f>
        <v/>
      </c>
      <c r="P33" s="62" t="n"/>
      <c r="Q33" s="58" t="n"/>
      <c r="R33" s="63">
        <f>IF(NOT((COUNTA($B33:$D33)+COUNTA($G33:$L33)+COUNTA($Q33))&gt;0),"",IF((IF($C33="","Falta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",""))="","✔ OK","⚠ "&amp;LEFT(IF($C33="","Falta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",""),LEN(IF($C33="","Falta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",""))-3)))</f>
        <v/>
      </c>
      <c r="S33" s="64">
        <f>IF(NOT((COUNTA($B33:$D33)+COUNTA($G33:$L33)+COUNTA($Q33))&gt;0),"",IF(AND($V33="Sub",N($U33)&gt;0),IF(ISNUMBER(INDEX($AM$5:$AM$1000,$U33-4)),DATE(YEAR(INDEX($AM$5:$AM$1000,$U33-4)),MONTH(INDEX($AM$5:$AM$1000,$U33-4)),1),IF(ISNUMBER(INDEX($AN$5:$AN$1000,$U33-4)),DATE(YEAR(INDEX($AN$5:$AN$1000,$U33-4)),MONTH(INDEX($AN$5:$AN$1000,$U33-4)),1),MesCiclo)),IF(ISNUMBER($AM33),DATE(YEAR($AM33),MONTH($AM33),1),IF(ISNUMBER($AN33),DATE(YEAR($AN33),MONTH($AN33),1),MesCiclo))))</f>
        <v/>
      </c>
      <c r="T33" s="62">
        <f>IF(OR($S33="",$S33&lt;&gt;MesCiclo),"",COUNTIF($S$5:$S33,MesCiclo))</f>
        <v/>
      </c>
      <c r="U33" s="62">
        <f>IF($V33="","",IF($V33="Macro",ROW(),IFERROR(LOOKUP(2,1/($V$5:$V33="Macro"),ROW($V$5:$V33)),0)))</f>
        <v/>
      </c>
      <c r="V33" s="62">
        <f>IF(NOT((COUNTA($B33:$D33)+COUNTA($G33:$L33)+COUNTA($Q33))&gt;0),"",IF($B33="Subactividad","Sub","Macro"))</f>
        <v/>
      </c>
      <c r="W33" s="62">
        <f>IF($V33="Macro",COUNTIFS($U$5:$U$1000,ROW(),$V$5:$V$1000,"Sub"),"")</f>
        <v/>
      </c>
      <c r="X33" s="62">
        <f>IF($V33="","",IF(ISNUMBER($G33),1,IFERROR(LOOKUP(2,1/($I33:$L33&lt;&gt;""),$I33:$L33),0)))</f>
        <v/>
      </c>
      <c r="Y33" s="62">
        <f>IF($V33="","",IF(AND(ISNUMBER($G33),$G33&lt;=IF($S33=MesCiclo,InicioCiclo,$S33+MOD(2-WEEKDAY($S33),7))+6),1,IF(ISNUMBER($I33),$I33,0)))</f>
        <v/>
      </c>
      <c r="Z33" s="62">
        <f>IF($V33="","",IF(AND(ISNUMBER($G33),$G33&lt;=IF($S33=MesCiclo,InicioCiclo,$S33+MOD(2-WEEKDAY($S33),7))+13),1,IF(ISNUMBER($J33),$J33,$Y33)))</f>
        <v/>
      </c>
      <c r="AA33" s="62">
        <f>IF($V33="","",IF(AND(ISNUMBER($G33),$G33&lt;=IF($S33=MesCiclo,InicioCiclo,$S33+MOD(2-WEEKDAY($S33),7))+20),1,IF(ISNUMBER($K33),$K33,$Z33)))</f>
        <v/>
      </c>
      <c r="AB33" s="62">
        <f>IF($V33="","",IF(AND(ISNUMBER($G33),$G33&lt;=IF($S33=MesCiclo,InicioCiclo,$S33+MOD(2-WEEKDAY($S33),7))+27),1,IF(ISNUMBER($L33),$L33,$AA33)))</f>
        <v/>
      </c>
      <c r="AC33" s="62">
        <f>IF($V33="","",IF(AND(ISNUMBER($G33),$G33&lt;=IF($S33=MesCiclo,InicioCiclo,$S33+MOD(2-WEEKDAY($S33),7))+6),1,IF(N($W33)&gt;0,AVERAGEIFS($Y$5:$Y$1000,$U$5:$U$1000,ROW(),$V$5:$V$1000,"Sub"),$Y33)))</f>
        <v/>
      </c>
      <c r="AD33" s="62">
        <f>IF($V33="","",IF(AND(ISNUMBER($G33),$G33&lt;=IF($S33=MesCiclo,InicioCiclo,$S33+MOD(2-WEEKDAY($S33),7))+13),1,IF(N($W33)&gt;0,AVERAGEIFS($Z$5:$Z$1000,$U$5:$U$1000,ROW(),$V$5:$V$1000,"Sub"),$Z33)))</f>
        <v/>
      </c>
      <c r="AE33" s="62">
        <f>IF($V33="","",IF(AND(ISNUMBER($G33),$G33&lt;=IF($S33=MesCiclo,InicioCiclo,$S33+MOD(2-WEEKDAY($S33),7))+20),1,IF(N($W33)&gt;0,AVERAGEIFS($AA$5:$AA$1000,$U$5:$U$1000,ROW(),$V$5:$V$1000,"Sub"),$AA33)))</f>
        <v/>
      </c>
      <c r="AF33" s="62">
        <f>IF($V33="","",IF(AND(ISNUMBER($G33),$G33&lt;=IF($S33=MesCiclo,InicioCiclo,$S33+MOD(2-WEEKDAY($S33),7))+27),1,IF(N($W33)&gt;0,AVERAGEIFS($AB$5:$AB$1000,$U$5:$U$1000,ROW(),$V$5:$V$1000,"Sub"),$AB33)))</f>
        <v/>
      </c>
      <c r="AG33" s="62">
        <f>IF($V33&lt;&gt;"Macro","",IF(COUNTIFS($S$5:$S$1000,$S33,$V$5:$V$1000,"Macro",$H$5:$H$1000,"&gt;0")=0,1/COUNTIFS($S$5:$S$1000,$S33,$V$5:$V$1000,"Macro"),IF(AND(ISNUMBER($H33),N($H33)&gt;0),$H33,SUMIFS($H$5:$H$1000,$S$5:$S$1000,$S33,$V$5:$V$1000,"Macro")/COUNTIFS($S$5:$S$1000,$S33,$V$5:$V$1000,"Macro",$H$5:$H$1000,"&gt;0"))/(COUNTIFS($S$5:$S$1000,$S33,$V$5:$V$1000,"Macro")*SUMIFS($H$5:$H$1000,$S$5:$S$1000,$S33,$V$5:$V$1000,"Macro")/COUNTIFS($S$5:$S$1000,$S33,$V$5:$V$1000,"Macro",$H$5:$H$1000,"&gt;0"))))</f>
        <v/>
      </c>
      <c r="AH33" s="62" t="n"/>
      <c r="AI33" s="62" t="n"/>
      <c r="AJ33" s="62" t="n"/>
      <c r="AK33" s="62" t="n"/>
      <c r="AL33" s="62">
        <f>IF(LEFT($C33,11)="[Jefatura] ",IFERROR(MATCH("Riesgo Operacional|"&amp;MID($C33,12,500),rDname_ADM,0),0),"")</f>
        <v/>
      </c>
      <c r="AM33" s="62">
        <f>IF(N($AL33)&gt;0,INDEX(rIni_ADM,$AL33),IF(ISNUMBER($E33),$E33,""))</f>
        <v/>
      </c>
      <c r="AN33" s="62">
        <f>IF(N($AL33)&gt;0,INDEX(rLim_ADM,$AL33),IF(ISNUMBER($F33),$F33,""))</f>
        <v/>
      </c>
    </row>
    <row r="34">
      <c r="A34" s="56">
        <f>IF(NOT((COUNTA($B34:$D34)+COUNTA($G34:$L34)+COUNTA($Q34))&gt;0),"",IF($V34="Macro",COUNTIFS($V$5:$V34,"Macro",$S$5:$S34,$S34),IF(N($U34)=0,"?",COUNTIFS(INDEX($V$5:$V$1000,1):INDEX($V$5:$V$1000,$U34-4),"Macro",INDEX($S$5:$S$1000,1):INDEX($S$5:$S$1000,$U34-4),INDEX($S$5:$S$1000,$U34-4))&amp;"."&amp;COUNTIFS($U$5:$U34,$U34,$V$5:$V34,"Sub"))))</f>
        <v/>
      </c>
      <c r="B34" s="57" t="n"/>
      <c r="C34" s="58" t="n"/>
      <c r="D34" s="58" t="n"/>
      <c r="E34" s="59">
        <f>IF(N($AL34)&gt;0,INDEX(rIni_ADM,$AL34),"")</f>
        <v/>
      </c>
      <c r="F34" s="59">
        <f>IF(N($AL34)&gt;0,INDEX(rLim_ADM,$AL34),"")</f>
        <v/>
      </c>
      <c r="G34" s="59" t="n"/>
      <c r="H34" s="60" t="n"/>
      <c r="I34" s="60" t="n"/>
      <c r="J34" s="60" t="n"/>
      <c r="K34" s="60" t="n"/>
      <c r="L34" s="60" t="n"/>
      <c r="M34" s="61">
        <f>IF(NOT((COUNTA($B34:$D34)+COUNTA($G34:$L34)+COUNTA($Q34))&gt;0),"",IF(ISNUMBER($G34),1,IF(N($W34)&gt;0,AVERAGEIFS($X$5:$X$1000,$U$5:$U$1000,ROW(),$V$5:$V$1000,"Sub"),$X34)))</f>
        <v/>
      </c>
      <c r="N34" s="56">
        <f>IF($M34="","",IF($M34&gt;=1,"Completado",IF($M34&gt;0,"En curso","Pendiente")))</f>
        <v/>
      </c>
      <c r="O34" s="56">
        <f>IF(NOT((COUNTA($B34:$D34)+COUNTA($G34:$L34)+COUNTA($Q34))&gt;0),"",IF(ISNUMBER($G34),IF(AND(ISNUMBER($AN34),$G34&gt;$AN34),"Cumplida con "&amp;($G34-$AN34)&amp;IF($G34-$AN34=1," día"," días")&amp;" de retraso","Cumplida"),IF(N($M34)&gt;=1,"Cumplida",IF(NOT(ISNUMBER($AN34)),"Sin fecha límite",IF($AN34&lt;FechaRef,"Vencida hace "&amp;(FechaRef-$AN34)&amp;IF(FechaRef-$AN34=1," día"," días"),IF($AN34=FechaRef,"Vence hoy",IF($AN34-FechaRef&lt;=DiasAlerta,"Vence en "&amp;($AN34-FechaRef)&amp;IF($AN34-FechaRef=1," día"," días"),"En plazo")))))))</f>
        <v/>
      </c>
      <c r="P34" s="62" t="n"/>
      <c r="Q34" s="58" t="n"/>
      <c r="R34" s="63">
        <f>IF(NOT((COUNTA($B34:$D34)+COUNTA($G34:$L34)+COUNTA($Q34))&gt;0),"",IF((IF($C34="","Falta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",""))="","✔ OK","⚠ "&amp;LEFT(IF($C34="","Falta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",""),LEN(IF($C34="","Falta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",""))-3)))</f>
        <v/>
      </c>
      <c r="S34" s="64">
        <f>IF(NOT((COUNTA($B34:$D34)+COUNTA($G34:$L34)+COUNTA($Q34))&gt;0),"",IF(AND($V34="Sub",N($U34)&gt;0),IF(ISNUMBER(INDEX($AM$5:$AM$1000,$U34-4)),DATE(YEAR(INDEX($AM$5:$AM$1000,$U34-4)),MONTH(INDEX($AM$5:$AM$1000,$U34-4)),1),IF(ISNUMBER(INDEX($AN$5:$AN$1000,$U34-4)),DATE(YEAR(INDEX($AN$5:$AN$1000,$U34-4)),MONTH(INDEX($AN$5:$AN$1000,$U34-4)),1),MesCiclo)),IF(ISNUMBER($AM34),DATE(YEAR($AM34),MONTH($AM34),1),IF(ISNUMBER($AN34),DATE(YEAR($AN34),MONTH($AN34),1),MesCiclo))))</f>
        <v/>
      </c>
      <c r="T34" s="62">
        <f>IF(OR($S34="",$S34&lt;&gt;MesCiclo),"",COUNTIF($S$5:$S34,MesCiclo))</f>
        <v/>
      </c>
      <c r="U34" s="62">
        <f>IF($V34="","",IF($V34="Macro",ROW(),IFERROR(LOOKUP(2,1/($V$5:$V34="Macro"),ROW($V$5:$V34)),0)))</f>
        <v/>
      </c>
      <c r="V34" s="62">
        <f>IF(NOT((COUNTA($B34:$D34)+COUNTA($G34:$L34)+COUNTA($Q34))&gt;0),"",IF($B34="Subactividad","Sub","Macro"))</f>
        <v/>
      </c>
      <c r="W34" s="62">
        <f>IF($V34="Macro",COUNTIFS($U$5:$U$1000,ROW(),$V$5:$V$1000,"Sub"),"")</f>
        <v/>
      </c>
      <c r="X34" s="62">
        <f>IF($V34="","",IF(ISNUMBER($G34),1,IFERROR(LOOKUP(2,1/($I34:$L34&lt;&gt;""),$I34:$L34),0)))</f>
        <v/>
      </c>
      <c r="Y34" s="62">
        <f>IF($V34="","",IF(AND(ISNUMBER($G34),$G34&lt;=IF($S34=MesCiclo,InicioCiclo,$S34+MOD(2-WEEKDAY($S34),7))+6),1,IF(ISNUMBER($I34),$I34,0)))</f>
        <v/>
      </c>
      <c r="Z34" s="62">
        <f>IF($V34="","",IF(AND(ISNUMBER($G34),$G34&lt;=IF($S34=MesCiclo,InicioCiclo,$S34+MOD(2-WEEKDAY($S34),7))+13),1,IF(ISNUMBER($J34),$J34,$Y34)))</f>
        <v/>
      </c>
      <c r="AA34" s="62">
        <f>IF($V34="","",IF(AND(ISNUMBER($G34),$G34&lt;=IF($S34=MesCiclo,InicioCiclo,$S34+MOD(2-WEEKDAY($S34),7))+20),1,IF(ISNUMBER($K34),$K34,$Z34)))</f>
        <v/>
      </c>
      <c r="AB34" s="62">
        <f>IF($V34="","",IF(AND(ISNUMBER($G34),$G34&lt;=IF($S34=MesCiclo,InicioCiclo,$S34+MOD(2-WEEKDAY($S34),7))+27),1,IF(ISNUMBER($L34),$L34,$AA34)))</f>
        <v/>
      </c>
      <c r="AC34" s="62">
        <f>IF($V34="","",IF(AND(ISNUMBER($G34),$G34&lt;=IF($S34=MesCiclo,InicioCiclo,$S34+MOD(2-WEEKDAY($S34),7))+6),1,IF(N($W34)&gt;0,AVERAGEIFS($Y$5:$Y$1000,$U$5:$U$1000,ROW(),$V$5:$V$1000,"Sub"),$Y34)))</f>
        <v/>
      </c>
      <c r="AD34" s="62">
        <f>IF($V34="","",IF(AND(ISNUMBER($G34),$G34&lt;=IF($S34=MesCiclo,InicioCiclo,$S34+MOD(2-WEEKDAY($S34),7))+13),1,IF(N($W34)&gt;0,AVERAGEIFS($Z$5:$Z$1000,$U$5:$U$1000,ROW(),$V$5:$V$1000,"Sub"),$Z34)))</f>
        <v/>
      </c>
      <c r="AE34" s="62">
        <f>IF($V34="","",IF(AND(ISNUMBER($G34),$G34&lt;=IF($S34=MesCiclo,InicioCiclo,$S34+MOD(2-WEEKDAY($S34),7))+20),1,IF(N($W34)&gt;0,AVERAGEIFS($AA$5:$AA$1000,$U$5:$U$1000,ROW(),$V$5:$V$1000,"Sub"),$AA34)))</f>
        <v/>
      </c>
      <c r="AF34" s="62">
        <f>IF($V34="","",IF(AND(ISNUMBER($G34),$G34&lt;=IF($S34=MesCiclo,InicioCiclo,$S34+MOD(2-WEEKDAY($S34),7))+27),1,IF(N($W34)&gt;0,AVERAGEIFS($AB$5:$AB$1000,$U$5:$U$1000,ROW(),$V$5:$V$1000,"Sub"),$AB34)))</f>
        <v/>
      </c>
      <c r="AG34" s="62">
        <f>IF($V34&lt;&gt;"Macro","",IF(COUNTIFS($S$5:$S$1000,$S34,$V$5:$V$1000,"Macro",$H$5:$H$1000,"&gt;0")=0,1/COUNTIFS($S$5:$S$1000,$S34,$V$5:$V$1000,"Macro"),IF(AND(ISNUMBER($H34),N($H34)&gt;0),$H34,SUMIFS($H$5:$H$1000,$S$5:$S$1000,$S34,$V$5:$V$1000,"Macro")/COUNTIFS($S$5:$S$1000,$S34,$V$5:$V$1000,"Macro",$H$5:$H$1000,"&gt;0"))/(COUNTIFS($S$5:$S$1000,$S34,$V$5:$V$1000,"Macro")*SUMIFS($H$5:$H$1000,$S$5:$S$1000,$S34,$V$5:$V$1000,"Macro")/COUNTIFS($S$5:$S$1000,$S34,$V$5:$V$1000,"Macro",$H$5:$H$1000,"&gt;0"))))</f>
        <v/>
      </c>
      <c r="AH34" s="62" t="n"/>
      <c r="AI34" s="62" t="n"/>
      <c r="AJ34" s="62" t="n"/>
      <c r="AK34" s="62" t="n"/>
      <c r="AL34" s="62">
        <f>IF(LEFT($C34,11)="[Jefatura] ",IFERROR(MATCH("Riesgo Operacional|"&amp;MID($C34,12,500),rDname_ADM,0),0),"")</f>
        <v/>
      </c>
      <c r="AM34" s="62">
        <f>IF(N($AL34)&gt;0,INDEX(rIni_ADM,$AL34),IF(ISNUMBER($E34),$E34,""))</f>
        <v/>
      </c>
      <c r="AN34" s="62">
        <f>IF(N($AL34)&gt;0,INDEX(rLim_ADM,$AL34),IF(ISNUMBER($F34),$F34,""))</f>
        <v/>
      </c>
    </row>
    <row r="35">
      <c r="A35" s="56">
        <f>IF(NOT((COUNTA($B35:$D35)+COUNTA($G35:$L35)+COUNTA($Q35))&gt;0),"",IF($V35="Macro",COUNTIFS($V$5:$V35,"Macro",$S$5:$S35,$S35),IF(N($U35)=0,"?",COUNTIFS(INDEX($V$5:$V$1000,1):INDEX($V$5:$V$1000,$U35-4),"Macro",INDEX($S$5:$S$1000,1):INDEX($S$5:$S$1000,$U35-4),INDEX($S$5:$S$1000,$U35-4))&amp;"."&amp;COUNTIFS($U$5:$U35,$U35,$V$5:$V35,"Sub"))))</f>
        <v/>
      </c>
      <c r="B35" s="57" t="n"/>
      <c r="C35" s="58" t="n"/>
      <c r="D35" s="58" t="n"/>
      <c r="E35" s="59">
        <f>IF(N($AL35)&gt;0,INDEX(rIni_ADM,$AL35),"")</f>
        <v/>
      </c>
      <c r="F35" s="59">
        <f>IF(N($AL35)&gt;0,INDEX(rLim_ADM,$AL35),"")</f>
        <v/>
      </c>
      <c r="G35" s="59" t="n"/>
      <c r="H35" s="60" t="n"/>
      <c r="I35" s="60" t="n"/>
      <c r="J35" s="60" t="n"/>
      <c r="K35" s="60" t="n"/>
      <c r="L35" s="60" t="n"/>
      <c r="M35" s="61">
        <f>IF(NOT((COUNTA($B35:$D35)+COUNTA($G35:$L35)+COUNTA($Q35))&gt;0),"",IF(ISNUMBER($G35),1,IF(N($W35)&gt;0,AVERAGEIFS($X$5:$X$1000,$U$5:$U$1000,ROW(),$V$5:$V$1000,"Sub"),$X35)))</f>
        <v/>
      </c>
      <c r="N35" s="56">
        <f>IF($M35="","",IF($M35&gt;=1,"Completado",IF($M35&gt;0,"En curso","Pendiente")))</f>
        <v/>
      </c>
      <c r="O35" s="56">
        <f>IF(NOT((COUNTA($B35:$D35)+COUNTA($G35:$L35)+COUNTA($Q35))&gt;0),"",IF(ISNUMBER($G35),IF(AND(ISNUMBER($AN35),$G35&gt;$AN35),"Cumplida con "&amp;($G35-$AN35)&amp;IF($G35-$AN35=1," día"," días")&amp;" de retraso","Cumplida"),IF(N($M35)&gt;=1,"Cumplida",IF(NOT(ISNUMBER($AN35)),"Sin fecha límite",IF($AN35&lt;FechaRef,"Vencida hace "&amp;(FechaRef-$AN35)&amp;IF(FechaRef-$AN35=1," día"," días"),IF($AN35=FechaRef,"Vence hoy",IF($AN35-FechaRef&lt;=DiasAlerta,"Vence en "&amp;($AN35-FechaRef)&amp;IF($AN35-FechaRef=1," día"," días"),"En plazo")))))))</f>
        <v/>
      </c>
      <c r="P35" s="62" t="n"/>
      <c r="Q35" s="58" t="n"/>
      <c r="R35" s="63">
        <f>IF(NOT((COUNTA($B35:$D35)+COUNTA($G35:$L35)+COUNTA($Q35))&gt;0),"",IF((IF($C35="","Falta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",""))="","✔ OK","⚠ "&amp;LEFT(IF($C35="","Falta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",""),LEN(IF($C35="","Falta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",""))-3)))</f>
        <v/>
      </c>
      <c r="S35" s="64">
        <f>IF(NOT((COUNTA($B35:$D35)+COUNTA($G35:$L35)+COUNTA($Q35))&gt;0),"",IF(AND($V35="Sub",N($U35)&gt;0),IF(ISNUMBER(INDEX($AM$5:$AM$1000,$U35-4)),DATE(YEAR(INDEX($AM$5:$AM$1000,$U35-4)),MONTH(INDEX($AM$5:$AM$1000,$U35-4)),1),IF(ISNUMBER(INDEX($AN$5:$AN$1000,$U35-4)),DATE(YEAR(INDEX($AN$5:$AN$1000,$U35-4)),MONTH(INDEX($AN$5:$AN$1000,$U35-4)),1),MesCiclo)),IF(ISNUMBER($AM35),DATE(YEAR($AM35),MONTH($AM35),1),IF(ISNUMBER($AN35),DATE(YEAR($AN35),MONTH($AN35),1),MesCiclo))))</f>
        <v/>
      </c>
      <c r="T35" s="62">
        <f>IF(OR($S35="",$S35&lt;&gt;MesCiclo),"",COUNTIF($S$5:$S35,MesCiclo))</f>
        <v/>
      </c>
      <c r="U35" s="62">
        <f>IF($V35="","",IF($V35="Macro",ROW(),IFERROR(LOOKUP(2,1/($V$5:$V35="Macro"),ROW($V$5:$V35)),0)))</f>
        <v/>
      </c>
      <c r="V35" s="62">
        <f>IF(NOT((COUNTA($B35:$D35)+COUNTA($G35:$L35)+COUNTA($Q35))&gt;0),"",IF($B35="Subactividad","Sub","Macro"))</f>
        <v/>
      </c>
      <c r="W35" s="62">
        <f>IF($V35="Macro",COUNTIFS($U$5:$U$1000,ROW(),$V$5:$V$1000,"Sub"),"")</f>
        <v/>
      </c>
      <c r="X35" s="62">
        <f>IF($V35="","",IF(ISNUMBER($G35),1,IFERROR(LOOKUP(2,1/($I35:$L35&lt;&gt;""),$I35:$L35),0)))</f>
        <v/>
      </c>
      <c r="Y35" s="62">
        <f>IF($V35="","",IF(AND(ISNUMBER($G35),$G35&lt;=IF($S35=MesCiclo,InicioCiclo,$S35+MOD(2-WEEKDAY($S35),7))+6),1,IF(ISNUMBER($I35),$I35,0)))</f>
        <v/>
      </c>
      <c r="Z35" s="62">
        <f>IF($V35="","",IF(AND(ISNUMBER($G35),$G35&lt;=IF($S35=MesCiclo,InicioCiclo,$S35+MOD(2-WEEKDAY($S35),7))+13),1,IF(ISNUMBER($J35),$J35,$Y35)))</f>
        <v/>
      </c>
      <c r="AA35" s="62">
        <f>IF($V35="","",IF(AND(ISNUMBER($G35),$G35&lt;=IF($S35=MesCiclo,InicioCiclo,$S35+MOD(2-WEEKDAY($S35),7))+20),1,IF(ISNUMBER($K35),$K35,$Z35)))</f>
        <v/>
      </c>
      <c r="AB35" s="62">
        <f>IF($V35="","",IF(AND(ISNUMBER($G35),$G35&lt;=IF($S35=MesCiclo,InicioCiclo,$S35+MOD(2-WEEKDAY($S35),7))+27),1,IF(ISNUMBER($L35),$L35,$AA35)))</f>
        <v/>
      </c>
      <c r="AC35" s="62">
        <f>IF($V35="","",IF(AND(ISNUMBER($G35),$G35&lt;=IF($S35=MesCiclo,InicioCiclo,$S35+MOD(2-WEEKDAY($S35),7))+6),1,IF(N($W35)&gt;0,AVERAGEIFS($Y$5:$Y$1000,$U$5:$U$1000,ROW(),$V$5:$V$1000,"Sub"),$Y35)))</f>
        <v/>
      </c>
      <c r="AD35" s="62">
        <f>IF($V35="","",IF(AND(ISNUMBER($G35),$G35&lt;=IF($S35=MesCiclo,InicioCiclo,$S35+MOD(2-WEEKDAY($S35),7))+13),1,IF(N($W35)&gt;0,AVERAGEIFS($Z$5:$Z$1000,$U$5:$U$1000,ROW(),$V$5:$V$1000,"Sub"),$Z35)))</f>
        <v/>
      </c>
      <c r="AE35" s="62">
        <f>IF($V35="","",IF(AND(ISNUMBER($G35),$G35&lt;=IF($S35=MesCiclo,InicioCiclo,$S35+MOD(2-WEEKDAY($S35),7))+20),1,IF(N($W35)&gt;0,AVERAGEIFS($AA$5:$AA$1000,$U$5:$U$1000,ROW(),$V$5:$V$1000,"Sub"),$AA35)))</f>
        <v/>
      </c>
      <c r="AF35" s="62">
        <f>IF($V35="","",IF(AND(ISNUMBER($G35),$G35&lt;=IF($S35=MesCiclo,InicioCiclo,$S35+MOD(2-WEEKDAY($S35),7))+27),1,IF(N($W35)&gt;0,AVERAGEIFS($AB$5:$AB$1000,$U$5:$U$1000,ROW(),$V$5:$V$1000,"Sub"),$AB35)))</f>
        <v/>
      </c>
      <c r="AG35" s="62">
        <f>IF($V35&lt;&gt;"Macro","",IF(COUNTIFS($S$5:$S$1000,$S35,$V$5:$V$1000,"Macro",$H$5:$H$1000,"&gt;0")=0,1/COUNTIFS($S$5:$S$1000,$S35,$V$5:$V$1000,"Macro"),IF(AND(ISNUMBER($H35),N($H35)&gt;0),$H35,SUMIFS($H$5:$H$1000,$S$5:$S$1000,$S35,$V$5:$V$1000,"Macro")/COUNTIFS($S$5:$S$1000,$S35,$V$5:$V$1000,"Macro",$H$5:$H$1000,"&gt;0"))/(COUNTIFS($S$5:$S$1000,$S35,$V$5:$V$1000,"Macro")*SUMIFS($H$5:$H$1000,$S$5:$S$1000,$S35,$V$5:$V$1000,"Macro")/COUNTIFS($S$5:$S$1000,$S35,$V$5:$V$1000,"Macro",$H$5:$H$1000,"&gt;0"))))</f>
        <v/>
      </c>
      <c r="AH35" s="62" t="n"/>
      <c r="AI35" s="62" t="n"/>
      <c r="AJ35" s="62" t="n"/>
      <c r="AK35" s="62" t="n"/>
      <c r="AL35" s="62">
        <f>IF(LEFT($C35,11)="[Jefatura] ",IFERROR(MATCH("Riesgo Operacional|"&amp;MID($C35,12,500),rDname_ADM,0),0),"")</f>
        <v/>
      </c>
      <c r="AM35" s="62">
        <f>IF(N($AL35)&gt;0,INDEX(rIni_ADM,$AL35),IF(ISNUMBER($E35),$E35,""))</f>
        <v/>
      </c>
      <c r="AN35" s="62">
        <f>IF(N($AL35)&gt;0,INDEX(rLim_ADM,$AL35),IF(ISNUMBER($F35),$F35,""))</f>
        <v/>
      </c>
    </row>
    <row r="36">
      <c r="A36" s="56">
        <f>IF(NOT((COUNTA($B36:$D36)+COUNTA($G36:$L36)+COUNTA($Q36))&gt;0),"",IF($V36="Macro",COUNTIFS($V$5:$V36,"Macro",$S$5:$S36,$S36),IF(N($U36)=0,"?",COUNTIFS(INDEX($V$5:$V$1000,1):INDEX($V$5:$V$1000,$U36-4),"Macro",INDEX($S$5:$S$1000,1):INDEX($S$5:$S$1000,$U36-4),INDEX($S$5:$S$1000,$U36-4))&amp;"."&amp;COUNTIFS($U$5:$U36,$U36,$V$5:$V36,"Sub"))))</f>
        <v/>
      </c>
      <c r="B36" s="57" t="n"/>
      <c r="C36" s="58" t="n"/>
      <c r="D36" s="58" t="n"/>
      <c r="E36" s="59">
        <f>IF(N($AL36)&gt;0,INDEX(rIni_ADM,$AL36),"")</f>
        <v/>
      </c>
      <c r="F36" s="59">
        <f>IF(N($AL36)&gt;0,INDEX(rLim_ADM,$AL36),"")</f>
        <v/>
      </c>
      <c r="G36" s="59" t="n"/>
      <c r="H36" s="60" t="n"/>
      <c r="I36" s="60" t="n"/>
      <c r="J36" s="60" t="n"/>
      <c r="K36" s="60" t="n"/>
      <c r="L36" s="60" t="n"/>
      <c r="M36" s="61">
        <f>IF(NOT((COUNTA($B36:$D36)+COUNTA($G36:$L36)+COUNTA($Q36))&gt;0),"",IF(ISNUMBER($G36),1,IF(N($W36)&gt;0,AVERAGEIFS($X$5:$X$1000,$U$5:$U$1000,ROW(),$V$5:$V$1000,"Sub"),$X36)))</f>
        <v/>
      </c>
      <c r="N36" s="56">
        <f>IF($M36="","",IF($M36&gt;=1,"Completado",IF($M36&gt;0,"En curso","Pendiente")))</f>
        <v/>
      </c>
      <c r="O36" s="56">
        <f>IF(NOT((COUNTA($B36:$D36)+COUNTA($G36:$L36)+COUNTA($Q36))&gt;0),"",IF(ISNUMBER($G36),IF(AND(ISNUMBER($AN36),$G36&gt;$AN36),"Cumplida con "&amp;($G36-$AN36)&amp;IF($G36-$AN36=1," día"," días")&amp;" de retraso","Cumplida"),IF(N($M36)&gt;=1,"Cumplida",IF(NOT(ISNUMBER($AN36)),"Sin fecha límite",IF($AN36&lt;FechaRef,"Vencida hace "&amp;(FechaRef-$AN36)&amp;IF(FechaRef-$AN36=1," día"," días"),IF($AN36=FechaRef,"Vence hoy",IF($AN36-FechaRef&lt;=DiasAlerta,"Vence en "&amp;($AN36-FechaRef)&amp;IF($AN36-FechaRef=1," día"," días"),"En plazo")))))))</f>
        <v/>
      </c>
      <c r="P36" s="62" t="n"/>
      <c r="Q36" s="58" t="n"/>
      <c r="R36" s="63">
        <f>IF(NOT((COUNTA($B36:$D36)+COUNTA($G36:$L36)+COUNTA($Q36))&gt;0),"",IF((IF($C36="","Falta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",""))="","✔ OK","⚠ "&amp;LEFT(IF($C36="","Falta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",""),LEN(IF($C36="","Falta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",""))-3)))</f>
        <v/>
      </c>
      <c r="S36" s="64">
        <f>IF(NOT((COUNTA($B36:$D36)+COUNTA($G36:$L36)+COUNTA($Q36))&gt;0),"",IF(AND($V36="Sub",N($U36)&gt;0),IF(ISNUMBER(INDEX($AM$5:$AM$1000,$U36-4)),DATE(YEAR(INDEX($AM$5:$AM$1000,$U36-4)),MONTH(INDEX($AM$5:$AM$1000,$U36-4)),1),IF(ISNUMBER(INDEX($AN$5:$AN$1000,$U36-4)),DATE(YEAR(INDEX($AN$5:$AN$1000,$U36-4)),MONTH(INDEX($AN$5:$AN$1000,$U36-4)),1),MesCiclo)),IF(ISNUMBER($AM36),DATE(YEAR($AM36),MONTH($AM36),1),IF(ISNUMBER($AN36),DATE(YEAR($AN36),MONTH($AN36),1),MesCiclo))))</f>
        <v/>
      </c>
      <c r="T36" s="62">
        <f>IF(OR($S36="",$S36&lt;&gt;MesCiclo),"",COUNTIF($S$5:$S36,MesCiclo))</f>
        <v/>
      </c>
      <c r="U36" s="62">
        <f>IF($V36="","",IF($V36="Macro",ROW(),IFERROR(LOOKUP(2,1/($V$5:$V36="Macro"),ROW($V$5:$V36)),0)))</f>
        <v/>
      </c>
      <c r="V36" s="62">
        <f>IF(NOT((COUNTA($B36:$D36)+COUNTA($G36:$L36)+COUNTA($Q36))&gt;0),"",IF($B36="Subactividad","Sub","Macro"))</f>
        <v/>
      </c>
      <c r="W36" s="62">
        <f>IF($V36="Macro",COUNTIFS($U$5:$U$1000,ROW(),$V$5:$V$1000,"Sub"),"")</f>
        <v/>
      </c>
      <c r="X36" s="62">
        <f>IF($V36="","",IF(ISNUMBER($G36),1,IFERROR(LOOKUP(2,1/($I36:$L36&lt;&gt;""),$I36:$L36),0)))</f>
        <v/>
      </c>
      <c r="Y36" s="62">
        <f>IF($V36="","",IF(AND(ISNUMBER($G36),$G36&lt;=IF($S36=MesCiclo,InicioCiclo,$S36+MOD(2-WEEKDAY($S36),7))+6),1,IF(ISNUMBER($I36),$I36,0)))</f>
        <v/>
      </c>
      <c r="Z36" s="62">
        <f>IF($V36="","",IF(AND(ISNUMBER($G36),$G36&lt;=IF($S36=MesCiclo,InicioCiclo,$S36+MOD(2-WEEKDAY($S36),7))+13),1,IF(ISNUMBER($J36),$J36,$Y36)))</f>
        <v/>
      </c>
      <c r="AA36" s="62">
        <f>IF($V36="","",IF(AND(ISNUMBER($G36),$G36&lt;=IF($S36=MesCiclo,InicioCiclo,$S36+MOD(2-WEEKDAY($S36),7))+20),1,IF(ISNUMBER($K36),$K36,$Z36)))</f>
        <v/>
      </c>
      <c r="AB36" s="62">
        <f>IF($V36="","",IF(AND(ISNUMBER($G36),$G36&lt;=IF($S36=MesCiclo,InicioCiclo,$S36+MOD(2-WEEKDAY($S36),7))+27),1,IF(ISNUMBER($L36),$L36,$AA36)))</f>
        <v/>
      </c>
      <c r="AC36" s="62">
        <f>IF($V36="","",IF(AND(ISNUMBER($G36),$G36&lt;=IF($S36=MesCiclo,InicioCiclo,$S36+MOD(2-WEEKDAY($S36),7))+6),1,IF(N($W36)&gt;0,AVERAGEIFS($Y$5:$Y$1000,$U$5:$U$1000,ROW(),$V$5:$V$1000,"Sub"),$Y36)))</f>
        <v/>
      </c>
      <c r="AD36" s="62">
        <f>IF($V36="","",IF(AND(ISNUMBER($G36),$G36&lt;=IF($S36=MesCiclo,InicioCiclo,$S36+MOD(2-WEEKDAY($S36),7))+13),1,IF(N($W36)&gt;0,AVERAGEIFS($Z$5:$Z$1000,$U$5:$U$1000,ROW(),$V$5:$V$1000,"Sub"),$Z36)))</f>
        <v/>
      </c>
      <c r="AE36" s="62">
        <f>IF($V36="","",IF(AND(ISNUMBER($G36),$G36&lt;=IF($S36=MesCiclo,InicioCiclo,$S36+MOD(2-WEEKDAY($S36),7))+20),1,IF(N($W36)&gt;0,AVERAGEIFS($AA$5:$AA$1000,$U$5:$U$1000,ROW(),$V$5:$V$1000,"Sub"),$AA36)))</f>
        <v/>
      </c>
      <c r="AF36" s="62">
        <f>IF($V36="","",IF(AND(ISNUMBER($G36),$G36&lt;=IF($S36=MesCiclo,InicioCiclo,$S36+MOD(2-WEEKDAY($S36),7))+27),1,IF(N($W36)&gt;0,AVERAGEIFS($AB$5:$AB$1000,$U$5:$U$1000,ROW(),$V$5:$V$1000,"Sub"),$AB36)))</f>
        <v/>
      </c>
      <c r="AG36" s="62">
        <f>IF($V36&lt;&gt;"Macro","",IF(COUNTIFS($S$5:$S$1000,$S36,$V$5:$V$1000,"Macro",$H$5:$H$1000,"&gt;0")=0,1/COUNTIFS($S$5:$S$1000,$S36,$V$5:$V$1000,"Macro"),IF(AND(ISNUMBER($H36),N($H36)&gt;0),$H36,SUMIFS($H$5:$H$1000,$S$5:$S$1000,$S36,$V$5:$V$1000,"Macro")/COUNTIFS($S$5:$S$1000,$S36,$V$5:$V$1000,"Macro",$H$5:$H$1000,"&gt;0"))/(COUNTIFS($S$5:$S$1000,$S36,$V$5:$V$1000,"Macro")*SUMIFS($H$5:$H$1000,$S$5:$S$1000,$S36,$V$5:$V$1000,"Macro")/COUNTIFS($S$5:$S$1000,$S36,$V$5:$V$1000,"Macro",$H$5:$H$1000,"&gt;0"))))</f>
        <v/>
      </c>
      <c r="AH36" s="62" t="n"/>
      <c r="AI36" s="62" t="n"/>
      <c r="AJ36" s="62" t="n"/>
      <c r="AK36" s="62" t="n"/>
      <c r="AL36" s="62">
        <f>IF(LEFT($C36,11)="[Jefatura] ",IFERROR(MATCH("Riesgo Operacional|"&amp;MID($C36,12,500),rDname_ADM,0),0),"")</f>
        <v/>
      </c>
      <c r="AM36" s="62">
        <f>IF(N($AL36)&gt;0,INDEX(rIni_ADM,$AL36),IF(ISNUMBER($E36),$E36,""))</f>
        <v/>
      </c>
      <c r="AN36" s="62">
        <f>IF(N($AL36)&gt;0,INDEX(rLim_ADM,$AL36),IF(ISNUMBER($F36),$F36,""))</f>
        <v/>
      </c>
    </row>
    <row r="37">
      <c r="A37" s="56">
        <f>IF(NOT((COUNTA($B37:$D37)+COUNTA($G37:$L37)+COUNTA($Q37))&gt;0),"",IF($V37="Macro",COUNTIFS($V$5:$V37,"Macro",$S$5:$S37,$S37),IF(N($U37)=0,"?",COUNTIFS(INDEX($V$5:$V$1000,1):INDEX($V$5:$V$1000,$U37-4),"Macro",INDEX($S$5:$S$1000,1):INDEX($S$5:$S$1000,$U37-4),INDEX($S$5:$S$1000,$U37-4))&amp;"."&amp;COUNTIFS($U$5:$U37,$U37,$V$5:$V37,"Sub"))))</f>
        <v/>
      </c>
      <c r="B37" s="57" t="n"/>
      <c r="C37" s="58" t="n"/>
      <c r="D37" s="58" t="n"/>
      <c r="E37" s="59">
        <f>IF(N($AL37)&gt;0,INDEX(rIni_ADM,$AL37),"")</f>
        <v/>
      </c>
      <c r="F37" s="59">
        <f>IF(N($AL37)&gt;0,INDEX(rLim_ADM,$AL37),"")</f>
        <v/>
      </c>
      <c r="G37" s="59" t="n"/>
      <c r="H37" s="60" t="n"/>
      <c r="I37" s="60" t="n"/>
      <c r="J37" s="60" t="n"/>
      <c r="K37" s="60" t="n"/>
      <c r="L37" s="60" t="n"/>
      <c r="M37" s="61">
        <f>IF(NOT((COUNTA($B37:$D37)+COUNTA($G37:$L37)+COUNTA($Q37))&gt;0),"",IF(ISNUMBER($G37),1,IF(N($W37)&gt;0,AVERAGEIFS($X$5:$X$1000,$U$5:$U$1000,ROW(),$V$5:$V$1000,"Sub"),$X37)))</f>
        <v/>
      </c>
      <c r="N37" s="56">
        <f>IF($M37="","",IF($M37&gt;=1,"Completado",IF($M37&gt;0,"En curso","Pendiente")))</f>
        <v/>
      </c>
      <c r="O37" s="56">
        <f>IF(NOT((COUNTA($B37:$D37)+COUNTA($G37:$L37)+COUNTA($Q37))&gt;0),"",IF(ISNUMBER($G37),IF(AND(ISNUMBER($AN37),$G37&gt;$AN37),"Cumplida con "&amp;($G37-$AN37)&amp;IF($G37-$AN37=1," día"," días")&amp;" de retraso","Cumplida"),IF(N($M37)&gt;=1,"Cumplida",IF(NOT(ISNUMBER($AN37)),"Sin fecha límite",IF($AN37&lt;FechaRef,"Vencida hace "&amp;(FechaRef-$AN37)&amp;IF(FechaRef-$AN37=1," día"," días"),IF($AN37=FechaRef,"Vence hoy",IF($AN37-FechaRef&lt;=DiasAlerta,"Vence en "&amp;($AN37-FechaRef)&amp;IF($AN37-FechaRef=1," día"," días"),"En plazo")))))))</f>
        <v/>
      </c>
      <c r="P37" s="62" t="n"/>
      <c r="Q37" s="58" t="n"/>
      <c r="R37" s="63">
        <f>IF(NOT((COUNTA($B37:$D37)+COUNTA($G37:$L37)+COUNTA($Q37))&gt;0),"",IF((IF($C37="","Falta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",""))="","✔ OK","⚠ "&amp;LEFT(IF($C37="","Falta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",""),LEN(IF($C37="","Falta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",""))-3)))</f>
        <v/>
      </c>
      <c r="S37" s="64">
        <f>IF(NOT((COUNTA($B37:$D37)+COUNTA($G37:$L37)+COUNTA($Q37))&gt;0),"",IF(AND($V37="Sub",N($U37)&gt;0),IF(ISNUMBER(INDEX($AM$5:$AM$1000,$U37-4)),DATE(YEAR(INDEX($AM$5:$AM$1000,$U37-4)),MONTH(INDEX($AM$5:$AM$1000,$U37-4)),1),IF(ISNUMBER(INDEX($AN$5:$AN$1000,$U37-4)),DATE(YEAR(INDEX($AN$5:$AN$1000,$U37-4)),MONTH(INDEX($AN$5:$AN$1000,$U37-4)),1),MesCiclo)),IF(ISNUMBER($AM37),DATE(YEAR($AM37),MONTH($AM37),1),IF(ISNUMBER($AN37),DATE(YEAR($AN37),MONTH($AN37),1),MesCiclo))))</f>
        <v/>
      </c>
      <c r="T37" s="62">
        <f>IF(OR($S37="",$S37&lt;&gt;MesCiclo),"",COUNTIF($S$5:$S37,MesCiclo))</f>
        <v/>
      </c>
      <c r="U37" s="62">
        <f>IF($V37="","",IF($V37="Macro",ROW(),IFERROR(LOOKUP(2,1/($V$5:$V37="Macro"),ROW($V$5:$V37)),0)))</f>
        <v/>
      </c>
      <c r="V37" s="62">
        <f>IF(NOT((COUNTA($B37:$D37)+COUNTA($G37:$L37)+COUNTA($Q37))&gt;0),"",IF($B37="Subactividad","Sub","Macro"))</f>
        <v/>
      </c>
      <c r="W37" s="62">
        <f>IF($V37="Macro",COUNTIFS($U$5:$U$1000,ROW(),$V$5:$V$1000,"Sub"),"")</f>
        <v/>
      </c>
      <c r="X37" s="62">
        <f>IF($V37="","",IF(ISNUMBER($G37),1,IFERROR(LOOKUP(2,1/($I37:$L37&lt;&gt;""),$I37:$L37),0)))</f>
        <v/>
      </c>
      <c r="Y37" s="62">
        <f>IF($V37="","",IF(AND(ISNUMBER($G37),$G37&lt;=IF($S37=MesCiclo,InicioCiclo,$S37+MOD(2-WEEKDAY($S37),7))+6),1,IF(ISNUMBER($I37),$I37,0)))</f>
        <v/>
      </c>
      <c r="Z37" s="62">
        <f>IF($V37="","",IF(AND(ISNUMBER($G37),$G37&lt;=IF($S37=MesCiclo,InicioCiclo,$S37+MOD(2-WEEKDAY($S37),7))+13),1,IF(ISNUMBER($J37),$J37,$Y37)))</f>
        <v/>
      </c>
      <c r="AA37" s="62">
        <f>IF($V37="","",IF(AND(ISNUMBER($G37),$G37&lt;=IF($S37=MesCiclo,InicioCiclo,$S37+MOD(2-WEEKDAY($S37),7))+20),1,IF(ISNUMBER($K37),$K37,$Z37)))</f>
        <v/>
      </c>
      <c r="AB37" s="62">
        <f>IF($V37="","",IF(AND(ISNUMBER($G37),$G37&lt;=IF($S37=MesCiclo,InicioCiclo,$S37+MOD(2-WEEKDAY($S37),7))+27),1,IF(ISNUMBER($L37),$L37,$AA37)))</f>
        <v/>
      </c>
      <c r="AC37" s="62">
        <f>IF($V37="","",IF(AND(ISNUMBER($G37),$G37&lt;=IF($S37=MesCiclo,InicioCiclo,$S37+MOD(2-WEEKDAY($S37),7))+6),1,IF(N($W37)&gt;0,AVERAGEIFS($Y$5:$Y$1000,$U$5:$U$1000,ROW(),$V$5:$V$1000,"Sub"),$Y37)))</f>
        <v/>
      </c>
      <c r="AD37" s="62">
        <f>IF($V37="","",IF(AND(ISNUMBER($G37),$G37&lt;=IF($S37=MesCiclo,InicioCiclo,$S37+MOD(2-WEEKDAY($S37),7))+13),1,IF(N($W37)&gt;0,AVERAGEIFS($Z$5:$Z$1000,$U$5:$U$1000,ROW(),$V$5:$V$1000,"Sub"),$Z37)))</f>
        <v/>
      </c>
      <c r="AE37" s="62">
        <f>IF($V37="","",IF(AND(ISNUMBER($G37),$G37&lt;=IF($S37=MesCiclo,InicioCiclo,$S37+MOD(2-WEEKDAY($S37),7))+20),1,IF(N($W37)&gt;0,AVERAGEIFS($AA$5:$AA$1000,$U$5:$U$1000,ROW(),$V$5:$V$1000,"Sub"),$AA37)))</f>
        <v/>
      </c>
      <c r="AF37" s="62">
        <f>IF($V37="","",IF(AND(ISNUMBER($G37),$G37&lt;=IF($S37=MesCiclo,InicioCiclo,$S37+MOD(2-WEEKDAY($S37),7))+27),1,IF(N($W37)&gt;0,AVERAGEIFS($AB$5:$AB$1000,$U$5:$U$1000,ROW(),$V$5:$V$1000,"Sub"),$AB37)))</f>
        <v/>
      </c>
      <c r="AG37" s="62">
        <f>IF($V37&lt;&gt;"Macro","",IF(COUNTIFS($S$5:$S$1000,$S37,$V$5:$V$1000,"Macro",$H$5:$H$1000,"&gt;0")=0,1/COUNTIFS($S$5:$S$1000,$S37,$V$5:$V$1000,"Macro"),IF(AND(ISNUMBER($H37),N($H37)&gt;0),$H37,SUMIFS($H$5:$H$1000,$S$5:$S$1000,$S37,$V$5:$V$1000,"Macro")/COUNTIFS($S$5:$S$1000,$S37,$V$5:$V$1000,"Macro",$H$5:$H$1000,"&gt;0"))/(COUNTIFS($S$5:$S$1000,$S37,$V$5:$V$1000,"Macro")*SUMIFS($H$5:$H$1000,$S$5:$S$1000,$S37,$V$5:$V$1000,"Macro")/COUNTIFS($S$5:$S$1000,$S37,$V$5:$V$1000,"Macro",$H$5:$H$1000,"&gt;0"))))</f>
        <v/>
      </c>
      <c r="AH37" s="62" t="n"/>
      <c r="AI37" s="62" t="n"/>
      <c r="AJ37" s="62" t="n"/>
      <c r="AK37" s="62" t="n"/>
      <c r="AL37" s="62">
        <f>IF(LEFT($C37,11)="[Jefatura] ",IFERROR(MATCH("Riesgo Operacional|"&amp;MID($C37,12,500),rDname_ADM,0),0),"")</f>
        <v/>
      </c>
      <c r="AM37" s="62">
        <f>IF(N($AL37)&gt;0,INDEX(rIni_ADM,$AL37),IF(ISNUMBER($E37),$E37,""))</f>
        <v/>
      </c>
      <c r="AN37" s="62">
        <f>IF(N($AL37)&gt;0,INDEX(rLim_ADM,$AL37),IF(ISNUMBER($F37),$F37,""))</f>
        <v/>
      </c>
    </row>
    <row r="38">
      <c r="A38" s="56">
        <f>IF(NOT((COUNTA($B38:$D38)+COUNTA($G38:$L38)+COUNTA($Q38))&gt;0),"",IF($V38="Macro",COUNTIFS($V$5:$V38,"Macro",$S$5:$S38,$S38),IF(N($U38)=0,"?",COUNTIFS(INDEX($V$5:$V$1000,1):INDEX($V$5:$V$1000,$U38-4),"Macro",INDEX($S$5:$S$1000,1):INDEX($S$5:$S$1000,$U38-4),INDEX($S$5:$S$1000,$U38-4))&amp;"."&amp;COUNTIFS($U$5:$U38,$U38,$V$5:$V38,"Sub"))))</f>
        <v/>
      </c>
      <c r="B38" s="57" t="n"/>
      <c r="C38" s="58" t="n"/>
      <c r="D38" s="58" t="n"/>
      <c r="E38" s="59">
        <f>IF(N($AL38)&gt;0,INDEX(rIni_ADM,$AL38),"")</f>
        <v/>
      </c>
      <c r="F38" s="59">
        <f>IF(N($AL38)&gt;0,INDEX(rLim_ADM,$AL38),"")</f>
        <v/>
      </c>
      <c r="G38" s="59" t="n"/>
      <c r="H38" s="60" t="n"/>
      <c r="I38" s="60" t="n"/>
      <c r="J38" s="60" t="n"/>
      <c r="K38" s="60" t="n"/>
      <c r="L38" s="60" t="n"/>
      <c r="M38" s="61">
        <f>IF(NOT((COUNTA($B38:$D38)+COUNTA($G38:$L38)+COUNTA($Q38))&gt;0),"",IF(ISNUMBER($G38),1,IF(N($W38)&gt;0,AVERAGEIFS($X$5:$X$1000,$U$5:$U$1000,ROW(),$V$5:$V$1000,"Sub"),$X38)))</f>
        <v/>
      </c>
      <c r="N38" s="56">
        <f>IF($M38="","",IF($M38&gt;=1,"Completado",IF($M38&gt;0,"En curso","Pendiente")))</f>
        <v/>
      </c>
      <c r="O38" s="56">
        <f>IF(NOT((COUNTA($B38:$D38)+COUNTA($G38:$L38)+COUNTA($Q38))&gt;0),"",IF(ISNUMBER($G38),IF(AND(ISNUMBER($AN38),$G38&gt;$AN38),"Cumplida con "&amp;($G38-$AN38)&amp;IF($G38-$AN38=1," día"," días")&amp;" de retraso","Cumplida"),IF(N($M38)&gt;=1,"Cumplida",IF(NOT(ISNUMBER($AN38)),"Sin fecha límite",IF($AN38&lt;FechaRef,"Vencida hace "&amp;(FechaRef-$AN38)&amp;IF(FechaRef-$AN38=1," día"," días"),IF($AN38=FechaRef,"Vence hoy",IF($AN38-FechaRef&lt;=DiasAlerta,"Vence en "&amp;($AN38-FechaRef)&amp;IF($AN38-FechaRef=1," día"," días"),"En plazo")))))))</f>
        <v/>
      </c>
      <c r="P38" s="62" t="n"/>
      <c r="Q38" s="58" t="n"/>
      <c r="R38" s="63">
        <f>IF(NOT((COUNTA($B38:$D38)+COUNTA($G38:$L38)+COUNTA($Q38))&gt;0),"",IF((IF($C38="","Falta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",""))="","✔ OK","⚠ "&amp;LEFT(IF($C38="","Falta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",""),LEN(IF($C38="","Falta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",""))-3)))</f>
        <v/>
      </c>
      <c r="S38" s="64">
        <f>IF(NOT((COUNTA($B38:$D38)+COUNTA($G38:$L38)+COUNTA($Q38))&gt;0),"",IF(AND($V38="Sub",N($U38)&gt;0),IF(ISNUMBER(INDEX($AM$5:$AM$1000,$U38-4)),DATE(YEAR(INDEX($AM$5:$AM$1000,$U38-4)),MONTH(INDEX($AM$5:$AM$1000,$U38-4)),1),IF(ISNUMBER(INDEX($AN$5:$AN$1000,$U38-4)),DATE(YEAR(INDEX($AN$5:$AN$1000,$U38-4)),MONTH(INDEX($AN$5:$AN$1000,$U38-4)),1),MesCiclo)),IF(ISNUMBER($AM38),DATE(YEAR($AM38),MONTH($AM38),1),IF(ISNUMBER($AN38),DATE(YEAR($AN38),MONTH($AN38),1),MesCiclo))))</f>
        <v/>
      </c>
      <c r="T38" s="62">
        <f>IF(OR($S38="",$S38&lt;&gt;MesCiclo),"",COUNTIF($S$5:$S38,MesCiclo))</f>
        <v/>
      </c>
      <c r="U38" s="62">
        <f>IF($V38="","",IF($V38="Macro",ROW(),IFERROR(LOOKUP(2,1/($V$5:$V38="Macro"),ROW($V$5:$V38)),0)))</f>
        <v/>
      </c>
      <c r="V38" s="62">
        <f>IF(NOT((COUNTA($B38:$D38)+COUNTA($G38:$L38)+COUNTA($Q38))&gt;0),"",IF($B38="Subactividad","Sub","Macro"))</f>
        <v/>
      </c>
      <c r="W38" s="62">
        <f>IF($V38="Macro",COUNTIFS($U$5:$U$1000,ROW(),$V$5:$V$1000,"Sub"),"")</f>
        <v/>
      </c>
      <c r="X38" s="62">
        <f>IF($V38="","",IF(ISNUMBER($G38),1,IFERROR(LOOKUP(2,1/($I38:$L38&lt;&gt;""),$I38:$L38),0)))</f>
        <v/>
      </c>
      <c r="Y38" s="62">
        <f>IF($V38="","",IF(AND(ISNUMBER($G38),$G38&lt;=IF($S38=MesCiclo,InicioCiclo,$S38+MOD(2-WEEKDAY($S38),7))+6),1,IF(ISNUMBER($I38),$I38,0)))</f>
        <v/>
      </c>
      <c r="Z38" s="62">
        <f>IF($V38="","",IF(AND(ISNUMBER($G38),$G38&lt;=IF($S38=MesCiclo,InicioCiclo,$S38+MOD(2-WEEKDAY($S38),7))+13),1,IF(ISNUMBER($J38),$J38,$Y38)))</f>
        <v/>
      </c>
      <c r="AA38" s="62">
        <f>IF($V38="","",IF(AND(ISNUMBER($G38),$G38&lt;=IF($S38=MesCiclo,InicioCiclo,$S38+MOD(2-WEEKDAY($S38),7))+20),1,IF(ISNUMBER($K38),$K38,$Z38)))</f>
        <v/>
      </c>
      <c r="AB38" s="62">
        <f>IF($V38="","",IF(AND(ISNUMBER($G38),$G38&lt;=IF($S38=MesCiclo,InicioCiclo,$S38+MOD(2-WEEKDAY($S38),7))+27),1,IF(ISNUMBER($L38),$L38,$AA38)))</f>
        <v/>
      </c>
      <c r="AC38" s="62">
        <f>IF($V38="","",IF(AND(ISNUMBER($G38),$G38&lt;=IF($S38=MesCiclo,InicioCiclo,$S38+MOD(2-WEEKDAY($S38),7))+6),1,IF(N($W38)&gt;0,AVERAGEIFS($Y$5:$Y$1000,$U$5:$U$1000,ROW(),$V$5:$V$1000,"Sub"),$Y38)))</f>
        <v/>
      </c>
      <c r="AD38" s="62">
        <f>IF($V38="","",IF(AND(ISNUMBER($G38),$G38&lt;=IF($S38=MesCiclo,InicioCiclo,$S38+MOD(2-WEEKDAY($S38),7))+13),1,IF(N($W38)&gt;0,AVERAGEIFS($Z$5:$Z$1000,$U$5:$U$1000,ROW(),$V$5:$V$1000,"Sub"),$Z38)))</f>
        <v/>
      </c>
      <c r="AE38" s="62">
        <f>IF($V38="","",IF(AND(ISNUMBER($G38),$G38&lt;=IF($S38=MesCiclo,InicioCiclo,$S38+MOD(2-WEEKDAY($S38),7))+20),1,IF(N($W38)&gt;0,AVERAGEIFS($AA$5:$AA$1000,$U$5:$U$1000,ROW(),$V$5:$V$1000,"Sub"),$AA38)))</f>
        <v/>
      </c>
      <c r="AF38" s="62">
        <f>IF($V38="","",IF(AND(ISNUMBER($G38),$G38&lt;=IF($S38=MesCiclo,InicioCiclo,$S38+MOD(2-WEEKDAY($S38),7))+27),1,IF(N($W38)&gt;0,AVERAGEIFS($AB$5:$AB$1000,$U$5:$U$1000,ROW(),$V$5:$V$1000,"Sub"),$AB38)))</f>
        <v/>
      </c>
      <c r="AG38" s="62">
        <f>IF($V38&lt;&gt;"Macro","",IF(COUNTIFS($S$5:$S$1000,$S38,$V$5:$V$1000,"Macro",$H$5:$H$1000,"&gt;0")=0,1/COUNTIFS($S$5:$S$1000,$S38,$V$5:$V$1000,"Macro"),IF(AND(ISNUMBER($H38),N($H38)&gt;0),$H38,SUMIFS($H$5:$H$1000,$S$5:$S$1000,$S38,$V$5:$V$1000,"Macro")/COUNTIFS($S$5:$S$1000,$S38,$V$5:$V$1000,"Macro",$H$5:$H$1000,"&gt;0"))/(COUNTIFS($S$5:$S$1000,$S38,$V$5:$V$1000,"Macro")*SUMIFS($H$5:$H$1000,$S$5:$S$1000,$S38,$V$5:$V$1000,"Macro")/COUNTIFS($S$5:$S$1000,$S38,$V$5:$V$1000,"Macro",$H$5:$H$1000,"&gt;0"))))</f>
        <v/>
      </c>
      <c r="AH38" s="62" t="n"/>
      <c r="AI38" s="62" t="n"/>
      <c r="AJ38" s="62" t="n"/>
      <c r="AK38" s="62" t="n"/>
      <c r="AL38" s="62">
        <f>IF(LEFT($C38,11)="[Jefatura] ",IFERROR(MATCH("Riesgo Operacional|"&amp;MID($C38,12,500),rDname_ADM,0),0),"")</f>
        <v/>
      </c>
      <c r="AM38" s="62">
        <f>IF(N($AL38)&gt;0,INDEX(rIni_ADM,$AL38),IF(ISNUMBER($E38),$E38,""))</f>
        <v/>
      </c>
      <c r="AN38" s="62">
        <f>IF(N($AL38)&gt;0,INDEX(rLim_ADM,$AL38),IF(ISNUMBER($F38),$F38,""))</f>
        <v/>
      </c>
    </row>
    <row r="39">
      <c r="A39" s="56">
        <f>IF(NOT((COUNTA($B39:$D39)+COUNTA($G39:$L39)+COUNTA($Q39))&gt;0),"",IF($V39="Macro",COUNTIFS($V$5:$V39,"Macro",$S$5:$S39,$S39),IF(N($U39)=0,"?",COUNTIFS(INDEX($V$5:$V$1000,1):INDEX($V$5:$V$1000,$U39-4),"Macro",INDEX($S$5:$S$1000,1):INDEX($S$5:$S$1000,$U39-4),INDEX($S$5:$S$1000,$U39-4))&amp;"."&amp;COUNTIFS($U$5:$U39,$U39,$V$5:$V39,"Sub"))))</f>
        <v/>
      </c>
      <c r="B39" s="57" t="n"/>
      <c r="C39" s="58" t="n"/>
      <c r="D39" s="58" t="n"/>
      <c r="E39" s="59">
        <f>IF(N($AL39)&gt;0,INDEX(rIni_ADM,$AL39),"")</f>
        <v/>
      </c>
      <c r="F39" s="59">
        <f>IF(N($AL39)&gt;0,INDEX(rLim_ADM,$AL39),"")</f>
        <v/>
      </c>
      <c r="G39" s="59" t="n"/>
      <c r="H39" s="60" t="n"/>
      <c r="I39" s="60" t="n"/>
      <c r="J39" s="60" t="n"/>
      <c r="K39" s="60" t="n"/>
      <c r="L39" s="60" t="n"/>
      <c r="M39" s="61">
        <f>IF(NOT((COUNTA($B39:$D39)+COUNTA($G39:$L39)+COUNTA($Q39))&gt;0),"",IF(ISNUMBER($G39),1,IF(N($W39)&gt;0,AVERAGEIFS($X$5:$X$1000,$U$5:$U$1000,ROW(),$V$5:$V$1000,"Sub"),$X39)))</f>
        <v/>
      </c>
      <c r="N39" s="56">
        <f>IF($M39="","",IF($M39&gt;=1,"Completado",IF($M39&gt;0,"En curso","Pendiente")))</f>
        <v/>
      </c>
      <c r="O39" s="56">
        <f>IF(NOT((COUNTA($B39:$D39)+COUNTA($G39:$L39)+COUNTA($Q39))&gt;0),"",IF(ISNUMBER($G39),IF(AND(ISNUMBER($AN39),$G39&gt;$AN39),"Cumplida con "&amp;($G39-$AN39)&amp;IF($G39-$AN39=1," día"," días")&amp;" de retraso","Cumplida"),IF(N($M39)&gt;=1,"Cumplida",IF(NOT(ISNUMBER($AN39)),"Sin fecha límite",IF($AN39&lt;FechaRef,"Vencida hace "&amp;(FechaRef-$AN39)&amp;IF(FechaRef-$AN39=1," día"," días"),IF($AN39=FechaRef,"Vence hoy",IF($AN39-FechaRef&lt;=DiasAlerta,"Vence en "&amp;($AN39-FechaRef)&amp;IF($AN39-FechaRef=1," día"," días"),"En plazo")))))))</f>
        <v/>
      </c>
      <c r="P39" s="62" t="n"/>
      <c r="Q39" s="58" t="n"/>
      <c r="R39" s="63">
        <f>IF(NOT((COUNTA($B39:$D39)+COUNTA($G39:$L39)+COUNTA($Q39))&gt;0),"",IF((IF($C39="","Falta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",""))="","✔ OK","⚠ "&amp;LEFT(IF($C39="","Falta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",""),LEN(IF($C39="","Falta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",""))-3)))</f>
        <v/>
      </c>
      <c r="S39" s="64">
        <f>IF(NOT((COUNTA($B39:$D39)+COUNTA($G39:$L39)+COUNTA($Q39))&gt;0),"",IF(AND($V39="Sub",N($U39)&gt;0),IF(ISNUMBER(INDEX($AM$5:$AM$1000,$U39-4)),DATE(YEAR(INDEX($AM$5:$AM$1000,$U39-4)),MONTH(INDEX($AM$5:$AM$1000,$U39-4)),1),IF(ISNUMBER(INDEX($AN$5:$AN$1000,$U39-4)),DATE(YEAR(INDEX($AN$5:$AN$1000,$U39-4)),MONTH(INDEX($AN$5:$AN$1000,$U39-4)),1),MesCiclo)),IF(ISNUMBER($AM39),DATE(YEAR($AM39),MONTH($AM39),1),IF(ISNUMBER($AN39),DATE(YEAR($AN39),MONTH($AN39),1),MesCiclo))))</f>
        <v/>
      </c>
      <c r="T39" s="62">
        <f>IF(OR($S39="",$S39&lt;&gt;MesCiclo),"",COUNTIF($S$5:$S39,MesCiclo))</f>
        <v/>
      </c>
      <c r="U39" s="62">
        <f>IF($V39="","",IF($V39="Macro",ROW(),IFERROR(LOOKUP(2,1/($V$5:$V39="Macro"),ROW($V$5:$V39)),0)))</f>
        <v/>
      </c>
      <c r="V39" s="62">
        <f>IF(NOT((COUNTA($B39:$D39)+COUNTA($G39:$L39)+COUNTA($Q39))&gt;0),"",IF($B39="Subactividad","Sub","Macro"))</f>
        <v/>
      </c>
      <c r="W39" s="62">
        <f>IF($V39="Macro",COUNTIFS($U$5:$U$1000,ROW(),$V$5:$V$1000,"Sub"),"")</f>
        <v/>
      </c>
      <c r="X39" s="62">
        <f>IF($V39="","",IF(ISNUMBER($G39),1,IFERROR(LOOKUP(2,1/($I39:$L39&lt;&gt;""),$I39:$L39),0)))</f>
        <v/>
      </c>
      <c r="Y39" s="62">
        <f>IF($V39="","",IF(AND(ISNUMBER($G39),$G39&lt;=IF($S39=MesCiclo,InicioCiclo,$S39+MOD(2-WEEKDAY($S39),7))+6),1,IF(ISNUMBER($I39),$I39,0)))</f>
        <v/>
      </c>
      <c r="Z39" s="62">
        <f>IF($V39="","",IF(AND(ISNUMBER($G39),$G39&lt;=IF($S39=MesCiclo,InicioCiclo,$S39+MOD(2-WEEKDAY($S39),7))+13),1,IF(ISNUMBER($J39),$J39,$Y39)))</f>
        <v/>
      </c>
      <c r="AA39" s="62">
        <f>IF($V39="","",IF(AND(ISNUMBER($G39),$G39&lt;=IF($S39=MesCiclo,InicioCiclo,$S39+MOD(2-WEEKDAY($S39),7))+20),1,IF(ISNUMBER($K39),$K39,$Z39)))</f>
        <v/>
      </c>
      <c r="AB39" s="62">
        <f>IF($V39="","",IF(AND(ISNUMBER($G39),$G39&lt;=IF($S39=MesCiclo,InicioCiclo,$S39+MOD(2-WEEKDAY($S39),7))+27),1,IF(ISNUMBER($L39),$L39,$AA39)))</f>
        <v/>
      </c>
      <c r="AC39" s="62">
        <f>IF($V39="","",IF(AND(ISNUMBER($G39),$G39&lt;=IF($S39=MesCiclo,InicioCiclo,$S39+MOD(2-WEEKDAY($S39),7))+6),1,IF(N($W39)&gt;0,AVERAGEIFS($Y$5:$Y$1000,$U$5:$U$1000,ROW(),$V$5:$V$1000,"Sub"),$Y39)))</f>
        <v/>
      </c>
      <c r="AD39" s="62">
        <f>IF($V39="","",IF(AND(ISNUMBER($G39),$G39&lt;=IF($S39=MesCiclo,InicioCiclo,$S39+MOD(2-WEEKDAY($S39),7))+13),1,IF(N($W39)&gt;0,AVERAGEIFS($Z$5:$Z$1000,$U$5:$U$1000,ROW(),$V$5:$V$1000,"Sub"),$Z39)))</f>
        <v/>
      </c>
      <c r="AE39" s="62">
        <f>IF($V39="","",IF(AND(ISNUMBER($G39),$G39&lt;=IF($S39=MesCiclo,InicioCiclo,$S39+MOD(2-WEEKDAY($S39),7))+20),1,IF(N($W39)&gt;0,AVERAGEIFS($AA$5:$AA$1000,$U$5:$U$1000,ROW(),$V$5:$V$1000,"Sub"),$AA39)))</f>
        <v/>
      </c>
      <c r="AF39" s="62">
        <f>IF($V39="","",IF(AND(ISNUMBER($G39),$G39&lt;=IF($S39=MesCiclo,InicioCiclo,$S39+MOD(2-WEEKDAY($S39),7))+27),1,IF(N($W39)&gt;0,AVERAGEIFS($AB$5:$AB$1000,$U$5:$U$1000,ROW(),$V$5:$V$1000,"Sub"),$AB39)))</f>
        <v/>
      </c>
      <c r="AG39" s="62">
        <f>IF($V39&lt;&gt;"Macro","",IF(COUNTIFS($S$5:$S$1000,$S39,$V$5:$V$1000,"Macro",$H$5:$H$1000,"&gt;0")=0,1/COUNTIFS($S$5:$S$1000,$S39,$V$5:$V$1000,"Macro"),IF(AND(ISNUMBER($H39),N($H39)&gt;0),$H39,SUMIFS($H$5:$H$1000,$S$5:$S$1000,$S39,$V$5:$V$1000,"Macro")/COUNTIFS($S$5:$S$1000,$S39,$V$5:$V$1000,"Macro",$H$5:$H$1000,"&gt;0"))/(COUNTIFS($S$5:$S$1000,$S39,$V$5:$V$1000,"Macro")*SUMIFS($H$5:$H$1000,$S$5:$S$1000,$S39,$V$5:$V$1000,"Macro")/COUNTIFS($S$5:$S$1000,$S39,$V$5:$V$1000,"Macro",$H$5:$H$1000,"&gt;0"))))</f>
        <v/>
      </c>
      <c r="AH39" s="62" t="n"/>
      <c r="AI39" s="62" t="n"/>
      <c r="AJ39" s="62" t="n"/>
      <c r="AK39" s="62" t="n"/>
      <c r="AL39" s="62">
        <f>IF(LEFT($C39,11)="[Jefatura] ",IFERROR(MATCH("Riesgo Operacional|"&amp;MID($C39,12,500),rDname_ADM,0),0),"")</f>
        <v/>
      </c>
      <c r="AM39" s="62">
        <f>IF(N($AL39)&gt;0,INDEX(rIni_ADM,$AL39),IF(ISNUMBER($E39),$E39,""))</f>
        <v/>
      </c>
      <c r="AN39" s="62">
        <f>IF(N($AL39)&gt;0,INDEX(rLim_ADM,$AL39),IF(ISNUMBER($F39),$F39,""))</f>
        <v/>
      </c>
    </row>
    <row r="40">
      <c r="A40" s="56">
        <f>IF(NOT((COUNTA($B40:$D40)+COUNTA($G40:$L40)+COUNTA($Q40))&gt;0),"",IF($V40="Macro",COUNTIFS($V$5:$V40,"Macro",$S$5:$S40,$S40),IF(N($U40)=0,"?",COUNTIFS(INDEX($V$5:$V$1000,1):INDEX($V$5:$V$1000,$U40-4),"Macro",INDEX($S$5:$S$1000,1):INDEX($S$5:$S$1000,$U40-4),INDEX($S$5:$S$1000,$U40-4))&amp;"."&amp;COUNTIFS($U$5:$U40,$U40,$V$5:$V40,"Sub"))))</f>
        <v/>
      </c>
      <c r="B40" s="57" t="n"/>
      <c r="C40" s="58" t="n"/>
      <c r="D40" s="58" t="n"/>
      <c r="E40" s="59">
        <f>IF(N($AL40)&gt;0,INDEX(rIni_ADM,$AL40),"")</f>
        <v/>
      </c>
      <c r="F40" s="59">
        <f>IF(N($AL40)&gt;0,INDEX(rLim_ADM,$AL40),"")</f>
        <v/>
      </c>
      <c r="G40" s="59" t="n"/>
      <c r="H40" s="60" t="n"/>
      <c r="I40" s="60" t="n"/>
      <c r="J40" s="60" t="n"/>
      <c r="K40" s="60" t="n"/>
      <c r="L40" s="60" t="n"/>
      <c r="M40" s="61">
        <f>IF(NOT((COUNTA($B40:$D40)+COUNTA($G40:$L40)+COUNTA($Q40))&gt;0),"",IF(ISNUMBER($G40),1,IF(N($W40)&gt;0,AVERAGEIFS($X$5:$X$1000,$U$5:$U$1000,ROW(),$V$5:$V$1000,"Sub"),$X40)))</f>
        <v/>
      </c>
      <c r="N40" s="56">
        <f>IF($M40="","",IF($M40&gt;=1,"Completado",IF($M40&gt;0,"En curso","Pendiente")))</f>
        <v/>
      </c>
      <c r="O40" s="56">
        <f>IF(NOT((COUNTA($B40:$D40)+COUNTA($G40:$L40)+COUNTA($Q40))&gt;0),"",IF(ISNUMBER($G40),IF(AND(ISNUMBER($AN40),$G40&gt;$AN40),"Cumplida con "&amp;($G40-$AN40)&amp;IF($G40-$AN40=1," día"," días")&amp;" de retraso","Cumplida"),IF(N($M40)&gt;=1,"Cumplida",IF(NOT(ISNUMBER($AN40)),"Sin fecha límite",IF($AN40&lt;FechaRef,"Vencida hace "&amp;(FechaRef-$AN40)&amp;IF(FechaRef-$AN40=1," día"," días"),IF($AN40=FechaRef,"Vence hoy",IF($AN40-FechaRef&lt;=DiasAlerta,"Vence en "&amp;($AN40-FechaRef)&amp;IF($AN40-FechaRef=1," día"," días"),"En plazo")))))))</f>
        <v/>
      </c>
      <c r="P40" s="62" t="n"/>
      <c r="Q40" s="58" t="n"/>
      <c r="R40" s="63">
        <f>IF(NOT((COUNTA($B40:$D40)+COUNTA($G40:$L40)+COUNTA($Q40))&gt;0),"",IF((IF($C40="","Falta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",""))="","✔ OK","⚠ "&amp;LEFT(IF($C40="","Falta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",""),LEN(IF($C40="","Falta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",""))-3)))</f>
        <v/>
      </c>
      <c r="S40" s="64">
        <f>IF(NOT((COUNTA($B40:$D40)+COUNTA($G40:$L40)+COUNTA($Q40))&gt;0),"",IF(AND($V40="Sub",N($U40)&gt;0),IF(ISNUMBER(INDEX($AM$5:$AM$1000,$U40-4)),DATE(YEAR(INDEX($AM$5:$AM$1000,$U40-4)),MONTH(INDEX($AM$5:$AM$1000,$U40-4)),1),IF(ISNUMBER(INDEX($AN$5:$AN$1000,$U40-4)),DATE(YEAR(INDEX($AN$5:$AN$1000,$U40-4)),MONTH(INDEX($AN$5:$AN$1000,$U40-4)),1),MesCiclo)),IF(ISNUMBER($AM40),DATE(YEAR($AM40),MONTH($AM40),1),IF(ISNUMBER($AN40),DATE(YEAR($AN40),MONTH($AN40),1),MesCiclo))))</f>
        <v/>
      </c>
      <c r="T40" s="62">
        <f>IF(OR($S40="",$S40&lt;&gt;MesCiclo),"",COUNTIF($S$5:$S40,MesCiclo))</f>
        <v/>
      </c>
      <c r="U40" s="62">
        <f>IF($V40="","",IF($V40="Macro",ROW(),IFERROR(LOOKUP(2,1/($V$5:$V40="Macro"),ROW($V$5:$V40)),0)))</f>
        <v/>
      </c>
      <c r="V40" s="62">
        <f>IF(NOT((COUNTA($B40:$D40)+COUNTA($G40:$L40)+COUNTA($Q40))&gt;0),"",IF($B40="Subactividad","Sub","Macro"))</f>
        <v/>
      </c>
      <c r="W40" s="62">
        <f>IF($V40="Macro",COUNTIFS($U$5:$U$1000,ROW(),$V$5:$V$1000,"Sub"),"")</f>
        <v/>
      </c>
      <c r="X40" s="62">
        <f>IF($V40="","",IF(ISNUMBER($G40),1,IFERROR(LOOKUP(2,1/($I40:$L40&lt;&gt;""),$I40:$L40),0)))</f>
        <v/>
      </c>
      <c r="Y40" s="62">
        <f>IF($V40="","",IF(AND(ISNUMBER($G40),$G40&lt;=IF($S40=MesCiclo,InicioCiclo,$S40+MOD(2-WEEKDAY($S40),7))+6),1,IF(ISNUMBER($I40),$I40,0)))</f>
        <v/>
      </c>
      <c r="Z40" s="62">
        <f>IF($V40="","",IF(AND(ISNUMBER($G40),$G40&lt;=IF($S40=MesCiclo,InicioCiclo,$S40+MOD(2-WEEKDAY($S40),7))+13),1,IF(ISNUMBER($J40),$J40,$Y40)))</f>
        <v/>
      </c>
      <c r="AA40" s="62">
        <f>IF($V40="","",IF(AND(ISNUMBER($G40),$G40&lt;=IF($S40=MesCiclo,InicioCiclo,$S40+MOD(2-WEEKDAY($S40),7))+20),1,IF(ISNUMBER($K40),$K40,$Z40)))</f>
        <v/>
      </c>
      <c r="AB40" s="62">
        <f>IF($V40="","",IF(AND(ISNUMBER($G40),$G40&lt;=IF($S40=MesCiclo,InicioCiclo,$S40+MOD(2-WEEKDAY($S40),7))+27),1,IF(ISNUMBER($L40),$L40,$AA40)))</f>
        <v/>
      </c>
      <c r="AC40" s="62">
        <f>IF($V40="","",IF(AND(ISNUMBER($G40),$G40&lt;=IF($S40=MesCiclo,InicioCiclo,$S40+MOD(2-WEEKDAY($S40),7))+6),1,IF(N($W40)&gt;0,AVERAGEIFS($Y$5:$Y$1000,$U$5:$U$1000,ROW(),$V$5:$V$1000,"Sub"),$Y40)))</f>
        <v/>
      </c>
      <c r="AD40" s="62">
        <f>IF($V40="","",IF(AND(ISNUMBER($G40),$G40&lt;=IF($S40=MesCiclo,InicioCiclo,$S40+MOD(2-WEEKDAY($S40),7))+13),1,IF(N($W40)&gt;0,AVERAGEIFS($Z$5:$Z$1000,$U$5:$U$1000,ROW(),$V$5:$V$1000,"Sub"),$Z40)))</f>
        <v/>
      </c>
      <c r="AE40" s="62">
        <f>IF($V40="","",IF(AND(ISNUMBER($G40),$G40&lt;=IF($S40=MesCiclo,InicioCiclo,$S40+MOD(2-WEEKDAY($S40),7))+20),1,IF(N($W40)&gt;0,AVERAGEIFS($AA$5:$AA$1000,$U$5:$U$1000,ROW(),$V$5:$V$1000,"Sub"),$AA40)))</f>
        <v/>
      </c>
      <c r="AF40" s="62">
        <f>IF($V40="","",IF(AND(ISNUMBER($G40),$G40&lt;=IF($S40=MesCiclo,InicioCiclo,$S40+MOD(2-WEEKDAY($S40),7))+27),1,IF(N($W40)&gt;0,AVERAGEIFS($AB$5:$AB$1000,$U$5:$U$1000,ROW(),$V$5:$V$1000,"Sub"),$AB40)))</f>
        <v/>
      </c>
      <c r="AG40" s="62">
        <f>IF($V40&lt;&gt;"Macro","",IF(COUNTIFS($S$5:$S$1000,$S40,$V$5:$V$1000,"Macro",$H$5:$H$1000,"&gt;0")=0,1/COUNTIFS($S$5:$S$1000,$S40,$V$5:$V$1000,"Macro"),IF(AND(ISNUMBER($H40),N($H40)&gt;0),$H40,SUMIFS($H$5:$H$1000,$S$5:$S$1000,$S40,$V$5:$V$1000,"Macro")/COUNTIFS($S$5:$S$1000,$S40,$V$5:$V$1000,"Macro",$H$5:$H$1000,"&gt;0"))/(COUNTIFS($S$5:$S$1000,$S40,$V$5:$V$1000,"Macro")*SUMIFS($H$5:$H$1000,$S$5:$S$1000,$S40,$V$5:$V$1000,"Macro")/COUNTIFS($S$5:$S$1000,$S40,$V$5:$V$1000,"Macro",$H$5:$H$1000,"&gt;0"))))</f>
        <v/>
      </c>
      <c r="AH40" s="62" t="n"/>
      <c r="AI40" s="62" t="n"/>
      <c r="AJ40" s="62" t="n"/>
      <c r="AK40" s="62" t="n"/>
      <c r="AL40" s="62">
        <f>IF(LEFT($C40,11)="[Jefatura] ",IFERROR(MATCH("Riesgo Operacional|"&amp;MID($C40,12,500),rDname_ADM,0),0),"")</f>
        <v/>
      </c>
      <c r="AM40" s="62">
        <f>IF(N($AL40)&gt;0,INDEX(rIni_ADM,$AL40),IF(ISNUMBER($E40),$E40,""))</f>
        <v/>
      </c>
      <c r="AN40" s="62">
        <f>IF(N($AL40)&gt;0,INDEX(rLim_ADM,$AL40),IF(ISNUMBER($F40),$F40,""))</f>
        <v/>
      </c>
    </row>
    <row r="41">
      <c r="A41" s="56">
        <f>IF(NOT((COUNTA($B41:$D41)+COUNTA($G41:$L41)+COUNTA($Q41))&gt;0),"",IF($V41="Macro",COUNTIFS($V$5:$V41,"Macro",$S$5:$S41,$S41),IF(N($U41)=0,"?",COUNTIFS(INDEX($V$5:$V$1000,1):INDEX($V$5:$V$1000,$U41-4),"Macro",INDEX($S$5:$S$1000,1):INDEX($S$5:$S$1000,$U41-4),INDEX($S$5:$S$1000,$U41-4))&amp;"."&amp;COUNTIFS($U$5:$U41,$U41,$V$5:$V41,"Sub"))))</f>
        <v/>
      </c>
      <c r="B41" s="57" t="n"/>
      <c r="C41" s="58" t="n"/>
      <c r="D41" s="58" t="n"/>
      <c r="E41" s="59">
        <f>IF(N($AL41)&gt;0,INDEX(rIni_ADM,$AL41),"")</f>
        <v/>
      </c>
      <c r="F41" s="59">
        <f>IF(N($AL41)&gt;0,INDEX(rLim_ADM,$AL41),"")</f>
        <v/>
      </c>
      <c r="G41" s="59" t="n"/>
      <c r="H41" s="60" t="n"/>
      <c r="I41" s="60" t="n"/>
      <c r="J41" s="60" t="n"/>
      <c r="K41" s="60" t="n"/>
      <c r="L41" s="60" t="n"/>
      <c r="M41" s="61">
        <f>IF(NOT((COUNTA($B41:$D41)+COUNTA($G41:$L41)+COUNTA($Q41))&gt;0),"",IF(ISNUMBER($G41),1,IF(N($W41)&gt;0,AVERAGEIFS($X$5:$X$1000,$U$5:$U$1000,ROW(),$V$5:$V$1000,"Sub"),$X41)))</f>
        <v/>
      </c>
      <c r="N41" s="56">
        <f>IF($M41="","",IF($M41&gt;=1,"Completado",IF($M41&gt;0,"En curso","Pendiente")))</f>
        <v/>
      </c>
      <c r="O41" s="56">
        <f>IF(NOT((COUNTA($B41:$D41)+COUNTA($G41:$L41)+COUNTA($Q41))&gt;0),"",IF(ISNUMBER($G41),IF(AND(ISNUMBER($AN41),$G41&gt;$AN41),"Cumplida con "&amp;($G41-$AN41)&amp;IF($G41-$AN41=1," día"," días")&amp;" de retraso","Cumplida"),IF(N($M41)&gt;=1,"Cumplida",IF(NOT(ISNUMBER($AN41)),"Sin fecha límite",IF($AN41&lt;FechaRef,"Vencida hace "&amp;(FechaRef-$AN41)&amp;IF(FechaRef-$AN41=1," día"," días"),IF($AN41=FechaRef,"Vence hoy",IF($AN41-FechaRef&lt;=DiasAlerta,"Vence en "&amp;($AN41-FechaRef)&amp;IF($AN41-FechaRef=1," día"," días"),"En plazo")))))))</f>
        <v/>
      </c>
      <c r="P41" s="62" t="n"/>
      <c r="Q41" s="58" t="n"/>
      <c r="R41" s="63">
        <f>IF(NOT((COUNTA($B41:$D41)+COUNTA($G41:$L41)+COUNTA($Q41))&gt;0),"",IF((IF($C41="","Falta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",""))="","✔ OK","⚠ "&amp;LEFT(IF($C41="","Falta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",""),LEN(IF($C41="","Falta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",""))-3)))</f>
        <v/>
      </c>
      <c r="S41" s="64">
        <f>IF(NOT((COUNTA($B41:$D41)+COUNTA($G41:$L41)+COUNTA($Q41))&gt;0),"",IF(AND($V41="Sub",N($U41)&gt;0),IF(ISNUMBER(INDEX($AM$5:$AM$1000,$U41-4)),DATE(YEAR(INDEX($AM$5:$AM$1000,$U41-4)),MONTH(INDEX($AM$5:$AM$1000,$U41-4)),1),IF(ISNUMBER(INDEX($AN$5:$AN$1000,$U41-4)),DATE(YEAR(INDEX($AN$5:$AN$1000,$U41-4)),MONTH(INDEX($AN$5:$AN$1000,$U41-4)),1),MesCiclo)),IF(ISNUMBER($AM41),DATE(YEAR($AM41),MONTH($AM41),1),IF(ISNUMBER($AN41),DATE(YEAR($AN41),MONTH($AN41),1),MesCiclo))))</f>
        <v/>
      </c>
      <c r="T41" s="62">
        <f>IF(OR($S41="",$S41&lt;&gt;MesCiclo),"",COUNTIF($S$5:$S41,MesCiclo))</f>
        <v/>
      </c>
      <c r="U41" s="62">
        <f>IF($V41="","",IF($V41="Macro",ROW(),IFERROR(LOOKUP(2,1/($V$5:$V41="Macro"),ROW($V$5:$V41)),0)))</f>
        <v/>
      </c>
      <c r="V41" s="62">
        <f>IF(NOT((COUNTA($B41:$D41)+COUNTA($G41:$L41)+COUNTA($Q41))&gt;0),"",IF($B41="Subactividad","Sub","Macro"))</f>
        <v/>
      </c>
      <c r="W41" s="62">
        <f>IF($V41="Macro",COUNTIFS($U$5:$U$1000,ROW(),$V$5:$V$1000,"Sub"),"")</f>
        <v/>
      </c>
      <c r="X41" s="62">
        <f>IF($V41="","",IF(ISNUMBER($G41),1,IFERROR(LOOKUP(2,1/($I41:$L41&lt;&gt;""),$I41:$L41),0)))</f>
        <v/>
      </c>
      <c r="Y41" s="62">
        <f>IF($V41="","",IF(AND(ISNUMBER($G41),$G41&lt;=IF($S41=MesCiclo,InicioCiclo,$S41+MOD(2-WEEKDAY($S41),7))+6),1,IF(ISNUMBER($I41),$I41,0)))</f>
        <v/>
      </c>
      <c r="Z41" s="62">
        <f>IF($V41="","",IF(AND(ISNUMBER($G41),$G41&lt;=IF($S41=MesCiclo,InicioCiclo,$S41+MOD(2-WEEKDAY($S41),7))+13),1,IF(ISNUMBER($J41),$J41,$Y41)))</f>
        <v/>
      </c>
      <c r="AA41" s="62">
        <f>IF($V41="","",IF(AND(ISNUMBER($G41),$G41&lt;=IF($S41=MesCiclo,InicioCiclo,$S41+MOD(2-WEEKDAY($S41),7))+20),1,IF(ISNUMBER($K41),$K41,$Z41)))</f>
        <v/>
      </c>
      <c r="AB41" s="62">
        <f>IF($V41="","",IF(AND(ISNUMBER($G41),$G41&lt;=IF($S41=MesCiclo,InicioCiclo,$S41+MOD(2-WEEKDAY($S41),7))+27),1,IF(ISNUMBER($L41),$L41,$AA41)))</f>
        <v/>
      </c>
      <c r="AC41" s="62">
        <f>IF($V41="","",IF(AND(ISNUMBER($G41),$G41&lt;=IF($S41=MesCiclo,InicioCiclo,$S41+MOD(2-WEEKDAY($S41),7))+6),1,IF(N($W41)&gt;0,AVERAGEIFS($Y$5:$Y$1000,$U$5:$U$1000,ROW(),$V$5:$V$1000,"Sub"),$Y41)))</f>
        <v/>
      </c>
      <c r="AD41" s="62">
        <f>IF($V41="","",IF(AND(ISNUMBER($G41),$G41&lt;=IF($S41=MesCiclo,InicioCiclo,$S41+MOD(2-WEEKDAY($S41),7))+13),1,IF(N($W41)&gt;0,AVERAGEIFS($Z$5:$Z$1000,$U$5:$U$1000,ROW(),$V$5:$V$1000,"Sub"),$Z41)))</f>
        <v/>
      </c>
      <c r="AE41" s="62">
        <f>IF($V41="","",IF(AND(ISNUMBER($G41),$G41&lt;=IF($S41=MesCiclo,InicioCiclo,$S41+MOD(2-WEEKDAY($S41),7))+20),1,IF(N($W41)&gt;0,AVERAGEIFS($AA$5:$AA$1000,$U$5:$U$1000,ROW(),$V$5:$V$1000,"Sub"),$AA41)))</f>
        <v/>
      </c>
      <c r="AF41" s="62">
        <f>IF($V41="","",IF(AND(ISNUMBER($G41),$G41&lt;=IF($S41=MesCiclo,InicioCiclo,$S41+MOD(2-WEEKDAY($S41),7))+27),1,IF(N($W41)&gt;0,AVERAGEIFS($AB$5:$AB$1000,$U$5:$U$1000,ROW(),$V$5:$V$1000,"Sub"),$AB41)))</f>
        <v/>
      </c>
      <c r="AG41" s="62">
        <f>IF($V41&lt;&gt;"Macro","",IF(COUNTIFS($S$5:$S$1000,$S41,$V$5:$V$1000,"Macro",$H$5:$H$1000,"&gt;0")=0,1/COUNTIFS($S$5:$S$1000,$S41,$V$5:$V$1000,"Macro"),IF(AND(ISNUMBER($H41),N($H41)&gt;0),$H41,SUMIFS($H$5:$H$1000,$S$5:$S$1000,$S41,$V$5:$V$1000,"Macro")/COUNTIFS($S$5:$S$1000,$S41,$V$5:$V$1000,"Macro",$H$5:$H$1000,"&gt;0"))/(COUNTIFS($S$5:$S$1000,$S41,$V$5:$V$1000,"Macro")*SUMIFS($H$5:$H$1000,$S$5:$S$1000,$S41,$V$5:$V$1000,"Macro")/COUNTIFS($S$5:$S$1000,$S41,$V$5:$V$1000,"Macro",$H$5:$H$1000,"&gt;0"))))</f>
        <v/>
      </c>
      <c r="AH41" s="62" t="n"/>
      <c r="AI41" s="62" t="n"/>
      <c r="AJ41" s="62" t="n"/>
      <c r="AK41" s="62" t="n"/>
      <c r="AL41" s="62">
        <f>IF(LEFT($C41,11)="[Jefatura] ",IFERROR(MATCH("Riesgo Operacional|"&amp;MID($C41,12,500),rDname_ADM,0),0),"")</f>
        <v/>
      </c>
      <c r="AM41" s="62">
        <f>IF(N($AL41)&gt;0,INDEX(rIni_ADM,$AL41),IF(ISNUMBER($E41),$E41,""))</f>
        <v/>
      </c>
      <c r="AN41" s="62">
        <f>IF(N($AL41)&gt;0,INDEX(rLim_ADM,$AL41),IF(ISNUMBER($F41),$F41,""))</f>
        <v/>
      </c>
    </row>
    <row r="42">
      <c r="A42" s="56">
        <f>IF(NOT((COUNTA($B42:$D42)+COUNTA($G42:$L42)+COUNTA($Q42))&gt;0),"",IF($V42="Macro",COUNTIFS($V$5:$V42,"Macro",$S$5:$S42,$S42),IF(N($U42)=0,"?",COUNTIFS(INDEX($V$5:$V$1000,1):INDEX($V$5:$V$1000,$U42-4),"Macro",INDEX($S$5:$S$1000,1):INDEX($S$5:$S$1000,$U42-4),INDEX($S$5:$S$1000,$U42-4))&amp;"."&amp;COUNTIFS($U$5:$U42,$U42,$V$5:$V42,"Sub"))))</f>
        <v/>
      </c>
      <c r="B42" s="57" t="n"/>
      <c r="C42" s="58" t="n"/>
      <c r="D42" s="58" t="n"/>
      <c r="E42" s="59">
        <f>IF(N($AL42)&gt;0,INDEX(rIni_ADM,$AL42),"")</f>
        <v/>
      </c>
      <c r="F42" s="59">
        <f>IF(N($AL42)&gt;0,INDEX(rLim_ADM,$AL42),"")</f>
        <v/>
      </c>
      <c r="G42" s="59" t="n"/>
      <c r="H42" s="60" t="n"/>
      <c r="I42" s="60" t="n"/>
      <c r="J42" s="60" t="n"/>
      <c r="K42" s="60" t="n"/>
      <c r="L42" s="60" t="n"/>
      <c r="M42" s="61">
        <f>IF(NOT((COUNTA($B42:$D42)+COUNTA($G42:$L42)+COUNTA($Q42))&gt;0),"",IF(ISNUMBER($G42),1,IF(N($W42)&gt;0,AVERAGEIFS($X$5:$X$1000,$U$5:$U$1000,ROW(),$V$5:$V$1000,"Sub"),$X42)))</f>
        <v/>
      </c>
      <c r="N42" s="56">
        <f>IF($M42="","",IF($M42&gt;=1,"Completado",IF($M42&gt;0,"En curso","Pendiente")))</f>
        <v/>
      </c>
      <c r="O42" s="56">
        <f>IF(NOT((COUNTA($B42:$D42)+COUNTA($G42:$L42)+COUNTA($Q42))&gt;0),"",IF(ISNUMBER($G42),IF(AND(ISNUMBER($AN42),$G42&gt;$AN42),"Cumplida con "&amp;($G42-$AN42)&amp;IF($G42-$AN42=1," día"," días")&amp;" de retraso","Cumplida"),IF(N($M42)&gt;=1,"Cumplida",IF(NOT(ISNUMBER($AN42)),"Sin fecha límite",IF($AN42&lt;FechaRef,"Vencida hace "&amp;(FechaRef-$AN42)&amp;IF(FechaRef-$AN42=1," día"," días"),IF($AN42=FechaRef,"Vence hoy",IF($AN42-FechaRef&lt;=DiasAlerta,"Vence en "&amp;($AN42-FechaRef)&amp;IF($AN42-FechaRef=1," día"," días"),"En plazo")))))))</f>
        <v/>
      </c>
      <c r="P42" s="62" t="n"/>
      <c r="Q42" s="58" t="n"/>
      <c r="R42" s="63">
        <f>IF(NOT((COUNTA($B42:$D42)+COUNTA($G42:$L42)+COUNTA($Q42))&gt;0),"",IF((IF($C42="","Falta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",""))="","✔ OK","⚠ "&amp;LEFT(IF($C42="","Falta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",""),LEN(IF($C42="","Falta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",""))-3)))</f>
        <v/>
      </c>
      <c r="S42" s="64">
        <f>IF(NOT((COUNTA($B42:$D42)+COUNTA($G42:$L42)+COUNTA($Q42))&gt;0),"",IF(AND($V42="Sub",N($U42)&gt;0),IF(ISNUMBER(INDEX($AM$5:$AM$1000,$U42-4)),DATE(YEAR(INDEX($AM$5:$AM$1000,$U42-4)),MONTH(INDEX($AM$5:$AM$1000,$U42-4)),1),IF(ISNUMBER(INDEX($AN$5:$AN$1000,$U42-4)),DATE(YEAR(INDEX($AN$5:$AN$1000,$U42-4)),MONTH(INDEX($AN$5:$AN$1000,$U42-4)),1),MesCiclo)),IF(ISNUMBER($AM42),DATE(YEAR($AM42),MONTH($AM42),1),IF(ISNUMBER($AN42),DATE(YEAR($AN42),MONTH($AN42),1),MesCiclo))))</f>
        <v/>
      </c>
      <c r="T42" s="62">
        <f>IF(OR($S42="",$S42&lt;&gt;MesCiclo),"",COUNTIF($S$5:$S42,MesCiclo))</f>
        <v/>
      </c>
      <c r="U42" s="62">
        <f>IF($V42="","",IF($V42="Macro",ROW(),IFERROR(LOOKUP(2,1/($V$5:$V42="Macro"),ROW($V$5:$V42)),0)))</f>
        <v/>
      </c>
      <c r="V42" s="62">
        <f>IF(NOT((COUNTA($B42:$D42)+COUNTA($G42:$L42)+COUNTA($Q42))&gt;0),"",IF($B42="Subactividad","Sub","Macro"))</f>
        <v/>
      </c>
      <c r="W42" s="62">
        <f>IF($V42="Macro",COUNTIFS($U$5:$U$1000,ROW(),$V$5:$V$1000,"Sub"),"")</f>
        <v/>
      </c>
      <c r="X42" s="62">
        <f>IF($V42="","",IF(ISNUMBER($G42),1,IFERROR(LOOKUP(2,1/($I42:$L42&lt;&gt;""),$I42:$L42),0)))</f>
        <v/>
      </c>
      <c r="Y42" s="62">
        <f>IF($V42="","",IF(AND(ISNUMBER($G42),$G42&lt;=IF($S42=MesCiclo,InicioCiclo,$S42+MOD(2-WEEKDAY($S42),7))+6),1,IF(ISNUMBER($I42),$I42,0)))</f>
        <v/>
      </c>
      <c r="Z42" s="62">
        <f>IF($V42="","",IF(AND(ISNUMBER($G42),$G42&lt;=IF($S42=MesCiclo,InicioCiclo,$S42+MOD(2-WEEKDAY($S42),7))+13),1,IF(ISNUMBER($J42),$J42,$Y42)))</f>
        <v/>
      </c>
      <c r="AA42" s="62">
        <f>IF($V42="","",IF(AND(ISNUMBER($G42),$G42&lt;=IF($S42=MesCiclo,InicioCiclo,$S42+MOD(2-WEEKDAY($S42),7))+20),1,IF(ISNUMBER($K42),$K42,$Z42)))</f>
        <v/>
      </c>
      <c r="AB42" s="62">
        <f>IF($V42="","",IF(AND(ISNUMBER($G42),$G42&lt;=IF($S42=MesCiclo,InicioCiclo,$S42+MOD(2-WEEKDAY($S42),7))+27),1,IF(ISNUMBER($L42),$L42,$AA42)))</f>
        <v/>
      </c>
      <c r="AC42" s="62">
        <f>IF($V42="","",IF(AND(ISNUMBER($G42),$G42&lt;=IF($S42=MesCiclo,InicioCiclo,$S42+MOD(2-WEEKDAY($S42),7))+6),1,IF(N($W42)&gt;0,AVERAGEIFS($Y$5:$Y$1000,$U$5:$U$1000,ROW(),$V$5:$V$1000,"Sub"),$Y42)))</f>
        <v/>
      </c>
      <c r="AD42" s="62">
        <f>IF($V42="","",IF(AND(ISNUMBER($G42),$G42&lt;=IF($S42=MesCiclo,InicioCiclo,$S42+MOD(2-WEEKDAY($S42),7))+13),1,IF(N($W42)&gt;0,AVERAGEIFS($Z$5:$Z$1000,$U$5:$U$1000,ROW(),$V$5:$V$1000,"Sub"),$Z42)))</f>
        <v/>
      </c>
      <c r="AE42" s="62">
        <f>IF($V42="","",IF(AND(ISNUMBER($G42),$G42&lt;=IF($S42=MesCiclo,InicioCiclo,$S42+MOD(2-WEEKDAY($S42),7))+20),1,IF(N($W42)&gt;0,AVERAGEIFS($AA$5:$AA$1000,$U$5:$U$1000,ROW(),$V$5:$V$1000,"Sub"),$AA42)))</f>
        <v/>
      </c>
      <c r="AF42" s="62">
        <f>IF($V42="","",IF(AND(ISNUMBER($G42),$G42&lt;=IF($S42=MesCiclo,InicioCiclo,$S42+MOD(2-WEEKDAY($S42),7))+27),1,IF(N($W42)&gt;0,AVERAGEIFS($AB$5:$AB$1000,$U$5:$U$1000,ROW(),$V$5:$V$1000,"Sub"),$AB42)))</f>
        <v/>
      </c>
      <c r="AG42" s="62">
        <f>IF($V42&lt;&gt;"Macro","",IF(COUNTIFS($S$5:$S$1000,$S42,$V$5:$V$1000,"Macro",$H$5:$H$1000,"&gt;0")=0,1/COUNTIFS($S$5:$S$1000,$S42,$V$5:$V$1000,"Macro"),IF(AND(ISNUMBER($H42),N($H42)&gt;0),$H42,SUMIFS($H$5:$H$1000,$S$5:$S$1000,$S42,$V$5:$V$1000,"Macro")/COUNTIFS($S$5:$S$1000,$S42,$V$5:$V$1000,"Macro",$H$5:$H$1000,"&gt;0"))/(COUNTIFS($S$5:$S$1000,$S42,$V$5:$V$1000,"Macro")*SUMIFS($H$5:$H$1000,$S$5:$S$1000,$S42,$V$5:$V$1000,"Macro")/COUNTIFS($S$5:$S$1000,$S42,$V$5:$V$1000,"Macro",$H$5:$H$1000,"&gt;0"))))</f>
        <v/>
      </c>
      <c r="AH42" s="62" t="n"/>
      <c r="AI42" s="62" t="n"/>
      <c r="AJ42" s="62" t="n"/>
      <c r="AK42" s="62" t="n"/>
      <c r="AL42" s="62">
        <f>IF(LEFT($C42,11)="[Jefatura] ",IFERROR(MATCH("Riesgo Operacional|"&amp;MID($C42,12,500),rDname_ADM,0),0),"")</f>
        <v/>
      </c>
      <c r="AM42" s="62">
        <f>IF(N($AL42)&gt;0,INDEX(rIni_ADM,$AL42),IF(ISNUMBER($E42),$E42,""))</f>
        <v/>
      </c>
      <c r="AN42" s="62">
        <f>IF(N($AL42)&gt;0,INDEX(rLim_ADM,$AL42),IF(ISNUMBER($F42),$F42,""))</f>
        <v/>
      </c>
    </row>
    <row r="43">
      <c r="A43" s="56">
        <f>IF(NOT((COUNTA($B43:$D43)+COUNTA($G43:$L43)+COUNTA($Q43))&gt;0),"",IF($V43="Macro",COUNTIFS($V$5:$V43,"Macro",$S$5:$S43,$S43),IF(N($U43)=0,"?",COUNTIFS(INDEX($V$5:$V$1000,1):INDEX($V$5:$V$1000,$U43-4),"Macro",INDEX($S$5:$S$1000,1):INDEX($S$5:$S$1000,$U43-4),INDEX($S$5:$S$1000,$U43-4))&amp;"."&amp;COUNTIFS($U$5:$U43,$U43,$V$5:$V43,"Sub"))))</f>
        <v/>
      </c>
      <c r="B43" s="57" t="n"/>
      <c r="C43" s="58" t="n"/>
      <c r="D43" s="58" t="n"/>
      <c r="E43" s="59">
        <f>IF(N($AL43)&gt;0,INDEX(rIni_ADM,$AL43),"")</f>
        <v/>
      </c>
      <c r="F43" s="59">
        <f>IF(N($AL43)&gt;0,INDEX(rLim_ADM,$AL43),"")</f>
        <v/>
      </c>
      <c r="G43" s="59" t="n"/>
      <c r="H43" s="60" t="n"/>
      <c r="I43" s="60" t="n"/>
      <c r="J43" s="60" t="n"/>
      <c r="K43" s="60" t="n"/>
      <c r="L43" s="60" t="n"/>
      <c r="M43" s="61">
        <f>IF(NOT((COUNTA($B43:$D43)+COUNTA($G43:$L43)+COUNTA($Q43))&gt;0),"",IF(ISNUMBER($G43),1,IF(N($W43)&gt;0,AVERAGEIFS($X$5:$X$1000,$U$5:$U$1000,ROW(),$V$5:$V$1000,"Sub"),$X43)))</f>
        <v/>
      </c>
      <c r="N43" s="56">
        <f>IF($M43="","",IF($M43&gt;=1,"Completado",IF($M43&gt;0,"En curso","Pendiente")))</f>
        <v/>
      </c>
      <c r="O43" s="56">
        <f>IF(NOT((COUNTA($B43:$D43)+COUNTA($G43:$L43)+COUNTA($Q43))&gt;0),"",IF(ISNUMBER($G43),IF(AND(ISNUMBER($AN43),$G43&gt;$AN43),"Cumplida con "&amp;($G43-$AN43)&amp;IF($G43-$AN43=1," día"," días")&amp;" de retraso","Cumplida"),IF(N($M43)&gt;=1,"Cumplida",IF(NOT(ISNUMBER($AN43)),"Sin fecha límite",IF($AN43&lt;FechaRef,"Vencida hace "&amp;(FechaRef-$AN43)&amp;IF(FechaRef-$AN43=1," día"," días"),IF($AN43=FechaRef,"Vence hoy",IF($AN43-FechaRef&lt;=DiasAlerta,"Vence en "&amp;($AN43-FechaRef)&amp;IF($AN43-FechaRef=1," día"," días"),"En plazo")))))))</f>
        <v/>
      </c>
      <c r="P43" s="62" t="n"/>
      <c r="Q43" s="58" t="n"/>
      <c r="R43" s="63">
        <f>IF(NOT((COUNTA($B43:$D43)+COUNTA($G43:$L43)+COUNTA($Q43))&gt;0),"",IF((IF($C43="","Falta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",""))="","✔ OK","⚠ "&amp;LEFT(IF($C43="","Falta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",""),LEN(IF($C43="","Falta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",""))-3)))</f>
        <v/>
      </c>
      <c r="S43" s="64">
        <f>IF(NOT((COUNTA($B43:$D43)+COUNTA($G43:$L43)+COUNTA($Q43))&gt;0),"",IF(AND($V43="Sub",N($U43)&gt;0),IF(ISNUMBER(INDEX($AM$5:$AM$1000,$U43-4)),DATE(YEAR(INDEX($AM$5:$AM$1000,$U43-4)),MONTH(INDEX($AM$5:$AM$1000,$U43-4)),1),IF(ISNUMBER(INDEX($AN$5:$AN$1000,$U43-4)),DATE(YEAR(INDEX($AN$5:$AN$1000,$U43-4)),MONTH(INDEX($AN$5:$AN$1000,$U43-4)),1),MesCiclo)),IF(ISNUMBER($AM43),DATE(YEAR($AM43),MONTH($AM43),1),IF(ISNUMBER($AN43),DATE(YEAR($AN43),MONTH($AN43),1),MesCiclo))))</f>
        <v/>
      </c>
      <c r="T43" s="62">
        <f>IF(OR($S43="",$S43&lt;&gt;MesCiclo),"",COUNTIF($S$5:$S43,MesCiclo))</f>
        <v/>
      </c>
      <c r="U43" s="62">
        <f>IF($V43="","",IF($V43="Macro",ROW(),IFERROR(LOOKUP(2,1/($V$5:$V43="Macro"),ROW($V$5:$V43)),0)))</f>
        <v/>
      </c>
      <c r="V43" s="62">
        <f>IF(NOT((COUNTA($B43:$D43)+COUNTA($G43:$L43)+COUNTA($Q43))&gt;0),"",IF($B43="Subactividad","Sub","Macro"))</f>
        <v/>
      </c>
      <c r="W43" s="62">
        <f>IF($V43="Macro",COUNTIFS($U$5:$U$1000,ROW(),$V$5:$V$1000,"Sub"),"")</f>
        <v/>
      </c>
      <c r="X43" s="62">
        <f>IF($V43="","",IF(ISNUMBER($G43),1,IFERROR(LOOKUP(2,1/($I43:$L43&lt;&gt;""),$I43:$L43),0)))</f>
        <v/>
      </c>
      <c r="Y43" s="62">
        <f>IF($V43="","",IF(AND(ISNUMBER($G43),$G43&lt;=IF($S43=MesCiclo,InicioCiclo,$S43+MOD(2-WEEKDAY($S43),7))+6),1,IF(ISNUMBER($I43),$I43,0)))</f>
        <v/>
      </c>
      <c r="Z43" s="62">
        <f>IF($V43="","",IF(AND(ISNUMBER($G43),$G43&lt;=IF($S43=MesCiclo,InicioCiclo,$S43+MOD(2-WEEKDAY($S43),7))+13),1,IF(ISNUMBER($J43),$J43,$Y43)))</f>
        <v/>
      </c>
      <c r="AA43" s="62">
        <f>IF($V43="","",IF(AND(ISNUMBER($G43),$G43&lt;=IF($S43=MesCiclo,InicioCiclo,$S43+MOD(2-WEEKDAY($S43),7))+20),1,IF(ISNUMBER($K43),$K43,$Z43)))</f>
        <v/>
      </c>
      <c r="AB43" s="62">
        <f>IF($V43="","",IF(AND(ISNUMBER($G43),$G43&lt;=IF($S43=MesCiclo,InicioCiclo,$S43+MOD(2-WEEKDAY($S43),7))+27),1,IF(ISNUMBER($L43),$L43,$AA43)))</f>
        <v/>
      </c>
      <c r="AC43" s="62">
        <f>IF($V43="","",IF(AND(ISNUMBER($G43),$G43&lt;=IF($S43=MesCiclo,InicioCiclo,$S43+MOD(2-WEEKDAY($S43),7))+6),1,IF(N($W43)&gt;0,AVERAGEIFS($Y$5:$Y$1000,$U$5:$U$1000,ROW(),$V$5:$V$1000,"Sub"),$Y43)))</f>
        <v/>
      </c>
      <c r="AD43" s="62">
        <f>IF($V43="","",IF(AND(ISNUMBER($G43),$G43&lt;=IF($S43=MesCiclo,InicioCiclo,$S43+MOD(2-WEEKDAY($S43),7))+13),1,IF(N($W43)&gt;0,AVERAGEIFS($Z$5:$Z$1000,$U$5:$U$1000,ROW(),$V$5:$V$1000,"Sub"),$Z43)))</f>
        <v/>
      </c>
      <c r="AE43" s="62">
        <f>IF($V43="","",IF(AND(ISNUMBER($G43),$G43&lt;=IF($S43=MesCiclo,InicioCiclo,$S43+MOD(2-WEEKDAY($S43),7))+20),1,IF(N($W43)&gt;0,AVERAGEIFS($AA$5:$AA$1000,$U$5:$U$1000,ROW(),$V$5:$V$1000,"Sub"),$AA43)))</f>
        <v/>
      </c>
      <c r="AF43" s="62">
        <f>IF($V43="","",IF(AND(ISNUMBER($G43),$G43&lt;=IF($S43=MesCiclo,InicioCiclo,$S43+MOD(2-WEEKDAY($S43),7))+27),1,IF(N($W43)&gt;0,AVERAGEIFS($AB$5:$AB$1000,$U$5:$U$1000,ROW(),$V$5:$V$1000,"Sub"),$AB43)))</f>
        <v/>
      </c>
      <c r="AG43" s="62">
        <f>IF($V43&lt;&gt;"Macro","",IF(COUNTIFS($S$5:$S$1000,$S43,$V$5:$V$1000,"Macro",$H$5:$H$1000,"&gt;0")=0,1/COUNTIFS($S$5:$S$1000,$S43,$V$5:$V$1000,"Macro"),IF(AND(ISNUMBER($H43),N($H43)&gt;0),$H43,SUMIFS($H$5:$H$1000,$S$5:$S$1000,$S43,$V$5:$V$1000,"Macro")/COUNTIFS($S$5:$S$1000,$S43,$V$5:$V$1000,"Macro",$H$5:$H$1000,"&gt;0"))/(COUNTIFS($S$5:$S$1000,$S43,$V$5:$V$1000,"Macro")*SUMIFS($H$5:$H$1000,$S$5:$S$1000,$S43,$V$5:$V$1000,"Macro")/COUNTIFS($S$5:$S$1000,$S43,$V$5:$V$1000,"Macro",$H$5:$H$1000,"&gt;0"))))</f>
        <v/>
      </c>
      <c r="AH43" s="62" t="n"/>
      <c r="AI43" s="62" t="n"/>
      <c r="AJ43" s="62" t="n"/>
      <c r="AK43" s="62" t="n"/>
      <c r="AL43" s="62">
        <f>IF(LEFT($C43,11)="[Jefatura] ",IFERROR(MATCH("Riesgo Operacional|"&amp;MID($C43,12,500),rDname_ADM,0),0),"")</f>
        <v/>
      </c>
      <c r="AM43" s="62">
        <f>IF(N($AL43)&gt;0,INDEX(rIni_ADM,$AL43),IF(ISNUMBER($E43),$E43,""))</f>
        <v/>
      </c>
      <c r="AN43" s="62">
        <f>IF(N($AL43)&gt;0,INDEX(rLim_ADM,$AL43),IF(ISNUMBER($F43),$F43,""))</f>
        <v/>
      </c>
    </row>
    <row r="44">
      <c r="A44" s="56">
        <f>IF(NOT((COUNTA($B44:$D44)+COUNTA($G44:$L44)+COUNTA($Q44))&gt;0),"",IF($V44="Macro",COUNTIFS($V$5:$V44,"Macro",$S$5:$S44,$S44),IF(N($U44)=0,"?",COUNTIFS(INDEX($V$5:$V$1000,1):INDEX($V$5:$V$1000,$U44-4),"Macro",INDEX($S$5:$S$1000,1):INDEX($S$5:$S$1000,$U44-4),INDEX($S$5:$S$1000,$U44-4))&amp;"."&amp;COUNTIFS($U$5:$U44,$U44,$V$5:$V44,"Sub"))))</f>
        <v/>
      </c>
      <c r="B44" s="57" t="n"/>
      <c r="C44" s="58" t="n"/>
      <c r="D44" s="58" t="n"/>
      <c r="E44" s="59">
        <f>IF(N($AL44)&gt;0,INDEX(rIni_ADM,$AL44),"")</f>
        <v/>
      </c>
      <c r="F44" s="59">
        <f>IF(N($AL44)&gt;0,INDEX(rLim_ADM,$AL44),"")</f>
        <v/>
      </c>
      <c r="G44" s="59" t="n"/>
      <c r="H44" s="60" t="n"/>
      <c r="I44" s="60" t="n"/>
      <c r="J44" s="60" t="n"/>
      <c r="K44" s="60" t="n"/>
      <c r="L44" s="60" t="n"/>
      <c r="M44" s="61">
        <f>IF(NOT((COUNTA($B44:$D44)+COUNTA($G44:$L44)+COUNTA($Q44))&gt;0),"",IF(ISNUMBER($G44),1,IF(N($W44)&gt;0,AVERAGEIFS($X$5:$X$1000,$U$5:$U$1000,ROW(),$V$5:$V$1000,"Sub"),$X44)))</f>
        <v/>
      </c>
      <c r="N44" s="56">
        <f>IF($M44="","",IF($M44&gt;=1,"Completado",IF($M44&gt;0,"En curso","Pendiente")))</f>
        <v/>
      </c>
      <c r="O44" s="56">
        <f>IF(NOT((COUNTA($B44:$D44)+COUNTA($G44:$L44)+COUNTA($Q44))&gt;0),"",IF(ISNUMBER($G44),IF(AND(ISNUMBER($AN44),$G44&gt;$AN44),"Cumplida con "&amp;($G44-$AN44)&amp;IF($G44-$AN44=1," día"," días")&amp;" de retraso","Cumplida"),IF(N($M44)&gt;=1,"Cumplida",IF(NOT(ISNUMBER($AN44)),"Sin fecha límite",IF($AN44&lt;FechaRef,"Vencida hace "&amp;(FechaRef-$AN44)&amp;IF(FechaRef-$AN44=1," día"," días"),IF($AN44=FechaRef,"Vence hoy",IF($AN44-FechaRef&lt;=DiasAlerta,"Vence en "&amp;($AN44-FechaRef)&amp;IF($AN44-FechaRef=1," día"," días"),"En plazo")))))))</f>
        <v/>
      </c>
      <c r="P44" s="62" t="n"/>
      <c r="Q44" s="58" t="n"/>
      <c r="R44" s="63">
        <f>IF(NOT((COUNTA($B44:$D44)+COUNTA($G44:$L44)+COUNTA($Q44))&gt;0),"",IF((IF($C44="","Falta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",""))="","✔ OK","⚠ "&amp;LEFT(IF($C44="","Falta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",""),LEN(IF($C44="","Falta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",""))-3)))</f>
        <v/>
      </c>
      <c r="S44" s="64">
        <f>IF(NOT((COUNTA($B44:$D44)+COUNTA($G44:$L44)+COUNTA($Q44))&gt;0),"",IF(AND($V44="Sub",N($U44)&gt;0),IF(ISNUMBER(INDEX($AM$5:$AM$1000,$U44-4)),DATE(YEAR(INDEX($AM$5:$AM$1000,$U44-4)),MONTH(INDEX($AM$5:$AM$1000,$U44-4)),1),IF(ISNUMBER(INDEX($AN$5:$AN$1000,$U44-4)),DATE(YEAR(INDEX($AN$5:$AN$1000,$U44-4)),MONTH(INDEX($AN$5:$AN$1000,$U44-4)),1),MesCiclo)),IF(ISNUMBER($AM44),DATE(YEAR($AM44),MONTH($AM44),1),IF(ISNUMBER($AN44),DATE(YEAR($AN44),MONTH($AN44),1),MesCiclo))))</f>
        <v/>
      </c>
      <c r="T44" s="62">
        <f>IF(OR($S44="",$S44&lt;&gt;MesCiclo),"",COUNTIF($S$5:$S44,MesCiclo))</f>
        <v/>
      </c>
      <c r="U44" s="62">
        <f>IF($V44="","",IF($V44="Macro",ROW(),IFERROR(LOOKUP(2,1/($V$5:$V44="Macro"),ROW($V$5:$V44)),0)))</f>
        <v/>
      </c>
      <c r="V44" s="62">
        <f>IF(NOT((COUNTA($B44:$D44)+COUNTA($G44:$L44)+COUNTA($Q44))&gt;0),"",IF($B44="Subactividad","Sub","Macro"))</f>
        <v/>
      </c>
      <c r="W44" s="62">
        <f>IF($V44="Macro",COUNTIFS($U$5:$U$1000,ROW(),$V$5:$V$1000,"Sub"),"")</f>
        <v/>
      </c>
      <c r="X44" s="62">
        <f>IF($V44="","",IF(ISNUMBER($G44),1,IFERROR(LOOKUP(2,1/($I44:$L44&lt;&gt;""),$I44:$L44),0)))</f>
        <v/>
      </c>
      <c r="Y44" s="62">
        <f>IF($V44="","",IF(AND(ISNUMBER($G44),$G44&lt;=IF($S44=MesCiclo,InicioCiclo,$S44+MOD(2-WEEKDAY($S44),7))+6),1,IF(ISNUMBER($I44),$I44,0)))</f>
        <v/>
      </c>
      <c r="Z44" s="62">
        <f>IF($V44="","",IF(AND(ISNUMBER($G44),$G44&lt;=IF($S44=MesCiclo,InicioCiclo,$S44+MOD(2-WEEKDAY($S44),7))+13),1,IF(ISNUMBER($J44),$J44,$Y44)))</f>
        <v/>
      </c>
      <c r="AA44" s="62">
        <f>IF($V44="","",IF(AND(ISNUMBER($G44),$G44&lt;=IF($S44=MesCiclo,InicioCiclo,$S44+MOD(2-WEEKDAY($S44),7))+20),1,IF(ISNUMBER($K44),$K44,$Z44)))</f>
        <v/>
      </c>
      <c r="AB44" s="62">
        <f>IF($V44="","",IF(AND(ISNUMBER($G44),$G44&lt;=IF($S44=MesCiclo,InicioCiclo,$S44+MOD(2-WEEKDAY($S44),7))+27),1,IF(ISNUMBER($L44),$L44,$AA44)))</f>
        <v/>
      </c>
      <c r="AC44" s="62">
        <f>IF($V44="","",IF(AND(ISNUMBER($G44),$G44&lt;=IF($S44=MesCiclo,InicioCiclo,$S44+MOD(2-WEEKDAY($S44),7))+6),1,IF(N($W44)&gt;0,AVERAGEIFS($Y$5:$Y$1000,$U$5:$U$1000,ROW(),$V$5:$V$1000,"Sub"),$Y44)))</f>
        <v/>
      </c>
      <c r="AD44" s="62">
        <f>IF($V44="","",IF(AND(ISNUMBER($G44),$G44&lt;=IF($S44=MesCiclo,InicioCiclo,$S44+MOD(2-WEEKDAY($S44),7))+13),1,IF(N($W44)&gt;0,AVERAGEIFS($Z$5:$Z$1000,$U$5:$U$1000,ROW(),$V$5:$V$1000,"Sub"),$Z44)))</f>
        <v/>
      </c>
      <c r="AE44" s="62">
        <f>IF($V44="","",IF(AND(ISNUMBER($G44),$G44&lt;=IF($S44=MesCiclo,InicioCiclo,$S44+MOD(2-WEEKDAY($S44),7))+20),1,IF(N($W44)&gt;0,AVERAGEIFS($AA$5:$AA$1000,$U$5:$U$1000,ROW(),$V$5:$V$1000,"Sub"),$AA44)))</f>
        <v/>
      </c>
      <c r="AF44" s="62">
        <f>IF($V44="","",IF(AND(ISNUMBER($G44),$G44&lt;=IF($S44=MesCiclo,InicioCiclo,$S44+MOD(2-WEEKDAY($S44),7))+27),1,IF(N($W44)&gt;0,AVERAGEIFS($AB$5:$AB$1000,$U$5:$U$1000,ROW(),$V$5:$V$1000,"Sub"),$AB44)))</f>
        <v/>
      </c>
      <c r="AG44" s="62">
        <f>IF($V44&lt;&gt;"Macro","",IF(COUNTIFS($S$5:$S$1000,$S44,$V$5:$V$1000,"Macro",$H$5:$H$1000,"&gt;0")=0,1/COUNTIFS($S$5:$S$1000,$S44,$V$5:$V$1000,"Macro"),IF(AND(ISNUMBER($H44),N($H44)&gt;0),$H44,SUMIFS($H$5:$H$1000,$S$5:$S$1000,$S44,$V$5:$V$1000,"Macro")/COUNTIFS($S$5:$S$1000,$S44,$V$5:$V$1000,"Macro",$H$5:$H$1000,"&gt;0"))/(COUNTIFS($S$5:$S$1000,$S44,$V$5:$V$1000,"Macro")*SUMIFS($H$5:$H$1000,$S$5:$S$1000,$S44,$V$5:$V$1000,"Macro")/COUNTIFS($S$5:$S$1000,$S44,$V$5:$V$1000,"Macro",$H$5:$H$1000,"&gt;0"))))</f>
        <v/>
      </c>
      <c r="AH44" s="62" t="n"/>
      <c r="AI44" s="62" t="n"/>
      <c r="AJ44" s="62" t="n"/>
      <c r="AK44" s="62" t="n"/>
      <c r="AL44" s="62">
        <f>IF(LEFT($C44,11)="[Jefatura] ",IFERROR(MATCH("Riesgo Operacional|"&amp;MID($C44,12,500),rDname_ADM,0),0),"")</f>
        <v/>
      </c>
      <c r="AM44" s="62">
        <f>IF(N($AL44)&gt;0,INDEX(rIni_ADM,$AL44),IF(ISNUMBER($E44),$E44,""))</f>
        <v/>
      </c>
      <c r="AN44" s="62">
        <f>IF(N($AL44)&gt;0,INDEX(rLim_ADM,$AL44),IF(ISNUMBER($F44),$F44,""))</f>
        <v/>
      </c>
    </row>
    <row r="45">
      <c r="A45" s="56">
        <f>IF(NOT((COUNTA($B45:$D45)+COUNTA($G45:$L45)+COUNTA($Q45))&gt;0),"",IF($V45="Macro",COUNTIFS($V$5:$V45,"Macro",$S$5:$S45,$S45),IF(N($U45)=0,"?",COUNTIFS(INDEX($V$5:$V$1000,1):INDEX($V$5:$V$1000,$U45-4),"Macro",INDEX($S$5:$S$1000,1):INDEX($S$5:$S$1000,$U45-4),INDEX($S$5:$S$1000,$U45-4))&amp;"."&amp;COUNTIFS($U$5:$U45,$U45,$V$5:$V45,"Sub"))))</f>
        <v/>
      </c>
      <c r="B45" s="57" t="n"/>
      <c r="C45" s="58" t="n"/>
      <c r="D45" s="58" t="n"/>
      <c r="E45" s="59">
        <f>IF(N($AL45)&gt;0,INDEX(rIni_ADM,$AL45),"")</f>
        <v/>
      </c>
      <c r="F45" s="59">
        <f>IF(N($AL45)&gt;0,INDEX(rLim_ADM,$AL45),"")</f>
        <v/>
      </c>
      <c r="G45" s="59" t="n"/>
      <c r="H45" s="60" t="n"/>
      <c r="I45" s="60" t="n"/>
      <c r="J45" s="60" t="n"/>
      <c r="K45" s="60" t="n"/>
      <c r="L45" s="60" t="n"/>
      <c r="M45" s="61">
        <f>IF(NOT((COUNTA($B45:$D45)+COUNTA($G45:$L45)+COUNTA($Q45))&gt;0),"",IF(ISNUMBER($G45),1,IF(N($W45)&gt;0,AVERAGEIFS($X$5:$X$1000,$U$5:$U$1000,ROW(),$V$5:$V$1000,"Sub"),$X45)))</f>
        <v/>
      </c>
      <c r="N45" s="56">
        <f>IF($M45="","",IF($M45&gt;=1,"Completado",IF($M45&gt;0,"En curso","Pendiente")))</f>
        <v/>
      </c>
      <c r="O45" s="56">
        <f>IF(NOT((COUNTA($B45:$D45)+COUNTA($G45:$L45)+COUNTA($Q45))&gt;0),"",IF(ISNUMBER($G45),IF(AND(ISNUMBER($AN45),$G45&gt;$AN45),"Cumplida con "&amp;($G45-$AN45)&amp;IF($G45-$AN45=1," día"," días")&amp;" de retraso","Cumplida"),IF(N($M45)&gt;=1,"Cumplida",IF(NOT(ISNUMBER($AN45)),"Sin fecha límite",IF($AN45&lt;FechaRef,"Vencida hace "&amp;(FechaRef-$AN45)&amp;IF(FechaRef-$AN45=1," día"," días"),IF($AN45=FechaRef,"Vence hoy",IF($AN45-FechaRef&lt;=DiasAlerta,"Vence en "&amp;($AN45-FechaRef)&amp;IF($AN45-FechaRef=1," día"," días"),"En plazo")))))))</f>
        <v/>
      </c>
      <c r="P45" s="62" t="n"/>
      <c r="Q45" s="58" t="n"/>
      <c r="R45" s="63">
        <f>IF(NOT((COUNTA($B45:$D45)+COUNTA($G45:$L45)+COUNTA($Q45))&gt;0),"",IF((IF($C45="","Falta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",""))="","✔ OK","⚠ "&amp;LEFT(IF($C45="","Falta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",""),LEN(IF($C45="","Falta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",""))-3)))</f>
        <v/>
      </c>
      <c r="S45" s="64">
        <f>IF(NOT((COUNTA($B45:$D45)+COUNTA($G45:$L45)+COUNTA($Q45))&gt;0),"",IF(AND($V45="Sub",N($U45)&gt;0),IF(ISNUMBER(INDEX($AM$5:$AM$1000,$U45-4)),DATE(YEAR(INDEX($AM$5:$AM$1000,$U45-4)),MONTH(INDEX($AM$5:$AM$1000,$U45-4)),1),IF(ISNUMBER(INDEX($AN$5:$AN$1000,$U45-4)),DATE(YEAR(INDEX($AN$5:$AN$1000,$U45-4)),MONTH(INDEX($AN$5:$AN$1000,$U45-4)),1),MesCiclo)),IF(ISNUMBER($AM45),DATE(YEAR($AM45),MONTH($AM45),1),IF(ISNUMBER($AN45),DATE(YEAR($AN45),MONTH($AN45),1),MesCiclo))))</f>
        <v/>
      </c>
      <c r="T45" s="62">
        <f>IF(OR($S45="",$S45&lt;&gt;MesCiclo),"",COUNTIF($S$5:$S45,MesCiclo))</f>
        <v/>
      </c>
      <c r="U45" s="62">
        <f>IF($V45="","",IF($V45="Macro",ROW(),IFERROR(LOOKUP(2,1/($V$5:$V45="Macro"),ROW($V$5:$V45)),0)))</f>
        <v/>
      </c>
      <c r="V45" s="62">
        <f>IF(NOT((COUNTA($B45:$D45)+COUNTA($G45:$L45)+COUNTA($Q45))&gt;0),"",IF($B45="Subactividad","Sub","Macro"))</f>
        <v/>
      </c>
      <c r="W45" s="62">
        <f>IF($V45="Macro",COUNTIFS($U$5:$U$1000,ROW(),$V$5:$V$1000,"Sub"),"")</f>
        <v/>
      </c>
      <c r="X45" s="62">
        <f>IF($V45="","",IF(ISNUMBER($G45),1,IFERROR(LOOKUP(2,1/($I45:$L45&lt;&gt;""),$I45:$L45),0)))</f>
        <v/>
      </c>
      <c r="Y45" s="62">
        <f>IF($V45="","",IF(AND(ISNUMBER($G45),$G45&lt;=IF($S45=MesCiclo,InicioCiclo,$S45+MOD(2-WEEKDAY($S45),7))+6),1,IF(ISNUMBER($I45),$I45,0)))</f>
        <v/>
      </c>
      <c r="Z45" s="62">
        <f>IF($V45="","",IF(AND(ISNUMBER($G45),$G45&lt;=IF($S45=MesCiclo,InicioCiclo,$S45+MOD(2-WEEKDAY($S45),7))+13),1,IF(ISNUMBER($J45),$J45,$Y45)))</f>
        <v/>
      </c>
      <c r="AA45" s="62">
        <f>IF($V45="","",IF(AND(ISNUMBER($G45),$G45&lt;=IF($S45=MesCiclo,InicioCiclo,$S45+MOD(2-WEEKDAY($S45),7))+20),1,IF(ISNUMBER($K45),$K45,$Z45)))</f>
        <v/>
      </c>
      <c r="AB45" s="62">
        <f>IF($V45="","",IF(AND(ISNUMBER($G45),$G45&lt;=IF($S45=MesCiclo,InicioCiclo,$S45+MOD(2-WEEKDAY($S45),7))+27),1,IF(ISNUMBER($L45),$L45,$AA45)))</f>
        <v/>
      </c>
      <c r="AC45" s="62">
        <f>IF($V45="","",IF(AND(ISNUMBER($G45),$G45&lt;=IF($S45=MesCiclo,InicioCiclo,$S45+MOD(2-WEEKDAY($S45),7))+6),1,IF(N($W45)&gt;0,AVERAGEIFS($Y$5:$Y$1000,$U$5:$U$1000,ROW(),$V$5:$V$1000,"Sub"),$Y45)))</f>
        <v/>
      </c>
      <c r="AD45" s="62">
        <f>IF($V45="","",IF(AND(ISNUMBER($G45),$G45&lt;=IF($S45=MesCiclo,InicioCiclo,$S45+MOD(2-WEEKDAY($S45),7))+13),1,IF(N($W45)&gt;0,AVERAGEIFS($Z$5:$Z$1000,$U$5:$U$1000,ROW(),$V$5:$V$1000,"Sub"),$Z45)))</f>
        <v/>
      </c>
      <c r="AE45" s="62">
        <f>IF($V45="","",IF(AND(ISNUMBER($G45),$G45&lt;=IF($S45=MesCiclo,InicioCiclo,$S45+MOD(2-WEEKDAY($S45),7))+20),1,IF(N($W45)&gt;0,AVERAGEIFS($AA$5:$AA$1000,$U$5:$U$1000,ROW(),$V$5:$V$1000,"Sub"),$AA45)))</f>
        <v/>
      </c>
      <c r="AF45" s="62">
        <f>IF($V45="","",IF(AND(ISNUMBER($G45),$G45&lt;=IF($S45=MesCiclo,InicioCiclo,$S45+MOD(2-WEEKDAY($S45),7))+27),1,IF(N($W45)&gt;0,AVERAGEIFS($AB$5:$AB$1000,$U$5:$U$1000,ROW(),$V$5:$V$1000,"Sub"),$AB45)))</f>
        <v/>
      </c>
      <c r="AG45" s="62">
        <f>IF($V45&lt;&gt;"Macro","",IF(COUNTIFS($S$5:$S$1000,$S45,$V$5:$V$1000,"Macro",$H$5:$H$1000,"&gt;0")=0,1/COUNTIFS($S$5:$S$1000,$S45,$V$5:$V$1000,"Macro"),IF(AND(ISNUMBER($H45),N($H45)&gt;0),$H45,SUMIFS($H$5:$H$1000,$S$5:$S$1000,$S45,$V$5:$V$1000,"Macro")/COUNTIFS($S$5:$S$1000,$S45,$V$5:$V$1000,"Macro",$H$5:$H$1000,"&gt;0"))/(COUNTIFS($S$5:$S$1000,$S45,$V$5:$V$1000,"Macro")*SUMIFS($H$5:$H$1000,$S$5:$S$1000,$S45,$V$5:$V$1000,"Macro")/COUNTIFS($S$5:$S$1000,$S45,$V$5:$V$1000,"Macro",$H$5:$H$1000,"&gt;0"))))</f>
        <v/>
      </c>
      <c r="AH45" s="62" t="n"/>
      <c r="AI45" s="62" t="n"/>
      <c r="AJ45" s="62" t="n"/>
      <c r="AK45" s="62" t="n"/>
      <c r="AL45" s="62">
        <f>IF(LEFT($C45,11)="[Jefatura] ",IFERROR(MATCH("Riesgo Operacional|"&amp;MID($C45,12,500),rDname_ADM,0),0),"")</f>
        <v/>
      </c>
      <c r="AM45" s="62">
        <f>IF(N($AL45)&gt;0,INDEX(rIni_ADM,$AL45),IF(ISNUMBER($E45),$E45,""))</f>
        <v/>
      </c>
      <c r="AN45" s="62">
        <f>IF(N($AL45)&gt;0,INDEX(rLim_ADM,$AL45),IF(ISNUMBER($F45),$F45,""))</f>
        <v/>
      </c>
    </row>
    <row r="46">
      <c r="A46" s="56">
        <f>IF(NOT((COUNTA($B46:$D46)+COUNTA($G46:$L46)+COUNTA($Q46))&gt;0),"",IF($V46="Macro",COUNTIFS($V$5:$V46,"Macro",$S$5:$S46,$S46),IF(N($U46)=0,"?",COUNTIFS(INDEX($V$5:$V$1000,1):INDEX($V$5:$V$1000,$U46-4),"Macro",INDEX($S$5:$S$1000,1):INDEX($S$5:$S$1000,$U46-4),INDEX($S$5:$S$1000,$U46-4))&amp;"."&amp;COUNTIFS($U$5:$U46,$U46,$V$5:$V46,"Sub"))))</f>
        <v/>
      </c>
      <c r="B46" s="57" t="n"/>
      <c r="C46" s="58" t="n"/>
      <c r="D46" s="58" t="n"/>
      <c r="E46" s="59">
        <f>IF(N($AL46)&gt;0,INDEX(rIni_ADM,$AL46),"")</f>
        <v/>
      </c>
      <c r="F46" s="59">
        <f>IF(N($AL46)&gt;0,INDEX(rLim_ADM,$AL46),"")</f>
        <v/>
      </c>
      <c r="G46" s="59" t="n"/>
      <c r="H46" s="60" t="n"/>
      <c r="I46" s="60" t="n"/>
      <c r="J46" s="60" t="n"/>
      <c r="K46" s="60" t="n"/>
      <c r="L46" s="60" t="n"/>
      <c r="M46" s="61">
        <f>IF(NOT((COUNTA($B46:$D46)+COUNTA($G46:$L46)+COUNTA($Q46))&gt;0),"",IF(ISNUMBER($G46),1,IF(N($W46)&gt;0,AVERAGEIFS($X$5:$X$1000,$U$5:$U$1000,ROW(),$V$5:$V$1000,"Sub"),$X46)))</f>
        <v/>
      </c>
      <c r="N46" s="56">
        <f>IF($M46="","",IF($M46&gt;=1,"Completado",IF($M46&gt;0,"En curso","Pendiente")))</f>
        <v/>
      </c>
      <c r="O46" s="56">
        <f>IF(NOT((COUNTA($B46:$D46)+COUNTA($G46:$L46)+COUNTA($Q46))&gt;0),"",IF(ISNUMBER($G46),IF(AND(ISNUMBER($AN46),$G46&gt;$AN46),"Cumplida con "&amp;($G46-$AN46)&amp;IF($G46-$AN46=1," día"," días")&amp;" de retraso","Cumplida"),IF(N($M46)&gt;=1,"Cumplida",IF(NOT(ISNUMBER($AN46)),"Sin fecha límite",IF($AN46&lt;FechaRef,"Vencida hace "&amp;(FechaRef-$AN46)&amp;IF(FechaRef-$AN46=1," día"," días"),IF($AN46=FechaRef,"Vence hoy",IF($AN46-FechaRef&lt;=DiasAlerta,"Vence en "&amp;($AN46-FechaRef)&amp;IF($AN46-FechaRef=1," día"," días"),"En plazo")))))))</f>
        <v/>
      </c>
      <c r="P46" s="62" t="n"/>
      <c r="Q46" s="58" t="n"/>
      <c r="R46" s="63">
        <f>IF(NOT((COUNTA($B46:$D46)+COUNTA($G46:$L46)+COUNTA($Q46))&gt;0),"",IF((IF($C46="","Falta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",""))="","✔ OK","⚠ "&amp;LEFT(IF($C46="","Falta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",""),LEN(IF($C46="","Falta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",""))-3)))</f>
        <v/>
      </c>
      <c r="S46" s="64">
        <f>IF(NOT((COUNTA($B46:$D46)+COUNTA($G46:$L46)+COUNTA($Q46))&gt;0),"",IF(AND($V46="Sub",N($U46)&gt;0),IF(ISNUMBER(INDEX($AM$5:$AM$1000,$U46-4)),DATE(YEAR(INDEX($AM$5:$AM$1000,$U46-4)),MONTH(INDEX($AM$5:$AM$1000,$U46-4)),1),IF(ISNUMBER(INDEX($AN$5:$AN$1000,$U46-4)),DATE(YEAR(INDEX($AN$5:$AN$1000,$U46-4)),MONTH(INDEX($AN$5:$AN$1000,$U46-4)),1),MesCiclo)),IF(ISNUMBER($AM46),DATE(YEAR($AM46),MONTH($AM46),1),IF(ISNUMBER($AN46),DATE(YEAR($AN46),MONTH($AN46),1),MesCiclo))))</f>
        <v/>
      </c>
      <c r="T46" s="62">
        <f>IF(OR($S46="",$S46&lt;&gt;MesCiclo),"",COUNTIF($S$5:$S46,MesCiclo))</f>
        <v/>
      </c>
      <c r="U46" s="62">
        <f>IF($V46="","",IF($V46="Macro",ROW(),IFERROR(LOOKUP(2,1/($V$5:$V46="Macro"),ROW($V$5:$V46)),0)))</f>
        <v/>
      </c>
      <c r="V46" s="62">
        <f>IF(NOT((COUNTA($B46:$D46)+COUNTA($G46:$L46)+COUNTA($Q46))&gt;0),"",IF($B46="Subactividad","Sub","Macro"))</f>
        <v/>
      </c>
      <c r="W46" s="62">
        <f>IF($V46="Macro",COUNTIFS($U$5:$U$1000,ROW(),$V$5:$V$1000,"Sub"),"")</f>
        <v/>
      </c>
      <c r="X46" s="62">
        <f>IF($V46="","",IF(ISNUMBER($G46),1,IFERROR(LOOKUP(2,1/($I46:$L46&lt;&gt;""),$I46:$L46),0)))</f>
        <v/>
      </c>
      <c r="Y46" s="62">
        <f>IF($V46="","",IF(AND(ISNUMBER($G46),$G46&lt;=IF($S46=MesCiclo,InicioCiclo,$S46+MOD(2-WEEKDAY($S46),7))+6),1,IF(ISNUMBER($I46),$I46,0)))</f>
        <v/>
      </c>
      <c r="Z46" s="62">
        <f>IF($V46="","",IF(AND(ISNUMBER($G46),$G46&lt;=IF($S46=MesCiclo,InicioCiclo,$S46+MOD(2-WEEKDAY($S46),7))+13),1,IF(ISNUMBER($J46),$J46,$Y46)))</f>
        <v/>
      </c>
      <c r="AA46" s="62">
        <f>IF($V46="","",IF(AND(ISNUMBER($G46),$G46&lt;=IF($S46=MesCiclo,InicioCiclo,$S46+MOD(2-WEEKDAY($S46),7))+20),1,IF(ISNUMBER($K46),$K46,$Z46)))</f>
        <v/>
      </c>
      <c r="AB46" s="62">
        <f>IF($V46="","",IF(AND(ISNUMBER($G46),$G46&lt;=IF($S46=MesCiclo,InicioCiclo,$S46+MOD(2-WEEKDAY($S46),7))+27),1,IF(ISNUMBER($L46),$L46,$AA46)))</f>
        <v/>
      </c>
      <c r="AC46" s="62">
        <f>IF($V46="","",IF(AND(ISNUMBER($G46),$G46&lt;=IF($S46=MesCiclo,InicioCiclo,$S46+MOD(2-WEEKDAY($S46),7))+6),1,IF(N($W46)&gt;0,AVERAGEIFS($Y$5:$Y$1000,$U$5:$U$1000,ROW(),$V$5:$V$1000,"Sub"),$Y46)))</f>
        <v/>
      </c>
      <c r="AD46" s="62">
        <f>IF($V46="","",IF(AND(ISNUMBER($G46),$G46&lt;=IF($S46=MesCiclo,InicioCiclo,$S46+MOD(2-WEEKDAY($S46),7))+13),1,IF(N($W46)&gt;0,AVERAGEIFS($Z$5:$Z$1000,$U$5:$U$1000,ROW(),$V$5:$V$1000,"Sub"),$Z46)))</f>
        <v/>
      </c>
      <c r="AE46" s="62">
        <f>IF($V46="","",IF(AND(ISNUMBER($G46),$G46&lt;=IF($S46=MesCiclo,InicioCiclo,$S46+MOD(2-WEEKDAY($S46),7))+20),1,IF(N($W46)&gt;0,AVERAGEIFS($AA$5:$AA$1000,$U$5:$U$1000,ROW(),$V$5:$V$1000,"Sub"),$AA46)))</f>
        <v/>
      </c>
      <c r="AF46" s="62">
        <f>IF($V46="","",IF(AND(ISNUMBER($G46),$G46&lt;=IF($S46=MesCiclo,InicioCiclo,$S46+MOD(2-WEEKDAY($S46),7))+27),1,IF(N($W46)&gt;0,AVERAGEIFS($AB$5:$AB$1000,$U$5:$U$1000,ROW(),$V$5:$V$1000,"Sub"),$AB46)))</f>
        <v/>
      </c>
      <c r="AG46" s="62">
        <f>IF($V46&lt;&gt;"Macro","",IF(COUNTIFS($S$5:$S$1000,$S46,$V$5:$V$1000,"Macro",$H$5:$H$1000,"&gt;0")=0,1/COUNTIFS($S$5:$S$1000,$S46,$V$5:$V$1000,"Macro"),IF(AND(ISNUMBER($H46),N($H46)&gt;0),$H46,SUMIFS($H$5:$H$1000,$S$5:$S$1000,$S46,$V$5:$V$1000,"Macro")/COUNTIFS($S$5:$S$1000,$S46,$V$5:$V$1000,"Macro",$H$5:$H$1000,"&gt;0"))/(COUNTIFS($S$5:$S$1000,$S46,$V$5:$V$1000,"Macro")*SUMIFS($H$5:$H$1000,$S$5:$S$1000,$S46,$V$5:$V$1000,"Macro")/COUNTIFS($S$5:$S$1000,$S46,$V$5:$V$1000,"Macro",$H$5:$H$1000,"&gt;0"))))</f>
        <v/>
      </c>
      <c r="AH46" s="62" t="n"/>
      <c r="AI46" s="62" t="n"/>
      <c r="AJ46" s="62" t="n"/>
      <c r="AK46" s="62" t="n"/>
      <c r="AL46" s="62">
        <f>IF(LEFT($C46,11)="[Jefatura] ",IFERROR(MATCH("Riesgo Operacional|"&amp;MID($C46,12,500),rDname_ADM,0),0),"")</f>
        <v/>
      </c>
      <c r="AM46" s="62">
        <f>IF(N($AL46)&gt;0,INDEX(rIni_ADM,$AL46),IF(ISNUMBER($E46),$E46,""))</f>
        <v/>
      </c>
      <c r="AN46" s="62">
        <f>IF(N($AL46)&gt;0,INDEX(rLim_ADM,$AL46),IF(ISNUMBER($F46),$F46,""))</f>
        <v/>
      </c>
    </row>
    <row r="47">
      <c r="A47" s="56">
        <f>IF(NOT((COUNTA($B47:$D47)+COUNTA($G47:$L47)+COUNTA($Q47))&gt;0),"",IF($V47="Macro",COUNTIFS($V$5:$V47,"Macro",$S$5:$S47,$S47),IF(N($U47)=0,"?",COUNTIFS(INDEX($V$5:$V$1000,1):INDEX($V$5:$V$1000,$U47-4),"Macro",INDEX($S$5:$S$1000,1):INDEX($S$5:$S$1000,$U47-4),INDEX($S$5:$S$1000,$U47-4))&amp;"."&amp;COUNTIFS($U$5:$U47,$U47,$V$5:$V47,"Sub"))))</f>
        <v/>
      </c>
      <c r="B47" s="57" t="n"/>
      <c r="C47" s="58" t="n"/>
      <c r="D47" s="58" t="n"/>
      <c r="E47" s="59">
        <f>IF(N($AL47)&gt;0,INDEX(rIni_ADM,$AL47),"")</f>
        <v/>
      </c>
      <c r="F47" s="59">
        <f>IF(N($AL47)&gt;0,INDEX(rLim_ADM,$AL47),"")</f>
        <v/>
      </c>
      <c r="G47" s="59" t="n"/>
      <c r="H47" s="60" t="n"/>
      <c r="I47" s="60" t="n"/>
      <c r="J47" s="60" t="n"/>
      <c r="K47" s="60" t="n"/>
      <c r="L47" s="60" t="n"/>
      <c r="M47" s="61">
        <f>IF(NOT((COUNTA($B47:$D47)+COUNTA($G47:$L47)+COUNTA($Q47))&gt;0),"",IF(ISNUMBER($G47),1,IF(N($W47)&gt;0,AVERAGEIFS($X$5:$X$1000,$U$5:$U$1000,ROW(),$V$5:$V$1000,"Sub"),$X47)))</f>
        <v/>
      </c>
      <c r="N47" s="56">
        <f>IF($M47="","",IF($M47&gt;=1,"Completado",IF($M47&gt;0,"En curso","Pendiente")))</f>
        <v/>
      </c>
      <c r="O47" s="56">
        <f>IF(NOT((COUNTA($B47:$D47)+COUNTA($G47:$L47)+COUNTA($Q47))&gt;0),"",IF(ISNUMBER($G47),IF(AND(ISNUMBER($AN47),$G47&gt;$AN47),"Cumplida con "&amp;($G47-$AN47)&amp;IF($G47-$AN47=1," día"," días")&amp;" de retraso","Cumplida"),IF(N($M47)&gt;=1,"Cumplida",IF(NOT(ISNUMBER($AN47)),"Sin fecha límite",IF($AN47&lt;FechaRef,"Vencida hace "&amp;(FechaRef-$AN47)&amp;IF(FechaRef-$AN47=1," día"," días"),IF($AN47=FechaRef,"Vence hoy",IF($AN47-FechaRef&lt;=DiasAlerta,"Vence en "&amp;($AN47-FechaRef)&amp;IF($AN47-FechaRef=1," día"," días"),"En plazo")))))))</f>
        <v/>
      </c>
      <c r="P47" s="62" t="n"/>
      <c r="Q47" s="58" t="n"/>
      <c r="R47" s="63">
        <f>IF(NOT((COUNTA($B47:$D47)+COUNTA($G47:$L47)+COUNTA($Q47))&gt;0),"",IF((IF($C47="","Falta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",""))="","✔ OK","⚠ "&amp;LEFT(IF($C47="","Falta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",""),LEN(IF($C47="","Falta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",""))-3)))</f>
        <v/>
      </c>
      <c r="S47" s="64">
        <f>IF(NOT((COUNTA($B47:$D47)+COUNTA($G47:$L47)+COUNTA($Q47))&gt;0),"",IF(AND($V47="Sub",N($U47)&gt;0),IF(ISNUMBER(INDEX($AM$5:$AM$1000,$U47-4)),DATE(YEAR(INDEX($AM$5:$AM$1000,$U47-4)),MONTH(INDEX($AM$5:$AM$1000,$U47-4)),1),IF(ISNUMBER(INDEX($AN$5:$AN$1000,$U47-4)),DATE(YEAR(INDEX($AN$5:$AN$1000,$U47-4)),MONTH(INDEX($AN$5:$AN$1000,$U47-4)),1),MesCiclo)),IF(ISNUMBER($AM47),DATE(YEAR($AM47),MONTH($AM47),1),IF(ISNUMBER($AN47),DATE(YEAR($AN47),MONTH($AN47),1),MesCiclo))))</f>
        <v/>
      </c>
      <c r="T47" s="62">
        <f>IF(OR($S47="",$S47&lt;&gt;MesCiclo),"",COUNTIF($S$5:$S47,MesCiclo))</f>
        <v/>
      </c>
      <c r="U47" s="62">
        <f>IF($V47="","",IF($V47="Macro",ROW(),IFERROR(LOOKUP(2,1/($V$5:$V47="Macro"),ROW($V$5:$V47)),0)))</f>
        <v/>
      </c>
      <c r="V47" s="62">
        <f>IF(NOT((COUNTA($B47:$D47)+COUNTA($G47:$L47)+COUNTA($Q47))&gt;0),"",IF($B47="Subactividad","Sub","Macro"))</f>
        <v/>
      </c>
      <c r="W47" s="62">
        <f>IF($V47="Macro",COUNTIFS($U$5:$U$1000,ROW(),$V$5:$V$1000,"Sub"),"")</f>
        <v/>
      </c>
      <c r="X47" s="62">
        <f>IF($V47="","",IF(ISNUMBER($G47),1,IFERROR(LOOKUP(2,1/($I47:$L47&lt;&gt;""),$I47:$L47),0)))</f>
        <v/>
      </c>
      <c r="Y47" s="62">
        <f>IF($V47="","",IF(AND(ISNUMBER($G47),$G47&lt;=IF($S47=MesCiclo,InicioCiclo,$S47+MOD(2-WEEKDAY($S47),7))+6),1,IF(ISNUMBER($I47),$I47,0)))</f>
        <v/>
      </c>
      <c r="Z47" s="62">
        <f>IF($V47="","",IF(AND(ISNUMBER($G47),$G47&lt;=IF($S47=MesCiclo,InicioCiclo,$S47+MOD(2-WEEKDAY($S47),7))+13),1,IF(ISNUMBER($J47),$J47,$Y47)))</f>
        <v/>
      </c>
      <c r="AA47" s="62">
        <f>IF($V47="","",IF(AND(ISNUMBER($G47),$G47&lt;=IF($S47=MesCiclo,InicioCiclo,$S47+MOD(2-WEEKDAY($S47),7))+20),1,IF(ISNUMBER($K47),$K47,$Z47)))</f>
        <v/>
      </c>
      <c r="AB47" s="62">
        <f>IF($V47="","",IF(AND(ISNUMBER($G47),$G47&lt;=IF($S47=MesCiclo,InicioCiclo,$S47+MOD(2-WEEKDAY($S47),7))+27),1,IF(ISNUMBER($L47),$L47,$AA47)))</f>
        <v/>
      </c>
      <c r="AC47" s="62">
        <f>IF($V47="","",IF(AND(ISNUMBER($G47),$G47&lt;=IF($S47=MesCiclo,InicioCiclo,$S47+MOD(2-WEEKDAY($S47),7))+6),1,IF(N($W47)&gt;0,AVERAGEIFS($Y$5:$Y$1000,$U$5:$U$1000,ROW(),$V$5:$V$1000,"Sub"),$Y47)))</f>
        <v/>
      </c>
      <c r="AD47" s="62">
        <f>IF($V47="","",IF(AND(ISNUMBER($G47),$G47&lt;=IF($S47=MesCiclo,InicioCiclo,$S47+MOD(2-WEEKDAY($S47),7))+13),1,IF(N($W47)&gt;0,AVERAGEIFS($Z$5:$Z$1000,$U$5:$U$1000,ROW(),$V$5:$V$1000,"Sub"),$Z47)))</f>
        <v/>
      </c>
      <c r="AE47" s="62">
        <f>IF($V47="","",IF(AND(ISNUMBER($G47),$G47&lt;=IF($S47=MesCiclo,InicioCiclo,$S47+MOD(2-WEEKDAY($S47),7))+20),1,IF(N($W47)&gt;0,AVERAGEIFS($AA$5:$AA$1000,$U$5:$U$1000,ROW(),$V$5:$V$1000,"Sub"),$AA47)))</f>
        <v/>
      </c>
      <c r="AF47" s="62">
        <f>IF($V47="","",IF(AND(ISNUMBER($G47),$G47&lt;=IF($S47=MesCiclo,InicioCiclo,$S47+MOD(2-WEEKDAY($S47),7))+27),1,IF(N($W47)&gt;0,AVERAGEIFS($AB$5:$AB$1000,$U$5:$U$1000,ROW(),$V$5:$V$1000,"Sub"),$AB47)))</f>
        <v/>
      </c>
      <c r="AG47" s="62">
        <f>IF($V47&lt;&gt;"Macro","",IF(COUNTIFS($S$5:$S$1000,$S47,$V$5:$V$1000,"Macro",$H$5:$H$1000,"&gt;0")=0,1/COUNTIFS($S$5:$S$1000,$S47,$V$5:$V$1000,"Macro"),IF(AND(ISNUMBER($H47),N($H47)&gt;0),$H47,SUMIFS($H$5:$H$1000,$S$5:$S$1000,$S47,$V$5:$V$1000,"Macro")/COUNTIFS($S$5:$S$1000,$S47,$V$5:$V$1000,"Macro",$H$5:$H$1000,"&gt;0"))/(COUNTIFS($S$5:$S$1000,$S47,$V$5:$V$1000,"Macro")*SUMIFS($H$5:$H$1000,$S$5:$S$1000,$S47,$V$5:$V$1000,"Macro")/COUNTIFS($S$5:$S$1000,$S47,$V$5:$V$1000,"Macro",$H$5:$H$1000,"&gt;0"))))</f>
        <v/>
      </c>
      <c r="AH47" s="62" t="n"/>
      <c r="AI47" s="62" t="n"/>
      <c r="AJ47" s="62" t="n"/>
      <c r="AK47" s="62" t="n"/>
      <c r="AL47" s="62">
        <f>IF(LEFT($C47,11)="[Jefatura] ",IFERROR(MATCH("Riesgo Operacional|"&amp;MID($C47,12,500),rDname_ADM,0),0),"")</f>
        <v/>
      </c>
      <c r="AM47" s="62">
        <f>IF(N($AL47)&gt;0,INDEX(rIni_ADM,$AL47),IF(ISNUMBER($E47),$E47,""))</f>
        <v/>
      </c>
      <c r="AN47" s="62">
        <f>IF(N($AL47)&gt;0,INDEX(rLim_ADM,$AL47),IF(ISNUMBER($F47),$F47,""))</f>
        <v/>
      </c>
    </row>
    <row r="48">
      <c r="A48" s="56">
        <f>IF(NOT((COUNTA($B48:$D48)+COUNTA($G48:$L48)+COUNTA($Q48))&gt;0),"",IF($V48="Macro",COUNTIFS($V$5:$V48,"Macro",$S$5:$S48,$S48),IF(N($U48)=0,"?",COUNTIFS(INDEX($V$5:$V$1000,1):INDEX($V$5:$V$1000,$U48-4),"Macro",INDEX($S$5:$S$1000,1):INDEX($S$5:$S$1000,$U48-4),INDEX($S$5:$S$1000,$U48-4))&amp;"."&amp;COUNTIFS($U$5:$U48,$U48,$V$5:$V48,"Sub"))))</f>
        <v/>
      </c>
      <c r="B48" s="57" t="n"/>
      <c r="C48" s="58" t="n"/>
      <c r="D48" s="58" t="n"/>
      <c r="E48" s="59">
        <f>IF(N($AL48)&gt;0,INDEX(rIni_ADM,$AL48),"")</f>
        <v/>
      </c>
      <c r="F48" s="59">
        <f>IF(N($AL48)&gt;0,INDEX(rLim_ADM,$AL48),"")</f>
        <v/>
      </c>
      <c r="G48" s="59" t="n"/>
      <c r="H48" s="60" t="n"/>
      <c r="I48" s="60" t="n"/>
      <c r="J48" s="60" t="n"/>
      <c r="K48" s="60" t="n"/>
      <c r="L48" s="60" t="n"/>
      <c r="M48" s="61">
        <f>IF(NOT((COUNTA($B48:$D48)+COUNTA($G48:$L48)+COUNTA($Q48))&gt;0),"",IF(ISNUMBER($G48),1,IF(N($W48)&gt;0,AVERAGEIFS($X$5:$X$1000,$U$5:$U$1000,ROW(),$V$5:$V$1000,"Sub"),$X48)))</f>
        <v/>
      </c>
      <c r="N48" s="56">
        <f>IF($M48="","",IF($M48&gt;=1,"Completado",IF($M48&gt;0,"En curso","Pendiente")))</f>
        <v/>
      </c>
      <c r="O48" s="56">
        <f>IF(NOT((COUNTA($B48:$D48)+COUNTA($G48:$L48)+COUNTA($Q48))&gt;0),"",IF(ISNUMBER($G48),IF(AND(ISNUMBER($AN48),$G48&gt;$AN48),"Cumplida con "&amp;($G48-$AN48)&amp;IF($G48-$AN48=1," día"," días")&amp;" de retraso","Cumplida"),IF(N($M48)&gt;=1,"Cumplida",IF(NOT(ISNUMBER($AN48)),"Sin fecha límite",IF($AN48&lt;FechaRef,"Vencida hace "&amp;(FechaRef-$AN48)&amp;IF(FechaRef-$AN48=1," día"," días"),IF($AN48=FechaRef,"Vence hoy",IF($AN48-FechaRef&lt;=DiasAlerta,"Vence en "&amp;($AN48-FechaRef)&amp;IF($AN48-FechaRef=1," día"," días"),"En plazo")))))))</f>
        <v/>
      </c>
      <c r="P48" s="62" t="n"/>
      <c r="Q48" s="58" t="n"/>
      <c r="R48" s="63">
        <f>IF(NOT((COUNTA($B48:$D48)+COUNTA($G48:$L48)+COUNTA($Q48))&gt;0),"",IF((IF($C48="","Falta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",""))="","✔ OK","⚠ "&amp;LEFT(IF($C48="","Falta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",""),LEN(IF($C48="","Falta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",""))-3)))</f>
        <v/>
      </c>
      <c r="S48" s="64">
        <f>IF(NOT((COUNTA($B48:$D48)+COUNTA($G48:$L48)+COUNTA($Q48))&gt;0),"",IF(AND($V48="Sub",N($U48)&gt;0),IF(ISNUMBER(INDEX($AM$5:$AM$1000,$U48-4)),DATE(YEAR(INDEX($AM$5:$AM$1000,$U48-4)),MONTH(INDEX($AM$5:$AM$1000,$U48-4)),1),IF(ISNUMBER(INDEX($AN$5:$AN$1000,$U48-4)),DATE(YEAR(INDEX($AN$5:$AN$1000,$U48-4)),MONTH(INDEX($AN$5:$AN$1000,$U48-4)),1),MesCiclo)),IF(ISNUMBER($AM48),DATE(YEAR($AM48),MONTH($AM48),1),IF(ISNUMBER($AN48),DATE(YEAR($AN48),MONTH($AN48),1),MesCiclo))))</f>
        <v/>
      </c>
      <c r="T48" s="62">
        <f>IF(OR($S48="",$S48&lt;&gt;MesCiclo),"",COUNTIF($S$5:$S48,MesCiclo))</f>
        <v/>
      </c>
      <c r="U48" s="62">
        <f>IF($V48="","",IF($V48="Macro",ROW(),IFERROR(LOOKUP(2,1/($V$5:$V48="Macro"),ROW($V$5:$V48)),0)))</f>
        <v/>
      </c>
      <c r="V48" s="62">
        <f>IF(NOT((COUNTA($B48:$D48)+COUNTA($G48:$L48)+COUNTA($Q48))&gt;0),"",IF($B48="Subactividad","Sub","Macro"))</f>
        <v/>
      </c>
      <c r="W48" s="62">
        <f>IF($V48="Macro",COUNTIFS($U$5:$U$1000,ROW(),$V$5:$V$1000,"Sub"),"")</f>
        <v/>
      </c>
      <c r="X48" s="62">
        <f>IF($V48="","",IF(ISNUMBER($G48),1,IFERROR(LOOKUP(2,1/($I48:$L48&lt;&gt;""),$I48:$L48),0)))</f>
        <v/>
      </c>
      <c r="Y48" s="62">
        <f>IF($V48="","",IF(AND(ISNUMBER($G48),$G48&lt;=IF($S48=MesCiclo,InicioCiclo,$S48+MOD(2-WEEKDAY($S48),7))+6),1,IF(ISNUMBER($I48),$I48,0)))</f>
        <v/>
      </c>
      <c r="Z48" s="62">
        <f>IF($V48="","",IF(AND(ISNUMBER($G48),$G48&lt;=IF($S48=MesCiclo,InicioCiclo,$S48+MOD(2-WEEKDAY($S48),7))+13),1,IF(ISNUMBER($J48),$J48,$Y48)))</f>
        <v/>
      </c>
      <c r="AA48" s="62">
        <f>IF($V48="","",IF(AND(ISNUMBER($G48),$G48&lt;=IF($S48=MesCiclo,InicioCiclo,$S48+MOD(2-WEEKDAY($S48),7))+20),1,IF(ISNUMBER($K48),$K48,$Z48)))</f>
        <v/>
      </c>
      <c r="AB48" s="62">
        <f>IF($V48="","",IF(AND(ISNUMBER($G48),$G48&lt;=IF($S48=MesCiclo,InicioCiclo,$S48+MOD(2-WEEKDAY($S48),7))+27),1,IF(ISNUMBER($L48),$L48,$AA48)))</f>
        <v/>
      </c>
      <c r="AC48" s="62">
        <f>IF($V48="","",IF(AND(ISNUMBER($G48),$G48&lt;=IF($S48=MesCiclo,InicioCiclo,$S48+MOD(2-WEEKDAY($S48),7))+6),1,IF(N($W48)&gt;0,AVERAGEIFS($Y$5:$Y$1000,$U$5:$U$1000,ROW(),$V$5:$V$1000,"Sub"),$Y48)))</f>
        <v/>
      </c>
      <c r="AD48" s="62">
        <f>IF($V48="","",IF(AND(ISNUMBER($G48),$G48&lt;=IF($S48=MesCiclo,InicioCiclo,$S48+MOD(2-WEEKDAY($S48),7))+13),1,IF(N($W48)&gt;0,AVERAGEIFS($Z$5:$Z$1000,$U$5:$U$1000,ROW(),$V$5:$V$1000,"Sub"),$Z48)))</f>
        <v/>
      </c>
      <c r="AE48" s="62">
        <f>IF($V48="","",IF(AND(ISNUMBER($G48),$G48&lt;=IF($S48=MesCiclo,InicioCiclo,$S48+MOD(2-WEEKDAY($S48),7))+20),1,IF(N($W48)&gt;0,AVERAGEIFS($AA$5:$AA$1000,$U$5:$U$1000,ROW(),$V$5:$V$1000,"Sub"),$AA48)))</f>
        <v/>
      </c>
      <c r="AF48" s="62">
        <f>IF($V48="","",IF(AND(ISNUMBER($G48),$G48&lt;=IF($S48=MesCiclo,InicioCiclo,$S48+MOD(2-WEEKDAY($S48),7))+27),1,IF(N($W48)&gt;0,AVERAGEIFS($AB$5:$AB$1000,$U$5:$U$1000,ROW(),$V$5:$V$1000,"Sub"),$AB48)))</f>
        <v/>
      </c>
      <c r="AG48" s="62">
        <f>IF($V48&lt;&gt;"Macro","",IF(COUNTIFS($S$5:$S$1000,$S48,$V$5:$V$1000,"Macro",$H$5:$H$1000,"&gt;0")=0,1/COUNTIFS($S$5:$S$1000,$S48,$V$5:$V$1000,"Macro"),IF(AND(ISNUMBER($H48),N($H48)&gt;0),$H48,SUMIFS($H$5:$H$1000,$S$5:$S$1000,$S48,$V$5:$V$1000,"Macro")/COUNTIFS($S$5:$S$1000,$S48,$V$5:$V$1000,"Macro",$H$5:$H$1000,"&gt;0"))/(COUNTIFS($S$5:$S$1000,$S48,$V$5:$V$1000,"Macro")*SUMIFS($H$5:$H$1000,$S$5:$S$1000,$S48,$V$5:$V$1000,"Macro")/COUNTIFS($S$5:$S$1000,$S48,$V$5:$V$1000,"Macro",$H$5:$H$1000,"&gt;0"))))</f>
        <v/>
      </c>
      <c r="AH48" s="62" t="n"/>
      <c r="AI48" s="62" t="n"/>
      <c r="AJ48" s="62" t="n"/>
      <c r="AK48" s="62" t="n"/>
      <c r="AL48" s="62">
        <f>IF(LEFT($C48,11)="[Jefatura] ",IFERROR(MATCH("Riesgo Operacional|"&amp;MID($C48,12,500),rDname_ADM,0),0),"")</f>
        <v/>
      </c>
      <c r="AM48" s="62">
        <f>IF(N($AL48)&gt;0,INDEX(rIni_ADM,$AL48),IF(ISNUMBER($E48),$E48,""))</f>
        <v/>
      </c>
      <c r="AN48" s="62">
        <f>IF(N($AL48)&gt;0,INDEX(rLim_ADM,$AL48),IF(ISNUMBER($F48),$F48,""))</f>
        <v/>
      </c>
    </row>
    <row r="49">
      <c r="A49" s="56">
        <f>IF(NOT((COUNTA($B49:$D49)+COUNTA($G49:$L49)+COUNTA($Q49))&gt;0),"",IF($V49="Macro",COUNTIFS($V$5:$V49,"Macro",$S$5:$S49,$S49),IF(N($U49)=0,"?",COUNTIFS(INDEX($V$5:$V$1000,1):INDEX($V$5:$V$1000,$U49-4),"Macro",INDEX($S$5:$S$1000,1):INDEX($S$5:$S$1000,$U49-4),INDEX($S$5:$S$1000,$U49-4))&amp;"."&amp;COUNTIFS($U$5:$U49,$U49,$V$5:$V49,"Sub"))))</f>
        <v/>
      </c>
      <c r="B49" s="57" t="n"/>
      <c r="C49" s="58" t="n"/>
      <c r="D49" s="58" t="n"/>
      <c r="E49" s="59">
        <f>IF(N($AL49)&gt;0,INDEX(rIni_ADM,$AL49),"")</f>
        <v/>
      </c>
      <c r="F49" s="59">
        <f>IF(N($AL49)&gt;0,INDEX(rLim_ADM,$AL49),"")</f>
        <v/>
      </c>
      <c r="G49" s="59" t="n"/>
      <c r="H49" s="60" t="n"/>
      <c r="I49" s="60" t="n"/>
      <c r="J49" s="60" t="n"/>
      <c r="K49" s="60" t="n"/>
      <c r="L49" s="60" t="n"/>
      <c r="M49" s="61">
        <f>IF(NOT((COUNTA($B49:$D49)+COUNTA($G49:$L49)+COUNTA($Q49))&gt;0),"",IF(ISNUMBER($G49),1,IF(N($W49)&gt;0,AVERAGEIFS($X$5:$X$1000,$U$5:$U$1000,ROW(),$V$5:$V$1000,"Sub"),$X49)))</f>
        <v/>
      </c>
      <c r="N49" s="56">
        <f>IF($M49="","",IF($M49&gt;=1,"Completado",IF($M49&gt;0,"En curso","Pendiente")))</f>
        <v/>
      </c>
      <c r="O49" s="56">
        <f>IF(NOT((COUNTA($B49:$D49)+COUNTA($G49:$L49)+COUNTA($Q49))&gt;0),"",IF(ISNUMBER($G49),IF(AND(ISNUMBER($AN49),$G49&gt;$AN49),"Cumplida con "&amp;($G49-$AN49)&amp;IF($G49-$AN49=1," día"," días")&amp;" de retraso","Cumplida"),IF(N($M49)&gt;=1,"Cumplida",IF(NOT(ISNUMBER($AN49)),"Sin fecha límite",IF($AN49&lt;FechaRef,"Vencida hace "&amp;(FechaRef-$AN49)&amp;IF(FechaRef-$AN49=1," día"," días"),IF($AN49=FechaRef,"Vence hoy",IF($AN49-FechaRef&lt;=DiasAlerta,"Vence en "&amp;($AN49-FechaRef)&amp;IF($AN49-FechaRef=1," día"," días"),"En plazo")))))))</f>
        <v/>
      </c>
      <c r="P49" s="62" t="n"/>
      <c r="Q49" s="58" t="n"/>
      <c r="R49" s="63">
        <f>IF(NOT((COUNTA($B49:$D49)+COUNTA($G49:$L49)+COUNTA($Q49))&gt;0),"",IF((IF($C49="","Falta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",""))="","✔ OK","⚠ "&amp;LEFT(IF($C49="","Falta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",""),LEN(IF($C49="","Falta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",""))-3)))</f>
        <v/>
      </c>
      <c r="S49" s="64">
        <f>IF(NOT((COUNTA($B49:$D49)+COUNTA($G49:$L49)+COUNTA($Q49))&gt;0),"",IF(AND($V49="Sub",N($U49)&gt;0),IF(ISNUMBER(INDEX($AM$5:$AM$1000,$U49-4)),DATE(YEAR(INDEX($AM$5:$AM$1000,$U49-4)),MONTH(INDEX($AM$5:$AM$1000,$U49-4)),1),IF(ISNUMBER(INDEX($AN$5:$AN$1000,$U49-4)),DATE(YEAR(INDEX($AN$5:$AN$1000,$U49-4)),MONTH(INDEX($AN$5:$AN$1000,$U49-4)),1),MesCiclo)),IF(ISNUMBER($AM49),DATE(YEAR($AM49),MONTH($AM49),1),IF(ISNUMBER($AN49),DATE(YEAR($AN49),MONTH($AN49),1),MesCiclo))))</f>
        <v/>
      </c>
      <c r="T49" s="62">
        <f>IF(OR($S49="",$S49&lt;&gt;MesCiclo),"",COUNTIF($S$5:$S49,MesCiclo))</f>
        <v/>
      </c>
      <c r="U49" s="62">
        <f>IF($V49="","",IF($V49="Macro",ROW(),IFERROR(LOOKUP(2,1/($V$5:$V49="Macro"),ROW($V$5:$V49)),0)))</f>
        <v/>
      </c>
      <c r="V49" s="62">
        <f>IF(NOT((COUNTA($B49:$D49)+COUNTA($G49:$L49)+COUNTA($Q49))&gt;0),"",IF($B49="Subactividad","Sub","Macro"))</f>
        <v/>
      </c>
      <c r="W49" s="62">
        <f>IF($V49="Macro",COUNTIFS($U$5:$U$1000,ROW(),$V$5:$V$1000,"Sub"),"")</f>
        <v/>
      </c>
      <c r="X49" s="62">
        <f>IF($V49="","",IF(ISNUMBER($G49),1,IFERROR(LOOKUP(2,1/($I49:$L49&lt;&gt;""),$I49:$L49),0)))</f>
        <v/>
      </c>
      <c r="Y49" s="62">
        <f>IF($V49="","",IF(AND(ISNUMBER($G49),$G49&lt;=IF($S49=MesCiclo,InicioCiclo,$S49+MOD(2-WEEKDAY($S49),7))+6),1,IF(ISNUMBER($I49),$I49,0)))</f>
        <v/>
      </c>
      <c r="Z49" s="62">
        <f>IF($V49="","",IF(AND(ISNUMBER($G49),$G49&lt;=IF($S49=MesCiclo,InicioCiclo,$S49+MOD(2-WEEKDAY($S49),7))+13),1,IF(ISNUMBER($J49),$J49,$Y49)))</f>
        <v/>
      </c>
      <c r="AA49" s="62">
        <f>IF($V49="","",IF(AND(ISNUMBER($G49),$G49&lt;=IF($S49=MesCiclo,InicioCiclo,$S49+MOD(2-WEEKDAY($S49),7))+20),1,IF(ISNUMBER($K49),$K49,$Z49)))</f>
        <v/>
      </c>
      <c r="AB49" s="62">
        <f>IF($V49="","",IF(AND(ISNUMBER($G49),$G49&lt;=IF($S49=MesCiclo,InicioCiclo,$S49+MOD(2-WEEKDAY($S49),7))+27),1,IF(ISNUMBER($L49),$L49,$AA49)))</f>
        <v/>
      </c>
      <c r="AC49" s="62">
        <f>IF($V49="","",IF(AND(ISNUMBER($G49),$G49&lt;=IF($S49=MesCiclo,InicioCiclo,$S49+MOD(2-WEEKDAY($S49),7))+6),1,IF(N($W49)&gt;0,AVERAGEIFS($Y$5:$Y$1000,$U$5:$U$1000,ROW(),$V$5:$V$1000,"Sub"),$Y49)))</f>
        <v/>
      </c>
      <c r="AD49" s="62">
        <f>IF($V49="","",IF(AND(ISNUMBER($G49),$G49&lt;=IF($S49=MesCiclo,InicioCiclo,$S49+MOD(2-WEEKDAY($S49),7))+13),1,IF(N($W49)&gt;0,AVERAGEIFS($Z$5:$Z$1000,$U$5:$U$1000,ROW(),$V$5:$V$1000,"Sub"),$Z49)))</f>
        <v/>
      </c>
      <c r="AE49" s="62">
        <f>IF($V49="","",IF(AND(ISNUMBER($G49),$G49&lt;=IF($S49=MesCiclo,InicioCiclo,$S49+MOD(2-WEEKDAY($S49),7))+20),1,IF(N($W49)&gt;0,AVERAGEIFS($AA$5:$AA$1000,$U$5:$U$1000,ROW(),$V$5:$V$1000,"Sub"),$AA49)))</f>
        <v/>
      </c>
      <c r="AF49" s="62">
        <f>IF($V49="","",IF(AND(ISNUMBER($G49),$G49&lt;=IF($S49=MesCiclo,InicioCiclo,$S49+MOD(2-WEEKDAY($S49),7))+27),1,IF(N($W49)&gt;0,AVERAGEIFS($AB$5:$AB$1000,$U$5:$U$1000,ROW(),$V$5:$V$1000,"Sub"),$AB49)))</f>
        <v/>
      </c>
      <c r="AG49" s="62">
        <f>IF($V49&lt;&gt;"Macro","",IF(COUNTIFS($S$5:$S$1000,$S49,$V$5:$V$1000,"Macro",$H$5:$H$1000,"&gt;0")=0,1/COUNTIFS($S$5:$S$1000,$S49,$V$5:$V$1000,"Macro"),IF(AND(ISNUMBER($H49),N($H49)&gt;0),$H49,SUMIFS($H$5:$H$1000,$S$5:$S$1000,$S49,$V$5:$V$1000,"Macro")/COUNTIFS($S$5:$S$1000,$S49,$V$5:$V$1000,"Macro",$H$5:$H$1000,"&gt;0"))/(COUNTIFS($S$5:$S$1000,$S49,$V$5:$V$1000,"Macro")*SUMIFS($H$5:$H$1000,$S$5:$S$1000,$S49,$V$5:$V$1000,"Macro")/COUNTIFS($S$5:$S$1000,$S49,$V$5:$V$1000,"Macro",$H$5:$H$1000,"&gt;0"))))</f>
        <v/>
      </c>
      <c r="AH49" s="62" t="n"/>
      <c r="AI49" s="62" t="n"/>
      <c r="AJ49" s="62" t="n"/>
      <c r="AK49" s="62" t="n"/>
      <c r="AL49" s="62">
        <f>IF(LEFT($C49,11)="[Jefatura] ",IFERROR(MATCH("Riesgo Operacional|"&amp;MID($C49,12,500),rDname_ADM,0),0),"")</f>
        <v/>
      </c>
      <c r="AM49" s="62">
        <f>IF(N($AL49)&gt;0,INDEX(rIni_ADM,$AL49),IF(ISNUMBER($E49),$E49,""))</f>
        <v/>
      </c>
      <c r="AN49" s="62">
        <f>IF(N($AL49)&gt;0,INDEX(rLim_ADM,$AL49),IF(ISNUMBER($F49),$F49,""))</f>
        <v/>
      </c>
    </row>
    <row r="50">
      <c r="A50" s="56">
        <f>IF(NOT((COUNTA($B50:$D50)+COUNTA($G50:$L50)+COUNTA($Q50))&gt;0),"",IF($V50="Macro",COUNTIFS($V$5:$V50,"Macro",$S$5:$S50,$S50),IF(N($U50)=0,"?",COUNTIFS(INDEX($V$5:$V$1000,1):INDEX($V$5:$V$1000,$U50-4),"Macro",INDEX($S$5:$S$1000,1):INDEX($S$5:$S$1000,$U50-4),INDEX($S$5:$S$1000,$U50-4))&amp;"."&amp;COUNTIFS($U$5:$U50,$U50,$V$5:$V50,"Sub"))))</f>
        <v/>
      </c>
      <c r="B50" s="57" t="n"/>
      <c r="C50" s="58" t="n"/>
      <c r="D50" s="58" t="n"/>
      <c r="E50" s="59">
        <f>IF(N($AL50)&gt;0,INDEX(rIni_ADM,$AL50),"")</f>
        <v/>
      </c>
      <c r="F50" s="59">
        <f>IF(N($AL50)&gt;0,INDEX(rLim_ADM,$AL50),"")</f>
        <v/>
      </c>
      <c r="G50" s="59" t="n"/>
      <c r="H50" s="60" t="n"/>
      <c r="I50" s="60" t="n"/>
      <c r="J50" s="60" t="n"/>
      <c r="K50" s="60" t="n"/>
      <c r="L50" s="60" t="n"/>
      <c r="M50" s="61">
        <f>IF(NOT((COUNTA($B50:$D50)+COUNTA($G50:$L50)+COUNTA($Q50))&gt;0),"",IF(ISNUMBER($G50),1,IF(N($W50)&gt;0,AVERAGEIFS($X$5:$X$1000,$U$5:$U$1000,ROW(),$V$5:$V$1000,"Sub"),$X50)))</f>
        <v/>
      </c>
      <c r="N50" s="56">
        <f>IF($M50="","",IF($M50&gt;=1,"Completado",IF($M50&gt;0,"En curso","Pendiente")))</f>
        <v/>
      </c>
      <c r="O50" s="56">
        <f>IF(NOT((COUNTA($B50:$D50)+COUNTA($G50:$L50)+COUNTA($Q50))&gt;0),"",IF(ISNUMBER($G50),IF(AND(ISNUMBER($AN50),$G50&gt;$AN50),"Cumplida con "&amp;($G50-$AN50)&amp;IF($G50-$AN50=1," día"," días")&amp;" de retraso","Cumplida"),IF(N($M50)&gt;=1,"Cumplida",IF(NOT(ISNUMBER($AN50)),"Sin fecha límite",IF($AN50&lt;FechaRef,"Vencida hace "&amp;(FechaRef-$AN50)&amp;IF(FechaRef-$AN50=1," día"," días"),IF($AN50=FechaRef,"Vence hoy",IF($AN50-FechaRef&lt;=DiasAlerta,"Vence en "&amp;($AN50-FechaRef)&amp;IF($AN50-FechaRef=1," día"," días"),"En plazo")))))))</f>
        <v/>
      </c>
      <c r="P50" s="62" t="n"/>
      <c r="Q50" s="58" t="n"/>
      <c r="R50" s="63">
        <f>IF(NOT((COUNTA($B50:$D50)+COUNTA($G50:$L50)+COUNTA($Q50))&gt;0),"",IF((IF($C50="","Falta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",""))="","✔ OK","⚠ "&amp;LEFT(IF($C50="","Falta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",""),LEN(IF($C50="","Falta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",""))-3)))</f>
        <v/>
      </c>
      <c r="S50" s="64">
        <f>IF(NOT((COUNTA($B50:$D50)+COUNTA($G50:$L50)+COUNTA($Q50))&gt;0),"",IF(AND($V50="Sub",N($U50)&gt;0),IF(ISNUMBER(INDEX($AM$5:$AM$1000,$U50-4)),DATE(YEAR(INDEX($AM$5:$AM$1000,$U50-4)),MONTH(INDEX($AM$5:$AM$1000,$U50-4)),1),IF(ISNUMBER(INDEX($AN$5:$AN$1000,$U50-4)),DATE(YEAR(INDEX($AN$5:$AN$1000,$U50-4)),MONTH(INDEX($AN$5:$AN$1000,$U50-4)),1),MesCiclo)),IF(ISNUMBER($AM50),DATE(YEAR($AM50),MONTH($AM50),1),IF(ISNUMBER($AN50),DATE(YEAR($AN50),MONTH($AN50),1),MesCiclo))))</f>
        <v/>
      </c>
      <c r="T50" s="62">
        <f>IF(OR($S50="",$S50&lt;&gt;MesCiclo),"",COUNTIF($S$5:$S50,MesCiclo))</f>
        <v/>
      </c>
      <c r="U50" s="62">
        <f>IF($V50="","",IF($V50="Macro",ROW(),IFERROR(LOOKUP(2,1/($V$5:$V50="Macro"),ROW($V$5:$V50)),0)))</f>
        <v/>
      </c>
      <c r="V50" s="62">
        <f>IF(NOT((COUNTA($B50:$D50)+COUNTA($G50:$L50)+COUNTA($Q50))&gt;0),"",IF($B50="Subactividad","Sub","Macro"))</f>
        <v/>
      </c>
      <c r="W50" s="62">
        <f>IF($V50="Macro",COUNTIFS($U$5:$U$1000,ROW(),$V$5:$V$1000,"Sub"),"")</f>
        <v/>
      </c>
      <c r="X50" s="62">
        <f>IF($V50="","",IF(ISNUMBER($G50),1,IFERROR(LOOKUP(2,1/($I50:$L50&lt;&gt;""),$I50:$L50),0)))</f>
        <v/>
      </c>
      <c r="Y50" s="62">
        <f>IF($V50="","",IF(AND(ISNUMBER($G50),$G50&lt;=IF($S50=MesCiclo,InicioCiclo,$S50+MOD(2-WEEKDAY($S50),7))+6),1,IF(ISNUMBER($I50),$I50,0)))</f>
        <v/>
      </c>
      <c r="Z50" s="62">
        <f>IF($V50="","",IF(AND(ISNUMBER($G50),$G50&lt;=IF($S50=MesCiclo,InicioCiclo,$S50+MOD(2-WEEKDAY($S50),7))+13),1,IF(ISNUMBER($J50),$J50,$Y50)))</f>
        <v/>
      </c>
      <c r="AA50" s="62">
        <f>IF($V50="","",IF(AND(ISNUMBER($G50),$G50&lt;=IF($S50=MesCiclo,InicioCiclo,$S50+MOD(2-WEEKDAY($S50),7))+20),1,IF(ISNUMBER($K50),$K50,$Z50)))</f>
        <v/>
      </c>
      <c r="AB50" s="62">
        <f>IF($V50="","",IF(AND(ISNUMBER($G50),$G50&lt;=IF($S50=MesCiclo,InicioCiclo,$S50+MOD(2-WEEKDAY($S50),7))+27),1,IF(ISNUMBER($L50),$L50,$AA50)))</f>
        <v/>
      </c>
      <c r="AC50" s="62">
        <f>IF($V50="","",IF(AND(ISNUMBER($G50),$G50&lt;=IF($S50=MesCiclo,InicioCiclo,$S50+MOD(2-WEEKDAY($S50),7))+6),1,IF(N($W50)&gt;0,AVERAGEIFS($Y$5:$Y$1000,$U$5:$U$1000,ROW(),$V$5:$V$1000,"Sub"),$Y50)))</f>
        <v/>
      </c>
      <c r="AD50" s="62">
        <f>IF($V50="","",IF(AND(ISNUMBER($G50),$G50&lt;=IF($S50=MesCiclo,InicioCiclo,$S50+MOD(2-WEEKDAY($S50),7))+13),1,IF(N($W50)&gt;0,AVERAGEIFS($Z$5:$Z$1000,$U$5:$U$1000,ROW(),$V$5:$V$1000,"Sub"),$Z50)))</f>
        <v/>
      </c>
      <c r="AE50" s="62">
        <f>IF($V50="","",IF(AND(ISNUMBER($G50),$G50&lt;=IF($S50=MesCiclo,InicioCiclo,$S50+MOD(2-WEEKDAY($S50),7))+20),1,IF(N($W50)&gt;0,AVERAGEIFS($AA$5:$AA$1000,$U$5:$U$1000,ROW(),$V$5:$V$1000,"Sub"),$AA50)))</f>
        <v/>
      </c>
      <c r="AF50" s="62">
        <f>IF($V50="","",IF(AND(ISNUMBER($G50),$G50&lt;=IF($S50=MesCiclo,InicioCiclo,$S50+MOD(2-WEEKDAY($S50),7))+27),1,IF(N($W50)&gt;0,AVERAGEIFS($AB$5:$AB$1000,$U$5:$U$1000,ROW(),$V$5:$V$1000,"Sub"),$AB50)))</f>
        <v/>
      </c>
      <c r="AG50" s="62">
        <f>IF($V50&lt;&gt;"Macro","",IF(COUNTIFS($S$5:$S$1000,$S50,$V$5:$V$1000,"Macro",$H$5:$H$1000,"&gt;0")=0,1/COUNTIFS($S$5:$S$1000,$S50,$V$5:$V$1000,"Macro"),IF(AND(ISNUMBER($H50),N($H50)&gt;0),$H50,SUMIFS($H$5:$H$1000,$S$5:$S$1000,$S50,$V$5:$V$1000,"Macro")/COUNTIFS($S$5:$S$1000,$S50,$V$5:$V$1000,"Macro",$H$5:$H$1000,"&gt;0"))/(COUNTIFS($S$5:$S$1000,$S50,$V$5:$V$1000,"Macro")*SUMIFS($H$5:$H$1000,$S$5:$S$1000,$S50,$V$5:$V$1000,"Macro")/COUNTIFS($S$5:$S$1000,$S50,$V$5:$V$1000,"Macro",$H$5:$H$1000,"&gt;0"))))</f>
        <v/>
      </c>
      <c r="AH50" s="62" t="n"/>
      <c r="AI50" s="62" t="n"/>
      <c r="AJ50" s="62" t="n"/>
      <c r="AK50" s="62" t="n"/>
      <c r="AL50" s="62">
        <f>IF(LEFT($C50,11)="[Jefatura] ",IFERROR(MATCH("Riesgo Operacional|"&amp;MID($C50,12,500),rDname_ADM,0),0),"")</f>
        <v/>
      </c>
      <c r="AM50" s="62">
        <f>IF(N($AL50)&gt;0,INDEX(rIni_ADM,$AL50),IF(ISNUMBER($E50),$E50,""))</f>
        <v/>
      </c>
      <c r="AN50" s="62">
        <f>IF(N($AL50)&gt;0,INDEX(rLim_ADM,$AL50),IF(ISNUMBER($F50),$F50,""))</f>
        <v/>
      </c>
    </row>
    <row r="51">
      <c r="A51" s="56">
        <f>IF(NOT((COUNTA($B51:$D51)+COUNTA($G51:$L51)+COUNTA($Q51))&gt;0),"",IF($V51="Macro",COUNTIFS($V$5:$V51,"Macro",$S$5:$S51,$S51),IF(N($U51)=0,"?",COUNTIFS(INDEX($V$5:$V$1000,1):INDEX($V$5:$V$1000,$U51-4),"Macro",INDEX($S$5:$S$1000,1):INDEX($S$5:$S$1000,$U51-4),INDEX($S$5:$S$1000,$U51-4))&amp;"."&amp;COUNTIFS($U$5:$U51,$U51,$V$5:$V51,"Sub"))))</f>
        <v/>
      </c>
      <c r="B51" s="57" t="n"/>
      <c r="C51" s="58" t="n"/>
      <c r="D51" s="58" t="n"/>
      <c r="E51" s="59">
        <f>IF(N($AL51)&gt;0,INDEX(rIni_ADM,$AL51),"")</f>
        <v/>
      </c>
      <c r="F51" s="59">
        <f>IF(N($AL51)&gt;0,INDEX(rLim_ADM,$AL51),"")</f>
        <v/>
      </c>
      <c r="G51" s="59" t="n"/>
      <c r="H51" s="60" t="n"/>
      <c r="I51" s="60" t="n"/>
      <c r="J51" s="60" t="n"/>
      <c r="K51" s="60" t="n"/>
      <c r="L51" s="60" t="n"/>
      <c r="M51" s="61">
        <f>IF(NOT((COUNTA($B51:$D51)+COUNTA($G51:$L51)+COUNTA($Q51))&gt;0),"",IF(ISNUMBER($G51),1,IF(N($W51)&gt;0,AVERAGEIFS($X$5:$X$1000,$U$5:$U$1000,ROW(),$V$5:$V$1000,"Sub"),$X51)))</f>
        <v/>
      </c>
      <c r="N51" s="56">
        <f>IF($M51="","",IF($M51&gt;=1,"Completado",IF($M51&gt;0,"En curso","Pendiente")))</f>
        <v/>
      </c>
      <c r="O51" s="56">
        <f>IF(NOT((COUNTA($B51:$D51)+COUNTA($G51:$L51)+COUNTA($Q51))&gt;0),"",IF(ISNUMBER($G51),IF(AND(ISNUMBER($AN51),$G51&gt;$AN51),"Cumplida con "&amp;($G51-$AN51)&amp;IF($G51-$AN51=1," día"," días")&amp;" de retraso","Cumplida"),IF(N($M51)&gt;=1,"Cumplida",IF(NOT(ISNUMBER($AN51)),"Sin fecha límite",IF($AN51&lt;FechaRef,"Vencida hace "&amp;(FechaRef-$AN51)&amp;IF(FechaRef-$AN51=1," día"," días"),IF($AN51=FechaRef,"Vence hoy",IF($AN51-FechaRef&lt;=DiasAlerta,"Vence en "&amp;($AN51-FechaRef)&amp;IF($AN51-FechaRef=1," día"," días"),"En plazo")))))))</f>
        <v/>
      </c>
      <c r="P51" s="62" t="n"/>
      <c r="Q51" s="58" t="n"/>
      <c r="R51" s="63">
        <f>IF(NOT((COUNTA($B51:$D51)+COUNTA($G51:$L51)+COUNTA($Q51))&gt;0),"",IF((IF($C51="","Falta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",""))="","✔ OK","⚠ "&amp;LEFT(IF($C51="","Falta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",""),LEN(IF($C51="","Falta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",""))-3)))</f>
        <v/>
      </c>
      <c r="S51" s="64">
        <f>IF(NOT((COUNTA($B51:$D51)+COUNTA($G51:$L51)+COUNTA($Q51))&gt;0),"",IF(AND($V51="Sub",N($U51)&gt;0),IF(ISNUMBER(INDEX($AM$5:$AM$1000,$U51-4)),DATE(YEAR(INDEX($AM$5:$AM$1000,$U51-4)),MONTH(INDEX($AM$5:$AM$1000,$U51-4)),1),IF(ISNUMBER(INDEX($AN$5:$AN$1000,$U51-4)),DATE(YEAR(INDEX($AN$5:$AN$1000,$U51-4)),MONTH(INDEX($AN$5:$AN$1000,$U51-4)),1),MesCiclo)),IF(ISNUMBER($AM51),DATE(YEAR($AM51),MONTH($AM51),1),IF(ISNUMBER($AN51),DATE(YEAR($AN51),MONTH($AN51),1),MesCiclo))))</f>
        <v/>
      </c>
      <c r="T51" s="62">
        <f>IF(OR($S51="",$S51&lt;&gt;MesCiclo),"",COUNTIF($S$5:$S51,MesCiclo))</f>
        <v/>
      </c>
      <c r="U51" s="62">
        <f>IF($V51="","",IF($V51="Macro",ROW(),IFERROR(LOOKUP(2,1/($V$5:$V51="Macro"),ROW($V$5:$V51)),0)))</f>
        <v/>
      </c>
      <c r="V51" s="62">
        <f>IF(NOT((COUNTA($B51:$D51)+COUNTA($G51:$L51)+COUNTA($Q51))&gt;0),"",IF($B51="Subactividad","Sub","Macro"))</f>
        <v/>
      </c>
      <c r="W51" s="62">
        <f>IF($V51="Macro",COUNTIFS($U$5:$U$1000,ROW(),$V$5:$V$1000,"Sub"),"")</f>
        <v/>
      </c>
      <c r="X51" s="62">
        <f>IF($V51="","",IF(ISNUMBER($G51),1,IFERROR(LOOKUP(2,1/($I51:$L51&lt;&gt;""),$I51:$L51),0)))</f>
        <v/>
      </c>
      <c r="Y51" s="62">
        <f>IF($V51="","",IF(AND(ISNUMBER($G51),$G51&lt;=IF($S51=MesCiclo,InicioCiclo,$S51+MOD(2-WEEKDAY($S51),7))+6),1,IF(ISNUMBER($I51),$I51,0)))</f>
        <v/>
      </c>
      <c r="Z51" s="62">
        <f>IF($V51="","",IF(AND(ISNUMBER($G51),$G51&lt;=IF($S51=MesCiclo,InicioCiclo,$S51+MOD(2-WEEKDAY($S51),7))+13),1,IF(ISNUMBER($J51),$J51,$Y51)))</f>
        <v/>
      </c>
      <c r="AA51" s="62">
        <f>IF($V51="","",IF(AND(ISNUMBER($G51),$G51&lt;=IF($S51=MesCiclo,InicioCiclo,$S51+MOD(2-WEEKDAY($S51),7))+20),1,IF(ISNUMBER($K51),$K51,$Z51)))</f>
        <v/>
      </c>
      <c r="AB51" s="62">
        <f>IF($V51="","",IF(AND(ISNUMBER($G51),$G51&lt;=IF($S51=MesCiclo,InicioCiclo,$S51+MOD(2-WEEKDAY($S51),7))+27),1,IF(ISNUMBER($L51),$L51,$AA51)))</f>
        <v/>
      </c>
      <c r="AC51" s="62">
        <f>IF($V51="","",IF(AND(ISNUMBER($G51),$G51&lt;=IF($S51=MesCiclo,InicioCiclo,$S51+MOD(2-WEEKDAY($S51),7))+6),1,IF(N($W51)&gt;0,AVERAGEIFS($Y$5:$Y$1000,$U$5:$U$1000,ROW(),$V$5:$V$1000,"Sub"),$Y51)))</f>
        <v/>
      </c>
      <c r="AD51" s="62">
        <f>IF($V51="","",IF(AND(ISNUMBER($G51),$G51&lt;=IF($S51=MesCiclo,InicioCiclo,$S51+MOD(2-WEEKDAY($S51),7))+13),1,IF(N($W51)&gt;0,AVERAGEIFS($Z$5:$Z$1000,$U$5:$U$1000,ROW(),$V$5:$V$1000,"Sub"),$Z51)))</f>
        <v/>
      </c>
      <c r="AE51" s="62">
        <f>IF($V51="","",IF(AND(ISNUMBER($G51),$G51&lt;=IF($S51=MesCiclo,InicioCiclo,$S51+MOD(2-WEEKDAY($S51),7))+20),1,IF(N($W51)&gt;0,AVERAGEIFS($AA$5:$AA$1000,$U$5:$U$1000,ROW(),$V$5:$V$1000,"Sub"),$AA51)))</f>
        <v/>
      </c>
      <c r="AF51" s="62">
        <f>IF($V51="","",IF(AND(ISNUMBER($G51),$G51&lt;=IF($S51=MesCiclo,InicioCiclo,$S51+MOD(2-WEEKDAY($S51),7))+27),1,IF(N($W51)&gt;0,AVERAGEIFS($AB$5:$AB$1000,$U$5:$U$1000,ROW(),$V$5:$V$1000,"Sub"),$AB51)))</f>
        <v/>
      </c>
      <c r="AG51" s="62">
        <f>IF($V51&lt;&gt;"Macro","",IF(COUNTIFS($S$5:$S$1000,$S51,$V$5:$V$1000,"Macro",$H$5:$H$1000,"&gt;0")=0,1/COUNTIFS($S$5:$S$1000,$S51,$V$5:$V$1000,"Macro"),IF(AND(ISNUMBER($H51),N($H51)&gt;0),$H51,SUMIFS($H$5:$H$1000,$S$5:$S$1000,$S51,$V$5:$V$1000,"Macro")/COUNTIFS($S$5:$S$1000,$S51,$V$5:$V$1000,"Macro",$H$5:$H$1000,"&gt;0"))/(COUNTIFS($S$5:$S$1000,$S51,$V$5:$V$1000,"Macro")*SUMIFS($H$5:$H$1000,$S$5:$S$1000,$S51,$V$5:$V$1000,"Macro")/COUNTIFS($S$5:$S$1000,$S51,$V$5:$V$1000,"Macro",$H$5:$H$1000,"&gt;0"))))</f>
        <v/>
      </c>
      <c r="AH51" s="62" t="n"/>
      <c r="AI51" s="62" t="n"/>
      <c r="AJ51" s="62" t="n"/>
      <c r="AK51" s="62" t="n"/>
      <c r="AL51" s="62">
        <f>IF(LEFT($C51,11)="[Jefatura] ",IFERROR(MATCH("Riesgo Operacional|"&amp;MID($C51,12,500),rDname_ADM,0),0),"")</f>
        <v/>
      </c>
      <c r="AM51" s="62">
        <f>IF(N($AL51)&gt;0,INDEX(rIni_ADM,$AL51),IF(ISNUMBER($E51),$E51,""))</f>
        <v/>
      </c>
      <c r="AN51" s="62">
        <f>IF(N($AL51)&gt;0,INDEX(rLim_ADM,$AL51),IF(ISNUMBER($F51),$F51,""))</f>
        <v/>
      </c>
    </row>
    <row r="52">
      <c r="A52" s="56">
        <f>IF(NOT((COUNTA($B52:$D52)+COUNTA($G52:$L52)+COUNTA($Q52))&gt;0),"",IF($V52="Macro",COUNTIFS($V$5:$V52,"Macro",$S$5:$S52,$S52),IF(N($U52)=0,"?",COUNTIFS(INDEX($V$5:$V$1000,1):INDEX($V$5:$V$1000,$U52-4),"Macro",INDEX($S$5:$S$1000,1):INDEX($S$5:$S$1000,$U52-4),INDEX($S$5:$S$1000,$U52-4))&amp;"."&amp;COUNTIFS($U$5:$U52,$U52,$V$5:$V52,"Sub"))))</f>
        <v/>
      </c>
      <c r="B52" s="57" t="n"/>
      <c r="C52" s="58" t="n"/>
      <c r="D52" s="58" t="n"/>
      <c r="E52" s="59">
        <f>IF(N($AL52)&gt;0,INDEX(rIni_ADM,$AL52),"")</f>
        <v/>
      </c>
      <c r="F52" s="59">
        <f>IF(N($AL52)&gt;0,INDEX(rLim_ADM,$AL52),"")</f>
        <v/>
      </c>
      <c r="G52" s="59" t="n"/>
      <c r="H52" s="60" t="n"/>
      <c r="I52" s="60" t="n"/>
      <c r="J52" s="60" t="n"/>
      <c r="K52" s="60" t="n"/>
      <c r="L52" s="60" t="n"/>
      <c r="M52" s="61">
        <f>IF(NOT((COUNTA($B52:$D52)+COUNTA($G52:$L52)+COUNTA($Q52))&gt;0),"",IF(ISNUMBER($G52),1,IF(N($W52)&gt;0,AVERAGEIFS($X$5:$X$1000,$U$5:$U$1000,ROW(),$V$5:$V$1000,"Sub"),$X52)))</f>
        <v/>
      </c>
      <c r="N52" s="56">
        <f>IF($M52="","",IF($M52&gt;=1,"Completado",IF($M52&gt;0,"En curso","Pendiente")))</f>
        <v/>
      </c>
      <c r="O52" s="56">
        <f>IF(NOT((COUNTA($B52:$D52)+COUNTA($G52:$L52)+COUNTA($Q52))&gt;0),"",IF(ISNUMBER($G52),IF(AND(ISNUMBER($AN52),$G52&gt;$AN52),"Cumplida con "&amp;($G52-$AN52)&amp;IF($G52-$AN52=1," día"," días")&amp;" de retraso","Cumplida"),IF(N($M52)&gt;=1,"Cumplida",IF(NOT(ISNUMBER($AN52)),"Sin fecha límite",IF($AN52&lt;FechaRef,"Vencida hace "&amp;(FechaRef-$AN52)&amp;IF(FechaRef-$AN52=1," día"," días"),IF($AN52=FechaRef,"Vence hoy",IF($AN52-FechaRef&lt;=DiasAlerta,"Vence en "&amp;($AN52-FechaRef)&amp;IF($AN52-FechaRef=1," día"," días"),"En plazo")))))))</f>
        <v/>
      </c>
      <c r="P52" s="62" t="n"/>
      <c r="Q52" s="58" t="n"/>
      <c r="R52" s="63">
        <f>IF(NOT((COUNTA($B52:$D52)+COUNTA($G52:$L52)+COUNTA($Q52))&gt;0),"",IF((IF($C52="","Falta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",""))="","✔ OK","⚠ "&amp;LEFT(IF($C52="","Falta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",""),LEN(IF($C52="","Falta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",""))-3)))</f>
        <v/>
      </c>
      <c r="S52" s="64">
        <f>IF(NOT((COUNTA($B52:$D52)+COUNTA($G52:$L52)+COUNTA($Q52))&gt;0),"",IF(AND($V52="Sub",N($U52)&gt;0),IF(ISNUMBER(INDEX($AM$5:$AM$1000,$U52-4)),DATE(YEAR(INDEX($AM$5:$AM$1000,$U52-4)),MONTH(INDEX($AM$5:$AM$1000,$U52-4)),1),IF(ISNUMBER(INDEX($AN$5:$AN$1000,$U52-4)),DATE(YEAR(INDEX($AN$5:$AN$1000,$U52-4)),MONTH(INDEX($AN$5:$AN$1000,$U52-4)),1),MesCiclo)),IF(ISNUMBER($AM52),DATE(YEAR($AM52),MONTH($AM52),1),IF(ISNUMBER($AN52),DATE(YEAR($AN52),MONTH($AN52),1),MesCiclo))))</f>
        <v/>
      </c>
      <c r="T52" s="62">
        <f>IF(OR($S52="",$S52&lt;&gt;MesCiclo),"",COUNTIF($S$5:$S52,MesCiclo))</f>
        <v/>
      </c>
      <c r="U52" s="62">
        <f>IF($V52="","",IF($V52="Macro",ROW(),IFERROR(LOOKUP(2,1/($V$5:$V52="Macro"),ROW($V$5:$V52)),0)))</f>
        <v/>
      </c>
      <c r="V52" s="62">
        <f>IF(NOT((COUNTA($B52:$D52)+COUNTA($G52:$L52)+COUNTA($Q52))&gt;0),"",IF($B52="Subactividad","Sub","Macro"))</f>
        <v/>
      </c>
      <c r="W52" s="62">
        <f>IF($V52="Macro",COUNTIFS($U$5:$U$1000,ROW(),$V$5:$V$1000,"Sub"),"")</f>
        <v/>
      </c>
      <c r="X52" s="62">
        <f>IF($V52="","",IF(ISNUMBER($G52),1,IFERROR(LOOKUP(2,1/($I52:$L52&lt;&gt;""),$I52:$L52),0)))</f>
        <v/>
      </c>
      <c r="Y52" s="62">
        <f>IF($V52="","",IF(AND(ISNUMBER($G52),$G52&lt;=IF($S52=MesCiclo,InicioCiclo,$S52+MOD(2-WEEKDAY($S52),7))+6),1,IF(ISNUMBER($I52),$I52,0)))</f>
        <v/>
      </c>
      <c r="Z52" s="62">
        <f>IF($V52="","",IF(AND(ISNUMBER($G52),$G52&lt;=IF($S52=MesCiclo,InicioCiclo,$S52+MOD(2-WEEKDAY($S52),7))+13),1,IF(ISNUMBER($J52),$J52,$Y52)))</f>
        <v/>
      </c>
      <c r="AA52" s="62">
        <f>IF($V52="","",IF(AND(ISNUMBER($G52),$G52&lt;=IF($S52=MesCiclo,InicioCiclo,$S52+MOD(2-WEEKDAY($S52),7))+20),1,IF(ISNUMBER($K52),$K52,$Z52)))</f>
        <v/>
      </c>
      <c r="AB52" s="62">
        <f>IF($V52="","",IF(AND(ISNUMBER($G52),$G52&lt;=IF($S52=MesCiclo,InicioCiclo,$S52+MOD(2-WEEKDAY($S52),7))+27),1,IF(ISNUMBER($L52),$L52,$AA52)))</f>
        <v/>
      </c>
      <c r="AC52" s="62">
        <f>IF($V52="","",IF(AND(ISNUMBER($G52),$G52&lt;=IF($S52=MesCiclo,InicioCiclo,$S52+MOD(2-WEEKDAY($S52),7))+6),1,IF(N($W52)&gt;0,AVERAGEIFS($Y$5:$Y$1000,$U$5:$U$1000,ROW(),$V$5:$V$1000,"Sub"),$Y52)))</f>
        <v/>
      </c>
      <c r="AD52" s="62">
        <f>IF($V52="","",IF(AND(ISNUMBER($G52),$G52&lt;=IF($S52=MesCiclo,InicioCiclo,$S52+MOD(2-WEEKDAY($S52),7))+13),1,IF(N($W52)&gt;0,AVERAGEIFS($Z$5:$Z$1000,$U$5:$U$1000,ROW(),$V$5:$V$1000,"Sub"),$Z52)))</f>
        <v/>
      </c>
      <c r="AE52" s="62">
        <f>IF($V52="","",IF(AND(ISNUMBER($G52),$G52&lt;=IF($S52=MesCiclo,InicioCiclo,$S52+MOD(2-WEEKDAY($S52),7))+20),1,IF(N($W52)&gt;0,AVERAGEIFS($AA$5:$AA$1000,$U$5:$U$1000,ROW(),$V$5:$V$1000,"Sub"),$AA52)))</f>
        <v/>
      </c>
      <c r="AF52" s="62">
        <f>IF($V52="","",IF(AND(ISNUMBER($G52),$G52&lt;=IF($S52=MesCiclo,InicioCiclo,$S52+MOD(2-WEEKDAY($S52),7))+27),1,IF(N($W52)&gt;0,AVERAGEIFS($AB$5:$AB$1000,$U$5:$U$1000,ROW(),$V$5:$V$1000,"Sub"),$AB52)))</f>
        <v/>
      </c>
      <c r="AG52" s="62">
        <f>IF($V52&lt;&gt;"Macro","",IF(COUNTIFS($S$5:$S$1000,$S52,$V$5:$V$1000,"Macro",$H$5:$H$1000,"&gt;0")=0,1/COUNTIFS($S$5:$S$1000,$S52,$V$5:$V$1000,"Macro"),IF(AND(ISNUMBER($H52),N($H52)&gt;0),$H52,SUMIFS($H$5:$H$1000,$S$5:$S$1000,$S52,$V$5:$V$1000,"Macro")/COUNTIFS($S$5:$S$1000,$S52,$V$5:$V$1000,"Macro",$H$5:$H$1000,"&gt;0"))/(COUNTIFS($S$5:$S$1000,$S52,$V$5:$V$1000,"Macro")*SUMIFS($H$5:$H$1000,$S$5:$S$1000,$S52,$V$5:$V$1000,"Macro")/COUNTIFS($S$5:$S$1000,$S52,$V$5:$V$1000,"Macro",$H$5:$H$1000,"&gt;0"))))</f>
        <v/>
      </c>
      <c r="AH52" s="62" t="n"/>
      <c r="AI52" s="62" t="n"/>
      <c r="AJ52" s="62" t="n"/>
      <c r="AK52" s="62" t="n"/>
      <c r="AL52" s="62">
        <f>IF(LEFT($C52,11)="[Jefatura] ",IFERROR(MATCH("Riesgo Operacional|"&amp;MID($C52,12,500),rDname_ADM,0),0),"")</f>
        <v/>
      </c>
      <c r="AM52" s="62">
        <f>IF(N($AL52)&gt;0,INDEX(rIni_ADM,$AL52),IF(ISNUMBER($E52),$E52,""))</f>
        <v/>
      </c>
      <c r="AN52" s="62">
        <f>IF(N($AL52)&gt;0,INDEX(rLim_ADM,$AL52),IF(ISNUMBER($F52),$F52,""))</f>
        <v/>
      </c>
    </row>
    <row r="53">
      <c r="A53" s="56">
        <f>IF(NOT((COUNTA($B53:$D53)+COUNTA($G53:$L53)+COUNTA($Q53))&gt;0),"",IF($V53="Macro",COUNTIFS($V$5:$V53,"Macro",$S$5:$S53,$S53),IF(N($U53)=0,"?",COUNTIFS(INDEX($V$5:$V$1000,1):INDEX($V$5:$V$1000,$U53-4),"Macro",INDEX($S$5:$S$1000,1):INDEX($S$5:$S$1000,$U53-4),INDEX($S$5:$S$1000,$U53-4))&amp;"."&amp;COUNTIFS($U$5:$U53,$U53,$V$5:$V53,"Sub"))))</f>
        <v/>
      </c>
      <c r="B53" s="57" t="n"/>
      <c r="C53" s="58" t="n"/>
      <c r="D53" s="58" t="n"/>
      <c r="E53" s="59">
        <f>IF(N($AL53)&gt;0,INDEX(rIni_ADM,$AL53),"")</f>
        <v/>
      </c>
      <c r="F53" s="59">
        <f>IF(N($AL53)&gt;0,INDEX(rLim_ADM,$AL53),"")</f>
        <v/>
      </c>
      <c r="G53" s="59" t="n"/>
      <c r="H53" s="60" t="n"/>
      <c r="I53" s="60" t="n"/>
      <c r="J53" s="60" t="n"/>
      <c r="K53" s="60" t="n"/>
      <c r="L53" s="60" t="n"/>
      <c r="M53" s="61">
        <f>IF(NOT((COUNTA($B53:$D53)+COUNTA($G53:$L53)+COUNTA($Q53))&gt;0),"",IF(ISNUMBER($G53),1,IF(N($W53)&gt;0,AVERAGEIFS($X$5:$X$1000,$U$5:$U$1000,ROW(),$V$5:$V$1000,"Sub"),$X53)))</f>
        <v/>
      </c>
      <c r="N53" s="56">
        <f>IF($M53="","",IF($M53&gt;=1,"Completado",IF($M53&gt;0,"En curso","Pendiente")))</f>
        <v/>
      </c>
      <c r="O53" s="56">
        <f>IF(NOT((COUNTA($B53:$D53)+COUNTA($G53:$L53)+COUNTA($Q53))&gt;0),"",IF(ISNUMBER($G53),IF(AND(ISNUMBER($AN53),$G53&gt;$AN53),"Cumplida con "&amp;($G53-$AN53)&amp;IF($G53-$AN53=1," día"," días")&amp;" de retraso","Cumplida"),IF(N($M53)&gt;=1,"Cumplida",IF(NOT(ISNUMBER($AN53)),"Sin fecha límite",IF($AN53&lt;FechaRef,"Vencida hace "&amp;(FechaRef-$AN53)&amp;IF(FechaRef-$AN53=1," día"," días"),IF($AN53=FechaRef,"Vence hoy",IF($AN53-FechaRef&lt;=DiasAlerta,"Vence en "&amp;($AN53-FechaRef)&amp;IF($AN53-FechaRef=1," día"," días"),"En plazo")))))))</f>
        <v/>
      </c>
      <c r="P53" s="62" t="n"/>
      <c r="Q53" s="58" t="n"/>
      <c r="R53" s="63">
        <f>IF(NOT((COUNTA($B53:$D53)+COUNTA($G53:$L53)+COUNTA($Q53))&gt;0),"",IF((IF($C53="","Falta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",""))="","✔ OK","⚠ "&amp;LEFT(IF($C53="","Falta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",""),LEN(IF($C53="","Falta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",""))-3)))</f>
        <v/>
      </c>
      <c r="S53" s="64">
        <f>IF(NOT((COUNTA($B53:$D53)+COUNTA($G53:$L53)+COUNTA($Q53))&gt;0),"",IF(AND($V53="Sub",N($U53)&gt;0),IF(ISNUMBER(INDEX($AM$5:$AM$1000,$U53-4)),DATE(YEAR(INDEX($AM$5:$AM$1000,$U53-4)),MONTH(INDEX($AM$5:$AM$1000,$U53-4)),1),IF(ISNUMBER(INDEX($AN$5:$AN$1000,$U53-4)),DATE(YEAR(INDEX($AN$5:$AN$1000,$U53-4)),MONTH(INDEX($AN$5:$AN$1000,$U53-4)),1),MesCiclo)),IF(ISNUMBER($AM53),DATE(YEAR($AM53),MONTH($AM53),1),IF(ISNUMBER($AN53),DATE(YEAR($AN53),MONTH($AN53),1),MesCiclo))))</f>
        <v/>
      </c>
      <c r="T53" s="62">
        <f>IF(OR($S53="",$S53&lt;&gt;MesCiclo),"",COUNTIF($S$5:$S53,MesCiclo))</f>
        <v/>
      </c>
      <c r="U53" s="62">
        <f>IF($V53="","",IF($V53="Macro",ROW(),IFERROR(LOOKUP(2,1/($V$5:$V53="Macro"),ROW($V$5:$V53)),0)))</f>
        <v/>
      </c>
      <c r="V53" s="62">
        <f>IF(NOT((COUNTA($B53:$D53)+COUNTA($G53:$L53)+COUNTA($Q53))&gt;0),"",IF($B53="Subactividad","Sub","Macro"))</f>
        <v/>
      </c>
      <c r="W53" s="62">
        <f>IF($V53="Macro",COUNTIFS($U$5:$U$1000,ROW(),$V$5:$V$1000,"Sub"),"")</f>
        <v/>
      </c>
      <c r="X53" s="62">
        <f>IF($V53="","",IF(ISNUMBER($G53),1,IFERROR(LOOKUP(2,1/($I53:$L53&lt;&gt;""),$I53:$L53),0)))</f>
        <v/>
      </c>
      <c r="Y53" s="62">
        <f>IF($V53="","",IF(AND(ISNUMBER($G53),$G53&lt;=IF($S53=MesCiclo,InicioCiclo,$S53+MOD(2-WEEKDAY($S53),7))+6),1,IF(ISNUMBER($I53),$I53,0)))</f>
        <v/>
      </c>
      <c r="Z53" s="62">
        <f>IF($V53="","",IF(AND(ISNUMBER($G53),$G53&lt;=IF($S53=MesCiclo,InicioCiclo,$S53+MOD(2-WEEKDAY($S53),7))+13),1,IF(ISNUMBER($J53),$J53,$Y53)))</f>
        <v/>
      </c>
      <c r="AA53" s="62">
        <f>IF($V53="","",IF(AND(ISNUMBER($G53),$G53&lt;=IF($S53=MesCiclo,InicioCiclo,$S53+MOD(2-WEEKDAY($S53),7))+20),1,IF(ISNUMBER($K53),$K53,$Z53)))</f>
        <v/>
      </c>
      <c r="AB53" s="62">
        <f>IF($V53="","",IF(AND(ISNUMBER($G53),$G53&lt;=IF($S53=MesCiclo,InicioCiclo,$S53+MOD(2-WEEKDAY($S53),7))+27),1,IF(ISNUMBER($L53),$L53,$AA53)))</f>
        <v/>
      </c>
      <c r="AC53" s="62">
        <f>IF($V53="","",IF(AND(ISNUMBER($G53),$G53&lt;=IF($S53=MesCiclo,InicioCiclo,$S53+MOD(2-WEEKDAY($S53),7))+6),1,IF(N($W53)&gt;0,AVERAGEIFS($Y$5:$Y$1000,$U$5:$U$1000,ROW(),$V$5:$V$1000,"Sub"),$Y53)))</f>
        <v/>
      </c>
      <c r="AD53" s="62">
        <f>IF($V53="","",IF(AND(ISNUMBER($G53),$G53&lt;=IF($S53=MesCiclo,InicioCiclo,$S53+MOD(2-WEEKDAY($S53),7))+13),1,IF(N($W53)&gt;0,AVERAGEIFS($Z$5:$Z$1000,$U$5:$U$1000,ROW(),$V$5:$V$1000,"Sub"),$Z53)))</f>
        <v/>
      </c>
      <c r="AE53" s="62">
        <f>IF($V53="","",IF(AND(ISNUMBER($G53),$G53&lt;=IF($S53=MesCiclo,InicioCiclo,$S53+MOD(2-WEEKDAY($S53),7))+20),1,IF(N($W53)&gt;0,AVERAGEIFS($AA$5:$AA$1000,$U$5:$U$1000,ROW(),$V$5:$V$1000,"Sub"),$AA53)))</f>
        <v/>
      </c>
      <c r="AF53" s="62">
        <f>IF($V53="","",IF(AND(ISNUMBER($G53),$G53&lt;=IF($S53=MesCiclo,InicioCiclo,$S53+MOD(2-WEEKDAY($S53),7))+27),1,IF(N($W53)&gt;0,AVERAGEIFS($AB$5:$AB$1000,$U$5:$U$1000,ROW(),$V$5:$V$1000,"Sub"),$AB53)))</f>
        <v/>
      </c>
      <c r="AG53" s="62">
        <f>IF($V53&lt;&gt;"Macro","",IF(COUNTIFS($S$5:$S$1000,$S53,$V$5:$V$1000,"Macro",$H$5:$H$1000,"&gt;0")=0,1/COUNTIFS($S$5:$S$1000,$S53,$V$5:$V$1000,"Macro"),IF(AND(ISNUMBER($H53),N($H53)&gt;0),$H53,SUMIFS($H$5:$H$1000,$S$5:$S$1000,$S53,$V$5:$V$1000,"Macro")/COUNTIFS($S$5:$S$1000,$S53,$V$5:$V$1000,"Macro",$H$5:$H$1000,"&gt;0"))/(COUNTIFS($S$5:$S$1000,$S53,$V$5:$V$1000,"Macro")*SUMIFS($H$5:$H$1000,$S$5:$S$1000,$S53,$V$5:$V$1000,"Macro")/COUNTIFS($S$5:$S$1000,$S53,$V$5:$V$1000,"Macro",$H$5:$H$1000,"&gt;0"))))</f>
        <v/>
      </c>
      <c r="AH53" s="62" t="n"/>
      <c r="AI53" s="62" t="n"/>
      <c r="AJ53" s="62" t="n"/>
      <c r="AK53" s="62" t="n"/>
      <c r="AL53" s="62">
        <f>IF(LEFT($C53,11)="[Jefatura] ",IFERROR(MATCH("Riesgo Operacional|"&amp;MID($C53,12,500),rDname_ADM,0),0),"")</f>
        <v/>
      </c>
      <c r="AM53" s="62">
        <f>IF(N($AL53)&gt;0,INDEX(rIni_ADM,$AL53),IF(ISNUMBER($E53),$E53,""))</f>
        <v/>
      </c>
      <c r="AN53" s="62">
        <f>IF(N($AL53)&gt;0,INDEX(rLim_ADM,$AL53),IF(ISNUMBER($F53),$F53,""))</f>
        <v/>
      </c>
    </row>
    <row r="54">
      <c r="A54" s="56">
        <f>IF(NOT((COUNTA($B54:$D54)+COUNTA($G54:$L54)+COUNTA($Q54))&gt;0),"",IF($V54="Macro",COUNTIFS($V$5:$V54,"Macro",$S$5:$S54,$S54),IF(N($U54)=0,"?",COUNTIFS(INDEX($V$5:$V$1000,1):INDEX($V$5:$V$1000,$U54-4),"Macro",INDEX($S$5:$S$1000,1):INDEX($S$5:$S$1000,$U54-4),INDEX($S$5:$S$1000,$U54-4))&amp;"."&amp;COUNTIFS($U$5:$U54,$U54,$V$5:$V54,"Sub"))))</f>
        <v/>
      </c>
      <c r="B54" s="57" t="n"/>
      <c r="C54" s="58" t="n"/>
      <c r="D54" s="58" t="n"/>
      <c r="E54" s="59">
        <f>IF(N($AL54)&gt;0,INDEX(rIni_ADM,$AL54),"")</f>
        <v/>
      </c>
      <c r="F54" s="59">
        <f>IF(N($AL54)&gt;0,INDEX(rLim_ADM,$AL54),"")</f>
        <v/>
      </c>
      <c r="G54" s="59" t="n"/>
      <c r="H54" s="60" t="n"/>
      <c r="I54" s="60" t="n"/>
      <c r="J54" s="60" t="n"/>
      <c r="K54" s="60" t="n"/>
      <c r="L54" s="60" t="n"/>
      <c r="M54" s="61">
        <f>IF(NOT((COUNTA($B54:$D54)+COUNTA($G54:$L54)+COUNTA($Q54))&gt;0),"",IF(ISNUMBER($G54),1,IF(N($W54)&gt;0,AVERAGEIFS($X$5:$X$1000,$U$5:$U$1000,ROW(),$V$5:$V$1000,"Sub"),$X54)))</f>
        <v/>
      </c>
      <c r="N54" s="56">
        <f>IF($M54="","",IF($M54&gt;=1,"Completado",IF($M54&gt;0,"En curso","Pendiente")))</f>
        <v/>
      </c>
      <c r="O54" s="56">
        <f>IF(NOT((COUNTA($B54:$D54)+COUNTA($G54:$L54)+COUNTA($Q54))&gt;0),"",IF(ISNUMBER($G54),IF(AND(ISNUMBER($AN54),$G54&gt;$AN54),"Cumplida con "&amp;($G54-$AN54)&amp;IF($G54-$AN54=1," día"," días")&amp;" de retraso","Cumplida"),IF(N($M54)&gt;=1,"Cumplida",IF(NOT(ISNUMBER($AN54)),"Sin fecha límite",IF($AN54&lt;FechaRef,"Vencida hace "&amp;(FechaRef-$AN54)&amp;IF(FechaRef-$AN54=1," día"," días"),IF($AN54=FechaRef,"Vence hoy",IF($AN54-FechaRef&lt;=DiasAlerta,"Vence en "&amp;($AN54-FechaRef)&amp;IF($AN54-FechaRef=1," día"," días"),"En plazo")))))))</f>
        <v/>
      </c>
      <c r="P54" s="62" t="n"/>
      <c r="Q54" s="58" t="n"/>
      <c r="R54" s="63">
        <f>IF(NOT((COUNTA($B54:$D54)+COUNTA($G54:$L54)+COUNTA($Q54))&gt;0),"",IF((IF($C54="","Falta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",""))="","✔ OK","⚠ "&amp;LEFT(IF($C54="","Falta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",""),LEN(IF($C54="","Falta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",""))-3)))</f>
        <v/>
      </c>
      <c r="S54" s="64">
        <f>IF(NOT((COUNTA($B54:$D54)+COUNTA($G54:$L54)+COUNTA($Q54))&gt;0),"",IF(AND($V54="Sub",N($U54)&gt;0),IF(ISNUMBER(INDEX($AM$5:$AM$1000,$U54-4)),DATE(YEAR(INDEX($AM$5:$AM$1000,$U54-4)),MONTH(INDEX($AM$5:$AM$1000,$U54-4)),1),IF(ISNUMBER(INDEX($AN$5:$AN$1000,$U54-4)),DATE(YEAR(INDEX($AN$5:$AN$1000,$U54-4)),MONTH(INDEX($AN$5:$AN$1000,$U54-4)),1),MesCiclo)),IF(ISNUMBER($AM54),DATE(YEAR($AM54),MONTH($AM54),1),IF(ISNUMBER($AN54),DATE(YEAR($AN54),MONTH($AN54),1),MesCiclo))))</f>
        <v/>
      </c>
      <c r="T54" s="62">
        <f>IF(OR($S54="",$S54&lt;&gt;MesCiclo),"",COUNTIF($S$5:$S54,MesCiclo))</f>
        <v/>
      </c>
      <c r="U54" s="62">
        <f>IF($V54="","",IF($V54="Macro",ROW(),IFERROR(LOOKUP(2,1/($V$5:$V54="Macro"),ROW($V$5:$V54)),0)))</f>
        <v/>
      </c>
      <c r="V54" s="62">
        <f>IF(NOT((COUNTA($B54:$D54)+COUNTA($G54:$L54)+COUNTA($Q54))&gt;0),"",IF($B54="Subactividad","Sub","Macro"))</f>
        <v/>
      </c>
      <c r="W54" s="62">
        <f>IF($V54="Macro",COUNTIFS($U$5:$U$1000,ROW(),$V$5:$V$1000,"Sub"),"")</f>
        <v/>
      </c>
      <c r="X54" s="62">
        <f>IF($V54="","",IF(ISNUMBER($G54),1,IFERROR(LOOKUP(2,1/($I54:$L54&lt;&gt;""),$I54:$L54),0)))</f>
        <v/>
      </c>
      <c r="Y54" s="62">
        <f>IF($V54="","",IF(AND(ISNUMBER($G54),$G54&lt;=IF($S54=MesCiclo,InicioCiclo,$S54+MOD(2-WEEKDAY($S54),7))+6),1,IF(ISNUMBER($I54),$I54,0)))</f>
        <v/>
      </c>
      <c r="Z54" s="62">
        <f>IF($V54="","",IF(AND(ISNUMBER($G54),$G54&lt;=IF($S54=MesCiclo,InicioCiclo,$S54+MOD(2-WEEKDAY($S54),7))+13),1,IF(ISNUMBER($J54),$J54,$Y54)))</f>
        <v/>
      </c>
      <c r="AA54" s="62">
        <f>IF($V54="","",IF(AND(ISNUMBER($G54),$G54&lt;=IF($S54=MesCiclo,InicioCiclo,$S54+MOD(2-WEEKDAY($S54),7))+20),1,IF(ISNUMBER($K54),$K54,$Z54)))</f>
        <v/>
      </c>
      <c r="AB54" s="62">
        <f>IF($V54="","",IF(AND(ISNUMBER($G54),$G54&lt;=IF($S54=MesCiclo,InicioCiclo,$S54+MOD(2-WEEKDAY($S54),7))+27),1,IF(ISNUMBER($L54),$L54,$AA54)))</f>
        <v/>
      </c>
      <c r="AC54" s="62">
        <f>IF($V54="","",IF(AND(ISNUMBER($G54),$G54&lt;=IF($S54=MesCiclo,InicioCiclo,$S54+MOD(2-WEEKDAY($S54),7))+6),1,IF(N($W54)&gt;0,AVERAGEIFS($Y$5:$Y$1000,$U$5:$U$1000,ROW(),$V$5:$V$1000,"Sub"),$Y54)))</f>
        <v/>
      </c>
      <c r="AD54" s="62">
        <f>IF($V54="","",IF(AND(ISNUMBER($G54),$G54&lt;=IF($S54=MesCiclo,InicioCiclo,$S54+MOD(2-WEEKDAY($S54),7))+13),1,IF(N($W54)&gt;0,AVERAGEIFS($Z$5:$Z$1000,$U$5:$U$1000,ROW(),$V$5:$V$1000,"Sub"),$Z54)))</f>
        <v/>
      </c>
      <c r="AE54" s="62">
        <f>IF($V54="","",IF(AND(ISNUMBER($G54),$G54&lt;=IF($S54=MesCiclo,InicioCiclo,$S54+MOD(2-WEEKDAY($S54),7))+20),1,IF(N($W54)&gt;0,AVERAGEIFS($AA$5:$AA$1000,$U$5:$U$1000,ROW(),$V$5:$V$1000,"Sub"),$AA54)))</f>
        <v/>
      </c>
      <c r="AF54" s="62">
        <f>IF($V54="","",IF(AND(ISNUMBER($G54),$G54&lt;=IF($S54=MesCiclo,InicioCiclo,$S54+MOD(2-WEEKDAY($S54),7))+27),1,IF(N($W54)&gt;0,AVERAGEIFS($AB$5:$AB$1000,$U$5:$U$1000,ROW(),$V$5:$V$1000,"Sub"),$AB54)))</f>
        <v/>
      </c>
      <c r="AG54" s="62">
        <f>IF($V54&lt;&gt;"Macro","",IF(COUNTIFS($S$5:$S$1000,$S54,$V$5:$V$1000,"Macro",$H$5:$H$1000,"&gt;0")=0,1/COUNTIFS($S$5:$S$1000,$S54,$V$5:$V$1000,"Macro"),IF(AND(ISNUMBER($H54),N($H54)&gt;0),$H54,SUMIFS($H$5:$H$1000,$S$5:$S$1000,$S54,$V$5:$V$1000,"Macro")/COUNTIFS($S$5:$S$1000,$S54,$V$5:$V$1000,"Macro",$H$5:$H$1000,"&gt;0"))/(COUNTIFS($S$5:$S$1000,$S54,$V$5:$V$1000,"Macro")*SUMIFS($H$5:$H$1000,$S$5:$S$1000,$S54,$V$5:$V$1000,"Macro")/COUNTIFS($S$5:$S$1000,$S54,$V$5:$V$1000,"Macro",$H$5:$H$1000,"&gt;0"))))</f>
        <v/>
      </c>
      <c r="AH54" s="62" t="n"/>
      <c r="AI54" s="62" t="n"/>
      <c r="AJ54" s="62" t="n"/>
      <c r="AK54" s="62" t="n"/>
      <c r="AL54" s="62">
        <f>IF(LEFT($C54,11)="[Jefatura] ",IFERROR(MATCH("Riesgo Operacional|"&amp;MID($C54,12,500),rDname_ADM,0),0),"")</f>
        <v/>
      </c>
      <c r="AM54" s="62">
        <f>IF(N($AL54)&gt;0,INDEX(rIni_ADM,$AL54),IF(ISNUMBER($E54),$E54,""))</f>
        <v/>
      </c>
      <c r="AN54" s="62">
        <f>IF(N($AL54)&gt;0,INDEX(rLim_ADM,$AL54),IF(ISNUMBER($F54),$F54,""))</f>
        <v/>
      </c>
    </row>
    <row r="55">
      <c r="A55" s="56">
        <f>IF(NOT((COUNTA($B55:$D55)+COUNTA($G55:$L55)+COUNTA($Q55))&gt;0),"",IF($V55="Macro",COUNTIFS($V$5:$V55,"Macro",$S$5:$S55,$S55),IF(N($U55)=0,"?",COUNTIFS(INDEX($V$5:$V$1000,1):INDEX($V$5:$V$1000,$U55-4),"Macro",INDEX($S$5:$S$1000,1):INDEX($S$5:$S$1000,$U55-4),INDEX($S$5:$S$1000,$U55-4))&amp;"."&amp;COUNTIFS($U$5:$U55,$U55,$V$5:$V55,"Sub"))))</f>
        <v/>
      </c>
      <c r="B55" s="57" t="n"/>
      <c r="C55" s="58" t="n"/>
      <c r="D55" s="58" t="n"/>
      <c r="E55" s="59">
        <f>IF(N($AL55)&gt;0,INDEX(rIni_ADM,$AL55),"")</f>
        <v/>
      </c>
      <c r="F55" s="59">
        <f>IF(N($AL55)&gt;0,INDEX(rLim_ADM,$AL55),"")</f>
        <v/>
      </c>
      <c r="G55" s="59" t="n"/>
      <c r="H55" s="60" t="n"/>
      <c r="I55" s="60" t="n"/>
      <c r="J55" s="60" t="n"/>
      <c r="K55" s="60" t="n"/>
      <c r="L55" s="60" t="n"/>
      <c r="M55" s="61">
        <f>IF(NOT((COUNTA($B55:$D55)+COUNTA($G55:$L55)+COUNTA($Q55))&gt;0),"",IF(ISNUMBER($G55),1,IF(N($W55)&gt;0,AVERAGEIFS($X$5:$X$1000,$U$5:$U$1000,ROW(),$V$5:$V$1000,"Sub"),$X55)))</f>
        <v/>
      </c>
      <c r="N55" s="56">
        <f>IF($M55="","",IF($M55&gt;=1,"Completado",IF($M55&gt;0,"En curso","Pendiente")))</f>
        <v/>
      </c>
      <c r="O55" s="56">
        <f>IF(NOT((COUNTA($B55:$D55)+COUNTA($G55:$L55)+COUNTA($Q55))&gt;0),"",IF(ISNUMBER($G55),IF(AND(ISNUMBER($AN55),$G55&gt;$AN55),"Cumplida con "&amp;($G55-$AN55)&amp;IF($G55-$AN55=1," día"," días")&amp;" de retraso","Cumplida"),IF(N($M55)&gt;=1,"Cumplida",IF(NOT(ISNUMBER($AN55)),"Sin fecha límite",IF($AN55&lt;FechaRef,"Vencida hace "&amp;(FechaRef-$AN55)&amp;IF(FechaRef-$AN55=1," día"," días"),IF($AN55=FechaRef,"Vence hoy",IF($AN55-FechaRef&lt;=DiasAlerta,"Vence en "&amp;($AN55-FechaRef)&amp;IF($AN55-FechaRef=1," día"," días"),"En plazo")))))))</f>
        <v/>
      </c>
      <c r="P55" s="62" t="n"/>
      <c r="Q55" s="58" t="n"/>
      <c r="R55" s="63">
        <f>IF(NOT((COUNTA($B55:$D55)+COUNTA($G55:$L55)+COUNTA($Q55))&gt;0),"",IF((IF($C55="","Falta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",""))="","✔ OK","⚠ "&amp;LEFT(IF($C55="","Falta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",""),LEN(IF($C55="","Falta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",""))-3)))</f>
        <v/>
      </c>
      <c r="S55" s="64">
        <f>IF(NOT((COUNTA($B55:$D55)+COUNTA($G55:$L55)+COUNTA($Q55))&gt;0),"",IF(AND($V55="Sub",N($U55)&gt;0),IF(ISNUMBER(INDEX($AM$5:$AM$1000,$U55-4)),DATE(YEAR(INDEX($AM$5:$AM$1000,$U55-4)),MONTH(INDEX($AM$5:$AM$1000,$U55-4)),1),IF(ISNUMBER(INDEX($AN$5:$AN$1000,$U55-4)),DATE(YEAR(INDEX($AN$5:$AN$1000,$U55-4)),MONTH(INDEX($AN$5:$AN$1000,$U55-4)),1),MesCiclo)),IF(ISNUMBER($AM55),DATE(YEAR($AM55),MONTH($AM55),1),IF(ISNUMBER($AN55),DATE(YEAR($AN55),MONTH($AN55),1),MesCiclo))))</f>
        <v/>
      </c>
      <c r="T55" s="62">
        <f>IF(OR($S55="",$S55&lt;&gt;MesCiclo),"",COUNTIF($S$5:$S55,MesCiclo))</f>
        <v/>
      </c>
      <c r="U55" s="62">
        <f>IF($V55="","",IF($V55="Macro",ROW(),IFERROR(LOOKUP(2,1/($V$5:$V55="Macro"),ROW($V$5:$V55)),0)))</f>
        <v/>
      </c>
      <c r="V55" s="62">
        <f>IF(NOT((COUNTA($B55:$D55)+COUNTA($G55:$L55)+COUNTA($Q55))&gt;0),"",IF($B55="Subactividad","Sub","Macro"))</f>
        <v/>
      </c>
      <c r="W55" s="62">
        <f>IF($V55="Macro",COUNTIFS($U$5:$U$1000,ROW(),$V$5:$V$1000,"Sub"),"")</f>
        <v/>
      </c>
      <c r="X55" s="62">
        <f>IF($V55="","",IF(ISNUMBER($G55),1,IFERROR(LOOKUP(2,1/($I55:$L55&lt;&gt;""),$I55:$L55),0)))</f>
        <v/>
      </c>
      <c r="Y55" s="62">
        <f>IF($V55="","",IF(AND(ISNUMBER($G55),$G55&lt;=IF($S55=MesCiclo,InicioCiclo,$S55+MOD(2-WEEKDAY($S55),7))+6),1,IF(ISNUMBER($I55),$I55,0)))</f>
        <v/>
      </c>
      <c r="Z55" s="62">
        <f>IF($V55="","",IF(AND(ISNUMBER($G55),$G55&lt;=IF($S55=MesCiclo,InicioCiclo,$S55+MOD(2-WEEKDAY($S55),7))+13),1,IF(ISNUMBER($J55),$J55,$Y55)))</f>
        <v/>
      </c>
      <c r="AA55" s="62">
        <f>IF($V55="","",IF(AND(ISNUMBER($G55),$G55&lt;=IF($S55=MesCiclo,InicioCiclo,$S55+MOD(2-WEEKDAY($S55),7))+20),1,IF(ISNUMBER($K55),$K55,$Z55)))</f>
        <v/>
      </c>
      <c r="AB55" s="62">
        <f>IF($V55="","",IF(AND(ISNUMBER($G55),$G55&lt;=IF($S55=MesCiclo,InicioCiclo,$S55+MOD(2-WEEKDAY($S55),7))+27),1,IF(ISNUMBER($L55),$L55,$AA55)))</f>
        <v/>
      </c>
      <c r="AC55" s="62">
        <f>IF($V55="","",IF(AND(ISNUMBER($G55),$G55&lt;=IF($S55=MesCiclo,InicioCiclo,$S55+MOD(2-WEEKDAY($S55),7))+6),1,IF(N($W55)&gt;0,AVERAGEIFS($Y$5:$Y$1000,$U$5:$U$1000,ROW(),$V$5:$V$1000,"Sub"),$Y55)))</f>
        <v/>
      </c>
      <c r="AD55" s="62">
        <f>IF($V55="","",IF(AND(ISNUMBER($G55),$G55&lt;=IF($S55=MesCiclo,InicioCiclo,$S55+MOD(2-WEEKDAY($S55),7))+13),1,IF(N($W55)&gt;0,AVERAGEIFS($Z$5:$Z$1000,$U$5:$U$1000,ROW(),$V$5:$V$1000,"Sub"),$Z55)))</f>
        <v/>
      </c>
      <c r="AE55" s="62">
        <f>IF($V55="","",IF(AND(ISNUMBER($G55),$G55&lt;=IF($S55=MesCiclo,InicioCiclo,$S55+MOD(2-WEEKDAY($S55),7))+20),1,IF(N($W55)&gt;0,AVERAGEIFS($AA$5:$AA$1000,$U$5:$U$1000,ROW(),$V$5:$V$1000,"Sub"),$AA55)))</f>
        <v/>
      </c>
      <c r="AF55" s="62">
        <f>IF($V55="","",IF(AND(ISNUMBER($G55),$G55&lt;=IF($S55=MesCiclo,InicioCiclo,$S55+MOD(2-WEEKDAY($S55),7))+27),1,IF(N($W55)&gt;0,AVERAGEIFS($AB$5:$AB$1000,$U$5:$U$1000,ROW(),$V$5:$V$1000,"Sub"),$AB55)))</f>
        <v/>
      </c>
      <c r="AG55" s="62">
        <f>IF($V55&lt;&gt;"Macro","",IF(COUNTIFS($S$5:$S$1000,$S55,$V$5:$V$1000,"Macro",$H$5:$H$1000,"&gt;0")=0,1/COUNTIFS($S$5:$S$1000,$S55,$V$5:$V$1000,"Macro"),IF(AND(ISNUMBER($H55),N($H55)&gt;0),$H55,SUMIFS($H$5:$H$1000,$S$5:$S$1000,$S55,$V$5:$V$1000,"Macro")/COUNTIFS($S$5:$S$1000,$S55,$V$5:$V$1000,"Macro",$H$5:$H$1000,"&gt;0"))/(COUNTIFS($S$5:$S$1000,$S55,$V$5:$V$1000,"Macro")*SUMIFS($H$5:$H$1000,$S$5:$S$1000,$S55,$V$5:$V$1000,"Macro")/COUNTIFS($S$5:$S$1000,$S55,$V$5:$V$1000,"Macro",$H$5:$H$1000,"&gt;0"))))</f>
        <v/>
      </c>
      <c r="AH55" s="62" t="n"/>
      <c r="AI55" s="62" t="n"/>
      <c r="AJ55" s="62" t="n"/>
      <c r="AK55" s="62" t="n"/>
      <c r="AL55" s="62">
        <f>IF(LEFT($C55,11)="[Jefatura] ",IFERROR(MATCH("Riesgo Operacional|"&amp;MID($C55,12,500),rDname_ADM,0),0),"")</f>
        <v/>
      </c>
      <c r="AM55" s="62">
        <f>IF(N($AL55)&gt;0,INDEX(rIni_ADM,$AL55),IF(ISNUMBER($E55),$E55,""))</f>
        <v/>
      </c>
      <c r="AN55" s="62">
        <f>IF(N($AL55)&gt;0,INDEX(rLim_ADM,$AL55),IF(ISNUMBER($F55),$F55,""))</f>
        <v/>
      </c>
    </row>
    <row r="56">
      <c r="A56" s="56">
        <f>IF(NOT((COUNTA($B56:$D56)+COUNTA($G56:$L56)+COUNTA($Q56))&gt;0),"",IF($V56="Macro",COUNTIFS($V$5:$V56,"Macro",$S$5:$S56,$S56),IF(N($U56)=0,"?",COUNTIFS(INDEX($V$5:$V$1000,1):INDEX($V$5:$V$1000,$U56-4),"Macro",INDEX($S$5:$S$1000,1):INDEX($S$5:$S$1000,$U56-4),INDEX($S$5:$S$1000,$U56-4))&amp;"."&amp;COUNTIFS($U$5:$U56,$U56,$V$5:$V56,"Sub"))))</f>
        <v/>
      </c>
      <c r="B56" s="57" t="n"/>
      <c r="C56" s="58" t="n"/>
      <c r="D56" s="58" t="n"/>
      <c r="E56" s="59">
        <f>IF(N($AL56)&gt;0,INDEX(rIni_ADM,$AL56),"")</f>
        <v/>
      </c>
      <c r="F56" s="59">
        <f>IF(N($AL56)&gt;0,INDEX(rLim_ADM,$AL56),"")</f>
        <v/>
      </c>
      <c r="G56" s="59" t="n"/>
      <c r="H56" s="60" t="n"/>
      <c r="I56" s="60" t="n"/>
      <c r="J56" s="60" t="n"/>
      <c r="K56" s="60" t="n"/>
      <c r="L56" s="60" t="n"/>
      <c r="M56" s="61">
        <f>IF(NOT((COUNTA($B56:$D56)+COUNTA($G56:$L56)+COUNTA($Q56))&gt;0),"",IF(ISNUMBER($G56),1,IF(N($W56)&gt;0,AVERAGEIFS($X$5:$X$1000,$U$5:$U$1000,ROW(),$V$5:$V$1000,"Sub"),$X56)))</f>
        <v/>
      </c>
      <c r="N56" s="56">
        <f>IF($M56="","",IF($M56&gt;=1,"Completado",IF($M56&gt;0,"En curso","Pendiente")))</f>
        <v/>
      </c>
      <c r="O56" s="56">
        <f>IF(NOT((COUNTA($B56:$D56)+COUNTA($G56:$L56)+COUNTA($Q56))&gt;0),"",IF(ISNUMBER($G56),IF(AND(ISNUMBER($AN56),$G56&gt;$AN56),"Cumplida con "&amp;($G56-$AN56)&amp;IF($G56-$AN56=1," día"," días")&amp;" de retraso","Cumplida"),IF(N($M56)&gt;=1,"Cumplida",IF(NOT(ISNUMBER($AN56)),"Sin fecha límite",IF($AN56&lt;FechaRef,"Vencida hace "&amp;(FechaRef-$AN56)&amp;IF(FechaRef-$AN56=1," día"," días"),IF($AN56=FechaRef,"Vence hoy",IF($AN56-FechaRef&lt;=DiasAlerta,"Vence en "&amp;($AN56-FechaRef)&amp;IF($AN56-FechaRef=1," día"," días"),"En plazo")))))))</f>
        <v/>
      </c>
      <c r="P56" s="62" t="n"/>
      <c r="Q56" s="58" t="n"/>
      <c r="R56" s="63">
        <f>IF(NOT((COUNTA($B56:$D56)+COUNTA($G56:$L56)+COUNTA($Q56))&gt;0),"",IF((IF($C56="","Falta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",""))="","✔ OK","⚠ "&amp;LEFT(IF($C56="","Falta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",""),LEN(IF($C56="","Falta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",""))-3)))</f>
        <v/>
      </c>
      <c r="S56" s="64">
        <f>IF(NOT((COUNTA($B56:$D56)+COUNTA($G56:$L56)+COUNTA($Q56))&gt;0),"",IF(AND($V56="Sub",N($U56)&gt;0),IF(ISNUMBER(INDEX($AM$5:$AM$1000,$U56-4)),DATE(YEAR(INDEX($AM$5:$AM$1000,$U56-4)),MONTH(INDEX($AM$5:$AM$1000,$U56-4)),1),IF(ISNUMBER(INDEX($AN$5:$AN$1000,$U56-4)),DATE(YEAR(INDEX($AN$5:$AN$1000,$U56-4)),MONTH(INDEX($AN$5:$AN$1000,$U56-4)),1),MesCiclo)),IF(ISNUMBER($AM56),DATE(YEAR($AM56),MONTH($AM56),1),IF(ISNUMBER($AN56),DATE(YEAR($AN56),MONTH($AN56),1),MesCiclo))))</f>
        <v/>
      </c>
      <c r="T56" s="62">
        <f>IF(OR($S56="",$S56&lt;&gt;MesCiclo),"",COUNTIF($S$5:$S56,MesCiclo))</f>
        <v/>
      </c>
      <c r="U56" s="62">
        <f>IF($V56="","",IF($V56="Macro",ROW(),IFERROR(LOOKUP(2,1/($V$5:$V56="Macro"),ROW($V$5:$V56)),0)))</f>
        <v/>
      </c>
      <c r="V56" s="62">
        <f>IF(NOT((COUNTA($B56:$D56)+COUNTA($G56:$L56)+COUNTA($Q56))&gt;0),"",IF($B56="Subactividad","Sub","Macro"))</f>
        <v/>
      </c>
      <c r="W56" s="62">
        <f>IF($V56="Macro",COUNTIFS($U$5:$U$1000,ROW(),$V$5:$V$1000,"Sub"),"")</f>
        <v/>
      </c>
      <c r="X56" s="62">
        <f>IF($V56="","",IF(ISNUMBER($G56),1,IFERROR(LOOKUP(2,1/($I56:$L56&lt;&gt;""),$I56:$L56),0)))</f>
        <v/>
      </c>
      <c r="Y56" s="62">
        <f>IF($V56="","",IF(AND(ISNUMBER($G56),$G56&lt;=IF($S56=MesCiclo,InicioCiclo,$S56+MOD(2-WEEKDAY($S56),7))+6),1,IF(ISNUMBER($I56),$I56,0)))</f>
        <v/>
      </c>
      <c r="Z56" s="62">
        <f>IF($V56="","",IF(AND(ISNUMBER($G56),$G56&lt;=IF($S56=MesCiclo,InicioCiclo,$S56+MOD(2-WEEKDAY($S56),7))+13),1,IF(ISNUMBER($J56),$J56,$Y56)))</f>
        <v/>
      </c>
      <c r="AA56" s="62">
        <f>IF($V56="","",IF(AND(ISNUMBER($G56),$G56&lt;=IF($S56=MesCiclo,InicioCiclo,$S56+MOD(2-WEEKDAY($S56),7))+20),1,IF(ISNUMBER($K56),$K56,$Z56)))</f>
        <v/>
      </c>
      <c r="AB56" s="62">
        <f>IF($V56="","",IF(AND(ISNUMBER($G56),$G56&lt;=IF($S56=MesCiclo,InicioCiclo,$S56+MOD(2-WEEKDAY($S56),7))+27),1,IF(ISNUMBER($L56),$L56,$AA56)))</f>
        <v/>
      </c>
      <c r="AC56" s="62">
        <f>IF($V56="","",IF(AND(ISNUMBER($G56),$G56&lt;=IF($S56=MesCiclo,InicioCiclo,$S56+MOD(2-WEEKDAY($S56),7))+6),1,IF(N($W56)&gt;0,AVERAGEIFS($Y$5:$Y$1000,$U$5:$U$1000,ROW(),$V$5:$V$1000,"Sub"),$Y56)))</f>
        <v/>
      </c>
      <c r="AD56" s="62">
        <f>IF($V56="","",IF(AND(ISNUMBER($G56),$G56&lt;=IF($S56=MesCiclo,InicioCiclo,$S56+MOD(2-WEEKDAY($S56),7))+13),1,IF(N($W56)&gt;0,AVERAGEIFS($Z$5:$Z$1000,$U$5:$U$1000,ROW(),$V$5:$V$1000,"Sub"),$Z56)))</f>
        <v/>
      </c>
      <c r="AE56" s="62">
        <f>IF($V56="","",IF(AND(ISNUMBER($G56),$G56&lt;=IF($S56=MesCiclo,InicioCiclo,$S56+MOD(2-WEEKDAY($S56),7))+20),1,IF(N($W56)&gt;0,AVERAGEIFS($AA$5:$AA$1000,$U$5:$U$1000,ROW(),$V$5:$V$1000,"Sub"),$AA56)))</f>
        <v/>
      </c>
      <c r="AF56" s="62">
        <f>IF($V56="","",IF(AND(ISNUMBER($G56),$G56&lt;=IF($S56=MesCiclo,InicioCiclo,$S56+MOD(2-WEEKDAY($S56),7))+27),1,IF(N($W56)&gt;0,AVERAGEIFS($AB$5:$AB$1000,$U$5:$U$1000,ROW(),$V$5:$V$1000,"Sub"),$AB56)))</f>
        <v/>
      </c>
      <c r="AG56" s="62">
        <f>IF($V56&lt;&gt;"Macro","",IF(COUNTIFS($S$5:$S$1000,$S56,$V$5:$V$1000,"Macro",$H$5:$H$1000,"&gt;0")=0,1/COUNTIFS($S$5:$S$1000,$S56,$V$5:$V$1000,"Macro"),IF(AND(ISNUMBER($H56),N($H56)&gt;0),$H56,SUMIFS($H$5:$H$1000,$S$5:$S$1000,$S56,$V$5:$V$1000,"Macro")/COUNTIFS($S$5:$S$1000,$S56,$V$5:$V$1000,"Macro",$H$5:$H$1000,"&gt;0"))/(COUNTIFS($S$5:$S$1000,$S56,$V$5:$V$1000,"Macro")*SUMIFS($H$5:$H$1000,$S$5:$S$1000,$S56,$V$5:$V$1000,"Macro")/COUNTIFS($S$5:$S$1000,$S56,$V$5:$V$1000,"Macro",$H$5:$H$1000,"&gt;0"))))</f>
        <v/>
      </c>
      <c r="AH56" s="62" t="n"/>
      <c r="AI56" s="62" t="n"/>
      <c r="AJ56" s="62" t="n"/>
      <c r="AK56" s="62" t="n"/>
      <c r="AL56" s="62">
        <f>IF(LEFT($C56,11)="[Jefatura] ",IFERROR(MATCH("Riesgo Operacional|"&amp;MID($C56,12,500),rDname_ADM,0),0),"")</f>
        <v/>
      </c>
      <c r="AM56" s="62">
        <f>IF(N($AL56)&gt;0,INDEX(rIni_ADM,$AL56),IF(ISNUMBER($E56),$E56,""))</f>
        <v/>
      </c>
      <c r="AN56" s="62">
        <f>IF(N($AL56)&gt;0,INDEX(rLim_ADM,$AL56),IF(ISNUMBER($F56),$F56,""))</f>
        <v/>
      </c>
    </row>
    <row r="57">
      <c r="A57" s="56">
        <f>IF(NOT((COUNTA($B57:$D57)+COUNTA($G57:$L57)+COUNTA($Q57))&gt;0),"",IF($V57="Macro",COUNTIFS($V$5:$V57,"Macro",$S$5:$S57,$S57),IF(N($U57)=0,"?",COUNTIFS(INDEX($V$5:$V$1000,1):INDEX($V$5:$V$1000,$U57-4),"Macro",INDEX($S$5:$S$1000,1):INDEX($S$5:$S$1000,$U57-4),INDEX($S$5:$S$1000,$U57-4))&amp;"."&amp;COUNTIFS($U$5:$U57,$U57,$V$5:$V57,"Sub"))))</f>
        <v/>
      </c>
      <c r="B57" s="57" t="n"/>
      <c r="C57" s="58" t="n"/>
      <c r="D57" s="58" t="n"/>
      <c r="E57" s="59">
        <f>IF(N($AL57)&gt;0,INDEX(rIni_ADM,$AL57),"")</f>
        <v/>
      </c>
      <c r="F57" s="59">
        <f>IF(N($AL57)&gt;0,INDEX(rLim_ADM,$AL57),"")</f>
        <v/>
      </c>
      <c r="G57" s="59" t="n"/>
      <c r="H57" s="60" t="n"/>
      <c r="I57" s="60" t="n"/>
      <c r="J57" s="60" t="n"/>
      <c r="K57" s="60" t="n"/>
      <c r="L57" s="60" t="n"/>
      <c r="M57" s="61">
        <f>IF(NOT((COUNTA($B57:$D57)+COUNTA($G57:$L57)+COUNTA($Q57))&gt;0),"",IF(ISNUMBER($G57),1,IF(N($W57)&gt;0,AVERAGEIFS($X$5:$X$1000,$U$5:$U$1000,ROW(),$V$5:$V$1000,"Sub"),$X57)))</f>
        <v/>
      </c>
      <c r="N57" s="56">
        <f>IF($M57="","",IF($M57&gt;=1,"Completado",IF($M57&gt;0,"En curso","Pendiente")))</f>
        <v/>
      </c>
      <c r="O57" s="56">
        <f>IF(NOT((COUNTA($B57:$D57)+COUNTA($G57:$L57)+COUNTA($Q57))&gt;0),"",IF(ISNUMBER($G57),IF(AND(ISNUMBER($AN57),$G57&gt;$AN57),"Cumplida con "&amp;($G57-$AN57)&amp;IF($G57-$AN57=1," día"," días")&amp;" de retraso","Cumplida"),IF(N($M57)&gt;=1,"Cumplida",IF(NOT(ISNUMBER($AN57)),"Sin fecha límite",IF($AN57&lt;FechaRef,"Vencida hace "&amp;(FechaRef-$AN57)&amp;IF(FechaRef-$AN57=1," día"," días"),IF($AN57=FechaRef,"Vence hoy",IF($AN57-FechaRef&lt;=DiasAlerta,"Vence en "&amp;($AN57-FechaRef)&amp;IF($AN57-FechaRef=1," día"," días"),"En plazo")))))))</f>
        <v/>
      </c>
      <c r="P57" s="62" t="n"/>
      <c r="Q57" s="58" t="n"/>
      <c r="R57" s="63">
        <f>IF(NOT((COUNTA($B57:$D57)+COUNTA($G57:$L57)+COUNTA($Q57))&gt;0),"",IF((IF($C57="","Falta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",""))="","✔ OK","⚠ "&amp;LEFT(IF($C57="","Falta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",""),LEN(IF($C57="","Falta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",""))-3)))</f>
        <v/>
      </c>
      <c r="S57" s="64">
        <f>IF(NOT((COUNTA($B57:$D57)+COUNTA($G57:$L57)+COUNTA($Q57))&gt;0),"",IF(AND($V57="Sub",N($U57)&gt;0),IF(ISNUMBER(INDEX($AM$5:$AM$1000,$U57-4)),DATE(YEAR(INDEX($AM$5:$AM$1000,$U57-4)),MONTH(INDEX($AM$5:$AM$1000,$U57-4)),1),IF(ISNUMBER(INDEX($AN$5:$AN$1000,$U57-4)),DATE(YEAR(INDEX($AN$5:$AN$1000,$U57-4)),MONTH(INDEX($AN$5:$AN$1000,$U57-4)),1),MesCiclo)),IF(ISNUMBER($AM57),DATE(YEAR($AM57),MONTH($AM57),1),IF(ISNUMBER($AN57),DATE(YEAR($AN57),MONTH($AN57),1),MesCiclo))))</f>
        <v/>
      </c>
      <c r="T57" s="62">
        <f>IF(OR($S57="",$S57&lt;&gt;MesCiclo),"",COUNTIF($S$5:$S57,MesCiclo))</f>
        <v/>
      </c>
      <c r="U57" s="62">
        <f>IF($V57="","",IF($V57="Macro",ROW(),IFERROR(LOOKUP(2,1/($V$5:$V57="Macro"),ROW($V$5:$V57)),0)))</f>
        <v/>
      </c>
      <c r="V57" s="62">
        <f>IF(NOT((COUNTA($B57:$D57)+COUNTA($G57:$L57)+COUNTA($Q57))&gt;0),"",IF($B57="Subactividad","Sub","Macro"))</f>
        <v/>
      </c>
      <c r="W57" s="62">
        <f>IF($V57="Macro",COUNTIFS($U$5:$U$1000,ROW(),$V$5:$V$1000,"Sub"),"")</f>
        <v/>
      </c>
      <c r="X57" s="62">
        <f>IF($V57="","",IF(ISNUMBER($G57),1,IFERROR(LOOKUP(2,1/($I57:$L57&lt;&gt;""),$I57:$L57),0)))</f>
        <v/>
      </c>
      <c r="Y57" s="62">
        <f>IF($V57="","",IF(AND(ISNUMBER($G57),$G57&lt;=IF($S57=MesCiclo,InicioCiclo,$S57+MOD(2-WEEKDAY($S57),7))+6),1,IF(ISNUMBER($I57),$I57,0)))</f>
        <v/>
      </c>
      <c r="Z57" s="62">
        <f>IF($V57="","",IF(AND(ISNUMBER($G57),$G57&lt;=IF($S57=MesCiclo,InicioCiclo,$S57+MOD(2-WEEKDAY($S57),7))+13),1,IF(ISNUMBER($J57),$J57,$Y57)))</f>
        <v/>
      </c>
      <c r="AA57" s="62">
        <f>IF($V57="","",IF(AND(ISNUMBER($G57),$G57&lt;=IF($S57=MesCiclo,InicioCiclo,$S57+MOD(2-WEEKDAY($S57),7))+20),1,IF(ISNUMBER($K57),$K57,$Z57)))</f>
        <v/>
      </c>
      <c r="AB57" s="62">
        <f>IF($V57="","",IF(AND(ISNUMBER($G57),$G57&lt;=IF($S57=MesCiclo,InicioCiclo,$S57+MOD(2-WEEKDAY($S57),7))+27),1,IF(ISNUMBER($L57),$L57,$AA57)))</f>
        <v/>
      </c>
      <c r="AC57" s="62">
        <f>IF($V57="","",IF(AND(ISNUMBER($G57),$G57&lt;=IF($S57=MesCiclo,InicioCiclo,$S57+MOD(2-WEEKDAY($S57),7))+6),1,IF(N($W57)&gt;0,AVERAGEIFS($Y$5:$Y$1000,$U$5:$U$1000,ROW(),$V$5:$V$1000,"Sub"),$Y57)))</f>
        <v/>
      </c>
      <c r="AD57" s="62">
        <f>IF($V57="","",IF(AND(ISNUMBER($G57),$G57&lt;=IF($S57=MesCiclo,InicioCiclo,$S57+MOD(2-WEEKDAY($S57),7))+13),1,IF(N($W57)&gt;0,AVERAGEIFS($Z$5:$Z$1000,$U$5:$U$1000,ROW(),$V$5:$V$1000,"Sub"),$Z57)))</f>
        <v/>
      </c>
      <c r="AE57" s="62">
        <f>IF($V57="","",IF(AND(ISNUMBER($G57),$G57&lt;=IF($S57=MesCiclo,InicioCiclo,$S57+MOD(2-WEEKDAY($S57),7))+20),1,IF(N($W57)&gt;0,AVERAGEIFS($AA$5:$AA$1000,$U$5:$U$1000,ROW(),$V$5:$V$1000,"Sub"),$AA57)))</f>
        <v/>
      </c>
      <c r="AF57" s="62">
        <f>IF($V57="","",IF(AND(ISNUMBER($G57),$G57&lt;=IF($S57=MesCiclo,InicioCiclo,$S57+MOD(2-WEEKDAY($S57),7))+27),1,IF(N($W57)&gt;0,AVERAGEIFS($AB$5:$AB$1000,$U$5:$U$1000,ROW(),$V$5:$V$1000,"Sub"),$AB57)))</f>
        <v/>
      </c>
      <c r="AG57" s="62">
        <f>IF($V57&lt;&gt;"Macro","",IF(COUNTIFS($S$5:$S$1000,$S57,$V$5:$V$1000,"Macro",$H$5:$H$1000,"&gt;0")=0,1/COUNTIFS($S$5:$S$1000,$S57,$V$5:$V$1000,"Macro"),IF(AND(ISNUMBER($H57),N($H57)&gt;0),$H57,SUMIFS($H$5:$H$1000,$S$5:$S$1000,$S57,$V$5:$V$1000,"Macro")/COUNTIFS($S$5:$S$1000,$S57,$V$5:$V$1000,"Macro",$H$5:$H$1000,"&gt;0"))/(COUNTIFS($S$5:$S$1000,$S57,$V$5:$V$1000,"Macro")*SUMIFS($H$5:$H$1000,$S$5:$S$1000,$S57,$V$5:$V$1000,"Macro")/COUNTIFS($S$5:$S$1000,$S57,$V$5:$V$1000,"Macro",$H$5:$H$1000,"&gt;0"))))</f>
        <v/>
      </c>
      <c r="AH57" s="62" t="n"/>
      <c r="AI57" s="62" t="n"/>
      <c r="AJ57" s="62" t="n"/>
      <c r="AK57" s="62" t="n"/>
      <c r="AL57" s="62">
        <f>IF(LEFT($C57,11)="[Jefatura] ",IFERROR(MATCH("Riesgo Operacional|"&amp;MID($C57,12,500),rDname_ADM,0),0),"")</f>
        <v/>
      </c>
      <c r="AM57" s="62">
        <f>IF(N($AL57)&gt;0,INDEX(rIni_ADM,$AL57),IF(ISNUMBER($E57),$E57,""))</f>
        <v/>
      </c>
      <c r="AN57" s="62">
        <f>IF(N($AL57)&gt;0,INDEX(rLim_ADM,$AL57),IF(ISNUMBER($F57),$F57,""))</f>
        <v/>
      </c>
    </row>
    <row r="58">
      <c r="A58" s="56">
        <f>IF(NOT((COUNTA($B58:$D58)+COUNTA($G58:$L58)+COUNTA($Q58))&gt;0),"",IF($V58="Macro",COUNTIFS($V$5:$V58,"Macro",$S$5:$S58,$S58),IF(N($U58)=0,"?",COUNTIFS(INDEX($V$5:$V$1000,1):INDEX($V$5:$V$1000,$U58-4),"Macro",INDEX($S$5:$S$1000,1):INDEX($S$5:$S$1000,$U58-4),INDEX($S$5:$S$1000,$U58-4))&amp;"."&amp;COUNTIFS($U$5:$U58,$U58,$V$5:$V58,"Sub"))))</f>
        <v/>
      </c>
      <c r="B58" s="57" t="n"/>
      <c r="C58" s="58" t="n"/>
      <c r="D58" s="58" t="n"/>
      <c r="E58" s="59">
        <f>IF(N($AL58)&gt;0,INDEX(rIni_ADM,$AL58),"")</f>
        <v/>
      </c>
      <c r="F58" s="59">
        <f>IF(N($AL58)&gt;0,INDEX(rLim_ADM,$AL58),"")</f>
        <v/>
      </c>
      <c r="G58" s="59" t="n"/>
      <c r="H58" s="60" t="n"/>
      <c r="I58" s="60" t="n"/>
      <c r="J58" s="60" t="n"/>
      <c r="K58" s="60" t="n"/>
      <c r="L58" s="60" t="n"/>
      <c r="M58" s="61">
        <f>IF(NOT((COUNTA($B58:$D58)+COUNTA($G58:$L58)+COUNTA($Q58))&gt;0),"",IF(ISNUMBER($G58),1,IF(N($W58)&gt;0,AVERAGEIFS($X$5:$X$1000,$U$5:$U$1000,ROW(),$V$5:$V$1000,"Sub"),$X58)))</f>
        <v/>
      </c>
      <c r="N58" s="56">
        <f>IF($M58="","",IF($M58&gt;=1,"Completado",IF($M58&gt;0,"En curso","Pendiente")))</f>
        <v/>
      </c>
      <c r="O58" s="56">
        <f>IF(NOT((COUNTA($B58:$D58)+COUNTA($G58:$L58)+COUNTA($Q58))&gt;0),"",IF(ISNUMBER($G58),IF(AND(ISNUMBER($AN58),$G58&gt;$AN58),"Cumplida con "&amp;($G58-$AN58)&amp;IF($G58-$AN58=1," día"," días")&amp;" de retraso","Cumplida"),IF(N($M58)&gt;=1,"Cumplida",IF(NOT(ISNUMBER($AN58)),"Sin fecha límite",IF($AN58&lt;FechaRef,"Vencida hace "&amp;(FechaRef-$AN58)&amp;IF(FechaRef-$AN58=1," día"," días"),IF($AN58=FechaRef,"Vence hoy",IF($AN58-FechaRef&lt;=DiasAlerta,"Vence en "&amp;($AN58-FechaRef)&amp;IF($AN58-FechaRef=1," día"," días"),"En plazo")))))))</f>
        <v/>
      </c>
      <c r="P58" s="62" t="n"/>
      <c r="Q58" s="58" t="n"/>
      <c r="R58" s="63">
        <f>IF(NOT((COUNTA($B58:$D58)+COUNTA($G58:$L58)+COUNTA($Q58))&gt;0),"",IF((IF($C58="","Falta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",""))="","✔ OK","⚠ "&amp;LEFT(IF($C58="","Falta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",""),LEN(IF($C58="","Falta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",""))-3)))</f>
        <v/>
      </c>
      <c r="S58" s="64">
        <f>IF(NOT((COUNTA($B58:$D58)+COUNTA($G58:$L58)+COUNTA($Q58))&gt;0),"",IF(AND($V58="Sub",N($U58)&gt;0),IF(ISNUMBER(INDEX($AM$5:$AM$1000,$U58-4)),DATE(YEAR(INDEX($AM$5:$AM$1000,$U58-4)),MONTH(INDEX($AM$5:$AM$1000,$U58-4)),1),IF(ISNUMBER(INDEX($AN$5:$AN$1000,$U58-4)),DATE(YEAR(INDEX($AN$5:$AN$1000,$U58-4)),MONTH(INDEX($AN$5:$AN$1000,$U58-4)),1),MesCiclo)),IF(ISNUMBER($AM58),DATE(YEAR($AM58),MONTH($AM58),1),IF(ISNUMBER($AN58),DATE(YEAR($AN58),MONTH($AN58),1),MesCiclo))))</f>
        <v/>
      </c>
      <c r="T58" s="62">
        <f>IF(OR($S58="",$S58&lt;&gt;MesCiclo),"",COUNTIF($S$5:$S58,MesCiclo))</f>
        <v/>
      </c>
      <c r="U58" s="62">
        <f>IF($V58="","",IF($V58="Macro",ROW(),IFERROR(LOOKUP(2,1/($V$5:$V58="Macro"),ROW($V$5:$V58)),0)))</f>
        <v/>
      </c>
      <c r="V58" s="62">
        <f>IF(NOT((COUNTA($B58:$D58)+COUNTA($G58:$L58)+COUNTA($Q58))&gt;0),"",IF($B58="Subactividad","Sub","Macro"))</f>
        <v/>
      </c>
      <c r="W58" s="62">
        <f>IF($V58="Macro",COUNTIFS($U$5:$U$1000,ROW(),$V$5:$V$1000,"Sub"),"")</f>
        <v/>
      </c>
      <c r="X58" s="62">
        <f>IF($V58="","",IF(ISNUMBER($G58),1,IFERROR(LOOKUP(2,1/($I58:$L58&lt;&gt;""),$I58:$L58),0)))</f>
        <v/>
      </c>
      <c r="Y58" s="62">
        <f>IF($V58="","",IF(AND(ISNUMBER($G58),$G58&lt;=IF($S58=MesCiclo,InicioCiclo,$S58+MOD(2-WEEKDAY($S58),7))+6),1,IF(ISNUMBER($I58),$I58,0)))</f>
        <v/>
      </c>
      <c r="Z58" s="62">
        <f>IF($V58="","",IF(AND(ISNUMBER($G58),$G58&lt;=IF($S58=MesCiclo,InicioCiclo,$S58+MOD(2-WEEKDAY($S58),7))+13),1,IF(ISNUMBER($J58),$J58,$Y58)))</f>
        <v/>
      </c>
      <c r="AA58" s="62">
        <f>IF($V58="","",IF(AND(ISNUMBER($G58),$G58&lt;=IF($S58=MesCiclo,InicioCiclo,$S58+MOD(2-WEEKDAY($S58),7))+20),1,IF(ISNUMBER($K58),$K58,$Z58)))</f>
        <v/>
      </c>
      <c r="AB58" s="62">
        <f>IF($V58="","",IF(AND(ISNUMBER($G58),$G58&lt;=IF($S58=MesCiclo,InicioCiclo,$S58+MOD(2-WEEKDAY($S58),7))+27),1,IF(ISNUMBER($L58),$L58,$AA58)))</f>
        <v/>
      </c>
      <c r="AC58" s="62">
        <f>IF($V58="","",IF(AND(ISNUMBER($G58),$G58&lt;=IF($S58=MesCiclo,InicioCiclo,$S58+MOD(2-WEEKDAY($S58),7))+6),1,IF(N($W58)&gt;0,AVERAGEIFS($Y$5:$Y$1000,$U$5:$U$1000,ROW(),$V$5:$V$1000,"Sub"),$Y58)))</f>
        <v/>
      </c>
      <c r="AD58" s="62">
        <f>IF($V58="","",IF(AND(ISNUMBER($G58),$G58&lt;=IF($S58=MesCiclo,InicioCiclo,$S58+MOD(2-WEEKDAY($S58),7))+13),1,IF(N($W58)&gt;0,AVERAGEIFS($Z$5:$Z$1000,$U$5:$U$1000,ROW(),$V$5:$V$1000,"Sub"),$Z58)))</f>
        <v/>
      </c>
      <c r="AE58" s="62">
        <f>IF($V58="","",IF(AND(ISNUMBER($G58),$G58&lt;=IF($S58=MesCiclo,InicioCiclo,$S58+MOD(2-WEEKDAY($S58),7))+20),1,IF(N($W58)&gt;0,AVERAGEIFS($AA$5:$AA$1000,$U$5:$U$1000,ROW(),$V$5:$V$1000,"Sub"),$AA58)))</f>
        <v/>
      </c>
      <c r="AF58" s="62">
        <f>IF($V58="","",IF(AND(ISNUMBER($G58),$G58&lt;=IF($S58=MesCiclo,InicioCiclo,$S58+MOD(2-WEEKDAY($S58),7))+27),1,IF(N($W58)&gt;0,AVERAGEIFS($AB$5:$AB$1000,$U$5:$U$1000,ROW(),$V$5:$V$1000,"Sub"),$AB58)))</f>
        <v/>
      </c>
      <c r="AG58" s="62">
        <f>IF($V58&lt;&gt;"Macro","",IF(COUNTIFS($S$5:$S$1000,$S58,$V$5:$V$1000,"Macro",$H$5:$H$1000,"&gt;0")=0,1/COUNTIFS($S$5:$S$1000,$S58,$V$5:$V$1000,"Macro"),IF(AND(ISNUMBER($H58),N($H58)&gt;0),$H58,SUMIFS($H$5:$H$1000,$S$5:$S$1000,$S58,$V$5:$V$1000,"Macro")/COUNTIFS($S$5:$S$1000,$S58,$V$5:$V$1000,"Macro",$H$5:$H$1000,"&gt;0"))/(COUNTIFS($S$5:$S$1000,$S58,$V$5:$V$1000,"Macro")*SUMIFS($H$5:$H$1000,$S$5:$S$1000,$S58,$V$5:$V$1000,"Macro")/COUNTIFS($S$5:$S$1000,$S58,$V$5:$V$1000,"Macro",$H$5:$H$1000,"&gt;0"))))</f>
        <v/>
      </c>
      <c r="AH58" s="62" t="n"/>
      <c r="AI58" s="62" t="n"/>
      <c r="AJ58" s="62" t="n"/>
      <c r="AK58" s="62" t="n"/>
      <c r="AL58" s="62">
        <f>IF(LEFT($C58,11)="[Jefatura] ",IFERROR(MATCH("Riesgo Operacional|"&amp;MID($C58,12,500),rDname_ADM,0),0),"")</f>
        <v/>
      </c>
      <c r="AM58" s="62">
        <f>IF(N($AL58)&gt;0,INDEX(rIni_ADM,$AL58),IF(ISNUMBER($E58),$E58,""))</f>
        <v/>
      </c>
      <c r="AN58" s="62">
        <f>IF(N($AL58)&gt;0,INDEX(rLim_ADM,$AL58),IF(ISNUMBER($F58),$F58,""))</f>
        <v/>
      </c>
    </row>
    <row r="59">
      <c r="A59" s="56">
        <f>IF(NOT((COUNTA($B59:$D59)+COUNTA($G59:$L59)+COUNTA($Q59))&gt;0),"",IF($V59="Macro",COUNTIFS($V$5:$V59,"Macro",$S$5:$S59,$S59),IF(N($U59)=0,"?",COUNTIFS(INDEX($V$5:$V$1000,1):INDEX($V$5:$V$1000,$U59-4),"Macro",INDEX($S$5:$S$1000,1):INDEX($S$5:$S$1000,$U59-4),INDEX($S$5:$S$1000,$U59-4))&amp;"."&amp;COUNTIFS($U$5:$U59,$U59,$V$5:$V59,"Sub"))))</f>
        <v/>
      </c>
      <c r="B59" s="57" t="n"/>
      <c r="C59" s="58" t="n"/>
      <c r="D59" s="58" t="n"/>
      <c r="E59" s="59">
        <f>IF(N($AL59)&gt;0,INDEX(rIni_ADM,$AL59),"")</f>
        <v/>
      </c>
      <c r="F59" s="59">
        <f>IF(N($AL59)&gt;0,INDEX(rLim_ADM,$AL59),"")</f>
        <v/>
      </c>
      <c r="G59" s="59" t="n"/>
      <c r="H59" s="60" t="n"/>
      <c r="I59" s="60" t="n"/>
      <c r="J59" s="60" t="n"/>
      <c r="K59" s="60" t="n"/>
      <c r="L59" s="60" t="n"/>
      <c r="M59" s="61">
        <f>IF(NOT((COUNTA($B59:$D59)+COUNTA($G59:$L59)+COUNTA($Q59))&gt;0),"",IF(ISNUMBER($G59),1,IF(N($W59)&gt;0,AVERAGEIFS($X$5:$X$1000,$U$5:$U$1000,ROW(),$V$5:$V$1000,"Sub"),$X59)))</f>
        <v/>
      </c>
      <c r="N59" s="56">
        <f>IF($M59="","",IF($M59&gt;=1,"Completado",IF($M59&gt;0,"En curso","Pendiente")))</f>
        <v/>
      </c>
      <c r="O59" s="56">
        <f>IF(NOT((COUNTA($B59:$D59)+COUNTA($G59:$L59)+COUNTA($Q59))&gt;0),"",IF(ISNUMBER($G59),IF(AND(ISNUMBER($AN59),$G59&gt;$AN59),"Cumplida con "&amp;($G59-$AN59)&amp;IF($G59-$AN59=1," día"," días")&amp;" de retraso","Cumplida"),IF(N($M59)&gt;=1,"Cumplida",IF(NOT(ISNUMBER($AN59)),"Sin fecha límite",IF($AN59&lt;FechaRef,"Vencida hace "&amp;(FechaRef-$AN59)&amp;IF(FechaRef-$AN59=1," día"," días"),IF($AN59=FechaRef,"Vence hoy",IF($AN59-FechaRef&lt;=DiasAlerta,"Vence en "&amp;($AN59-FechaRef)&amp;IF($AN59-FechaRef=1," día"," días"),"En plazo")))))))</f>
        <v/>
      </c>
      <c r="P59" s="62" t="n"/>
      <c r="Q59" s="58" t="n"/>
      <c r="R59" s="63">
        <f>IF(NOT((COUNTA($B59:$D59)+COUNTA($G59:$L59)+COUNTA($Q59))&gt;0),"",IF((IF($C59="","Falta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",""))="","✔ OK","⚠ "&amp;LEFT(IF($C59="","Falta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",""),LEN(IF($C59="","Falta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",""))-3)))</f>
        <v/>
      </c>
      <c r="S59" s="64">
        <f>IF(NOT((COUNTA($B59:$D59)+COUNTA($G59:$L59)+COUNTA($Q59))&gt;0),"",IF(AND($V59="Sub",N($U59)&gt;0),IF(ISNUMBER(INDEX($AM$5:$AM$1000,$U59-4)),DATE(YEAR(INDEX($AM$5:$AM$1000,$U59-4)),MONTH(INDEX($AM$5:$AM$1000,$U59-4)),1),IF(ISNUMBER(INDEX($AN$5:$AN$1000,$U59-4)),DATE(YEAR(INDEX($AN$5:$AN$1000,$U59-4)),MONTH(INDEX($AN$5:$AN$1000,$U59-4)),1),MesCiclo)),IF(ISNUMBER($AM59),DATE(YEAR($AM59),MONTH($AM59),1),IF(ISNUMBER($AN59),DATE(YEAR($AN59),MONTH($AN59),1),MesCiclo))))</f>
        <v/>
      </c>
      <c r="T59" s="62">
        <f>IF(OR($S59="",$S59&lt;&gt;MesCiclo),"",COUNTIF($S$5:$S59,MesCiclo))</f>
        <v/>
      </c>
      <c r="U59" s="62">
        <f>IF($V59="","",IF($V59="Macro",ROW(),IFERROR(LOOKUP(2,1/($V$5:$V59="Macro"),ROW($V$5:$V59)),0)))</f>
        <v/>
      </c>
      <c r="V59" s="62">
        <f>IF(NOT((COUNTA($B59:$D59)+COUNTA($G59:$L59)+COUNTA($Q59))&gt;0),"",IF($B59="Subactividad","Sub","Macro"))</f>
        <v/>
      </c>
      <c r="W59" s="62">
        <f>IF($V59="Macro",COUNTIFS($U$5:$U$1000,ROW(),$V$5:$V$1000,"Sub"),"")</f>
        <v/>
      </c>
      <c r="X59" s="62">
        <f>IF($V59="","",IF(ISNUMBER($G59),1,IFERROR(LOOKUP(2,1/($I59:$L59&lt;&gt;""),$I59:$L59),0)))</f>
        <v/>
      </c>
      <c r="Y59" s="62">
        <f>IF($V59="","",IF(AND(ISNUMBER($G59),$G59&lt;=IF($S59=MesCiclo,InicioCiclo,$S59+MOD(2-WEEKDAY($S59),7))+6),1,IF(ISNUMBER($I59),$I59,0)))</f>
        <v/>
      </c>
      <c r="Z59" s="62">
        <f>IF($V59="","",IF(AND(ISNUMBER($G59),$G59&lt;=IF($S59=MesCiclo,InicioCiclo,$S59+MOD(2-WEEKDAY($S59),7))+13),1,IF(ISNUMBER($J59),$J59,$Y59)))</f>
        <v/>
      </c>
      <c r="AA59" s="62">
        <f>IF($V59="","",IF(AND(ISNUMBER($G59),$G59&lt;=IF($S59=MesCiclo,InicioCiclo,$S59+MOD(2-WEEKDAY($S59),7))+20),1,IF(ISNUMBER($K59),$K59,$Z59)))</f>
        <v/>
      </c>
      <c r="AB59" s="62">
        <f>IF($V59="","",IF(AND(ISNUMBER($G59),$G59&lt;=IF($S59=MesCiclo,InicioCiclo,$S59+MOD(2-WEEKDAY($S59),7))+27),1,IF(ISNUMBER($L59),$L59,$AA59)))</f>
        <v/>
      </c>
      <c r="AC59" s="62">
        <f>IF($V59="","",IF(AND(ISNUMBER($G59),$G59&lt;=IF($S59=MesCiclo,InicioCiclo,$S59+MOD(2-WEEKDAY($S59),7))+6),1,IF(N($W59)&gt;0,AVERAGEIFS($Y$5:$Y$1000,$U$5:$U$1000,ROW(),$V$5:$V$1000,"Sub"),$Y59)))</f>
        <v/>
      </c>
      <c r="AD59" s="62">
        <f>IF($V59="","",IF(AND(ISNUMBER($G59),$G59&lt;=IF($S59=MesCiclo,InicioCiclo,$S59+MOD(2-WEEKDAY($S59),7))+13),1,IF(N($W59)&gt;0,AVERAGEIFS($Z$5:$Z$1000,$U$5:$U$1000,ROW(),$V$5:$V$1000,"Sub"),$Z59)))</f>
        <v/>
      </c>
      <c r="AE59" s="62">
        <f>IF($V59="","",IF(AND(ISNUMBER($G59),$G59&lt;=IF($S59=MesCiclo,InicioCiclo,$S59+MOD(2-WEEKDAY($S59),7))+20),1,IF(N($W59)&gt;0,AVERAGEIFS($AA$5:$AA$1000,$U$5:$U$1000,ROW(),$V$5:$V$1000,"Sub"),$AA59)))</f>
        <v/>
      </c>
      <c r="AF59" s="62">
        <f>IF($V59="","",IF(AND(ISNUMBER($G59),$G59&lt;=IF($S59=MesCiclo,InicioCiclo,$S59+MOD(2-WEEKDAY($S59),7))+27),1,IF(N($W59)&gt;0,AVERAGEIFS($AB$5:$AB$1000,$U$5:$U$1000,ROW(),$V$5:$V$1000,"Sub"),$AB59)))</f>
        <v/>
      </c>
      <c r="AG59" s="62">
        <f>IF($V59&lt;&gt;"Macro","",IF(COUNTIFS($S$5:$S$1000,$S59,$V$5:$V$1000,"Macro",$H$5:$H$1000,"&gt;0")=0,1/COUNTIFS($S$5:$S$1000,$S59,$V$5:$V$1000,"Macro"),IF(AND(ISNUMBER($H59),N($H59)&gt;0),$H59,SUMIFS($H$5:$H$1000,$S$5:$S$1000,$S59,$V$5:$V$1000,"Macro")/COUNTIFS($S$5:$S$1000,$S59,$V$5:$V$1000,"Macro",$H$5:$H$1000,"&gt;0"))/(COUNTIFS($S$5:$S$1000,$S59,$V$5:$V$1000,"Macro")*SUMIFS($H$5:$H$1000,$S$5:$S$1000,$S59,$V$5:$V$1000,"Macro")/COUNTIFS($S$5:$S$1000,$S59,$V$5:$V$1000,"Macro",$H$5:$H$1000,"&gt;0"))))</f>
        <v/>
      </c>
      <c r="AH59" s="62" t="n"/>
      <c r="AI59" s="62" t="n"/>
      <c r="AJ59" s="62" t="n"/>
      <c r="AK59" s="62" t="n"/>
      <c r="AL59" s="62">
        <f>IF(LEFT($C59,11)="[Jefatura] ",IFERROR(MATCH("Riesgo Operacional|"&amp;MID($C59,12,500),rDname_ADM,0),0),"")</f>
        <v/>
      </c>
      <c r="AM59" s="62">
        <f>IF(N($AL59)&gt;0,INDEX(rIni_ADM,$AL59),IF(ISNUMBER($E59),$E59,""))</f>
        <v/>
      </c>
      <c r="AN59" s="62">
        <f>IF(N($AL59)&gt;0,INDEX(rLim_ADM,$AL59),IF(ISNUMBER($F59),$F59,""))</f>
        <v/>
      </c>
    </row>
    <row r="60">
      <c r="A60" s="56">
        <f>IF(NOT((COUNTA($B60:$D60)+COUNTA($G60:$L60)+COUNTA($Q60))&gt;0),"",IF($V60="Macro",COUNTIFS($V$5:$V60,"Macro",$S$5:$S60,$S60),IF(N($U60)=0,"?",COUNTIFS(INDEX($V$5:$V$1000,1):INDEX($V$5:$V$1000,$U60-4),"Macro",INDEX($S$5:$S$1000,1):INDEX($S$5:$S$1000,$U60-4),INDEX($S$5:$S$1000,$U60-4))&amp;"."&amp;COUNTIFS($U$5:$U60,$U60,$V$5:$V60,"Sub"))))</f>
        <v/>
      </c>
      <c r="B60" s="57" t="n"/>
      <c r="C60" s="58" t="n"/>
      <c r="D60" s="58" t="n"/>
      <c r="E60" s="59">
        <f>IF(N($AL60)&gt;0,INDEX(rIni_ADM,$AL60),"")</f>
        <v/>
      </c>
      <c r="F60" s="59">
        <f>IF(N($AL60)&gt;0,INDEX(rLim_ADM,$AL60),"")</f>
        <v/>
      </c>
      <c r="G60" s="59" t="n"/>
      <c r="H60" s="60" t="n"/>
      <c r="I60" s="60" t="n"/>
      <c r="J60" s="60" t="n"/>
      <c r="K60" s="60" t="n"/>
      <c r="L60" s="60" t="n"/>
      <c r="M60" s="61">
        <f>IF(NOT((COUNTA($B60:$D60)+COUNTA($G60:$L60)+COUNTA($Q60))&gt;0),"",IF(ISNUMBER($G60),1,IF(N($W60)&gt;0,AVERAGEIFS($X$5:$X$1000,$U$5:$U$1000,ROW(),$V$5:$V$1000,"Sub"),$X60)))</f>
        <v/>
      </c>
      <c r="N60" s="56">
        <f>IF($M60="","",IF($M60&gt;=1,"Completado",IF($M60&gt;0,"En curso","Pendiente")))</f>
        <v/>
      </c>
      <c r="O60" s="56">
        <f>IF(NOT((COUNTA($B60:$D60)+COUNTA($G60:$L60)+COUNTA($Q60))&gt;0),"",IF(ISNUMBER($G60),IF(AND(ISNUMBER($AN60),$G60&gt;$AN60),"Cumplida con "&amp;($G60-$AN60)&amp;IF($G60-$AN60=1," día"," días")&amp;" de retraso","Cumplida"),IF(N($M60)&gt;=1,"Cumplida",IF(NOT(ISNUMBER($AN60)),"Sin fecha límite",IF($AN60&lt;FechaRef,"Vencida hace "&amp;(FechaRef-$AN60)&amp;IF(FechaRef-$AN60=1," día"," días"),IF($AN60=FechaRef,"Vence hoy",IF($AN60-FechaRef&lt;=DiasAlerta,"Vence en "&amp;($AN60-FechaRef)&amp;IF($AN60-FechaRef=1," día"," días"),"En plazo")))))))</f>
        <v/>
      </c>
      <c r="P60" s="62" t="n"/>
      <c r="Q60" s="58" t="n"/>
      <c r="R60" s="63">
        <f>IF(NOT((COUNTA($B60:$D60)+COUNTA($G60:$L60)+COUNTA($Q60))&gt;0),"",IF((IF($C60="","Falta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",""))="","✔ OK","⚠ "&amp;LEFT(IF($C60="","Falta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",""),LEN(IF($C60="","Falta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",""))-3)))</f>
        <v/>
      </c>
      <c r="S60" s="64">
        <f>IF(NOT((COUNTA($B60:$D60)+COUNTA($G60:$L60)+COUNTA($Q60))&gt;0),"",IF(AND($V60="Sub",N($U60)&gt;0),IF(ISNUMBER(INDEX($AM$5:$AM$1000,$U60-4)),DATE(YEAR(INDEX($AM$5:$AM$1000,$U60-4)),MONTH(INDEX($AM$5:$AM$1000,$U60-4)),1),IF(ISNUMBER(INDEX($AN$5:$AN$1000,$U60-4)),DATE(YEAR(INDEX($AN$5:$AN$1000,$U60-4)),MONTH(INDEX($AN$5:$AN$1000,$U60-4)),1),MesCiclo)),IF(ISNUMBER($AM60),DATE(YEAR($AM60),MONTH($AM60),1),IF(ISNUMBER($AN60),DATE(YEAR($AN60),MONTH($AN60),1),MesCiclo))))</f>
        <v/>
      </c>
      <c r="T60" s="62">
        <f>IF(OR($S60="",$S60&lt;&gt;MesCiclo),"",COUNTIF($S$5:$S60,MesCiclo))</f>
        <v/>
      </c>
      <c r="U60" s="62">
        <f>IF($V60="","",IF($V60="Macro",ROW(),IFERROR(LOOKUP(2,1/($V$5:$V60="Macro"),ROW($V$5:$V60)),0)))</f>
        <v/>
      </c>
      <c r="V60" s="62">
        <f>IF(NOT((COUNTA($B60:$D60)+COUNTA($G60:$L60)+COUNTA($Q60))&gt;0),"",IF($B60="Subactividad","Sub","Macro"))</f>
        <v/>
      </c>
      <c r="W60" s="62">
        <f>IF($V60="Macro",COUNTIFS($U$5:$U$1000,ROW(),$V$5:$V$1000,"Sub"),"")</f>
        <v/>
      </c>
      <c r="X60" s="62">
        <f>IF($V60="","",IF(ISNUMBER($G60),1,IFERROR(LOOKUP(2,1/($I60:$L60&lt;&gt;""),$I60:$L60),0)))</f>
        <v/>
      </c>
      <c r="Y60" s="62">
        <f>IF($V60="","",IF(AND(ISNUMBER($G60),$G60&lt;=IF($S60=MesCiclo,InicioCiclo,$S60+MOD(2-WEEKDAY($S60),7))+6),1,IF(ISNUMBER($I60),$I60,0)))</f>
        <v/>
      </c>
      <c r="Z60" s="62">
        <f>IF($V60="","",IF(AND(ISNUMBER($G60),$G60&lt;=IF($S60=MesCiclo,InicioCiclo,$S60+MOD(2-WEEKDAY($S60),7))+13),1,IF(ISNUMBER($J60),$J60,$Y60)))</f>
        <v/>
      </c>
      <c r="AA60" s="62">
        <f>IF($V60="","",IF(AND(ISNUMBER($G60),$G60&lt;=IF($S60=MesCiclo,InicioCiclo,$S60+MOD(2-WEEKDAY($S60),7))+20),1,IF(ISNUMBER($K60),$K60,$Z60)))</f>
        <v/>
      </c>
      <c r="AB60" s="62">
        <f>IF($V60="","",IF(AND(ISNUMBER($G60),$G60&lt;=IF($S60=MesCiclo,InicioCiclo,$S60+MOD(2-WEEKDAY($S60),7))+27),1,IF(ISNUMBER($L60),$L60,$AA60)))</f>
        <v/>
      </c>
      <c r="AC60" s="62">
        <f>IF($V60="","",IF(AND(ISNUMBER($G60),$G60&lt;=IF($S60=MesCiclo,InicioCiclo,$S60+MOD(2-WEEKDAY($S60),7))+6),1,IF(N($W60)&gt;0,AVERAGEIFS($Y$5:$Y$1000,$U$5:$U$1000,ROW(),$V$5:$V$1000,"Sub"),$Y60)))</f>
        <v/>
      </c>
      <c r="AD60" s="62">
        <f>IF($V60="","",IF(AND(ISNUMBER($G60),$G60&lt;=IF($S60=MesCiclo,InicioCiclo,$S60+MOD(2-WEEKDAY($S60),7))+13),1,IF(N($W60)&gt;0,AVERAGEIFS($Z$5:$Z$1000,$U$5:$U$1000,ROW(),$V$5:$V$1000,"Sub"),$Z60)))</f>
        <v/>
      </c>
      <c r="AE60" s="62">
        <f>IF($V60="","",IF(AND(ISNUMBER($G60),$G60&lt;=IF($S60=MesCiclo,InicioCiclo,$S60+MOD(2-WEEKDAY($S60),7))+20),1,IF(N($W60)&gt;0,AVERAGEIFS($AA$5:$AA$1000,$U$5:$U$1000,ROW(),$V$5:$V$1000,"Sub"),$AA60)))</f>
        <v/>
      </c>
      <c r="AF60" s="62">
        <f>IF($V60="","",IF(AND(ISNUMBER($G60),$G60&lt;=IF($S60=MesCiclo,InicioCiclo,$S60+MOD(2-WEEKDAY($S60),7))+27),1,IF(N($W60)&gt;0,AVERAGEIFS($AB$5:$AB$1000,$U$5:$U$1000,ROW(),$V$5:$V$1000,"Sub"),$AB60)))</f>
        <v/>
      </c>
      <c r="AG60" s="62">
        <f>IF($V60&lt;&gt;"Macro","",IF(COUNTIFS($S$5:$S$1000,$S60,$V$5:$V$1000,"Macro",$H$5:$H$1000,"&gt;0")=0,1/COUNTIFS($S$5:$S$1000,$S60,$V$5:$V$1000,"Macro"),IF(AND(ISNUMBER($H60),N($H60)&gt;0),$H60,SUMIFS($H$5:$H$1000,$S$5:$S$1000,$S60,$V$5:$V$1000,"Macro")/COUNTIFS($S$5:$S$1000,$S60,$V$5:$V$1000,"Macro",$H$5:$H$1000,"&gt;0"))/(COUNTIFS($S$5:$S$1000,$S60,$V$5:$V$1000,"Macro")*SUMIFS($H$5:$H$1000,$S$5:$S$1000,$S60,$V$5:$V$1000,"Macro")/COUNTIFS($S$5:$S$1000,$S60,$V$5:$V$1000,"Macro",$H$5:$H$1000,"&gt;0"))))</f>
        <v/>
      </c>
      <c r="AH60" s="62" t="n"/>
      <c r="AI60" s="62" t="n"/>
      <c r="AJ60" s="62" t="n"/>
      <c r="AK60" s="62" t="n"/>
      <c r="AL60" s="62">
        <f>IF(LEFT($C60,11)="[Jefatura] ",IFERROR(MATCH("Riesgo Operacional|"&amp;MID($C60,12,500),rDname_ADM,0),0),"")</f>
        <v/>
      </c>
      <c r="AM60" s="62">
        <f>IF(N($AL60)&gt;0,INDEX(rIni_ADM,$AL60),IF(ISNUMBER($E60),$E60,""))</f>
        <v/>
      </c>
      <c r="AN60" s="62">
        <f>IF(N($AL60)&gt;0,INDEX(rLim_ADM,$AL60),IF(ISNUMBER($F60),$F60,""))</f>
        <v/>
      </c>
    </row>
    <row r="61">
      <c r="A61" s="56">
        <f>IF(NOT((COUNTA($B61:$D61)+COUNTA($G61:$L61)+COUNTA($Q61))&gt;0),"",IF($V61="Macro",COUNTIFS($V$5:$V61,"Macro",$S$5:$S61,$S61),IF(N($U61)=0,"?",COUNTIFS(INDEX($V$5:$V$1000,1):INDEX($V$5:$V$1000,$U61-4),"Macro",INDEX($S$5:$S$1000,1):INDEX($S$5:$S$1000,$U61-4),INDEX($S$5:$S$1000,$U61-4))&amp;"."&amp;COUNTIFS($U$5:$U61,$U61,$V$5:$V61,"Sub"))))</f>
        <v/>
      </c>
      <c r="B61" s="57" t="n"/>
      <c r="C61" s="58" t="n"/>
      <c r="D61" s="58" t="n"/>
      <c r="E61" s="59">
        <f>IF(N($AL61)&gt;0,INDEX(rIni_ADM,$AL61),"")</f>
        <v/>
      </c>
      <c r="F61" s="59">
        <f>IF(N($AL61)&gt;0,INDEX(rLim_ADM,$AL61),"")</f>
        <v/>
      </c>
      <c r="G61" s="59" t="n"/>
      <c r="H61" s="60" t="n"/>
      <c r="I61" s="60" t="n"/>
      <c r="J61" s="60" t="n"/>
      <c r="K61" s="60" t="n"/>
      <c r="L61" s="60" t="n"/>
      <c r="M61" s="61">
        <f>IF(NOT((COUNTA($B61:$D61)+COUNTA($G61:$L61)+COUNTA($Q61))&gt;0),"",IF(ISNUMBER($G61),1,IF(N($W61)&gt;0,AVERAGEIFS($X$5:$X$1000,$U$5:$U$1000,ROW(),$V$5:$V$1000,"Sub"),$X61)))</f>
        <v/>
      </c>
      <c r="N61" s="56">
        <f>IF($M61="","",IF($M61&gt;=1,"Completado",IF($M61&gt;0,"En curso","Pendiente")))</f>
        <v/>
      </c>
      <c r="O61" s="56">
        <f>IF(NOT((COUNTA($B61:$D61)+COUNTA($G61:$L61)+COUNTA($Q61))&gt;0),"",IF(ISNUMBER($G61),IF(AND(ISNUMBER($AN61),$G61&gt;$AN61),"Cumplida con "&amp;($G61-$AN61)&amp;IF($G61-$AN61=1," día"," días")&amp;" de retraso","Cumplida"),IF(N($M61)&gt;=1,"Cumplida",IF(NOT(ISNUMBER($AN61)),"Sin fecha límite",IF($AN61&lt;FechaRef,"Vencida hace "&amp;(FechaRef-$AN61)&amp;IF(FechaRef-$AN61=1," día"," días"),IF($AN61=FechaRef,"Vence hoy",IF($AN61-FechaRef&lt;=DiasAlerta,"Vence en "&amp;($AN61-FechaRef)&amp;IF($AN61-FechaRef=1," día"," días"),"En plazo")))))))</f>
        <v/>
      </c>
      <c r="P61" s="62" t="n"/>
      <c r="Q61" s="58" t="n"/>
      <c r="R61" s="63">
        <f>IF(NOT((COUNTA($B61:$D61)+COUNTA($G61:$L61)+COUNTA($Q61))&gt;0),"",IF((IF($C61="","Falta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",""))="","✔ OK","⚠ "&amp;LEFT(IF($C61="","Falta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",""),LEN(IF($C61="","Falta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",""))-3)))</f>
        <v/>
      </c>
      <c r="S61" s="64">
        <f>IF(NOT((COUNTA($B61:$D61)+COUNTA($G61:$L61)+COUNTA($Q61))&gt;0),"",IF(AND($V61="Sub",N($U61)&gt;0),IF(ISNUMBER(INDEX($AM$5:$AM$1000,$U61-4)),DATE(YEAR(INDEX($AM$5:$AM$1000,$U61-4)),MONTH(INDEX($AM$5:$AM$1000,$U61-4)),1),IF(ISNUMBER(INDEX($AN$5:$AN$1000,$U61-4)),DATE(YEAR(INDEX($AN$5:$AN$1000,$U61-4)),MONTH(INDEX($AN$5:$AN$1000,$U61-4)),1),MesCiclo)),IF(ISNUMBER($AM61),DATE(YEAR($AM61),MONTH($AM61),1),IF(ISNUMBER($AN61),DATE(YEAR($AN61),MONTH($AN61),1),MesCiclo))))</f>
        <v/>
      </c>
      <c r="T61" s="62">
        <f>IF(OR($S61="",$S61&lt;&gt;MesCiclo),"",COUNTIF($S$5:$S61,MesCiclo))</f>
        <v/>
      </c>
      <c r="U61" s="62">
        <f>IF($V61="","",IF($V61="Macro",ROW(),IFERROR(LOOKUP(2,1/($V$5:$V61="Macro"),ROW($V$5:$V61)),0)))</f>
        <v/>
      </c>
      <c r="V61" s="62">
        <f>IF(NOT((COUNTA($B61:$D61)+COUNTA($G61:$L61)+COUNTA($Q61))&gt;0),"",IF($B61="Subactividad","Sub","Macro"))</f>
        <v/>
      </c>
      <c r="W61" s="62">
        <f>IF($V61="Macro",COUNTIFS($U$5:$U$1000,ROW(),$V$5:$V$1000,"Sub"),"")</f>
        <v/>
      </c>
      <c r="X61" s="62">
        <f>IF($V61="","",IF(ISNUMBER($G61),1,IFERROR(LOOKUP(2,1/($I61:$L61&lt;&gt;""),$I61:$L61),0)))</f>
        <v/>
      </c>
      <c r="Y61" s="62">
        <f>IF($V61="","",IF(AND(ISNUMBER($G61),$G61&lt;=IF($S61=MesCiclo,InicioCiclo,$S61+MOD(2-WEEKDAY($S61),7))+6),1,IF(ISNUMBER($I61),$I61,0)))</f>
        <v/>
      </c>
      <c r="Z61" s="62">
        <f>IF($V61="","",IF(AND(ISNUMBER($G61),$G61&lt;=IF($S61=MesCiclo,InicioCiclo,$S61+MOD(2-WEEKDAY($S61),7))+13),1,IF(ISNUMBER($J61),$J61,$Y61)))</f>
        <v/>
      </c>
      <c r="AA61" s="62">
        <f>IF($V61="","",IF(AND(ISNUMBER($G61),$G61&lt;=IF($S61=MesCiclo,InicioCiclo,$S61+MOD(2-WEEKDAY($S61),7))+20),1,IF(ISNUMBER($K61),$K61,$Z61)))</f>
        <v/>
      </c>
      <c r="AB61" s="62">
        <f>IF($V61="","",IF(AND(ISNUMBER($G61),$G61&lt;=IF($S61=MesCiclo,InicioCiclo,$S61+MOD(2-WEEKDAY($S61),7))+27),1,IF(ISNUMBER($L61),$L61,$AA61)))</f>
        <v/>
      </c>
      <c r="AC61" s="62">
        <f>IF($V61="","",IF(AND(ISNUMBER($G61),$G61&lt;=IF($S61=MesCiclo,InicioCiclo,$S61+MOD(2-WEEKDAY($S61),7))+6),1,IF(N($W61)&gt;0,AVERAGEIFS($Y$5:$Y$1000,$U$5:$U$1000,ROW(),$V$5:$V$1000,"Sub"),$Y61)))</f>
        <v/>
      </c>
      <c r="AD61" s="62">
        <f>IF($V61="","",IF(AND(ISNUMBER($G61),$G61&lt;=IF($S61=MesCiclo,InicioCiclo,$S61+MOD(2-WEEKDAY($S61),7))+13),1,IF(N($W61)&gt;0,AVERAGEIFS($Z$5:$Z$1000,$U$5:$U$1000,ROW(),$V$5:$V$1000,"Sub"),$Z61)))</f>
        <v/>
      </c>
      <c r="AE61" s="62">
        <f>IF($V61="","",IF(AND(ISNUMBER($G61),$G61&lt;=IF($S61=MesCiclo,InicioCiclo,$S61+MOD(2-WEEKDAY($S61),7))+20),1,IF(N($W61)&gt;0,AVERAGEIFS($AA$5:$AA$1000,$U$5:$U$1000,ROW(),$V$5:$V$1000,"Sub"),$AA61)))</f>
        <v/>
      </c>
      <c r="AF61" s="62">
        <f>IF($V61="","",IF(AND(ISNUMBER($G61),$G61&lt;=IF($S61=MesCiclo,InicioCiclo,$S61+MOD(2-WEEKDAY($S61),7))+27),1,IF(N($W61)&gt;0,AVERAGEIFS($AB$5:$AB$1000,$U$5:$U$1000,ROW(),$V$5:$V$1000,"Sub"),$AB61)))</f>
        <v/>
      </c>
      <c r="AG61" s="62">
        <f>IF($V61&lt;&gt;"Macro","",IF(COUNTIFS($S$5:$S$1000,$S61,$V$5:$V$1000,"Macro",$H$5:$H$1000,"&gt;0")=0,1/COUNTIFS($S$5:$S$1000,$S61,$V$5:$V$1000,"Macro"),IF(AND(ISNUMBER($H61),N($H61)&gt;0),$H61,SUMIFS($H$5:$H$1000,$S$5:$S$1000,$S61,$V$5:$V$1000,"Macro")/COUNTIFS($S$5:$S$1000,$S61,$V$5:$V$1000,"Macro",$H$5:$H$1000,"&gt;0"))/(COUNTIFS($S$5:$S$1000,$S61,$V$5:$V$1000,"Macro")*SUMIFS($H$5:$H$1000,$S$5:$S$1000,$S61,$V$5:$V$1000,"Macro")/COUNTIFS($S$5:$S$1000,$S61,$V$5:$V$1000,"Macro",$H$5:$H$1000,"&gt;0"))))</f>
        <v/>
      </c>
      <c r="AH61" s="62" t="n"/>
      <c r="AI61" s="62" t="n"/>
      <c r="AJ61" s="62" t="n"/>
      <c r="AK61" s="62" t="n"/>
      <c r="AL61" s="62">
        <f>IF(LEFT($C61,11)="[Jefatura] ",IFERROR(MATCH("Riesgo Operacional|"&amp;MID($C61,12,500),rDname_ADM,0),0),"")</f>
        <v/>
      </c>
      <c r="AM61" s="62">
        <f>IF(N($AL61)&gt;0,INDEX(rIni_ADM,$AL61),IF(ISNUMBER($E61),$E61,""))</f>
        <v/>
      </c>
      <c r="AN61" s="62">
        <f>IF(N($AL61)&gt;0,INDEX(rLim_ADM,$AL61),IF(ISNUMBER($F61),$F61,""))</f>
        <v/>
      </c>
    </row>
    <row r="62">
      <c r="A62" s="56">
        <f>IF(NOT((COUNTA($B62:$D62)+COUNTA($G62:$L62)+COUNTA($Q62))&gt;0),"",IF($V62="Macro",COUNTIFS($V$5:$V62,"Macro",$S$5:$S62,$S62),IF(N($U62)=0,"?",COUNTIFS(INDEX($V$5:$V$1000,1):INDEX($V$5:$V$1000,$U62-4),"Macro",INDEX($S$5:$S$1000,1):INDEX($S$5:$S$1000,$U62-4),INDEX($S$5:$S$1000,$U62-4))&amp;"."&amp;COUNTIFS($U$5:$U62,$U62,$V$5:$V62,"Sub"))))</f>
        <v/>
      </c>
      <c r="B62" s="57" t="n"/>
      <c r="C62" s="58" t="n"/>
      <c r="D62" s="58" t="n"/>
      <c r="E62" s="59">
        <f>IF(N($AL62)&gt;0,INDEX(rIni_ADM,$AL62),"")</f>
        <v/>
      </c>
      <c r="F62" s="59">
        <f>IF(N($AL62)&gt;0,INDEX(rLim_ADM,$AL62),"")</f>
        <v/>
      </c>
      <c r="G62" s="59" t="n"/>
      <c r="H62" s="60" t="n"/>
      <c r="I62" s="60" t="n"/>
      <c r="J62" s="60" t="n"/>
      <c r="K62" s="60" t="n"/>
      <c r="L62" s="60" t="n"/>
      <c r="M62" s="61">
        <f>IF(NOT((COUNTA($B62:$D62)+COUNTA($G62:$L62)+COUNTA($Q62))&gt;0),"",IF(ISNUMBER($G62),1,IF(N($W62)&gt;0,AVERAGEIFS($X$5:$X$1000,$U$5:$U$1000,ROW(),$V$5:$V$1000,"Sub"),$X62)))</f>
        <v/>
      </c>
      <c r="N62" s="56">
        <f>IF($M62="","",IF($M62&gt;=1,"Completado",IF($M62&gt;0,"En curso","Pendiente")))</f>
        <v/>
      </c>
      <c r="O62" s="56">
        <f>IF(NOT((COUNTA($B62:$D62)+COUNTA($G62:$L62)+COUNTA($Q62))&gt;0),"",IF(ISNUMBER($G62),IF(AND(ISNUMBER($AN62),$G62&gt;$AN62),"Cumplida con "&amp;($G62-$AN62)&amp;IF($G62-$AN62=1," día"," días")&amp;" de retraso","Cumplida"),IF(N($M62)&gt;=1,"Cumplida",IF(NOT(ISNUMBER($AN62)),"Sin fecha límite",IF($AN62&lt;FechaRef,"Vencida hace "&amp;(FechaRef-$AN62)&amp;IF(FechaRef-$AN62=1," día"," días"),IF($AN62=FechaRef,"Vence hoy",IF($AN62-FechaRef&lt;=DiasAlerta,"Vence en "&amp;($AN62-FechaRef)&amp;IF($AN62-FechaRef=1," día"," días"),"En plazo")))))))</f>
        <v/>
      </c>
      <c r="P62" s="62" t="n"/>
      <c r="Q62" s="58" t="n"/>
      <c r="R62" s="63">
        <f>IF(NOT((COUNTA($B62:$D62)+COUNTA($G62:$L62)+COUNTA($Q62))&gt;0),"",IF((IF($C62="","Falta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",""))="","✔ OK","⚠ "&amp;LEFT(IF($C62="","Falta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",""),LEN(IF($C62="","Falta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",""))-3)))</f>
        <v/>
      </c>
      <c r="S62" s="64">
        <f>IF(NOT((COUNTA($B62:$D62)+COUNTA($G62:$L62)+COUNTA($Q62))&gt;0),"",IF(AND($V62="Sub",N($U62)&gt;0),IF(ISNUMBER(INDEX($AM$5:$AM$1000,$U62-4)),DATE(YEAR(INDEX($AM$5:$AM$1000,$U62-4)),MONTH(INDEX($AM$5:$AM$1000,$U62-4)),1),IF(ISNUMBER(INDEX($AN$5:$AN$1000,$U62-4)),DATE(YEAR(INDEX($AN$5:$AN$1000,$U62-4)),MONTH(INDEX($AN$5:$AN$1000,$U62-4)),1),MesCiclo)),IF(ISNUMBER($AM62),DATE(YEAR($AM62),MONTH($AM62),1),IF(ISNUMBER($AN62),DATE(YEAR($AN62),MONTH($AN62),1),MesCiclo))))</f>
        <v/>
      </c>
      <c r="T62" s="62">
        <f>IF(OR($S62="",$S62&lt;&gt;MesCiclo),"",COUNTIF($S$5:$S62,MesCiclo))</f>
        <v/>
      </c>
      <c r="U62" s="62">
        <f>IF($V62="","",IF($V62="Macro",ROW(),IFERROR(LOOKUP(2,1/($V$5:$V62="Macro"),ROW($V$5:$V62)),0)))</f>
        <v/>
      </c>
      <c r="V62" s="62">
        <f>IF(NOT((COUNTA($B62:$D62)+COUNTA($G62:$L62)+COUNTA($Q62))&gt;0),"",IF($B62="Subactividad","Sub","Macro"))</f>
        <v/>
      </c>
      <c r="W62" s="62">
        <f>IF($V62="Macro",COUNTIFS($U$5:$U$1000,ROW(),$V$5:$V$1000,"Sub"),"")</f>
        <v/>
      </c>
      <c r="X62" s="62">
        <f>IF($V62="","",IF(ISNUMBER($G62),1,IFERROR(LOOKUP(2,1/($I62:$L62&lt;&gt;""),$I62:$L62),0)))</f>
        <v/>
      </c>
      <c r="Y62" s="62">
        <f>IF($V62="","",IF(AND(ISNUMBER($G62),$G62&lt;=IF($S62=MesCiclo,InicioCiclo,$S62+MOD(2-WEEKDAY($S62),7))+6),1,IF(ISNUMBER($I62),$I62,0)))</f>
        <v/>
      </c>
      <c r="Z62" s="62">
        <f>IF($V62="","",IF(AND(ISNUMBER($G62),$G62&lt;=IF($S62=MesCiclo,InicioCiclo,$S62+MOD(2-WEEKDAY($S62),7))+13),1,IF(ISNUMBER($J62),$J62,$Y62)))</f>
        <v/>
      </c>
      <c r="AA62" s="62">
        <f>IF($V62="","",IF(AND(ISNUMBER($G62),$G62&lt;=IF($S62=MesCiclo,InicioCiclo,$S62+MOD(2-WEEKDAY($S62),7))+20),1,IF(ISNUMBER($K62),$K62,$Z62)))</f>
        <v/>
      </c>
      <c r="AB62" s="62">
        <f>IF($V62="","",IF(AND(ISNUMBER($G62),$G62&lt;=IF($S62=MesCiclo,InicioCiclo,$S62+MOD(2-WEEKDAY($S62),7))+27),1,IF(ISNUMBER($L62),$L62,$AA62)))</f>
        <v/>
      </c>
      <c r="AC62" s="62">
        <f>IF($V62="","",IF(AND(ISNUMBER($G62),$G62&lt;=IF($S62=MesCiclo,InicioCiclo,$S62+MOD(2-WEEKDAY($S62),7))+6),1,IF(N($W62)&gt;0,AVERAGEIFS($Y$5:$Y$1000,$U$5:$U$1000,ROW(),$V$5:$V$1000,"Sub"),$Y62)))</f>
        <v/>
      </c>
      <c r="AD62" s="62">
        <f>IF($V62="","",IF(AND(ISNUMBER($G62),$G62&lt;=IF($S62=MesCiclo,InicioCiclo,$S62+MOD(2-WEEKDAY($S62),7))+13),1,IF(N($W62)&gt;0,AVERAGEIFS($Z$5:$Z$1000,$U$5:$U$1000,ROW(),$V$5:$V$1000,"Sub"),$Z62)))</f>
        <v/>
      </c>
      <c r="AE62" s="62">
        <f>IF($V62="","",IF(AND(ISNUMBER($G62),$G62&lt;=IF($S62=MesCiclo,InicioCiclo,$S62+MOD(2-WEEKDAY($S62),7))+20),1,IF(N($W62)&gt;0,AVERAGEIFS($AA$5:$AA$1000,$U$5:$U$1000,ROW(),$V$5:$V$1000,"Sub"),$AA62)))</f>
        <v/>
      </c>
      <c r="AF62" s="62">
        <f>IF($V62="","",IF(AND(ISNUMBER($G62),$G62&lt;=IF($S62=MesCiclo,InicioCiclo,$S62+MOD(2-WEEKDAY($S62),7))+27),1,IF(N($W62)&gt;0,AVERAGEIFS($AB$5:$AB$1000,$U$5:$U$1000,ROW(),$V$5:$V$1000,"Sub"),$AB62)))</f>
        <v/>
      </c>
      <c r="AG62" s="62">
        <f>IF($V62&lt;&gt;"Macro","",IF(COUNTIFS($S$5:$S$1000,$S62,$V$5:$V$1000,"Macro",$H$5:$H$1000,"&gt;0")=0,1/COUNTIFS($S$5:$S$1000,$S62,$V$5:$V$1000,"Macro"),IF(AND(ISNUMBER($H62),N($H62)&gt;0),$H62,SUMIFS($H$5:$H$1000,$S$5:$S$1000,$S62,$V$5:$V$1000,"Macro")/COUNTIFS($S$5:$S$1000,$S62,$V$5:$V$1000,"Macro",$H$5:$H$1000,"&gt;0"))/(COUNTIFS($S$5:$S$1000,$S62,$V$5:$V$1000,"Macro")*SUMIFS($H$5:$H$1000,$S$5:$S$1000,$S62,$V$5:$V$1000,"Macro")/COUNTIFS($S$5:$S$1000,$S62,$V$5:$V$1000,"Macro",$H$5:$H$1000,"&gt;0"))))</f>
        <v/>
      </c>
      <c r="AH62" s="62" t="n"/>
      <c r="AI62" s="62" t="n"/>
      <c r="AJ62" s="62" t="n"/>
      <c r="AK62" s="62" t="n"/>
      <c r="AL62" s="62">
        <f>IF(LEFT($C62,11)="[Jefatura] ",IFERROR(MATCH("Riesgo Operacional|"&amp;MID($C62,12,500),rDname_ADM,0),0),"")</f>
        <v/>
      </c>
      <c r="AM62" s="62">
        <f>IF(N($AL62)&gt;0,INDEX(rIni_ADM,$AL62),IF(ISNUMBER($E62),$E62,""))</f>
        <v/>
      </c>
      <c r="AN62" s="62">
        <f>IF(N($AL62)&gt;0,INDEX(rLim_ADM,$AL62),IF(ISNUMBER($F62),$F62,""))</f>
        <v/>
      </c>
    </row>
    <row r="63">
      <c r="A63" s="56">
        <f>IF(NOT((COUNTA($B63:$D63)+COUNTA($G63:$L63)+COUNTA($Q63))&gt;0),"",IF($V63="Macro",COUNTIFS($V$5:$V63,"Macro",$S$5:$S63,$S63),IF(N($U63)=0,"?",COUNTIFS(INDEX($V$5:$V$1000,1):INDEX($V$5:$V$1000,$U63-4),"Macro",INDEX($S$5:$S$1000,1):INDEX($S$5:$S$1000,$U63-4),INDEX($S$5:$S$1000,$U63-4))&amp;"."&amp;COUNTIFS($U$5:$U63,$U63,$V$5:$V63,"Sub"))))</f>
        <v/>
      </c>
      <c r="B63" s="57" t="n"/>
      <c r="C63" s="58" t="n"/>
      <c r="D63" s="58" t="n"/>
      <c r="E63" s="59">
        <f>IF(N($AL63)&gt;0,INDEX(rIni_ADM,$AL63),"")</f>
        <v/>
      </c>
      <c r="F63" s="59">
        <f>IF(N($AL63)&gt;0,INDEX(rLim_ADM,$AL63),"")</f>
        <v/>
      </c>
      <c r="G63" s="59" t="n"/>
      <c r="H63" s="60" t="n"/>
      <c r="I63" s="60" t="n"/>
      <c r="J63" s="60" t="n"/>
      <c r="K63" s="60" t="n"/>
      <c r="L63" s="60" t="n"/>
      <c r="M63" s="61">
        <f>IF(NOT((COUNTA($B63:$D63)+COUNTA($G63:$L63)+COUNTA($Q63))&gt;0),"",IF(ISNUMBER($G63),1,IF(N($W63)&gt;0,AVERAGEIFS($X$5:$X$1000,$U$5:$U$1000,ROW(),$V$5:$V$1000,"Sub"),$X63)))</f>
        <v/>
      </c>
      <c r="N63" s="56">
        <f>IF($M63="","",IF($M63&gt;=1,"Completado",IF($M63&gt;0,"En curso","Pendiente")))</f>
        <v/>
      </c>
      <c r="O63" s="56">
        <f>IF(NOT((COUNTA($B63:$D63)+COUNTA($G63:$L63)+COUNTA($Q63))&gt;0),"",IF(ISNUMBER($G63),IF(AND(ISNUMBER($AN63),$G63&gt;$AN63),"Cumplida con "&amp;($G63-$AN63)&amp;IF($G63-$AN63=1," día"," días")&amp;" de retraso","Cumplida"),IF(N($M63)&gt;=1,"Cumplida",IF(NOT(ISNUMBER($AN63)),"Sin fecha límite",IF($AN63&lt;FechaRef,"Vencida hace "&amp;(FechaRef-$AN63)&amp;IF(FechaRef-$AN63=1," día"," días"),IF($AN63=FechaRef,"Vence hoy",IF($AN63-FechaRef&lt;=DiasAlerta,"Vence en "&amp;($AN63-FechaRef)&amp;IF($AN63-FechaRef=1," día"," días"),"En plazo")))))))</f>
        <v/>
      </c>
      <c r="P63" s="62" t="n"/>
      <c r="Q63" s="58" t="n"/>
      <c r="R63" s="63">
        <f>IF(NOT((COUNTA($B63:$D63)+COUNTA($G63:$L63)+COUNTA($Q63))&gt;0),"",IF((IF($C63="","Falta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",""))="","✔ OK","⚠ "&amp;LEFT(IF($C63="","Falta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",""),LEN(IF($C63="","Falta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",""))-3)))</f>
        <v/>
      </c>
      <c r="S63" s="64">
        <f>IF(NOT((COUNTA($B63:$D63)+COUNTA($G63:$L63)+COUNTA($Q63))&gt;0),"",IF(AND($V63="Sub",N($U63)&gt;0),IF(ISNUMBER(INDEX($AM$5:$AM$1000,$U63-4)),DATE(YEAR(INDEX($AM$5:$AM$1000,$U63-4)),MONTH(INDEX($AM$5:$AM$1000,$U63-4)),1),IF(ISNUMBER(INDEX($AN$5:$AN$1000,$U63-4)),DATE(YEAR(INDEX($AN$5:$AN$1000,$U63-4)),MONTH(INDEX($AN$5:$AN$1000,$U63-4)),1),MesCiclo)),IF(ISNUMBER($AM63),DATE(YEAR($AM63),MONTH($AM63),1),IF(ISNUMBER($AN63),DATE(YEAR($AN63),MONTH($AN63),1),MesCiclo))))</f>
        <v/>
      </c>
      <c r="T63" s="62">
        <f>IF(OR($S63="",$S63&lt;&gt;MesCiclo),"",COUNTIF($S$5:$S63,MesCiclo))</f>
        <v/>
      </c>
      <c r="U63" s="62">
        <f>IF($V63="","",IF($V63="Macro",ROW(),IFERROR(LOOKUP(2,1/($V$5:$V63="Macro"),ROW($V$5:$V63)),0)))</f>
        <v/>
      </c>
      <c r="V63" s="62">
        <f>IF(NOT((COUNTA($B63:$D63)+COUNTA($G63:$L63)+COUNTA($Q63))&gt;0),"",IF($B63="Subactividad","Sub","Macro"))</f>
        <v/>
      </c>
      <c r="W63" s="62">
        <f>IF($V63="Macro",COUNTIFS($U$5:$U$1000,ROW(),$V$5:$V$1000,"Sub"),"")</f>
        <v/>
      </c>
      <c r="X63" s="62">
        <f>IF($V63="","",IF(ISNUMBER($G63),1,IFERROR(LOOKUP(2,1/($I63:$L63&lt;&gt;""),$I63:$L63),0)))</f>
        <v/>
      </c>
      <c r="Y63" s="62">
        <f>IF($V63="","",IF(AND(ISNUMBER($G63),$G63&lt;=IF($S63=MesCiclo,InicioCiclo,$S63+MOD(2-WEEKDAY($S63),7))+6),1,IF(ISNUMBER($I63),$I63,0)))</f>
        <v/>
      </c>
      <c r="Z63" s="62">
        <f>IF($V63="","",IF(AND(ISNUMBER($G63),$G63&lt;=IF($S63=MesCiclo,InicioCiclo,$S63+MOD(2-WEEKDAY($S63),7))+13),1,IF(ISNUMBER($J63),$J63,$Y63)))</f>
        <v/>
      </c>
      <c r="AA63" s="62">
        <f>IF($V63="","",IF(AND(ISNUMBER($G63),$G63&lt;=IF($S63=MesCiclo,InicioCiclo,$S63+MOD(2-WEEKDAY($S63),7))+20),1,IF(ISNUMBER($K63),$K63,$Z63)))</f>
        <v/>
      </c>
      <c r="AB63" s="62">
        <f>IF($V63="","",IF(AND(ISNUMBER($G63),$G63&lt;=IF($S63=MesCiclo,InicioCiclo,$S63+MOD(2-WEEKDAY($S63),7))+27),1,IF(ISNUMBER($L63),$L63,$AA63)))</f>
        <v/>
      </c>
      <c r="AC63" s="62">
        <f>IF($V63="","",IF(AND(ISNUMBER($G63),$G63&lt;=IF($S63=MesCiclo,InicioCiclo,$S63+MOD(2-WEEKDAY($S63),7))+6),1,IF(N($W63)&gt;0,AVERAGEIFS($Y$5:$Y$1000,$U$5:$U$1000,ROW(),$V$5:$V$1000,"Sub"),$Y63)))</f>
        <v/>
      </c>
      <c r="AD63" s="62">
        <f>IF($V63="","",IF(AND(ISNUMBER($G63),$G63&lt;=IF($S63=MesCiclo,InicioCiclo,$S63+MOD(2-WEEKDAY($S63),7))+13),1,IF(N($W63)&gt;0,AVERAGEIFS($Z$5:$Z$1000,$U$5:$U$1000,ROW(),$V$5:$V$1000,"Sub"),$Z63)))</f>
        <v/>
      </c>
      <c r="AE63" s="62">
        <f>IF($V63="","",IF(AND(ISNUMBER($G63),$G63&lt;=IF($S63=MesCiclo,InicioCiclo,$S63+MOD(2-WEEKDAY($S63),7))+20),1,IF(N($W63)&gt;0,AVERAGEIFS($AA$5:$AA$1000,$U$5:$U$1000,ROW(),$V$5:$V$1000,"Sub"),$AA63)))</f>
        <v/>
      </c>
      <c r="AF63" s="62">
        <f>IF($V63="","",IF(AND(ISNUMBER($G63),$G63&lt;=IF($S63=MesCiclo,InicioCiclo,$S63+MOD(2-WEEKDAY($S63),7))+27),1,IF(N($W63)&gt;0,AVERAGEIFS($AB$5:$AB$1000,$U$5:$U$1000,ROW(),$V$5:$V$1000,"Sub"),$AB63)))</f>
        <v/>
      </c>
      <c r="AG63" s="62">
        <f>IF($V63&lt;&gt;"Macro","",IF(COUNTIFS($S$5:$S$1000,$S63,$V$5:$V$1000,"Macro",$H$5:$H$1000,"&gt;0")=0,1/COUNTIFS($S$5:$S$1000,$S63,$V$5:$V$1000,"Macro"),IF(AND(ISNUMBER($H63),N($H63)&gt;0),$H63,SUMIFS($H$5:$H$1000,$S$5:$S$1000,$S63,$V$5:$V$1000,"Macro")/COUNTIFS($S$5:$S$1000,$S63,$V$5:$V$1000,"Macro",$H$5:$H$1000,"&gt;0"))/(COUNTIFS($S$5:$S$1000,$S63,$V$5:$V$1000,"Macro")*SUMIFS($H$5:$H$1000,$S$5:$S$1000,$S63,$V$5:$V$1000,"Macro")/COUNTIFS($S$5:$S$1000,$S63,$V$5:$V$1000,"Macro",$H$5:$H$1000,"&gt;0"))))</f>
        <v/>
      </c>
      <c r="AH63" s="62" t="n"/>
      <c r="AI63" s="62" t="n"/>
      <c r="AJ63" s="62" t="n"/>
      <c r="AK63" s="62" t="n"/>
      <c r="AL63" s="62">
        <f>IF(LEFT($C63,11)="[Jefatura] ",IFERROR(MATCH("Riesgo Operacional|"&amp;MID($C63,12,500),rDname_ADM,0),0),"")</f>
        <v/>
      </c>
      <c r="AM63" s="62">
        <f>IF(N($AL63)&gt;0,INDEX(rIni_ADM,$AL63),IF(ISNUMBER($E63),$E63,""))</f>
        <v/>
      </c>
      <c r="AN63" s="62">
        <f>IF(N($AL63)&gt;0,INDEX(rLim_ADM,$AL63),IF(ISNUMBER($F63),$F63,""))</f>
        <v/>
      </c>
    </row>
    <row r="64">
      <c r="A64" s="56">
        <f>IF(NOT((COUNTA($B64:$D64)+COUNTA($G64:$L64)+COUNTA($Q64))&gt;0),"",IF($V64="Macro",COUNTIFS($V$5:$V64,"Macro",$S$5:$S64,$S64),IF(N($U64)=0,"?",COUNTIFS(INDEX($V$5:$V$1000,1):INDEX($V$5:$V$1000,$U64-4),"Macro",INDEX($S$5:$S$1000,1):INDEX($S$5:$S$1000,$U64-4),INDEX($S$5:$S$1000,$U64-4))&amp;"."&amp;COUNTIFS($U$5:$U64,$U64,$V$5:$V64,"Sub"))))</f>
        <v/>
      </c>
      <c r="B64" s="57" t="n"/>
      <c r="C64" s="58" t="n"/>
      <c r="D64" s="58" t="n"/>
      <c r="E64" s="59">
        <f>IF(N($AL64)&gt;0,INDEX(rIni_ADM,$AL64),"")</f>
        <v/>
      </c>
      <c r="F64" s="59">
        <f>IF(N($AL64)&gt;0,INDEX(rLim_ADM,$AL64),"")</f>
        <v/>
      </c>
      <c r="G64" s="59" t="n"/>
      <c r="H64" s="60" t="n"/>
      <c r="I64" s="60" t="n"/>
      <c r="J64" s="60" t="n"/>
      <c r="K64" s="60" t="n"/>
      <c r="L64" s="60" t="n"/>
      <c r="M64" s="61">
        <f>IF(NOT((COUNTA($B64:$D64)+COUNTA($G64:$L64)+COUNTA($Q64))&gt;0),"",IF(ISNUMBER($G64),1,IF(N($W64)&gt;0,AVERAGEIFS($X$5:$X$1000,$U$5:$U$1000,ROW(),$V$5:$V$1000,"Sub"),$X64)))</f>
        <v/>
      </c>
      <c r="N64" s="56">
        <f>IF($M64="","",IF($M64&gt;=1,"Completado",IF($M64&gt;0,"En curso","Pendiente")))</f>
        <v/>
      </c>
      <c r="O64" s="56">
        <f>IF(NOT((COUNTA($B64:$D64)+COUNTA($G64:$L64)+COUNTA($Q64))&gt;0),"",IF(ISNUMBER($G64),IF(AND(ISNUMBER($AN64),$G64&gt;$AN64),"Cumplida con "&amp;($G64-$AN64)&amp;IF($G64-$AN64=1," día"," días")&amp;" de retraso","Cumplida"),IF(N($M64)&gt;=1,"Cumplida",IF(NOT(ISNUMBER($AN64)),"Sin fecha límite",IF($AN64&lt;FechaRef,"Vencida hace "&amp;(FechaRef-$AN64)&amp;IF(FechaRef-$AN64=1," día"," días"),IF($AN64=FechaRef,"Vence hoy",IF($AN64-FechaRef&lt;=DiasAlerta,"Vence en "&amp;($AN64-FechaRef)&amp;IF($AN64-FechaRef=1," día"," días"),"En plazo")))))))</f>
        <v/>
      </c>
      <c r="P64" s="62" t="n"/>
      <c r="Q64" s="58" t="n"/>
      <c r="R64" s="63">
        <f>IF(NOT((COUNTA($B64:$D64)+COUNTA($G64:$L64)+COUNTA($Q64))&gt;0),"",IF((IF($C64="","Falta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",""))="","✔ OK","⚠ "&amp;LEFT(IF($C64="","Falta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",""),LEN(IF($C64="","Falta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",""))-3)))</f>
        <v/>
      </c>
      <c r="S64" s="64">
        <f>IF(NOT((COUNTA($B64:$D64)+COUNTA($G64:$L64)+COUNTA($Q64))&gt;0),"",IF(AND($V64="Sub",N($U64)&gt;0),IF(ISNUMBER(INDEX($AM$5:$AM$1000,$U64-4)),DATE(YEAR(INDEX($AM$5:$AM$1000,$U64-4)),MONTH(INDEX($AM$5:$AM$1000,$U64-4)),1),IF(ISNUMBER(INDEX($AN$5:$AN$1000,$U64-4)),DATE(YEAR(INDEX($AN$5:$AN$1000,$U64-4)),MONTH(INDEX($AN$5:$AN$1000,$U64-4)),1),MesCiclo)),IF(ISNUMBER($AM64),DATE(YEAR($AM64),MONTH($AM64),1),IF(ISNUMBER($AN64),DATE(YEAR($AN64),MONTH($AN64),1),MesCiclo))))</f>
        <v/>
      </c>
      <c r="T64" s="62">
        <f>IF(OR($S64="",$S64&lt;&gt;MesCiclo),"",COUNTIF($S$5:$S64,MesCiclo))</f>
        <v/>
      </c>
      <c r="U64" s="62">
        <f>IF($V64="","",IF($V64="Macro",ROW(),IFERROR(LOOKUP(2,1/($V$5:$V64="Macro"),ROW($V$5:$V64)),0)))</f>
        <v/>
      </c>
      <c r="V64" s="62">
        <f>IF(NOT((COUNTA($B64:$D64)+COUNTA($G64:$L64)+COUNTA($Q64))&gt;0),"",IF($B64="Subactividad","Sub","Macro"))</f>
        <v/>
      </c>
      <c r="W64" s="62">
        <f>IF($V64="Macro",COUNTIFS($U$5:$U$1000,ROW(),$V$5:$V$1000,"Sub"),"")</f>
        <v/>
      </c>
      <c r="X64" s="62">
        <f>IF($V64="","",IF(ISNUMBER($G64),1,IFERROR(LOOKUP(2,1/($I64:$L64&lt;&gt;""),$I64:$L64),0)))</f>
        <v/>
      </c>
      <c r="Y64" s="62">
        <f>IF($V64="","",IF(AND(ISNUMBER($G64),$G64&lt;=IF($S64=MesCiclo,InicioCiclo,$S64+MOD(2-WEEKDAY($S64),7))+6),1,IF(ISNUMBER($I64),$I64,0)))</f>
        <v/>
      </c>
      <c r="Z64" s="62">
        <f>IF($V64="","",IF(AND(ISNUMBER($G64),$G64&lt;=IF($S64=MesCiclo,InicioCiclo,$S64+MOD(2-WEEKDAY($S64),7))+13),1,IF(ISNUMBER($J64),$J64,$Y64)))</f>
        <v/>
      </c>
      <c r="AA64" s="62">
        <f>IF($V64="","",IF(AND(ISNUMBER($G64),$G64&lt;=IF($S64=MesCiclo,InicioCiclo,$S64+MOD(2-WEEKDAY($S64),7))+20),1,IF(ISNUMBER($K64),$K64,$Z64)))</f>
        <v/>
      </c>
      <c r="AB64" s="62">
        <f>IF($V64="","",IF(AND(ISNUMBER($G64),$G64&lt;=IF($S64=MesCiclo,InicioCiclo,$S64+MOD(2-WEEKDAY($S64),7))+27),1,IF(ISNUMBER($L64),$L64,$AA64)))</f>
        <v/>
      </c>
      <c r="AC64" s="62">
        <f>IF($V64="","",IF(AND(ISNUMBER($G64),$G64&lt;=IF($S64=MesCiclo,InicioCiclo,$S64+MOD(2-WEEKDAY($S64),7))+6),1,IF(N($W64)&gt;0,AVERAGEIFS($Y$5:$Y$1000,$U$5:$U$1000,ROW(),$V$5:$V$1000,"Sub"),$Y64)))</f>
        <v/>
      </c>
      <c r="AD64" s="62">
        <f>IF($V64="","",IF(AND(ISNUMBER($G64),$G64&lt;=IF($S64=MesCiclo,InicioCiclo,$S64+MOD(2-WEEKDAY($S64),7))+13),1,IF(N($W64)&gt;0,AVERAGEIFS($Z$5:$Z$1000,$U$5:$U$1000,ROW(),$V$5:$V$1000,"Sub"),$Z64)))</f>
        <v/>
      </c>
      <c r="AE64" s="62">
        <f>IF($V64="","",IF(AND(ISNUMBER($G64),$G64&lt;=IF($S64=MesCiclo,InicioCiclo,$S64+MOD(2-WEEKDAY($S64),7))+20),1,IF(N($W64)&gt;0,AVERAGEIFS($AA$5:$AA$1000,$U$5:$U$1000,ROW(),$V$5:$V$1000,"Sub"),$AA64)))</f>
        <v/>
      </c>
      <c r="AF64" s="62">
        <f>IF($V64="","",IF(AND(ISNUMBER($G64),$G64&lt;=IF($S64=MesCiclo,InicioCiclo,$S64+MOD(2-WEEKDAY($S64),7))+27),1,IF(N($W64)&gt;0,AVERAGEIFS($AB$5:$AB$1000,$U$5:$U$1000,ROW(),$V$5:$V$1000,"Sub"),$AB64)))</f>
        <v/>
      </c>
      <c r="AG64" s="62">
        <f>IF($V64&lt;&gt;"Macro","",IF(COUNTIFS($S$5:$S$1000,$S64,$V$5:$V$1000,"Macro",$H$5:$H$1000,"&gt;0")=0,1/COUNTIFS($S$5:$S$1000,$S64,$V$5:$V$1000,"Macro"),IF(AND(ISNUMBER($H64),N($H64)&gt;0),$H64,SUMIFS($H$5:$H$1000,$S$5:$S$1000,$S64,$V$5:$V$1000,"Macro")/COUNTIFS($S$5:$S$1000,$S64,$V$5:$V$1000,"Macro",$H$5:$H$1000,"&gt;0"))/(COUNTIFS($S$5:$S$1000,$S64,$V$5:$V$1000,"Macro")*SUMIFS($H$5:$H$1000,$S$5:$S$1000,$S64,$V$5:$V$1000,"Macro")/COUNTIFS($S$5:$S$1000,$S64,$V$5:$V$1000,"Macro",$H$5:$H$1000,"&gt;0"))))</f>
        <v/>
      </c>
      <c r="AH64" s="62" t="n"/>
      <c r="AI64" s="62" t="n"/>
      <c r="AJ64" s="62" t="n"/>
      <c r="AK64" s="62" t="n"/>
      <c r="AL64" s="62">
        <f>IF(LEFT($C64,11)="[Jefatura] ",IFERROR(MATCH("Riesgo Operacional|"&amp;MID($C64,12,500),rDname_ADM,0),0),"")</f>
        <v/>
      </c>
      <c r="AM64" s="62">
        <f>IF(N($AL64)&gt;0,INDEX(rIni_ADM,$AL64),IF(ISNUMBER($E64),$E64,""))</f>
        <v/>
      </c>
      <c r="AN64" s="62">
        <f>IF(N($AL64)&gt;0,INDEX(rLim_ADM,$AL64),IF(ISNUMBER($F64),$F64,""))</f>
        <v/>
      </c>
    </row>
    <row r="65">
      <c r="A65" s="56">
        <f>IF(NOT((COUNTA($B65:$D65)+COUNTA($G65:$L65)+COUNTA($Q65))&gt;0),"",IF($V65="Macro",COUNTIFS($V$5:$V65,"Macro",$S$5:$S65,$S65),IF(N($U65)=0,"?",COUNTIFS(INDEX($V$5:$V$1000,1):INDEX($V$5:$V$1000,$U65-4),"Macro",INDEX($S$5:$S$1000,1):INDEX($S$5:$S$1000,$U65-4),INDEX($S$5:$S$1000,$U65-4))&amp;"."&amp;COUNTIFS($U$5:$U65,$U65,$V$5:$V65,"Sub"))))</f>
        <v/>
      </c>
      <c r="B65" s="57" t="n"/>
      <c r="C65" s="58" t="n"/>
      <c r="D65" s="58" t="n"/>
      <c r="E65" s="59">
        <f>IF(N($AL65)&gt;0,INDEX(rIni_ADM,$AL65),"")</f>
        <v/>
      </c>
      <c r="F65" s="59">
        <f>IF(N($AL65)&gt;0,INDEX(rLim_ADM,$AL65),"")</f>
        <v/>
      </c>
      <c r="G65" s="59" t="n"/>
      <c r="H65" s="60" t="n"/>
      <c r="I65" s="60" t="n"/>
      <c r="J65" s="60" t="n"/>
      <c r="K65" s="60" t="n"/>
      <c r="L65" s="60" t="n"/>
      <c r="M65" s="61">
        <f>IF(NOT((COUNTA($B65:$D65)+COUNTA($G65:$L65)+COUNTA($Q65))&gt;0),"",IF(ISNUMBER($G65),1,IF(N($W65)&gt;0,AVERAGEIFS($X$5:$X$1000,$U$5:$U$1000,ROW(),$V$5:$V$1000,"Sub"),$X65)))</f>
        <v/>
      </c>
      <c r="N65" s="56">
        <f>IF($M65="","",IF($M65&gt;=1,"Completado",IF($M65&gt;0,"En curso","Pendiente")))</f>
        <v/>
      </c>
      <c r="O65" s="56">
        <f>IF(NOT((COUNTA($B65:$D65)+COUNTA($G65:$L65)+COUNTA($Q65))&gt;0),"",IF(ISNUMBER($G65),IF(AND(ISNUMBER($AN65),$G65&gt;$AN65),"Cumplida con "&amp;($G65-$AN65)&amp;IF($G65-$AN65=1," día"," días")&amp;" de retraso","Cumplida"),IF(N($M65)&gt;=1,"Cumplida",IF(NOT(ISNUMBER($AN65)),"Sin fecha límite",IF($AN65&lt;FechaRef,"Vencida hace "&amp;(FechaRef-$AN65)&amp;IF(FechaRef-$AN65=1," día"," días"),IF($AN65=FechaRef,"Vence hoy",IF($AN65-FechaRef&lt;=DiasAlerta,"Vence en "&amp;($AN65-FechaRef)&amp;IF($AN65-FechaRef=1," día"," días"),"En plazo")))))))</f>
        <v/>
      </c>
      <c r="P65" s="62" t="n"/>
      <c r="Q65" s="58" t="n"/>
      <c r="R65" s="63">
        <f>IF(NOT((COUNTA($B65:$D65)+COUNTA($G65:$L65)+COUNTA($Q65))&gt;0),"",IF((IF($C65="","Falta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",""))="","✔ OK","⚠ "&amp;LEFT(IF($C65="","Falta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",""),LEN(IF($C65="","Falta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",""))-3)))</f>
        <v/>
      </c>
      <c r="S65" s="64">
        <f>IF(NOT((COUNTA($B65:$D65)+COUNTA($G65:$L65)+COUNTA($Q65))&gt;0),"",IF(AND($V65="Sub",N($U65)&gt;0),IF(ISNUMBER(INDEX($AM$5:$AM$1000,$U65-4)),DATE(YEAR(INDEX($AM$5:$AM$1000,$U65-4)),MONTH(INDEX($AM$5:$AM$1000,$U65-4)),1),IF(ISNUMBER(INDEX($AN$5:$AN$1000,$U65-4)),DATE(YEAR(INDEX($AN$5:$AN$1000,$U65-4)),MONTH(INDEX($AN$5:$AN$1000,$U65-4)),1),MesCiclo)),IF(ISNUMBER($AM65),DATE(YEAR($AM65),MONTH($AM65),1),IF(ISNUMBER($AN65),DATE(YEAR($AN65),MONTH($AN65),1),MesCiclo))))</f>
        <v/>
      </c>
      <c r="T65" s="62">
        <f>IF(OR($S65="",$S65&lt;&gt;MesCiclo),"",COUNTIF($S$5:$S65,MesCiclo))</f>
        <v/>
      </c>
      <c r="U65" s="62">
        <f>IF($V65="","",IF($V65="Macro",ROW(),IFERROR(LOOKUP(2,1/($V$5:$V65="Macro"),ROW($V$5:$V65)),0)))</f>
        <v/>
      </c>
      <c r="V65" s="62">
        <f>IF(NOT((COUNTA($B65:$D65)+COUNTA($G65:$L65)+COUNTA($Q65))&gt;0),"",IF($B65="Subactividad","Sub","Macro"))</f>
        <v/>
      </c>
      <c r="W65" s="62">
        <f>IF($V65="Macro",COUNTIFS($U$5:$U$1000,ROW(),$V$5:$V$1000,"Sub"),"")</f>
        <v/>
      </c>
      <c r="X65" s="62">
        <f>IF($V65="","",IF(ISNUMBER($G65),1,IFERROR(LOOKUP(2,1/($I65:$L65&lt;&gt;""),$I65:$L65),0)))</f>
        <v/>
      </c>
      <c r="Y65" s="62">
        <f>IF($V65="","",IF(AND(ISNUMBER($G65),$G65&lt;=IF($S65=MesCiclo,InicioCiclo,$S65+MOD(2-WEEKDAY($S65),7))+6),1,IF(ISNUMBER($I65),$I65,0)))</f>
        <v/>
      </c>
      <c r="Z65" s="62">
        <f>IF($V65="","",IF(AND(ISNUMBER($G65),$G65&lt;=IF($S65=MesCiclo,InicioCiclo,$S65+MOD(2-WEEKDAY($S65),7))+13),1,IF(ISNUMBER($J65),$J65,$Y65)))</f>
        <v/>
      </c>
      <c r="AA65" s="62">
        <f>IF($V65="","",IF(AND(ISNUMBER($G65),$G65&lt;=IF($S65=MesCiclo,InicioCiclo,$S65+MOD(2-WEEKDAY($S65),7))+20),1,IF(ISNUMBER($K65),$K65,$Z65)))</f>
        <v/>
      </c>
      <c r="AB65" s="62">
        <f>IF($V65="","",IF(AND(ISNUMBER($G65),$G65&lt;=IF($S65=MesCiclo,InicioCiclo,$S65+MOD(2-WEEKDAY($S65),7))+27),1,IF(ISNUMBER($L65),$L65,$AA65)))</f>
        <v/>
      </c>
      <c r="AC65" s="62">
        <f>IF($V65="","",IF(AND(ISNUMBER($G65),$G65&lt;=IF($S65=MesCiclo,InicioCiclo,$S65+MOD(2-WEEKDAY($S65),7))+6),1,IF(N($W65)&gt;0,AVERAGEIFS($Y$5:$Y$1000,$U$5:$U$1000,ROW(),$V$5:$V$1000,"Sub"),$Y65)))</f>
        <v/>
      </c>
      <c r="AD65" s="62">
        <f>IF($V65="","",IF(AND(ISNUMBER($G65),$G65&lt;=IF($S65=MesCiclo,InicioCiclo,$S65+MOD(2-WEEKDAY($S65),7))+13),1,IF(N($W65)&gt;0,AVERAGEIFS($Z$5:$Z$1000,$U$5:$U$1000,ROW(),$V$5:$V$1000,"Sub"),$Z65)))</f>
        <v/>
      </c>
      <c r="AE65" s="62">
        <f>IF($V65="","",IF(AND(ISNUMBER($G65),$G65&lt;=IF($S65=MesCiclo,InicioCiclo,$S65+MOD(2-WEEKDAY($S65),7))+20),1,IF(N($W65)&gt;0,AVERAGEIFS($AA$5:$AA$1000,$U$5:$U$1000,ROW(),$V$5:$V$1000,"Sub"),$AA65)))</f>
        <v/>
      </c>
      <c r="AF65" s="62">
        <f>IF($V65="","",IF(AND(ISNUMBER($G65),$G65&lt;=IF($S65=MesCiclo,InicioCiclo,$S65+MOD(2-WEEKDAY($S65),7))+27),1,IF(N($W65)&gt;0,AVERAGEIFS($AB$5:$AB$1000,$U$5:$U$1000,ROW(),$V$5:$V$1000,"Sub"),$AB65)))</f>
        <v/>
      </c>
      <c r="AG65" s="62">
        <f>IF($V65&lt;&gt;"Macro","",IF(COUNTIFS($S$5:$S$1000,$S65,$V$5:$V$1000,"Macro",$H$5:$H$1000,"&gt;0")=0,1/COUNTIFS($S$5:$S$1000,$S65,$V$5:$V$1000,"Macro"),IF(AND(ISNUMBER($H65),N($H65)&gt;0),$H65,SUMIFS($H$5:$H$1000,$S$5:$S$1000,$S65,$V$5:$V$1000,"Macro")/COUNTIFS($S$5:$S$1000,$S65,$V$5:$V$1000,"Macro",$H$5:$H$1000,"&gt;0"))/(COUNTIFS($S$5:$S$1000,$S65,$V$5:$V$1000,"Macro")*SUMIFS($H$5:$H$1000,$S$5:$S$1000,$S65,$V$5:$V$1000,"Macro")/COUNTIFS($S$5:$S$1000,$S65,$V$5:$V$1000,"Macro",$H$5:$H$1000,"&gt;0"))))</f>
        <v/>
      </c>
      <c r="AH65" s="62" t="n"/>
      <c r="AI65" s="62" t="n"/>
      <c r="AJ65" s="62" t="n"/>
      <c r="AK65" s="62" t="n"/>
      <c r="AL65" s="62">
        <f>IF(LEFT($C65,11)="[Jefatura] ",IFERROR(MATCH("Riesgo Operacional|"&amp;MID($C65,12,500),rDname_ADM,0),0),"")</f>
        <v/>
      </c>
      <c r="AM65" s="62">
        <f>IF(N($AL65)&gt;0,INDEX(rIni_ADM,$AL65),IF(ISNUMBER($E65),$E65,""))</f>
        <v/>
      </c>
      <c r="AN65" s="62">
        <f>IF(N($AL65)&gt;0,INDEX(rLim_ADM,$AL65),IF(ISNUMBER($F65),$F65,""))</f>
        <v/>
      </c>
    </row>
    <row r="66">
      <c r="A66" s="56">
        <f>IF(NOT((COUNTA($B66:$D66)+COUNTA($G66:$L66)+COUNTA($Q66))&gt;0),"",IF($V66="Macro",COUNTIFS($V$5:$V66,"Macro",$S$5:$S66,$S66),IF(N($U66)=0,"?",COUNTIFS(INDEX($V$5:$V$1000,1):INDEX($V$5:$V$1000,$U66-4),"Macro",INDEX($S$5:$S$1000,1):INDEX($S$5:$S$1000,$U66-4),INDEX($S$5:$S$1000,$U66-4))&amp;"."&amp;COUNTIFS($U$5:$U66,$U66,$V$5:$V66,"Sub"))))</f>
        <v/>
      </c>
      <c r="B66" s="57" t="n"/>
      <c r="C66" s="58" t="n"/>
      <c r="D66" s="58" t="n"/>
      <c r="E66" s="59">
        <f>IF(N($AL66)&gt;0,INDEX(rIni_ADM,$AL66),"")</f>
        <v/>
      </c>
      <c r="F66" s="59">
        <f>IF(N($AL66)&gt;0,INDEX(rLim_ADM,$AL66),"")</f>
        <v/>
      </c>
      <c r="G66" s="59" t="n"/>
      <c r="H66" s="60" t="n"/>
      <c r="I66" s="60" t="n"/>
      <c r="J66" s="60" t="n"/>
      <c r="K66" s="60" t="n"/>
      <c r="L66" s="60" t="n"/>
      <c r="M66" s="61">
        <f>IF(NOT((COUNTA($B66:$D66)+COUNTA($G66:$L66)+COUNTA($Q66))&gt;0),"",IF(ISNUMBER($G66),1,IF(N($W66)&gt;0,AVERAGEIFS($X$5:$X$1000,$U$5:$U$1000,ROW(),$V$5:$V$1000,"Sub"),$X66)))</f>
        <v/>
      </c>
      <c r="N66" s="56">
        <f>IF($M66="","",IF($M66&gt;=1,"Completado",IF($M66&gt;0,"En curso","Pendiente")))</f>
        <v/>
      </c>
      <c r="O66" s="56">
        <f>IF(NOT((COUNTA($B66:$D66)+COUNTA($G66:$L66)+COUNTA($Q66))&gt;0),"",IF(ISNUMBER($G66),IF(AND(ISNUMBER($AN66),$G66&gt;$AN66),"Cumplida con "&amp;($G66-$AN66)&amp;IF($G66-$AN66=1," día"," días")&amp;" de retraso","Cumplida"),IF(N($M66)&gt;=1,"Cumplida",IF(NOT(ISNUMBER($AN66)),"Sin fecha límite",IF($AN66&lt;FechaRef,"Vencida hace "&amp;(FechaRef-$AN66)&amp;IF(FechaRef-$AN66=1," día"," días"),IF($AN66=FechaRef,"Vence hoy",IF($AN66-FechaRef&lt;=DiasAlerta,"Vence en "&amp;($AN66-FechaRef)&amp;IF($AN66-FechaRef=1," día"," días"),"En plazo")))))))</f>
        <v/>
      </c>
      <c r="P66" s="62" t="n"/>
      <c r="Q66" s="58" t="n"/>
      <c r="R66" s="63">
        <f>IF(NOT((COUNTA($B66:$D66)+COUNTA($G66:$L66)+COUNTA($Q66))&gt;0),"",IF((IF($C66="","Falta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",""))="","✔ OK","⚠ "&amp;LEFT(IF($C66="","Falta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",""),LEN(IF($C66="","Falta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",""))-3)))</f>
        <v/>
      </c>
      <c r="S66" s="64">
        <f>IF(NOT((COUNTA($B66:$D66)+COUNTA($G66:$L66)+COUNTA($Q66))&gt;0),"",IF(AND($V66="Sub",N($U66)&gt;0),IF(ISNUMBER(INDEX($AM$5:$AM$1000,$U66-4)),DATE(YEAR(INDEX($AM$5:$AM$1000,$U66-4)),MONTH(INDEX($AM$5:$AM$1000,$U66-4)),1),IF(ISNUMBER(INDEX($AN$5:$AN$1000,$U66-4)),DATE(YEAR(INDEX($AN$5:$AN$1000,$U66-4)),MONTH(INDEX($AN$5:$AN$1000,$U66-4)),1),MesCiclo)),IF(ISNUMBER($AM66),DATE(YEAR($AM66),MONTH($AM66),1),IF(ISNUMBER($AN66),DATE(YEAR($AN66),MONTH($AN66),1),MesCiclo))))</f>
        <v/>
      </c>
      <c r="T66" s="62">
        <f>IF(OR($S66="",$S66&lt;&gt;MesCiclo),"",COUNTIF($S$5:$S66,MesCiclo))</f>
        <v/>
      </c>
      <c r="U66" s="62">
        <f>IF($V66="","",IF($V66="Macro",ROW(),IFERROR(LOOKUP(2,1/($V$5:$V66="Macro"),ROW($V$5:$V66)),0)))</f>
        <v/>
      </c>
      <c r="V66" s="62">
        <f>IF(NOT((COUNTA($B66:$D66)+COUNTA($G66:$L66)+COUNTA($Q66))&gt;0),"",IF($B66="Subactividad","Sub","Macro"))</f>
        <v/>
      </c>
      <c r="W66" s="62">
        <f>IF($V66="Macro",COUNTIFS($U$5:$U$1000,ROW(),$V$5:$V$1000,"Sub"),"")</f>
        <v/>
      </c>
      <c r="X66" s="62">
        <f>IF($V66="","",IF(ISNUMBER($G66),1,IFERROR(LOOKUP(2,1/($I66:$L66&lt;&gt;""),$I66:$L66),0)))</f>
        <v/>
      </c>
      <c r="Y66" s="62">
        <f>IF($V66="","",IF(AND(ISNUMBER($G66),$G66&lt;=IF($S66=MesCiclo,InicioCiclo,$S66+MOD(2-WEEKDAY($S66),7))+6),1,IF(ISNUMBER($I66),$I66,0)))</f>
        <v/>
      </c>
      <c r="Z66" s="62">
        <f>IF($V66="","",IF(AND(ISNUMBER($G66),$G66&lt;=IF($S66=MesCiclo,InicioCiclo,$S66+MOD(2-WEEKDAY($S66),7))+13),1,IF(ISNUMBER($J66),$J66,$Y66)))</f>
        <v/>
      </c>
      <c r="AA66" s="62">
        <f>IF($V66="","",IF(AND(ISNUMBER($G66),$G66&lt;=IF($S66=MesCiclo,InicioCiclo,$S66+MOD(2-WEEKDAY($S66),7))+20),1,IF(ISNUMBER($K66),$K66,$Z66)))</f>
        <v/>
      </c>
      <c r="AB66" s="62">
        <f>IF($V66="","",IF(AND(ISNUMBER($G66),$G66&lt;=IF($S66=MesCiclo,InicioCiclo,$S66+MOD(2-WEEKDAY($S66),7))+27),1,IF(ISNUMBER($L66),$L66,$AA66)))</f>
        <v/>
      </c>
      <c r="AC66" s="62">
        <f>IF($V66="","",IF(AND(ISNUMBER($G66),$G66&lt;=IF($S66=MesCiclo,InicioCiclo,$S66+MOD(2-WEEKDAY($S66),7))+6),1,IF(N($W66)&gt;0,AVERAGEIFS($Y$5:$Y$1000,$U$5:$U$1000,ROW(),$V$5:$V$1000,"Sub"),$Y66)))</f>
        <v/>
      </c>
      <c r="AD66" s="62">
        <f>IF($V66="","",IF(AND(ISNUMBER($G66),$G66&lt;=IF($S66=MesCiclo,InicioCiclo,$S66+MOD(2-WEEKDAY($S66),7))+13),1,IF(N($W66)&gt;0,AVERAGEIFS($Z$5:$Z$1000,$U$5:$U$1000,ROW(),$V$5:$V$1000,"Sub"),$Z66)))</f>
        <v/>
      </c>
      <c r="AE66" s="62">
        <f>IF($V66="","",IF(AND(ISNUMBER($G66),$G66&lt;=IF($S66=MesCiclo,InicioCiclo,$S66+MOD(2-WEEKDAY($S66),7))+20),1,IF(N($W66)&gt;0,AVERAGEIFS($AA$5:$AA$1000,$U$5:$U$1000,ROW(),$V$5:$V$1000,"Sub"),$AA66)))</f>
        <v/>
      </c>
      <c r="AF66" s="62">
        <f>IF($V66="","",IF(AND(ISNUMBER($G66),$G66&lt;=IF($S66=MesCiclo,InicioCiclo,$S66+MOD(2-WEEKDAY($S66),7))+27),1,IF(N($W66)&gt;0,AVERAGEIFS($AB$5:$AB$1000,$U$5:$U$1000,ROW(),$V$5:$V$1000,"Sub"),$AB66)))</f>
        <v/>
      </c>
      <c r="AG66" s="62">
        <f>IF($V66&lt;&gt;"Macro","",IF(COUNTIFS($S$5:$S$1000,$S66,$V$5:$V$1000,"Macro",$H$5:$H$1000,"&gt;0")=0,1/COUNTIFS($S$5:$S$1000,$S66,$V$5:$V$1000,"Macro"),IF(AND(ISNUMBER($H66),N($H66)&gt;0),$H66,SUMIFS($H$5:$H$1000,$S$5:$S$1000,$S66,$V$5:$V$1000,"Macro")/COUNTIFS($S$5:$S$1000,$S66,$V$5:$V$1000,"Macro",$H$5:$H$1000,"&gt;0"))/(COUNTIFS($S$5:$S$1000,$S66,$V$5:$V$1000,"Macro")*SUMIFS($H$5:$H$1000,$S$5:$S$1000,$S66,$V$5:$V$1000,"Macro")/COUNTIFS($S$5:$S$1000,$S66,$V$5:$V$1000,"Macro",$H$5:$H$1000,"&gt;0"))))</f>
        <v/>
      </c>
      <c r="AH66" s="62" t="n"/>
      <c r="AI66" s="62" t="n"/>
      <c r="AJ66" s="62" t="n"/>
      <c r="AK66" s="62" t="n"/>
      <c r="AL66" s="62">
        <f>IF(LEFT($C66,11)="[Jefatura] ",IFERROR(MATCH("Riesgo Operacional|"&amp;MID($C66,12,500),rDname_ADM,0),0),"")</f>
        <v/>
      </c>
      <c r="AM66" s="62">
        <f>IF(N($AL66)&gt;0,INDEX(rIni_ADM,$AL66),IF(ISNUMBER($E66),$E66,""))</f>
        <v/>
      </c>
      <c r="AN66" s="62">
        <f>IF(N($AL66)&gt;0,INDEX(rLim_ADM,$AL66),IF(ISNUMBER($F66),$F66,""))</f>
        <v/>
      </c>
    </row>
    <row r="67">
      <c r="A67" s="56">
        <f>IF(NOT((COUNTA($B67:$D67)+COUNTA($G67:$L67)+COUNTA($Q67))&gt;0),"",IF($V67="Macro",COUNTIFS($V$5:$V67,"Macro",$S$5:$S67,$S67),IF(N($U67)=0,"?",COUNTIFS(INDEX($V$5:$V$1000,1):INDEX($V$5:$V$1000,$U67-4),"Macro",INDEX($S$5:$S$1000,1):INDEX($S$5:$S$1000,$U67-4),INDEX($S$5:$S$1000,$U67-4))&amp;"."&amp;COUNTIFS($U$5:$U67,$U67,$V$5:$V67,"Sub"))))</f>
        <v/>
      </c>
      <c r="B67" s="57" t="n"/>
      <c r="C67" s="58" t="n"/>
      <c r="D67" s="58" t="n"/>
      <c r="E67" s="59">
        <f>IF(N($AL67)&gt;0,INDEX(rIni_ADM,$AL67),"")</f>
        <v/>
      </c>
      <c r="F67" s="59">
        <f>IF(N($AL67)&gt;0,INDEX(rLim_ADM,$AL67),"")</f>
        <v/>
      </c>
      <c r="G67" s="59" t="n"/>
      <c r="H67" s="60" t="n"/>
      <c r="I67" s="60" t="n"/>
      <c r="J67" s="60" t="n"/>
      <c r="K67" s="60" t="n"/>
      <c r="L67" s="60" t="n"/>
      <c r="M67" s="61">
        <f>IF(NOT((COUNTA($B67:$D67)+COUNTA($G67:$L67)+COUNTA($Q67))&gt;0),"",IF(ISNUMBER($G67),1,IF(N($W67)&gt;0,AVERAGEIFS($X$5:$X$1000,$U$5:$U$1000,ROW(),$V$5:$V$1000,"Sub"),$X67)))</f>
        <v/>
      </c>
      <c r="N67" s="56">
        <f>IF($M67="","",IF($M67&gt;=1,"Completado",IF($M67&gt;0,"En curso","Pendiente")))</f>
        <v/>
      </c>
      <c r="O67" s="56">
        <f>IF(NOT((COUNTA($B67:$D67)+COUNTA($G67:$L67)+COUNTA($Q67))&gt;0),"",IF(ISNUMBER($G67),IF(AND(ISNUMBER($AN67),$G67&gt;$AN67),"Cumplida con "&amp;($G67-$AN67)&amp;IF($G67-$AN67=1," día"," días")&amp;" de retraso","Cumplida"),IF(N($M67)&gt;=1,"Cumplida",IF(NOT(ISNUMBER($AN67)),"Sin fecha límite",IF($AN67&lt;FechaRef,"Vencida hace "&amp;(FechaRef-$AN67)&amp;IF(FechaRef-$AN67=1," día"," días"),IF($AN67=FechaRef,"Vence hoy",IF($AN67-FechaRef&lt;=DiasAlerta,"Vence en "&amp;($AN67-FechaRef)&amp;IF($AN67-FechaRef=1," día"," días"),"En plazo")))))))</f>
        <v/>
      </c>
      <c r="P67" s="62" t="n"/>
      <c r="Q67" s="58" t="n"/>
      <c r="R67" s="63">
        <f>IF(NOT((COUNTA($B67:$D67)+COUNTA($G67:$L67)+COUNTA($Q67))&gt;0),"",IF((IF($C67="","Falta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",""))="","✔ OK","⚠ "&amp;LEFT(IF($C67="","Falta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",""),LEN(IF($C67="","Falta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",""))-3)))</f>
        <v/>
      </c>
      <c r="S67" s="64">
        <f>IF(NOT((COUNTA($B67:$D67)+COUNTA($G67:$L67)+COUNTA($Q67))&gt;0),"",IF(AND($V67="Sub",N($U67)&gt;0),IF(ISNUMBER(INDEX($AM$5:$AM$1000,$U67-4)),DATE(YEAR(INDEX($AM$5:$AM$1000,$U67-4)),MONTH(INDEX($AM$5:$AM$1000,$U67-4)),1),IF(ISNUMBER(INDEX($AN$5:$AN$1000,$U67-4)),DATE(YEAR(INDEX($AN$5:$AN$1000,$U67-4)),MONTH(INDEX($AN$5:$AN$1000,$U67-4)),1),MesCiclo)),IF(ISNUMBER($AM67),DATE(YEAR($AM67),MONTH($AM67),1),IF(ISNUMBER($AN67),DATE(YEAR($AN67),MONTH($AN67),1),MesCiclo))))</f>
        <v/>
      </c>
      <c r="T67" s="62">
        <f>IF(OR($S67="",$S67&lt;&gt;MesCiclo),"",COUNTIF($S$5:$S67,MesCiclo))</f>
        <v/>
      </c>
      <c r="U67" s="62">
        <f>IF($V67="","",IF($V67="Macro",ROW(),IFERROR(LOOKUP(2,1/($V$5:$V67="Macro"),ROW($V$5:$V67)),0)))</f>
        <v/>
      </c>
      <c r="V67" s="62">
        <f>IF(NOT((COUNTA($B67:$D67)+COUNTA($G67:$L67)+COUNTA($Q67))&gt;0),"",IF($B67="Subactividad","Sub","Macro"))</f>
        <v/>
      </c>
      <c r="W67" s="62">
        <f>IF($V67="Macro",COUNTIFS($U$5:$U$1000,ROW(),$V$5:$V$1000,"Sub"),"")</f>
        <v/>
      </c>
      <c r="X67" s="62">
        <f>IF($V67="","",IF(ISNUMBER($G67),1,IFERROR(LOOKUP(2,1/($I67:$L67&lt;&gt;""),$I67:$L67),0)))</f>
        <v/>
      </c>
      <c r="Y67" s="62">
        <f>IF($V67="","",IF(AND(ISNUMBER($G67),$G67&lt;=IF($S67=MesCiclo,InicioCiclo,$S67+MOD(2-WEEKDAY($S67),7))+6),1,IF(ISNUMBER($I67),$I67,0)))</f>
        <v/>
      </c>
      <c r="Z67" s="62">
        <f>IF($V67="","",IF(AND(ISNUMBER($G67),$G67&lt;=IF($S67=MesCiclo,InicioCiclo,$S67+MOD(2-WEEKDAY($S67),7))+13),1,IF(ISNUMBER($J67),$J67,$Y67)))</f>
        <v/>
      </c>
      <c r="AA67" s="62">
        <f>IF($V67="","",IF(AND(ISNUMBER($G67),$G67&lt;=IF($S67=MesCiclo,InicioCiclo,$S67+MOD(2-WEEKDAY($S67),7))+20),1,IF(ISNUMBER($K67),$K67,$Z67)))</f>
        <v/>
      </c>
      <c r="AB67" s="62">
        <f>IF($V67="","",IF(AND(ISNUMBER($G67),$G67&lt;=IF($S67=MesCiclo,InicioCiclo,$S67+MOD(2-WEEKDAY($S67),7))+27),1,IF(ISNUMBER($L67),$L67,$AA67)))</f>
        <v/>
      </c>
      <c r="AC67" s="62">
        <f>IF($V67="","",IF(AND(ISNUMBER($G67),$G67&lt;=IF($S67=MesCiclo,InicioCiclo,$S67+MOD(2-WEEKDAY($S67),7))+6),1,IF(N($W67)&gt;0,AVERAGEIFS($Y$5:$Y$1000,$U$5:$U$1000,ROW(),$V$5:$V$1000,"Sub"),$Y67)))</f>
        <v/>
      </c>
      <c r="AD67" s="62">
        <f>IF($V67="","",IF(AND(ISNUMBER($G67),$G67&lt;=IF($S67=MesCiclo,InicioCiclo,$S67+MOD(2-WEEKDAY($S67),7))+13),1,IF(N($W67)&gt;0,AVERAGEIFS($Z$5:$Z$1000,$U$5:$U$1000,ROW(),$V$5:$V$1000,"Sub"),$Z67)))</f>
        <v/>
      </c>
      <c r="AE67" s="62">
        <f>IF($V67="","",IF(AND(ISNUMBER($G67),$G67&lt;=IF($S67=MesCiclo,InicioCiclo,$S67+MOD(2-WEEKDAY($S67),7))+20),1,IF(N($W67)&gt;0,AVERAGEIFS($AA$5:$AA$1000,$U$5:$U$1000,ROW(),$V$5:$V$1000,"Sub"),$AA67)))</f>
        <v/>
      </c>
      <c r="AF67" s="62">
        <f>IF($V67="","",IF(AND(ISNUMBER($G67),$G67&lt;=IF($S67=MesCiclo,InicioCiclo,$S67+MOD(2-WEEKDAY($S67),7))+27),1,IF(N($W67)&gt;0,AVERAGEIFS($AB$5:$AB$1000,$U$5:$U$1000,ROW(),$V$5:$V$1000,"Sub"),$AB67)))</f>
        <v/>
      </c>
      <c r="AG67" s="62">
        <f>IF($V67&lt;&gt;"Macro","",IF(COUNTIFS($S$5:$S$1000,$S67,$V$5:$V$1000,"Macro",$H$5:$H$1000,"&gt;0")=0,1/COUNTIFS($S$5:$S$1000,$S67,$V$5:$V$1000,"Macro"),IF(AND(ISNUMBER($H67),N($H67)&gt;0),$H67,SUMIFS($H$5:$H$1000,$S$5:$S$1000,$S67,$V$5:$V$1000,"Macro")/COUNTIFS($S$5:$S$1000,$S67,$V$5:$V$1000,"Macro",$H$5:$H$1000,"&gt;0"))/(COUNTIFS($S$5:$S$1000,$S67,$V$5:$V$1000,"Macro")*SUMIFS($H$5:$H$1000,$S$5:$S$1000,$S67,$V$5:$V$1000,"Macro")/COUNTIFS($S$5:$S$1000,$S67,$V$5:$V$1000,"Macro",$H$5:$H$1000,"&gt;0"))))</f>
        <v/>
      </c>
      <c r="AH67" s="62" t="n"/>
      <c r="AI67" s="62" t="n"/>
      <c r="AJ67" s="62" t="n"/>
      <c r="AK67" s="62" t="n"/>
      <c r="AL67" s="62">
        <f>IF(LEFT($C67,11)="[Jefatura] ",IFERROR(MATCH("Riesgo Operacional|"&amp;MID($C67,12,500),rDname_ADM,0),0),"")</f>
        <v/>
      </c>
      <c r="AM67" s="62">
        <f>IF(N($AL67)&gt;0,INDEX(rIni_ADM,$AL67),IF(ISNUMBER($E67),$E67,""))</f>
        <v/>
      </c>
      <c r="AN67" s="62">
        <f>IF(N($AL67)&gt;0,INDEX(rLim_ADM,$AL67),IF(ISNUMBER($F67),$F67,""))</f>
        <v/>
      </c>
    </row>
    <row r="68">
      <c r="A68" s="56">
        <f>IF(NOT((COUNTA($B68:$D68)+COUNTA($G68:$L68)+COUNTA($Q68))&gt;0),"",IF($V68="Macro",COUNTIFS($V$5:$V68,"Macro",$S$5:$S68,$S68),IF(N($U68)=0,"?",COUNTIFS(INDEX($V$5:$V$1000,1):INDEX($V$5:$V$1000,$U68-4),"Macro",INDEX($S$5:$S$1000,1):INDEX($S$5:$S$1000,$U68-4),INDEX($S$5:$S$1000,$U68-4))&amp;"."&amp;COUNTIFS($U$5:$U68,$U68,$V$5:$V68,"Sub"))))</f>
        <v/>
      </c>
      <c r="B68" s="57" t="n"/>
      <c r="C68" s="58" t="n"/>
      <c r="D68" s="58" t="n"/>
      <c r="E68" s="59">
        <f>IF(N($AL68)&gt;0,INDEX(rIni_ADM,$AL68),"")</f>
        <v/>
      </c>
      <c r="F68" s="59">
        <f>IF(N($AL68)&gt;0,INDEX(rLim_ADM,$AL68),"")</f>
        <v/>
      </c>
      <c r="G68" s="59" t="n"/>
      <c r="H68" s="60" t="n"/>
      <c r="I68" s="60" t="n"/>
      <c r="J68" s="60" t="n"/>
      <c r="K68" s="60" t="n"/>
      <c r="L68" s="60" t="n"/>
      <c r="M68" s="61">
        <f>IF(NOT((COUNTA($B68:$D68)+COUNTA($G68:$L68)+COUNTA($Q68))&gt;0),"",IF(ISNUMBER($G68),1,IF(N($W68)&gt;0,AVERAGEIFS($X$5:$X$1000,$U$5:$U$1000,ROW(),$V$5:$V$1000,"Sub"),$X68)))</f>
        <v/>
      </c>
      <c r="N68" s="56">
        <f>IF($M68="","",IF($M68&gt;=1,"Completado",IF($M68&gt;0,"En curso","Pendiente")))</f>
        <v/>
      </c>
      <c r="O68" s="56">
        <f>IF(NOT((COUNTA($B68:$D68)+COUNTA($G68:$L68)+COUNTA($Q68))&gt;0),"",IF(ISNUMBER($G68),IF(AND(ISNUMBER($AN68),$G68&gt;$AN68),"Cumplida con "&amp;($G68-$AN68)&amp;IF($G68-$AN68=1," día"," días")&amp;" de retraso","Cumplida"),IF(N($M68)&gt;=1,"Cumplida",IF(NOT(ISNUMBER($AN68)),"Sin fecha límite",IF($AN68&lt;FechaRef,"Vencida hace "&amp;(FechaRef-$AN68)&amp;IF(FechaRef-$AN68=1," día"," días"),IF($AN68=FechaRef,"Vence hoy",IF($AN68-FechaRef&lt;=DiasAlerta,"Vence en "&amp;($AN68-FechaRef)&amp;IF($AN68-FechaRef=1," día"," días"),"En plazo")))))))</f>
        <v/>
      </c>
      <c r="P68" s="62" t="n"/>
      <c r="Q68" s="58" t="n"/>
      <c r="R68" s="63">
        <f>IF(NOT((COUNTA($B68:$D68)+COUNTA($G68:$L68)+COUNTA($Q68))&gt;0),"",IF((IF($C68="","Falta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",""))="","✔ OK","⚠ "&amp;LEFT(IF($C68="","Falta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",""),LEN(IF($C68="","Falta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",""))-3)))</f>
        <v/>
      </c>
      <c r="S68" s="64">
        <f>IF(NOT((COUNTA($B68:$D68)+COUNTA($G68:$L68)+COUNTA($Q68))&gt;0),"",IF(AND($V68="Sub",N($U68)&gt;0),IF(ISNUMBER(INDEX($AM$5:$AM$1000,$U68-4)),DATE(YEAR(INDEX($AM$5:$AM$1000,$U68-4)),MONTH(INDEX($AM$5:$AM$1000,$U68-4)),1),IF(ISNUMBER(INDEX($AN$5:$AN$1000,$U68-4)),DATE(YEAR(INDEX($AN$5:$AN$1000,$U68-4)),MONTH(INDEX($AN$5:$AN$1000,$U68-4)),1),MesCiclo)),IF(ISNUMBER($AM68),DATE(YEAR($AM68),MONTH($AM68),1),IF(ISNUMBER($AN68),DATE(YEAR($AN68),MONTH($AN68),1),MesCiclo))))</f>
        <v/>
      </c>
      <c r="T68" s="62">
        <f>IF(OR($S68="",$S68&lt;&gt;MesCiclo),"",COUNTIF($S$5:$S68,MesCiclo))</f>
        <v/>
      </c>
      <c r="U68" s="62">
        <f>IF($V68="","",IF($V68="Macro",ROW(),IFERROR(LOOKUP(2,1/($V$5:$V68="Macro"),ROW($V$5:$V68)),0)))</f>
        <v/>
      </c>
      <c r="V68" s="62">
        <f>IF(NOT((COUNTA($B68:$D68)+COUNTA($G68:$L68)+COUNTA($Q68))&gt;0),"",IF($B68="Subactividad","Sub","Macro"))</f>
        <v/>
      </c>
      <c r="W68" s="62">
        <f>IF($V68="Macro",COUNTIFS($U$5:$U$1000,ROW(),$V$5:$V$1000,"Sub"),"")</f>
        <v/>
      </c>
      <c r="X68" s="62">
        <f>IF($V68="","",IF(ISNUMBER($G68),1,IFERROR(LOOKUP(2,1/($I68:$L68&lt;&gt;""),$I68:$L68),0)))</f>
        <v/>
      </c>
      <c r="Y68" s="62">
        <f>IF($V68="","",IF(AND(ISNUMBER($G68),$G68&lt;=IF($S68=MesCiclo,InicioCiclo,$S68+MOD(2-WEEKDAY($S68),7))+6),1,IF(ISNUMBER($I68),$I68,0)))</f>
        <v/>
      </c>
      <c r="Z68" s="62">
        <f>IF($V68="","",IF(AND(ISNUMBER($G68),$G68&lt;=IF($S68=MesCiclo,InicioCiclo,$S68+MOD(2-WEEKDAY($S68),7))+13),1,IF(ISNUMBER($J68),$J68,$Y68)))</f>
        <v/>
      </c>
      <c r="AA68" s="62">
        <f>IF($V68="","",IF(AND(ISNUMBER($G68),$G68&lt;=IF($S68=MesCiclo,InicioCiclo,$S68+MOD(2-WEEKDAY($S68),7))+20),1,IF(ISNUMBER($K68),$K68,$Z68)))</f>
        <v/>
      </c>
      <c r="AB68" s="62">
        <f>IF($V68="","",IF(AND(ISNUMBER($G68),$G68&lt;=IF($S68=MesCiclo,InicioCiclo,$S68+MOD(2-WEEKDAY($S68),7))+27),1,IF(ISNUMBER($L68),$L68,$AA68)))</f>
        <v/>
      </c>
      <c r="AC68" s="62">
        <f>IF($V68="","",IF(AND(ISNUMBER($G68),$G68&lt;=IF($S68=MesCiclo,InicioCiclo,$S68+MOD(2-WEEKDAY($S68),7))+6),1,IF(N($W68)&gt;0,AVERAGEIFS($Y$5:$Y$1000,$U$5:$U$1000,ROW(),$V$5:$V$1000,"Sub"),$Y68)))</f>
        <v/>
      </c>
      <c r="AD68" s="62">
        <f>IF($V68="","",IF(AND(ISNUMBER($G68),$G68&lt;=IF($S68=MesCiclo,InicioCiclo,$S68+MOD(2-WEEKDAY($S68),7))+13),1,IF(N($W68)&gt;0,AVERAGEIFS($Z$5:$Z$1000,$U$5:$U$1000,ROW(),$V$5:$V$1000,"Sub"),$Z68)))</f>
        <v/>
      </c>
      <c r="AE68" s="62">
        <f>IF($V68="","",IF(AND(ISNUMBER($G68),$G68&lt;=IF($S68=MesCiclo,InicioCiclo,$S68+MOD(2-WEEKDAY($S68),7))+20),1,IF(N($W68)&gt;0,AVERAGEIFS($AA$5:$AA$1000,$U$5:$U$1000,ROW(),$V$5:$V$1000,"Sub"),$AA68)))</f>
        <v/>
      </c>
      <c r="AF68" s="62">
        <f>IF($V68="","",IF(AND(ISNUMBER($G68),$G68&lt;=IF($S68=MesCiclo,InicioCiclo,$S68+MOD(2-WEEKDAY($S68),7))+27),1,IF(N($W68)&gt;0,AVERAGEIFS($AB$5:$AB$1000,$U$5:$U$1000,ROW(),$V$5:$V$1000,"Sub"),$AB68)))</f>
        <v/>
      </c>
      <c r="AG68" s="62">
        <f>IF($V68&lt;&gt;"Macro","",IF(COUNTIFS($S$5:$S$1000,$S68,$V$5:$V$1000,"Macro",$H$5:$H$1000,"&gt;0")=0,1/COUNTIFS($S$5:$S$1000,$S68,$V$5:$V$1000,"Macro"),IF(AND(ISNUMBER($H68),N($H68)&gt;0),$H68,SUMIFS($H$5:$H$1000,$S$5:$S$1000,$S68,$V$5:$V$1000,"Macro")/COUNTIFS($S$5:$S$1000,$S68,$V$5:$V$1000,"Macro",$H$5:$H$1000,"&gt;0"))/(COUNTIFS($S$5:$S$1000,$S68,$V$5:$V$1000,"Macro")*SUMIFS($H$5:$H$1000,$S$5:$S$1000,$S68,$V$5:$V$1000,"Macro")/COUNTIFS($S$5:$S$1000,$S68,$V$5:$V$1000,"Macro",$H$5:$H$1000,"&gt;0"))))</f>
        <v/>
      </c>
      <c r="AH68" s="62" t="n"/>
      <c r="AI68" s="62" t="n"/>
      <c r="AJ68" s="62" t="n"/>
      <c r="AK68" s="62" t="n"/>
      <c r="AL68" s="62">
        <f>IF(LEFT($C68,11)="[Jefatura] ",IFERROR(MATCH("Riesgo Operacional|"&amp;MID($C68,12,500),rDname_ADM,0),0),"")</f>
        <v/>
      </c>
      <c r="AM68" s="62">
        <f>IF(N($AL68)&gt;0,INDEX(rIni_ADM,$AL68),IF(ISNUMBER($E68),$E68,""))</f>
        <v/>
      </c>
      <c r="AN68" s="62">
        <f>IF(N($AL68)&gt;0,INDEX(rLim_ADM,$AL68),IF(ISNUMBER($F68),$F68,""))</f>
        <v/>
      </c>
    </row>
    <row r="69">
      <c r="A69" s="56">
        <f>IF(NOT((COUNTA($B69:$D69)+COUNTA($G69:$L69)+COUNTA($Q69))&gt;0),"",IF($V69="Macro",COUNTIFS($V$5:$V69,"Macro",$S$5:$S69,$S69),IF(N($U69)=0,"?",COUNTIFS(INDEX($V$5:$V$1000,1):INDEX($V$5:$V$1000,$U69-4),"Macro",INDEX($S$5:$S$1000,1):INDEX($S$5:$S$1000,$U69-4),INDEX($S$5:$S$1000,$U69-4))&amp;"."&amp;COUNTIFS($U$5:$U69,$U69,$V$5:$V69,"Sub"))))</f>
        <v/>
      </c>
      <c r="B69" s="57" t="n"/>
      <c r="C69" s="58" t="n"/>
      <c r="D69" s="58" t="n"/>
      <c r="E69" s="59">
        <f>IF(N($AL69)&gt;0,INDEX(rIni_ADM,$AL69),"")</f>
        <v/>
      </c>
      <c r="F69" s="59">
        <f>IF(N($AL69)&gt;0,INDEX(rLim_ADM,$AL69),"")</f>
        <v/>
      </c>
      <c r="G69" s="59" t="n"/>
      <c r="H69" s="60" t="n"/>
      <c r="I69" s="60" t="n"/>
      <c r="J69" s="60" t="n"/>
      <c r="K69" s="60" t="n"/>
      <c r="L69" s="60" t="n"/>
      <c r="M69" s="61">
        <f>IF(NOT((COUNTA($B69:$D69)+COUNTA($G69:$L69)+COUNTA($Q69))&gt;0),"",IF(ISNUMBER($G69),1,IF(N($W69)&gt;0,AVERAGEIFS($X$5:$X$1000,$U$5:$U$1000,ROW(),$V$5:$V$1000,"Sub"),$X69)))</f>
        <v/>
      </c>
      <c r="N69" s="56">
        <f>IF($M69="","",IF($M69&gt;=1,"Completado",IF($M69&gt;0,"En curso","Pendiente")))</f>
        <v/>
      </c>
      <c r="O69" s="56">
        <f>IF(NOT((COUNTA($B69:$D69)+COUNTA($G69:$L69)+COUNTA($Q69))&gt;0),"",IF(ISNUMBER($G69),IF(AND(ISNUMBER($AN69),$G69&gt;$AN69),"Cumplida con "&amp;($G69-$AN69)&amp;IF($G69-$AN69=1," día"," días")&amp;" de retraso","Cumplida"),IF(N($M69)&gt;=1,"Cumplida",IF(NOT(ISNUMBER($AN69)),"Sin fecha límite",IF($AN69&lt;FechaRef,"Vencida hace "&amp;(FechaRef-$AN69)&amp;IF(FechaRef-$AN69=1," día"," días"),IF($AN69=FechaRef,"Vence hoy",IF($AN69-FechaRef&lt;=DiasAlerta,"Vence en "&amp;($AN69-FechaRef)&amp;IF($AN69-FechaRef=1," día"," días"),"En plazo")))))))</f>
        <v/>
      </c>
      <c r="P69" s="62" t="n"/>
      <c r="Q69" s="58" t="n"/>
      <c r="R69" s="63">
        <f>IF(NOT((COUNTA($B69:$D69)+COUNTA($G69:$L69)+COUNTA($Q69))&gt;0),"",IF((IF($C69="","Falta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",""))="","✔ OK","⚠ "&amp;LEFT(IF($C69="","Falta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",""),LEN(IF($C69="","Falta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",""))-3)))</f>
        <v/>
      </c>
      <c r="S69" s="64">
        <f>IF(NOT((COUNTA($B69:$D69)+COUNTA($G69:$L69)+COUNTA($Q69))&gt;0),"",IF(AND($V69="Sub",N($U69)&gt;0),IF(ISNUMBER(INDEX($AM$5:$AM$1000,$U69-4)),DATE(YEAR(INDEX($AM$5:$AM$1000,$U69-4)),MONTH(INDEX($AM$5:$AM$1000,$U69-4)),1),IF(ISNUMBER(INDEX($AN$5:$AN$1000,$U69-4)),DATE(YEAR(INDEX($AN$5:$AN$1000,$U69-4)),MONTH(INDEX($AN$5:$AN$1000,$U69-4)),1),MesCiclo)),IF(ISNUMBER($AM69),DATE(YEAR($AM69),MONTH($AM69),1),IF(ISNUMBER($AN69),DATE(YEAR($AN69),MONTH($AN69),1),MesCiclo))))</f>
        <v/>
      </c>
      <c r="T69" s="62">
        <f>IF(OR($S69="",$S69&lt;&gt;MesCiclo),"",COUNTIF($S$5:$S69,MesCiclo))</f>
        <v/>
      </c>
      <c r="U69" s="62">
        <f>IF($V69="","",IF($V69="Macro",ROW(),IFERROR(LOOKUP(2,1/($V$5:$V69="Macro"),ROW($V$5:$V69)),0)))</f>
        <v/>
      </c>
      <c r="V69" s="62">
        <f>IF(NOT((COUNTA($B69:$D69)+COUNTA($G69:$L69)+COUNTA($Q69))&gt;0),"",IF($B69="Subactividad","Sub","Macro"))</f>
        <v/>
      </c>
      <c r="W69" s="62">
        <f>IF($V69="Macro",COUNTIFS($U$5:$U$1000,ROW(),$V$5:$V$1000,"Sub"),"")</f>
        <v/>
      </c>
      <c r="X69" s="62">
        <f>IF($V69="","",IF(ISNUMBER($G69),1,IFERROR(LOOKUP(2,1/($I69:$L69&lt;&gt;""),$I69:$L69),0)))</f>
        <v/>
      </c>
      <c r="Y69" s="62">
        <f>IF($V69="","",IF(AND(ISNUMBER($G69),$G69&lt;=IF($S69=MesCiclo,InicioCiclo,$S69+MOD(2-WEEKDAY($S69),7))+6),1,IF(ISNUMBER($I69),$I69,0)))</f>
        <v/>
      </c>
      <c r="Z69" s="62">
        <f>IF($V69="","",IF(AND(ISNUMBER($G69),$G69&lt;=IF($S69=MesCiclo,InicioCiclo,$S69+MOD(2-WEEKDAY($S69),7))+13),1,IF(ISNUMBER($J69),$J69,$Y69)))</f>
        <v/>
      </c>
      <c r="AA69" s="62">
        <f>IF($V69="","",IF(AND(ISNUMBER($G69),$G69&lt;=IF($S69=MesCiclo,InicioCiclo,$S69+MOD(2-WEEKDAY($S69),7))+20),1,IF(ISNUMBER($K69),$K69,$Z69)))</f>
        <v/>
      </c>
      <c r="AB69" s="62">
        <f>IF($V69="","",IF(AND(ISNUMBER($G69),$G69&lt;=IF($S69=MesCiclo,InicioCiclo,$S69+MOD(2-WEEKDAY($S69),7))+27),1,IF(ISNUMBER($L69),$L69,$AA69)))</f>
        <v/>
      </c>
      <c r="AC69" s="62">
        <f>IF($V69="","",IF(AND(ISNUMBER($G69),$G69&lt;=IF($S69=MesCiclo,InicioCiclo,$S69+MOD(2-WEEKDAY($S69),7))+6),1,IF(N($W69)&gt;0,AVERAGEIFS($Y$5:$Y$1000,$U$5:$U$1000,ROW(),$V$5:$V$1000,"Sub"),$Y69)))</f>
        <v/>
      </c>
      <c r="AD69" s="62">
        <f>IF($V69="","",IF(AND(ISNUMBER($G69),$G69&lt;=IF($S69=MesCiclo,InicioCiclo,$S69+MOD(2-WEEKDAY($S69),7))+13),1,IF(N($W69)&gt;0,AVERAGEIFS($Z$5:$Z$1000,$U$5:$U$1000,ROW(),$V$5:$V$1000,"Sub"),$Z69)))</f>
        <v/>
      </c>
      <c r="AE69" s="62">
        <f>IF($V69="","",IF(AND(ISNUMBER($G69),$G69&lt;=IF($S69=MesCiclo,InicioCiclo,$S69+MOD(2-WEEKDAY($S69),7))+20),1,IF(N($W69)&gt;0,AVERAGEIFS($AA$5:$AA$1000,$U$5:$U$1000,ROW(),$V$5:$V$1000,"Sub"),$AA69)))</f>
        <v/>
      </c>
      <c r="AF69" s="62">
        <f>IF($V69="","",IF(AND(ISNUMBER($G69),$G69&lt;=IF($S69=MesCiclo,InicioCiclo,$S69+MOD(2-WEEKDAY($S69),7))+27),1,IF(N($W69)&gt;0,AVERAGEIFS($AB$5:$AB$1000,$U$5:$U$1000,ROW(),$V$5:$V$1000,"Sub"),$AB69)))</f>
        <v/>
      </c>
      <c r="AG69" s="62">
        <f>IF($V69&lt;&gt;"Macro","",IF(COUNTIFS($S$5:$S$1000,$S69,$V$5:$V$1000,"Macro",$H$5:$H$1000,"&gt;0")=0,1/COUNTIFS($S$5:$S$1000,$S69,$V$5:$V$1000,"Macro"),IF(AND(ISNUMBER($H69),N($H69)&gt;0),$H69,SUMIFS($H$5:$H$1000,$S$5:$S$1000,$S69,$V$5:$V$1000,"Macro")/COUNTIFS($S$5:$S$1000,$S69,$V$5:$V$1000,"Macro",$H$5:$H$1000,"&gt;0"))/(COUNTIFS($S$5:$S$1000,$S69,$V$5:$V$1000,"Macro")*SUMIFS($H$5:$H$1000,$S$5:$S$1000,$S69,$V$5:$V$1000,"Macro")/COUNTIFS($S$5:$S$1000,$S69,$V$5:$V$1000,"Macro",$H$5:$H$1000,"&gt;0"))))</f>
        <v/>
      </c>
      <c r="AH69" s="62" t="n"/>
      <c r="AI69" s="62" t="n"/>
      <c r="AJ69" s="62" t="n"/>
      <c r="AK69" s="62" t="n"/>
      <c r="AL69" s="62">
        <f>IF(LEFT($C69,11)="[Jefatura] ",IFERROR(MATCH("Riesgo Operacional|"&amp;MID($C69,12,500),rDname_ADM,0),0),"")</f>
        <v/>
      </c>
      <c r="AM69" s="62">
        <f>IF(N($AL69)&gt;0,INDEX(rIni_ADM,$AL69),IF(ISNUMBER($E69),$E69,""))</f>
        <v/>
      </c>
      <c r="AN69" s="62">
        <f>IF(N($AL69)&gt;0,INDEX(rLim_ADM,$AL69),IF(ISNUMBER($F69),$F69,""))</f>
        <v/>
      </c>
    </row>
    <row r="70">
      <c r="A70" s="56">
        <f>IF(NOT((COUNTA($B70:$D70)+COUNTA($G70:$L70)+COUNTA($Q70))&gt;0),"",IF($V70="Macro",COUNTIFS($V$5:$V70,"Macro",$S$5:$S70,$S70),IF(N($U70)=0,"?",COUNTIFS(INDEX($V$5:$V$1000,1):INDEX($V$5:$V$1000,$U70-4),"Macro",INDEX($S$5:$S$1000,1):INDEX($S$5:$S$1000,$U70-4),INDEX($S$5:$S$1000,$U70-4))&amp;"."&amp;COUNTIFS($U$5:$U70,$U70,$V$5:$V70,"Sub"))))</f>
        <v/>
      </c>
      <c r="B70" s="57" t="n"/>
      <c r="C70" s="58" t="n"/>
      <c r="D70" s="58" t="n"/>
      <c r="E70" s="59">
        <f>IF(N($AL70)&gt;0,INDEX(rIni_ADM,$AL70),"")</f>
        <v/>
      </c>
      <c r="F70" s="59">
        <f>IF(N($AL70)&gt;0,INDEX(rLim_ADM,$AL70),"")</f>
        <v/>
      </c>
      <c r="G70" s="59" t="n"/>
      <c r="H70" s="60" t="n"/>
      <c r="I70" s="60" t="n"/>
      <c r="J70" s="60" t="n"/>
      <c r="K70" s="60" t="n"/>
      <c r="L70" s="60" t="n"/>
      <c r="M70" s="61">
        <f>IF(NOT((COUNTA($B70:$D70)+COUNTA($G70:$L70)+COUNTA($Q70))&gt;0),"",IF(ISNUMBER($G70),1,IF(N($W70)&gt;0,AVERAGEIFS($X$5:$X$1000,$U$5:$U$1000,ROW(),$V$5:$V$1000,"Sub"),$X70)))</f>
        <v/>
      </c>
      <c r="N70" s="56">
        <f>IF($M70="","",IF($M70&gt;=1,"Completado",IF($M70&gt;0,"En curso","Pendiente")))</f>
        <v/>
      </c>
      <c r="O70" s="56">
        <f>IF(NOT((COUNTA($B70:$D70)+COUNTA($G70:$L70)+COUNTA($Q70))&gt;0),"",IF(ISNUMBER($G70),IF(AND(ISNUMBER($AN70),$G70&gt;$AN70),"Cumplida con "&amp;($G70-$AN70)&amp;IF($G70-$AN70=1," día"," días")&amp;" de retraso","Cumplida"),IF(N($M70)&gt;=1,"Cumplida",IF(NOT(ISNUMBER($AN70)),"Sin fecha límite",IF($AN70&lt;FechaRef,"Vencida hace "&amp;(FechaRef-$AN70)&amp;IF(FechaRef-$AN70=1," día"," días"),IF($AN70=FechaRef,"Vence hoy",IF($AN70-FechaRef&lt;=DiasAlerta,"Vence en "&amp;($AN70-FechaRef)&amp;IF($AN70-FechaRef=1," día"," días"),"En plazo")))))))</f>
        <v/>
      </c>
      <c r="P70" s="62" t="n"/>
      <c r="Q70" s="58" t="n"/>
      <c r="R70" s="63">
        <f>IF(NOT((COUNTA($B70:$D70)+COUNTA($G70:$L70)+COUNTA($Q70))&gt;0),"",IF((IF($C70="","Falta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",""))="","✔ OK","⚠ "&amp;LEFT(IF($C70="","Falta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",""),LEN(IF($C70="","Falta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",""))-3)))</f>
        <v/>
      </c>
      <c r="S70" s="64">
        <f>IF(NOT((COUNTA($B70:$D70)+COUNTA($G70:$L70)+COUNTA($Q70))&gt;0),"",IF(AND($V70="Sub",N($U70)&gt;0),IF(ISNUMBER(INDEX($AM$5:$AM$1000,$U70-4)),DATE(YEAR(INDEX($AM$5:$AM$1000,$U70-4)),MONTH(INDEX($AM$5:$AM$1000,$U70-4)),1),IF(ISNUMBER(INDEX($AN$5:$AN$1000,$U70-4)),DATE(YEAR(INDEX($AN$5:$AN$1000,$U70-4)),MONTH(INDEX($AN$5:$AN$1000,$U70-4)),1),MesCiclo)),IF(ISNUMBER($AM70),DATE(YEAR($AM70),MONTH($AM70),1),IF(ISNUMBER($AN70),DATE(YEAR($AN70),MONTH($AN70),1),MesCiclo))))</f>
        <v/>
      </c>
      <c r="T70" s="62">
        <f>IF(OR($S70="",$S70&lt;&gt;MesCiclo),"",COUNTIF($S$5:$S70,MesCiclo))</f>
        <v/>
      </c>
      <c r="U70" s="62">
        <f>IF($V70="","",IF($V70="Macro",ROW(),IFERROR(LOOKUP(2,1/($V$5:$V70="Macro"),ROW($V$5:$V70)),0)))</f>
        <v/>
      </c>
      <c r="V70" s="62">
        <f>IF(NOT((COUNTA($B70:$D70)+COUNTA($G70:$L70)+COUNTA($Q70))&gt;0),"",IF($B70="Subactividad","Sub","Macro"))</f>
        <v/>
      </c>
      <c r="W70" s="62">
        <f>IF($V70="Macro",COUNTIFS($U$5:$U$1000,ROW(),$V$5:$V$1000,"Sub"),"")</f>
        <v/>
      </c>
      <c r="X70" s="62">
        <f>IF($V70="","",IF(ISNUMBER($G70),1,IFERROR(LOOKUP(2,1/($I70:$L70&lt;&gt;""),$I70:$L70),0)))</f>
        <v/>
      </c>
      <c r="Y70" s="62">
        <f>IF($V70="","",IF(AND(ISNUMBER($G70),$G70&lt;=IF($S70=MesCiclo,InicioCiclo,$S70+MOD(2-WEEKDAY($S70),7))+6),1,IF(ISNUMBER($I70),$I70,0)))</f>
        <v/>
      </c>
      <c r="Z70" s="62">
        <f>IF($V70="","",IF(AND(ISNUMBER($G70),$G70&lt;=IF($S70=MesCiclo,InicioCiclo,$S70+MOD(2-WEEKDAY($S70),7))+13),1,IF(ISNUMBER($J70),$J70,$Y70)))</f>
        <v/>
      </c>
      <c r="AA70" s="62">
        <f>IF($V70="","",IF(AND(ISNUMBER($G70),$G70&lt;=IF($S70=MesCiclo,InicioCiclo,$S70+MOD(2-WEEKDAY($S70),7))+20),1,IF(ISNUMBER($K70),$K70,$Z70)))</f>
        <v/>
      </c>
      <c r="AB70" s="62">
        <f>IF($V70="","",IF(AND(ISNUMBER($G70),$G70&lt;=IF($S70=MesCiclo,InicioCiclo,$S70+MOD(2-WEEKDAY($S70),7))+27),1,IF(ISNUMBER($L70),$L70,$AA70)))</f>
        <v/>
      </c>
      <c r="AC70" s="62">
        <f>IF($V70="","",IF(AND(ISNUMBER($G70),$G70&lt;=IF($S70=MesCiclo,InicioCiclo,$S70+MOD(2-WEEKDAY($S70),7))+6),1,IF(N($W70)&gt;0,AVERAGEIFS($Y$5:$Y$1000,$U$5:$U$1000,ROW(),$V$5:$V$1000,"Sub"),$Y70)))</f>
        <v/>
      </c>
      <c r="AD70" s="62">
        <f>IF($V70="","",IF(AND(ISNUMBER($G70),$G70&lt;=IF($S70=MesCiclo,InicioCiclo,$S70+MOD(2-WEEKDAY($S70),7))+13),1,IF(N($W70)&gt;0,AVERAGEIFS($Z$5:$Z$1000,$U$5:$U$1000,ROW(),$V$5:$V$1000,"Sub"),$Z70)))</f>
        <v/>
      </c>
      <c r="AE70" s="62">
        <f>IF($V70="","",IF(AND(ISNUMBER($G70),$G70&lt;=IF($S70=MesCiclo,InicioCiclo,$S70+MOD(2-WEEKDAY($S70),7))+20),1,IF(N($W70)&gt;0,AVERAGEIFS($AA$5:$AA$1000,$U$5:$U$1000,ROW(),$V$5:$V$1000,"Sub"),$AA70)))</f>
        <v/>
      </c>
      <c r="AF70" s="62">
        <f>IF($V70="","",IF(AND(ISNUMBER($G70),$G70&lt;=IF($S70=MesCiclo,InicioCiclo,$S70+MOD(2-WEEKDAY($S70),7))+27),1,IF(N($W70)&gt;0,AVERAGEIFS($AB$5:$AB$1000,$U$5:$U$1000,ROW(),$V$5:$V$1000,"Sub"),$AB70)))</f>
        <v/>
      </c>
      <c r="AG70" s="62">
        <f>IF($V70&lt;&gt;"Macro","",IF(COUNTIFS($S$5:$S$1000,$S70,$V$5:$V$1000,"Macro",$H$5:$H$1000,"&gt;0")=0,1/COUNTIFS($S$5:$S$1000,$S70,$V$5:$V$1000,"Macro"),IF(AND(ISNUMBER($H70),N($H70)&gt;0),$H70,SUMIFS($H$5:$H$1000,$S$5:$S$1000,$S70,$V$5:$V$1000,"Macro")/COUNTIFS($S$5:$S$1000,$S70,$V$5:$V$1000,"Macro",$H$5:$H$1000,"&gt;0"))/(COUNTIFS($S$5:$S$1000,$S70,$V$5:$V$1000,"Macro")*SUMIFS($H$5:$H$1000,$S$5:$S$1000,$S70,$V$5:$V$1000,"Macro")/COUNTIFS($S$5:$S$1000,$S70,$V$5:$V$1000,"Macro",$H$5:$H$1000,"&gt;0"))))</f>
        <v/>
      </c>
      <c r="AH70" s="62" t="n"/>
      <c r="AI70" s="62" t="n"/>
      <c r="AJ70" s="62" t="n"/>
      <c r="AK70" s="62" t="n"/>
      <c r="AL70" s="62">
        <f>IF(LEFT($C70,11)="[Jefatura] ",IFERROR(MATCH("Riesgo Operacional|"&amp;MID($C70,12,500),rDname_ADM,0),0),"")</f>
        <v/>
      </c>
      <c r="AM70" s="62">
        <f>IF(N($AL70)&gt;0,INDEX(rIni_ADM,$AL70),IF(ISNUMBER($E70),$E70,""))</f>
        <v/>
      </c>
      <c r="AN70" s="62">
        <f>IF(N($AL70)&gt;0,INDEX(rLim_ADM,$AL70),IF(ISNUMBER($F70),$F70,""))</f>
        <v/>
      </c>
    </row>
    <row r="71">
      <c r="A71" s="56">
        <f>IF(NOT((COUNTA($B71:$D71)+COUNTA($G71:$L71)+COUNTA($Q71))&gt;0),"",IF($V71="Macro",COUNTIFS($V$5:$V71,"Macro",$S$5:$S71,$S71),IF(N($U71)=0,"?",COUNTIFS(INDEX($V$5:$V$1000,1):INDEX($V$5:$V$1000,$U71-4),"Macro",INDEX($S$5:$S$1000,1):INDEX($S$5:$S$1000,$U71-4),INDEX($S$5:$S$1000,$U71-4))&amp;"."&amp;COUNTIFS($U$5:$U71,$U71,$V$5:$V71,"Sub"))))</f>
        <v/>
      </c>
      <c r="B71" s="57" t="n"/>
      <c r="C71" s="58" t="n"/>
      <c r="D71" s="58" t="n"/>
      <c r="E71" s="59">
        <f>IF(N($AL71)&gt;0,INDEX(rIni_ADM,$AL71),"")</f>
        <v/>
      </c>
      <c r="F71" s="59">
        <f>IF(N($AL71)&gt;0,INDEX(rLim_ADM,$AL71),"")</f>
        <v/>
      </c>
      <c r="G71" s="59" t="n"/>
      <c r="H71" s="60" t="n"/>
      <c r="I71" s="60" t="n"/>
      <c r="J71" s="60" t="n"/>
      <c r="K71" s="60" t="n"/>
      <c r="L71" s="60" t="n"/>
      <c r="M71" s="61">
        <f>IF(NOT((COUNTA($B71:$D71)+COUNTA($G71:$L71)+COUNTA($Q71))&gt;0),"",IF(ISNUMBER($G71),1,IF(N($W71)&gt;0,AVERAGEIFS($X$5:$X$1000,$U$5:$U$1000,ROW(),$V$5:$V$1000,"Sub"),$X71)))</f>
        <v/>
      </c>
      <c r="N71" s="56">
        <f>IF($M71="","",IF($M71&gt;=1,"Completado",IF($M71&gt;0,"En curso","Pendiente")))</f>
        <v/>
      </c>
      <c r="O71" s="56">
        <f>IF(NOT((COUNTA($B71:$D71)+COUNTA($G71:$L71)+COUNTA($Q71))&gt;0),"",IF(ISNUMBER($G71),IF(AND(ISNUMBER($AN71),$G71&gt;$AN71),"Cumplida con "&amp;($G71-$AN71)&amp;IF($G71-$AN71=1," día"," días")&amp;" de retraso","Cumplida"),IF(N($M71)&gt;=1,"Cumplida",IF(NOT(ISNUMBER($AN71)),"Sin fecha límite",IF($AN71&lt;FechaRef,"Vencida hace "&amp;(FechaRef-$AN71)&amp;IF(FechaRef-$AN71=1," día"," días"),IF($AN71=FechaRef,"Vence hoy",IF($AN71-FechaRef&lt;=DiasAlerta,"Vence en "&amp;($AN71-FechaRef)&amp;IF($AN71-FechaRef=1," día"," días"),"En plazo")))))))</f>
        <v/>
      </c>
      <c r="P71" s="62" t="n"/>
      <c r="Q71" s="58" t="n"/>
      <c r="R71" s="63">
        <f>IF(NOT((COUNTA($B71:$D71)+COUNTA($G71:$L71)+COUNTA($Q71))&gt;0),"",IF((IF($C71="","Falta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",""))="","✔ OK","⚠ "&amp;LEFT(IF($C71="","Falta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",""),LEN(IF($C71="","Falta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",""))-3)))</f>
        <v/>
      </c>
      <c r="S71" s="64">
        <f>IF(NOT((COUNTA($B71:$D71)+COUNTA($G71:$L71)+COUNTA($Q71))&gt;0),"",IF(AND($V71="Sub",N($U71)&gt;0),IF(ISNUMBER(INDEX($AM$5:$AM$1000,$U71-4)),DATE(YEAR(INDEX($AM$5:$AM$1000,$U71-4)),MONTH(INDEX($AM$5:$AM$1000,$U71-4)),1),IF(ISNUMBER(INDEX($AN$5:$AN$1000,$U71-4)),DATE(YEAR(INDEX($AN$5:$AN$1000,$U71-4)),MONTH(INDEX($AN$5:$AN$1000,$U71-4)),1),MesCiclo)),IF(ISNUMBER($AM71),DATE(YEAR($AM71),MONTH($AM71),1),IF(ISNUMBER($AN71),DATE(YEAR($AN71),MONTH($AN71),1),MesCiclo))))</f>
        <v/>
      </c>
      <c r="T71" s="62">
        <f>IF(OR($S71="",$S71&lt;&gt;MesCiclo),"",COUNTIF($S$5:$S71,MesCiclo))</f>
        <v/>
      </c>
      <c r="U71" s="62">
        <f>IF($V71="","",IF($V71="Macro",ROW(),IFERROR(LOOKUP(2,1/($V$5:$V71="Macro"),ROW($V$5:$V71)),0)))</f>
        <v/>
      </c>
      <c r="V71" s="62">
        <f>IF(NOT((COUNTA($B71:$D71)+COUNTA($G71:$L71)+COUNTA($Q71))&gt;0),"",IF($B71="Subactividad","Sub","Macro"))</f>
        <v/>
      </c>
      <c r="W71" s="62">
        <f>IF($V71="Macro",COUNTIFS($U$5:$U$1000,ROW(),$V$5:$V$1000,"Sub"),"")</f>
        <v/>
      </c>
      <c r="X71" s="62">
        <f>IF($V71="","",IF(ISNUMBER($G71),1,IFERROR(LOOKUP(2,1/($I71:$L71&lt;&gt;""),$I71:$L71),0)))</f>
        <v/>
      </c>
      <c r="Y71" s="62">
        <f>IF($V71="","",IF(AND(ISNUMBER($G71),$G71&lt;=IF($S71=MesCiclo,InicioCiclo,$S71+MOD(2-WEEKDAY($S71),7))+6),1,IF(ISNUMBER($I71),$I71,0)))</f>
        <v/>
      </c>
      <c r="Z71" s="62">
        <f>IF($V71="","",IF(AND(ISNUMBER($G71),$G71&lt;=IF($S71=MesCiclo,InicioCiclo,$S71+MOD(2-WEEKDAY($S71),7))+13),1,IF(ISNUMBER($J71),$J71,$Y71)))</f>
        <v/>
      </c>
      <c r="AA71" s="62">
        <f>IF($V71="","",IF(AND(ISNUMBER($G71),$G71&lt;=IF($S71=MesCiclo,InicioCiclo,$S71+MOD(2-WEEKDAY($S71),7))+20),1,IF(ISNUMBER($K71),$K71,$Z71)))</f>
        <v/>
      </c>
      <c r="AB71" s="62">
        <f>IF($V71="","",IF(AND(ISNUMBER($G71),$G71&lt;=IF($S71=MesCiclo,InicioCiclo,$S71+MOD(2-WEEKDAY($S71),7))+27),1,IF(ISNUMBER($L71),$L71,$AA71)))</f>
        <v/>
      </c>
      <c r="AC71" s="62">
        <f>IF($V71="","",IF(AND(ISNUMBER($G71),$G71&lt;=IF($S71=MesCiclo,InicioCiclo,$S71+MOD(2-WEEKDAY($S71),7))+6),1,IF(N($W71)&gt;0,AVERAGEIFS($Y$5:$Y$1000,$U$5:$U$1000,ROW(),$V$5:$V$1000,"Sub"),$Y71)))</f>
        <v/>
      </c>
      <c r="AD71" s="62">
        <f>IF($V71="","",IF(AND(ISNUMBER($G71),$G71&lt;=IF($S71=MesCiclo,InicioCiclo,$S71+MOD(2-WEEKDAY($S71),7))+13),1,IF(N($W71)&gt;0,AVERAGEIFS($Z$5:$Z$1000,$U$5:$U$1000,ROW(),$V$5:$V$1000,"Sub"),$Z71)))</f>
        <v/>
      </c>
      <c r="AE71" s="62">
        <f>IF($V71="","",IF(AND(ISNUMBER($G71),$G71&lt;=IF($S71=MesCiclo,InicioCiclo,$S71+MOD(2-WEEKDAY($S71),7))+20),1,IF(N($W71)&gt;0,AVERAGEIFS($AA$5:$AA$1000,$U$5:$U$1000,ROW(),$V$5:$V$1000,"Sub"),$AA71)))</f>
        <v/>
      </c>
      <c r="AF71" s="62">
        <f>IF($V71="","",IF(AND(ISNUMBER($G71),$G71&lt;=IF($S71=MesCiclo,InicioCiclo,$S71+MOD(2-WEEKDAY($S71),7))+27),1,IF(N($W71)&gt;0,AVERAGEIFS($AB$5:$AB$1000,$U$5:$U$1000,ROW(),$V$5:$V$1000,"Sub"),$AB71)))</f>
        <v/>
      </c>
      <c r="AG71" s="62">
        <f>IF($V71&lt;&gt;"Macro","",IF(COUNTIFS($S$5:$S$1000,$S71,$V$5:$V$1000,"Macro",$H$5:$H$1000,"&gt;0")=0,1/COUNTIFS($S$5:$S$1000,$S71,$V$5:$V$1000,"Macro"),IF(AND(ISNUMBER($H71),N($H71)&gt;0),$H71,SUMIFS($H$5:$H$1000,$S$5:$S$1000,$S71,$V$5:$V$1000,"Macro")/COUNTIFS($S$5:$S$1000,$S71,$V$5:$V$1000,"Macro",$H$5:$H$1000,"&gt;0"))/(COUNTIFS($S$5:$S$1000,$S71,$V$5:$V$1000,"Macro")*SUMIFS($H$5:$H$1000,$S$5:$S$1000,$S71,$V$5:$V$1000,"Macro")/COUNTIFS($S$5:$S$1000,$S71,$V$5:$V$1000,"Macro",$H$5:$H$1000,"&gt;0"))))</f>
        <v/>
      </c>
      <c r="AH71" s="62" t="n"/>
      <c r="AI71" s="62" t="n"/>
      <c r="AJ71" s="62" t="n"/>
      <c r="AK71" s="62" t="n"/>
      <c r="AL71" s="62">
        <f>IF(LEFT($C71,11)="[Jefatura] ",IFERROR(MATCH("Riesgo Operacional|"&amp;MID($C71,12,500),rDname_ADM,0),0),"")</f>
        <v/>
      </c>
      <c r="AM71" s="62">
        <f>IF(N($AL71)&gt;0,INDEX(rIni_ADM,$AL71),IF(ISNUMBER($E71),$E71,""))</f>
        <v/>
      </c>
      <c r="AN71" s="62">
        <f>IF(N($AL71)&gt;0,INDEX(rLim_ADM,$AL71),IF(ISNUMBER($F71),$F71,""))</f>
        <v/>
      </c>
    </row>
    <row r="72">
      <c r="A72" s="56">
        <f>IF(NOT((COUNTA($B72:$D72)+COUNTA($G72:$L72)+COUNTA($Q72))&gt;0),"",IF($V72="Macro",COUNTIFS($V$5:$V72,"Macro",$S$5:$S72,$S72),IF(N($U72)=0,"?",COUNTIFS(INDEX($V$5:$V$1000,1):INDEX($V$5:$V$1000,$U72-4),"Macro",INDEX($S$5:$S$1000,1):INDEX($S$5:$S$1000,$U72-4),INDEX($S$5:$S$1000,$U72-4))&amp;"."&amp;COUNTIFS($U$5:$U72,$U72,$V$5:$V72,"Sub"))))</f>
        <v/>
      </c>
      <c r="B72" s="57" t="n"/>
      <c r="C72" s="58" t="n"/>
      <c r="D72" s="58" t="n"/>
      <c r="E72" s="59">
        <f>IF(N($AL72)&gt;0,INDEX(rIni_ADM,$AL72),"")</f>
        <v/>
      </c>
      <c r="F72" s="59">
        <f>IF(N($AL72)&gt;0,INDEX(rLim_ADM,$AL72),"")</f>
        <v/>
      </c>
      <c r="G72" s="59" t="n"/>
      <c r="H72" s="60" t="n"/>
      <c r="I72" s="60" t="n"/>
      <c r="J72" s="60" t="n"/>
      <c r="K72" s="60" t="n"/>
      <c r="L72" s="60" t="n"/>
      <c r="M72" s="61">
        <f>IF(NOT((COUNTA($B72:$D72)+COUNTA($G72:$L72)+COUNTA($Q72))&gt;0),"",IF(ISNUMBER($G72),1,IF(N($W72)&gt;0,AVERAGEIFS($X$5:$X$1000,$U$5:$U$1000,ROW(),$V$5:$V$1000,"Sub"),$X72)))</f>
        <v/>
      </c>
      <c r="N72" s="56">
        <f>IF($M72="","",IF($M72&gt;=1,"Completado",IF($M72&gt;0,"En curso","Pendiente")))</f>
        <v/>
      </c>
      <c r="O72" s="56">
        <f>IF(NOT((COUNTA($B72:$D72)+COUNTA($G72:$L72)+COUNTA($Q72))&gt;0),"",IF(ISNUMBER($G72),IF(AND(ISNUMBER($AN72),$G72&gt;$AN72),"Cumplida con "&amp;($G72-$AN72)&amp;IF($G72-$AN72=1," día"," días")&amp;" de retraso","Cumplida"),IF(N($M72)&gt;=1,"Cumplida",IF(NOT(ISNUMBER($AN72)),"Sin fecha límite",IF($AN72&lt;FechaRef,"Vencida hace "&amp;(FechaRef-$AN72)&amp;IF(FechaRef-$AN72=1," día"," días"),IF($AN72=FechaRef,"Vence hoy",IF($AN72-FechaRef&lt;=DiasAlerta,"Vence en "&amp;($AN72-FechaRef)&amp;IF($AN72-FechaRef=1," día"," días"),"En plazo")))))))</f>
        <v/>
      </c>
      <c r="P72" s="62" t="n"/>
      <c r="Q72" s="58" t="n"/>
      <c r="R72" s="63">
        <f>IF(NOT((COUNTA($B72:$D72)+COUNTA($G72:$L72)+COUNTA($Q72))&gt;0),"",IF((IF($C72="","Falta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",""))="","✔ OK","⚠ "&amp;LEFT(IF($C72="","Falta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",""),LEN(IF($C72="","Falta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",""))-3)))</f>
        <v/>
      </c>
      <c r="S72" s="64">
        <f>IF(NOT((COUNTA($B72:$D72)+COUNTA($G72:$L72)+COUNTA($Q72))&gt;0),"",IF(AND($V72="Sub",N($U72)&gt;0),IF(ISNUMBER(INDEX($AM$5:$AM$1000,$U72-4)),DATE(YEAR(INDEX($AM$5:$AM$1000,$U72-4)),MONTH(INDEX($AM$5:$AM$1000,$U72-4)),1),IF(ISNUMBER(INDEX($AN$5:$AN$1000,$U72-4)),DATE(YEAR(INDEX($AN$5:$AN$1000,$U72-4)),MONTH(INDEX($AN$5:$AN$1000,$U72-4)),1),MesCiclo)),IF(ISNUMBER($AM72),DATE(YEAR($AM72),MONTH($AM72),1),IF(ISNUMBER($AN72),DATE(YEAR($AN72),MONTH($AN72),1),MesCiclo))))</f>
        <v/>
      </c>
      <c r="T72" s="62">
        <f>IF(OR($S72="",$S72&lt;&gt;MesCiclo),"",COUNTIF($S$5:$S72,MesCiclo))</f>
        <v/>
      </c>
      <c r="U72" s="62">
        <f>IF($V72="","",IF($V72="Macro",ROW(),IFERROR(LOOKUP(2,1/($V$5:$V72="Macro"),ROW($V$5:$V72)),0)))</f>
        <v/>
      </c>
      <c r="V72" s="62">
        <f>IF(NOT((COUNTA($B72:$D72)+COUNTA($G72:$L72)+COUNTA($Q72))&gt;0),"",IF($B72="Subactividad","Sub","Macro"))</f>
        <v/>
      </c>
      <c r="W72" s="62">
        <f>IF($V72="Macro",COUNTIFS($U$5:$U$1000,ROW(),$V$5:$V$1000,"Sub"),"")</f>
        <v/>
      </c>
      <c r="X72" s="62">
        <f>IF($V72="","",IF(ISNUMBER($G72),1,IFERROR(LOOKUP(2,1/($I72:$L72&lt;&gt;""),$I72:$L72),0)))</f>
        <v/>
      </c>
      <c r="Y72" s="62">
        <f>IF($V72="","",IF(AND(ISNUMBER($G72),$G72&lt;=IF($S72=MesCiclo,InicioCiclo,$S72+MOD(2-WEEKDAY($S72),7))+6),1,IF(ISNUMBER($I72),$I72,0)))</f>
        <v/>
      </c>
      <c r="Z72" s="62">
        <f>IF($V72="","",IF(AND(ISNUMBER($G72),$G72&lt;=IF($S72=MesCiclo,InicioCiclo,$S72+MOD(2-WEEKDAY($S72),7))+13),1,IF(ISNUMBER($J72),$J72,$Y72)))</f>
        <v/>
      </c>
      <c r="AA72" s="62">
        <f>IF($V72="","",IF(AND(ISNUMBER($G72),$G72&lt;=IF($S72=MesCiclo,InicioCiclo,$S72+MOD(2-WEEKDAY($S72),7))+20),1,IF(ISNUMBER($K72),$K72,$Z72)))</f>
        <v/>
      </c>
      <c r="AB72" s="62">
        <f>IF($V72="","",IF(AND(ISNUMBER($G72),$G72&lt;=IF($S72=MesCiclo,InicioCiclo,$S72+MOD(2-WEEKDAY($S72),7))+27),1,IF(ISNUMBER($L72),$L72,$AA72)))</f>
        <v/>
      </c>
      <c r="AC72" s="62">
        <f>IF($V72="","",IF(AND(ISNUMBER($G72),$G72&lt;=IF($S72=MesCiclo,InicioCiclo,$S72+MOD(2-WEEKDAY($S72),7))+6),1,IF(N($W72)&gt;0,AVERAGEIFS($Y$5:$Y$1000,$U$5:$U$1000,ROW(),$V$5:$V$1000,"Sub"),$Y72)))</f>
        <v/>
      </c>
      <c r="AD72" s="62">
        <f>IF($V72="","",IF(AND(ISNUMBER($G72),$G72&lt;=IF($S72=MesCiclo,InicioCiclo,$S72+MOD(2-WEEKDAY($S72),7))+13),1,IF(N($W72)&gt;0,AVERAGEIFS($Z$5:$Z$1000,$U$5:$U$1000,ROW(),$V$5:$V$1000,"Sub"),$Z72)))</f>
        <v/>
      </c>
      <c r="AE72" s="62">
        <f>IF($V72="","",IF(AND(ISNUMBER($G72),$G72&lt;=IF($S72=MesCiclo,InicioCiclo,$S72+MOD(2-WEEKDAY($S72),7))+20),1,IF(N($W72)&gt;0,AVERAGEIFS($AA$5:$AA$1000,$U$5:$U$1000,ROW(),$V$5:$V$1000,"Sub"),$AA72)))</f>
        <v/>
      </c>
      <c r="AF72" s="62">
        <f>IF($V72="","",IF(AND(ISNUMBER($G72),$G72&lt;=IF($S72=MesCiclo,InicioCiclo,$S72+MOD(2-WEEKDAY($S72),7))+27),1,IF(N($W72)&gt;0,AVERAGEIFS($AB$5:$AB$1000,$U$5:$U$1000,ROW(),$V$5:$V$1000,"Sub"),$AB72)))</f>
        <v/>
      </c>
      <c r="AG72" s="62">
        <f>IF($V72&lt;&gt;"Macro","",IF(COUNTIFS($S$5:$S$1000,$S72,$V$5:$V$1000,"Macro",$H$5:$H$1000,"&gt;0")=0,1/COUNTIFS($S$5:$S$1000,$S72,$V$5:$V$1000,"Macro"),IF(AND(ISNUMBER($H72),N($H72)&gt;0),$H72,SUMIFS($H$5:$H$1000,$S$5:$S$1000,$S72,$V$5:$V$1000,"Macro")/COUNTIFS($S$5:$S$1000,$S72,$V$5:$V$1000,"Macro",$H$5:$H$1000,"&gt;0"))/(COUNTIFS($S$5:$S$1000,$S72,$V$5:$V$1000,"Macro")*SUMIFS($H$5:$H$1000,$S$5:$S$1000,$S72,$V$5:$V$1000,"Macro")/COUNTIFS($S$5:$S$1000,$S72,$V$5:$V$1000,"Macro",$H$5:$H$1000,"&gt;0"))))</f>
        <v/>
      </c>
      <c r="AH72" s="62" t="n"/>
      <c r="AI72" s="62" t="n"/>
      <c r="AJ72" s="62" t="n"/>
      <c r="AK72" s="62" t="n"/>
      <c r="AL72" s="62">
        <f>IF(LEFT($C72,11)="[Jefatura] ",IFERROR(MATCH("Riesgo Operacional|"&amp;MID($C72,12,500),rDname_ADM,0),0),"")</f>
        <v/>
      </c>
      <c r="AM72" s="62">
        <f>IF(N($AL72)&gt;0,INDEX(rIni_ADM,$AL72),IF(ISNUMBER($E72),$E72,""))</f>
        <v/>
      </c>
      <c r="AN72" s="62">
        <f>IF(N($AL72)&gt;0,INDEX(rLim_ADM,$AL72),IF(ISNUMBER($F72),$F72,""))</f>
        <v/>
      </c>
    </row>
    <row r="73">
      <c r="A73" s="56">
        <f>IF(NOT((COUNTA($B73:$D73)+COUNTA($G73:$L73)+COUNTA($Q73))&gt;0),"",IF($V73="Macro",COUNTIFS($V$5:$V73,"Macro",$S$5:$S73,$S73),IF(N($U73)=0,"?",COUNTIFS(INDEX($V$5:$V$1000,1):INDEX($V$5:$V$1000,$U73-4),"Macro",INDEX($S$5:$S$1000,1):INDEX($S$5:$S$1000,$U73-4),INDEX($S$5:$S$1000,$U73-4))&amp;"."&amp;COUNTIFS($U$5:$U73,$U73,$V$5:$V73,"Sub"))))</f>
        <v/>
      </c>
      <c r="B73" s="57" t="n"/>
      <c r="C73" s="58" t="n"/>
      <c r="D73" s="58" t="n"/>
      <c r="E73" s="59">
        <f>IF(N($AL73)&gt;0,INDEX(rIni_ADM,$AL73),"")</f>
        <v/>
      </c>
      <c r="F73" s="59">
        <f>IF(N($AL73)&gt;0,INDEX(rLim_ADM,$AL73),"")</f>
        <v/>
      </c>
      <c r="G73" s="59" t="n"/>
      <c r="H73" s="60" t="n"/>
      <c r="I73" s="60" t="n"/>
      <c r="J73" s="60" t="n"/>
      <c r="K73" s="60" t="n"/>
      <c r="L73" s="60" t="n"/>
      <c r="M73" s="61">
        <f>IF(NOT((COUNTA($B73:$D73)+COUNTA($G73:$L73)+COUNTA($Q73))&gt;0),"",IF(ISNUMBER($G73),1,IF(N($W73)&gt;0,AVERAGEIFS($X$5:$X$1000,$U$5:$U$1000,ROW(),$V$5:$V$1000,"Sub"),$X73)))</f>
        <v/>
      </c>
      <c r="N73" s="56">
        <f>IF($M73="","",IF($M73&gt;=1,"Completado",IF($M73&gt;0,"En curso","Pendiente")))</f>
        <v/>
      </c>
      <c r="O73" s="56">
        <f>IF(NOT((COUNTA($B73:$D73)+COUNTA($G73:$L73)+COUNTA($Q73))&gt;0),"",IF(ISNUMBER($G73),IF(AND(ISNUMBER($AN73),$G73&gt;$AN73),"Cumplida con "&amp;($G73-$AN73)&amp;IF($G73-$AN73=1," día"," días")&amp;" de retraso","Cumplida"),IF(N($M73)&gt;=1,"Cumplida",IF(NOT(ISNUMBER($AN73)),"Sin fecha límite",IF($AN73&lt;FechaRef,"Vencida hace "&amp;(FechaRef-$AN73)&amp;IF(FechaRef-$AN73=1," día"," días"),IF($AN73=FechaRef,"Vence hoy",IF($AN73-FechaRef&lt;=DiasAlerta,"Vence en "&amp;($AN73-FechaRef)&amp;IF($AN73-FechaRef=1," día"," días"),"En plazo")))))))</f>
        <v/>
      </c>
      <c r="P73" s="62" t="n"/>
      <c r="Q73" s="58" t="n"/>
      <c r="R73" s="63">
        <f>IF(NOT((COUNTA($B73:$D73)+COUNTA($G73:$L73)+COUNTA($Q73))&gt;0),"",IF((IF($C73="","Falta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",""))="","✔ OK","⚠ "&amp;LEFT(IF($C73="","Falta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",""),LEN(IF($C73="","Falta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",""))-3)))</f>
        <v/>
      </c>
      <c r="S73" s="64">
        <f>IF(NOT((COUNTA($B73:$D73)+COUNTA($G73:$L73)+COUNTA($Q73))&gt;0),"",IF(AND($V73="Sub",N($U73)&gt;0),IF(ISNUMBER(INDEX($AM$5:$AM$1000,$U73-4)),DATE(YEAR(INDEX($AM$5:$AM$1000,$U73-4)),MONTH(INDEX($AM$5:$AM$1000,$U73-4)),1),IF(ISNUMBER(INDEX($AN$5:$AN$1000,$U73-4)),DATE(YEAR(INDEX($AN$5:$AN$1000,$U73-4)),MONTH(INDEX($AN$5:$AN$1000,$U73-4)),1),MesCiclo)),IF(ISNUMBER($AM73),DATE(YEAR($AM73),MONTH($AM73),1),IF(ISNUMBER($AN73),DATE(YEAR($AN73),MONTH($AN73),1),MesCiclo))))</f>
        <v/>
      </c>
      <c r="T73" s="62">
        <f>IF(OR($S73="",$S73&lt;&gt;MesCiclo),"",COUNTIF($S$5:$S73,MesCiclo))</f>
        <v/>
      </c>
      <c r="U73" s="62">
        <f>IF($V73="","",IF($V73="Macro",ROW(),IFERROR(LOOKUP(2,1/($V$5:$V73="Macro"),ROW($V$5:$V73)),0)))</f>
        <v/>
      </c>
      <c r="V73" s="62">
        <f>IF(NOT((COUNTA($B73:$D73)+COUNTA($G73:$L73)+COUNTA($Q73))&gt;0),"",IF($B73="Subactividad","Sub","Macro"))</f>
        <v/>
      </c>
      <c r="W73" s="62">
        <f>IF($V73="Macro",COUNTIFS($U$5:$U$1000,ROW(),$V$5:$V$1000,"Sub"),"")</f>
        <v/>
      </c>
      <c r="X73" s="62">
        <f>IF($V73="","",IF(ISNUMBER($G73),1,IFERROR(LOOKUP(2,1/($I73:$L73&lt;&gt;""),$I73:$L73),0)))</f>
        <v/>
      </c>
      <c r="Y73" s="62">
        <f>IF($V73="","",IF(AND(ISNUMBER($G73),$G73&lt;=IF($S73=MesCiclo,InicioCiclo,$S73+MOD(2-WEEKDAY($S73),7))+6),1,IF(ISNUMBER($I73),$I73,0)))</f>
        <v/>
      </c>
      <c r="Z73" s="62">
        <f>IF($V73="","",IF(AND(ISNUMBER($G73),$G73&lt;=IF($S73=MesCiclo,InicioCiclo,$S73+MOD(2-WEEKDAY($S73),7))+13),1,IF(ISNUMBER($J73),$J73,$Y73)))</f>
        <v/>
      </c>
      <c r="AA73" s="62">
        <f>IF($V73="","",IF(AND(ISNUMBER($G73),$G73&lt;=IF($S73=MesCiclo,InicioCiclo,$S73+MOD(2-WEEKDAY($S73),7))+20),1,IF(ISNUMBER($K73),$K73,$Z73)))</f>
        <v/>
      </c>
      <c r="AB73" s="62">
        <f>IF($V73="","",IF(AND(ISNUMBER($G73),$G73&lt;=IF($S73=MesCiclo,InicioCiclo,$S73+MOD(2-WEEKDAY($S73),7))+27),1,IF(ISNUMBER($L73),$L73,$AA73)))</f>
        <v/>
      </c>
      <c r="AC73" s="62">
        <f>IF($V73="","",IF(AND(ISNUMBER($G73),$G73&lt;=IF($S73=MesCiclo,InicioCiclo,$S73+MOD(2-WEEKDAY($S73),7))+6),1,IF(N($W73)&gt;0,AVERAGEIFS($Y$5:$Y$1000,$U$5:$U$1000,ROW(),$V$5:$V$1000,"Sub"),$Y73)))</f>
        <v/>
      </c>
      <c r="AD73" s="62">
        <f>IF($V73="","",IF(AND(ISNUMBER($G73),$G73&lt;=IF($S73=MesCiclo,InicioCiclo,$S73+MOD(2-WEEKDAY($S73),7))+13),1,IF(N($W73)&gt;0,AVERAGEIFS($Z$5:$Z$1000,$U$5:$U$1000,ROW(),$V$5:$V$1000,"Sub"),$Z73)))</f>
        <v/>
      </c>
      <c r="AE73" s="62">
        <f>IF($V73="","",IF(AND(ISNUMBER($G73),$G73&lt;=IF($S73=MesCiclo,InicioCiclo,$S73+MOD(2-WEEKDAY($S73),7))+20),1,IF(N($W73)&gt;0,AVERAGEIFS($AA$5:$AA$1000,$U$5:$U$1000,ROW(),$V$5:$V$1000,"Sub"),$AA73)))</f>
        <v/>
      </c>
      <c r="AF73" s="62">
        <f>IF($V73="","",IF(AND(ISNUMBER($G73),$G73&lt;=IF($S73=MesCiclo,InicioCiclo,$S73+MOD(2-WEEKDAY($S73),7))+27),1,IF(N($W73)&gt;0,AVERAGEIFS($AB$5:$AB$1000,$U$5:$U$1000,ROW(),$V$5:$V$1000,"Sub"),$AB73)))</f>
        <v/>
      </c>
      <c r="AG73" s="62">
        <f>IF($V73&lt;&gt;"Macro","",IF(COUNTIFS($S$5:$S$1000,$S73,$V$5:$V$1000,"Macro",$H$5:$H$1000,"&gt;0")=0,1/COUNTIFS($S$5:$S$1000,$S73,$V$5:$V$1000,"Macro"),IF(AND(ISNUMBER($H73),N($H73)&gt;0),$H73,SUMIFS($H$5:$H$1000,$S$5:$S$1000,$S73,$V$5:$V$1000,"Macro")/COUNTIFS($S$5:$S$1000,$S73,$V$5:$V$1000,"Macro",$H$5:$H$1000,"&gt;0"))/(COUNTIFS($S$5:$S$1000,$S73,$V$5:$V$1000,"Macro")*SUMIFS($H$5:$H$1000,$S$5:$S$1000,$S73,$V$5:$V$1000,"Macro")/COUNTIFS($S$5:$S$1000,$S73,$V$5:$V$1000,"Macro",$H$5:$H$1000,"&gt;0"))))</f>
        <v/>
      </c>
      <c r="AH73" s="62" t="n"/>
      <c r="AI73" s="62" t="n"/>
      <c r="AJ73" s="62" t="n"/>
      <c r="AK73" s="62" t="n"/>
      <c r="AL73" s="62">
        <f>IF(LEFT($C73,11)="[Jefatura] ",IFERROR(MATCH("Riesgo Operacional|"&amp;MID($C73,12,500),rDname_ADM,0),0),"")</f>
        <v/>
      </c>
      <c r="AM73" s="62">
        <f>IF(N($AL73)&gt;0,INDEX(rIni_ADM,$AL73),IF(ISNUMBER($E73),$E73,""))</f>
        <v/>
      </c>
      <c r="AN73" s="62">
        <f>IF(N($AL73)&gt;0,INDEX(rLim_ADM,$AL73),IF(ISNUMBER($F73),$F73,""))</f>
        <v/>
      </c>
    </row>
    <row r="74">
      <c r="A74" s="56">
        <f>IF(NOT((COUNTA($B74:$D74)+COUNTA($G74:$L74)+COUNTA($Q74))&gt;0),"",IF($V74="Macro",COUNTIFS($V$5:$V74,"Macro",$S$5:$S74,$S74),IF(N($U74)=0,"?",COUNTIFS(INDEX($V$5:$V$1000,1):INDEX($V$5:$V$1000,$U74-4),"Macro",INDEX($S$5:$S$1000,1):INDEX($S$5:$S$1000,$U74-4),INDEX($S$5:$S$1000,$U74-4))&amp;"."&amp;COUNTIFS($U$5:$U74,$U74,$V$5:$V74,"Sub"))))</f>
        <v/>
      </c>
      <c r="B74" s="57" t="n"/>
      <c r="C74" s="58" t="n"/>
      <c r="D74" s="58" t="n"/>
      <c r="E74" s="59">
        <f>IF(N($AL74)&gt;0,INDEX(rIni_ADM,$AL74),"")</f>
        <v/>
      </c>
      <c r="F74" s="59">
        <f>IF(N($AL74)&gt;0,INDEX(rLim_ADM,$AL74),"")</f>
        <v/>
      </c>
      <c r="G74" s="59" t="n"/>
      <c r="H74" s="60" t="n"/>
      <c r="I74" s="60" t="n"/>
      <c r="J74" s="60" t="n"/>
      <c r="K74" s="60" t="n"/>
      <c r="L74" s="60" t="n"/>
      <c r="M74" s="61">
        <f>IF(NOT((COUNTA($B74:$D74)+COUNTA($G74:$L74)+COUNTA($Q74))&gt;0),"",IF(ISNUMBER($G74),1,IF(N($W74)&gt;0,AVERAGEIFS($X$5:$X$1000,$U$5:$U$1000,ROW(),$V$5:$V$1000,"Sub"),$X74)))</f>
        <v/>
      </c>
      <c r="N74" s="56">
        <f>IF($M74="","",IF($M74&gt;=1,"Completado",IF($M74&gt;0,"En curso","Pendiente")))</f>
        <v/>
      </c>
      <c r="O74" s="56">
        <f>IF(NOT((COUNTA($B74:$D74)+COUNTA($G74:$L74)+COUNTA($Q74))&gt;0),"",IF(ISNUMBER($G74),IF(AND(ISNUMBER($AN74),$G74&gt;$AN74),"Cumplida con "&amp;($G74-$AN74)&amp;IF($G74-$AN74=1," día"," días")&amp;" de retraso","Cumplida"),IF(N($M74)&gt;=1,"Cumplida",IF(NOT(ISNUMBER($AN74)),"Sin fecha límite",IF($AN74&lt;FechaRef,"Vencida hace "&amp;(FechaRef-$AN74)&amp;IF(FechaRef-$AN74=1," día"," días"),IF($AN74=FechaRef,"Vence hoy",IF($AN74-FechaRef&lt;=DiasAlerta,"Vence en "&amp;($AN74-FechaRef)&amp;IF($AN74-FechaRef=1," día"," días"),"En plazo")))))))</f>
        <v/>
      </c>
      <c r="P74" s="62" t="n"/>
      <c r="Q74" s="58" t="n"/>
      <c r="R74" s="63">
        <f>IF(NOT((COUNTA($B74:$D74)+COUNTA($G74:$L74)+COUNTA($Q74))&gt;0),"",IF((IF($C74="","Falta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",""))="","✔ OK","⚠ "&amp;LEFT(IF($C74="","Falta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",""),LEN(IF($C74="","Falta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",""))-3)))</f>
        <v/>
      </c>
      <c r="S74" s="64">
        <f>IF(NOT((COUNTA($B74:$D74)+COUNTA($G74:$L74)+COUNTA($Q74))&gt;0),"",IF(AND($V74="Sub",N($U74)&gt;0),IF(ISNUMBER(INDEX($AM$5:$AM$1000,$U74-4)),DATE(YEAR(INDEX($AM$5:$AM$1000,$U74-4)),MONTH(INDEX($AM$5:$AM$1000,$U74-4)),1),IF(ISNUMBER(INDEX($AN$5:$AN$1000,$U74-4)),DATE(YEAR(INDEX($AN$5:$AN$1000,$U74-4)),MONTH(INDEX($AN$5:$AN$1000,$U74-4)),1),MesCiclo)),IF(ISNUMBER($AM74),DATE(YEAR($AM74),MONTH($AM74),1),IF(ISNUMBER($AN74),DATE(YEAR($AN74),MONTH($AN74),1),MesCiclo))))</f>
        <v/>
      </c>
      <c r="T74" s="62">
        <f>IF(OR($S74="",$S74&lt;&gt;MesCiclo),"",COUNTIF($S$5:$S74,MesCiclo))</f>
        <v/>
      </c>
      <c r="U74" s="62">
        <f>IF($V74="","",IF($V74="Macro",ROW(),IFERROR(LOOKUP(2,1/($V$5:$V74="Macro"),ROW($V$5:$V74)),0)))</f>
        <v/>
      </c>
      <c r="V74" s="62">
        <f>IF(NOT((COUNTA($B74:$D74)+COUNTA($G74:$L74)+COUNTA($Q74))&gt;0),"",IF($B74="Subactividad","Sub","Macro"))</f>
        <v/>
      </c>
      <c r="W74" s="62">
        <f>IF($V74="Macro",COUNTIFS($U$5:$U$1000,ROW(),$V$5:$V$1000,"Sub"),"")</f>
        <v/>
      </c>
      <c r="X74" s="62">
        <f>IF($V74="","",IF(ISNUMBER($G74),1,IFERROR(LOOKUP(2,1/($I74:$L74&lt;&gt;""),$I74:$L74),0)))</f>
        <v/>
      </c>
      <c r="Y74" s="62">
        <f>IF($V74="","",IF(AND(ISNUMBER($G74),$G74&lt;=IF($S74=MesCiclo,InicioCiclo,$S74+MOD(2-WEEKDAY($S74),7))+6),1,IF(ISNUMBER($I74),$I74,0)))</f>
        <v/>
      </c>
      <c r="Z74" s="62">
        <f>IF($V74="","",IF(AND(ISNUMBER($G74),$G74&lt;=IF($S74=MesCiclo,InicioCiclo,$S74+MOD(2-WEEKDAY($S74),7))+13),1,IF(ISNUMBER($J74),$J74,$Y74)))</f>
        <v/>
      </c>
      <c r="AA74" s="62">
        <f>IF($V74="","",IF(AND(ISNUMBER($G74),$G74&lt;=IF($S74=MesCiclo,InicioCiclo,$S74+MOD(2-WEEKDAY($S74),7))+20),1,IF(ISNUMBER($K74),$K74,$Z74)))</f>
        <v/>
      </c>
      <c r="AB74" s="62">
        <f>IF($V74="","",IF(AND(ISNUMBER($G74),$G74&lt;=IF($S74=MesCiclo,InicioCiclo,$S74+MOD(2-WEEKDAY($S74),7))+27),1,IF(ISNUMBER($L74),$L74,$AA74)))</f>
        <v/>
      </c>
      <c r="AC74" s="62">
        <f>IF($V74="","",IF(AND(ISNUMBER($G74),$G74&lt;=IF($S74=MesCiclo,InicioCiclo,$S74+MOD(2-WEEKDAY($S74),7))+6),1,IF(N($W74)&gt;0,AVERAGEIFS($Y$5:$Y$1000,$U$5:$U$1000,ROW(),$V$5:$V$1000,"Sub"),$Y74)))</f>
        <v/>
      </c>
      <c r="AD74" s="62">
        <f>IF($V74="","",IF(AND(ISNUMBER($G74),$G74&lt;=IF($S74=MesCiclo,InicioCiclo,$S74+MOD(2-WEEKDAY($S74),7))+13),1,IF(N($W74)&gt;0,AVERAGEIFS($Z$5:$Z$1000,$U$5:$U$1000,ROW(),$V$5:$V$1000,"Sub"),$Z74)))</f>
        <v/>
      </c>
      <c r="AE74" s="62">
        <f>IF($V74="","",IF(AND(ISNUMBER($G74),$G74&lt;=IF($S74=MesCiclo,InicioCiclo,$S74+MOD(2-WEEKDAY($S74),7))+20),1,IF(N($W74)&gt;0,AVERAGEIFS($AA$5:$AA$1000,$U$5:$U$1000,ROW(),$V$5:$V$1000,"Sub"),$AA74)))</f>
        <v/>
      </c>
      <c r="AF74" s="62">
        <f>IF($V74="","",IF(AND(ISNUMBER($G74),$G74&lt;=IF($S74=MesCiclo,InicioCiclo,$S74+MOD(2-WEEKDAY($S74),7))+27),1,IF(N($W74)&gt;0,AVERAGEIFS($AB$5:$AB$1000,$U$5:$U$1000,ROW(),$V$5:$V$1000,"Sub"),$AB74)))</f>
        <v/>
      </c>
      <c r="AG74" s="62">
        <f>IF($V74&lt;&gt;"Macro","",IF(COUNTIFS($S$5:$S$1000,$S74,$V$5:$V$1000,"Macro",$H$5:$H$1000,"&gt;0")=0,1/COUNTIFS($S$5:$S$1000,$S74,$V$5:$V$1000,"Macro"),IF(AND(ISNUMBER($H74),N($H74)&gt;0),$H74,SUMIFS($H$5:$H$1000,$S$5:$S$1000,$S74,$V$5:$V$1000,"Macro")/COUNTIFS($S$5:$S$1000,$S74,$V$5:$V$1000,"Macro",$H$5:$H$1000,"&gt;0"))/(COUNTIFS($S$5:$S$1000,$S74,$V$5:$V$1000,"Macro")*SUMIFS($H$5:$H$1000,$S$5:$S$1000,$S74,$V$5:$V$1000,"Macro")/COUNTIFS($S$5:$S$1000,$S74,$V$5:$V$1000,"Macro",$H$5:$H$1000,"&gt;0"))))</f>
        <v/>
      </c>
      <c r="AH74" s="62" t="n"/>
      <c r="AI74" s="62" t="n"/>
      <c r="AJ74" s="62" t="n"/>
      <c r="AK74" s="62" t="n"/>
      <c r="AL74" s="62">
        <f>IF(LEFT($C74,11)="[Jefatura] ",IFERROR(MATCH("Riesgo Operacional|"&amp;MID($C74,12,500),rDname_ADM,0),0),"")</f>
        <v/>
      </c>
      <c r="AM74" s="62">
        <f>IF(N($AL74)&gt;0,INDEX(rIni_ADM,$AL74),IF(ISNUMBER($E74),$E74,""))</f>
        <v/>
      </c>
      <c r="AN74" s="62">
        <f>IF(N($AL74)&gt;0,INDEX(rLim_ADM,$AL74),IF(ISNUMBER($F74),$F74,""))</f>
        <v/>
      </c>
    </row>
    <row r="75">
      <c r="A75" s="56">
        <f>IF(NOT((COUNTA($B75:$D75)+COUNTA($G75:$L75)+COUNTA($Q75))&gt;0),"",IF($V75="Macro",COUNTIFS($V$5:$V75,"Macro",$S$5:$S75,$S75),IF(N($U75)=0,"?",COUNTIFS(INDEX($V$5:$V$1000,1):INDEX($V$5:$V$1000,$U75-4),"Macro",INDEX($S$5:$S$1000,1):INDEX($S$5:$S$1000,$U75-4),INDEX($S$5:$S$1000,$U75-4))&amp;"."&amp;COUNTIFS($U$5:$U75,$U75,$V$5:$V75,"Sub"))))</f>
        <v/>
      </c>
      <c r="B75" s="57" t="n"/>
      <c r="C75" s="58" t="n"/>
      <c r="D75" s="58" t="n"/>
      <c r="E75" s="59">
        <f>IF(N($AL75)&gt;0,INDEX(rIni_ADM,$AL75),"")</f>
        <v/>
      </c>
      <c r="F75" s="59">
        <f>IF(N($AL75)&gt;0,INDEX(rLim_ADM,$AL75),"")</f>
        <v/>
      </c>
      <c r="G75" s="59" t="n"/>
      <c r="H75" s="60" t="n"/>
      <c r="I75" s="60" t="n"/>
      <c r="J75" s="60" t="n"/>
      <c r="K75" s="60" t="n"/>
      <c r="L75" s="60" t="n"/>
      <c r="M75" s="61">
        <f>IF(NOT((COUNTA($B75:$D75)+COUNTA($G75:$L75)+COUNTA($Q75))&gt;0),"",IF(ISNUMBER($G75),1,IF(N($W75)&gt;0,AVERAGEIFS($X$5:$X$1000,$U$5:$U$1000,ROW(),$V$5:$V$1000,"Sub"),$X75)))</f>
        <v/>
      </c>
      <c r="N75" s="56">
        <f>IF($M75="","",IF($M75&gt;=1,"Completado",IF($M75&gt;0,"En curso","Pendiente")))</f>
        <v/>
      </c>
      <c r="O75" s="56">
        <f>IF(NOT((COUNTA($B75:$D75)+COUNTA($G75:$L75)+COUNTA($Q75))&gt;0),"",IF(ISNUMBER($G75),IF(AND(ISNUMBER($AN75),$G75&gt;$AN75),"Cumplida con "&amp;($G75-$AN75)&amp;IF($G75-$AN75=1," día"," días")&amp;" de retraso","Cumplida"),IF(N($M75)&gt;=1,"Cumplida",IF(NOT(ISNUMBER($AN75)),"Sin fecha límite",IF($AN75&lt;FechaRef,"Vencida hace "&amp;(FechaRef-$AN75)&amp;IF(FechaRef-$AN75=1," día"," días"),IF($AN75=FechaRef,"Vence hoy",IF($AN75-FechaRef&lt;=DiasAlerta,"Vence en "&amp;($AN75-FechaRef)&amp;IF($AN75-FechaRef=1," día"," días"),"En plazo")))))))</f>
        <v/>
      </c>
      <c r="P75" s="62" t="n"/>
      <c r="Q75" s="58" t="n"/>
      <c r="R75" s="63">
        <f>IF(NOT((COUNTA($B75:$D75)+COUNTA($G75:$L75)+COUNTA($Q75))&gt;0),"",IF((IF($C75="","Falta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",""))="","✔ OK","⚠ "&amp;LEFT(IF($C75="","Falta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",""),LEN(IF($C75="","Falta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",""))-3)))</f>
        <v/>
      </c>
      <c r="S75" s="64">
        <f>IF(NOT((COUNTA($B75:$D75)+COUNTA($G75:$L75)+COUNTA($Q75))&gt;0),"",IF(AND($V75="Sub",N($U75)&gt;0),IF(ISNUMBER(INDEX($AM$5:$AM$1000,$U75-4)),DATE(YEAR(INDEX($AM$5:$AM$1000,$U75-4)),MONTH(INDEX($AM$5:$AM$1000,$U75-4)),1),IF(ISNUMBER(INDEX($AN$5:$AN$1000,$U75-4)),DATE(YEAR(INDEX($AN$5:$AN$1000,$U75-4)),MONTH(INDEX($AN$5:$AN$1000,$U75-4)),1),MesCiclo)),IF(ISNUMBER($AM75),DATE(YEAR($AM75),MONTH($AM75),1),IF(ISNUMBER($AN75),DATE(YEAR($AN75),MONTH($AN75),1),MesCiclo))))</f>
        <v/>
      </c>
      <c r="T75" s="62">
        <f>IF(OR($S75="",$S75&lt;&gt;MesCiclo),"",COUNTIF($S$5:$S75,MesCiclo))</f>
        <v/>
      </c>
      <c r="U75" s="62">
        <f>IF($V75="","",IF($V75="Macro",ROW(),IFERROR(LOOKUP(2,1/($V$5:$V75="Macro"),ROW($V$5:$V75)),0)))</f>
        <v/>
      </c>
      <c r="V75" s="62">
        <f>IF(NOT((COUNTA($B75:$D75)+COUNTA($G75:$L75)+COUNTA($Q75))&gt;0),"",IF($B75="Subactividad","Sub","Macro"))</f>
        <v/>
      </c>
      <c r="W75" s="62">
        <f>IF($V75="Macro",COUNTIFS($U$5:$U$1000,ROW(),$V$5:$V$1000,"Sub"),"")</f>
        <v/>
      </c>
      <c r="X75" s="62">
        <f>IF($V75="","",IF(ISNUMBER($G75),1,IFERROR(LOOKUP(2,1/($I75:$L75&lt;&gt;""),$I75:$L75),0)))</f>
        <v/>
      </c>
      <c r="Y75" s="62">
        <f>IF($V75="","",IF(AND(ISNUMBER($G75),$G75&lt;=IF($S75=MesCiclo,InicioCiclo,$S75+MOD(2-WEEKDAY($S75),7))+6),1,IF(ISNUMBER($I75),$I75,0)))</f>
        <v/>
      </c>
      <c r="Z75" s="62">
        <f>IF($V75="","",IF(AND(ISNUMBER($G75),$G75&lt;=IF($S75=MesCiclo,InicioCiclo,$S75+MOD(2-WEEKDAY($S75),7))+13),1,IF(ISNUMBER($J75),$J75,$Y75)))</f>
        <v/>
      </c>
      <c r="AA75" s="62">
        <f>IF($V75="","",IF(AND(ISNUMBER($G75),$G75&lt;=IF($S75=MesCiclo,InicioCiclo,$S75+MOD(2-WEEKDAY($S75),7))+20),1,IF(ISNUMBER($K75),$K75,$Z75)))</f>
        <v/>
      </c>
      <c r="AB75" s="62">
        <f>IF($V75="","",IF(AND(ISNUMBER($G75),$G75&lt;=IF($S75=MesCiclo,InicioCiclo,$S75+MOD(2-WEEKDAY($S75),7))+27),1,IF(ISNUMBER($L75),$L75,$AA75)))</f>
        <v/>
      </c>
      <c r="AC75" s="62">
        <f>IF($V75="","",IF(AND(ISNUMBER($G75),$G75&lt;=IF($S75=MesCiclo,InicioCiclo,$S75+MOD(2-WEEKDAY($S75),7))+6),1,IF(N($W75)&gt;0,AVERAGEIFS($Y$5:$Y$1000,$U$5:$U$1000,ROW(),$V$5:$V$1000,"Sub"),$Y75)))</f>
        <v/>
      </c>
      <c r="AD75" s="62">
        <f>IF($V75="","",IF(AND(ISNUMBER($G75),$G75&lt;=IF($S75=MesCiclo,InicioCiclo,$S75+MOD(2-WEEKDAY($S75),7))+13),1,IF(N($W75)&gt;0,AVERAGEIFS($Z$5:$Z$1000,$U$5:$U$1000,ROW(),$V$5:$V$1000,"Sub"),$Z75)))</f>
        <v/>
      </c>
      <c r="AE75" s="62">
        <f>IF($V75="","",IF(AND(ISNUMBER($G75),$G75&lt;=IF($S75=MesCiclo,InicioCiclo,$S75+MOD(2-WEEKDAY($S75),7))+20),1,IF(N($W75)&gt;0,AVERAGEIFS($AA$5:$AA$1000,$U$5:$U$1000,ROW(),$V$5:$V$1000,"Sub"),$AA75)))</f>
        <v/>
      </c>
      <c r="AF75" s="62">
        <f>IF($V75="","",IF(AND(ISNUMBER($G75),$G75&lt;=IF($S75=MesCiclo,InicioCiclo,$S75+MOD(2-WEEKDAY($S75),7))+27),1,IF(N($W75)&gt;0,AVERAGEIFS($AB$5:$AB$1000,$U$5:$U$1000,ROW(),$V$5:$V$1000,"Sub"),$AB75)))</f>
        <v/>
      </c>
      <c r="AG75" s="62">
        <f>IF($V75&lt;&gt;"Macro","",IF(COUNTIFS($S$5:$S$1000,$S75,$V$5:$V$1000,"Macro",$H$5:$H$1000,"&gt;0")=0,1/COUNTIFS($S$5:$S$1000,$S75,$V$5:$V$1000,"Macro"),IF(AND(ISNUMBER($H75),N($H75)&gt;0),$H75,SUMIFS($H$5:$H$1000,$S$5:$S$1000,$S75,$V$5:$V$1000,"Macro")/COUNTIFS($S$5:$S$1000,$S75,$V$5:$V$1000,"Macro",$H$5:$H$1000,"&gt;0"))/(COUNTIFS($S$5:$S$1000,$S75,$V$5:$V$1000,"Macro")*SUMIFS($H$5:$H$1000,$S$5:$S$1000,$S75,$V$5:$V$1000,"Macro")/COUNTIFS($S$5:$S$1000,$S75,$V$5:$V$1000,"Macro",$H$5:$H$1000,"&gt;0"))))</f>
        <v/>
      </c>
      <c r="AH75" s="62" t="n"/>
      <c r="AI75" s="62" t="n"/>
      <c r="AJ75" s="62" t="n"/>
      <c r="AK75" s="62" t="n"/>
      <c r="AL75" s="62">
        <f>IF(LEFT($C75,11)="[Jefatura] ",IFERROR(MATCH("Riesgo Operacional|"&amp;MID($C75,12,500),rDname_ADM,0),0),"")</f>
        <v/>
      </c>
      <c r="AM75" s="62">
        <f>IF(N($AL75)&gt;0,INDEX(rIni_ADM,$AL75),IF(ISNUMBER($E75),$E75,""))</f>
        <v/>
      </c>
      <c r="AN75" s="62">
        <f>IF(N($AL75)&gt;0,INDEX(rLim_ADM,$AL75),IF(ISNUMBER($F75),$F75,""))</f>
        <v/>
      </c>
    </row>
    <row r="76">
      <c r="A76" s="56">
        <f>IF(NOT((COUNTA($B76:$D76)+COUNTA($G76:$L76)+COUNTA($Q76))&gt;0),"",IF($V76="Macro",COUNTIFS($V$5:$V76,"Macro",$S$5:$S76,$S76),IF(N($U76)=0,"?",COUNTIFS(INDEX($V$5:$V$1000,1):INDEX($V$5:$V$1000,$U76-4),"Macro",INDEX($S$5:$S$1000,1):INDEX($S$5:$S$1000,$U76-4),INDEX($S$5:$S$1000,$U76-4))&amp;"."&amp;COUNTIFS($U$5:$U76,$U76,$V$5:$V76,"Sub"))))</f>
        <v/>
      </c>
      <c r="B76" s="57" t="n"/>
      <c r="C76" s="58" t="n"/>
      <c r="D76" s="58" t="n"/>
      <c r="E76" s="59">
        <f>IF(N($AL76)&gt;0,INDEX(rIni_ADM,$AL76),"")</f>
        <v/>
      </c>
      <c r="F76" s="59">
        <f>IF(N($AL76)&gt;0,INDEX(rLim_ADM,$AL76),"")</f>
        <v/>
      </c>
      <c r="G76" s="59" t="n"/>
      <c r="H76" s="60" t="n"/>
      <c r="I76" s="60" t="n"/>
      <c r="J76" s="60" t="n"/>
      <c r="K76" s="60" t="n"/>
      <c r="L76" s="60" t="n"/>
      <c r="M76" s="61">
        <f>IF(NOT((COUNTA($B76:$D76)+COUNTA($G76:$L76)+COUNTA($Q76))&gt;0),"",IF(ISNUMBER($G76),1,IF(N($W76)&gt;0,AVERAGEIFS($X$5:$X$1000,$U$5:$U$1000,ROW(),$V$5:$V$1000,"Sub"),$X76)))</f>
        <v/>
      </c>
      <c r="N76" s="56">
        <f>IF($M76="","",IF($M76&gt;=1,"Completado",IF($M76&gt;0,"En curso","Pendiente")))</f>
        <v/>
      </c>
      <c r="O76" s="56">
        <f>IF(NOT((COUNTA($B76:$D76)+COUNTA($G76:$L76)+COUNTA($Q76))&gt;0),"",IF(ISNUMBER($G76),IF(AND(ISNUMBER($AN76),$G76&gt;$AN76),"Cumplida con "&amp;($G76-$AN76)&amp;IF($G76-$AN76=1," día"," días")&amp;" de retraso","Cumplida"),IF(N($M76)&gt;=1,"Cumplida",IF(NOT(ISNUMBER($AN76)),"Sin fecha límite",IF($AN76&lt;FechaRef,"Vencida hace "&amp;(FechaRef-$AN76)&amp;IF(FechaRef-$AN76=1," día"," días"),IF($AN76=FechaRef,"Vence hoy",IF($AN76-FechaRef&lt;=DiasAlerta,"Vence en "&amp;($AN76-FechaRef)&amp;IF($AN76-FechaRef=1," día"," días"),"En plazo")))))))</f>
        <v/>
      </c>
      <c r="P76" s="62" t="n"/>
      <c r="Q76" s="58" t="n"/>
      <c r="R76" s="63">
        <f>IF(NOT((COUNTA($B76:$D76)+COUNTA($G76:$L76)+COUNTA($Q76))&gt;0),"",IF((IF($C76="","Falta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",""))="","✔ OK","⚠ "&amp;LEFT(IF($C76="","Falta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",""),LEN(IF($C76="","Falta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",""))-3)))</f>
        <v/>
      </c>
      <c r="S76" s="64">
        <f>IF(NOT((COUNTA($B76:$D76)+COUNTA($G76:$L76)+COUNTA($Q76))&gt;0),"",IF(AND($V76="Sub",N($U76)&gt;0),IF(ISNUMBER(INDEX($AM$5:$AM$1000,$U76-4)),DATE(YEAR(INDEX($AM$5:$AM$1000,$U76-4)),MONTH(INDEX($AM$5:$AM$1000,$U76-4)),1),IF(ISNUMBER(INDEX($AN$5:$AN$1000,$U76-4)),DATE(YEAR(INDEX($AN$5:$AN$1000,$U76-4)),MONTH(INDEX($AN$5:$AN$1000,$U76-4)),1),MesCiclo)),IF(ISNUMBER($AM76),DATE(YEAR($AM76),MONTH($AM76),1),IF(ISNUMBER($AN76),DATE(YEAR($AN76),MONTH($AN76),1),MesCiclo))))</f>
        <v/>
      </c>
      <c r="T76" s="62">
        <f>IF(OR($S76="",$S76&lt;&gt;MesCiclo),"",COUNTIF($S$5:$S76,MesCiclo))</f>
        <v/>
      </c>
      <c r="U76" s="62">
        <f>IF($V76="","",IF($V76="Macro",ROW(),IFERROR(LOOKUP(2,1/($V$5:$V76="Macro"),ROW($V$5:$V76)),0)))</f>
        <v/>
      </c>
      <c r="V76" s="62">
        <f>IF(NOT((COUNTA($B76:$D76)+COUNTA($G76:$L76)+COUNTA($Q76))&gt;0),"",IF($B76="Subactividad","Sub","Macro"))</f>
        <v/>
      </c>
      <c r="W76" s="62">
        <f>IF($V76="Macro",COUNTIFS($U$5:$U$1000,ROW(),$V$5:$V$1000,"Sub"),"")</f>
        <v/>
      </c>
      <c r="X76" s="62">
        <f>IF($V76="","",IF(ISNUMBER($G76),1,IFERROR(LOOKUP(2,1/($I76:$L76&lt;&gt;""),$I76:$L76),0)))</f>
        <v/>
      </c>
      <c r="Y76" s="62">
        <f>IF($V76="","",IF(AND(ISNUMBER($G76),$G76&lt;=IF($S76=MesCiclo,InicioCiclo,$S76+MOD(2-WEEKDAY($S76),7))+6),1,IF(ISNUMBER($I76),$I76,0)))</f>
        <v/>
      </c>
      <c r="Z76" s="62">
        <f>IF($V76="","",IF(AND(ISNUMBER($G76),$G76&lt;=IF($S76=MesCiclo,InicioCiclo,$S76+MOD(2-WEEKDAY($S76),7))+13),1,IF(ISNUMBER($J76),$J76,$Y76)))</f>
        <v/>
      </c>
      <c r="AA76" s="62">
        <f>IF($V76="","",IF(AND(ISNUMBER($G76),$G76&lt;=IF($S76=MesCiclo,InicioCiclo,$S76+MOD(2-WEEKDAY($S76),7))+20),1,IF(ISNUMBER($K76),$K76,$Z76)))</f>
        <v/>
      </c>
      <c r="AB76" s="62">
        <f>IF($V76="","",IF(AND(ISNUMBER($G76),$G76&lt;=IF($S76=MesCiclo,InicioCiclo,$S76+MOD(2-WEEKDAY($S76),7))+27),1,IF(ISNUMBER($L76),$L76,$AA76)))</f>
        <v/>
      </c>
      <c r="AC76" s="62">
        <f>IF($V76="","",IF(AND(ISNUMBER($G76),$G76&lt;=IF($S76=MesCiclo,InicioCiclo,$S76+MOD(2-WEEKDAY($S76),7))+6),1,IF(N($W76)&gt;0,AVERAGEIFS($Y$5:$Y$1000,$U$5:$U$1000,ROW(),$V$5:$V$1000,"Sub"),$Y76)))</f>
        <v/>
      </c>
      <c r="AD76" s="62">
        <f>IF($V76="","",IF(AND(ISNUMBER($G76),$G76&lt;=IF($S76=MesCiclo,InicioCiclo,$S76+MOD(2-WEEKDAY($S76),7))+13),1,IF(N($W76)&gt;0,AVERAGEIFS($Z$5:$Z$1000,$U$5:$U$1000,ROW(),$V$5:$V$1000,"Sub"),$Z76)))</f>
        <v/>
      </c>
      <c r="AE76" s="62">
        <f>IF($V76="","",IF(AND(ISNUMBER($G76),$G76&lt;=IF($S76=MesCiclo,InicioCiclo,$S76+MOD(2-WEEKDAY($S76),7))+20),1,IF(N($W76)&gt;0,AVERAGEIFS($AA$5:$AA$1000,$U$5:$U$1000,ROW(),$V$5:$V$1000,"Sub"),$AA76)))</f>
        <v/>
      </c>
      <c r="AF76" s="62">
        <f>IF($V76="","",IF(AND(ISNUMBER($G76),$G76&lt;=IF($S76=MesCiclo,InicioCiclo,$S76+MOD(2-WEEKDAY($S76),7))+27),1,IF(N($W76)&gt;0,AVERAGEIFS($AB$5:$AB$1000,$U$5:$U$1000,ROW(),$V$5:$V$1000,"Sub"),$AB76)))</f>
        <v/>
      </c>
      <c r="AG76" s="62">
        <f>IF($V76&lt;&gt;"Macro","",IF(COUNTIFS($S$5:$S$1000,$S76,$V$5:$V$1000,"Macro",$H$5:$H$1000,"&gt;0")=0,1/COUNTIFS($S$5:$S$1000,$S76,$V$5:$V$1000,"Macro"),IF(AND(ISNUMBER($H76),N($H76)&gt;0),$H76,SUMIFS($H$5:$H$1000,$S$5:$S$1000,$S76,$V$5:$V$1000,"Macro")/COUNTIFS($S$5:$S$1000,$S76,$V$5:$V$1000,"Macro",$H$5:$H$1000,"&gt;0"))/(COUNTIFS($S$5:$S$1000,$S76,$V$5:$V$1000,"Macro")*SUMIFS($H$5:$H$1000,$S$5:$S$1000,$S76,$V$5:$V$1000,"Macro")/COUNTIFS($S$5:$S$1000,$S76,$V$5:$V$1000,"Macro",$H$5:$H$1000,"&gt;0"))))</f>
        <v/>
      </c>
      <c r="AH76" s="62" t="n"/>
      <c r="AI76" s="62" t="n"/>
      <c r="AJ76" s="62" t="n"/>
      <c r="AK76" s="62" t="n"/>
      <c r="AL76" s="62">
        <f>IF(LEFT($C76,11)="[Jefatura] ",IFERROR(MATCH("Riesgo Operacional|"&amp;MID($C76,12,500),rDname_ADM,0),0),"")</f>
        <v/>
      </c>
      <c r="AM76" s="62">
        <f>IF(N($AL76)&gt;0,INDEX(rIni_ADM,$AL76),IF(ISNUMBER($E76),$E76,""))</f>
        <v/>
      </c>
      <c r="AN76" s="62">
        <f>IF(N($AL76)&gt;0,INDEX(rLim_ADM,$AL76),IF(ISNUMBER($F76),$F76,""))</f>
        <v/>
      </c>
    </row>
    <row r="77">
      <c r="A77" s="56">
        <f>IF(NOT((COUNTA($B77:$D77)+COUNTA($G77:$L77)+COUNTA($Q77))&gt;0),"",IF($V77="Macro",COUNTIFS($V$5:$V77,"Macro",$S$5:$S77,$S77),IF(N($U77)=0,"?",COUNTIFS(INDEX($V$5:$V$1000,1):INDEX($V$5:$V$1000,$U77-4),"Macro",INDEX($S$5:$S$1000,1):INDEX($S$5:$S$1000,$U77-4),INDEX($S$5:$S$1000,$U77-4))&amp;"."&amp;COUNTIFS($U$5:$U77,$U77,$V$5:$V77,"Sub"))))</f>
        <v/>
      </c>
      <c r="B77" s="57" t="n"/>
      <c r="C77" s="58" t="n"/>
      <c r="D77" s="58" t="n"/>
      <c r="E77" s="59">
        <f>IF(N($AL77)&gt;0,INDEX(rIni_ADM,$AL77),"")</f>
        <v/>
      </c>
      <c r="F77" s="59">
        <f>IF(N($AL77)&gt;0,INDEX(rLim_ADM,$AL77),"")</f>
        <v/>
      </c>
      <c r="G77" s="59" t="n"/>
      <c r="H77" s="60" t="n"/>
      <c r="I77" s="60" t="n"/>
      <c r="J77" s="60" t="n"/>
      <c r="K77" s="60" t="n"/>
      <c r="L77" s="60" t="n"/>
      <c r="M77" s="61">
        <f>IF(NOT((COUNTA($B77:$D77)+COUNTA($G77:$L77)+COUNTA($Q77))&gt;0),"",IF(ISNUMBER($G77),1,IF(N($W77)&gt;0,AVERAGEIFS($X$5:$X$1000,$U$5:$U$1000,ROW(),$V$5:$V$1000,"Sub"),$X77)))</f>
        <v/>
      </c>
      <c r="N77" s="56">
        <f>IF($M77="","",IF($M77&gt;=1,"Completado",IF($M77&gt;0,"En curso","Pendiente")))</f>
        <v/>
      </c>
      <c r="O77" s="56">
        <f>IF(NOT((COUNTA($B77:$D77)+COUNTA($G77:$L77)+COUNTA($Q77))&gt;0),"",IF(ISNUMBER($G77),IF(AND(ISNUMBER($AN77),$G77&gt;$AN77),"Cumplida con "&amp;($G77-$AN77)&amp;IF($G77-$AN77=1," día"," días")&amp;" de retraso","Cumplida"),IF(N($M77)&gt;=1,"Cumplida",IF(NOT(ISNUMBER($AN77)),"Sin fecha límite",IF($AN77&lt;FechaRef,"Vencida hace "&amp;(FechaRef-$AN77)&amp;IF(FechaRef-$AN77=1," día"," días"),IF($AN77=FechaRef,"Vence hoy",IF($AN77-FechaRef&lt;=DiasAlerta,"Vence en "&amp;($AN77-FechaRef)&amp;IF($AN77-FechaRef=1," día"," días"),"En plazo")))))))</f>
        <v/>
      </c>
      <c r="P77" s="62" t="n"/>
      <c r="Q77" s="58" t="n"/>
      <c r="R77" s="63">
        <f>IF(NOT((COUNTA($B77:$D77)+COUNTA($G77:$L77)+COUNTA($Q77))&gt;0),"",IF((IF($C77="","Falta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",""))="","✔ OK","⚠ "&amp;LEFT(IF($C77="","Falta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",""),LEN(IF($C77="","Falta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",""))-3)))</f>
        <v/>
      </c>
      <c r="S77" s="64">
        <f>IF(NOT((COUNTA($B77:$D77)+COUNTA($G77:$L77)+COUNTA($Q77))&gt;0),"",IF(AND($V77="Sub",N($U77)&gt;0),IF(ISNUMBER(INDEX($AM$5:$AM$1000,$U77-4)),DATE(YEAR(INDEX($AM$5:$AM$1000,$U77-4)),MONTH(INDEX($AM$5:$AM$1000,$U77-4)),1),IF(ISNUMBER(INDEX($AN$5:$AN$1000,$U77-4)),DATE(YEAR(INDEX($AN$5:$AN$1000,$U77-4)),MONTH(INDEX($AN$5:$AN$1000,$U77-4)),1),MesCiclo)),IF(ISNUMBER($AM77),DATE(YEAR($AM77),MONTH($AM77),1),IF(ISNUMBER($AN77),DATE(YEAR($AN77),MONTH($AN77),1),MesCiclo))))</f>
        <v/>
      </c>
      <c r="T77" s="62">
        <f>IF(OR($S77="",$S77&lt;&gt;MesCiclo),"",COUNTIF($S$5:$S77,MesCiclo))</f>
        <v/>
      </c>
      <c r="U77" s="62">
        <f>IF($V77="","",IF($V77="Macro",ROW(),IFERROR(LOOKUP(2,1/($V$5:$V77="Macro"),ROW($V$5:$V77)),0)))</f>
        <v/>
      </c>
      <c r="V77" s="62">
        <f>IF(NOT((COUNTA($B77:$D77)+COUNTA($G77:$L77)+COUNTA($Q77))&gt;0),"",IF($B77="Subactividad","Sub","Macro"))</f>
        <v/>
      </c>
      <c r="W77" s="62">
        <f>IF($V77="Macro",COUNTIFS($U$5:$U$1000,ROW(),$V$5:$V$1000,"Sub"),"")</f>
        <v/>
      </c>
      <c r="X77" s="62">
        <f>IF($V77="","",IF(ISNUMBER($G77),1,IFERROR(LOOKUP(2,1/($I77:$L77&lt;&gt;""),$I77:$L77),0)))</f>
        <v/>
      </c>
      <c r="Y77" s="62">
        <f>IF($V77="","",IF(AND(ISNUMBER($G77),$G77&lt;=IF($S77=MesCiclo,InicioCiclo,$S77+MOD(2-WEEKDAY($S77),7))+6),1,IF(ISNUMBER($I77),$I77,0)))</f>
        <v/>
      </c>
      <c r="Z77" s="62">
        <f>IF($V77="","",IF(AND(ISNUMBER($G77),$G77&lt;=IF($S77=MesCiclo,InicioCiclo,$S77+MOD(2-WEEKDAY($S77),7))+13),1,IF(ISNUMBER($J77),$J77,$Y77)))</f>
        <v/>
      </c>
      <c r="AA77" s="62">
        <f>IF($V77="","",IF(AND(ISNUMBER($G77),$G77&lt;=IF($S77=MesCiclo,InicioCiclo,$S77+MOD(2-WEEKDAY($S77),7))+20),1,IF(ISNUMBER($K77),$K77,$Z77)))</f>
        <v/>
      </c>
      <c r="AB77" s="62">
        <f>IF($V77="","",IF(AND(ISNUMBER($G77),$G77&lt;=IF($S77=MesCiclo,InicioCiclo,$S77+MOD(2-WEEKDAY($S77),7))+27),1,IF(ISNUMBER($L77),$L77,$AA77)))</f>
        <v/>
      </c>
      <c r="AC77" s="62">
        <f>IF($V77="","",IF(AND(ISNUMBER($G77),$G77&lt;=IF($S77=MesCiclo,InicioCiclo,$S77+MOD(2-WEEKDAY($S77),7))+6),1,IF(N($W77)&gt;0,AVERAGEIFS($Y$5:$Y$1000,$U$5:$U$1000,ROW(),$V$5:$V$1000,"Sub"),$Y77)))</f>
        <v/>
      </c>
      <c r="AD77" s="62">
        <f>IF($V77="","",IF(AND(ISNUMBER($G77),$G77&lt;=IF($S77=MesCiclo,InicioCiclo,$S77+MOD(2-WEEKDAY($S77),7))+13),1,IF(N($W77)&gt;0,AVERAGEIFS($Z$5:$Z$1000,$U$5:$U$1000,ROW(),$V$5:$V$1000,"Sub"),$Z77)))</f>
        <v/>
      </c>
      <c r="AE77" s="62">
        <f>IF($V77="","",IF(AND(ISNUMBER($G77),$G77&lt;=IF($S77=MesCiclo,InicioCiclo,$S77+MOD(2-WEEKDAY($S77),7))+20),1,IF(N($W77)&gt;0,AVERAGEIFS($AA$5:$AA$1000,$U$5:$U$1000,ROW(),$V$5:$V$1000,"Sub"),$AA77)))</f>
        <v/>
      </c>
      <c r="AF77" s="62">
        <f>IF($V77="","",IF(AND(ISNUMBER($G77),$G77&lt;=IF($S77=MesCiclo,InicioCiclo,$S77+MOD(2-WEEKDAY($S77),7))+27),1,IF(N($W77)&gt;0,AVERAGEIFS($AB$5:$AB$1000,$U$5:$U$1000,ROW(),$V$5:$V$1000,"Sub"),$AB77)))</f>
        <v/>
      </c>
      <c r="AG77" s="62">
        <f>IF($V77&lt;&gt;"Macro","",IF(COUNTIFS($S$5:$S$1000,$S77,$V$5:$V$1000,"Macro",$H$5:$H$1000,"&gt;0")=0,1/COUNTIFS($S$5:$S$1000,$S77,$V$5:$V$1000,"Macro"),IF(AND(ISNUMBER($H77),N($H77)&gt;0),$H77,SUMIFS($H$5:$H$1000,$S$5:$S$1000,$S77,$V$5:$V$1000,"Macro")/COUNTIFS($S$5:$S$1000,$S77,$V$5:$V$1000,"Macro",$H$5:$H$1000,"&gt;0"))/(COUNTIFS($S$5:$S$1000,$S77,$V$5:$V$1000,"Macro")*SUMIFS($H$5:$H$1000,$S$5:$S$1000,$S77,$V$5:$V$1000,"Macro")/COUNTIFS($S$5:$S$1000,$S77,$V$5:$V$1000,"Macro",$H$5:$H$1000,"&gt;0"))))</f>
        <v/>
      </c>
      <c r="AH77" s="62" t="n"/>
      <c r="AI77" s="62" t="n"/>
      <c r="AJ77" s="62" t="n"/>
      <c r="AK77" s="62" t="n"/>
      <c r="AL77" s="62">
        <f>IF(LEFT($C77,11)="[Jefatura] ",IFERROR(MATCH("Riesgo Operacional|"&amp;MID($C77,12,500),rDname_ADM,0),0),"")</f>
        <v/>
      </c>
      <c r="AM77" s="62">
        <f>IF(N($AL77)&gt;0,INDEX(rIni_ADM,$AL77),IF(ISNUMBER($E77),$E77,""))</f>
        <v/>
      </c>
      <c r="AN77" s="62">
        <f>IF(N($AL77)&gt;0,INDEX(rLim_ADM,$AL77),IF(ISNUMBER($F77),$F77,""))</f>
        <v/>
      </c>
    </row>
    <row r="78">
      <c r="A78" s="56">
        <f>IF(NOT((COUNTA($B78:$D78)+COUNTA($G78:$L78)+COUNTA($Q78))&gt;0),"",IF($V78="Macro",COUNTIFS($V$5:$V78,"Macro",$S$5:$S78,$S78),IF(N($U78)=0,"?",COUNTIFS(INDEX($V$5:$V$1000,1):INDEX($V$5:$V$1000,$U78-4),"Macro",INDEX($S$5:$S$1000,1):INDEX($S$5:$S$1000,$U78-4),INDEX($S$5:$S$1000,$U78-4))&amp;"."&amp;COUNTIFS($U$5:$U78,$U78,$V$5:$V78,"Sub"))))</f>
        <v/>
      </c>
      <c r="B78" s="57" t="n"/>
      <c r="C78" s="58" t="n"/>
      <c r="D78" s="58" t="n"/>
      <c r="E78" s="59">
        <f>IF(N($AL78)&gt;0,INDEX(rIni_ADM,$AL78),"")</f>
        <v/>
      </c>
      <c r="F78" s="59">
        <f>IF(N($AL78)&gt;0,INDEX(rLim_ADM,$AL78),"")</f>
        <v/>
      </c>
      <c r="G78" s="59" t="n"/>
      <c r="H78" s="60" t="n"/>
      <c r="I78" s="60" t="n"/>
      <c r="J78" s="60" t="n"/>
      <c r="K78" s="60" t="n"/>
      <c r="L78" s="60" t="n"/>
      <c r="M78" s="61">
        <f>IF(NOT((COUNTA($B78:$D78)+COUNTA($G78:$L78)+COUNTA($Q78))&gt;0),"",IF(ISNUMBER($G78),1,IF(N($W78)&gt;0,AVERAGEIFS($X$5:$X$1000,$U$5:$U$1000,ROW(),$V$5:$V$1000,"Sub"),$X78)))</f>
        <v/>
      </c>
      <c r="N78" s="56">
        <f>IF($M78="","",IF($M78&gt;=1,"Completado",IF($M78&gt;0,"En curso","Pendiente")))</f>
        <v/>
      </c>
      <c r="O78" s="56">
        <f>IF(NOT((COUNTA($B78:$D78)+COUNTA($G78:$L78)+COUNTA($Q78))&gt;0),"",IF(ISNUMBER($G78),IF(AND(ISNUMBER($AN78),$G78&gt;$AN78),"Cumplida con "&amp;($G78-$AN78)&amp;IF($G78-$AN78=1," día"," días")&amp;" de retraso","Cumplida"),IF(N($M78)&gt;=1,"Cumplida",IF(NOT(ISNUMBER($AN78)),"Sin fecha límite",IF($AN78&lt;FechaRef,"Vencida hace "&amp;(FechaRef-$AN78)&amp;IF(FechaRef-$AN78=1," día"," días"),IF($AN78=FechaRef,"Vence hoy",IF($AN78-FechaRef&lt;=DiasAlerta,"Vence en "&amp;($AN78-FechaRef)&amp;IF($AN78-FechaRef=1," día"," días"),"En plazo")))))))</f>
        <v/>
      </c>
      <c r="P78" s="62" t="n"/>
      <c r="Q78" s="58" t="n"/>
      <c r="R78" s="63">
        <f>IF(NOT((COUNTA($B78:$D78)+COUNTA($G78:$L78)+COUNTA($Q78))&gt;0),"",IF((IF($C78="","Falta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",""))="","✔ OK","⚠ "&amp;LEFT(IF($C78="","Falta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",""),LEN(IF($C78="","Falta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",""))-3)))</f>
        <v/>
      </c>
      <c r="S78" s="64">
        <f>IF(NOT((COUNTA($B78:$D78)+COUNTA($G78:$L78)+COUNTA($Q78))&gt;0),"",IF(AND($V78="Sub",N($U78)&gt;0),IF(ISNUMBER(INDEX($AM$5:$AM$1000,$U78-4)),DATE(YEAR(INDEX($AM$5:$AM$1000,$U78-4)),MONTH(INDEX($AM$5:$AM$1000,$U78-4)),1),IF(ISNUMBER(INDEX($AN$5:$AN$1000,$U78-4)),DATE(YEAR(INDEX($AN$5:$AN$1000,$U78-4)),MONTH(INDEX($AN$5:$AN$1000,$U78-4)),1),MesCiclo)),IF(ISNUMBER($AM78),DATE(YEAR($AM78),MONTH($AM78),1),IF(ISNUMBER($AN78),DATE(YEAR($AN78),MONTH($AN78),1),MesCiclo))))</f>
        <v/>
      </c>
      <c r="T78" s="62">
        <f>IF(OR($S78="",$S78&lt;&gt;MesCiclo),"",COUNTIF($S$5:$S78,MesCiclo))</f>
        <v/>
      </c>
      <c r="U78" s="62">
        <f>IF($V78="","",IF($V78="Macro",ROW(),IFERROR(LOOKUP(2,1/($V$5:$V78="Macro"),ROW($V$5:$V78)),0)))</f>
        <v/>
      </c>
      <c r="V78" s="62">
        <f>IF(NOT((COUNTA($B78:$D78)+COUNTA($G78:$L78)+COUNTA($Q78))&gt;0),"",IF($B78="Subactividad","Sub","Macro"))</f>
        <v/>
      </c>
      <c r="W78" s="62">
        <f>IF($V78="Macro",COUNTIFS($U$5:$U$1000,ROW(),$V$5:$V$1000,"Sub"),"")</f>
        <v/>
      </c>
      <c r="X78" s="62">
        <f>IF($V78="","",IF(ISNUMBER($G78),1,IFERROR(LOOKUP(2,1/($I78:$L78&lt;&gt;""),$I78:$L78),0)))</f>
        <v/>
      </c>
      <c r="Y78" s="62">
        <f>IF($V78="","",IF(AND(ISNUMBER($G78),$G78&lt;=IF($S78=MesCiclo,InicioCiclo,$S78+MOD(2-WEEKDAY($S78),7))+6),1,IF(ISNUMBER($I78),$I78,0)))</f>
        <v/>
      </c>
      <c r="Z78" s="62">
        <f>IF($V78="","",IF(AND(ISNUMBER($G78),$G78&lt;=IF($S78=MesCiclo,InicioCiclo,$S78+MOD(2-WEEKDAY($S78),7))+13),1,IF(ISNUMBER($J78),$J78,$Y78)))</f>
        <v/>
      </c>
      <c r="AA78" s="62">
        <f>IF($V78="","",IF(AND(ISNUMBER($G78),$G78&lt;=IF($S78=MesCiclo,InicioCiclo,$S78+MOD(2-WEEKDAY($S78),7))+20),1,IF(ISNUMBER($K78),$K78,$Z78)))</f>
        <v/>
      </c>
      <c r="AB78" s="62">
        <f>IF($V78="","",IF(AND(ISNUMBER($G78),$G78&lt;=IF($S78=MesCiclo,InicioCiclo,$S78+MOD(2-WEEKDAY($S78),7))+27),1,IF(ISNUMBER($L78),$L78,$AA78)))</f>
        <v/>
      </c>
      <c r="AC78" s="62">
        <f>IF($V78="","",IF(AND(ISNUMBER($G78),$G78&lt;=IF($S78=MesCiclo,InicioCiclo,$S78+MOD(2-WEEKDAY($S78),7))+6),1,IF(N($W78)&gt;0,AVERAGEIFS($Y$5:$Y$1000,$U$5:$U$1000,ROW(),$V$5:$V$1000,"Sub"),$Y78)))</f>
        <v/>
      </c>
      <c r="AD78" s="62">
        <f>IF($V78="","",IF(AND(ISNUMBER($G78),$G78&lt;=IF($S78=MesCiclo,InicioCiclo,$S78+MOD(2-WEEKDAY($S78),7))+13),1,IF(N($W78)&gt;0,AVERAGEIFS($Z$5:$Z$1000,$U$5:$U$1000,ROW(),$V$5:$V$1000,"Sub"),$Z78)))</f>
        <v/>
      </c>
      <c r="AE78" s="62">
        <f>IF($V78="","",IF(AND(ISNUMBER($G78),$G78&lt;=IF($S78=MesCiclo,InicioCiclo,$S78+MOD(2-WEEKDAY($S78),7))+20),1,IF(N($W78)&gt;0,AVERAGEIFS($AA$5:$AA$1000,$U$5:$U$1000,ROW(),$V$5:$V$1000,"Sub"),$AA78)))</f>
        <v/>
      </c>
      <c r="AF78" s="62">
        <f>IF($V78="","",IF(AND(ISNUMBER($G78),$G78&lt;=IF($S78=MesCiclo,InicioCiclo,$S78+MOD(2-WEEKDAY($S78),7))+27),1,IF(N($W78)&gt;0,AVERAGEIFS($AB$5:$AB$1000,$U$5:$U$1000,ROW(),$V$5:$V$1000,"Sub"),$AB78)))</f>
        <v/>
      </c>
      <c r="AG78" s="62">
        <f>IF($V78&lt;&gt;"Macro","",IF(COUNTIFS($S$5:$S$1000,$S78,$V$5:$V$1000,"Macro",$H$5:$H$1000,"&gt;0")=0,1/COUNTIFS($S$5:$S$1000,$S78,$V$5:$V$1000,"Macro"),IF(AND(ISNUMBER($H78),N($H78)&gt;0),$H78,SUMIFS($H$5:$H$1000,$S$5:$S$1000,$S78,$V$5:$V$1000,"Macro")/COUNTIFS($S$5:$S$1000,$S78,$V$5:$V$1000,"Macro",$H$5:$H$1000,"&gt;0"))/(COUNTIFS($S$5:$S$1000,$S78,$V$5:$V$1000,"Macro")*SUMIFS($H$5:$H$1000,$S$5:$S$1000,$S78,$V$5:$V$1000,"Macro")/COUNTIFS($S$5:$S$1000,$S78,$V$5:$V$1000,"Macro",$H$5:$H$1000,"&gt;0"))))</f>
        <v/>
      </c>
      <c r="AH78" s="62" t="n"/>
      <c r="AI78" s="62" t="n"/>
      <c r="AJ78" s="62" t="n"/>
      <c r="AK78" s="62" t="n"/>
      <c r="AL78" s="62">
        <f>IF(LEFT($C78,11)="[Jefatura] ",IFERROR(MATCH("Riesgo Operacional|"&amp;MID($C78,12,500),rDname_ADM,0),0),"")</f>
        <v/>
      </c>
      <c r="AM78" s="62">
        <f>IF(N($AL78)&gt;0,INDEX(rIni_ADM,$AL78),IF(ISNUMBER($E78),$E78,""))</f>
        <v/>
      </c>
      <c r="AN78" s="62">
        <f>IF(N($AL78)&gt;0,INDEX(rLim_ADM,$AL78),IF(ISNUMBER($F78),$F78,""))</f>
        <v/>
      </c>
    </row>
    <row r="79">
      <c r="A79" s="56">
        <f>IF(NOT((COUNTA($B79:$D79)+COUNTA($G79:$L79)+COUNTA($Q79))&gt;0),"",IF($V79="Macro",COUNTIFS($V$5:$V79,"Macro",$S$5:$S79,$S79),IF(N($U79)=0,"?",COUNTIFS(INDEX($V$5:$V$1000,1):INDEX($V$5:$V$1000,$U79-4),"Macro",INDEX($S$5:$S$1000,1):INDEX($S$5:$S$1000,$U79-4),INDEX($S$5:$S$1000,$U79-4))&amp;"."&amp;COUNTIFS($U$5:$U79,$U79,$V$5:$V79,"Sub"))))</f>
        <v/>
      </c>
      <c r="B79" s="57" t="n"/>
      <c r="C79" s="58" t="n"/>
      <c r="D79" s="58" t="n"/>
      <c r="E79" s="59">
        <f>IF(N($AL79)&gt;0,INDEX(rIni_ADM,$AL79),"")</f>
        <v/>
      </c>
      <c r="F79" s="59">
        <f>IF(N($AL79)&gt;0,INDEX(rLim_ADM,$AL79),"")</f>
        <v/>
      </c>
      <c r="G79" s="59" t="n"/>
      <c r="H79" s="60" t="n"/>
      <c r="I79" s="60" t="n"/>
      <c r="J79" s="60" t="n"/>
      <c r="K79" s="60" t="n"/>
      <c r="L79" s="60" t="n"/>
      <c r="M79" s="61">
        <f>IF(NOT((COUNTA($B79:$D79)+COUNTA($G79:$L79)+COUNTA($Q79))&gt;0),"",IF(ISNUMBER($G79),1,IF(N($W79)&gt;0,AVERAGEIFS($X$5:$X$1000,$U$5:$U$1000,ROW(),$V$5:$V$1000,"Sub"),$X79)))</f>
        <v/>
      </c>
      <c r="N79" s="56">
        <f>IF($M79="","",IF($M79&gt;=1,"Completado",IF($M79&gt;0,"En curso","Pendiente")))</f>
        <v/>
      </c>
      <c r="O79" s="56">
        <f>IF(NOT((COUNTA($B79:$D79)+COUNTA($G79:$L79)+COUNTA($Q79))&gt;0),"",IF(ISNUMBER($G79),IF(AND(ISNUMBER($AN79),$G79&gt;$AN79),"Cumplida con "&amp;($G79-$AN79)&amp;IF($G79-$AN79=1," día"," días")&amp;" de retraso","Cumplida"),IF(N($M79)&gt;=1,"Cumplida",IF(NOT(ISNUMBER($AN79)),"Sin fecha límite",IF($AN79&lt;FechaRef,"Vencida hace "&amp;(FechaRef-$AN79)&amp;IF(FechaRef-$AN79=1," día"," días"),IF($AN79=FechaRef,"Vence hoy",IF($AN79-FechaRef&lt;=DiasAlerta,"Vence en "&amp;($AN79-FechaRef)&amp;IF($AN79-FechaRef=1," día"," días"),"En plazo")))))))</f>
        <v/>
      </c>
      <c r="P79" s="62" t="n"/>
      <c r="Q79" s="58" t="n"/>
      <c r="R79" s="63">
        <f>IF(NOT((COUNTA($B79:$D79)+COUNTA($G79:$L79)+COUNTA($Q79))&gt;0),"",IF((IF($C79="","Falta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",""))="","✔ OK","⚠ "&amp;LEFT(IF($C79="","Falta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",""),LEN(IF($C79="","Falta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",""))-3)))</f>
        <v/>
      </c>
      <c r="S79" s="64">
        <f>IF(NOT((COUNTA($B79:$D79)+COUNTA($G79:$L79)+COUNTA($Q79))&gt;0),"",IF(AND($V79="Sub",N($U79)&gt;0),IF(ISNUMBER(INDEX($AM$5:$AM$1000,$U79-4)),DATE(YEAR(INDEX($AM$5:$AM$1000,$U79-4)),MONTH(INDEX($AM$5:$AM$1000,$U79-4)),1),IF(ISNUMBER(INDEX($AN$5:$AN$1000,$U79-4)),DATE(YEAR(INDEX($AN$5:$AN$1000,$U79-4)),MONTH(INDEX($AN$5:$AN$1000,$U79-4)),1),MesCiclo)),IF(ISNUMBER($AM79),DATE(YEAR($AM79),MONTH($AM79),1),IF(ISNUMBER($AN79),DATE(YEAR($AN79),MONTH($AN79),1),MesCiclo))))</f>
        <v/>
      </c>
      <c r="T79" s="62">
        <f>IF(OR($S79="",$S79&lt;&gt;MesCiclo),"",COUNTIF($S$5:$S79,MesCiclo))</f>
        <v/>
      </c>
      <c r="U79" s="62">
        <f>IF($V79="","",IF($V79="Macro",ROW(),IFERROR(LOOKUP(2,1/($V$5:$V79="Macro"),ROW($V$5:$V79)),0)))</f>
        <v/>
      </c>
      <c r="V79" s="62">
        <f>IF(NOT((COUNTA($B79:$D79)+COUNTA($G79:$L79)+COUNTA($Q79))&gt;0),"",IF($B79="Subactividad","Sub","Macro"))</f>
        <v/>
      </c>
      <c r="W79" s="62">
        <f>IF($V79="Macro",COUNTIFS($U$5:$U$1000,ROW(),$V$5:$V$1000,"Sub"),"")</f>
        <v/>
      </c>
      <c r="X79" s="62">
        <f>IF($V79="","",IF(ISNUMBER($G79),1,IFERROR(LOOKUP(2,1/($I79:$L79&lt;&gt;""),$I79:$L79),0)))</f>
        <v/>
      </c>
      <c r="Y79" s="62">
        <f>IF($V79="","",IF(AND(ISNUMBER($G79),$G79&lt;=IF($S79=MesCiclo,InicioCiclo,$S79+MOD(2-WEEKDAY($S79),7))+6),1,IF(ISNUMBER($I79),$I79,0)))</f>
        <v/>
      </c>
      <c r="Z79" s="62">
        <f>IF($V79="","",IF(AND(ISNUMBER($G79),$G79&lt;=IF($S79=MesCiclo,InicioCiclo,$S79+MOD(2-WEEKDAY($S79),7))+13),1,IF(ISNUMBER($J79),$J79,$Y79)))</f>
        <v/>
      </c>
      <c r="AA79" s="62">
        <f>IF($V79="","",IF(AND(ISNUMBER($G79),$G79&lt;=IF($S79=MesCiclo,InicioCiclo,$S79+MOD(2-WEEKDAY($S79),7))+20),1,IF(ISNUMBER($K79),$K79,$Z79)))</f>
        <v/>
      </c>
      <c r="AB79" s="62">
        <f>IF($V79="","",IF(AND(ISNUMBER($G79),$G79&lt;=IF($S79=MesCiclo,InicioCiclo,$S79+MOD(2-WEEKDAY($S79),7))+27),1,IF(ISNUMBER($L79),$L79,$AA79)))</f>
        <v/>
      </c>
      <c r="AC79" s="62">
        <f>IF($V79="","",IF(AND(ISNUMBER($G79),$G79&lt;=IF($S79=MesCiclo,InicioCiclo,$S79+MOD(2-WEEKDAY($S79),7))+6),1,IF(N($W79)&gt;0,AVERAGEIFS($Y$5:$Y$1000,$U$5:$U$1000,ROW(),$V$5:$V$1000,"Sub"),$Y79)))</f>
        <v/>
      </c>
      <c r="AD79" s="62">
        <f>IF($V79="","",IF(AND(ISNUMBER($G79),$G79&lt;=IF($S79=MesCiclo,InicioCiclo,$S79+MOD(2-WEEKDAY($S79),7))+13),1,IF(N($W79)&gt;0,AVERAGEIFS($Z$5:$Z$1000,$U$5:$U$1000,ROW(),$V$5:$V$1000,"Sub"),$Z79)))</f>
        <v/>
      </c>
      <c r="AE79" s="62">
        <f>IF($V79="","",IF(AND(ISNUMBER($G79),$G79&lt;=IF($S79=MesCiclo,InicioCiclo,$S79+MOD(2-WEEKDAY($S79),7))+20),1,IF(N($W79)&gt;0,AVERAGEIFS($AA$5:$AA$1000,$U$5:$U$1000,ROW(),$V$5:$V$1000,"Sub"),$AA79)))</f>
        <v/>
      </c>
      <c r="AF79" s="62">
        <f>IF($V79="","",IF(AND(ISNUMBER($G79),$G79&lt;=IF($S79=MesCiclo,InicioCiclo,$S79+MOD(2-WEEKDAY($S79),7))+27),1,IF(N($W79)&gt;0,AVERAGEIFS($AB$5:$AB$1000,$U$5:$U$1000,ROW(),$V$5:$V$1000,"Sub"),$AB79)))</f>
        <v/>
      </c>
      <c r="AG79" s="62">
        <f>IF($V79&lt;&gt;"Macro","",IF(COUNTIFS($S$5:$S$1000,$S79,$V$5:$V$1000,"Macro",$H$5:$H$1000,"&gt;0")=0,1/COUNTIFS($S$5:$S$1000,$S79,$V$5:$V$1000,"Macro"),IF(AND(ISNUMBER($H79),N($H79)&gt;0),$H79,SUMIFS($H$5:$H$1000,$S$5:$S$1000,$S79,$V$5:$V$1000,"Macro")/COUNTIFS($S$5:$S$1000,$S79,$V$5:$V$1000,"Macro",$H$5:$H$1000,"&gt;0"))/(COUNTIFS($S$5:$S$1000,$S79,$V$5:$V$1000,"Macro")*SUMIFS($H$5:$H$1000,$S$5:$S$1000,$S79,$V$5:$V$1000,"Macro")/COUNTIFS($S$5:$S$1000,$S79,$V$5:$V$1000,"Macro",$H$5:$H$1000,"&gt;0"))))</f>
        <v/>
      </c>
      <c r="AH79" s="62" t="n"/>
      <c r="AI79" s="62" t="n"/>
      <c r="AJ79" s="62" t="n"/>
      <c r="AK79" s="62" t="n"/>
      <c r="AL79" s="62">
        <f>IF(LEFT($C79,11)="[Jefatura] ",IFERROR(MATCH("Riesgo Operacional|"&amp;MID($C79,12,500),rDname_ADM,0),0),"")</f>
        <v/>
      </c>
      <c r="AM79" s="62">
        <f>IF(N($AL79)&gt;0,INDEX(rIni_ADM,$AL79),IF(ISNUMBER($E79),$E79,""))</f>
        <v/>
      </c>
      <c r="AN79" s="62">
        <f>IF(N($AL79)&gt;0,INDEX(rLim_ADM,$AL79),IF(ISNUMBER($F79),$F79,""))</f>
        <v/>
      </c>
    </row>
    <row r="80">
      <c r="A80" s="56">
        <f>IF(NOT((COUNTA($B80:$D80)+COUNTA($G80:$L80)+COUNTA($Q80))&gt;0),"",IF($V80="Macro",COUNTIFS($V$5:$V80,"Macro",$S$5:$S80,$S80),IF(N($U80)=0,"?",COUNTIFS(INDEX($V$5:$V$1000,1):INDEX($V$5:$V$1000,$U80-4),"Macro",INDEX($S$5:$S$1000,1):INDEX($S$5:$S$1000,$U80-4),INDEX($S$5:$S$1000,$U80-4))&amp;"."&amp;COUNTIFS($U$5:$U80,$U80,$V$5:$V80,"Sub"))))</f>
        <v/>
      </c>
      <c r="B80" s="57" t="n"/>
      <c r="C80" s="58" t="n"/>
      <c r="D80" s="58" t="n"/>
      <c r="E80" s="59">
        <f>IF(N($AL80)&gt;0,INDEX(rIni_ADM,$AL80),"")</f>
        <v/>
      </c>
      <c r="F80" s="59">
        <f>IF(N($AL80)&gt;0,INDEX(rLim_ADM,$AL80),"")</f>
        <v/>
      </c>
      <c r="G80" s="59" t="n"/>
      <c r="H80" s="60" t="n"/>
      <c r="I80" s="60" t="n"/>
      <c r="J80" s="60" t="n"/>
      <c r="K80" s="60" t="n"/>
      <c r="L80" s="60" t="n"/>
      <c r="M80" s="61">
        <f>IF(NOT((COUNTA($B80:$D80)+COUNTA($G80:$L80)+COUNTA($Q80))&gt;0),"",IF(ISNUMBER($G80),1,IF(N($W80)&gt;0,AVERAGEIFS($X$5:$X$1000,$U$5:$U$1000,ROW(),$V$5:$V$1000,"Sub"),$X80)))</f>
        <v/>
      </c>
      <c r="N80" s="56">
        <f>IF($M80="","",IF($M80&gt;=1,"Completado",IF($M80&gt;0,"En curso","Pendiente")))</f>
        <v/>
      </c>
      <c r="O80" s="56">
        <f>IF(NOT((COUNTA($B80:$D80)+COUNTA($G80:$L80)+COUNTA($Q80))&gt;0),"",IF(ISNUMBER($G80),IF(AND(ISNUMBER($AN80),$G80&gt;$AN80),"Cumplida con "&amp;($G80-$AN80)&amp;IF($G80-$AN80=1," día"," días")&amp;" de retraso","Cumplida"),IF(N($M80)&gt;=1,"Cumplida",IF(NOT(ISNUMBER($AN80)),"Sin fecha límite",IF($AN80&lt;FechaRef,"Vencida hace "&amp;(FechaRef-$AN80)&amp;IF(FechaRef-$AN80=1," día"," días"),IF($AN80=FechaRef,"Vence hoy",IF($AN80-FechaRef&lt;=DiasAlerta,"Vence en "&amp;($AN80-FechaRef)&amp;IF($AN80-FechaRef=1," día"," días"),"En plazo")))))))</f>
        <v/>
      </c>
      <c r="P80" s="62" t="n"/>
      <c r="Q80" s="58" t="n"/>
      <c r="R80" s="63">
        <f>IF(NOT((COUNTA($B80:$D80)+COUNTA($G80:$L80)+COUNTA($Q80))&gt;0),"",IF((IF($C80="","Falta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",""))="","✔ OK","⚠ "&amp;LEFT(IF($C80="","Falta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",""),LEN(IF($C80="","Falta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",""))-3)))</f>
        <v/>
      </c>
      <c r="S80" s="64">
        <f>IF(NOT((COUNTA($B80:$D80)+COUNTA($G80:$L80)+COUNTA($Q80))&gt;0),"",IF(AND($V80="Sub",N($U80)&gt;0),IF(ISNUMBER(INDEX($AM$5:$AM$1000,$U80-4)),DATE(YEAR(INDEX($AM$5:$AM$1000,$U80-4)),MONTH(INDEX($AM$5:$AM$1000,$U80-4)),1),IF(ISNUMBER(INDEX($AN$5:$AN$1000,$U80-4)),DATE(YEAR(INDEX($AN$5:$AN$1000,$U80-4)),MONTH(INDEX($AN$5:$AN$1000,$U80-4)),1),MesCiclo)),IF(ISNUMBER($AM80),DATE(YEAR($AM80),MONTH($AM80),1),IF(ISNUMBER($AN80),DATE(YEAR($AN80),MONTH($AN80),1),MesCiclo))))</f>
        <v/>
      </c>
      <c r="T80" s="62">
        <f>IF(OR($S80="",$S80&lt;&gt;MesCiclo),"",COUNTIF($S$5:$S80,MesCiclo))</f>
        <v/>
      </c>
      <c r="U80" s="62">
        <f>IF($V80="","",IF($V80="Macro",ROW(),IFERROR(LOOKUP(2,1/($V$5:$V80="Macro"),ROW($V$5:$V80)),0)))</f>
        <v/>
      </c>
      <c r="V80" s="62">
        <f>IF(NOT((COUNTA($B80:$D80)+COUNTA($G80:$L80)+COUNTA($Q80))&gt;0),"",IF($B80="Subactividad","Sub","Macro"))</f>
        <v/>
      </c>
      <c r="W80" s="62">
        <f>IF($V80="Macro",COUNTIFS($U$5:$U$1000,ROW(),$V$5:$V$1000,"Sub"),"")</f>
        <v/>
      </c>
      <c r="X80" s="62">
        <f>IF($V80="","",IF(ISNUMBER($G80),1,IFERROR(LOOKUP(2,1/($I80:$L80&lt;&gt;""),$I80:$L80),0)))</f>
        <v/>
      </c>
      <c r="Y80" s="62">
        <f>IF($V80="","",IF(AND(ISNUMBER($G80),$G80&lt;=IF($S80=MesCiclo,InicioCiclo,$S80+MOD(2-WEEKDAY($S80),7))+6),1,IF(ISNUMBER($I80),$I80,0)))</f>
        <v/>
      </c>
      <c r="Z80" s="62">
        <f>IF($V80="","",IF(AND(ISNUMBER($G80),$G80&lt;=IF($S80=MesCiclo,InicioCiclo,$S80+MOD(2-WEEKDAY($S80),7))+13),1,IF(ISNUMBER($J80),$J80,$Y80)))</f>
        <v/>
      </c>
      <c r="AA80" s="62">
        <f>IF($V80="","",IF(AND(ISNUMBER($G80),$G80&lt;=IF($S80=MesCiclo,InicioCiclo,$S80+MOD(2-WEEKDAY($S80),7))+20),1,IF(ISNUMBER($K80),$K80,$Z80)))</f>
        <v/>
      </c>
      <c r="AB80" s="62">
        <f>IF($V80="","",IF(AND(ISNUMBER($G80),$G80&lt;=IF($S80=MesCiclo,InicioCiclo,$S80+MOD(2-WEEKDAY($S80),7))+27),1,IF(ISNUMBER($L80),$L80,$AA80)))</f>
        <v/>
      </c>
      <c r="AC80" s="62">
        <f>IF($V80="","",IF(AND(ISNUMBER($G80),$G80&lt;=IF($S80=MesCiclo,InicioCiclo,$S80+MOD(2-WEEKDAY($S80),7))+6),1,IF(N($W80)&gt;0,AVERAGEIFS($Y$5:$Y$1000,$U$5:$U$1000,ROW(),$V$5:$V$1000,"Sub"),$Y80)))</f>
        <v/>
      </c>
      <c r="AD80" s="62">
        <f>IF($V80="","",IF(AND(ISNUMBER($G80),$G80&lt;=IF($S80=MesCiclo,InicioCiclo,$S80+MOD(2-WEEKDAY($S80),7))+13),1,IF(N($W80)&gt;0,AVERAGEIFS($Z$5:$Z$1000,$U$5:$U$1000,ROW(),$V$5:$V$1000,"Sub"),$Z80)))</f>
        <v/>
      </c>
      <c r="AE80" s="62">
        <f>IF($V80="","",IF(AND(ISNUMBER($G80),$G80&lt;=IF($S80=MesCiclo,InicioCiclo,$S80+MOD(2-WEEKDAY($S80),7))+20),1,IF(N($W80)&gt;0,AVERAGEIFS($AA$5:$AA$1000,$U$5:$U$1000,ROW(),$V$5:$V$1000,"Sub"),$AA80)))</f>
        <v/>
      </c>
      <c r="AF80" s="62">
        <f>IF($V80="","",IF(AND(ISNUMBER($G80),$G80&lt;=IF($S80=MesCiclo,InicioCiclo,$S80+MOD(2-WEEKDAY($S80),7))+27),1,IF(N($W80)&gt;0,AVERAGEIFS($AB$5:$AB$1000,$U$5:$U$1000,ROW(),$V$5:$V$1000,"Sub"),$AB80)))</f>
        <v/>
      </c>
      <c r="AG80" s="62">
        <f>IF($V80&lt;&gt;"Macro","",IF(COUNTIFS($S$5:$S$1000,$S80,$V$5:$V$1000,"Macro",$H$5:$H$1000,"&gt;0")=0,1/COUNTIFS($S$5:$S$1000,$S80,$V$5:$V$1000,"Macro"),IF(AND(ISNUMBER($H80),N($H80)&gt;0),$H80,SUMIFS($H$5:$H$1000,$S$5:$S$1000,$S80,$V$5:$V$1000,"Macro")/COUNTIFS($S$5:$S$1000,$S80,$V$5:$V$1000,"Macro",$H$5:$H$1000,"&gt;0"))/(COUNTIFS($S$5:$S$1000,$S80,$V$5:$V$1000,"Macro")*SUMIFS($H$5:$H$1000,$S$5:$S$1000,$S80,$V$5:$V$1000,"Macro")/COUNTIFS($S$5:$S$1000,$S80,$V$5:$V$1000,"Macro",$H$5:$H$1000,"&gt;0"))))</f>
        <v/>
      </c>
      <c r="AH80" s="62" t="n"/>
      <c r="AI80" s="62" t="n"/>
      <c r="AJ80" s="62" t="n"/>
      <c r="AK80" s="62" t="n"/>
      <c r="AL80" s="62">
        <f>IF(LEFT($C80,11)="[Jefatura] ",IFERROR(MATCH("Riesgo Operacional|"&amp;MID($C80,12,500),rDname_ADM,0),0),"")</f>
        <v/>
      </c>
      <c r="AM80" s="62">
        <f>IF(N($AL80)&gt;0,INDEX(rIni_ADM,$AL80),IF(ISNUMBER($E80),$E80,""))</f>
        <v/>
      </c>
      <c r="AN80" s="62">
        <f>IF(N($AL80)&gt;0,INDEX(rLim_ADM,$AL80),IF(ISNUMBER($F80),$F80,""))</f>
        <v/>
      </c>
    </row>
    <row r="81">
      <c r="A81" s="56">
        <f>IF(NOT((COUNTA($B81:$D81)+COUNTA($G81:$L81)+COUNTA($Q81))&gt;0),"",IF($V81="Macro",COUNTIFS($V$5:$V81,"Macro",$S$5:$S81,$S81),IF(N($U81)=0,"?",COUNTIFS(INDEX($V$5:$V$1000,1):INDEX($V$5:$V$1000,$U81-4),"Macro",INDEX($S$5:$S$1000,1):INDEX($S$5:$S$1000,$U81-4),INDEX($S$5:$S$1000,$U81-4))&amp;"."&amp;COUNTIFS($U$5:$U81,$U81,$V$5:$V81,"Sub"))))</f>
        <v/>
      </c>
      <c r="B81" s="57" t="n"/>
      <c r="C81" s="58" t="n"/>
      <c r="D81" s="58" t="n"/>
      <c r="E81" s="59">
        <f>IF(N($AL81)&gt;0,INDEX(rIni_ADM,$AL81),"")</f>
        <v/>
      </c>
      <c r="F81" s="59">
        <f>IF(N($AL81)&gt;0,INDEX(rLim_ADM,$AL81),"")</f>
        <v/>
      </c>
      <c r="G81" s="59" t="n"/>
      <c r="H81" s="60" t="n"/>
      <c r="I81" s="60" t="n"/>
      <c r="J81" s="60" t="n"/>
      <c r="K81" s="60" t="n"/>
      <c r="L81" s="60" t="n"/>
      <c r="M81" s="61">
        <f>IF(NOT((COUNTA($B81:$D81)+COUNTA($G81:$L81)+COUNTA($Q81))&gt;0),"",IF(ISNUMBER($G81),1,IF(N($W81)&gt;0,AVERAGEIFS($X$5:$X$1000,$U$5:$U$1000,ROW(),$V$5:$V$1000,"Sub"),$X81)))</f>
        <v/>
      </c>
      <c r="N81" s="56">
        <f>IF($M81="","",IF($M81&gt;=1,"Completado",IF($M81&gt;0,"En curso","Pendiente")))</f>
        <v/>
      </c>
      <c r="O81" s="56">
        <f>IF(NOT((COUNTA($B81:$D81)+COUNTA($G81:$L81)+COUNTA($Q81))&gt;0),"",IF(ISNUMBER($G81),IF(AND(ISNUMBER($AN81),$G81&gt;$AN81),"Cumplida con "&amp;($G81-$AN81)&amp;IF($G81-$AN81=1," día"," días")&amp;" de retraso","Cumplida"),IF(N($M81)&gt;=1,"Cumplida",IF(NOT(ISNUMBER($AN81)),"Sin fecha límite",IF($AN81&lt;FechaRef,"Vencida hace "&amp;(FechaRef-$AN81)&amp;IF(FechaRef-$AN81=1," día"," días"),IF($AN81=FechaRef,"Vence hoy",IF($AN81-FechaRef&lt;=DiasAlerta,"Vence en "&amp;($AN81-FechaRef)&amp;IF($AN81-FechaRef=1," día"," días"),"En plazo")))))))</f>
        <v/>
      </c>
      <c r="P81" s="62" t="n"/>
      <c r="Q81" s="58" t="n"/>
      <c r="R81" s="63">
        <f>IF(NOT((COUNTA($B81:$D81)+COUNTA($G81:$L81)+COUNTA($Q81))&gt;0),"",IF((IF($C81="","Falta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",""))="","✔ OK","⚠ "&amp;LEFT(IF($C81="","Falta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",""),LEN(IF($C81="","Falta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",""))-3)))</f>
        <v/>
      </c>
      <c r="S81" s="64">
        <f>IF(NOT((COUNTA($B81:$D81)+COUNTA($G81:$L81)+COUNTA($Q81))&gt;0),"",IF(AND($V81="Sub",N($U81)&gt;0),IF(ISNUMBER(INDEX($AM$5:$AM$1000,$U81-4)),DATE(YEAR(INDEX($AM$5:$AM$1000,$U81-4)),MONTH(INDEX($AM$5:$AM$1000,$U81-4)),1),IF(ISNUMBER(INDEX($AN$5:$AN$1000,$U81-4)),DATE(YEAR(INDEX($AN$5:$AN$1000,$U81-4)),MONTH(INDEX($AN$5:$AN$1000,$U81-4)),1),MesCiclo)),IF(ISNUMBER($AM81),DATE(YEAR($AM81),MONTH($AM81),1),IF(ISNUMBER($AN81),DATE(YEAR($AN81),MONTH($AN81),1),MesCiclo))))</f>
        <v/>
      </c>
      <c r="T81" s="62">
        <f>IF(OR($S81="",$S81&lt;&gt;MesCiclo),"",COUNTIF($S$5:$S81,MesCiclo))</f>
        <v/>
      </c>
      <c r="U81" s="62">
        <f>IF($V81="","",IF($V81="Macro",ROW(),IFERROR(LOOKUP(2,1/($V$5:$V81="Macro"),ROW($V$5:$V81)),0)))</f>
        <v/>
      </c>
      <c r="V81" s="62">
        <f>IF(NOT((COUNTA($B81:$D81)+COUNTA($G81:$L81)+COUNTA($Q81))&gt;0),"",IF($B81="Subactividad","Sub","Macro"))</f>
        <v/>
      </c>
      <c r="W81" s="62">
        <f>IF($V81="Macro",COUNTIFS($U$5:$U$1000,ROW(),$V$5:$V$1000,"Sub"),"")</f>
        <v/>
      </c>
      <c r="X81" s="62">
        <f>IF($V81="","",IF(ISNUMBER($G81),1,IFERROR(LOOKUP(2,1/($I81:$L81&lt;&gt;""),$I81:$L81),0)))</f>
        <v/>
      </c>
      <c r="Y81" s="62">
        <f>IF($V81="","",IF(AND(ISNUMBER($G81),$G81&lt;=IF($S81=MesCiclo,InicioCiclo,$S81+MOD(2-WEEKDAY($S81),7))+6),1,IF(ISNUMBER($I81),$I81,0)))</f>
        <v/>
      </c>
      <c r="Z81" s="62">
        <f>IF($V81="","",IF(AND(ISNUMBER($G81),$G81&lt;=IF($S81=MesCiclo,InicioCiclo,$S81+MOD(2-WEEKDAY($S81),7))+13),1,IF(ISNUMBER($J81),$J81,$Y81)))</f>
        <v/>
      </c>
      <c r="AA81" s="62">
        <f>IF($V81="","",IF(AND(ISNUMBER($G81),$G81&lt;=IF($S81=MesCiclo,InicioCiclo,$S81+MOD(2-WEEKDAY($S81),7))+20),1,IF(ISNUMBER($K81),$K81,$Z81)))</f>
        <v/>
      </c>
      <c r="AB81" s="62">
        <f>IF($V81="","",IF(AND(ISNUMBER($G81),$G81&lt;=IF($S81=MesCiclo,InicioCiclo,$S81+MOD(2-WEEKDAY($S81),7))+27),1,IF(ISNUMBER($L81),$L81,$AA81)))</f>
        <v/>
      </c>
      <c r="AC81" s="62">
        <f>IF($V81="","",IF(AND(ISNUMBER($G81),$G81&lt;=IF($S81=MesCiclo,InicioCiclo,$S81+MOD(2-WEEKDAY($S81),7))+6),1,IF(N($W81)&gt;0,AVERAGEIFS($Y$5:$Y$1000,$U$5:$U$1000,ROW(),$V$5:$V$1000,"Sub"),$Y81)))</f>
        <v/>
      </c>
      <c r="AD81" s="62">
        <f>IF($V81="","",IF(AND(ISNUMBER($G81),$G81&lt;=IF($S81=MesCiclo,InicioCiclo,$S81+MOD(2-WEEKDAY($S81),7))+13),1,IF(N($W81)&gt;0,AVERAGEIFS($Z$5:$Z$1000,$U$5:$U$1000,ROW(),$V$5:$V$1000,"Sub"),$Z81)))</f>
        <v/>
      </c>
      <c r="AE81" s="62">
        <f>IF($V81="","",IF(AND(ISNUMBER($G81),$G81&lt;=IF($S81=MesCiclo,InicioCiclo,$S81+MOD(2-WEEKDAY($S81),7))+20),1,IF(N($W81)&gt;0,AVERAGEIFS($AA$5:$AA$1000,$U$5:$U$1000,ROW(),$V$5:$V$1000,"Sub"),$AA81)))</f>
        <v/>
      </c>
      <c r="AF81" s="62">
        <f>IF($V81="","",IF(AND(ISNUMBER($G81),$G81&lt;=IF($S81=MesCiclo,InicioCiclo,$S81+MOD(2-WEEKDAY($S81),7))+27),1,IF(N($W81)&gt;0,AVERAGEIFS($AB$5:$AB$1000,$U$5:$U$1000,ROW(),$V$5:$V$1000,"Sub"),$AB81)))</f>
        <v/>
      </c>
      <c r="AG81" s="62">
        <f>IF($V81&lt;&gt;"Macro","",IF(COUNTIFS($S$5:$S$1000,$S81,$V$5:$V$1000,"Macro",$H$5:$H$1000,"&gt;0")=0,1/COUNTIFS($S$5:$S$1000,$S81,$V$5:$V$1000,"Macro"),IF(AND(ISNUMBER($H81),N($H81)&gt;0),$H81,SUMIFS($H$5:$H$1000,$S$5:$S$1000,$S81,$V$5:$V$1000,"Macro")/COUNTIFS($S$5:$S$1000,$S81,$V$5:$V$1000,"Macro",$H$5:$H$1000,"&gt;0"))/(COUNTIFS($S$5:$S$1000,$S81,$V$5:$V$1000,"Macro")*SUMIFS($H$5:$H$1000,$S$5:$S$1000,$S81,$V$5:$V$1000,"Macro")/COUNTIFS($S$5:$S$1000,$S81,$V$5:$V$1000,"Macro",$H$5:$H$1000,"&gt;0"))))</f>
        <v/>
      </c>
      <c r="AH81" s="62" t="n"/>
      <c r="AI81" s="62" t="n"/>
      <c r="AJ81" s="62" t="n"/>
      <c r="AK81" s="62" t="n"/>
      <c r="AL81" s="62">
        <f>IF(LEFT($C81,11)="[Jefatura] ",IFERROR(MATCH("Riesgo Operacional|"&amp;MID($C81,12,500),rDname_ADM,0),0),"")</f>
        <v/>
      </c>
      <c r="AM81" s="62">
        <f>IF(N($AL81)&gt;0,INDEX(rIni_ADM,$AL81),IF(ISNUMBER($E81),$E81,""))</f>
        <v/>
      </c>
      <c r="AN81" s="62">
        <f>IF(N($AL81)&gt;0,INDEX(rLim_ADM,$AL81),IF(ISNUMBER($F81),$F81,""))</f>
        <v/>
      </c>
    </row>
    <row r="82">
      <c r="A82" s="56">
        <f>IF(NOT((COUNTA($B82:$D82)+COUNTA($G82:$L82)+COUNTA($Q82))&gt;0),"",IF($V82="Macro",COUNTIFS($V$5:$V82,"Macro",$S$5:$S82,$S82),IF(N($U82)=0,"?",COUNTIFS(INDEX($V$5:$V$1000,1):INDEX($V$5:$V$1000,$U82-4),"Macro",INDEX($S$5:$S$1000,1):INDEX($S$5:$S$1000,$U82-4),INDEX($S$5:$S$1000,$U82-4))&amp;"."&amp;COUNTIFS($U$5:$U82,$U82,$V$5:$V82,"Sub"))))</f>
        <v/>
      </c>
      <c r="B82" s="57" t="n"/>
      <c r="C82" s="58" t="n"/>
      <c r="D82" s="58" t="n"/>
      <c r="E82" s="59">
        <f>IF(N($AL82)&gt;0,INDEX(rIni_ADM,$AL82),"")</f>
        <v/>
      </c>
      <c r="F82" s="59">
        <f>IF(N($AL82)&gt;0,INDEX(rLim_ADM,$AL82),"")</f>
        <v/>
      </c>
      <c r="G82" s="59" t="n"/>
      <c r="H82" s="60" t="n"/>
      <c r="I82" s="60" t="n"/>
      <c r="J82" s="60" t="n"/>
      <c r="K82" s="60" t="n"/>
      <c r="L82" s="60" t="n"/>
      <c r="M82" s="61">
        <f>IF(NOT((COUNTA($B82:$D82)+COUNTA($G82:$L82)+COUNTA($Q82))&gt;0),"",IF(ISNUMBER($G82),1,IF(N($W82)&gt;0,AVERAGEIFS($X$5:$X$1000,$U$5:$U$1000,ROW(),$V$5:$V$1000,"Sub"),$X82)))</f>
        <v/>
      </c>
      <c r="N82" s="56">
        <f>IF($M82="","",IF($M82&gt;=1,"Completado",IF($M82&gt;0,"En curso","Pendiente")))</f>
        <v/>
      </c>
      <c r="O82" s="56">
        <f>IF(NOT((COUNTA($B82:$D82)+COUNTA($G82:$L82)+COUNTA($Q82))&gt;0),"",IF(ISNUMBER($G82),IF(AND(ISNUMBER($AN82),$G82&gt;$AN82),"Cumplida con "&amp;($G82-$AN82)&amp;IF($G82-$AN82=1," día"," días")&amp;" de retraso","Cumplida"),IF(N($M82)&gt;=1,"Cumplida",IF(NOT(ISNUMBER($AN82)),"Sin fecha límite",IF($AN82&lt;FechaRef,"Vencida hace "&amp;(FechaRef-$AN82)&amp;IF(FechaRef-$AN82=1," día"," días"),IF($AN82=FechaRef,"Vence hoy",IF($AN82-FechaRef&lt;=DiasAlerta,"Vence en "&amp;($AN82-FechaRef)&amp;IF($AN82-FechaRef=1," día"," días"),"En plazo")))))))</f>
        <v/>
      </c>
      <c r="P82" s="62" t="n"/>
      <c r="Q82" s="58" t="n"/>
      <c r="R82" s="63">
        <f>IF(NOT((COUNTA($B82:$D82)+COUNTA($G82:$L82)+COUNTA($Q82))&gt;0),"",IF((IF($C82="","Falta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",""))="","✔ OK","⚠ "&amp;LEFT(IF($C82="","Falta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",""),LEN(IF($C82="","Falta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",""))-3)))</f>
        <v/>
      </c>
      <c r="S82" s="64">
        <f>IF(NOT((COUNTA($B82:$D82)+COUNTA($G82:$L82)+COUNTA($Q82))&gt;0),"",IF(AND($V82="Sub",N($U82)&gt;0),IF(ISNUMBER(INDEX($AM$5:$AM$1000,$U82-4)),DATE(YEAR(INDEX($AM$5:$AM$1000,$U82-4)),MONTH(INDEX($AM$5:$AM$1000,$U82-4)),1),IF(ISNUMBER(INDEX($AN$5:$AN$1000,$U82-4)),DATE(YEAR(INDEX($AN$5:$AN$1000,$U82-4)),MONTH(INDEX($AN$5:$AN$1000,$U82-4)),1),MesCiclo)),IF(ISNUMBER($AM82),DATE(YEAR($AM82),MONTH($AM82),1),IF(ISNUMBER($AN82),DATE(YEAR($AN82),MONTH($AN82),1),MesCiclo))))</f>
        <v/>
      </c>
      <c r="T82" s="62">
        <f>IF(OR($S82="",$S82&lt;&gt;MesCiclo),"",COUNTIF($S$5:$S82,MesCiclo))</f>
        <v/>
      </c>
      <c r="U82" s="62">
        <f>IF($V82="","",IF($V82="Macro",ROW(),IFERROR(LOOKUP(2,1/($V$5:$V82="Macro"),ROW($V$5:$V82)),0)))</f>
        <v/>
      </c>
      <c r="V82" s="62">
        <f>IF(NOT((COUNTA($B82:$D82)+COUNTA($G82:$L82)+COUNTA($Q82))&gt;0),"",IF($B82="Subactividad","Sub","Macro"))</f>
        <v/>
      </c>
      <c r="W82" s="62">
        <f>IF($V82="Macro",COUNTIFS($U$5:$U$1000,ROW(),$V$5:$V$1000,"Sub"),"")</f>
        <v/>
      </c>
      <c r="X82" s="62">
        <f>IF($V82="","",IF(ISNUMBER($G82),1,IFERROR(LOOKUP(2,1/($I82:$L82&lt;&gt;""),$I82:$L82),0)))</f>
        <v/>
      </c>
      <c r="Y82" s="62">
        <f>IF($V82="","",IF(AND(ISNUMBER($G82),$G82&lt;=IF($S82=MesCiclo,InicioCiclo,$S82+MOD(2-WEEKDAY($S82),7))+6),1,IF(ISNUMBER($I82),$I82,0)))</f>
        <v/>
      </c>
      <c r="Z82" s="62">
        <f>IF($V82="","",IF(AND(ISNUMBER($G82),$G82&lt;=IF($S82=MesCiclo,InicioCiclo,$S82+MOD(2-WEEKDAY($S82),7))+13),1,IF(ISNUMBER($J82),$J82,$Y82)))</f>
        <v/>
      </c>
      <c r="AA82" s="62">
        <f>IF($V82="","",IF(AND(ISNUMBER($G82),$G82&lt;=IF($S82=MesCiclo,InicioCiclo,$S82+MOD(2-WEEKDAY($S82),7))+20),1,IF(ISNUMBER($K82),$K82,$Z82)))</f>
        <v/>
      </c>
      <c r="AB82" s="62">
        <f>IF($V82="","",IF(AND(ISNUMBER($G82),$G82&lt;=IF($S82=MesCiclo,InicioCiclo,$S82+MOD(2-WEEKDAY($S82),7))+27),1,IF(ISNUMBER($L82),$L82,$AA82)))</f>
        <v/>
      </c>
      <c r="AC82" s="62">
        <f>IF($V82="","",IF(AND(ISNUMBER($G82),$G82&lt;=IF($S82=MesCiclo,InicioCiclo,$S82+MOD(2-WEEKDAY($S82),7))+6),1,IF(N($W82)&gt;0,AVERAGEIFS($Y$5:$Y$1000,$U$5:$U$1000,ROW(),$V$5:$V$1000,"Sub"),$Y82)))</f>
        <v/>
      </c>
      <c r="AD82" s="62">
        <f>IF($V82="","",IF(AND(ISNUMBER($G82),$G82&lt;=IF($S82=MesCiclo,InicioCiclo,$S82+MOD(2-WEEKDAY($S82),7))+13),1,IF(N($W82)&gt;0,AVERAGEIFS($Z$5:$Z$1000,$U$5:$U$1000,ROW(),$V$5:$V$1000,"Sub"),$Z82)))</f>
        <v/>
      </c>
      <c r="AE82" s="62">
        <f>IF($V82="","",IF(AND(ISNUMBER($G82),$G82&lt;=IF($S82=MesCiclo,InicioCiclo,$S82+MOD(2-WEEKDAY($S82),7))+20),1,IF(N($W82)&gt;0,AVERAGEIFS($AA$5:$AA$1000,$U$5:$U$1000,ROW(),$V$5:$V$1000,"Sub"),$AA82)))</f>
        <v/>
      </c>
      <c r="AF82" s="62">
        <f>IF($V82="","",IF(AND(ISNUMBER($G82),$G82&lt;=IF($S82=MesCiclo,InicioCiclo,$S82+MOD(2-WEEKDAY($S82),7))+27),1,IF(N($W82)&gt;0,AVERAGEIFS($AB$5:$AB$1000,$U$5:$U$1000,ROW(),$V$5:$V$1000,"Sub"),$AB82)))</f>
        <v/>
      </c>
      <c r="AG82" s="62">
        <f>IF($V82&lt;&gt;"Macro","",IF(COUNTIFS($S$5:$S$1000,$S82,$V$5:$V$1000,"Macro",$H$5:$H$1000,"&gt;0")=0,1/COUNTIFS($S$5:$S$1000,$S82,$V$5:$V$1000,"Macro"),IF(AND(ISNUMBER($H82),N($H82)&gt;0),$H82,SUMIFS($H$5:$H$1000,$S$5:$S$1000,$S82,$V$5:$V$1000,"Macro")/COUNTIFS($S$5:$S$1000,$S82,$V$5:$V$1000,"Macro",$H$5:$H$1000,"&gt;0"))/(COUNTIFS($S$5:$S$1000,$S82,$V$5:$V$1000,"Macro")*SUMIFS($H$5:$H$1000,$S$5:$S$1000,$S82,$V$5:$V$1000,"Macro")/COUNTIFS($S$5:$S$1000,$S82,$V$5:$V$1000,"Macro",$H$5:$H$1000,"&gt;0"))))</f>
        <v/>
      </c>
      <c r="AH82" s="62" t="n"/>
      <c r="AI82" s="62" t="n"/>
      <c r="AJ82" s="62" t="n"/>
      <c r="AK82" s="62" t="n"/>
      <c r="AL82" s="62">
        <f>IF(LEFT($C82,11)="[Jefatura] ",IFERROR(MATCH("Riesgo Operacional|"&amp;MID($C82,12,500),rDname_ADM,0),0),"")</f>
        <v/>
      </c>
      <c r="AM82" s="62">
        <f>IF(N($AL82)&gt;0,INDEX(rIni_ADM,$AL82),IF(ISNUMBER($E82),$E82,""))</f>
        <v/>
      </c>
      <c r="AN82" s="62">
        <f>IF(N($AL82)&gt;0,INDEX(rLim_ADM,$AL82),IF(ISNUMBER($F82),$F82,""))</f>
        <v/>
      </c>
    </row>
    <row r="83">
      <c r="A83" s="56">
        <f>IF(NOT((COUNTA($B83:$D83)+COUNTA($G83:$L83)+COUNTA($Q83))&gt;0),"",IF($V83="Macro",COUNTIFS($V$5:$V83,"Macro",$S$5:$S83,$S83),IF(N($U83)=0,"?",COUNTIFS(INDEX($V$5:$V$1000,1):INDEX($V$5:$V$1000,$U83-4),"Macro",INDEX($S$5:$S$1000,1):INDEX($S$5:$S$1000,$U83-4),INDEX($S$5:$S$1000,$U83-4))&amp;"."&amp;COUNTIFS($U$5:$U83,$U83,$V$5:$V83,"Sub"))))</f>
        <v/>
      </c>
      <c r="B83" s="57" t="n"/>
      <c r="C83" s="58" t="n"/>
      <c r="D83" s="58" t="n"/>
      <c r="E83" s="59">
        <f>IF(N($AL83)&gt;0,INDEX(rIni_ADM,$AL83),"")</f>
        <v/>
      </c>
      <c r="F83" s="59">
        <f>IF(N($AL83)&gt;0,INDEX(rLim_ADM,$AL83),"")</f>
        <v/>
      </c>
      <c r="G83" s="59" t="n"/>
      <c r="H83" s="60" t="n"/>
      <c r="I83" s="60" t="n"/>
      <c r="J83" s="60" t="n"/>
      <c r="K83" s="60" t="n"/>
      <c r="L83" s="60" t="n"/>
      <c r="M83" s="61">
        <f>IF(NOT((COUNTA($B83:$D83)+COUNTA($G83:$L83)+COUNTA($Q83))&gt;0),"",IF(ISNUMBER($G83),1,IF(N($W83)&gt;0,AVERAGEIFS($X$5:$X$1000,$U$5:$U$1000,ROW(),$V$5:$V$1000,"Sub"),$X83)))</f>
        <v/>
      </c>
      <c r="N83" s="56">
        <f>IF($M83="","",IF($M83&gt;=1,"Completado",IF($M83&gt;0,"En curso","Pendiente")))</f>
        <v/>
      </c>
      <c r="O83" s="56">
        <f>IF(NOT((COUNTA($B83:$D83)+COUNTA($G83:$L83)+COUNTA($Q83))&gt;0),"",IF(ISNUMBER($G83),IF(AND(ISNUMBER($AN83),$G83&gt;$AN83),"Cumplida con "&amp;($G83-$AN83)&amp;IF($G83-$AN83=1," día"," días")&amp;" de retraso","Cumplida"),IF(N($M83)&gt;=1,"Cumplida",IF(NOT(ISNUMBER($AN83)),"Sin fecha límite",IF($AN83&lt;FechaRef,"Vencida hace "&amp;(FechaRef-$AN83)&amp;IF(FechaRef-$AN83=1," día"," días"),IF($AN83=FechaRef,"Vence hoy",IF($AN83-FechaRef&lt;=DiasAlerta,"Vence en "&amp;($AN83-FechaRef)&amp;IF($AN83-FechaRef=1," día"," días"),"En plazo")))))))</f>
        <v/>
      </c>
      <c r="P83" s="62" t="n"/>
      <c r="Q83" s="58" t="n"/>
      <c r="R83" s="63">
        <f>IF(NOT((COUNTA($B83:$D83)+COUNTA($G83:$L83)+COUNTA($Q83))&gt;0),"",IF((IF($C83="","Falta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",""))="","✔ OK","⚠ "&amp;LEFT(IF($C83="","Falta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",""),LEN(IF($C83="","Falta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",""))-3)))</f>
        <v/>
      </c>
      <c r="S83" s="64">
        <f>IF(NOT((COUNTA($B83:$D83)+COUNTA($G83:$L83)+COUNTA($Q83))&gt;0),"",IF(AND($V83="Sub",N($U83)&gt;0),IF(ISNUMBER(INDEX($AM$5:$AM$1000,$U83-4)),DATE(YEAR(INDEX($AM$5:$AM$1000,$U83-4)),MONTH(INDEX($AM$5:$AM$1000,$U83-4)),1),IF(ISNUMBER(INDEX($AN$5:$AN$1000,$U83-4)),DATE(YEAR(INDEX($AN$5:$AN$1000,$U83-4)),MONTH(INDEX($AN$5:$AN$1000,$U83-4)),1),MesCiclo)),IF(ISNUMBER($AM83),DATE(YEAR($AM83),MONTH($AM83),1),IF(ISNUMBER($AN83),DATE(YEAR($AN83),MONTH($AN83),1),MesCiclo))))</f>
        <v/>
      </c>
      <c r="T83" s="62">
        <f>IF(OR($S83="",$S83&lt;&gt;MesCiclo),"",COUNTIF($S$5:$S83,MesCiclo))</f>
        <v/>
      </c>
      <c r="U83" s="62">
        <f>IF($V83="","",IF($V83="Macro",ROW(),IFERROR(LOOKUP(2,1/($V$5:$V83="Macro"),ROW($V$5:$V83)),0)))</f>
        <v/>
      </c>
      <c r="V83" s="62">
        <f>IF(NOT((COUNTA($B83:$D83)+COUNTA($G83:$L83)+COUNTA($Q83))&gt;0),"",IF($B83="Subactividad","Sub","Macro"))</f>
        <v/>
      </c>
      <c r="W83" s="62">
        <f>IF($V83="Macro",COUNTIFS($U$5:$U$1000,ROW(),$V$5:$V$1000,"Sub"),"")</f>
        <v/>
      </c>
      <c r="X83" s="62">
        <f>IF($V83="","",IF(ISNUMBER($G83),1,IFERROR(LOOKUP(2,1/($I83:$L83&lt;&gt;""),$I83:$L83),0)))</f>
        <v/>
      </c>
      <c r="Y83" s="62">
        <f>IF($V83="","",IF(AND(ISNUMBER($G83),$G83&lt;=IF($S83=MesCiclo,InicioCiclo,$S83+MOD(2-WEEKDAY($S83),7))+6),1,IF(ISNUMBER($I83),$I83,0)))</f>
        <v/>
      </c>
      <c r="Z83" s="62">
        <f>IF($V83="","",IF(AND(ISNUMBER($G83),$G83&lt;=IF($S83=MesCiclo,InicioCiclo,$S83+MOD(2-WEEKDAY($S83),7))+13),1,IF(ISNUMBER($J83),$J83,$Y83)))</f>
        <v/>
      </c>
      <c r="AA83" s="62">
        <f>IF($V83="","",IF(AND(ISNUMBER($G83),$G83&lt;=IF($S83=MesCiclo,InicioCiclo,$S83+MOD(2-WEEKDAY($S83),7))+20),1,IF(ISNUMBER($K83),$K83,$Z83)))</f>
        <v/>
      </c>
      <c r="AB83" s="62">
        <f>IF($V83="","",IF(AND(ISNUMBER($G83),$G83&lt;=IF($S83=MesCiclo,InicioCiclo,$S83+MOD(2-WEEKDAY($S83),7))+27),1,IF(ISNUMBER($L83),$L83,$AA83)))</f>
        <v/>
      </c>
      <c r="AC83" s="62">
        <f>IF($V83="","",IF(AND(ISNUMBER($G83),$G83&lt;=IF($S83=MesCiclo,InicioCiclo,$S83+MOD(2-WEEKDAY($S83),7))+6),1,IF(N($W83)&gt;0,AVERAGEIFS($Y$5:$Y$1000,$U$5:$U$1000,ROW(),$V$5:$V$1000,"Sub"),$Y83)))</f>
        <v/>
      </c>
      <c r="AD83" s="62">
        <f>IF($V83="","",IF(AND(ISNUMBER($G83),$G83&lt;=IF($S83=MesCiclo,InicioCiclo,$S83+MOD(2-WEEKDAY($S83),7))+13),1,IF(N($W83)&gt;0,AVERAGEIFS($Z$5:$Z$1000,$U$5:$U$1000,ROW(),$V$5:$V$1000,"Sub"),$Z83)))</f>
        <v/>
      </c>
      <c r="AE83" s="62">
        <f>IF($V83="","",IF(AND(ISNUMBER($G83),$G83&lt;=IF($S83=MesCiclo,InicioCiclo,$S83+MOD(2-WEEKDAY($S83),7))+20),1,IF(N($W83)&gt;0,AVERAGEIFS($AA$5:$AA$1000,$U$5:$U$1000,ROW(),$V$5:$V$1000,"Sub"),$AA83)))</f>
        <v/>
      </c>
      <c r="AF83" s="62">
        <f>IF($V83="","",IF(AND(ISNUMBER($G83),$G83&lt;=IF($S83=MesCiclo,InicioCiclo,$S83+MOD(2-WEEKDAY($S83),7))+27),1,IF(N($W83)&gt;0,AVERAGEIFS($AB$5:$AB$1000,$U$5:$U$1000,ROW(),$V$5:$V$1000,"Sub"),$AB83)))</f>
        <v/>
      </c>
      <c r="AG83" s="62">
        <f>IF($V83&lt;&gt;"Macro","",IF(COUNTIFS($S$5:$S$1000,$S83,$V$5:$V$1000,"Macro",$H$5:$H$1000,"&gt;0")=0,1/COUNTIFS($S$5:$S$1000,$S83,$V$5:$V$1000,"Macro"),IF(AND(ISNUMBER($H83),N($H83)&gt;0),$H83,SUMIFS($H$5:$H$1000,$S$5:$S$1000,$S83,$V$5:$V$1000,"Macro")/COUNTIFS($S$5:$S$1000,$S83,$V$5:$V$1000,"Macro",$H$5:$H$1000,"&gt;0"))/(COUNTIFS($S$5:$S$1000,$S83,$V$5:$V$1000,"Macro")*SUMIFS($H$5:$H$1000,$S$5:$S$1000,$S83,$V$5:$V$1000,"Macro")/COUNTIFS($S$5:$S$1000,$S83,$V$5:$V$1000,"Macro",$H$5:$H$1000,"&gt;0"))))</f>
        <v/>
      </c>
      <c r="AH83" s="62" t="n"/>
      <c r="AI83" s="62" t="n"/>
      <c r="AJ83" s="62" t="n"/>
      <c r="AK83" s="62" t="n"/>
      <c r="AL83" s="62">
        <f>IF(LEFT($C83,11)="[Jefatura] ",IFERROR(MATCH("Riesgo Operacional|"&amp;MID($C83,12,500),rDname_ADM,0),0),"")</f>
        <v/>
      </c>
      <c r="AM83" s="62">
        <f>IF(N($AL83)&gt;0,INDEX(rIni_ADM,$AL83),IF(ISNUMBER($E83),$E83,""))</f>
        <v/>
      </c>
      <c r="AN83" s="62">
        <f>IF(N($AL83)&gt;0,INDEX(rLim_ADM,$AL83),IF(ISNUMBER($F83),$F83,""))</f>
        <v/>
      </c>
    </row>
    <row r="84">
      <c r="A84" s="56">
        <f>IF(NOT((COUNTA($B84:$D84)+COUNTA($G84:$L84)+COUNTA($Q84))&gt;0),"",IF($V84="Macro",COUNTIFS($V$5:$V84,"Macro",$S$5:$S84,$S84),IF(N($U84)=0,"?",COUNTIFS(INDEX($V$5:$V$1000,1):INDEX($V$5:$V$1000,$U84-4),"Macro",INDEX($S$5:$S$1000,1):INDEX($S$5:$S$1000,$U84-4),INDEX($S$5:$S$1000,$U84-4))&amp;"."&amp;COUNTIFS($U$5:$U84,$U84,$V$5:$V84,"Sub"))))</f>
        <v/>
      </c>
      <c r="B84" s="57" t="n"/>
      <c r="C84" s="58" t="n"/>
      <c r="D84" s="58" t="n"/>
      <c r="E84" s="59">
        <f>IF(N($AL84)&gt;0,INDEX(rIni_ADM,$AL84),"")</f>
        <v/>
      </c>
      <c r="F84" s="59">
        <f>IF(N($AL84)&gt;0,INDEX(rLim_ADM,$AL84),"")</f>
        <v/>
      </c>
      <c r="G84" s="59" t="n"/>
      <c r="H84" s="60" t="n"/>
      <c r="I84" s="60" t="n"/>
      <c r="J84" s="60" t="n"/>
      <c r="K84" s="60" t="n"/>
      <c r="L84" s="60" t="n"/>
      <c r="M84" s="61">
        <f>IF(NOT((COUNTA($B84:$D84)+COUNTA($G84:$L84)+COUNTA($Q84))&gt;0),"",IF(ISNUMBER($G84),1,IF(N($W84)&gt;0,AVERAGEIFS($X$5:$X$1000,$U$5:$U$1000,ROW(),$V$5:$V$1000,"Sub"),$X84)))</f>
        <v/>
      </c>
      <c r="N84" s="56">
        <f>IF($M84="","",IF($M84&gt;=1,"Completado",IF($M84&gt;0,"En curso","Pendiente")))</f>
        <v/>
      </c>
      <c r="O84" s="56">
        <f>IF(NOT((COUNTA($B84:$D84)+COUNTA($G84:$L84)+COUNTA($Q84))&gt;0),"",IF(ISNUMBER($G84),IF(AND(ISNUMBER($AN84),$G84&gt;$AN84),"Cumplida con "&amp;($G84-$AN84)&amp;IF($G84-$AN84=1," día"," días")&amp;" de retraso","Cumplida"),IF(N($M84)&gt;=1,"Cumplida",IF(NOT(ISNUMBER($AN84)),"Sin fecha límite",IF($AN84&lt;FechaRef,"Vencida hace "&amp;(FechaRef-$AN84)&amp;IF(FechaRef-$AN84=1," día"," días"),IF($AN84=FechaRef,"Vence hoy",IF($AN84-FechaRef&lt;=DiasAlerta,"Vence en "&amp;($AN84-FechaRef)&amp;IF($AN84-FechaRef=1," día"," días"),"En plazo")))))))</f>
        <v/>
      </c>
      <c r="P84" s="62" t="n"/>
      <c r="Q84" s="58" t="n"/>
      <c r="R84" s="63">
        <f>IF(NOT((COUNTA($B84:$D84)+COUNTA($G84:$L84)+COUNTA($Q84))&gt;0),"",IF((IF($C84="","Falta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",""))="","✔ OK","⚠ "&amp;LEFT(IF($C84="","Falta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",""),LEN(IF($C84="","Falta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",""))-3)))</f>
        <v/>
      </c>
      <c r="S84" s="64">
        <f>IF(NOT((COUNTA($B84:$D84)+COUNTA($G84:$L84)+COUNTA($Q84))&gt;0),"",IF(AND($V84="Sub",N($U84)&gt;0),IF(ISNUMBER(INDEX($AM$5:$AM$1000,$U84-4)),DATE(YEAR(INDEX($AM$5:$AM$1000,$U84-4)),MONTH(INDEX($AM$5:$AM$1000,$U84-4)),1),IF(ISNUMBER(INDEX($AN$5:$AN$1000,$U84-4)),DATE(YEAR(INDEX($AN$5:$AN$1000,$U84-4)),MONTH(INDEX($AN$5:$AN$1000,$U84-4)),1),MesCiclo)),IF(ISNUMBER($AM84),DATE(YEAR($AM84),MONTH($AM84),1),IF(ISNUMBER($AN84),DATE(YEAR($AN84),MONTH($AN84),1),MesCiclo))))</f>
        <v/>
      </c>
      <c r="T84" s="62">
        <f>IF(OR($S84="",$S84&lt;&gt;MesCiclo),"",COUNTIF($S$5:$S84,MesCiclo))</f>
        <v/>
      </c>
      <c r="U84" s="62">
        <f>IF($V84="","",IF($V84="Macro",ROW(),IFERROR(LOOKUP(2,1/($V$5:$V84="Macro"),ROW($V$5:$V84)),0)))</f>
        <v/>
      </c>
      <c r="V84" s="62">
        <f>IF(NOT((COUNTA($B84:$D84)+COUNTA($G84:$L84)+COUNTA($Q84))&gt;0),"",IF($B84="Subactividad","Sub","Macro"))</f>
        <v/>
      </c>
      <c r="W84" s="62">
        <f>IF($V84="Macro",COUNTIFS($U$5:$U$1000,ROW(),$V$5:$V$1000,"Sub"),"")</f>
        <v/>
      </c>
      <c r="X84" s="62">
        <f>IF($V84="","",IF(ISNUMBER($G84),1,IFERROR(LOOKUP(2,1/($I84:$L84&lt;&gt;""),$I84:$L84),0)))</f>
        <v/>
      </c>
      <c r="Y84" s="62">
        <f>IF($V84="","",IF(AND(ISNUMBER($G84),$G84&lt;=IF($S84=MesCiclo,InicioCiclo,$S84+MOD(2-WEEKDAY($S84),7))+6),1,IF(ISNUMBER($I84),$I84,0)))</f>
        <v/>
      </c>
      <c r="Z84" s="62">
        <f>IF($V84="","",IF(AND(ISNUMBER($G84),$G84&lt;=IF($S84=MesCiclo,InicioCiclo,$S84+MOD(2-WEEKDAY($S84),7))+13),1,IF(ISNUMBER($J84),$J84,$Y84)))</f>
        <v/>
      </c>
      <c r="AA84" s="62">
        <f>IF($V84="","",IF(AND(ISNUMBER($G84),$G84&lt;=IF($S84=MesCiclo,InicioCiclo,$S84+MOD(2-WEEKDAY($S84),7))+20),1,IF(ISNUMBER($K84),$K84,$Z84)))</f>
        <v/>
      </c>
      <c r="AB84" s="62">
        <f>IF($V84="","",IF(AND(ISNUMBER($G84),$G84&lt;=IF($S84=MesCiclo,InicioCiclo,$S84+MOD(2-WEEKDAY($S84),7))+27),1,IF(ISNUMBER($L84),$L84,$AA84)))</f>
        <v/>
      </c>
      <c r="AC84" s="62">
        <f>IF($V84="","",IF(AND(ISNUMBER($G84),$G84&lt;=IF($S84=MesCiclo,InicioCiclo,$S84+MOD(2-WEEKDAY($S84),7))+6),1,IF(N($W84)&gt;0,AVERAGEIFS($Y$5:$Y$1000,$U$5:$U$1000,ROW(),$V$5:$V$1000,"Sub"),$Y84)))</f>
        <v/>
      </c>
      <c r="AD84" s="62">
        <f>IF($V84="","",IF(AND(ISNUMBER($G84),$G84&lt;=IF($S84=MesCiclo,InicioCiclo,$S84+MOD(2-WEEKDAY($S84),7))+13),1,IF(N($W84)&gt;0,AVERAGEIFS($Z$5:$Z$1000,$U$5:$U$1000,ROW(),$V$5:$V$1000,"Sub"),$Z84)))</f>
        <v/>
      </c>
      <c r="AE84" s="62">
        <f>IF($V84="","",IF(AND(ISNUMBER($G84),$G84&lt;=IF($S84=MesCiclo,InicioCiclo,$S84+MOD(2-WEEKDAY($S84),7))+20),1,IF(N($W84)&gt;0,AVERAGEIFS($AA$5:$AA$1000,$U$5:$U$1000,ROW(),$V$5:$V$1000,"Sub"),$AA84)))</f>
        <v/>
      </c>
      <c r="AF84" s="62">
        <f>IF($V84="","",IF(AND(ISNUMBER($G84),$G84&lt;=IF($S84=MesCiclo,InicioCiclo,$S84+MOD(2-WEEKDAY($S84),7))+27),1,IF(N($W84)&gt;0,AVERAGEIFS($AB$5:$AB$1000,$U$5:$U$1000,ROW(),$V$5:$V$1000,"Sub"),$AB84)))</f>
        <v/>
      </c>
      <c r="AG84" s="62">
        <f>IF($V84&lt;&gt;"Macro","",IF(COUNTIFS($S$5:$S$1000,$S84,$V$5:$V$1000,"Macro",$H$5:$H$1000,"&gt;0")=0,1/COUNTIFS($S$5:$S$1000,$S84,$V$5:$V$1000,"Macro"),IF(AND(ISNUMBER($H84),N($H84)&gt;0),$H84,SUMIFS($H$5:$H$1000,$S$5:$S$1000,$S84,$V$5:$V$1000,"Macro")/COUNTIFS($S$5:$S$1000,$S84,$V$5:$V$1000,"Macro",$H$5:$H$1000,"&gt;0"))/(COUNTIFS($S$5:$S$1000,$S84,$V$5:$V$1000,"Macro")*SUMIFS($H$5:$H$1000,$S$5:$S$1000,$S84,$V$5:$V$1000,"Macro")/COUNTIFS($S$5:$S$1000,$S84,$V$5:$V$1000,"Macro",$H$5:$H$1000,"&gt;0"))))</f>
        <v/>
      </c>
      <c r="AH84" s="62" t="n"/>
      <c r="AI84" s="62" t="n"/>
      <c r="AJ84" s="62" t="n"/>
      <c r="AK84" s="62" t="n"/>
      <c r="AL84" s="62">
        <f>IF(LEFT($C84,11)="[Jefatura] ",IFERROR(MATCH("Riesgo Operacional|"&amp;MID($C84,12,500),rDname_ADM,0),0),"")</f>
        <v/>
      </c>
      <c r="AM84" s="62">
        <f>IF(N($AL84)&gt;0,INDEX(rIni_ADM,$AL84),IF(ISNUMBER($E84),$E84,""))</f>
        <v/>
      </c>
      <c r="AN84" s="62">
        <f>IF(N($AL84)&gt;0,INDEX(rLim_ADM,$AL84),IF(ISNUMBER($F84),$F84,""))</f>
        <v/>
      </c>
    </row>
    <row r="85">
      <c r="A85" s="56">
        <f>IF(NOT((COUNTA($B85:$D85)+COUNTA($G85:$L85)+COUNTA($Q85))&gt;0),"",IF($V85="Macro",COUNTIFS($V$5:$V85,"Macro",$S$5:$S85,$S85),IF(N($U85)=0,"?",COUNTIFS(INDEX($V$5:$V$1000,1):INDEX($V$5:$V$1000,$U85-4),"Macro",INDEX($S$5:$S$1000,1):INDEX($S$5:$S$1000,$U85-4),INDEX($S$5:$S$1000,$U85-4))&amp;"."&amp;COUNTIFS($U$5:$U85,$U85,$V$5:$V85,"Sub"))))</f>
        <v/>
      </c>
      <c r="B85" s="57" t="n"/>
      <c r="C85" s="58" t="n"/>
      <c r="D85" s="58" t="n"/>
      <c r="E85" s="59">
        <f>IF(N($AL85)&gt;0,INDEX(rIni_ADM,$AL85),"")</f>
        <v/>
      </c>
      <c r="F85" s="59">
        <f>IF(N($AL85)&gt;0,INDEX(rLim_ADM,$AL85),"")</f>
        <v/>
      </c>
      <c r="G85" s="59" t="n"/>
      <c r="H85" s="60" t="n"/>
      <c r="I85" s="60" t="n"/>
      <c r="J85" s="60" t="n"/>
      <c r="K85" s="60" t="n"/>
      <c r="L85" s="60" t="n"/>
      <c r="M85" s="61">
        <f>IF(NOT((COUNTA($B85:$D85)+COUNTA($G85:$L85)+COUNTA($Q85))&gt;0),"",IF(ISNUMBER($G85),1,IF(N($W85)&gt;0,AVERAGEIFS($X$5:$X$1000,$U$5:$U$1000,ROW(),$V$5:$V$1000,"Sub"),$X85)))</f>
        <v/>
      </c>
      <c r="N85" s="56">
        <f>IF($M85="","",IF($M85&gt;=1,"Completado",IF($M85&gt;0,"En curso","Pendiente")))</f>
        <v/>
      </c>
      <c r="O85" s="56">
        <f>IF(NOT((COUNTA($B85:$D85)+COUNTA($G85:$L85)+COUNTA($Q85))&gt;0),"",IF(ISNUMBER($G85),IF(AND(ISNUMBER($AN85),$G85&gt;$AN85),"Cumplida con "&amp;($G85-$AN85)&amp;IF($G85-$AN85=1," día"," días")&amp;" de retraso","Cumplida"),IF(N($M85)&gt;=1,"Cumplida",IF(NOT(ISNUMBER($AN85)),"Sin fecha límite",IF($AN85&lt;FechaRef,"Vencida hace "&amp;(FechaRef-$AN85)&amp;IF(FechaRef-$AN85=1," día"," días"),IF($AN85=FechaRef,"Vence hoy",IF($AN85-FechaRef&lt;=DiasAlerta,"Vence en "&amp;($AN85-FechaRef)&amp;IF($AN85-FechaRef=1," día"," días"),"En plazo")))))))</f>
        <v/>
      </c>
      <c r="P85" s="62" t="n"/>
      <c r="Q85" s="58" t="n"/>
      <c r="R85" s="63">
        <f>IF(NOT((COUNTA($B85:$D85)+COUNTA($G85:$L85)+COUNTA($Q85))&gt;0),"",IF((IF($C85="","Falta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",""))="","✔ OK","⚠ "&amp;LEFT(IF($C85="","Falta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",""),LEN(IF($C85="","Falta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",""))-3)))</f>
        <v/>
      </c>
      <c r="S85" s="64">
        <f>IF(NOT((COUNTA($B85:$D85)+COUNTA($G85:$L85)+COUNTA($Q85))&gt;0),"",IF(AND($V85="Sub",N($U85)&gt;0),IF(ISNUMBER(INDEX($AM$5:$AM$1000,$U85-4)),DATE(YEAR(INDEX($AM$5:$AM$1000,$U85-4)),MONTH(INDEX($AM$5:$AM$1000,$U85-4)),1),IF(ISNUMBER(INDEX($AN$5:$AN$1000,$U85-4)),DATE(YEAR(INDEX($AN$5:$AN$1000,$U85-4)),MONTH(INDEX($AN$5:$AN$1000,$U85-4)),1),MesCiclo)),IF(ISNUMBER($AM85),DATE(YEAR($AM85),MONTH($AM85),1),IF(ISNUMBER($AN85),DATE(YEAR($AN85),MONTH($AN85),1),MesCiclo))))</f>
        <v/>
      </c>
      <c r="T85" s="62">
        <f>IF(OR($S85="",$S85&lt;&gt;MesCiclo),"",COUNTIF($S$5:$S85,MesCiclo))</f>
        <v/>
      </c>
      <c r="U85" s="62">
        <f>IF($V85="","",IF($V85="Macro",ROW(),IFERROR(LOOKUP(2,1/($V$5:$V85="Macro"),ROW($V$5:$V85)),0)))</f>
        <v/>
      </c>
      <c r="V85" s="62">
        <f>IF(NOT((COUNTA($B85:$D85)+COUNTA($G85:$L85)+COUNTA($Q85))&gt;0),"",IF($B85="Subactividad","Sub","Macro"))</f>
        <v/>
      </c>
      <c r="W85" s="62">
        <f>IF($V85="Macro",COUNTIFS($U$5:$U$1000,ROW(),$V$5:$V$1000,"Sub"),"")</f>
        <v/>
      </c>
      <c r="X85" s="62">
        <f>IF($V85="","",IF(ISNUMBER($G85),1,IFERROR(LOOKUP(2,1/($I85:$L85&lt;&gt;""),$I85:$L85),0)))</f>
        <v/>
      </c>
      <c r="Y85" s="62">
        <f>IF($V85="","",IF(AND(ISNUMBER($G85),$G85&lt;=IF($S85=MesCiclo,InicioCiclo,$S85+MOD(2-WEEKDAY($S85),7))+6),1,IF(ISNUMBER($I85),$I85,0)))</f>
        <v/>
      </c>
      <c r="Z85" s="62">
        <f>IF($V85="","",IF(AND(ISNUMBER($G85),$G85&lt;=IF($S85=MesCiclo,InicioCiclo,$S85+MOD(2-WEEKDAY($S85),7))+13),1,IF(ISNUMBER($J85),$J85,$Y85)))</f>
        <v/>
      </c>
      <c r="AA85" s="62">
        <f>IF($V85="","",IF(AND(ISNUMBER($G85),$G85&lt;=IF($S85=MesCiclo,InicioCiclo,$S85+MOD(2-WEEKDAY($S85),7))+20),1,IF(ISNUMBER($K85),$K85,$Z85)))</f>
        <v/>
      </c>
      <c r="AB85" s="62">
        <f>IF($V85="","",IF(AND(ISNUMBER($G85),$G85&lt;=IF($S85=MesCiclo,InicioCiclo,$S85+MOD(2-WEEKDAY($S85),7))+27),1,IF(ISNUMBER($L85),$L85,$AA85)))</f>
        <v/>
      </c>
      <c r="AC85" s="62">
        <f>IF($V85="","",IF(AND(ISNUMBER($G85),$G85&lt;=IF($S85=MesCiclo,InicioCiclo,$S85+MOD(2-WEEKDAY($S85),7))+6),1,IF(N($W85)&gt;0,AVERAGEIFS($Y$5:$Y$1000,$U$5:$U$1000,ROW(),$V$5:$V$1000,"Sub"),$Y85)))</f>
        <v/>
      </c>
      <c r="AD85" s="62">
        <f>IF($V85="","",IF(AND(ISNUMBER($G85),$G85&lt;=IF($S85=MesCiclo,InicioCiclo,$S85+MOD(2-WEEKDAY($S85),7))+13),1,IF(N($W85)&gt;0,AVERAGEIFS($Z$5:$Z$1000,$U$5:$U$1000,ROW(),$V$5:$V$1000,"Sub"),$Z85)))</f>
        <v/>
      </c>
      <c r="AE85" s="62">
        <f>IF($V85="","",IF(AND(ISNUMBER($G85),$G85&lt;=IF($S85=MesCiclo,InicioCiclo,$S85+MOD(2-WEEKDAY($S85),7))+20),1,IF(N($W85)&gt;0,AVERAGEIFS($AA$5:$AA$1000,$U$5:$U$1000,ROW(),$V$5:$V$1000,"Sub"),$AA85)))</f>
        <v/>
      </c>
      <c r="AF85" s="62">
        <f>IF($V85="","",IF(AND(ISNUMBER($G85),$G85&lt;=IF($S85=MesCiclo,InicioCiclo,$S85+MOD(2-WEEKDAY($S85),7))+27),1,IF(N($W85)&gt;0,AVERAGEIFS($AB$5:$AB$1000,$U$5:$U$1000,ROW(),$V$5:$V$1000,"Sub"),$AB85)))</f>
        <v/>
      </c>
      <c r="AG85" s="62">
        <f>IF($V85&lt;&gt;"Macro","",IF(COUNTIFS($S$5:$S$1000,$S85,$V$5:$V$1000,"Macro",$H$5:$H$1000,"&gt;0")=0,1/COUNTIFS($S$5:$S$1000,$S85,$V$5:$V$1000,"Macro"),IF(AND(ISNUMBER($H85),N($H85)&gt;0),$H85,SUMIFS($H$5:$H$1000,$S$5:$S$1000,$S85,$V$5:$V$1000,"Macro")/COUNTIFS($S$5:$S$1000,$S85,$V$5:$V$1000,"Macro",$H$5:$H$1000,"&gt;0"))/(COUNTIFS($S$5:$S$1000,$S85,$V$5:$V$1000,"Macro")*SUMIFS($H$5:$H$1000,$S$5:$S$1000,$S85,$V$5:$V$1000,"Macro")/COUNTIFS($S$5:$S$1000,$S85,$V$5:$V$1000,"Macro",$H$5:$H$1000,"&gt;0"))))</f>
        <v/>
      </c>
      <c r="AH85" s="62" t="n"/>
      <c r="AI85" s="62" t="n"/>
      <c r="AJ85" s="62" t="n"/>
      <c r="AK85" s="62" t="n"/>
      <c r="AL85" s="62">
        <f>IF(LEFT($C85,11)="[Jefatura] ",IFERROR(MATCH("Riesgo Operacional|"&amp;MID($C85,12,500),rDname_ADM,0),0),"")</f>
        <v/>
      </c>
      <c r="AM85" s="62">
        <f>IF(N($AL85)&gt;0,INDEX(rIni_ADM,$AL85),IF(ISNUMBER($E85),$E85,""))</f>
        <v/>
      </c>
      <c r="AN85" s="62">
        <f>IF(N($AL85)&gt;0,INDEX(rLim_ADM,$AL85),IF(ISNUMBER($F85),$F85,""))</f>
        <v/>
      </c>
    </row>
    <row r="86">
      <c r="A86" s="56">
        <f>IF(NOT((COUNTA($B86:$D86)+COUNTA($G86:$L86)+COUNTA($Q86))&gt;0),"",IF($V86="Macro",COUNTIFS($V$5:$V86,"Macro",$S$5:$S86,$S86),IF(N($U86)=0,"?",COUNTIFS(INDEX($V$5:$V$1000,1):INDEX($V$5:$V$1000,$U86-4),"Macro",INDEX($S$5:$S$1000,1):INDEX($S$5:$S$1000,$U86-4),INDEX($S$5:$S$1000,$U86-4))&amp;"."&amp;COUNTIFS($U$5:$U86,$U86,$V$5:$V86,"Sub"))))</f>
        <v/>
      </c>
      <c r="B86" s="57" t="n"/>
      <c r="C86" s="58" t="n"/>
      <c r="D86" s="58" t="n"/>
      <c r="E86" s="59">
        <f>IF(N($AL86)&gt;0,INDEX(rIni_ADM,$AL86),"")</f>
        <v/>
      </c>
      <c r="F86" s="59">
        <f>IF(N($AL86)&gt;0,INDEX(rLim_ADM,$AL86),"")</f>
        <v/>
      </c>
      <c r="G86" s="59" t="n"/>
      <c r="H86" s="60" t="n"/>
      <c r="I86" s="60" t="n"/>
      <c r="J86" s="60" t="n"/>
      <c r="K86" s="60" t="n"/>
      <c r="L86" s="60" t="n"/>
      <c r="M86" s="61">
        <f>IF(NOT((COUNTA($B86:$D86)+COUNTA($G86:$L86)+COUNTA($Q86))&gt;0),"",IF(ISNUMBER($G86),1,IF(N($W86)&gt;0,AVERAGEIFS($X$5:$X$1000,$U$5:$U$1000,ROW(),$V$5:$V$1000,"Sub"),$X86)))</f>
        <v/>
      </c>
      <c r="N86" s="56">
        <f>IF($M86="","",IF($M86&gt;=1,"Completado",IF($M86&gt;0,"En curso","Pendiente")))</f>
        <v/>
      </c>
      <c r="O86" s="56">
        <f>IF(NOT((COUNTA($B86:$D86)+COUNTA($G86:$L86)+COUNTA($Q86))&gt;0),"",IF(ISNUMBER($G86),IF(AND(ISNUMBER($AN86),$G86&gt;$AN86),"Cumplida con "&amp;($G86-$AN86)&amp;IF($G86-$AN86=1," día"," días")&amp;" de retraso","Cumplida"),IF(N($M86)&gt;=1,"Cumplida",IF(NOT(ISNUMBER($AN86)),"Sin fecha límite",IF($AN86&lt;FechaRef,"Vencida hace "&amp;(FechaRef-$AN86)&amp;IF(FechaRef-$AN86=1," día"," días"),IF($AN86=FechaRef,"Vence hoy",IF($AN86-FechaRef&lt;=DiasAlerta,"Vence en "&amp;($AN86-FechaRef)&amp;IF($AN86-FechaRef=1," día"," días"),"En plazo")))))))</f>
        <v/>
      </c>
      <c r="P86" s="62" t="n"/>
      <c r="Q86" s="58" t="n"/>
      <c r="R86" s="63">
        <f>IF(NOT((COUNTA($B86:$D86)+COUNTA($G86:$L86)+COUNTA($Q86))&gt;0),"",IF((IF($C86="","Falta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",""))="","✔ OK","⚠ "&amp;LEFT(IF($C86="","Falta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",""),LEN(IF($C86="","Falta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",""))-3)))</f>
        <v/>
      </c>
      <c r="S86" s="64">
        <f>IF(NOT((COUNTA($B86:$D86)+COUNTA($G86:$L86)+COUNTA($Q86))&gt;0),"",IF(AND($V86="Sub",N($U86)&gt;0),IF(ISNUMBER(INDEX($AM$5:$AM$1000,$U86-4)),DATE(YEAR(INDEX($AM$5:$AM$1000,$U86-4)),MONTH(INDEX($AM$5:$AM$1000,$U86-4)),1),IF(ISNUMBER(INDEX($AN$5:$AN$1000,$U86-4)),DATE(YEAR(INDEX($AN$5:$AN$1000,$U86-4)),MONTH(INDEX($AN$5:$AN$1000,$U86-4)),1),MesCiclo)),IF(ISNUMBER($AM86),DATE(YEAR($AM86),MONTH($AM86),1),IF(ISNUMBER($AN86),DATE(YEAR($AN86),MONTH($AN86),1),MesCiclo))))</f>
        <v/>
      </c>
      <c r="T86" s="62">
        <f>IF(OR($S86="",$S86&lt;&gt;MesCiclo),"",COUNTIF($S$5:$S86,MesCiclo))</f>
        <v/>
      </c>
      <c r="U86" s="62">
        <f>IF($V86="","",IF($V86="Macro",ROW(),IFERROR(LOOKUP(2,1/($V$5:$V86="Macro"),ROW($V$5:$V86)),0)))</f>
        <v/>
      </c>
      <c r="V86" s="62">
        <f>IF(NOT((COUNTA($B86:$D86)+COUNTA($G86:$L86)+COUNTA($Q86))&gt;0),"",IF($B86="Subactividad","Sub","Macro"))</f>
        <v/>
      </c>
      <c r="W86" s="62">
        <f>IF($V86="Macro",COUNTIFS($U$5:$U$1000,ROW(),$V$5:$V$1000,"Sub"),"")</f>
        <v/>
      </c>
      <c r="X86" s="62">
        <f>IF($V86="","",IF(ISNUMBER($G86),1,IFERROR(LOOKUP(2,1/($I86:$L86&lt;&gt;""),$I86:$L86),0)))</f>
        <v/>
      </c>
      <c r="Y86" s="62">
        <f>IF($V86="","",IF(AND(ISNUMBER($G86),$G86&lt;=IF($S86=MesCiclo,InicioCiclo,$S86+MOD(2-WEEKDAY($S86),7))+6),1,IF(ISNUMBER($I86),$I86,0)))</f>
        <v/>
      </c>
      <c r="Z86" s="62">
        <f>IF($V86="","",IF(AND(ISNUMBER($G86),$G86&lt;=IF($S86=MesCiclo,InicioCiclo,$S86+MOD(2-WEEKDAY($S86),7))+13),1,IF(ISNUMBER($J86),$J86,$Y86)))</f>
        <v/>
      </c>
      <c r="AA86" s="62">
        <f>IF($V86="","",IF(AND(ISNUMBER($G86),$G86&lt;=IF($S86=MesCiclo,InicioCiclo,$S86+MOD(2-WEEKDAY($S86),7))+20),1,IF(ISNUMBER($K86),$K86,$Z86)))</f>
        <v/>
      </c>
      <c r="AB86" s="62">
        <f>IF($V86="","",IF(AND(ISNUMBER($G86),$G86&lt;=IF($S86=MesCiclo,InicioCiclo,$S86+MOD(2-WEEKDAY($S86),7))+27),1,IF(ISNUMBER($L86),$L86,$AA86)))</f>
        <v/>
      </c>
      <c r="AC86" s="62">
        <f>IF($V86="","",IF(AND(ISNUMBER($G86),$G86&lt;=IF($S86=MesCiclo,InicioCiclo,$S86+MOD(2-WEEKDAY($S86),7))+6),1,IF(N($W86)&gt;0,AVERAGEIFS($Y$5:$Y$1000,$U$5:$U$1000,ROW(),$V$5:$V$1000,"Sub"),$Y86)))</f>
        <v/>
      </c>
      <c r="AD86" s="62">
        <f>IF($V86="","",IF(AND(ISNUMBER($G86),$G86&lt;=IF($S86=MesCiclo,InicioCiclo,$S86+MOD(2-WEEKDAY($S86),7))+13),1,IF(N($W86)&gt;0,AVERAGEIFS($Z$5:$Z$1000,$U$5:$U$1000,ROW(),$V$5:$V$1000,"Sub"),$Z86)))</f>
        <v/>
      </c>
      <c r="AE86" s="62">
        <f>IF($V86="","",IF(AND(ISNUMBER($G86),$G86&lt;=IF($S86=MesCiclo,InicioCiclo,$S86+MOD(2-WEEKDAY($S86),7))+20),1,IF(N($W86)&gt;0,AVERAGEIFS($AA$5:$AA$1000,$U$5:$U$1000,ROW(),$V$5:$V$1000,"Sub"),$AA86)))</f>
        <v/>
      </c>
      <c r="AF86" s="62">
        <f>IF($V86="","",IF(AND(ISNUMBER($G86),$G86&lt;=IF($S86=MesCiclo,InicioCiclo,$S86+MOD(2-WEEKDAY($S86),7))+27),1,IF(N($W86)&gt;0,AVERAGEIFS($AB$5:$AB$1000,$U$5:$U$1000,ROW(),$V$5:$V$1000,"Sub"),$AB86)))</f>
        <v/>
      </c>
      <c r="AG86" s="62">
        <f>IF($V86&lt;&gt;"Macro","",IF(COUNTIFS($S$5:$S$1000,$S86,$V$5:$V$1000,"Macro",$H$5:$H$1000,"&gt;0")=0,1/COUNTIFS($S$5:$S$1000,$S86,$V$5:$V$1000,"Macro"),IF(AND(ISNUMBER($H86),N($H86)&gt;0),$H86,SUMIFS($H$5:$H$1000,$S$5:$S$1000,$S86,$V$5:$V$1000,"Macro")/COUNTIFS($S$5:$S$1000,$S86,$V$5:$V$1000,"Macro",$H$5:$H$1000,"&gt;0"))/(COUNTIFS($S$5:$S$1000,$S86,$V$5:$V$1000,"Macro")*SUMIFS($H$5:$H$1000,$S$5:$S$1000,$S86,$V$5:$V$1000,"Macro")/COUNTIFS($S$5:$S$1000,$S86,$V$5:$V$1000,"Macro",$H$5:$H$1000,"&gt;0"))))</f>
        <v/>
      </c>
      <c r="AH86" s="62" t="n"/>
      <c r="AI86" s="62" t="n"/>
      <c r="AJ86" s="62" t="n"/>
      <c r="AK86" s="62" t="n"/>
      <c r="AL86" s="62">
        <f>IF(LEFT($C86,11)="[Jefatura] ",IFERROR(MATCH("Riesgo Operacional|"&amp;MID($C86,12,500),rDname_ADM,0),0),"")</f>
        <v/>
      </c>
      <c r="AM86" s="62">
        <f>IF(N($AL86)&gt;0,INDEX(rIni_ADM,$AL86),IF(ISNUMBER($E86),$E86,""))</f>
        <v/>
      </c>
      <c r="AN86" s="62">
        <f>IF(N($AL86)&gt;0,INDEX(rLim_ADM,$AL86),IF(ISNUMBER($F86),$F86,""))</f>
        <v/>
      </c>
    </row>
    <row r="87">
      <c r="A87" s="56">
        <f>IF(NOT((COUNTA($B87:$D87)+COUNTA($G87:$L87)+COUNTA($Q87))&gt;0),"",IF($V87="Macro",COUNTIFS($V$5:$V87,"Macro",$S$5:$S87,$S87),IF(N($U87)=0,"?",COUNTIFS(INDEX($V$5:$V$1000,1):INDEX($V$5:$V$1000,$U87-4),"Macro",INDEX($S$5:$S$1000,1):INDEX($S$5:$S$1000,$U87-4),INDEX($S$5:$S$1000,$U87-4))&amp;"."&amp;COUNTIFS($U$5:$U87,$U87,$V$5:$V87,"Sub"))))</f>
        <v/>
      </c>
      <c r="B87" s="57" t="n"/>
      <c r="C87" s="58" t="n"/>
      <c r="D87" s="58" t="n"/>
      <c r="E87" s="59">
        <f>IF(N($AL87)&gt;0,INDEX(rIni_ADM,$AL87),"")</f>
        <v/>
      </c>
      <c r="F87" s="59">
        <f>IF(N($AL87)&gt;0,INDEX(rLim_ADM,$AL87),"")</f>
        <v/>
      </c>
      <c r="G87" s="59" t="n"/>
      <c r="H87" s="60" t="n"/>
      <c r="I87" s="60" t="n"/>
      <c r="J87" s="60" t="n"/>
      <c r="K87" s="60" t="n"/>
      <c r="L87" s="60" t="n"/>
      <c r="M87" s="61">
        <f>IF(NOT((COUNTA($B87:$D87)+COUNTA($G87:$L87)+COUNTA($Q87))&gt;0),"",IF(ISNUMBER($G87),1,IF(N($W87)&gt;0,AVERAGEIFS($X$5:$X$1000,$U$5:$U$1000,ROW(),$V$5:$V$1000,"Sub"),$X87)))</f>
        <v/>
      </c>
      <c r="N87" s="56">
        <f>IF($M87="","",IF($M87&gt;=1,"Completado",IF($M87&gt;0,"En curso","Pendiente")))</f>
        <v/>
      </c>
      <c r="O87" s="56">
        <f>IF(NOT((COUNTA($B87:$D87)+COUNTA($G87:$L87)+COUNTA($Q87))&gt;0),"",IF(ISNUMBER($G87),IF(AND(ISNUMBER($AN87),$G87&gt;$AN87),"Cumplida con "&amp;($G87-$AN87)&amp;IF($G87-$AN87=1," día"," días")&amp;" de retraso","Cumplida"),IF(N($M87)&gt;=1,"Cumplida",IF(NOT(ISNUMBER($AN87)),"Sin fecha límite",IF($AN87&lt;FechaRef,"Vencida hace "&amp;(FechaRef-$AN87)&amp;IF(FechaRef-$AN87=1," día"," días"),IF($AN87=FechaRef,"Vence hoy",IF($AN87-FechaRef&lt;=DiasAlerta,"Vence en "&amp;($AN87-FechaRef)&amp;IF($AN87-FechaRef=1," día"," días"),"En plazo")))))))</f>
        <v/>
      </c>
      <c r="P87" s="62" t="n"/>
      <c r="Q87" s="58" t="n"/>
      <c r="R87" s="63">
        <f>IF(NOT((COUNTA($B87:$D87)+COUNTA($G87:$L87)+COUNTA($Q87))&gt;0),"",IF((IF($C87="","Falta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",""))="","✔ OK","⚠ "&amp;LEFT(IF($C87="","Falta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",""),LEN(IF($C87="","Falta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",""))-3)))</f>
        <v/>
      </c>
      <c r="S87" s="64">
        <f>IF(NOT((COUNTA($B87:$D87)+COUNTA($G87:$L87)+COUNTA($Q87))&gt;0),"",IF(AND($V87="Sub",N($U87)&gt;0),IF(ISNUMBER(INDEX($AM$5:$AM$1000,$U87-4)),DATE(YEAR(INDEX($AM$5:$AM$1000,$U87-4)),MONTH(INDEX($AM$5:$AM$1000,$U87-4)),1),IF(ISNUMBER(INDEX($AN$5:$AN$1000,$U87-4)),DATE(YEAR(INDEX($AN$5:$AN$1000,$U87-4)),MONTH(INDEX($AN$5:$AN$1000,$U87-4)),1),MesCiclo)),IF(ISNUMBER($AM87),DATE(YEAR($AM87),MONTH($AM87),1),IF(ISNUMBER($AN87),DATE(YEAR($AN87),MONTH($AN87),1),MesCiclo))))</f>
        <v/>
      </c>
      <c r="T87" s="62">
        <f>IF(OR($S87="",$S87&lt;&gt;MesCiclo),"",COUNTIF($S$5:$S87,MesCiclo))</f>
        <v/>
      </c>
      <c r="U87" s="62">
        <f>IF($V87="","",IF($V87="Macro",ROW(),IFERROR(LOOKUP(2,1/($V$5:$V87="Macro"),ROW($V$5:$V87)),0)))</f>
        <v/>
      </c>
      <c r="V87" s="62">
        <f>IF(NOT((COUNTA($B87:$D87)+COUNTA($G87:$L87)+COUNTA($Q87))&gt;0),"",IF($B87="Subactividad","Sub","Macro"))</f>
        <v/>
      </c>
      <c r="W87" s="62">
        <f>IF($V87="Macro",COUNTIFS($U$5:$U$1000,ROW(),$V$5:$V$1000,"Sub"),"")</f>
        <v/>
      </c>
      <c r="X87" s="62">
        <f>IF($V87="","",IF(ISNUMBER($G87),1,IFERROR(LOOKUP(2,1/($I87:$L87&lt;&gt;""),$I87:$L87),0)))</f>
        <v/>
      </c>
      <c r="Y87" s="62">
        <f>IF($V87="","",IF(AND(ISNUMBER($G87),$G87&lt;=IF($S87=MesCiclo,InicioCiclo,$S87+MOD(2-WEEKDAY($S87),7))+6),1,IF(ISNUMBER($I87),$I87,0)))</f>
        <v/>
      </c>
      <c r="Z87" s="62">
        <f>IF($V87="","",IF(AND(ISNUMBER($G87),$G87&lt;=IF($S87=MesCiclo,InicioCiclo,$S87+MOD(2-WEEKDAY($S87),7))+13),1,IF(ISNUMBER($J87),$J87,$Y87)))</f>
        <v/>
      </c>
      <c r="AA87" s="62">
        <f>IF($V87="","",IF(AND(ISNUMBER($G87),$G87&lt;=IF($S87=MesCiclo,InicioCiclo,$S87+MOD(2-WEEKDAY($S87),7))+20),1,IF(ISNUMBER($K87),$K87,$Z87)))</f>
        <v/>
      </c>
      <c r="AB87" s="62">
        <f>IF($V87="","",IF(AND(ISNUMBER($G87),$G87&lt;=IF($S87=MesCiclo,InicioCiclo,$S87+MOD(2-WEEKDAY($S87),7))+27),1,IF(ISNUMBER($L87),$L87,$AA87)))</f>
        <v/>
      </c>
      <c r="AC87" s="62">
        <f>IF($V87="","",IF(AND(ISNUMBER($G87),$G87&lt;=IF($S87=MesCiclo,InicioCiclo,$S87+MOD(2-WEEKDAY($S87),7))+6),1,IF(N($W87)&gt;0,AVERAGEIFS($Y$5:$Y$1000,$U$5:$U$1000,ROW(),$V$5:$V$1000,"Sub"),$Y87)))</f>
        <v/>
      </c>
      <c r="AD87" s="62">
        <f>IF($V87="","",IF(AND(ISNUMBER($G87),$G87&lt;=IF($S87=MesCiclo,InicioCiclo,$S87+MOD(2-WEEKDAY($S87),7))+13),1,IF(N($W87)&gt;0,AVERAGEIFS($Z$5:$Z$1000,$U$5:$U$1000,ROW(),$V$5:$V$1000,"Sub"),$Z87)))</f>
        <v/>
      </c>
      <c r="AE87" s="62">
        <f>IF($V87="","",IF(AND(ISNUMBER($G87),$G87&lt;=IF($S87=MesCiclo,InicioCiclo,$S87+MOD(2-WEEKDAY($S87),7))+20),1,IF(N($W87)&gt;0,AVERAGEIFS($AA$5:$AA$1000,$U$5:$U$1000,ROW(),$V$5:$V$1000,"Sub"),$AA87)))</f>
        <v/>
      </c>
      <c r="AF87" s="62">
        <f>IF($V87="","",IF(AND(ISNUMBER($G87),$G87&lt;=IF($S87=MesCiclo,InicioCiclo,$S87+MOD(2-WEEKDAY($S87),7))+27),1,IF(N($W87)&gt;0,AVERAGEIFS($AB$5:$AB$1000,$U$5:$U$1000,ROW(),$V$5:$V$1000,"Sub"),$AB87)))</f>
        <v/>
      </c>
      <c r="AG87" s="62">
        <f>IF($V87&lt;&gt;"Macro","",IF(COUNTIFS($S$5:$S$1000,$S87,$V$5:$V$1000,"Macro",$H$5:$H$1000,"&gt;0")=0,1/COUNTIFS($S$5:$S$1000,$S87,$V$5:$V$1000,"Macro"),IF(AND(ISNUMBER($H87),N($H87)&gt;0),$H87,SUMIFS($H$5:$H$1000,$S$5:$S$1000,$S87,$V$5:$V$1000,"Macro")/COUNTIFS($S$5:$S$1000,$S87,$V$5:$V$1000,"Macro",$H$5:$H$1000,"&gt;0"))/(COUNTIFS($S$5:$S$1000,$S87,$V$5:$V$1000,"Macro")*SUMIFS($H$5:$H$1000,$S$5:$S$1000,$S87,$V$5:$V$1000,"Macro")/COUNTIFS($S$5:$S$1000,$S87,$V$5:$V$1000,"Macro",$H$5:$H$1000,"&gt;0"))))</f>
        <v/>
      </c>
      <c r="AH87" s="62" t="n"/>
      <c r="AI87" s="62" t="n"/>
      <c r="AJ87" s="62" t="n"/>
      <c r="AK87" s="62" t="n"/>
      <c r="AL87" s="62">
        <f>IF(LEFT($C87,11)="[Jefatura] ",IFERROR(MATCH("Riesgo Operacional|"&amp;MID($C87,12,500),rDname_ADM,0),0),"")</f>
        <v/>
      </c>
      <c r="AM87" s="62">
        <f>IF(N($AL87)&gt;0,INDEX(rIni_ADM,$AL87),IF(ISNUMBER($E87),$E87,""))</f>
        <v/>
      </c>
      <c r="AN87" s="62">
        <f>IF(N($AL87)&gt;0,INDEX(rLim_ADM,$AL87),IF(ISNUMBER($F87),$F87,""))</f>
        <v/>
      </c>
    </row>
    <row r="88">
      <c r="A88" s="56">
        <f>IF(NOT((COUNTA($B88:$D88)+COUNTA($G88:$L88)+COUNTA($Q88))&gt;0),"",IF($V88="Macro",COUNTIFS($V$5:$V88,"Macro",$S$5:$S88,$S88),IF(N($U88)=0,"?",COUNTIFS(INDEX($V$5:$V$1000,1):INDEX($V$5:$V$1000,$U88-4),"Macro",INDEX($S$5:$S$1000,1):INDEX($S$5:$S$1000,$U88-4),INDEX($S$5:$S$1000,$U88-4))&amp;"."&amp;COUNTIFS($U$5:$U88,$U88,$V$5:$V88,"Sub"))))</f>
        <v/>
      </c>
      <c r="B88" s="57" t="n"/>
      <c r="C88" s="58" t="n"/>
      <c r="D88" s="58" t="n"/>
      <c r="E88" s="59">
        <f>IF(N($AL88)&gt;0,INDEX(rIni_ADM,$AL88),"")</f>
        <v/>
      </c>
      <c r="F88" s="59">
        <f>IF(N($AL88)&gt;0,INDEX(rLim_ADM,$AL88),"")</f>
        <v/>
      </c>
      <c r="G88" s="59" t="n"/>
      <c r="H88" s="60" t="n"/>
      <c r="I88" s="60" t="n"/>
      <c r="J88" s="60" t="n"/>
      <c r="K88" s="60" t="n"/>
      <c r="L88" s="60" t="n"/>
      <c r="M88" s="61">
        <f>IF(NOT((COUNTA($B88:$D88)+COUNTA($G88:$L88)+COUNTA($Q88))&gt;0),"",IF(ISNUMBER($G88),1,IF(N($W88)&gt;0,AVERAGEIFS($X$5:$X$1000,$U$5:$U$1000,ROW(),$V$5:$V$1000,"Sub"),$X88)))</f>
        <v/>
      </c>
      <c r="N88" s="56">
        <f>IF($M88="","",IF($M88&gt;=1,"Completado",IF($M88&gt;0,"En curso","Pendiente")))</f>
        <v/>
      </c>
      <c r="O88" s="56">
        <f>IF(NOT((COUNTA($B88:$D88)+COUNTA($G88:$L88)+COUNTA($Q88))&gt;0),"",IF(ISNUMBER($G88),IF(AND(ISNUMBER($AN88),$G88&gt;$AN88),"Cumplida con "&amp;($G88-$AN88)&amp;IF($G88-$AN88=1," día"," días")&amp;" de retraso","Cumplida"),IF(N($M88)&gt;=1,"Cumplida",IF(NOT(ISNUMBER($AN88)),"Sin fecha límite",IF($AN88&lt;FechaRef,"Vencida hace "&amp;(FechaRef-$AN88)&amp;IF(FechaRef-$AN88=1," día"," días"),IF($AN88=FechaRef,"Vence hoy",IF($AN88-FechaRef&lt;=DiasAlerta,"Vence en "&amp;($AN88-FechaRef)&amp;IF($AN88-FechaRef=1," día"," días"),"En plazo")))))))</f>
        <v/>
      </c>
      <c r="P88" s="62" t="n"/>
      <c r="Q88" s="58" t="n"/>
      <c r="R88" s="63">
        <f>IF(NOT((COUNTA($B88:$D88)+COUNTA($G88:$L88)+COUNTA($Q88))&gt;0),"",IF((IF($C88="","Falta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",""))="","✔ OK","⚠ "&amp;LEFT(IF($C88="","Falta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",""),LEN(IF($C88="","Falta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",""))-3)))</f>
        <v/>
      </c>
      <c r="S88" s="64">
        <f>IF(NOT((COUNTA($B88:$D88)+COUNTA($G88:$L88)+COUNTA($Q88))&gt;0),"",IF(AND($V88="Sub",N($U88)&gt;0),IF(ISNUMBER(INDEX($AM$5:$AM$1000,$U88-4)),DATE(YEAR(INDEX($AM$5:$AM$1000,$U88-4)),MONTH(INDEX($AM$5:$AM$1000,$U88-4)),1),IF(ISNUMBER(INDEX($AN$5:$AN$1000,$U88-4)),DATE(YEAR(INDEX($AN$5:$AN$1000,$U88-4)),MONTH(INDEX($AN$5:$AN$1000,$U88-4)),1),MesCiclo)),IF(ISNUMBER($AM88),DATE(YEAR($AM88),MONTH($AM88),1),IF(ISNUMBER($AN88),DATE(YEAR($AN88),MONTH($AN88),1),MesCiclo))))</f>
        <v/>
      </c>
      <c r="T88" s="62">
        <f>IF(OR($S88="",$S88&lt;&gt;MesCiclo),"",COUNTIF($S$5:$S88,MesCiclo))</f>
        <v/>
      </c>
      <c r="U88" s="62">
        <f>IF($V88="","",IF($V88="Macro",ROW(),IFERROR(LOOKUP(2,1/($V$5:$V88="Macro"),ROW($V$5:$V88)),0)))</f>
        <v/>
      </c>
      <c r="V88" s="62">
        <f>IF(NOT((COUNTA($B88:$D88)+COUNTA($G88:$L88)+COUNTA($Q88))&gt;0),"",IF($B88="Subactividad","Sub","Macro"))</f>
        <v/>
      </c>
      <c r="W88" s="62">
        <f>IF($V88="Macro",COUNTIFS($U$5:$U$1000,ROW(),$V$5:$V$1000,"Sub"),"")</f>
        <v/>
      </c>
      <c r="X88" s="62">
        <f>IF($V88="","",IF(ISNUMBER($G88),1,IFERROR(LOOKUP(2,1/($I88:$L88&lt;&gt;""),$I88:$L88),0)))</f>
        <v/>
      </c>
      <c r="Y88" s="62">
        <f>IF($V88="","",IF(AND(ISNUMBER($G88),$G88&lt;=IF($S88=MesCiclo,InicioCiclo,$S88+MOD(2-WEEKDAY($S88),7))+6),1,IF(ISNUMBER($I88),$I88,0)))</f>
        <v/>
      </c>
      <c r="Z88" s="62">
        <f>IF($V88="","",IF(AND(ISNUMBER($G88),$G88&lt;=IF($S88=MesCiclo,InicioCiclo,$S88+MOD(2-WEEKDAY($S88),7))+13),1,IF(ISNUMBER($J88),$J88,$Y88)))</f>
        <v/>
      </c>
      <c r="AA88" s="62">
        <f>IF($V88="","",IF(AND(ISNUMBER($G88),$G88&lt;=IF($S88=MesCiclo,InicioCiclo,$S88+MOD(2-WEEKDAY($S88),7))+20),1,IF(ISNUMBER($K88),$K88,$Z88)))</f>
        <v/>
      </c>
      <c r="AB88" s="62">
        <f>IF($V88="","",IF(AND(ISNUMBER($G88),$G88&lt;=IF($S88=MesCiclo,InicioCiclo,$S88+MOD(2-WEEKDAY($S88),7))+27),1,IF(ISNUMBER($L88),$L88,$AA88)))</f>
        <v/>
      </c>
      <c r="AC88" s="62">
        <f>IF($V88="","",IF(AND(ISNUMBER($G88),$G88&lt;=IF($S88=MesCiclo,InicioCiclo,$S88+MOD(2-WEEKDAY($S88),7))+6),1,IF(N($W88)&gt;0,AVERAGEIFS($Y$5:$Y$1000,$U$5:$U$1000,ROW(),$V$5:$V$1000,"Sub"),$Y88)))</f>
        <v/>
      </c>
      <c r="AD88" s="62">
        <f>IF($V88="","",IF(AND(ISNUMBER($G88),$G88&lt;=IF($S88=MesCiclo,InicioCiclo,$S88+MOD(2-WEEKDAY($S88),7))+13),1,IF(N($W88)&gt;0,AVERAGEIFS($Z$5:$Z$1000,$U$5:$U$1000,ROW(),$V$5:$V$1000,"Sub"),$Z88)))</f>
        <v/>
      </c>
      <c r="AE88" s="62">
        <f>IF($V88="","",IF(AND(ISNUMBER($G88),$G88&lt;=IF($S88=MesCiclo,InicioCiclo,$S88+MOD(2-WEEKDAY($S88),7))+20),1,IF(N($W88)&gt;0,AVERAGEIFS($AA$5:$AA$1000,$U$5:$U$1000,ROW(),$V$5:$V$1000,"Sub"),$AA88)))</f>
        <v/>
      </c>
      <c r="AF88" s="62">
        <f>IF($V88="","",IF(AND(ISNUMBER($G88),$G88&lt;=IF($S88=MesCiclo,InicioCiclo,$S88+MOD(2-WEEKDAY($S88),7))+27),1,IF(N($W88)&gt;0,AVERAGEIFS($AB$5:$AB$1000,$U$5:$U$1000,ROW(),$V$5:$V$1000,"Sub"),$AB88)))</f>
        <v/>
      </c>
      <c r="AG88" s="62">
        <f>IF($V88&lt;&gt;"Macro","",IF(COUNTIFS($S$5:$S$1000,$S88,$V$5:$V$1000,"Macro",$H$5:$H$1000,"&gt;0")=0,1/COUNTIFS($S$5:$S$1000,$S88,$V$5:$V$1000,"Macro"),IF(AND(ISNUMBER($H88),N($H88)&gt;0),$H88,SUMIFS($H$5:$H$1000,$S$5:$S$1000,$S88,$V$5:$V$1000,"Macro")/COUNTIFS($S$5:$S$1000,$S88,$V$5:$V$1000,"Macro",$H$5:$H$1000,"&gt;0"))/(COUNTIFS($S$5:$S$1000,$S88,$V$5:$V$1000,"Macro")*SUMIFS($H$5:$H$1000,$S$5:$S$1000,$S88,$V$5:$V$1000,"Macro")/COUNTIFS($S$5:$S$1000,$S88,$V$5:$V$1000,"Macro",$H$5:$H$1000,"&gt;0"))))</f>
        <v/>
      </c>
      <c r="AH88" s="62" t="n"/>
      <c r="AI88" s="62" t="n"/>
      <c r="AJ88" s="62" t="n"/>
      <c r="AK88" s="62" t="n"/>
      <c r="AL88" s="62">
        <f>IF(LEFT($C88,11)="[Jefatura] ",IFERROR(MATCH("Riesgo Operacional|"&amp;MID($C88,12,500),rDname_ADM,0),0),"")</f>
        <v/>
      </c>
      <c r="AM88" s="62">
        <f>IF(N($AL88)&gt;0,INDEX(rIni_ADM,$AL88),IF(ISNUMBER($E88),$E88,""))</f>
        <v/>
      </c>
      <c r="AN88" s="62">
        <f>IF(N($AL88)&gt;0,INDEX(rLim_ADM,$AL88),IF(ISNUMBER($F88),$F88,""))</f>
        <v/>
      </c>
    </row>
    <row r="89">
      <c r="A89" s="56">
        <f>IF(NOT((COUNTA($B89:$D89)+COUNTA($G89:$L89)+COUNTA($Q89))&gt;0),"",IF($V89="Macro",COUNTIFS($V$5:$V89,"Macro",$S$5:$S89,$S89),IF(N($U89)=0,"?",COUNTIFS(INDEX($V$5:$V$1000,1):INDEX($V$5:$V$1000,$U89-4),"Macro",INDEX($S$5:$S$1000,1):INDEX($S$5:$S$1000,$U89-4),INDEX($S$5:$S$1000,$U89-4))&amp;"."&amp;COUNTIFS($U$5:$U89,$U89,$V$5:$V89,"Sub"))))</f>
        <v/>
      </c>
      <c r="B89" s="57" t="n"/>
      <c r="C89" s="58" t="n"/>
      <c r="D89" s="58" t="n"/>
      <c r="E89" s="59">
        <f>IF(N($AL89)&gt;0,INDEX(rIni_ADM,$AL89),"")</f>
        <v/>
      </c>
      <c r="F89" s="59">
        <f>IF(N($AL89)&gt;0,INDEX(rLim_ADM,$AL89),"")</f>
        <v/>
      </c>
      <c r="G89" s="59" t="n"/>
      <c r="H89" s="60" t="n"/>
      <c r="I89" s="60" t="n"/>
      <c r="J89" s="60" t="n"/>
      <c r="K89" s="60" t="n"/>
      <c r="L89" s="60" t="n"/>
      <c r="M89" s="61">
        <f>IF(NOT((COUNTA($B89:$D89)+COUNTA($G89:$L89)+COUNTA($Q89))&gt;0),"",IF(ISNUMBER($G89),1,IF(N($W89)&gt;0,AVERAGEIFS($X$5:$X$1000,$U$5:$U$1000,ROW(),$V$5:$V$1000,"Sub"),$X89)))</f>
        <v/>
      </c>
      <c r="N89" s="56">
        <f>IF($M89="","",IF($M89&gt;=1,"Completado",IF($M89&gt;0,"En curso","Pendiente")))</f>
        <v/>
      </c>
      <c r="O89" s="56">
        <f>IF(NOT((COUNTA($B89:$D89)+COUNTA($G89:$L89)+COUNTA($Q89))&gt;0),"",IF(ISNUMBER($G89),IF(AND(ISNUMBER($AN89),$G89&gt;$AN89),"Cumplida con "&amp;($G89-$AN89)&amp;IF($G89-$AN89=1," día"," días")&amp;" de retraso","Cumplida"),IF(N($M89)&gt;=1,"Cumplida",IF(NOT(ISNUMBER($AN89)),"Sin fecha límite",IF($AN89&lt;FechaRef,"Vencida hace "&amp;(FechaRef-$AN89)&amp;IF(FechaRef-$AN89=1," día"," días"),IF($AN89=FechaRef,"Vence hoy",IF($AN89-FechaRef&lt;=DiasAlerta,"Vence en "&amp;($AN89-FechaRef)&amp;IF($AN89-FechaRef=1," día"," días"),"En plazo")))))))</f>
        <v/>
      </c>
      <c r="P89" s="62" t="n"/>
      <c r="Q89" s="58" t="n"/>
      <c r="R89" s="63">
        <f>IF(NOT((COUNTA($B89:$D89)+COUNTA($G89:$L89)+COUNTA($Q89))&gt;0),"",IF((IF($C89="","Falta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",""))="","✔ OK","⚠ "&amp;LEFT(IF($C89="","Falta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",""),LEN(IF($C89="","Falta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",""))-3)))</f>
        <v/>
      </c>
      <c r="S89" s="64">
        <f>IF(NOT((COUNTA($B89:$D89)+COUNTA($G89:$L89)+COUNTA($Q89))&gt;0),"",IF(AND($V89="Sub",N($U89)&gt;0),IF(ISNUMBER(INDEX($AM$5:$AM$1000,$U89-4)),DATE(YEAR(INDEX($AM$5:$AM$1000,$U89-4)),MONTH(INDEX($AM$5:$AM$1000,$U89-4)),1),IF(ISNUMBER(INDEX($AN$5:$AN$1000,$U89-4)),DATE(YEAR(INDEX($AN$5:$AN$1000,$U89-4)),MONTH(INDEX($AN$5:$AN$1000,$U89-4)),1),MesCiclo)),IF(ISNUMBER($AM89),DATE(YEAR($AM89),MONTH($AM89),1),IF(ISNUMBER($AN89),DATE(YEAR($AN89),MONTH($AN89),1),MesCiclo))))</f>
        <v/>
      </c>
      <c r="T89" s="62">
        <f>IF(OR($S89="",$S89&lt;&gt;MesCiclo),"",COUNTIF($S$5:$S89,MesCiclo))</f>
        <v/>
      </c>
      <c r="U89" s="62">
        <f>IF($V89="","",IF($V89="Macro",ROW(),IFERROR(LOOKUP(2,1/($V$5:$V89="Macro"),ROW($V$5:$V89)),0)))</f>
        <v/>
      </c>
      <c r="V89" s="62">
        <f>IF(NOT((COUNTA($B89:$D89)+COUNTA($G89:$L89)+COUNTA($Q89))&gt;0),"",IF($B89="Subactividad","Sub","Macro"))</f>
        <v/>
      </c>
      <c r="W89" s="62">
        <f>IF($V89="Macro",COUNTIFS($U$5:$U$1000,ROW(),$V$5:$V$1000,"Sub"),"")</f>
        <v/>
      </c>
      <c r="X89" s="62">
        <f>IF($V89="","",IF(ISNUMBER($G89),1,IFERROR(LOOKUP(2,1/($I89:$L89&lt;&gt;""),$I89:$L89),0)))</f>
        <v/>
      </c>
      <c r="Y89" s="62">
        <f>IF($V89="","",IF(AND(ISNUMBER($G89),$G89&lt;=IF($S89=MesCiclo,InicioCiclo,$S89+MOD(2-WEEKDAY($S89),7))+6),1,IF(ISNUMBER($I89),$I89,0)))</f>
        <v/>
      </c>
      <c r="Z89" s="62">
        <f>IF($V89="","",IF(AND(ISNUMBER($G89),$G89&lt;=IF($S89=MesCiclo,InicioCiclo,$S89+MOD(2-WEEKDAY($S89),7))+13),1,IF(ISNUMBER($J89),$J89,$Y89)))</f>
        <v/>
      </c>
      <c r="AA89" s="62">
        <f>IF($V89="","",IF(AND(ISNUMBER($G89),$G89&lt;=IF($S89=MesCiclo,InicioCiclo,$S89+MOD(2-WEEKDAY($S89),7))+20),1,IF(ISNUMBER($K89),$K89,$Z89)))</f>
        <v/>
      </c>
      <c r="AB89" s="62">
        <f>IF($V89="","",IF(AND(ISNUMBER($G89),$G89&lt;=IF($S89=MesCiclo,InicioCiclo,$S89+MOD(2-WEEKDAY($S89),7))+27),1,IF(ISNUMBER($L89),$L89,$AA89)))</f>
        <v/>
      </c>
      <c r="AC89" s="62">
        <f>IF($V89="","",IF(AND(ISNUMBER($G89),$G89&lt;=IF($S89=MesCiclo,InicioCiclo,$S89+MOD(2-WEEKDAY($S89),7))+6),1,IF(N($W89)&gt;0,AVERAGEIFS($Y$5:$Y$1000,$U$5:$U$1000,ROW(),$V$5:$V$1000,"Sub"),$Y89)))</f>
        <v/>
      </c>
      <c r="AD89" s="62">
        <f>IF($V89="","",IF(AND(ISNUMBER($G89),$G89&lt;=IF($S89=MesCiclo,InicioCiclo,$S89+MOD(2-WEEKDAY($S89),7))+13),1,IF(N($W89)&gt;0,AVERAGEIFS($Z$5:$Z$1000,$U$5:$U$1000,ROW(),$V$5:$V$1000,"Sub"),$Z89)))</f>
        <v/>
      </c>
      <c r="AE89" s="62">
        <f>IF($V89="","",IF(AND(ISNUMBER($G89),$G89&lt;=IF($S89=MesCiclo,InicioCiclo,$S89+MOD(2-WEEKDAY($S89),7))+20),1,IF(N($W89)&gt;0,AVERAGEIFS($AA$5:$AA$1000,$U$5:$U$1000,ROW(),$V$5:$V$1000,"Sub"),$AA89)))</f>
        <v/>
      </c>
      <c r="AF89" s="62">
        <f>IF($V89="","",IF(AND(ISNUMBER($G89),$G89&lt;=IF($S89=MesCiclo,InicioCiclo,$S89+MOD(2-WEEKDAY($S89),7))+27),1,IF(N($W89)&gt;0,AVERAGEIFS($AB$5:$AB$1000,$U$5:$U$1000,ROW(),$V$5:$V$1000,"Sub"),$AB89)))</f>
        <v/>
      </c>
      <c r="AG89" s="62">
        <f>IF($V89&lt;&gt;"Macro","",IF(COUNTIFS($S$5:$S$1000,$S89,$V$5:$V$1000,"Macro",$H$5:$H$1000,"&gt;0")=0,1/COUNTIFS($S$5:$S$1000,$S89,$V$5:$V$1000,"Macro"),IF(AND(ISNUMBER($H89),N($H89)&gt;0),$H89,SUMIFS($H$5:$H$1000,$S$5:$S$1000,$S89,$V$5:$V$1000,"Macro")/COUNTIFS($S$5:$S$1000,$S89,$V$5:$V$1000,"Macro",$H$5:$H$1000,"&gt;0"))/(COUNTIFS($S$5:$S$1000,$S89,$V$5:$V$1000,"Macro")*SUMIFS($H$5:$H$1000,$S$5:$S$1000,$S89,$V$5:$V$1000,"Macro")/COUNTIFS($S$5:$S$1000,$S89,$V$5:$V$1000,"Macro",$H$5:$H$1000,"&gt;0"))))</f>
        <v/>
      </c>
      <c r="AH89" s="62" t="n"/>
      <c r="AI89" s="62" t="n"/>
      <c r="AJ89" s="62" t="n"/>
      <c r="AK89" s="62" t="n"/>
      <c r="AL89" s="62">
        <f>IF(LEFT($C89,11)="[Jefatura] ",IFERROR(MATCH("Riesgo Operacional|"&amp;MID($C89,12,500),rDname_ADM,0),0),"")</f>
        <v/>
      </c>
      <c r="AM89" s="62">
        <f>IF(N($AL89)&gt;0,INDEX(rIni_ADM,$AL89),IF(ISNUMBER($E89),$E89,""))</f>
        <v/>
      </c>
      <c r="AN89" s="62">
        <f>IF(N($AL89)&gt;0,INDEX(rLim_ADM,$AL89),IF(ISNUMBER($F89),$F89,""))</f>
        <v/>
      </c>
    </row>
    <row r="90">
      <c r="A90" s="56">
        <f>IF(NOT((COUNTA($B90:$D90)+COUNTA($G90:$L90)+COUNTA($Q90))&gt;0),"",IF($V90="Macro",COUNTIFS($V$5:$V90,"Macro",$S$5:$S90,$S90),IF(N($U90)=0,"?",COUNTIFS(INDEX($V$5:$V$1000,1):INDEX($V$5:$V$1000,$U90-4),"Macro",INDEX($S$5:$S$1000,1):INDEX($S$5:$S$1000,$U90-4),INDEX($S$5:$S$1000,$U90-4))&amp;"."&amp;COUNTIFS($U$5:$U90,$U90,$V$5:$V90,"Sub"))))</f>
        <v/>
      </c>
      <c r="B90" s="57" t="n"/>
      <c r="C90" s="58" t="n"/>
      <c r="D90" s="58" t="n"/>
      <c r="E90" s="59">
        <f>IF(N($AL90)&gt;0,INDEX(rIni_ADM,$AL90),"")</f>
        <v/>
      </c>
      <c r="F90" s="59">
        <f>IF(N($AL90)&gt;0,INDEX(rLim_ADM,$AL90),"")</f>
        <v/>
      </c>
      <c r="G90" s="59" t="n"/>
      <c r="H90" s="60" t="n"/>
      <c r="I90" s="60" t="n"/>
      <c r="J90" s="60" t="n"/>
      <c r="K90" s="60" t="n"/>
      <c r="L90" s="60" t="n"/>
      <c r="M90" s="61">
        <f>IF(NOT((COUNTA($B90:$D90)+COUNTA($G90:$L90)+COUNTA($Q90))&gt;0),"",IF(ISNUMBER($G90),1,IF(N($W90)&gt;0,AVERAGEIFS($X$5:$X$1000,$U$5:$U$1000,ROW(),$V$5:$V$1000,"Sub"),$X90)))</f>
        <v/>
      </c>
      <c r="N90" s="56">
        <f>IF($M90="","",IF($M90&gt;=1,"Completado",IF($M90&gt;0,"En curso","Pendiente")))</f>
        <v/>
      </c>
      <c r="O90" s="56">
        <f>IF(NOT((COUNTA($B90:$D90)+COUNTA($G90:$L90)+COUNTA($Q90))&gt;0),"",IF(ISNUMBER($G90),IF(AND(ISNUMBER($AN90),$G90&gt;$AN90),"Cumplida con "&amp;($G90-$AN90)&amp;IF($G90-$AN90=1," día"," días")&amp;" de retraso","Cumplida"),IF(N($M90)&gt;=1,"Cumplida",IF(NOT(ISNUMBER($AN90)),"Sin fecha límite",IF($AN90&lt;FechaRef,"Vencida hace "&amp;(FechaRef-$AN90)&amp;IF(FechaRef-$AN90=1," día"," días"),IF($AN90=FechaRef,"Vence hoy",IF($AN90-FechaRef&lt;=DiasAlerta,"Vence en "&amp;($AN90-FechaRef)&amp;IF($AN90-FechaRef=1," día"," días"),"En plazo")))))))</f>
        <v/>
      </c>
      <c r="P90" s="62" t="n"/>
      <c r="Q90" s="58" t="n"/>
      <c r="R90" s="63">
        <f>IF(NOT((COUNTA($B90:$D90)+COUNTA($G90:$L90)+COUNTA($Q90))&gt;0),"",IF((IF($C90="","Falta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",""))="","✔ OK","⚠ "&amp;LEFT(IF($C90="","Falta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",""),LEN(IF($C90="","Falta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",""))-3)))</f>
        <v/>
      </c>
      <c r="S90" s="64">
        <f>IF(NOT((COUNTA($B90:$D90)+COUNTA($G90:$L90)+COUNTA($Q90))&gt;0),"",IF(AND($V90="Sub",N($U90)&gt;0),IF(ISNUMBER(INDEX($AM$5:$AM$1000,$U90-4)),DATE(YEAR(INDEX($AM$5:$AM$1000,$U90-4)),MONTH(INDEX($AM$5:$AM$1000,$U90-4)),1),IF(ISNUMBER(INDEX($AN$5:$AN$1000,$U90-4)),DATE(YEAR(INDEX($AN$5:$AN$1000,$U90-4)),MONTH(INDEX($AN$5:$AN$1000,$U90-4)),1),MesCiclo)),IF(ISNUMBER($AM90),DATE(YEAR($AM90),MONTH($AM90),1),IF(ISNUMBER($AN90),DATE(YEAR($AN90),MONTH($AN90),1),MesCiclo))))</f>
        <v/>
      </c>
      <c r="T90" s="62">
        <f>IF(OR($S90="",$S90&lt;&gt;MesCiclo),"",COUNTIF($S$5:$S90,MesCiclo))</f>
        <v/>
      </c>
      <c r="U90" s="62">
        <f>IF($V90="","",IF($V90="Macro",ROW(),IFERROR(LOOKUP(2,1/($V$5:$V90="Macro"),ROW($V$5:$V90)),0)))</f>
        <v/>
      </c>
      <c r="V90" s="62">
        <f>IF(NOT((COUNTA($B90:$D90)+COUNTA($G90:$L90)+COUNTA($Q90))&gt;0),"",IF($B90="Subactividad","Sub","Macro"))</f>
        <v/>
      </c>
      <c r="W90" s="62">
        <f>IF($V90="Macro",COUNTIFS($U$5:$U$1000,ROW(),$V$5:$V$1000,"Sub"),"")</f>
        <v/>
      </c>
      <c r="X90" s="62">
        <f>IF($V90="","",IF(ISNUMBER($G90),1,IFERROR(LOOKUP(2,1/($I90:$L90&lt;&gt;""),$I90:$L90),0)))</f>
        <v/>
      </c>
      <c r="Y90" s="62">
        <f>IF($V90="","",IF(AND(ISNUMBER($G90),$G90&lt;=IF($S90=MesCiclo,InicioCiclo,$S90+MOD(2-WEEKDAY($S90),7))+6),1,IF(ISNUMBER($I90),$I90,0)))</f>
        <v/>
      </c>
      <c r="Z90" s="62">
        <f>IF($V90="","",IF(AND(ISNUMBER($G90),$G90&lt;=IF($S90=MesCiclo,InicioCiclo,$S90+MOD(2-WEEKDAY($S90),7))+13),1,IF(ISNUMBER($J90),$J90,$Y90)))</f>
        <v/>
      </c>
      <c r="AA90" s="62">
        <f>IF($V90="","",IF(AND(ISNUMBER($G90),$G90&lt;=IF($S90=MesCiclo,InicioCiclo,$S90+MOD(2-WEEKDAY($S90),7))+20),1,IF(ISNUMBER($K90),$K90,$Z90)))</f>
        <v/>
      </c>
      <c r="AB90" s="62">
        <f>IF($V90="","",IF(AND(ISNUMBER($G90),$G90&lt;=IF($S90=MesCiclo,InicioCiclo,$S90+MOD(2-WEEKDAY($S90),7))+27),1,IF(ISNUMBER($L90),$L90,$AA90)))</f>
        <v/>
      </c>
      <c r="AC90" s="62">
        <f>IF($V90="","",IF(AND(ISNUMBER($G90),$G90&lt;=IF($S90=MesCiclo,InicioCiclo,$S90+MOD(2-WEEKDAY($S90),7))+6),1,IF(N($W90)&gt;0,AVERAGEIFS($Y$5:$Y$1000,$U$5:$U$1000,ROW(),$V$5:$V$1000,"Sub"),$Y90)))</f>
        <v/>
      </c>
      <c r="AD90" s="62">
        <f>IF($V90="","",IF(AND(ISNUMBER($G90),$G90&lt;=IF($S90=MesCiclo,InicioCiclo,$S90+MOD(2-WEEKDAY($S90),7))+13),1,IF(N($W90)&gt;0,AVERAGEIFS($Z$5:$Z$1000,$U$5:$U$1000,ROW(),$V$5:$V$1000,"Sub"),$Z90)))</f>
        <v/>
      </c>
      <c r="AE90" s="62">
        <f>IF($V90="","",IF(AND(ISNUMBER($G90),$G90&lt;=IF($S90=MesCiclo,InicioCiclo,$S90+MOD(2-WEEKDAY($S90),7))+20),1,IF(N($W90)&gt;0,AVERAGEIFS($AA$5:$AA$1000,$U$5:$U$1000,ROW(),$V$5:$V$1000,"Sub"),$AA90)))</f>
        <v/>
      </c>
      <c r="AF90" s="62">
        <f>IF($V90="","",IF(AND(ISNUMBER($G90),$G90&lt;=IF($S90=MesCiclo,InicioCiclo,$S90+MOD(2-WEEKDAY($S90),7))+27),1,IF(N($W90)&gt;0,AVERAGEIFS($AB$5:$AB$1000,$U$5:$U$1000,ROW(),$V$5:$V$1000,"Sub"),$AB90)))</f>
        <v/>
      </c>
      <c r="AG90" s="62">
        <f>IF($V90&lt;&gt;"Macro","",IF(COUNTIFS($S$5:$S$1000,$S90,$V$5:$V$1000,"Macro",$H$5:$H$1000,"&gt;0")=0,1/COUNTIFS($S$5:$S$1000,$S90,$V$5:$V$1000,"Macro"),IF(AND(ISNUMBER($H90),N($H90)&gt;0),$H90,SUMIFS($H$5:$H$1000,$S$5:$S$1000,$S90,$V$5:$V$1000,"Macro")/COUNTIFS($S$5:$S$1000,$S90,$V$5:$V$1000,"Macro",$H$5:$H$1000,"&gt;0"))/(COUNTIFS($S$5:$S$1000,$S90,$V$5:$V$1000,"Macro")*SUMIFS($H$5:$H$1000,$S$5:$S$1000,$S90,$V$5:$V$1000,"Macro")/COUNTIFS($S$5:$S$1000,$S90,$V$5:$V$1000,"Macro",$H$5:$H$1000,"&gt;0"))))</f>
        <v/>
      </c>
      <c r="AH90" s="62" t="n"/>
      <c r="AI90" s="62" t="n"/>
      <c r="AJ90" s="62" t="n"/>
      <c r="AK90" s="62" t="n"/>
      <c r="AL90" s="62">
        <f>IF(LEFT($C90,11)="[Jefatura] ",IFERROR(MATCH("Riesgo Operacional|"&amp;MID($C90,12,500),rDname_ADM,0),0),"")</f>
        <v/>
      </c>
      <c r="AM90" s="62">
        <f>IF(N($AL90)&gt;0,INDEX(rIni_ADM,$AL90),IF(ISNUMBER($E90),$E90,""))</f>
        <v/>
      </c>
      <c r="AN90" s="62">
        <f>IF(N($AL90)&gt;0,INDEX(rLim_ADM,$AL90),IF(ISNUMBER($F90),$F90,""))</f>
        <v/>
      </c>
    </row>
    <row r="91">
      <c r="A91" s="56">
        <f>IF(NOT((COUNTA($B91:$D91)+COUNTA($G91:$L91)+COUNTA($Q91))&gt;0),"",IF($V91="Macro",COUNTIFS($V$5:$V91,"Macro",$S$5:$S91,$S91),IF(N($U91)=0,"?",COUNTIFS(INDEX($V$5:$V$1000,1):INDEX($V$5:$V$1000,$U91-4),"Macro",INDEX($S$5:$S$1000,1):INDEX($S$5:$S$1000,$U91-4),INDEX($S$5:$S$1000,$U91-4))&amp;"."&amp;COUNTIFS($U$5:$U91,$U91,$V$5:$V91,"Sub"))))</f>
        <v/>
      </c>
      <c r="B91" s="57" t="n"/>
      <c r="C91" s="58" t="n"/>
      <c r="D91" s="58" t="n"/>
      <c r="E91" s="59">
        <f>IF(N($AL91)&gt;0,INDEX(rIni_ADM,$AL91),"")</f>
        <v/>
      </c>
      <c r="F91" s="59">
        <f>IF(N($AL91)&gt;0,INDEX(rLim_ADM,$AL91),"")</f>
        <v/>
      </c>
      <c r="G91" s="59" t="n"/>
      <c r="H91" s="60" t="n"/>
      <c r="I91" s="60" t="n"/>
      <c r="J91" s="60" t="n"/>
      <c r="K91" s="60" t="n"/>
      <c r="L91" s="60" t="n"/>
      <c r="M91" s="61">
        <f>IF(NOT((COUNTA($B91:$D91)+COUNTA($G91:$L91)+COUNTA($Q91))&gt;0),"",IF(ISNUMBER($G91),1,IF(N($W91)&gt;0,AVERAGEIFS($X$5:$X$1000,$U$5:$U$1000,ROW(),$V$5:$V$1000,"Sub"),$X91)))</f>
        <v/>
      </c>
      <c r="N91" s="56">
        <f>IF($M91="","",IF($M91&gt;=1,"Completado",IF($M91&gt;0,"En curso","Pendiente")))</f>
        <v/>
      </c>
      <c r="O91" s="56">
        <f>IF(NOT((COUNTA($B91:$D91)+COUNTA($G91:$L91)+COUNTA($Q91))&gt;0),"",IF(ISNUMBER($G91),IF(AND(ISNUMBER($AN91),$G91&gt;$AN91),"Cumplida con "&amp;($G91-$AN91)&amp;IF($G91-$AN91=1," día"," días")&amp;" de retraso","Cumplida"),IF(N($M91)&gt;=1,"Cumplida",IF(NOT(ISNUMBER($AN91)),"Sin fecha límite",IF($AN91&lt;FechaRef,"Vencida hace "&amp;(FechaRef-$AN91)&amp;IF(FechaRef-$AN91=1," día"," días"),IF($AN91=FechaRef,"Vence hoy",IF($AN91-FechaRef&lt;=DiasAlerta,"Vence en "&amp;($AN91-FechaRef)&amp;IF($AN91-FechaRef=1," día"," días"),"En plazo")))))))</f>
        <v/>
      </c>
      <c r="P91" s="62" t="n"/>
      <c r="Q91" s="58" t="n"/>
      <c r="R91" s="63">
        <f>IF(NOT((COUNTA($B91:$D91)+COUNTA($G91:$L91)+COUNTA($Q91))&gt;0),"",IF((IF($C91="","Falta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",""))="","✔ OK","⚠ "&amp;LEFT(IF($C91="","Falta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",""),LEN(IF($C91="","Falta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",""))-3)))</f>
        <v/>
      </c>
      <c r="S91" s="64">
        <f>IF(NOT((COUNTA($B91:$D91)+COUNTA($G91:$L91)+COUNTA($Q91))&gt;0),"",IF(AND($V91="Sub",N($U91)&gt;0),IF(ISNUMBER(INDEX($AM$5:$AM$1000,$U91-4)),DATE(YEAR(INDEX($AM$5:$AM$1000,$U91-4)),MONTH(INDEX($AM$5:$AM$1000,$U91-4)),1),IF(ISNUMBER(INDEX($AN$5:$AN$1000,$U91-4)),DATE(YEAR(INDEX($AN$5:$AN$1000,$U91-4)),MONTH(INDEX($AN$5:$AN$1000,$U91-4)),1),MesCiclo)),IF(ISNUMBER($AM91),DATE(YEAR($AM91),MONTH($AM91),1),IF(ISNUMBER($AN91),DATE(YEAR($AN91),MONTH($AN91),1),MesCiclo))))</f>
        <v/>
      </c>
      <c r="T91" s="62">
        <f>IF(OR($S91="",$S91&lt;&gt;MesCiclo),"",COUNTIF($S$5:$S91,MesCiclo))</f>
        <v/>
      </c>
      <c r="U91" s="62">
        <f>IF($V91="","",IF($V91="Macro",ROW(),IFERROR(LOOKUP(2,1/($V$5:$V91="Macro"),ROW($V$5:$V91)),0)))</f>
        <v/>
      </c>
      <c r="V91" s="62">
        <f>IF(NOT((COUNTA($B91:$D91)+COUNTA($G91:$L91)+COUNTA($Q91))&gt;0),"",IF($B91="Subactividad","Sub","Macro"))</f>
        <v/>
      </c>
      <c r="W91" s="62">
        <f>IF($V91="Macro",COUNTIFS($U$5:$U$1000,ROW(),$V$5:$V$1000,"Sub"),"")</f>
        <v/>
      </c>
      <c r="X91" s="62">
        <f>IF($V91="","",IF(ISNUMBER($G91),1,IFERROR(LOOKUP(2,1/($I91:$L91&lt;&gt;""),$I91:$L91),0)))</f>
        <v/>
      </c>
      <c r="Y91" s="62">
        <f>IF($V91="","",IF(AND(ISNUMBER($G91),$G91&lt;=IF($S91=MesCiclo,InicioCiclo,$S91+MOD(2-WEEKDAY($S91),7))+6),1,IF(ISNUMBER($I91),$I91,0)))</f>
        <v/>
      </c>
      <c r="Z91" s="62">
        <f>IF($V91="","",IF(AND(ISNUMBER($G91),$G91&lt;=IF($S91=MesCiclo,InicioCiclo,$S91+MOD(2-WEEKDAY($S91),7))+13),1,IF(ISNUMBER($J91),$J91,$Y91)))</f>
        <v/>
      </c>
      <c r="AA91" s="62">
        <f>IF($V91="","",IF(AND(ISNUMBER($G91),$G91&lt;=IF($S91=MesCiclo,InicioCiclo,$S91+MOD(2-WEEKDAY($S91),7))+20),1,IF(ISNUMBER($K91),$K91,$Z91)))</f>
        <v/>
      </c>
      <c r="AB91" s="62">
        <f>IF($V91="","",IF(AND(ISNUMBER($G91),$G91&lt;=IF($S91=MesCiclo,InicioCiclo,$S91+MOD(2-WEEKDAY($S91),7))+27),1,IF(ISNUMBER($L91),$L91,$AA91)))</f>
        <v/>
      </c>
      <c r="AC91" s="62">
        <f>IF($V91="","",IF(AND(ISNUMBER($G91),$G91&lt;=IF($S91=MesCiclo,InicioCiclo,$S91+MOD(2-WEEKDAY($S91),7))+6),1,IF(N($W91)&gt;0,AVERAGEIFS($Y$5:$Y$1000,$U$5:$U$1000,ROW(),$V$5:$V$1000,"Sub"),$Y91)))</f>
        <v/>
      </c>
      <c r="AD91" s="62">
        <f>IF($V91="","",IF(AND(ISNUMBER($G91),$G91&lt;=IF($S91=MesCiclo,InicioCiclo,$S91+MOD(2-WEEKDAY($S91),7))+13),1,IF(N($W91)&gt;0,AVERAGEIFS($Z$5:$Z$1000,$U$5:$U$1000,ROW(),$V$5:$V$1000,"Sub"),$Z91)))</f>
        <v/>
      </c>
      <c r="AE91" s="62">
        <f>IF($V91="","",IF(AND(ISNUMBER($G91),$G91&lt;=IF($S91=MesCiclo,InicioCiclo,$S91+MOD(2-WEEKDAY($S91),7))+20),1,IF(N($W91)&gt;0,AVERAGEIFS($AA$5:$AA$1000,$U$5:$U$1000,ROW(),$V$5:$V$1000,"Sub"),$AA91)))</f>
        <v/>
      </c>
      <c r="AF91" s="62">
        <f>IF($V91="","",IF(AND(ISNUMBER($G91),$G91&lt;=IF($S91=MesCiclo,InicioCiclo,$S91+MOD(2-WEEKDAY($S91),7))+27),1,IF(N($W91)&gt;0,AVERAGEIFS($AB$5:$AB$1000,$U$5:$U$1000,ROW(),$V$5:$V$1000,"Sub"),$AB91)))</f>
        <v/>
      </c>
      <c r="AG91" s="62">
        <f>IF($V91&lt;&gt;"Macro","",IF(COUNTIFS($S$5:$S$1000,$S91,$V$5:$V$1000,"Macro",$H$5:$H$1000,"&gt;0")=0,1/COUNTIFS($S$5:$S$1000,$S91,$V$5:$V$1000,"Macro"),IF(AND(ISNUMBER($H91),N($H91)&gt;0),$H91,SUMIFS($H$5:$H$1000,$S$5:$S$1000,$S91,$V$5:$V$1000,"Macro")/COUNTIFS($S$5:$S$1000,$S91,$V$5:$V$1000,"Macro",$H$5:$H$1000,"&gt;0"))/(COUNTIFS($S$5:$S$1000,$S91,$V$5:$V$1000,"Macro")*SUMIFS($H$5:$H$1000,$S$5:$S$1000,$S91,$V$5:$V$1000,"Macro")/COUNTIFS($S$5:$S$1000,$S91,$V$5:$V$1000,"Macro",$H$5:$H$1000,"&gt;0"))))</f>
        <v/>
      </c>
      <c r="AH91" s="62" t="n"/>
      <c r="AI91" s="62" t="n"/>
      <c r="AJ91" s="62" t="n"/>
      <c r="AK91" s="62" t="n"/>
      <c r="AL91" s="62">
        <f>IF(LEFT($C91,11)="[Jefatura] ",IFERROR(MATCH("Riesgo Operacional|"&amp;MID($C91,12,500),rDname_ADM,0),0),"")</f>
        <v/>
      </c>
      <c r="AM91" s="62">
        <f>IF(N($AL91)&gt;0,INDEX(rIni_ADM,$AL91),IF(ISNUMBER($E91),$E91,""))</f>
        <v/>
      </c>
      <c r="AN91" s="62">
        <f>IF(N($AL91)&gt;0,INDEX(rLim_ADM,$AL91),IF(ISNUMBER($F91),$F91,""))</f>
        <v/>
      </c>
    </row>
    <row r="92">
      <c r="A92" s="56">
        <f>IF(NOT((COUNTA($B92:$D92)+COUNTA($G92:$L92)+COUNTA($Q92))&gt;0),"",IF($V92="Macro",COUNTIFS($V$5:$V92,"Macro",$S$5:$S92,$S92),IF(N($U92)=0,"?",COUNTIFS(INDEX($V$5:$V$1000,1):INDEX($V$5:$V$1000,$U92-4),"Macro",INDEX($S$5:$S$1000,1):INDEX($S$5:$S$1000,$U92-4),INDEX($S$5:$S$1000,$U92-4))&amp;"."&amp;COUNTIFS($U$5:$U92,$U92,$V$5:$V92,"Sub"))))</f>
        <v/>
      </c>
      <c r="B92" s="57" t="n"/>
      <c r="C92" s="58" t="n"/>
      <c r="D92" s="58" t="n"/>
      <c r="E92" s="59">
        <f>IF(N($AL92)&gt;0,INDEX(rIni_ADM,$AL92),"")</f>
        <v/>
      </c>
      <c r="F92" s="59">
        <f>IF(N($AL92)&gt;0,INDEX(rLim_ADM,$AL92),"")</f>
        <v/>
      </c>
      <c r="G92" s="59" t="n"/>
      <c r="H92" s="60" t="n"/>
      <c r="I92" s="60" t="n"/>
      <c r="J92" s="60" t="n"/>
      <c r="K92" s="60" t="n"/>
      <c r="L92" s="60" t="n"/>
      <c r="M92" s="61">
        <f>IF(NOT((COUNTA($B92:$D92)+COUNTA($G92:$L92)+COUNTA($Q92))&gt;0),"",IF(ISNUMBER($G92),1,IF(N($W92)&gt;0,AVERAGEIFS($X$5:$X$1000,$U$5:$U$1000,ROW(),$V$5:$V$1000,"Sub"),$X92)))</f>
        <v/>
      </c>
      <c r="N92" s="56">
        <f>IF($M92="","",IF($M92&gt;=1,"Completado",IF($M92&gt;0,"En curso","Pendiente")))</f>
        <v/>
      </c>
      <c r="O92" s="56">
        <f>IF(NOT((COUNTA($B92:$D92)+COUNTA($G92:$L92)+COUNTA($Q92))&gt;0),"",IF(ISNUMBER($G92),IF(AND(ISNUMBER($AN92),$G92&gt;$AN92),"Cumplida con "&amp;($G92-$AN92)&amp;IF($G92-$AN92=1," día"," días")&amp;" de retraso","Cumplida"),IF(N($M92)&gt;=1,"Cumplida",IF(NOT(ISNUMBER($AN92)),"Sin fecha límite",IF($AN92&lt;FechaRef,"Vencida hace "&amp;(FechaRef-$AN92)&amp;IF(FechaRef-$AN92=1," día"," días"),IF($AN92=FechaRef,"Vence hoy",IF($AN92-FechaRef&lt;=DiasAlerta,"Vence en "&amp;($AN92-FechaRef)&amp;IF($AN92-FechaRef=1," día"," días"),"En plazo")))))))</f>
        <v/>
      </c>
      <c r="P92" s="62" t="n"/>
      <c r="Q92" s="58" t="n"/>
      <c r="R92" s="63">
        <f>IF(NOT((COUNTA($B92:$D92)+COUNTA($G92:$L92)+COUNTA($Q92))&gt;0),"",IF((IF($C92="","Falta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",""))="","✔ OK","⚠ "&amp;LEFT(IF($C92="","Falta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",""),LEN(IF($C92="","Falta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",""))-3)))</f>
        <v/>
      </c>
      <c r="S92" s="64">
        <f>IF(NOT((COUNTA($B92:$D92)+COUNTA($G92:$L92)+COUNTA($Q92))&gt;0),"",IF(AND($V92="Sub",N($U92)&gt;0),IF(ISNUMBER(INDEX($AM$5:$AM$1000,$U92-4)),DATE(YEAR(INDEX($AM$5:$AM$1000,$U92-4)),MONTH(INDEX($AM$5:$AM$1000,$U92-4)),1),IF(ISNUMBER(INDEX($AN$5:$AN$1000,$U92-4)),DATE(YEAR(INDEX($AN$5:$AN$1000,$U92-4)),MONTH(INDEX($AN$5:$AN$1000,$U92-4)),1),MesCiclo)),IF(ISNUMBER($AM92),DATE(YEAR($AM92),MONTH($AM92),1),IF(ISNUMBER($AN92),DATE(YEAR($AN92),MONTH($AN92),1),MesCiclo))))</f>
        <v/>
      </c>
      <c r="T92" s="62">
        <f>IF(OR($S92="",$S92&lt;&gt;MesCiclo),"",COUNTIF($S$5:$S92,MesCiclo))</f>
        <v/>
      </c>
      <c r="U92" s="62">
        <f>IF($V92="","",IF($V92="Macro",ROW(),IFERROR(LOOKUP(2,1/($V$5:$V92="Macro"),ROW($V$5:$V92)),0)))</f>
        <v/>
      </c>
      <c r="V92" s="62">
        <f>IF(NOT((COUNTA($B92:$D92)+COUNTA($G92:$L92)+COUNTA($Q92))&gt;0),"",IF($B92="Subactividad","Sub","Macro"))</f>
        <v/>
      </c>
      <c r="W92" s="62">
        <f>IF($V92="Macro",COUNTIFS($U$5:$U$1000,ROW(),$V$5:$V$1000,"Sub"),"")</f>
        <v/>
      </c>
      <c r="X92" s="62">
        <f>IF($V92="","",IF(ISNUMBER($G92),1,IFERROR(LOOKUP(2,1/($I92:$L92&lt;&gt;""),$I92:$L92),0)))</f>
        <v/>
      </c>
      <c r="Y92" s="62">
        <f>IF($V92="","",IF(AND(ISNUMBER($G92),$G92&lt;=IF($S92=MesCiclo,InicioCiclo,$S92+MOD(2-WEEKDAY($S92),7))+6),1,IF(ISNUMBER($I92),$I92,0)))</f>
        <v/>
      </c>
      <c r="Z92" s="62">
        <f>IF($V92="","",IF(AND(ISNUMBER($G92),$G92&lt;=IF($S92=MesCiclo,InicioCiclo,$S92+MOD(2-WEEKDAY($S92),7))+13),1,IF(ISNUMBER($J92),$J92,$Y92)))</f>
        <v/>
      </c>
      <c r="AA92" s="62">
        <f>IF($V92="","",IF(AND(ISNUMBER($G92),$G92&lt;=IF($S92=MesCiclo,InicioCiclo,$S92+MOD(2-WEEKDAY($S92),7))+20),1,IF(ISNUMBER($K92),$K92,$Z92)))</f>
        <v/>
      </c>
      <c r="AB92" s="62">
        <f>IF($V92="","",IF(AND(ISNUMBER($G92),$G92&lt;=IF($S92=MesCiclo,InicioCiclo,$S92+MOD(2-WEEKDAY($S92),7))+27),1,IF(ISNUMBER($L92),$L92,$AA92)))</f>
        <v/>
      </c>
      <c r="AC92" s="62">
        <f>IF($V92="","",IF(AND(ISNUMBER($G92),$G92&lt;=IF($S92=MesCiclo,InicioCiclo,$S92+MOD(2-WEEKDAY($S92),7))+6),1,IF(N($W92)&gt;0,AVERAGEIFS($Y$5:$Y$1000,$U$5:$U$1000,ROW(),$V$5:$V$1000,"Sub"),$Y92)))</f>
        <v/>
      </c>
      <c r="AD92" s="62">
        <f>IF($V92="","",IF(AND(ISNUMBER($G92),$G92&lt;=IF($S92=MesCiclo,InicioCiclo,$S92+MOD(2-WEEKDAY($S92),7))+13),1,IF(N($W92)&gt;0,AVERAGEIFS($Z$5:$Z$1000,$U$5:$U$1000,ROW(),$V$5:$V$1000,"Sub"),$Z92)))</f>
        <v/>
      </c>
      <c r="AE92" s="62">
        <f>IF($V92="","",IF(AND(ISNUMBER($G92),$G92&lt;=IF($S92=MesCiclo,InicioCiclo,$S92+MOD(2-WEEKDAY($S92),7))+20),1,IF(N($W92)&gt;0,AVERAGEIFS($AA$5:$AA$1000,$U$5:$U$1000,ROW(),$V$5:$V$1000,"Sub"),$AA92)))</f>
        <v/>
      </c>
      <c r="AF92" s="62">
        <f>IF($V92="","",IF(AND(ISNUMBER($G92),$G92&lt;=IF($S92=MesCiclo,InicioCiclo,$S92+MOD(2-WEEKDAY($S92),7))+27),1,IF(N($W92)&gt;0,AVERAGEIFS($AB$5:$AB$1000,$U$5:$U$1000,ROW(),$V$5:$V$1000,"Sub"),$AB92)))</f>
        <v/>
      </c>
      <c r="AG92" s="62">
        <f>IF($V92&lt;&gt;"Macro","",IF(COUNTIFS($S$5:$S$1000,$S92,$V$5:$V$1000,"Macro",$H$5:$H$1000,"&gt;0")=0,1/COUNTIFS($S$5:$S$1000,$S92,$V$5:$V$1000,"Macro"),IF(AND(ISNUMBER($H92),N($H92)&gt;0),$H92,SUMIFS($H$5:$H$1000,$S$5:$S$1000,$S92,$V$5:$V$1000,"Macro")/COUNTIFS($S$5:$S$1000,$S92,$V$5:$V$1000,"Macro",$H$5:$H$1000,"&gt;0"))/(COUNTIFS($S$5:$S$1000,$S92,$V$5:$V$1000,"Macro")*SUMIFS($H$5:$H$1000,$S$5:$S$1000,$S92,$V$5:$V$1000,"Macro")/COUNTIFS($S$5:$S$1000,$S92,$V$5:$V$1000,"Macro",$H$5:$H$1000,"&gt;0"))))</f>
        <v/>
      </c>
      <c r="AH92" s="62" t="n"/>
      <c r="AI92" s="62" t="n"/>
      <c r="AJ92" s="62" t="n"/>
      <c r="AK92" s="62" t="n"/>
      <c r="AL92" s="62">
        <f>IF(LEFT($C92,11)="[Jefatura] ",IFERROR(MATCH("Riesgo Operacional|"&amp;MID($C92,12,500),rDname_ADM,0),0),"")</f>
        <v/>
      </c>
      <c r="AM92" s="62">
        <f>IF(N($AL92)&gt;0,INDEX(rIni_ADM,$AL92),IF(ISNUMBER($E92),$E92,""))</f>
        <v/>
      </c>
      <c r="AN92" s="62">
        <f>IF(N($AL92)&gt;0,INDEX(rLim_ADM,$AL92),IF(ISNUMBER($F92),$F92,""))</f>
        <v/>
      </c>
    </row>
    <row r="93">
      <c r="A93" s="56">
        <f>IF(NOT((COUNTA($B93:$D93)+COUNTA($G93:$L93)+COUNTA($Q93))&gt;0),"",IF($V93="Macro",COUNTIFS($V$5:$V93,"Macro",$S$5:$S93,$S93),IF(N($U93)=0,"?",COUNTIFS(INDEX($V$5:$V$1000,1):INDEX($V$5:$V$1000,$U93-4),"Macro",INDEX($S$5:$S$1000,1):INDEX($S$5:$S$1000,$U93-4),INDEX($S$5:$S$1000,$U93-4))&amp;"."&amp;COUNTIFS($U$5:$U93,$U93,$V$5:$V93,"Sub"))))</f>
        <v/>
      </c>
      <c r="B93" s="57" t="n"/>
      <c r="C93" s="58" t="n"/>
      <c r="D93" s="58" t="n"/>
      <c r="E93" s="59">
        <f>IF(N($AL93)&gt;0,INDEX(rIni_ADM,$AL93),"")</f>
        <v/>
      </c>
      <c r="F93" s="59">
        <f>IF(N($AL93)&gt;0,INDEX(rLim_ADM,$AL93),"")</f>
        <v/>
      </c>
      <c r="G93" s="59" t="n"/>
      <c r="H93" s="60" t="n"/>
      <c r="I93" s="60" t="n"/>
      <c r="J93" s="60" t="n"/>
      <c r="K93" s="60" t="n"/>
      <c r="L93" s="60" t="n"/>
      <c r="M93" s="61">
        <f>IF(NOT((COUNTA($B93:$D93)+COUNTA($G93:$L93)+COUNTA($Q93))&gt;0),"",IF(ISNUMBER($G93),1,IF(N($W93)&gt;0,AVERAGEIFS($X$5:$X$1000,$U$5:$U$1000,ROW(),$V$5:$V$1000,"Sub"),$X93)))</f>
        <v/>
      </c>
      <c r="N93" s="56">
        <f>IF($M93="","",IF($M93&gt;=1,"Completado",IF($M93&gt;0,"En curso","Pendiente")))</f>
        <v/>
      </c>
      <c r="O93" s="56">
        <f>IF(NOT((COUNTA($B93:$D93)+COUNTA($G93:$L93)+COUNTA($Q93))&gt;0),"",IF(ISNUMBER($G93),IF(AND(ISNUMBER($AN93),$G93&gt;$AN93),"Cumplida con "&amp;($G93-$AN93)&amp;IF($G93-$AN93=1," día"," días")&amp;" de retraso","Cumplida"),IF(N($M93)&gt;=1,"Cumplida",IF(NOT(ISNUMBER($AN93)),"Sin fecha límite",IF($AN93&lt;FechaRef,"Vencida hace "&amp;(FechaRef-$AN93)&amp;IF(FechaRef-$AN93=1," día"," días"),IF($AN93=FechaRef,"Vence hoy",IF($AN93-FechaRef&lt;=DiasAlerta,"Vence en "&amp;($AN93-FechaRef)&amp;IF($AN93-FechaRef=1," día"," días"),"En plazo")))))))</f>
        <v/>
      </c>
      <c r="P93" s="62" t="n"/>
      <c r="Q93" s="58" t="n"/>
      <c r="R93" s="63">
        <f>IF(NOT((COUNTA($B93:$D93)+COUNTA($G93:$L93)+COUNTA($Q93))&gt;0),"",IF((IF($C93="","Falta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",""))="","✔ OK","⚠ "&amp;LEFT(IF($C93="","Falta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",""),LEN(IF($C93="","Falta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",""))-3)))</f>
        <v/>
      </c>
      <c r="S93" s="64">
        <f>IF(NOT((COUNTA($B93:$D93)+COUNTA($G93:$L93)+COUNTA($Q93))&gt;0),"",IF(AND($V93="Sub",N($U93)&gt;0),IF(ISNUMBER(INDEX($AM$5:$AM$1000,$U93-4)),DATE(YEAR(INDEX($AM$5:$AM$1000,$U93-4)),MONTH(INDEX($AM$5:$AM$1000,$U93-4)),1),IF(ISNUMBER(INDEX($AN$5:$AN$1000,$U93-4)),DATE(YEAR(INDEX($AN$5:$AN$1000,$U93-4)),MONTH(INDEX($AN$5:$AN$1000,$U93-4)),1),MesCiclo)),IF(ISNUMBER($AM93),DATE(YEAR($AM93),MONTH($AM93),1),IF(ISNUMBER($AN93),DATE(YEAR($AN93),MONTH($AN93),1),MesCiclo))))</f>
        <v/>
      </c>
      <c r="T93" s="62">
        <f>IF(OR($S93="",$S93&lt;&gt;MesCiclo),"",COUNTIF($S$5:$S93,MesCiclo))</f>
        <v/>
      </c>
      <c r="U93" s="62">
        <f>IF($V93="","",IF($V93="Macro",ROW(),IFERROR(LOOKUP(2,1/($V$5:$V93="Macro"),ROW($V$5:$V93)),0)))</f>
        <v/>
      </c>
      <c r="V93" s="62">
        <f>IF(NOT((COUNTA($B93:$D93)+COUNTA($G93:$L93)+COUNTA($Q93))&gt;0),"",IF($B93="Subactividad","Sub","Macro"))</f>
        <v/>
      </c>
      <c r="W93" s="62">
        <f>IF($V93="Macro",COUNTIFS($U$5:$U$1000,ROW(),$V$5:$V$1000,"Sub"),"")</f>
        <v/>
      </c>
      <c r="X93" s="62">
        <f>IF($V93="","",IF(ISNUMBER($G93),1,IFERROR(LOOKUP(2,1/($I93:$L93&lt;&gt;""),$I93:$L93),0)))</f>
        <v/>
      </c>
      <c r="Y93" s="62">
        <f>IF($V93="","",IF(AND(ISNUMBER($G93),$G93&lt;=IF($S93=MesCiclo,InicioCiclo,$S93+MOD(2-WEEKDAY($S93),7))+6),1,IF(ISNUMBER($I93),$I93,0)))</f>
        <v/>
      </c>
      <c r="Z93" s="62">
        <f>IF($V93="","",IF(AND(ISNUMBER($G93),$G93&lt;=IF($S93=MesCiclo,InicioCiclo,$S93+MOD(2-WEEKDAY($S93),7))+13),1,IF(ISNUMBER($J93),$J93,$Y93)))</f>
        <v/>
      </c>
      <c r="AA93" s="62">
        <f>IF($V93="","",IF(AND(ISNUMBER($G93),$G93&lt;=IF($S93=MesCiclo,InicioCiclo,$S93+MOD(2-WEEKDAY($S93),7))+20),1,IF(ISNUMBER($K93),$K93,$Z93)))</f>
        <v/>
      </c>
      <c r="AB93" s="62">
        <f>IF($V93="","",IF(AND(ISNUMBER($G93),$G93&lt;=IF($S93=MesCiclo,InicioCiclo,$S93+MOD(2-WEEKDAY($S93),7))+27),1,IF(ISNUMBER($L93),$L93,$AA93)))</f>
        <v/>
      </c>
      <c r="AC93" s="62">
        <f>IF($V93="","",IF(AND(ISNUMBER($G93),$G93&lt;=IF($S93=MesCiclo,InicioCiclo,$S93+MOD(2-WEEKDAY($S93),7))+6),1,IF(N($W93)&gt;0,AVERAGEIFS($Y$5:$Y$1000,$U$5:$U$1000,ROW(),$V$5:$V$1000,"Sub"),$Y93)))</f>
        <v/>
      </c>
      <c r="AD93" s="62">
        <f>IF($V93="","",IF(AND(ISNUMBER($G93),$G93&lt;=IF($S93=MesCiclo,InicioCiclo,$S93+MOD(2-WEEKDAY($S93),7))+13),1,IF(N($W93)&gt;0,AVERAGEIFS($Z$5:$Z$1000,$U$5:$U$1000,ROW(),$V$5:$V$1000,"Sub"),$Z93)))</f>
        <v/>
      </c>
      <c r="AE93" s="62">
        <f>IF($V93="","",IF(AND(ISNUMBER($G93),$G93&lt;=IF($S93=MesCiclo,InicioCiclo,$S93+MOD(2-WEEKDAY($S93),7))+20),1,IF(N($W93)&gt;0,AVERAGEIFS($AA$5:$AA$1000,$U$5:$U$1000,ROW(),$V$5:$V$1000,"Sub"),$AA93)))</f>
        <v/>
      </c>
      <c r="AF93" s="62">
        <f>IF($V93="","",IF(AND(ISNUMBER($G93),$G93&lt;=IF($S93=MesCiclo,InicioCiclo,$S93+MOD(2-WEEKDAY($S93),7))+27),1,IF(N($W93)&gt;0,AVERAGEIFS($AB$5:$AB$1000,$U$5:$U$1000,ROW(),$V$5:$V$1000,"Sub"),$AB93)))</f>
        <v/>
      </c>
      <c r="AG93" s="62">
        <f>IF($V93&lt;&gt;"Macro","",IF(COUNTIFS($S$5:$S$1000,$S93,$V$5:$V$1000,"Macro",$H$5:$H$1000,"&gt;0")=0,1/COUNTIFS($S$5:$S$1000,$S93,$V$5:$V$1000,"Macro"),IF(AND(ISNUMBER($H93),N($H93)&gt;0),$H93,SUMIFS($H$5:$H$1000,$S$5:$S$1000,$S93,$V$5:$V$1000,"Macro")/COUNTIFS($S$5:$S$1000,$S93,$V$5:$V$1000,"Macro",$H$5:$H$1000,"&gt;0"))/(COUNTIFS($S$5:$S$1000,$S93,$V$5:$V$1000,"Macro")*SUMIFS($H$5:$H$1000,$S$5:$S$1000,$S93,$V$5:$V$1000,"Macro")/COUNTIFS($S$5:$S$1000,$S93,$V$5:$V$1000,"Macro",$H$5:$H$1000,"&gt;0"))))</f>
        <v/>
      </c>
      <c r="AH93" s="62" t="n"/>
      <c r="AI93" s="62" t="n"/>
      <c r="AJ93" s="62" t="n"/>
      <c r="AK93" s="62" t="n"/>
      <c r="AL93" s="62">
        <f>IF(LEFT($C93,11)="[Jefatura] ",IFERROR(MATCH("Riesgo Operacional|"&amp;MID($C93,12,500),rDname_ADM,0),0),"")</f>
        <v/>
      </c>
      <c r="AM93" s="62">
        <f>IF(N($AL93)&gt;0,INDEX(rIni_ADM,$AL93),IF(ISNUMBER($E93),$E93,""))</f>
        <v/>
      </c>
      <c r="AN93" s="62">
        <f>IF(N($AL93)&gt;0,INDEX(rLim_ADM,$AL93),IF(ISNUMBER($F93),$F93,""))</f>
        <v/>
      </c>
    </row>
    <row r="94">
      <c r="A94" s="56">
        <f>IF(NOT((COUNTA($B94:$D94)+COUNTA($G94:$L94)+COUNTA($Q94))&gt;0),"",IF($V94="Macro",COUNTIFS($V$5:$V94,"Macro",$S$5:$S94,$S94),IF(N($U94)=0,"?",COUNTIFS(INDEX($V$5:$V$1000,1):INDEX($V$5:$V$1000,$U94-4),"Macro",INDEX($S$5:$S$1000,1):INDEX($S$5:$S$1000,$U94-4),INDEX($S$5:$S$1000,$U94-4))&amp;"."&amp;COUNTIFS($U$5:$U94,$U94,$V$5:$V94,"Sub"))))</f>
        <v/>
      </c>
      <c r="B94" s="57" t="n"/>
      <c r="C94" s="58" t="n"/>
      <c r="D94" s="58" t="n"/>
      <c r="E94" s="59">
        <f>IF(N($AL94)&gt;0,INDEX(rIni_ADM,$AL94),"")</f>
        <v/>
      </c>
      <c r="F94" s="59">
        <f>IF(N($AL94)&gt;0,INDEX(rLim_ADM,$AL94),"")</f>
        <v/>
      </c>
      <c r="G94" s="59" t="n"/>
      <c r="H94" s="60" t="n"/>
      <c r="I94" s="60" t="n"/>
      <c r="J94" s="60" t="n"/>
      <c r="K94" s="60" t="n"/>
      <c r="L94" s="60" t="n"/>
      <c r="M94" s="61">
        <f>IF(NOT((COUNTA($B94:$D94)+COUNTA($G94:$L94)+COUNTA($Q94))&gt;0),"",IF(ISNUMBER($G94),1,IF(N($W94)&gt;0,AVERAGEIFS($X$5:$X$1000,$U$5:$U$1000,ROW(),$V$5:$V$1000,"Sub"),$X94)))</f>
        <v/>
      </c>
      <c r="N94" s="56">
        <f>IF($M94="","",IF($M94&gt;=1,"Completado",IF($M94&gt;0,"En curso","Pendiente")))</f>
        <v/>
      </c>
      <c r="O94" s="56">
        <f>IF(NOT((COUNTA($B94:$D94)+COUNTA($G94:$L94)+COUNTA($Q94))&gt;0),"",IF(ISNUMBER($G94),IF(AND(ISNUMBER($AN94),$G94&gt;$AN94),"Cumplida con "&amp;($G94-$AN94)&amp;IF($G94-$AN94=1," día"," días")&amp;" de retraso","Cumplida"),IF(N($M94)&gt;=1,"Cumplida",IF(NOT(ISNUMBER($AN94)),"Sin fecha límite",IF($AN94&lt;FechaRef,"Vencida hace "&amp;(FechaRef-$AN94)&amp;IF(FechaRef-$AN94=1," día"," días"),IF($AN94=FechaRef,"Vence hoy",IF($AN94-FechaRef&lt;=DiasAlerta,"Vence en "&amp;($AN94-FechaRef)&amp;IF($AN94-FechaRef=1," día"," días"),"En plazo")))))))</f>
        <v/>
      </c>
      <c r="P94" s="62" t="n"/>
      <c r="Q94" s="58" t="n"/>
      <c r="R94" s="63">
        <f>IF(NOT((COUNTA($B94:$D94)+COUNTA($G94:$L94)+COUNTA($Q94))&gt;0),"",IF((IF($C94="","Falta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",""))="","✔ OK","⚠ "&amp;LEFT(IF($C94="","Falta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",""),LEN(IF($C94="","Falta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",""))-3)))</f>
        <v/>
      </c>
      <c r="S94" s="64">
        <f>IF(NOT((COUNTA($B94:$D94)+COUNTA($G94:$L94)+COUNTA($Q94))&gt;0),"",IF(AND($V94="Sub",N($U94)&gt;0),IF(ISNUMBER(INDEX($AM$5:$AM$1000,$U94-4)),DATE(YEAR(INDEX($AM$5:$AM$1000,$U94-4)),MONTH(INDEX($AM$5:$AM$1000,$U94-4)),1),IF(ISNUMBER(INDEX($AN$5:$AN$1000,$U94-4)),DATE(YEAR(INDEX($AN$5:$AN$1000,$U94-4)),MONTH(INDEX($AN$5:$AN$1000,$U94-4)),1),MesCiclo)),IF(ISNUMBER($AM94),DATE(YEAR($AM94),MONTH($AM94),1),IF(ISNUMBER($AN94),DATE(YEAR($AN94),MONTH($AN94),1),MesCiclo))))</f>
        <v/>
      </c>
      <c r="T94" s="62">
        <f>IF(OR($S94="",$S94&lt;&gt;MesCiclo),"",COUNTIF($S$5:$S94,MesCiclo))</f>
        <v/>
      </c>
      <c r="U94" s="62">
        <f>IF($V94="","",IF($V94="Macro",ROW(),IFERROR(LOOKUP(2,1/($V$5:$V94="Macro"),ROW($V$5:$V94)),0)))</f>
        <v/>
      </c>
      <c r="V94" s="62">
        <f>IF(NOT((COUNTA($B94:$D94)+COUNTA($G94:$L94)+COUNTA($Q94))&gt;0),"",IF($B94="Subactividad","Sub","Macro"))</f>
        <v/>
      </c>
      <c r="W94" s="62">
        <f>IF($V94="Macro",COUNTIFS($U$5:$U$1000,ROW(),$V$5:$V$1000,"Sub"),"")</f>
        <v/>
      </c>
      <c r="X94" s="62">
        <f>IF($V94="","",IF(ISNUMBER($G94),1,IFERROR(LOOKUP(2,1/($I94:$L94&lt;&gt;""),$I94:$L94),0)))</f>
        <v/>
      </c>
      <c r="Y94" s="62">
        <f>IF($V94="","",IF(AND(ISNUMBER($G94),$G94&lt;=IF($S94=MesCiclo,InicioCiclo,$S94+MOD(2-WEEKDAY($S94),7))+6),1,IF(ISNUMBER($I94),$I94,0)))</f>
        <v/>
      </c>
      <c r="Z94" s="62">
        <f>IF($V94="","",IF(AND(ISNUMBER($G94),$G94&lt;=IF($S94=MesCiclo,InicioCiclo,$S94+MOD(2-WEEKDAY($S94),7))+13),1,IF(ISNUMBER($J94),$J94,$Y94)))</f>
        <v/>
      </c>
      <c r="AA94" s="62">
        <f>IF($V94="","",IF(AND(ISNUMBER($G94),$G94&lt;=IF($S94=MesCiclo,InicioCiclo,$S94+MOD(2-WEEKDAY($S94),7))+20),1,IF(ISNUMBER($K94),$K94,$Z94)))</f>
        <v/>
      </c>
      <c r="AB94" s="62">
        <f>IF($V94="","",IF(AND(ISNUMBER($G94),$G94&lt;=IF($S94=MesCiclo,InicioCiclo,$S94+MOD(2-WEEKDAY($S94),7))+27),1,IF(ISNUMBER($L94),$L94,$AA94)))</f>
        <v/>
      </c>
      <c r="AC94" s="62">
        <f>IF($V94="","",IF(AND(ISNUMBER($G94),$G94&lt;=IF($S94=MesCiclo,InicioCiclo,$S94+MOD(2-WEEKDAY($S94),7))+6),1,IF(N($W94)&gt;0,AVERAGEIFS($Y$5:$Y$1000,$U$5:$U$1000,ROW(),$V$5:$V$1000,"Sub"),$Y94)))</f>
        <v/>
      </c>
      <c r="AD94" s="62">
        <f>IF($V94="","",IF(AND(ISNUMBER($G94),$G94&lt;=IF($S94=MesCiclo,InicioCiclo,$S94+MOD(2-WEEKDAY($S94),7))+13),1,IF(N($W94)&gt;0,AVERAGEIFS($Z$5:$Z$1000,$U$5:$U$1000,ROW(),$V$5:$V$1000,"Sub"),$Z94)))</f>
        <v/>
      </c>
      <c r="AE94" s="62">
        <f>IF($V94="","",IF(AND(ISNUMBER($G94),$G94&lt;=IF($S94=MesCiclo,InicioCiclo,$S94+MOD(2-WEEKDAY($S94),7))+20),1,IF(N($W94)&gt;0,AVERAGEIFS($AA$5:$AA$1000,$U$5:$U$1000,ROW(),$V$5:$V$1000,"Sub"),$AA94)))</f>
        <v/>
      </c>
      <c r="AF94" s="62">
        <f>IF($V94="","",IF(AND(ISNUMBER($G94),$G94&lt;=IF($S94=MesCiclo,InicioCiclo,$S94+MOD(2-WEEKDAY($S94),7))+27),1,IF(N($W94)&gt;0,AVERAGEIFS($AB$5:$AB$1000,$U$5:$U$1000,ROW(),$V$5:$V$1000,"Sub"),$AB94)))</f>
        <v/>
      </c>
      <c r="AG94" s="62">
        <f>IF($V94&lt;&gt;"Macro","",IF(COUNTIFS($S$5:$S$1000,$S94,$V$5:$V$1000,"Macro",$H$5:$H$1000,"&gt;0")=0,1/COUNTIFS($S$5:$S$1000,$S94,$V$5:$V$1000,"Macro"),IF(AND(ISNUMBER($H94),N($H94)&gt;0),$H94,SUMIFS($H$5:$H$1000,$S$5:$S$1000,$S94,$V$5:$V$1000,"Macro")/COUNTIFS($S$5:$S$1000,$S94,$V$5:$V$1000,"Macro",$H$5:$H$1000,"&gt;0"))/(COUNTIFS($S$5:$S$1000,$S94,$V$5:$V$1000,"Macro")*SUMIFS($H$5:$H$1000,$S$5:$S$1000,$S94,$V$5:$V$1000,"Macro")/COUNTIFS($S$5:$S$1000,$S94,$V$5:$V$1000,"Macro",$H$5:$H$1000,"&gt;0"))))</f>
        <v/>
      </c>
      <c r="AH94" s="62" t="n"/>
      <c r="AI94" s="62" t="n"/>
      <c r="AJ94" s="62" t="n"/>
      <c r="AK94" s="62" t="n"/>
      <c r="AL94" s="62">
        <f>IF(LEFT($C94,11)="[Jefatura] ",IFERROR(MATCH("Riesgo Operacional|"&amp;MID($C94,12,500),rDname_ADM,0),0),"")</f>
        <v/>
      </c>
      <c r="AM94" s="62">
        <f>IF(N($AL94)&gt;0,INDEX(rIni_ADM,$AL94),IF(ISNUMBER($E94),$E94,""))</f>
        <v/>
      </c>
      <c r="AN94" s="62">
        <f>IF(N($AL94)&gt;0,INDEX(rLim_ADM,$AL94),IF(ISNUMBER($F94),$F94,""))</f>
        <v/>
      </c>
    </row>
    <row r="95">
      <c r="A95" s="56">
        <f>IF(NOT((COUNTA($B95:$D95)+COUNTA($G95:$L95)+COUNTA($Q95))&gt;0),"",IF($V95="Macro",COUNTIFS($V$5:$V95,"Macro",$S$5:$S95,$S95),IF(N($U95)=0,"?",COUNTIFS(INDEX($V$5:$V$1000,1):INDEX($V$5:$V$1000,$U95-4),"Macro",INDEX($S$5:$S$1000,1):INDEX($S$5:$S$1000,$U95-4),INDEX($S$5:$S$1000,$U95-4))&amp;"."&amp;COUNTIFS($U$5:$U95,$U95,$V$5:$V95,"Sub"))))</f>
        <v/>
      </c>
      <c r="B95" s="57" t="n"/>
      <c r="C95" s="58" t="n"/>
      <c r="D95" s="58" t="n"/>
      <c r="E95" s="59">
        <f>IF(N($AL95)&gt;0,INDEX(rIni_ADM,$AL95),"")</f>
        <v/>
      </c>
      <c r="F95" s="59">
        <f>IF(N($AL95)&gt;0,INDEX(rLim_ADM,$AL95),"")</f>
        <v/>
      </c>
      <c r="G95" s="59" t="n"/>
      <c r="H95" s="60" t="n"/>
      <c r="I95" s="60" t="n"/>
      <c r="J95" s="60" t="n"/>
      <c r="K95" s="60" t="n"/>
      <c r="L95" s="60" t="n"/>
      <c r="M95" s="61">
        <f>IF(NOT((COUNTA($B95:$D95)+COUNTA($G95:$L95)+COUNTA($Q95))&gt;0),"",IF(ISNUMBER($G95),1,IF(N($W95)&gt;0,AVERAGEIFS($X$5:$X$1000,$U$5:$U$1000,ROW(),$V$5:$V$1000,"Sub"),$X95)))</f>
        <v/>
      </c>
      <c r="N95" s="56">
        <f>IF($M95="","",IF($M95&gt;=1,"Completado",IF($M95&gt;0,"En curso","Pendiente")))</f>
        <v/>
      </c>
      <c r="O95" s="56">
        <f>IF(NOT((COUNTA($B95:$D95)+COUNTA($G95:$L95)+COUNTA($Q95))&gt;0),"",IF(ISNUMBER($G95),IF(AND(ISNUMBER($AN95),$G95&gt;$AN95),"Cumplida con "&amp;($G95-$AN95)&amp;IF($G95-$AN95=1," día"," días")&amp;" de retraso","Cumplida"),IF(N($M95)&gt;=1,"Cumplida",IF(NOT(ISNUMBER($AN95)),"Sin fecha límite",IF($AN95&lt;FechaRef,"Vencida hace "&amp;(FechaRef-$AN95)&amp;IF(FechaRef-$AN95=1," día"," días"),IF($AN95=FechaRef,"Vence hoy",IF($AN95-FechaRef&lt;=DiasAlerta,"Vence en "&amp;($AN95-FechaRef)&amp;IF($AN95-FechaRef=1," día"," días"),"En plazo")))))))</f>
        <v/>
      </c>
      <c r="P95" s="62" t="n"/>
      <c r="Q95" s="58" t="n"/>
      <c r="R95" s="63">
        <f>IF(NOT((COUNTA($B95:$D95)+COUNTA($G95:$L95)+COUNTA($Q95))&gt;0),"",IF((IF($C95="","Falta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",""))="","✔ OK","⚠ "&amp;LEFT(IF($C95="","Falta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",""),LEN(IF($C95="","Falta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",""))-3)))</f>
        <v/>
      </c>
      <c r="S95" s="64">
        <f>IF(NOT((COUNTA($B95:$D95)+COUNTA($G95:$L95)+COUNTA($Q95))&gt;0),"",IF(AND($V95="Sub",N($U95)&gt;0),IF(ISNUMBER(INDEX($AM$5:$AM$1000,$U95-4)),DATE(YEAR(INDEX($AM$5:$AM$1000,$U95-4)),MONTH(INDEX($AM$5:$AM$1000,$U95-4)),1),IF(ISNUMBER(INDEX($AN$5:$AN$1000,$U95-4)),DATE(YEAR(INDEX($AN$5:$AN$1000,$U95-4)),MONTH(INDEX($AN$5:$AN$1000,$U95-4)),1),MesCiclo)),IF(ISNUMBER($AM95),DATE(YEAR($AM95),MONTH($AM95),1),IF(ISNUMBER($AN95),DATE(YEAR($AN95),MONTH($AN95),1),MesCiclo))))</f>
        <v/>
      </c>
      <c r="T95" s="62">
        <f>IF(OR($S95="",$S95&lt;&gt;MesCiclo),"",COUNTIF($S$5:$S95,MesCiclo))</f>
        <v/>
      </c>
      <c r="U95" s="62">
        <f>IF($V95="","",IF($V95="Macro",ROW(),IFERROR(LOOKUP(2,1/($V$5:$V95="Macro"),ROW($V$5:$V95)),0)))</f>
        <v/>
      </c>
      <c r="V95" s="62">
        <f>IF(NOT((COUNTA($B95:$D95)+COUNTA($G95:$L95)+COUNTA($Q95))&gt;0),"",IF($B95="Subactividad","Sub","Macro"))</f>
        <v/>
      </c>
      <c r="W95" s="62">
        <f>IF($V95="Macro",COUNTIFS($U$5:$U$1000,ROW(),$V$5:$V$1000,"Sub"),"")</f>
        <v/>
      </c>
      <c r="X95" s="62">
        <f>IF($V95="","",IF(ISNUMBER($G95),1,IFERROR(LOOKUP(2,1/($I95:$L95&lt;&gt;""),$I95:$L95),0)))</f>
        <v/>
      </c>
      <c r="Y95" s="62">
        <f>IF($V95="","",IF(AND(ISNUMBER($G95),$G95&lt;=IF($S95=MesCiclo,InicioCiclo,$S95+MOD(2-WEEKDAY($S95),7))+6),1,IF(ISNUMBER($I95),$I95,0)))</f>
        <v/>
      </c>
      <c r="Z95" s="62">
        <f>IF($V95="","",IF(AND(ISNUMBER($G95),$G95&lt;=IF($S95=MesCiclo,InicioCiclo,$S95+MOD(2-WEEKDAY($S95),7))+13),1,IF(ISNUMBER($J95),$J95,$Y95)))</f>
        <v/>
      </c>
      <c r="AA95" s="62">
        <f>IF($V95="","",IF(AND(ISNUMBER($G95),$G95&lt;=IF($S95=MesCiclo,InicioCiclo,$S95+MOD(2-WEEKDAY($S95),7))+20),1,IF(ISNUMBER($K95),$K95,$Z95)))</f>
        <v/>
      </c>
      <c r="AB95" s="62">
        <f>IF($V95="","",IF(AND(ISNUMBER($G95),$G95&lt;=IF($S95=MesCiclo,InicioCiclo,$S95+MOD(2-WEEKDAY($S95),7))+27),1,IF(ISNUMBER($L95),$L95,$AA95)))</f>
        <v/>
      </c>
      <c r="AC95" s="62">
        <f>IF($V95="","",IF(AND(ISNUMBER($G95),$G95&lt;=IF($S95=MesCiclo,InicioCiclo,$S95+MOD(2-WEEKDAY($S95),7))+6),1,IF(N($W95)&gt;0,AVERAGEIFS($Y$5:$Y$1000,$U$5:$U$1000,ROW(),$V$5:$V$1000,"Sub"),$Y95)))</f>
        <v/>
      </c>
      <c r="AD95" s="62">
        <f>IF($V95="","",IF(AND(ISNUMBER($G95),$G95&lt;=IF($S95=MesCiclo,InicioCiclo,$S95+MOD(2-WEEKDAY($S95),7))+13),1,IF(N($W95)&gt;0,AVERAGEIFS($Z$5:$Z$1000,$U$5:$U$1000,ROW(),$V$5:$V$1000,"Sub"),$Z95)))</f>
        <v/>
      </c>
      <c r="AE95" s="62">
        <f>IF($V95="","",IF(AND(ISNUMBER($G95),$G95&lt;=IF($S95=MesCiclo,InicioCiclo,$S95+MOD(2-WEEKDAY($S95),7))+20),1,IF(N($W95)&gt;0,AVERAGEIFS($AA$5:$AA$1000,$U$5:$U$1000,ROW(),$V$5:$V$1000,"Sub"),$AA95)))</f>
        <v/>
      </c>
      <c r="AF95" s="62">
        <f>IF($V95="","",IF(AND(ISNUMBER($G95),$G95&lt;=IF($S95=MesCiclo,InicioCiclo,$S95+MOD(2-WEEKDAY($S95),7))+27),1,IF(N($W95)&gt;0,AVERAGEIFS($AB$5:$AB$1000,$U$5:$U$1000,ROW(),$V$5:$V$1000,"Sub"),$AB95)))</f>
        <v/>
      </c>
      <c r="AG95" s="62">
        <f>IF($V95&lt;&gt;"Macro","",IF(COUNTIFS($S$5:$S$1000,$S95,$V$5:$V$1000,"Macro",$H$5:$H$1000,"&gt;0")=0,1/COUNTIFS($S$5:$S$1000,$S95,$V$5:$V$1000,"Macro"),IF(AND(ISNUMBER($H95),N($H95)&gt;0),$H95,SUMIFS($H$5:$H$1000,$S$5:$S$1000,$S95,$V$5:$V$1000,"Macro")/COUNTIFS($S$5:$S$1000,$S95,$V$5:$V$1000,"Macro",$H$5:$H$1000,"&gt;0"))/(COUNTIFS($S$5:$S$1000,$S95,$V$5:$V$1000,"Macro")*SUMIFS($H$5:$H$1000,$S$5:$S$1000,$S95,$V$5:$V$1000,"Macro")/COUNTIFS($S$5:$S$1000,$S95,$V$5:$V$1000,"Macro",$H$5:$H$1000,"&gt;0"))))</f>
        <v/>
      </c>
      <c r="AH95" s="62" t="n"/>
      <c r="AI95" s="62" t="n"/>
      <c r="AJ95" s="62" t="n"/>
      <c r="AK95" s="62" t="n"/>
      <c r="AL95" s="62">
        <f>IF(LEFT($C95,11)="[Jefatura] ",IFERROR(MATCH("Riesgo Operacional|"&amp;MID($C95,12,500),rDname_ADM,0),0),"")</f>
        <v/>
      </c>
      <c r="AM95" s="62">
        <f>IF(N($AL95)&gt;0,INDEX(rIni_ADM,$AL95),IF(ISNUMBER($E95),$E95,""))</f>
        <v/>
      </c>
      <c r="AN95" s="62">
        <f>IF(N($AL95)&gt;0,INDEX(rLim_ADM,$AL95),IF(ISNUMBER($F95),$F95,""))</f>
        <v/>
      </c>
    </row>
    <row r="96">
      <c r="A96" s="56">
        <f>IF(NOT((COUNTA($B96:$D96)+COUNTA($G96:$L96)+COUNTA($Q96))&gt;0),"",IF($V96="Macro",COUNTIFS($V$5:$V96,"Macro",$S$5:$S96,$S96),IF(N($U96)=0,"?",COUNTIFS(INDEX($V$5:$V$1000,1):INDEX($V$5:$V$1000,$U96-4),"Macro",INDEX($S$5:$S$1000,1):INDEX($S$5:$S$1000,$U96-4),INDEX($S$5:$S$1000,$U96-4))&amp;"."&amp;COUNTIFS($U$5:$U96,$U96,$V$5:$V96,"Sub"))))</f>
        <v/>
      </c>
      <c r="B96" s="57" t="n"/>
      <c r="C96" s="58" t="n"/>
      <c r="D96" s="58" t="n"/>
      <c r="E96" s="59">
        <f>IF(N($AL96)&gt;0,INDEX(rIni_ADM,$AL96),"")</f>
        <v/>
      </c>
      <c r="F96" s="59">
        <f>IF(N($AL96)&gt;0,INDEX(rLim_ADM,$AL96),"")</f>
        <v/>
      </c>
      <c r="G96" s="59" t="n"/>
      <c r="H96" s="60" t="n"/>
      <c r="I96" s="60" t="n"/>
      <c r="J96" s="60" t="n"/>
      <c r="K96" s="60" t="n"/>
      <c r="L96" s="60" t="n"/>
      <c r="M96" s="61">
        <f>IF(NOT((COUNTA($B96:$D96)+COUNTA($G96:$L96)+COUNTA($Q96))&gt;0),"",IF(ISNUMBER($G96),1,IF(N($W96)&gt;0,AVERAGEIFS($X$5:$X$1000,$U$5:$U$1000,ROW(),$V$5:$V$1000,"Sub"),$X96)))</f>
        <v/>
      </c>
      <c r="N96" s="56">
        <f>IF($M96="","",IF($M96&gt;=1,"Completado",IF($M96&gt;0,"En curso","Pendiente")))</f>
        <v/>
      </c>
      <c r="O96" s="56">
        <f>IF(NOT((COUNTA($B96:$D96)+COUNTA($G96:$L96)+COUNTA($Q96))&gt;0),"",IF(ISNUMBER($G96),IF(AND(ISNUMBER($AN96),$G96&gt;$AN96),"Cumplida con "&amp;($G96-$AN96)&amp;IF($G96-$AN96=1," día"," días")&amp;" de retraso","Cumplida"),IF(N($M96)&gt;=1,"Cumplida",IF(NOT(ISNUMBER($AN96)),"Sin fecha límite",IF($AN96&lt;FechaRef,"Vencida hace "&amp;(FechaRef-$AN96)&amp;IF(FechaRef-$AN96=1," día"," días"),IF($AN96=FechaRef,"Vence hoy",IF($AN96-FechaRef&lt;=DiasAlerta,"Vence en "&amp;($AN96-FechaRef)&amp;IF($AN96-FechaRef=1," día"," días"),"En plazo")))))))</f>
        <v/>
      </c>
      <c r="P96" s="62" t="n"/>
      <c r="Q96" s="58" t="n"/>
      <c r="R96" s="63">
        <f>IF(NOT((COUNTA($B96:$D96)+COUNTA($G96:$L96)+COUNTA($Q96))&gt;0),"",IF((IF($C96="","Falta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",""))="","✔ OK","⚠ "&amp;LEFT(IF($C96="","Falta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",""),LEN(IF($C96="","Falta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",""))-3)))</f>
        <v/>
      </c>
      <c r="S96" s="64">
        <f>IF(NOT((COUNTA($B96:$D96)+COUNTA($G96:$L96)+COUNTA($Q96))&gt;0),"",IF(AND($V96="Sub",N($U96)&gt;0),IF(ISNUMBER(INDEX($AM$5:$AM$1000,$U96-4)),DATE(YEAR(INDEX($AM$5:$AM$1000,$U96-4)),MONTH(INDEX($AM$5:$AM$1000,$U96-4)),1),IF(ISNUMBER(INDEX($AN$5:$AN$1000,$U96-4)),DATE(YEAR(INDEX($AN$5:$AN$1000,$U96-4)),MONTH(INDEX($AN$5:$AN$1000,$U96-4)),1),MesCiclo)),IF(ISNUMBER($AM96),DATE(YEAR($AM96),MONTH($AM96),1),IF(ISNUMBER($AN96),DATE(YEAR($AN96),MONTH($AN96),1),MesCiclo))))</f>
        <v/>
      </c>
      <c r="T96" s="62">
        <f>IF(OR($S96="",$S96&lt;&gt;MesCiclo),"",COUNTIF($S$5:$S96,MesCiclo))</f>
        <v/>
      </c>
      <c r="U96" s="62">
        <f>IF($V96="","",IF($V96="Macro",ROW(),IFERROR(LOOKUP(2,1/($V$5:$V96="Macro"),ROW($V$5:$V96)),0)))</f>
        <v/>
      </c>
      <c r="V96" s="62">
        <f>IF(NOT((COUNTA($B96:$D96)+COUNTA($G96:$L96)+COUNTA($Q96))&gt;0),"",IF($B96="Subactividad","Sub","Macro"))</f>
        <v/>
      </c>
      <c r="W96" s="62">
        <f>IF($V96="Macro",COUNTIFS($U$5:$U$1000,ROW(),$V$5:$V$1000,"Sub"),"")</f>
        <v/>
      </c>
      <c r="X96" s="62">
        <f>IF($V96="","",IF(ISNUMBER($G96),1,IFERROR(LOOKUP(2,1/($I96:$L96&lt;&gt;""),$I96:$L96),0)))</f>
        <v/>
      </c>
      <c r="Y96" s="62">
        <f>IF($V96="","",IF(AND(ISNUMBER($G96),$G96&lt;=IF($S96=MesCiclo,InicioCiclo,$S96+MOD(2-WEEKDAY($S96),7))+6),1,IF(ISNUMBER($I96),$I96,0)))</f>
        <v/>
      </c>
      <c r="Z96" s="62">
        <f>IF($V96="","",IF(AND(ISNUMBER($G96),$G96&lt;=IF($S96=MesCiclo,InicioCiclo,$S96+MOD(2-WEEKDAY($S96),7))+13),1,IF(ISNUMBER($J96),$J96,$Y96)))</f>
        <v/>
      </c>
      <c r="AA96" s="62">
        <f>IF($V96="","",IF(AND(ISNUMBER($G96),$G96&lt;=IF($S96=MesCiclo,InicioCiclo,$S96+MOD(2-WEEKDAY($S96),7))+20),1,IF(ISNUMBER($K96),$K96,$Z96)))</f>
        <v/>
      </c>
      <c r="AB96" s="62">
        <f>IF($V96="","",IF(AND(ISNUMBER($G96),$G96&lt;=IF($S96=MesCiclo,InicioCiclo,$S96+MOD(2-WEEKDAY($S96),7))+27),1,IF(ISNUMBER($L96),$L96,$AA96)))</f>
        <v/>
      </c>
      <c r="AC96" s="62">
        <f>IF($V96="","",IF(AND(ISNUMBER($G96),$G96&lt;=IF($S96=MesCiclo,InicioCiclo,$S96+MOD(2-WEEKDAY($S96),7))+6),1,IF(N($W96)&gt;0,AVERAGEIFS($Y$5:$Y$1000,$U$5:$U$1000,ROW(),$V$5:$V$1000,"Sub"),$Y96)))</f>
        <v/>
      </c>
      <c r="AD96" s="62">
        <f>IF($V96="","",IF(AND(ISNUMBER($G96),$G96&lt;=IF($S96=MesCiclo,InicioCiclo,$S96+MOD(2-WEEKDAY($S96),7))+13),1,IF(N($W96)&gt;0,AVERAGEIFS($Z$5:$Z$1000,$U$5:$U$1000,ROW(),$V$5:$V$1000,"Sub"),$Z96)))</f>
        <v/>
      </c>
      <c r="AE96" s="62">
        <f>IF($V96="","",IF(AND(ISNUMBER($G96),$G96&lt;=IF($S96=MesCiclo,InicioCiclo,$S96+MOD(2-WEEKDAY($S96),7))+20),1,IF(N($W96)&gt;0,AVERAGEIFS($AA$5:$AA$1000,$U$5:$U$1000,ROW(),$V$5:$V$1000,"Sub"),$AA96)))</f>
        <v/>
      </c>
      <c r="AF96" s="62">
        <f>IF($V96="","",IF(AND(ISNUMBER($G96),$G96&lt;=IF($S96=MesCiclo,InicioCiclo,$S96+MOD(2-WEEKDAY($S96),7))+27),1,IF(N($W96)&gt;0,AVERAGEIFS($AB$5:$AB$1000,$U$5:$U$1000,ROW(),$V$5:$V$1000,"Sub"),$AB96)))</f>
        <v/>
      </c>
      <c r="AG96" s="62">
        <f>IF($V96&lt;&gt;"Macro","",IF(COUNTIFS($S$5:$S$1000,$S96,$V$5:$V$1000,"Macro",$H$5:$H$1000,"&gt;0")=0,1/COUNTIFS($S$5:$S$1000,$S96,$V$5:$V$1000,"Macro"),IF(AND(ISNUMBER($H96),N($H96)&gt;0),$H96,SUMIFS($H$5:$H$1000,$S$5:$S$1000,$S96,$V$5:$V$1000,"Macro")/COUNTIFS($S$5:$S$1000,$S96,$V$5:$V$1000,"Macro",$H$5:$H$1000,"&gt;0"))/(COUNTIFS($S$5:$S$1000,$S96,$V$5:$V$1000,"Macro")*SUMIFS($H$5:$H$1000,$S$5:$S$1000,$S96,$V$5:$V$1000,"Macro")/COUNTIFS($S$5:$S$1000,$S96,$V$5:$V$1000,"Macro",$H$5:$H$1000,"&gt;0"))))</f>
        <v/>
      </c>
      <c r="AH96" s="62" t="n"/>
      <c r="AI96" s="62" t="n"/>
      <c r="AJ96" s="62" t="n"/>
      <c r="AK96" s="62" t="n"/>
      <c r="AL96" s="62">
        <f>IF(LEFT($C96,11)="[Jefatura] ",IFERROR(MATCH("Riesgo Operacional|"&amp;MID($C96,12,500),rDname_ADM,0),0),"")</f>
        <v/>
      </c>
      <c r="AM96" s="62">
        <f>IF(N($AL96)&gt;0,INDEX(rIni_ADM,$AL96),IF(ISNUMBER($E96),$E96,""))</f>
        <v/>
      </c>
      <c r="AN96" s="62">
        <f>IF(N($AL96)&gt;0,INDEX(rLim_ADM,$AL96),IF(ISNUMBER($F96),$F96,""))</f>
        <v/>
      </c>
    </row>
    <row r="97">
      <c r="A97" s="56">
        <f>IF(NOT((COUNTA($B97:$D97)+COUNTA($G97:$L97)+COUNTA($Q97))&gt;0),"",IF($V97="Macro",COUNTIFS($V$5:$V97,"Macro",$S$5:$S97,$S97),IF(N($U97)=0,"?",COUNTIFS(INDEX($V$5:$V$1000,1):INDEX($V$5:$V$1000,$U97-4),"Macro",INDEX($S$5:$S$1000,1):INDEX($S$5:$S$1000,$U97-4),INDEX($S$5:$S$1000,$U97-4))&amp;"."&amp;COUNTIFS($U$5:$U97,$U97,$V$5:$V97,"Sub"))))</f>
        <v/>
      </c>
      <c r="B97" s="57" t="n"/>
      <c r="C97" s="58" t="n"/>
      <c r="D97" s="58" t="n"/>
      <c r="E97" s="59">
        <f>IF(N($AL97)&gt;0,INDEX(rIni_ADM,$AL97),"")</f>
        <v/>
      </c>
      <c r="F97" s="59">
        <f>IF(N($AL97)&gt;0,INDEX(rLim_ADM,$AL97),"")</f>
        <v/>
      </c>
      <c r="G97" s="59" t="n"/>
      <c r="H97" s="60" t="n"/>
      <c r="I97" s="60" t="n"/>
      <c r="J97" s="60" t="n"/>
      <c r="K97" s="60" t="n"/>
      <c r="L97" s="60" t="n"/>
      <c r="M97" s="61">
        <f>IF(NOT((COUNTA($B97:$D97)+COUNTA($G97:$L97)+COUNTA($Q97))&gt;0),"",IF(ISNUMBER($G97),1,IF(N($W97)&gt;0,AVERAGEIFS($X$5:$X$1000,$U$5:$U$1000,ROW(),$V$5:$V$1000,"Sub"),$X97)))</f>
        <v/>
      </c>
      <c r="N97" s="56">
        <f>IF($M97="","",IF($M97&gt;=1,"Completado",IF($M97&gt;0,"En curso","Pendiente")))</f>
        <v/>
      </c>
      <c r="O97" s="56">
        <f>IF(NOT((COUNTA($B97:$D97)+COUNTA($G97:$L97)+COUNTA($Q97))&gt;0),"",IF(ISNUMBER($G97),IF(AND(ISNUMBER($AN97),$G97&gt;$AN97),"Cumplida con "&amp;($G97-$AN97)&amp;IF($G97-$AN97=1," día"," días")&amp;" de retraso","Cumplida"),IF(N($M97)&gt;=1,"Cumplida",IF(NOT(ISNUMBER($AN97)),"Sin fecha límite",IF($AN97&lt;FechaRef,"Vencida hace "&amp;(FechaRef-$AN97)&amp;IF(FechaRef-$AN97=1," día"," días"),IF($AN97=FechaRef,"Vence hoy",IF($AN97-FechaRef&lt;=DiasAlerta,"Vence en "&amp;($AN97-FechaRef)&amp;IF($AN97-FechaRef=1," día"," días"),"En plazo")))))))</f>
        <v/>
      </c>
      <c r="P97" s="62" t="n"/>
      <c r="Q97" s="58" t="n"/>
      <c r="R97" s="63">
        <f>IF(NOT((COUNTA($B97:$D97)+COUNTA($G97:$L97)+COUNTA($Q97))&gt;0),"",IF((IF($C97="","Falta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",""))="","✔ OK","⚠ "&amp;LEFT(IF($C97="","Falta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",""),LEN(IF($C97="","Falta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",""))-3)))</f>
        <v/>
      </c>
      <c r="S97" s="64">
        <f>IF(NOT((COUNTA($B97:$D97)+COUNTA($G97:$L97)+COUNTA($Q97))&gt;0),"",IF(AND($V97="Sub",N($U97)&gt;0),IF(ISNUMBER(INDEX($AM$5:$AM$1000,$U97-4)),DATE(YEAR(INDEX($AM$5:$AM$1000,$U97-4)),MONTH(INDEX($AM$5:$AM$1000,$U97-4)),1),IF(ISNUMBER(INDEX($AN$5:$AN$1000,$U97-4)),DATE(YEAR(INDEX($AN$5:$AN$1000,$U97-4)),MONTH(INDEX($AN$5:$AN$1000,$U97-4)),1),MesCiclo)),IF(ISNUMBER($AM97),DATE(YEAR($AM97),MONTH($AM97),1),IF(ISNUMBER($AN97),DATE(YEAR($AN97),MONTH($AN97),1),MesCiclo))))</f>
        <v/>
      </c>
      <c r="T97" s="62">
        <f>IF(OR($S97="",$S97&lt;&gt;MesCiclo),"",COUNTIF($S$5:$S97,MesCiclo))</f>
        <v/>
      </c>
      <c r="U97" s="62">
        <f>IF($V97="","",IF($V97="Macro",ROW(),IFERROR(LOOKUP(2,1/($V$5:$V97="Macro"),ROW($V$5:$V97)),0)))</f>
        <v/>
      </c>
      <c r="V97" s="62">
        <f>IF(NOT((COUNTA($B97:$D97)+COUNTA($G97:$L97)+COUNTA($Q97))&gt;0),"",IF($B97="Subactividad","Sub","Macro"))</f>
        <v/>
      </c>
      <c r="W97" s="62">
        <f>IF($V97="Macro",COUNTIFS($U$5:$U$1000,ROW(),$V$5:$V$1000,"Sub"),"")</f>
        <v/>
      </c>
      <c r="X97" s="62">
        <f>IF($V97="","",IF(ISNUMBER($G97),1,IFERROR(LOOKUP(2,1/($I97:$L97&lt;&gt;""),$I97:$L97),0)))</f>
        <v/>
      </c>
      <c r="Y97" s="62">
        <f>IF($V97="","",IF(AND(ISNUMBER($G97),$G97&lt;=IF($S97=MesCiclo,InicioCiclo,$S97+MOD(2-WEEKDAY($S97),7))+6),1,IF(ISNUMBER($I97),$I97,0)))</f>
        <v/>
      </c>
      <c r="Z97" s="62">
        <f>IF($V97="","",IF(AND(ISNUMBER($G97),$G97&lt;=IF($S97=MesCiclo,InicioCiclo,$S97+MOD(2-WEEKDAY($S97),7))+13),1,IF(ISNUMBER($J97),$J97,$Y97)))</f>
        <v/>
      </c>
      <c r="AA97" s="62">
        <f>IF($V97="","",IF(AND(ISNUMBER($G97),$G97&lt;=IF($S97=MesCiclo,InicioCiclo,$S97+MOD(2-WEEKDAY($S97),7))+20),1,IF(ISNUMBER($K97),$K97,$Z97)))</f>
        <v/>
      </c>
      <c r="AB97" s="62">
        <f>IF($V97="","",IF(AND(ISNUMBER($G97),$G97&lt;=IF($S97=MesCiclo,InicioCiclo,$S97+MOD(2-WEEKDAY($S97),7))+27),1,IF(ISNUMBER($L97),$L97,$AA97)))</f>
        <v/>
      </c>
      <c r="AC97" s="62">
        <f>IF($V97="","",IF(AND(ISNUMBER($G97),$G97&lt;=IF($S97=MesCiclo,InicioCiclo,$S97+MOD(2-WEEKDAY($S97),7))+6),1,IF(N($W97)&gt;0,AVERAGEIFS($Y$5:$Y$1000,$U$5:$U$1000,ROW(),$V$5:$V$1000,"Sub"),$Y97)))</f>
        <v/>
      </c>
      <c r="AD97" s="62">
        <f>IF($V97="","",IF(AND(ISNUMBER($G97),$G97&lt;=IF($S97=MesCiclo,InicioCiclo,$S97+MOD(2-WEEKDAY($S97),7))+13),1,IF(N($W97)&gt;0,AVERAGEIFS($Z$5:$Z$1000,$U$5:$U$1000,ROW(),$V$5:$V$1000,"Sub"),$Z97)))</f>
        <v/>
      </c>
      <c r="AE97" s="62">
        <f>IF($V97="","",IF(AND(ISNUMBER($G97),$G97&lt;=IF($S97=MesCiclo,InicioCiclo,$S97+MOD(2-WEEKDAY($S97),7))+20),1,IF(N($W97)&gt;0,AVERAGEIFS($AA$5:$AA$1000,$U$5:$U$1000,ROW(),$V$5:$V$1000,"Sub"),$AA97)))</f>
        <v/>
      </c>
      <c r="AF97" s="62">
        <f>IF($V97="","",IF(AND(ISNUMBER($G97),$G97&lt;=IF($S97=MesCiclo,InicioCiclo,$S97+MOD(2-WEEKDAY($S97),7))+27),1,IF(N($W97)&gt;0,AVERAGEIFS($AB$5:$AB$1000,$U$5:$U$1000,ROW(),$V$5:$V$1000,"Sub"),$AB97)))</f>
        <v/>
      </c>
      <c r="AG97" s="62">
        <f>IF($V97&lt;&gt;"Macro","",IF(COUNTIFS($S$5:$S$1000,$S97,$V$5:$V$1000,"Macro",$H$5:$H$1000,"&gt;0")=0,1/COUNTIFS($S$5:$S$1000,$S97,$V$5:$V$1000,"Macro"),IF(AND(ISNUMBER($H97),N($H97)&gt;0),$H97,SUMIFS($H$5:$H$1000,$S$5:$S$1000,$S97,$V$5:$V$1000,"Macro")/COUNTIFS($S$5:$S$1000,$S97,$V$5:$V$1000,"Macro",$H$5:$H$1000,"&gt;0"))/(COUNTIFS($S$5:$S$1000,$S97,$V$5:$V$1000,"Macro")*SUMIFS($H$5:$H$1000,$S$5:$S$1000,$S97,$V$5:$V$1000,"Macro")/COUNTIFS($S$5:$S$1000,$S97,$V$5:$V$1000,"Macro",$H$5:$H$1000,"&gt;0"))))</f>
        <v/>
      </c>
      <c r="AH97" s="62" t="n"/>
      <c r="AI97" s="62" t="n"/>
      <c r="AJ97" s="62" t="n"/>
      <c r="AK97" s="62" t="n"/>
      <c r="AL97" s="62">
        <f>IF(LEFT($C97,11)="[Jefatura] ",IFERROR(MATCH("Riesgo Operacional|"&amp;MID($C97,12,500),rDname_ADM,0),0),"")</f>
        <v/>
      </c>
      <c r="AM97" s="62">
        <f>IF(N($AL97)&gt;0,INDEX(rIni_ADM,$AL97),IF(ISNUMBER($E97),$E97,""))</f>
        <v/>
      </c>
      <c r="AN97" s="62">
        <f>IF(N($AL97)&gt;0,INDEX(rLim_ADM,$AL97),IF(ISNUMBER($F97),$F97,""))</f>
        <v/>
      </c>
    </row>
    <row r="98">
      <c r="A98" s="56">
        <f>IF(NOT((COUNTA($B98:$D98)+COUNTA($G98:$L98)+COUNTA($Q98))&gt;0),"",IF($V98="Macro",COUNTIFS($V$5:$V98,"Macro",$S$5:$S98,$S98),IF(N($U98)=0,"?",COUNTIFS(INDEX($V$5:$V$1000,1):INDEX($V$5:$V$1000,$U98-4),"Macro",INDEX($S$5:$S$1000,1):INDEX($S$5:$S$1000,$U98-4),INDEX($S$5:$S$1000,$U98-4))&amp;"."&amp;COUNTIFS($U$5:$U98,$U98,$V$5:$V98,"Sub"))))</f>
        <v/>
      </c>
      <c r="B98" s="57" t="n"/>
      <c r="C98" s="58" t="n"/>
      <c r="D98" s="58" t="n"/>
      <c r="E98" s="59">
        <f>IF(N($AL98)&gt;0,INDEX(rIni_ADM,$AL98),"")</f>
        <v/>
      </c>
      <c r="F98" s="59">
        <f>IF(N($AL98)&gt;0,INDEX(rLim_ADM,$AL98),"")</f>
        <v/>
      </c>
      <c r="G98" s="59" t="n"/>
      <c r="H98" s="60" t="n"/>
      <c r="I98" s="60" t="n"/>
      <c r="J98" s="60" t="n"/>
      <c r="K98" s="60" t="n"/>
      <c r="L98" s="60" t="n"/>
      <c r="M98" s="61">
        <f>IF(NOT((COUNTA($B98:$D98)+COUNTA($G98:$L98)+COUNTA($Q98))&gt;0),"",IF(ISNUMBER($G98),1,IF(N($W98)&gt;0,AVERAGEIFS($X$5:$X$1000,$U$5:$U$1000,ROW(),$V$5:$V$1000,"Sub"),$X98)))</f>
        <v/>
      </c>
      <c r="N98" s="56">
        <f>IF($M98="","",IF($M98&gt;=1,"Completado",IF($M98&gt;0,"En curso","Pendiente")))</f>
        <v/>
      </c>
      <c r="O98" s="56">
        <f>IF(NOT((COUNTA($B98:$D98)+COUNTA($G98:$L98)+COUNTA($Q98))&gt;0),"",IF(ISNUMBER($G98),IF(AND(ISNUMBER($AN98),$G98&gt;$AN98),"Cumplida con "&amp;($G98-$AN98)&amp;IF($G98-$AN98=1," día"," días")&amp;" de retraso","Cumplida"),IF(N($M98)&gt;=1,"Cumplida",IF(NOT(ISNUMBER($AN98)),"Sin fecha límite",IF($AN98&lt;FechaRef,"Vencida hace "&amp;(FechaRef-$AN98)&amp;IF(FechaRef-$AN98=1," día"," días"),IF($AN98=FechaRef,"Vence hoy",IF($AN98-FechaRef&lt;=DiasAlerta,"Vence en "&amp;($AN98-FechaRef)&amp;IF($AN98-FechaRef=1," día"," días"),"En plazo")))))))</f>
        <v/>
      </c>
      <c r="P98" s="62" t="n"/>
      <c r="Q98" s="58" t="n"/>
      <c r="R98" s="63">
        <f>IF(NOT((COUNTA($B98:$D98)+COUNTA($G98:$L98)+COUNTA($Q98))&gt;0),"",IF((IF($C98="","Falta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",""))="","✔ OK","⚠ "&amp;LEFT(IF($C98="","Falta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",""),LEN(IF($C98="","Falta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",""))-3)))</f>
        <v/>
      </c>
      <c r="S98" s="64">
        <f>IF(NOT((COUNTA($B98:$D98)+COUNTA($G98:$L98)+COUNTA($Q98))&gt;0),"",IF(AND($V98="Sub",N($U98)&gt;0),IF(ISNUMBER(INDEX($AM$5:$AM$1000,$U98-4)),DATE(YEAR(INDEX($AM$5:$AM$1000,$U98-4)),MONTH(INDEX($AM$5:$AM$1000,$U98-4)),1),IF(ISNUMBER(INDEX($AN$5:$AN$1000,$U98-4)),DATE(YEAR(INDEX($AN$5:$AN$1000,$U98-4)),MONTH(INDEX($AN$5:$AN$1000,$U98-4)),1),MesCiclo)),IF(ISNUMBER($AM98),DATE(YEAR($AM98),MONTH($AM98),1),IF(ISNUMBER($AN98),DATE(YEAR($AN98),MONTH($AN98),1),MesCiclo))))</f>
        <v/>
      </c>
      <c r="T98" s="62">
        <f>IF(OR($S98="",$S98&lt;&gt;MesCiclo),"",COUNTIF($S$5:$S98,MesCiclo))</f>
        <v/>
      </c>
      <c r="U98" s="62">
        <f>IF($V98="","",IF($V98="Macro",ROW(),IFERROR(LOOKUP(2,1/($V$5:$V98="Macro"),ROW($V$5:$V98)),0)))</f>
        <v/>
      </c>
      <c r="V98" s="62">
        <f>IF(NOT((COUNTA($B98:$D98)+COUNTA($G98:$L98)+COUNTA($Q98))&gt;0),"",IF($B98="Subactividad","Sub","Macro"))</f>
        <v/>
      </c>
      <c r="W98" s="62">
        <f>IF($V98="Macro",COUNTIFS($U$5:$U$1000,ROW(),$V$5:$V$1000,"Sub"),"")</f>
        <v/>
      </c>
      <c r="X98" s="62">
        <f>IF($V98="","",IF(ISNUMBER($G98),1,IFERROR(LOOKUP(2,1/($I98:$L98&lt;&gt;""),$I98:$L98),0)))</f>
        <v/>
      </c>
      <c r="Y98" s="62">
        <f>IF($V98="","",IF(AND(ISNUMBER($G98),$G98&lt;=IF($S98=MesCiclo,InicioCiclo,$S98+MOD(2-WEEKDAY($S98),7))+6),1,IF(ISNUMBER($I98),$I98,0)))</f>
        <v/>
      </c>
      <c r="Z98" s="62">
        <f>IF($V98="","",IF(AND(ISNUMBER($G98),$G98&lt;=IF($S98=MesCiclo,InicioCiclo,$S98+MOD(2-WEEKDAY($S98),7))+13),1,IF(ISNUMBER($J98),$J98,$Y98)))</f>
        <v/>
      </c>
      <c r="AA98" s="62">
        <f>IF($V98="","",IF(AND(ISNUMBER($G98),$G98&lt;=IF($S98=MesCiclo,InicioCiclo,$S98+MOD(2-WEEKDAY($S98),7))+20),1,IF(ISNUMBER($K98),$K98,$Z98)))</f>
        <v/>
      </c>
      <c r="AB98" s="62">
        <f>IF($V98="","",IF(AND(ISNUMBER($G98),$G98&lt;=IF($S98=MesCiclo,InicioCiclo,$S98+MOD(2-WEEKDAY($S98),7))+27),1,IF(ISNUMBER($L98),$L98,$AA98)))</f>
        <v/>
      </c>
      <c r="AC98" s="62">
        <f>IF($V98="","",IF(AND(ISNUMBER($G98),$G98&lt;=IF($S98=MesCiclo,InicioCiclo,$S98+MOD(2-WEEKDAY($S98),7))+6),1,IF(N($W98)&gt;0,AVERAGEIFS($Y$5:$Y$1000,$U$5:$U$1000,ROW(),$V$5:$V$1000,"Sub"),$Y98)))</f>
        <v/>
      </c>
      <c r="AD98" s="62">
        <f>IF($V98="","",IF(AND(ISNUMBER($G98),$G98&lt;=IF($S98=MesCiclo,InicioCiclo,$S98+MOD(2-WEEKDAY($S98),7))+13),1,IF(N($W98)&gt;0,AVERAGEIFS($Z$5:$Z$1000,$U$5:$U$1000,ROW(),$V$5:$V$1000,"Sub"),$Z98)))</f>
        <v/>
      </c>
      <c r="AE98" s="62">
        <f>IF($V98="","",IF(AND(ISNUMBER($G98),$G98&lt;=IF($S98=MesCiclo,InicioCiclo,$S98+MOD(2-WEEKDAY($S98),7))+20),1,IF(N($W98)&gt;0,AVERAGEIFS($AA$5:$AA$1000,$U$5:$U$1000,ROW(),$V$5:$V$1000,"Sub"),$AA98)))</f>
        <v/>
      </c>
      <c r="AF98" s="62">
        <f>IF($V98="","",IF(AND(ISNUMBER($G98),$G98&lt;=IF($S98=MesCiclo,InicioCiclo,$S98+MOD(2-WEEKDAY($S98),7))+27),1,IF(N($W98)&gt;0,AVERAGEIFS($AB$5:$AB$1000,$U$5:$U$1000,ROW(),$V$5:$V$1000,"Sub"),$AB98)))</f>
        <v/>
      </c>
      <c r="AG98" s="62">
        <f>IF($V98&lt;&gt;"Macro","",IF(COUNTIFS($S$5:$S$1000,$S98,$V$5:$V$1000,"Macro",$H$5:$H$1000,"&gt;0")=0,1/COUNTIFS($S$5:$S$1000,$S98,$V$5:$V$1000,"Macro"),IF(AND(ISNUMBER($H98),N($H98)&gt;0),$H98,SUMIFS($H$5:$H$1000,$S$5:$S$1000,$S98,$V$5:$V$1000,"Macro")/COUNTIFS($S$5:$S$1000,$S98,$V$5:$V$1000,"Macro",$H$5:$H$1000,"&gt;0"))/(COUNTIFS($S$5:$S$1000,$S98,$V$5:$V$1000,"Macro")*SUMIFS($H$5:$H$1000,$S$5:$S$1000,$S98,$V$5:$V$1000,"Macro")/COUNTIFS($S$5:$S$1000,$S98,$V$5:$V$1000,"Macro",$H$5:$H$1000,"&gt;0"))))</f>
        <v/>
      </c>
      <c r="AH98" s="62" t="n"/>
      <c r="AI98" s="62" t="n"/>
      <c r="AJ98" s="62" t="n"/>
      <c r="AK98" s="62" t="n"/>
      <c r="AL98" s="62">
        <f>IF(LEFT($C98,11)="[Jefatura] ",IFERROR(MATCH("Riesgo Operacional|"&amp;MID($C98,12,500),rDname_ADM,0),0),"")</f>
        <v/>
      </c>
      <c r="AM98" s="62">
        <f>IF(N($AL98)&gt;0,INDEX(rIni_ADM,$AL98),IF(ISNUMBER($E98),$E98,""))</f>
        <v/>
      </c>
      <c r="AN98" s="62">
        <f>IF(N($AL98)&gt;0,INDEX(rLim_ADM,$AL98),IF(ISNUMBER($F98),$F98,""))</f>
        <v/>
      </c>
    </row>
    <row r="99">
      <c r="A99" s="56">
        <f>IF(NOT((COUNTA($B99:$D99)+COUNTA($G99:$L99)+COUNTA($Q99))&gt;0),"",IF($V99="Macro",COUNTIFS($V$5:$V99,"Macro",$S$5:$S99,$S99),IF(N($U99)=0,"?",COUNTIFS(INDEX($V$5:$V$1000,1):INDEX($V$5:$V$1000,$U99-4),"Macro",INDEX($S$5:$S$1000,1):INDEX($S$5:$S$1000,$U99-4),INDEX($S$5:$S$1000,$U99-4))&amp;"."&amp;COUNTIFS($U$5:$U99,$U99,$V$5:$V99,"Sub"))))</f>
        <v/>
      </c>
      <c r="B99" s="57" t="n"/>
      <c r="C99" s="58" t="n"/>
      <c r="D99" s="58" t="n"/>
      <c r="E99" s="59">
        <f>IF(N($AL99)&gt;0,INDEX(rIni_ADM,$AL99),"")</f>
        <v/>
      </c>
      <c r="F99" s="59">
        <f>IF(N($AL99)&gt;0,INDEX(rLim_ADM,$AL99),"")</f>
        <v/>
      </c>
      <c r="G99" s="59" t="n"/>
      <c r="H99" s="60" t="n"/>
      <c r="I99" s="60" t="n"/>
      <c r="J99" s="60" t="n"/>
      <c r="K99" s="60" t="n"/>
      <c r="L99" s="60" t="n"/>
      <c r="M99" s="61">
        <f>IF(NOT((COUNTA($B99:$D99)+COUNTA($G99:$L99)+COUNTA($Q99))&gt;0),"",IF(ISNUMBER($G99),1,IF(N($W99)&gt;0,AVERAGEIFS($X$5:$X$1000,$U$5:$U$1000,ROW(),$V$5:$V$1000,"Sub"),$X99)))</f>
        <v/>
      </c>
      <c r="N99" s="56">
        <f>IF($M99="","",IF($M99&gt;=1,"Completado",IF($M99&gt;0,"En curso","Pendiente")))</f>
        <v/>
      </c>
      <c r="O99" s="56">
        <f>IF(NOT((COUNTA($B99:$D99)+COUNTA($G99:$L99)+COUNTA($Q99))&gt;0),"",IF(ISNUMBER($G99),IF(AND(ISNUMBER($AN99),$G99&gt;$AN99),"Cumplida con "&amp;($G99-$AN99)&amp;IF($G99-$AN99=1," día"," días")&amp;" de retraso","Cumplida"),IF(N($M99)&gt;=1,"Cumplida",IF(NOT(ISNUMBER($AN99)),"Sin fecha límite",IF($AN99&lt;FechaRef,"Vencida hace "&amp;(FechaRef-$AN99)&amp;IF(FechaRef-$AN99=1," día"," días"),IF($AN99=FechaRef,"Vence hoy",IF($AN99-FechaRef&lt;=DiasAlerta,"Vence en "&amp;($AN99-FechaRef)&amp;IF($AN99-FechaRef=1," día"," días"),"En plazo")))))))</f>
        <v/>
      </c>
      <c r="P99" s="62" t="n"/>
      <c r="Q99" s="58" t="n"/>
      <c r="R99" s="63">
        <f>IF(NOT((COUNTA($B99:$D99)+COUNTA($G99:$L99)+COUNTA($Q99))&gt;0),"",IF((IF($C99="","Falta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",""))="","✔ OK","⚠ "&amp;LEFT(IF($C99="","Falta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",""),LEN(IF($C99="","Falta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",""))-3)))</f>
        <v/>
      </c>
      <c r="S99" s="64">
        <f>IF(NOT((COUNTA($B99:$D99)+COUNTA($G99:$L99)+COUNTA($Q99))&gt;0),"",IF(AND($V99="Sub",N($U99)&gt;0),IF(ISNUMBER(INDEX($AM$5:$AM$1000,$U99-4)),DATE(YEAR(INDEX($AM$5:$AM$1000,$U99-4)),MONTH(INDEX($AM$5:$AM$1000,$U99-4)),1),IF(ISNUMBER(INDEX($AN$5:$AN$1000,$U99-4)),DATE(YEAR(INDEX($AN$5:$AN$1000,$U99-4)),MONTH(INDEX($AN$5:$AN$1000,$U99-4)),1),MesCiclo)),IF(ISNUMBER($AM99),DATE(YEAR($AM99),MONTH($AM99),1),IF(ISNUMBER($AN99),DATE(YEAR($AN99),MONTH($AN99),1),MesCiclo))))</f>
        <v/>
      </c>
      <c r="T99" s="62">
        <f>IF(OR($S99="",$S99&lt;&gt;MesCiclo),"",COUNTIF($S$5:$S99,MesCiclo))</f>
        <v/>
      </c>
      <c r="U99" s="62">
        <f>IF($V99="","",IF($V99="Macro",ROW(),IFERROR(LOOKUP(2,1/($V$5:$V99="Macro"),ROW($V$5:$V99)),0)))</f>
        <v/>
      </c>
      <c r="V99" s="62">
        <f>IF(NOT((COUNTA($B99:$D99)+COUNTA($G99:$L99)+COUNTA($Q99))&gt;0),"",IF($B99="Subactividad","Sub","Macro"))</f>
        <v/>
      </c>
      <c r="W99" s="62">
        <f>IF($V99="Macro",COUNTIFS($U$5:$U$1000,ROW(),$V$5:$V$1000,"Sub"),"")</f>
        <v/>
      </c>
      <c r="X99" s="62">
        <f>IF($V99="","",IF(ISNUMBER($G99),1,IFERROR(LOOKUP(2,1/($I99:$L99&lt;&gt;""),$I99:$L99),0)))</f>
        <v/>
      </c>
      <c r="Y99" s="62">
        <f>IF($V99="","",IF(AND(ISNUMBER($G99),$G99&lt;=IF($S99=MesCiclo,InicioCiclo,$S99+MOD(2-WEEKDAY($S99),7))+6),1,IF(ISNUMBER($I99),$I99,0)))</f>
        <v/>
      </c>
      <c r="Z99" s="62">
        <f>IF($V99="","",IF(AND(ISNUMBER($G99),$G99&lt;=IF($S99=MesCiclo,InicioCiclo,$S99+MOD(2-WEEKDAY($S99),7))+13),1,IF(ISNUMBER($J99),$J99,$Y99)))</f>
        <v/>
      </c>
      <c r="AA99" s="62">
        <f>IF($V99="","",IF(AND(ISNUMBER($G99),$G99&lt;=IF($S99=MesCiclo,InicioCiclo,$S99+MOD(2-WEEKDAY($S99),7))+20),1,IF(ISNUMBER($K99),$K99,$Z99)))</f>
        <v/>
      </c>
      <c r="AB99" s="62">
        <f>IF($V99="","",IF(AND(ISNUMBER($G99),$G99&lt;=IF($S99=MesCiclo,InicioCiclo,$S99+MOD(2-WEEKDAY($S99),7))+27),1,IF(ISNUMBER($L99),$L99,$AA99)))</f>
        <v/>
      </c>
      <c r="AC99" s="62">
        <f>IF($V99="","",IF(AND(ISNUMBER($G99),$G99&lt;=IF($S99=MesCiclo,InicioCiclo,$S99+MOD(2-WEEKDAY($S99),7))+6),1,IF(N($W99)&gt;0,AVERAGEIFS($Y$5:$Y$1000,$U$5:$U$1000,ROW(),$V$5:$V$1000,"Sub"),$Y99)))</f>
        <v/>
      </c>
      <c r="AD99" s="62">
        <f>IF($V99="","",IF(AND(ISNUMBER($G99),$G99&lt;=IF($S99=MesCiclo,InicioCiclo,$S99+MOD(2-WEEKDAY($S99),7))+13),1,IF(N($W99)&gt;0,AVERAGEIFS($Z$5:$Z$1000,$U$5:$U$1000,ROW(),$V$5:$V$1000,"Sub"),$Z99)))</f>
        <v/>
      </c>
      <c r="AE99" s="62">
        <f>IF($V99="","",IF(AND(ISNUMBER($G99),$G99&lt;=IF($S99=MesCiclo,InicioCiclo,$S99+MOD(2-WEEKDAY($S99),7))+20),1,IF(N($W99)&gt;0,AVERAGEIFS($AA$5:$AA$1000,$U$5:$U$1000,ROW(),$V$5:$V$1000,"Sub"),$AA99)))</f>
        <v/>
      </c>
      <c r="AF99" s="62">
        <f>IF($V99="","",IF(AND(ISNUMBER($G99),$G99&lt;=IF($S99=MesCiclo,InicioCiclo,$S99+MOD(2-WEEKDAY($S99),7))+27),1,IF(N($W99)&gt;0,AVERAGEIFS($AB$5:$AB$1000,$U$5:$U$1000,ROW(),$V$5:$V$1000,"Sub"),$AB99)))</f>
        <v/>
      </c>
      <c r="AG99" s="62">
        <f>IF($V99&lt;&gt;"Macro","",IF(COUNTIFS($S$5:$S$1000,$S99,$V$5:$V$1000,"Macro",$H$5:$H$1000,"&gt;0")=0,1/COUNTIFS($S$5:$S$1000,$S99,$V$5:$V$1000,"Macro"),IF(AND(ISNUMBER($H99),N($H99)&gt;0),$H99,SUMIFS($H$5:$H$1000,$S$5:$S$1000,$S99,$V$5:$V$1000,"Macro")/COUNTIFS($S$5:$S$1000,$S99,$V$5:$V$1000,"Macro",$H$5:$H$1000,"&gt;0"))/(COUNTIFS($S$5:$S$1000,$S99,$V$5:$V$1000,"Macro")*SUMIFS($H$5:$H$1000,$S$5:$S$1000,$S99,$V$5:$V$1000,"Macro")/COUNTIFS($S$5:$S$1000,$S99,$V$5:$V$1000,"Macro",$H$5:$H$1000,"&gt;0"))))</f>
        <v/>
      </c>
      <c r="AH99" s="62" t="n"/>
      <c r="AI99" s="62" t="n"/>
      <c r="AJ99" s="62" t="n"/>
      <c r="AK99" s="62" t="n"/>
      <c r="AL99" s="62">
        <f>IF(LEFT($C99,11)="[Jefatura] ",IFERROR(MATCH("Riesgo Operacional|"&amp;MID($C99,12,500),rDname_ADM,0),0),"")</f>
        <v/>
      </c>
      <c r="AM99" s="62">
        <f>IF(N($AL99)&gt;0,INDEX(rIni_ADM,$AL99),IF(ISNUMBER($E99),$E99,""))</f>
        <v/>
      </c>
      <c r="AN99" s="62">
        <f>IF(N($AL99)&gt;0,INDEX(rLim_ADM,$AL99),IF(ISNUMBER($F99),$F99,""))</f>
        <v/>
      </c>
    </row>
    <row r="100">
      <c r="A100" s="56">
        <f>IF(NOT((COUNTA($B100:$D100)+COUNTA($G100:$L100)+COUNTA($Q100))&gt;0),"",IF($V100="Macro",COUNTIFS($V$5:$V100,"Macro",$S$5:$S100,$S100),IF(N($U100)=0,"?",COUNTIFS(INDEX($V$5:$V$1000,1):INDEX($V$5:$V$1000,$U100-4),"Macro",INDEX($S$5:$S$1000,1):INDEX($S$5:$S$1000,$U100-4),INDEX($S$5:$S$1000,$U100-4))&amp;"."&amp;COUNTIFS($U$5:$U100,$U100,$V$5:$V100,"Sub"))))</f>
        <v/>
      </c>
      <c r="B100" s="57" t="n"/>
      <c r="C100" s="58" t="n"/>
      <c r="D100" s="58" t="n"/>
      <c r="E100" s="59">
        <f>IF(N($AL100)&gt;0,INDEX(rIni_ADM,$AL100),"")</f>
        <v/>
      </c>
      <c r="F100" s="59">
        <f>IF(N($AL100)&gt;0,INDEX(rLim_ADM,$AL100),"")</f>
        <v/>
      </c>
      <c r="G100" s="59" t="n"/>
      <c r="H100" s="60" t="n"/>
      <c r="I100" s="60" t="n"/>
      <c r="J100" s="60" t="n"/>
      <c r="K100" s="60" t="n"/>
      <c r="L100" s="60" t="n"/>
      <c r="M100" s="61">
        <f>IF(NOT((COUNTA($B100:$D100)+COUNTA($G100:$L100)+COUNTA($Q100))&gt;0),"",IF(ISNUMBER($G100),1,IF(N($W100)&gt;0,AVERAGEIFS($X$5:$X$1000,$U$5:$U$1000,ROW(),$V$5:$V$1000,"Sub"),$X100)))</f>
        <v/>
      </c>
      <c r="N100" s="56">
        <f>IF($M100="","",IF($M100&gt;=1,"Completado",IF($M100&gt;0,"En curso","Pendiente")))</f>
        <v/>
      </c>
      <c r="O100" s="56">
        <f>IF(NOT((COUNTA($B100:$D100)+COUNTA($G100:$L100)+COUNTA($Q100))&gt;0),"",IF(ISNUMBER($G100),IF(AND(ISNUMBER($AN100),$G100&gt;$AN100),"Cumplida con "&amp;($G100-$AN100)&amp;IF($G100-$AN100=1," día"," días")&amp;" de retraso","Cumplida"),IF(N($M100)&gt;=1,"Cumplida",IF(NOT(ISNUMBER($AN100)),"Sin fecha límite",IF($AN100&lt;FechaRef,"Vencida hace "&amp;(FechaRef-$AN100)&amp;IF(FechaRef-$AN100=1," día"," días"),IF($AN100=FechaRef,"Vence hoy",IF($AN100-FechaRef&lt;=DiasAlerta,"Vence en "&amp;($AN100-FechaRef)&amp;IF($AN100-FechaRef=1," día"," días"),"En plazo")))))))</f>
        <v/>
      </c>
      <c r="P100" s="62" t="n"/>
      <c r="Q100" s="58" t="n"/>
      <c r="R100" s="63">
        <f>IF(NOT((COUNTA($B100:$D100)+COUNTA($G100:$L100)+COUNTA($Q100))&gt;0),"",IF((IF($C100="","Falta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",""))="","✔ OK","⚠ "&amp;LEFT(IF($C100="","Falta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",""),LEN(IF($C100="","Falta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",""))-3)))</f>
        <v/>
      </c>
      <c r="S100" s="64">
        <f>IF(NOT((COUNTA($B100:$D100)+COUNTA($G100:$L100)+COUNTA($Q100))&gt;0),"",IF(AND($V100="Sub",N($U100)&gt;0),IF(ISNUMBER(INDEX($AM$5:$AM$1000,$U100-4)),DATE(YEAR(INDEX($AM$5:$AM$1000,$U100-4)),MONTH(INDEX($AM$5:$AM$1000,$U100-4)),1),IF(ISNUMBER(INDEX($AN$5:$AN$1000,$U100-4)),DATE(YEAR(INDEX($AN$5:$AN$1000,$U100-4)),MONTH(INDEX($AN$5:$AN$1000,$U100-4)),1),MesCiclo)),IF(ISNUMBER($AM100),DATE(YEAR($AM100),MONTH($AM100),1),IF(ISNUMBER($AN100),DATE(YEAR($AN100),MONTH($AN100),1),MesCiclo))))</f>
        <v/>
      </c>
      <c r="T100" s="62">
        <f>IF(OR($S100="",$S100&lt;&gt;MesCiclo),"",COUNTIF($S$5:$S100,MesCiclo))</f>
        <v/>
      </c>
      <c r="U100" s="62">
        <f>IF($V100="","",IF($V100="Macro",ROW(),IFERROR(LOOKUP(2,1/($V$5:$V100="Macro"),ROW($V$5:$V100)),0)))</f>
        <v/>
      </c>
      <c r="V100" s="62">
        <f>IF(NOT((COUNTA($B100:$D100)+COUNTA($G100:$L100)+COUNTA($Q100))&gt;0),"",IF($B100="Subactividad","Sub","Macro"))</f>
        <v/>
      </c>
      <c r="W100" s="62">
        <f>IF($V100="Macro",COUNTIFS($U$5:$U$1000,ROW(),$V$5:$V$1000,"Sub"),"")</f>
        <v/>
      </c>
      <c r="X100" s="62">
        <f>IF($V100="","",IF(ISNUMBER($G100),1,IFERROR(LOOKUP(2,1/($I100:$L100&lt;&gt;""),$I100:$L100),0)))</f>
        <v/>
      </c>
      <c r="Y100" s="62">
        <f>IF($V100="","",IF(AND(ISNUMBER($G100),$G100&lt;=IF($S100=MesCiclo,InicioCiclo,$S100+MOD(2-WEEKDAY($S100),7))+6),1,IF(ISNUMBER($I100),$I100,0)))</f>
        <v/>
      </c>
      <c r="Z100" s="62">
        <f>IF($V100="","",IF(AND(ISNUMBER($G100),$G100&lt;=IF($S100=MesCiclo,InicioCiclo,$S100+MOD(2-WEEKDAY($S100),7))+13),1,IF(ISNUMBER($J100),$J100,$Y100)))</f>
        <v/>
      </c>
      <c r="AA100" s="62">
        <f>IF($V100="","",IF(AND(ISNUMBER($G100),$G100&lt;=IF($S100=MesCiclo,InicioCiclo,$S100+MOD(2-WEEKDAY($S100),7))+20),1,IF(ISNUMBER($K100),$K100,$Z100)))</f>
        <v/>
      </c>
      <c r="AB100" s="62">
        <f>IF($V100="","",IF(AND(ISNUMBER($G100),$G100&lt;=IF($S100=MesCiclo,InicioCiclo,$S100+MOD(2-WEEKDAY($S100),7))+27),1,IF(ISNUMBER($L100),$L100,$AA100)))</f>
        <v/>
      </c>
      <c r="AC100" s="62">
        <f>IF($V100="","",IF(AND(ISNUMBER($G100),$G100&lt;=IF($S100=MesCiclo,InicioCiclo,$S100+MOD(2-WEEKDAY($S100),7))+6),1,IF(N($W100)&gt;0,AVERAGEIFS($Y$5:$Y$1000,$U$5:$U$1000,ROW(),$V$5:$V$1000,"Sub"),$Y100)))</f>
        <v/>
      </c>
      <c r="AD100" s="62">
        <f>IF($V100="","",IF(AND(ISNUMBER($G100),$G100&lt;=IF($S100=MesCiclo,InicioCiclo,$S100+MOD(2-WEEKDAY($S100),7))+13),1,IF(N($W100)&gt;0,AVERAGEIFS($Z$5:$Z$1000,$U$5:$U$1000,ROW(),$V$5:$V$1000,"Sub"),$Z100)))</f>
        <v/>
      </c>
      <c r="AE100" s="62">
        <f>IF($V100="","",IF(AND(ISNUMBER($G100),$G100&lt;=IF($S100=MesCiclo,InicioCiclo,$S100+MOD(2-WEEKDAY($S100),7))+20),1,IF(N($W100)&gt;0,AVERAGEIFS($AA$5:$AA$1000,$U$5:$U$1000,ROW(),$V$5:$V$1000,"Sub"),$AA100)))</f>
        <v/>
      </c>
      <c r="AF100" s="62">
        <f>IF($V100="","",IF(AND(ISNUMBER($G100),$G100&lt;=IF($S100=MesCiclo,InicioCiclo,$S100+MOD(2-WEEKDAY($S100),7))+27),1,IF(N($W100)&gt;0,AVERAGEIFS($AB$5:$AB$1000,$U$5:$U$1000,ROW(),$V$5:$V$1000,"Sub"),$AB100)))</f>
        <v/>
      </c>
      <c r="AG100" s="62">
        <f>IF($V100&lt;&gt;"Macro","",IF(COUNTIFS($S$5:$S$1000,$S100,$V$5:$V$1000,"Macro",$H$5:$H$1000,"&gt;0")=0,1/COUNTIFS($S$5:$S$1000,$S100,$V$5:$V$1000,"Macro"),IF(AND(ISNUMBER($H100),N($H100)&gt;0),$H100,SUMIFS($H$5:$H$1000,$S$5:$S$1000,$S100,$V$5:$V$1000,"Macro")/COUNTIFS($S$5:$S$1000,$S100,$V$5:$V$1000,"Macro",$H$5:$H$1000,"&gt;0"))/(COUNTIFS($S$5:$S$1000,$S100,$V$5:$V$1000,"Macro")*SUMIFS($H$5:$H$1000,$S$5:$S$1000,$S100,$V$5:$V$1000,"Macro")/COUNTIFS($S$5:$S$1000,$S100,$V$5:$V$1000,"Macro",$H$5:$H$1000,"&gt;0"))))</f>
        <v/>
      </c>
      <c r="AH100" s="62" t="n"/>
      <c r="AI100" s="62" t="n"/>
      <c r="AJ100" s="62" t="n"/>
      <c r="AK100" s="62" t="n"/>
      <c r="AL100" s="62">
        <f>IF(LEFT($C100,11)="[Jefatura] ",IFERROR(MATCH("Riesgo Operacional|"&amp;MID($C100,12,500),rDname_ADM,0),0),"")</f>
        <v/>
      </c>
      <c r="AM100" s="62">
        <f>IF(N($AL100)&gt;0,INDEX(rIni_ADM,$AL100),IF(ISNUMBER($E100),$E100,""))</f>
        <v/>
      </c>
      <c r="AN100" s="62">
        <f>IF(N($AL100)&gt;0,INDEX(rLim_ADM,$AL100),IF(ISNUMBER($F100),$F100,""))</f>
        <v/>
      </c>
    </row>
    <row r="101">
      <c r="A101" s="56">
        <f>IF(NOT((COUNTA($B101:$D101)+COUNTA($G101:$L101)+COUNTA($Q101))&gt;0),"",IF($V101="Macro",COUNTIFS($V$5:$V101,"Macro",$S$5:$S101,$S101),IF(N($U101)=0,"?",COUNTIFS(INDEX($V$5:$V$1000,1):INDEX($V$5:$V$1000,$U101-4),"Macro",INDEX($S$5:$S$1000,1):INDEX($S$5:$S$1000,$U101-4),INDEX($S$5:$S$1000,$U101-4))&amp;"."&amp;COUNTIFS($U$5:$U101,$U101,$V$5:$V101,"Sub"))))</f>
        <v/>
      </c>
      <c r="B101" s="57" t="n"/>
      <c r="C101" s="58" t="n"/>
      <c r="D101" s="58" t="n"/>
      <c r="E101" s="59">
        <f>IF(N($AL101)&gt;0,INDEX(rIni_ADM,$AL101),"")</f>
        <v/>
      </c>
      <c r="F101" s="59">
        <f>IF(N($AL101)&gt;0,INDEX(rLim_ADM,$AL101),"")</f>
        <v/>
      </c>
      <c r="G101" s="59" t="n"/>
      <c r="H101" s="60" t="n"/>
      <c r="I101" s="60" t="n"/>
      <c r="J101" s="60" t="n"/>
      <c r="K101" s="60" t="n"/>
      <c r="L101" s="60" t="n"/>
      <c r="M101" s="61">
        <f>IF(NOT((COUNTA($B101:$D101)+COUNTA($G101:$L101)+COUNTA($Q101))&gt;0),"",IF(ISNUMBER($G101),1,IF(N($W101)&gt;0,AVERAGEIFS($X$5:$X$1000,$U$5:$U$1000,ROW(),$V$5:$V$1000,"Sub"),$X101)))</f>
        <v/>
      </c>
      <c r="N101" s="56">
        <f>IF($M101="","",IF($M101&gt;=1,"Completado",IF($M101&gt;0,"En curso","Pendiente")))</f>
        <v/>
      </c>
      <c r="O101" s="56">
        <f>IF(NOT((COUNTA($B101:$D101)+COUNTA($G101:$L101)+COUNTA($Q101))&gt;0),"",IF(ISNUMBER($G101),IF(AND(ISNUMBER($AN101),$G101&gt;$AN101),"Cumplida con "&amp;($G101-$AN101)&amp;IF($G101-$AN101=1," día"," días")&amp;" de retraso","Cumplida"),IF(N($M101)&gt;=1,"Cumplida",IF(NOT(ISNUMBER($AN101)),"Sin fecha límite",IF($AN101&lt;FechaRef,"Vencida hace "&amp;(FechaRef-$AN101)&amp;IF(FechaRef-$AN101=1," día"," días"),IF($AN101=FechaRef,"Vence hoy",IF($AN101-FechaRef&lt;=DiasAlerta,"Vence en "&amp;($AN101-FechaRef)&amp;IF($AN101-FechaRef=1," día"," días"),"En plazo")))))))</f>
        <v/>
      </c>
      <c r="P101" s="62" t="n"/>
      <c r="Q101" s="58" t="n"/>
      <c r="R101" s="63">
        <f>IF(NOT((COUNTA($B101:$D101)+COUNTA($G101:$L101)+COUNTA($Q101))&gt;0),"",IF((IF($C101="","Falta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",""))="","✔ OK","⚠ "&amp;LEFT(IF($C101="","Falta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",""),LEN(IF($C101="","Falta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",""))-3)))</f>
        <v/>
      </c>
      <c r="S101" s="64">
        <f>IF(NOT((COUNTA($B101:$D101)+COUNTA($G101:$L101)+COUNTA($Q101))&gt;0),"",IF(AND($V101="Sub",N($U101)&gt;0),IF(ISNUMBER(INDEX($AM$5:$AM$1000,$U101-4)),DATE(YEAR(INDEX($AM$5:$AM$1000,$U101-4)),MONTH(INDEX($AM$5:$AM$1000,$U101-4)),1),IF(ISNUMBER(INDEX($AN$5:$AN$1000,$U101-4)),DATE(YEAR(INDEX($AN$5:$AN$1000,$U101-4)),MONTH(INDEX($AN$5:$AN$1000,$U101-4)),1),MesCiclo)),IF(ISNUMBER($AM101),DATE(YEAR($AM101),MONTH($AM101),1),IF(ISNUMBER($AN101),DATE(YEAR($AN101),MONTH($AN101),1),MesCiclo))))</f>
        <v/>
      </c>
      <c r="T101" s="62">
        <f>IF(OR($S101="",$S101&lt;&gt;MesCiclo),"",COUNTIF($S$5:$S101,MesCiclo))</f>
        <v/>
      </c>
      <c r="U101" s="62">
        <f>IF($V101="","",IF($V101="Macro",ROW(),IFERROR(LOOKUP(2,1/($V$5:$V101="Macro"),ROW($V$5:$V101)),0)))</f>
        <v/>
      </c>
      <c r="V101" s="62">
        <f>IF(NOT((COUNTA($B101:$D101)+COUNTA($G101:$L101)+COUNTA($Q101))&gt;0),"",IF($B101="Subactividad","Sub","Macro"))</f>
        <v/>
      </c>
      <c r="W101" s="62">
        <f>IF($V101="Macro",COUNTIFS($U$5:$U$1000,ROW(),$V$5:$V$1000,"Sub"),"")</f>
        <v/>
      </c>
      <c r="X101" s="62">
        <f>IF($V101="","",IF(ISNUMBER($G101),1,IFERROR(LOOKUP(2,1/($I101:$L101&lt;&gt;""),$I101:$L101),0)))</f>
        <v/>
      </c>
      <c r="Y101" s="62">
        <f>IF($V101="","",IF(AND(ISNUMBER($G101),$G101&lt;=IF($S101=MesCiclo,InicioCiclo,$S101+MOD(2-WEEKDAY($S101),7))+6),1,IF(ISNUMBER($I101),$I101,0)))</f>
        <v/>
      </c>
      <c r="Z101" s="62">
        <f>IF($V101="","",IF(AND(ISNUMBER($G101),$G101&lt;=IF($S101=MesCiclo,InicioCiclo,$S101+MOD(2-WEEKDAY($S101),7))+13),1,IF(ISNUMBER($J101),$J101,$Y101)))</f>
        <v/>
      </c>
      <c r="AA101" s="62">
        <f>IF($V101="","",IF(AND(ISNUMBER($G101),$G101&lt;=IF($S101=MesCiclo,InicioCiclo,$S101+MOD(2-WEEKDAY($S101),7))+20),1,IF(ISNUMBER($K101),$K101,$Z101)))</f>
        <v/>
      </c>
      <c r="AB101" s="62">
        <f>IF($V101="","",IF(AND(ISNUMBER($G101),$G101&lt;=IF($S101=MesCiclo,InicioCiclo,$S101+MOD(2-WEEKDAY($S101),7))+27),1,IF(ISNUMBER($L101),$L101,$AA101)))</f>
        <v/>
      </c>
      <c r="AC101" s="62">
        <f>IF($V101="","",IF(AND(ISNUMBER($G101),$G101&lt;=IF($S101=MesCiclo,InicioCiclo,$S101+MOD(2-WEEKDAY($S101),7))+6),1,IF(N($W101)&gt;0,AVERAGEIFS($Y$5:$Y$1000,$U$5:$U$1000,ROW(),$V$5:$V$1000,"Sub"),$Y101)))</f>
        <v/>
      </c>
      <c r="AD101" s="62">
        <f>IF($V101="","",IF(AND(ISNUMBER($G101),$G101&lt;=IF($S101=MesCiclo,InicioCiclo,$S101+MOD(2-WEEKDAY($S101),7))+13),1,IF(N($W101)&gt;0,AVERAGEIFS($Z$5:$Z$1000,$U$5:$U$1000,ROW(),$V$5:$V$1000,"Sub"),$Z101)))</f>
        <v/>
      </c>
      <c r="AE101" s="62">
        <f>IF($V101="","",IF(AND(ISNUMBER($G101),$G101&lt;=IF($S101=MesCiclo,InicioCiclo,$S101+MOD(2-WEEKDAY($S101),7))+20),1,IF(N($W101)&gt;0,AVERAGEIFS($AA$5:$AA$1000,$U$5:$U$1000,ROW(),$V$5:$V$1000,"Sub"),$AA101)))</f>
        <v/>
      </c>
      <c r="AF101" s="62">
        <f>IF($V101="","",IF(AND(ISNUMBER($G101),$G101&lt;=IF($S101=MesCiclo,InicioCiclo,$S101+MOD(2-WEEKDAY($S101),7))+27),1,IF(N($W101)&gt;0,AVERAGEIFS($AB$5:$AB$1000,$U$5:$U$1000,ROW(),$V$5:$V$1000,"Sub"),$AB101)))</f>
        <v/>
      </c>
      <c r="AG101" s="62">
        <f>IF($V101&lt;&gt;"Macro","",IF(COUNTIFS($S$5:$S$1000,$S101,$V$5:$V$1000,"Macro",$H$5:$H$1000,"&gt;0")=0,1/COUNTIFS($S$5:$S$1000,$S101,$V$5:$V$1000,"Macro"),IF(AND(ISNUMBER($H101),N($H101)&gt;0),$H101,SUMIFS($H$5:$H$1000,$S$5:$S$1000,$S101,$V$5:$V$1000,"Macro")/COUNTIFS($S$5:$S$1000,$S101,$V$5:$V$1000,"Macro",$H$5:$H$1000,"&gt;0"))/(COUNTIFS($S$5:$S$1000,$S101,$V$5:$V$1000,"Macro")*SUMIFS($H$5:$H$1000,$S$5:$S$1000,$S101,$V$5:$V$1000,"Macro")/COUNTIFS($S$5:$S$1000,$S101,$V$5:$V$1000,"Macro",$H$5:$H$1000,"&gt;0"))))</f>
        <v/>
      </c>
      <c r="AH101" s="62" t="n"/>
      <c r="AI101" s="62" t="n"/>
      <c r="AJ101" s="62" t="n"/>
      <c r="AK101" s="62" t="n"/>
      <c r="AL101" s="62">
        <f>IF(LEFT($C101,11)="[Jefatura] ",IFERROR(MATCH("Riesgo Operacional|"&amp;MID($C101,12,500),rDname_ADM,0),0),"")</f>
        <v/>
      </c>
      <c r="AM101" s="62">
        <f>IF(N($AL101)&gt;0,INDEX(rIni_ADM,$AL101),IF(ISNUMBER($E101),$E101,""))</f>
        <v/>
      </c>
      <c r="AN101" s="62">
        <f>IF(N($AL101)&gt;0,INDEX(rLim_ADM,$AL101),IF(ISNUMBER($F101),$F101,""))</f>
        <v/>
      </c>
    </row>
    <row r="102">
      <c r="A102" s="56">
        <f>IF(NOT((COUNTA($B102:$D102)+COUNTA($G102:$L102)+COUNTA($Q102))&gt;0),"",IF($V102="Macro",COUNTIFS($V$5:$V102,"Macro",$S$5:$S102,$S102),IF(N($U102)=0,"?",COUNTIFS(INDEX($V$5:$V$1000,1):INDEX($V$5:$V$1000,$U102-4),"Macro",INDEX($S$5:$S$1000,1):INDEX($S$5:$S$1000,$U102-4),INDEX($S$5:$S$1000,$U102-4))&amp;"."&amp;COUNTIFS($U$5:$U102,$U102,$V$5:$V102,"Sub"))))</f>
        <v/>
      </c>
      <c r="B102" s="57" t="n"/>
      <c r="C102" s="58" t="n"/>
      <c r="D102" s="58" t="n"/>
      <c r="E102" s="59">
        <f>IF(N($AL102)&gt;0,INDEX(rIni_ADM,$AL102),"")</f>
        <v/>
      </c>
      <c r="F102" s="59">
        <f>IF(N($AL102)&gt;0,INDEX(rLim_ADM,$AL102),"")</f>
        <v/>
      </c>
      <c r="G102" s="59" t="n"/>
      <c r="H102" s="60" t="n"/>
      <c r="I102" s="60" t="n"/>
      <c r="J102" s="60" t="n"/>
      <c r="K102" s="60" t="n"/>
      <c r="L102" s="60" t="n"/>
      <c r="M102" s="61">
        <f>IF(NOT((COUNTA($B102:$D102)+COUNTA($G102:$L102)+COUNTA($Q102))&gt;0),"",IF(ISNUMBER($G102),1,IF(N($W102)&gt;0,AVERAGEIFS($X$5:$X$1000,$U$5:$U$1000,ROW(),$V$5:$V$1000,"Sub"),$X102)))</f>
        <v/>
      </c>
      <c r="N102" s="56">
        <f>IF($M102="","",IF($M102&gt;=1,"Completado",IF($M102&gt;0,"En curso","Pendiente")))</f>
        <v/>
      </c>
      <c r="O102" s="56">
        <f>IF(NOT((COUNTA($B102:$D102)+COUNTA($G102:$L102)+COUNTA($Q102))&gt;0),"",IF(ISNUMBER($G102),IF(AND(ISNUMBER($AN102),$G102&gt;$AN102),"Cumplida con "&amp;($G102-$AN102)&amp;IF($G102-$AN102=1," día"," días")&amp;" de retraso","Cumplida"),IF(N($M102)&gt;=1,"Cumplida",IF(NOT(ISNUMBER($AN102)),"Sin fecha límite",IF($AN102&lt;FechaRef,"Vencida hace "&amp;(FechaRef-$AN102)&amp;IF(FechaRef-$AN102=1," día"," días"),IF($AN102=FechaRef,"Vence hoy",IF($AN102-FechaRef&lt;=DiasAlerta,"Vence en "&amp;($AN102-FechaRef)&amp;IF($AN102-FechaRef=1," día"," días"),"En plazo")))))))</f>
        <v/>
      </c>
      <c r="P102" s="62" t="n"/>
      <c r="Q102" s="58" t="n"/>
      <c r="R102" s="63">
        <f>IF(NOT((COUNTA($B102:$D102)+COUNTA($G102:$L102)+COUNTA($Q102))&gt;0),"",IF((IF($C102="","Falta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",""))="","✔ OK","⚠ "&amp;LEFT(IF($C102="","Falta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",""),LEN(IF($C102="","Falta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",""))-3)))</f>
        <v/>
      </c>
      <c r="S102" s="64">
        <f>IF(NOT((COUNTA($B102:$D102)+COUNTA($G102:$L102)+COUNTA($Q102))&gt;0),"",IF(AND($V102="Sub",N($U102)&gt;0),IF(ISNUMBER(INDEX($AM$5:$AM$1000,$U102-4)),DATE(YEAR(INDEX($AM$5:$AM$1000,$U102-4)),MONTH(INDEX($AM$5:$AM$1000,$U102-4)),1),IF(ISNUMBER(INDEX($AN$5:$AN$1000,$U102-4)),DATE(YEAR(INDEX($AN$5:$AN$1000,$U102-4)),MONTH(INDEX($AN$5:$AN$1000,$U102-4)),1),MesCiclo)),IF(ISNUMBER($AM102),DATE(YEAR($AM102),MONTH($AM102),1),IF(ISNUMBER($AN102),DATE(YEAR($AN102),MONTH($AN102),1),MesCiclo))))</f>
        <v/>
      </c>
      <c r="T102" s="62">
        <f>IF(OR($S102="",$S102&lt;&gt;MesCiclo),"",COUNTIF($S$5:$S102,MesCiclo))</f>
        <v/>
      </c>
      <c r="U102" s="62">
        <f>IF($V102="","",IF($V102="Macro",ROW(),IFERROR(LOOKUP(2,1/($V$5:$V102="Macro"),ROW($V$5:$V102)),0)))</f>
        <v/>
      </c>
      <c r="V102" s="62">
        <f>IF(NOT((COUNTA($B102:$D102)+COUNTA($G102:$L102)+COUNTA($Q102))&gt;0),"",IF($B102="Subactividad","Sub","Macro"))</f>
        <v/>
      </c>
      <c r="W102" s="62">
        <f>IF($V102="Macro",COUNTIFS($U$5:$U$1000,ROW(),$V$5:$V$1000,"Sub"),"")</f>
        <v/>
      </c>
      <c r="X102" s="62">
        <f>IF($V102="","",IF(ISNUMBER($G102),1,IFERROR(LOOKUP(2,1/($I102:$L102&lt;&gt;""),$I102:$L102),0)))</f>
        <v/>
      </c>
      <c r="Y102" s="62">
        <f>IF($V102="","",IF(AND(ISNUMBER($G102),$G102&lt;=IF($S102=MesCiclo,InicioCiclo,$S102+MOD(2-WEEKDAY($S102),7))+6),1,IF(ISNUMBER($I102),$I102,0)))</f>
        <v/>
      </c>
      <c r="Z102" s="62">
        <f>IF($V102="","",IF(AND(ISNUMBER($G102),$G102&lt;=IF($S102=MesCiclo,InicioCiclo,$S102+MOD(2-WEEKDAY($S102),7))+13),1,IF(ISNUMBER($J102),$J102,$Y102)))</f>
        <v/>
      </c>
      <c r="AA102" s="62">
        <f>IF($V102="","",IF(AND(ISNUMBER($G102),$G102&lt;=IF($S102=MesCiclo,InicioCiclo,$S102+MOD(2-WEEKDAY($S102),7))+20),1,IF(ISNUMBER($K102),$K102,$Z102)))</f>
        <v/>
      </c>
      <c r="AB102" s="62">
        <f>IF($V102="","",IF(AND(ISNUMBER($G102),$G102&lt;=IF($S102=MesCiclo,InicioCiclo,$S102+MOD(2-WEEKDAY($S102),7))+27),1,IF(ISNUMBER($L102),$L102,$AA102)))</f>
        <v/>
      </c>
      <c r="AC102" s="62">
        <f>IF($V102="","",IF(AND(ISNUMBER($G102),$G102&lt;=IF($S102=MesCiclo,InicioCiclo,$S102+MOD(2-WEEKDAY($S102),7))+6),1,IF(N($W102)&gt;0,AVERAGEIFS($Y$5:$Y$1000,$U$5:$U$1000,ROW(),$V$5:$V$1000,"Sub"),$Y102)))</f>
        <v/>
      </c>
      <c r="AD102" s="62">
        <f>IF($V102="","",IF(AND(ISNUMBER($G102),$G102&lt;=IF($S102=MesCiclo,InicioCiclo,$S102+MOD(2-WEEKDAY($S102),7))+13),1,IF(N($W102)&gt;0,AVERAGEIFS($Z$5:$Z$1000,$U$5:$U$1000,ROW(),$V$5:$V$1000,"Sub"),$Z102)))</f>
        <v/>
      </c>
      <c r="AE102" s="62">
        <f>IF($V102="","",IF(AND(ISNUMBER($G102),$G102&lt;=IF($S102=MesCiclo,InicioCiclo,$S102+MOD(2-WEEKDAY($S102),7))+20),1,IF(N($W102)&gt;0,AVERAGEIFS($AA$5:$AA$1000,$U$5:$U$1000,ROW(),$V$5:$V$1000,"Sub"),$AA102)))</f>
        <v/>
      </c>
      <c r="AF102" s="62">
        <f>IF($V102="","",IF(AND(ISNUMBER($G102),$G102&lt;=IF($S102=MesCiclo,InicioCiclo,$S102+MOD(2-WEEKDAY($S102),7))+27),1,IF(N($W102)&gt;0,AVERAGEIFS($AB$5:$AB$1000,$U$5:$U$1000,ROW(),$V$5:$V$1000,"Sub"),$AB102)))</f>
        <v/>
      </c>
      <c r="AG102" s="62">
        <f>IF($V102&lt;&gt;"Macro","",IF(COUNTIFS($S$5:$S$1000,$S102,$V$5:$V$1000,"Macro",$H$5:$H$1000,"&gt;0")=0,1/COUNTIFS($S$5:$S$1000,$S102,$V$5:$V$1000,"Macro"),IF(AND(ISNUMBER($H102),N($H102)&gt;0),$H102,SUMIFS($H$5:$H$1000,$S$5:$S$1000,$S102,$V$5:$V$1000,"Macro")/COUNTIFS($S$5:$S$1000,$S102,$V$5:$V$1000,"Macro",$H$5:$H$1000,"&gt;0"))/(COUNTIFS($S$5:$S$1000,$S102,$V$5:$V$1000,"Macro")*SUMIFS($H$5:$H$1000,$S$5:$S$1000,$S102,$V$5:$V$1000,"Macro")/COUNTIFS($S$5:$S$1000,$S102,$V$5:$V$1000,"Macro",$H$5:$H$1000,"&gt;0"))))</f>
        <v/>
      </c>
      <c r="AH102" s="62" t="n"/>
      <c r="AI102" s="62" t="n"/>
      <c r="AJ102" s="62" t="n"/>
      <c r="AK102" s="62" t="n"/>
      <c r="AL102" s="62">
        <f>IF(LEFT($C102,11)="[Jefatura] ",IFERROR(MATCH("Riesgo Operacional|"&amp;MID($C102,12,500),rDname_ADM,0),0),"")</f>
        <v/>
      </c>
      <c r="AM102" s="62">
        <f>IF(N($AL102)&gt;0,INDEX(rIni_ADM,$AL102),IF(ISNUMBER($E102),$E102,""))</f>
        <v/>
      </c>
      <c r="AN102" s="62">
        <f>IF(N($AL102)&gt;0,INDEX(rLim_ADM,$AL102),IF(ISNUMBER($F102),$F102,""))</f>
        <v/>
      </c>
    </row>
    <row r="103">
      <c r="A103" s="56">
        <f>IF(NOT((COUNTA($B103:$D103)+COUNTA($G103:$L103)+COUNTA($Q103))&gt;0),"",IF($V103="Macro",COUNTIFS($V$5:$V103,"Macro",$S$5:$S103,$S103),IF(N($U103)=0,"?",COUNTIFS(INDEX($V$5:$V$1000,1):INDEX($V$5:$V$1000,$U103-4),"Macro",INDEX($S$5:$S$1000,1):INDEX($S$5:$S$1000,$U103-4),INDEX($S$5:$S$1000,$U103-4))&amp;"."&amp;COUNTIFS($U$5:$U103,$U103,$V$5:$V103,"Sub"))))</f>
        <v/>
      </c>
      <c r="B103" s="57" t="n"/>
      <c r="C103" s="58" t="n"/>
      <c r="D103" s="58" t="n"/>
      <c r="E103" s="59">
        <f>IF(N($AL103)&gt;0,INDEX(rIni_ADM,$AL103),"")</f>
        <v/>
      </c>
      <c r="F103" s="59">
        <f>IF(N($AL103)&gt;0,INDEX(rLim_ADM,$AL103),"")</f>
        <v/>
      </c>
      <c r="G103" s="59" t="n"/>
      <c r="H103" s="60" t="n"/>
      <c r="I103" s="60" t="n"/>
      <c r="J103" s="60" t="n"/>
      <c r="K103" s="60" t="n"/>
      <c r="L103" s="60" t="n"/>
      <c r="M103" s="61">
        <f>IF(NOT((COUNTA($B103:$D103)+COUNTA($G103:$L103)+COUNTA($Q103))&gt;0),"",IF(ISNUMBER($G103),1,IF(N($W103)&gt;0,AVERAGEIFS($X$5:$X$1000,$U$5:$U$1000,ROW(),$V$5:$V$1000,"Sub"),$X103)))</f>
        <v/>
      </c>
      <c r="N103" s="56">
        <f>IF($M103="","",IF($M103&gt;=1,"Completado",IF($M103&gt;0,"En curso","Pendiente")))</f>
        <v/>
      </c>
      <c r="O103" s="56">
        <f>IF(NOT((COUNTA($B103:$D103)+COUNTA($G103:$L103)+COUNTA($Q103))&gt;0),"",IF(ISNUMBER($G103),IF(AND(ISNUMBER($AN103),$G103&gt;$AN103),"Cumplida con "&amp;($G103-$AN103)&amp;IF($G103-$AN103=1," día"," días")&amp;" de retraso","Cumplida"),IF(N($M103)&gt;=1,"Cumplida",IF(NOT(ISNUMBER($AN103)),"Sin fecha límite",IF($AN103&lt;FechaRef,"Vencida hace "&amp;(FechaRef-$AN103)&amp;IF(FechaRef-$AN103=1," día"," días"),IF($AN103=FechaRef,"Vence hoy",IF($AN103-FechaRef&lt;=DiasAlerta,"Vence en "&amp;($AN103-FechaRef)&amp;IF($AN103-FechaRef=1," día"," días"),"En plazo")))))))</f>
        <v/>
      </c>
      <c r="P103" s="62" t="n"/>
      <c r="Q103" s="58" t="n"/>
      <c r="R103" s="63">
        <f>IF(NOT((COUNTA($B103:$D103)+COUNTA($G103:$L103)+COUNTA($Q103))&gt;0),"",IF((IF($C103="","Falta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",""))="","✔ OK","⚠ "&amp;LEFT(IF($C103="","Falta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",""),LEN(IF($C103="","Falta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",""))-3)))</f>
        <v/>
      </c>
      <c r="S103" s="64">
        <f>IF(NOT((COUNTA($B103:$D103)+COUNTA($G103:$L103)+COUNTA($Q103))&gt;0),"",IF(AND($V103="Sub",N($U103)&gt;0),IF(ISNUMBER(INDEX($AM$5:$AM$1000,$U103-4)),DATE(YEAR(INDEX($AM$5:$AM$1000,$U103-4)),MONTH(INDEX($AM$5:$AM$1000,$U103-4)),1),IF(ISNUMBER(INDEX($AN$5:$AN$1000,$U103-4)),DATE(YEAR(INDEX($AN$5:$AN$1000,$U103-4)),MONTH(INDEX($AN$5:$AN$1000,$U103-4)),1),MesCiclo)),IF(ISNUMBER($AM103),DATE(YEAR($AM103),MONTH($AM103),1),IF(ISNUMBER($AN103),DATE(YEAR($AN103),MONTH($AN103),1),MesCiclo))))</f>
        <v/>
      </c>
      <c r="T103" s="62">
        <f>IF(OR($S103="",$S103&lt;&gt;MesCiclo),"",COUNTIF($S$5:$S103,MesCiclo))</f>
        <v/>
      </c>
      <c r="U103" s="62">
        <f>IF($V103="","",IF($V103="Macro",ROW(),IFERROR(LOOKUP(2,1/($V$5:$V103="Macro"),ROW($V$5:$V103)),0)))</f>
        <v/>
      </c>
      <c r="V103" s="62">
        <f>IF(NOT((COUNTA($B103:$D103)+COUNTA($G103:$L103)+COUNTA($Q103))&gt;0),"",IF($B103="Subactividad","Sub","Macro"))</f>
        <v/>
      </c>
      <c r="W103" s="62">
        <f>IF($V103="Macro",COUNTIFS($U$5:$U$1000,ROW(),$V$5:$V$1000,"Sub"),"")</f>
        <v/>
      </c>
      <c r="X103" s="62">
        <f>IF($V103="","",IF(ISNUMBER($G103),1,IFERROR(LOOKUP(2,1/($I103:$L103&lt;&gt;""),$I103:$L103),0)))</f>
        <v/>
      </c>
      <c r="Y103" s="62">
        <f>IF($V103="","",IF(AND(ISNUMBER($G103),$G103&lt;=IF($S103=MesCiclo,InicioCiclo,$S103+MOD(2-WEEKDAY($S103),7))+6),1,IF(ISNUMBER($I103),$I103,0)))</f>
        <v/>
      </c>
      <c r="Z103" s="62">
        <f>IF($V103="","",IF(AND(ISNUMBER($G103),$G103&lt;=IF($S103=MesCiclo,InicioCiclo,$S103+MOD(2-WEEKDAY($S103),7))+13),1,IF(ISNUMBER($J103),$J103,$Y103)))</f>
        <v/>
      </c>
      <c r="AA103" s="62">
        <f>IF($V103="","",IF(AND(ISNUMBER($G103),$G103&lt;=IF($S103=MesCiclo,InicioCiclo,$S103+MOD(2-WEEKDAY($S103),7))+20),1,IF(ISNUMBER($K103),$K103,$Z103)))</f>
        <v/>
      </c>
      <c r="AB103" s="62">
        <f>IF($V103="","",IF(AND(ISNUMBER($G103),$G103&lt;=IF($S103=MesCiclo,InicioCiclo,$S103+MOD(2-WEEKDAY($S103),7))+27),1,IF(ISNUMBER($L103),$L103,$AA103)))</f>
        <v/>
      </c>
      <c r="AC103" s="62">
        <f>IF($V103="","",IF(AND(ISNUMBER($G103),$G103&lt;=IF($S103=MesCiclo,InicioCiclo,$S103+MOD(2-WEEKDAY($S103),7))+6),1,IF(N($W103)&gt;0,AVERAGEIFS($Y$5:$Y$1000,$U$5:$U$1000,ROW(),$V$5:$V$1000,"Sub"),$Y103)))</f>
        <v/>
      </c>
      <c r="AD103" s="62">
        <f>IF($V103="","",IF(AND(ISNUMBER($G103),$G103&lt;=IF($S103=MesCiclo,InicioCiclo,$S103+MOD(2-WEEKDAY($S103),7))+13),1,IF(N($W103)&gt;0,AVERAGEIFS($Z$5:$Z$1000,$U$5:$U$1000,ROW(),$V$5:$V$1000,"Sub"),$Z103)))</f>
        <v/>
      </c>
      <c r="AE103" s="62">
        <f>IF($V103="","",IF(AND(ISNUMBER($G103),$G103&lt;=IF($S103=MesCiclo,InicioCiclo,$S103+MOD(2-WEEKDAY($S103),7))+20),1,IF(N($W103)&gt;0,AVERAGEIFS($AA$5:$AA$1000,$U$5:$U$1000,ROW(),$V$5:$V$1000,"Sub"),$AA103)))</f>
        <v/>
      </c>
      <c r="AF103" s="62">
        <f>IF($V103="","",IF(AND(ISNUMBER($G103),$G103&lt;=IF($S103=MesCiclo,InicioCiclo,$S103+MOD(2-WEEKDAY($S103),7))+27),1,IF(N($W103)&gt;0,AVERAGEIFS($AB$5:$AB$1000,$U$5:$U$1000,ROW(),$V$5:$V$1000,"Sub"),$AB103)))</f>
        <v/>
      </c>
      <c r="AG103" s="62">
        <f>IF($V103&lt;&gt;"Macro","",IF(COUNTIFS($S$5:$S$1000,$S103,$V$5:$V$1000,"Macro",$H$5:$H$1000,"&gt;0")=0,1/COUNTIFS($S$5:$S$1000,$S103,$V$5:$V$1000,"Macro"),IF(AND(ISNUMBER($H103),N($H103)&gt;0),$H103,SUMIFS($H$5:$H$1000,$S$5:$S$1000,$S103,$V$5:$V$1000,"Macro")/COUNTIFS($S$5:$S$1000,$S103,$V$5:$V$1000,"Macro",$H$5:$H$1000,"&gt;0"))/(COUNTIFS($S$5:$S$1000,$S103,$V$5:$V$1000,"Macro")*SUMIFS($H$5:$H$1000,$S$5:$S$1000,$S103,$V$5:$V$1000,"Macro")/COUNTIFS($S$5:$S$1000,$S103,$V$5:$V$1000,"Macro",$H$5:$H$1000,"&gt;0"))))</f>
        <v/>
      </c>
      <c r="AH103" s="62" t="n"/>
      <c r="AI103" s="62" t="n"/>
      <c r="AJ103" s="62" t="n"/>
      <c r="AK103" s="62" t="n"/>
      <c r="AL103" s="62">
        <f>IF(LEFT($C103,11)="[Jefatura] ",IFERROR(MATCH("Riesgo Operacional|"&amp;MID($C103,12,500),rDname_ADM,0),0),"")</f>
        <v/>
      </c>
      <c r="AM103" s="62">
        <f>IF(N($AL103)&gt;0,INDEX(rIni_ADM,$AL103),IF(ISNUMBER($E103),$E103,""))</f>
        <v/>
      </c>
      <c r="AN103" s="62">
        <f>IF(N($AL103)&gt;0,INDEX(rLim_ADM,$AL103),IF(ISNUMBER($F103),$F103,""))</f>
        <v/>
      </c>
    </row>
    <row r="104">
      <c r="A104" s="56">
        <f>IF(NOT((COUNTA($B104:$D104)+COUNTA($G104:$L104)+COUNTA($Q104))&gt;0),"",IF($V104="Macro",COUNTIFS($V$5:$V104,"Macro",$S$5:$S104,$S104),IF(N($U104)=0,"?",COUNTIFS(INDEX($V$5:$V$1000,1):INDEX($V$5:$V$1000,$U104-4),"Macro",INDEX($S$5:$S$1000,1):INDEX($S$5:$S$1000,$U104-4),INDEX($S$5:$S$1000,$U104-4))&amp;"."&amp;COUNTIFS($U$5:$U104,$U104,$V$5:$V104,"Sub"))))</f>
        <v/>
      </c>
      <c r="B104" s="57" t="n"/>
      <c r="C104" s="58" t="n"/>
      <c r="D104" s="58" t="n"/>
      <c r="E104" s="59">
        <f>IF(N($AL104)&gt;0,INDEX(rIni_ADM,$AL104),"")</f>
        <v/>
      </c>
      <c r="F104" s="59">
        <f>IF(N($AL104)&gt;0,INDEX(rLim_ADM,$AL104),"")</f>
        <v/>
      </c>
      <c r="G104" s="59" t="n"/>
      <c r="H104" s="60" t="n"/>
      <c r="I104" s="60" t="n"/>
      <c r="J104" s="60" t="n"/>
      <c r="K104" s="60" t="n"/>
      <c r="L104" s="60" t="n"/>
      <c r="M104" s="61">
        <f>IF(NOT((COUNTA($B104:$D104)+COUNTA($G104:$L104)+COUNTA($Q104))&gt;0),"",IF(ISNUMBER($G104),1,IF(N($W104)&gt;0,AVERAGEIFS($X$5:$X$1000,$U$5:$U$1000,ROW(),$V$5:$V$1000,"Sub"),$X104)))</f>
        <v/>
      </c>
      <c r="N104" s="56">
        <f>IF($M104="","",IF($M104&gt;=1,"Completado",IF($M104&gt;0,"En curso","Pendiente")))</f>
        <v/>
      </c>
      <c r="O104" s="56">
        <f>IF(NOT((COUNTA($B104:$D104)+COUNTA($G104:$L104)+COUNTA($Q104))&gt;0),"",IF(ISNUMBER($G104),IF(AND(ISNUMBER($AN104),$G104&gt;$AN104),"Cumplida con "&amp;($G104-$AN104)&amp;IF($G104-$AN104=1," día"," días")&amp;" de retraso","Cumplida"),IF(N($M104)&gt;=1,"Cumplida",IF(NOT(ISNUMBER($AN104)),"Sin fecha límite",IF($AN104&lt;FechaRef,"Vencida hace "&amp;(FechaRef-$AN104)&amp;IF(FechaRef-$AN104=1," día"," días"),IF($AN104=FechaRef,"Vence hoy",IF($AN104-FechaRef&lt;=DiasAlerta,"Vence en "&amp;($AN104-FechaRef)&amp;IF($AN104-FechaRef=1," día"," días"),"En plazo")))))))</f>
        <v/>
      </c>
      <c r="P104" s="62" t="n"/>
      <c r="Q104" s="58" t="n"/>
      <c r="R104" s="63">
        <f>IF(NOT((COUNTA($B104:$D104)+COUNTA($G104:$L104)+COUNTA($Q104))&gt;0),"",IF((IF($C104="","Falta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",""))="","✔ OK","⚠ "&amp;LEFT(IF($C104="","Falta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",""),LEN(IF($C104="","Falta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",""))-3)))</f>
        <v/>
      </c>
      <c r="S104" s="64">
        <f>IF(NOT((COUNTA($B104:$D104)+COUNTA($G104:$L104)+COUNTA($Q104))&gt;0),"",IF(AND($V104="Sub",N($U104)&gt;0),IF(ISNUMBER(INDEX($AM$5:$AM$1000,$U104-4)),DATE(YEAR(INDEX($AM$5:$AM$1000,$U104-4)),MONTH(INDEX($AM$5:$AM$1000,$U104-4)),1),IF(ISNUMBER(INDEX($AN$5:$AN$1000,$U104-4)),DATE(YEAR(INDEX($AN$5:$AN$1000,$U104-4)),MONTH(INDEX($AN$5:$AN$1000,$U104-4)),1),MesCiclo)),IF(ISNUMBER($AM104),DATE(YEAR($AM104),MONTH($AM104),1),IF(ISNUMBER($AN104),DATE(YEAR($AN104),MONTH($AN104),1),MesCiclo))))</f>
        <v/>
      </c>
      <c r="T104" s="62">
        <f>IF(OR($S104="",$S104&lt;&gt;MesCiclo),"",COUNTIF($S$5:$S104,MesCiclo))</f>
        <v/>
      </c>
      <c r="U104" s="62">
        <f>IF($V104="","",IF($V104="Macro",ROW(),IFERROR(LOOKUP(2,1/($V$5:$V104="Macro"),ROW($V$5:$V104)),0)))</f>
        <v/>
      </c>
      <c r="V104" s="62">
        <f>IF(NOT((COUNTA($B104:$D104)+COUNTA($G104:$L104)+COUNTA($Q104))&gt;0),"",IF($B104="Subactividad","Sub","Macro"))</f>
        <v/>
      </c>
      <c r="W104" s="62">
        <f>IF($V104="Macro",COUNTIFS($U$5:$U$1000,ROW(),$V$5:$V$1000,"Sub"),"")</f>
        <v/>
      </c>
      <c r="X104" s="62">
        <f>IF($V104="","",IF(ISNUMBER($G104),1,IFERROR(LOOKUP(2,1/($I104:$L104&lt;&gt;""),$I104:$L104),0)))</f>
        <v/>
      </c>
      <c r="Y104" s="62">
        <f>IF($V104="","",IF(AND(ISNUMBER($G104),$G104&lt;=IF($S104=MesCiclo,InicioCiclo,$S104+MOD(2-WEEKDAY($S104),7))+6),1,IF(ISNUMBER($I104),$I104,0)))</f>
        <v/>
      </c>
      <c r="Z104" s="62">
        <f>IF($V104="","",IF(AND(ISNUMBER($G104),$G104&lt;=IF($S104=MesCiclo,InicioCiclo,$S104+MOD(2-WEEKDAY($S104),7))+13),1,IF(ISNUMBER($J104),$J104,$Y104)))</f>
        <v/>
      </c>
      <c r="AA104" s="62">
        <f>IF($V104="","",IF(AND(ISNUMBER($G104),$G104&lt;=IF($S104=MesCiclo,InicioCiclo,$S104+MOD(2-WEEKDAY($S104),7))+20),1,IF(ISNUMBER($K104),$K104,$Z104)))</f>
        <v/>
      </c>
      <c r="AB104" s="62">
        <f>IF($V104="","",IF(AND(ISNUMBER($G104),$G104&lt;=IF($S104=MesCiclo,InicioCiclo,$S104+MOD(2-WEEKDAY($S104),7))+27),1,IF(ISNUMBER($L104),$L104,$AA104)))</f>
        <v/>
      </c>
      <c r="AC104" s="62">
        <f>IF($V104="","",IF(AND(ISNUMBER($G104),$G104&lt;=IF($S104=MesCiclo,InicioCiclo,$S104+MOD(2-WEEKDAY($S104),7))+6),1,IF(N($W104)&gt;0,AVERAGEIFS($Y$5:$Y$1000,$U$5:$U$1000,ROW(),$V$5:$V$1000,"Sub"),$Y104)))</f>
        <v/>
      </c>
      <c r="AD104" s="62">
        <f>IF($V104="","",IF(AND(ISNUMBER($G104),$G104&lt;=IF($S104=MesCiclo,InicioCiclo,$S104+MOD(2-WEEKDAY($S104),7))+13),1,IF(N($W104)&gt;0,AVERAGEIFS($Z$5:$Z$1000,$U$5:$U$1000,ROW(),$V$5:$V$1000,"Sub"),$Z104)))</f>
        <v/>
      </c>
      <c r="AE104" s="62">
        <f>IF($V104="","",IF(AND(ISNUMBER($G104),$G104&lt;=IF($S104=MesCiclo,InicioCiclo,$S104+MOD(2-WEEKDAY($S104),7))+20),1,IF(N($W104)&gt;0,AVERAGEIFS($AA$5:$AA$1000,$U$5:$U$1000,ROW(),$V$5:$V$1000,"Sub"),$AA104)))</f>
        <v/>
      </c>
      <c r="AF104" s="62">
        <f>IF($V104="","",IF(AND(ISNUMBER($G104),$G104&lt;=IF($S104=MesCiclo,InicioCiclo,$S104+MOD(2-WEEKDAY($S104),7))+27),1,IF(N($W104)&gt;0,AVERAGEIFS($AB$5:$AB$1000,$U$5:$U$1000,ROW(),$V$5:$V$1000,"Sub"),$AB104)))</f>
        <v/>
      </c>
      <c r="AG104" s="62">
        <f>IF($V104&lt;&gt;"Macro","",IF(COUNTIFS($S$5:$S$1000,$S104,$V$5:$V$1000,"Macro",$H$5:$H$1000,"&gt;0")=0,1/COUNTIFS($S$5:$S$1000,$S104,$V$5:$V$1000,"Macro"),IF(AND(ISNUMBER($H104),N($H104)&gt;0),$H104,SUMIFS($H$5:$H$1000,$S$5:$S$1000,$S104,$V$5:$V$1000,"Macro")/COUNTIFS($S$5:$S$1000,$S104,$V$5:$V$1000,"Macro",$H$5:$H$1000,"&gt;0"))/(COUNTIFS($S$5:$S$1000,$S104,$V$5:$V$1000,"Macro")*SUMIFS($H$5:$H$1000,$S$5:$S$1000,$S104,$V$5:$V$1000,"Macro")/COUNTIFS($S$5:$S$1000,$S104,$V$5:$V$1000,"Macro",$H$5:$H$1000,"&gt;0"))))</f>
        <v/>
      </c>
      <c r="AH104" s="62" t="n"/>
      <c r="AI104" s="62" t="n"/>
      <c r="AJ104" s="62" t="n"/>
      <c r="AK104" s="62" t="n"/>
      <c r="AL104" s="62">
        <f>IF(LEFT($C104,11)="[Jefatura] ",IFERROR(MATCH("Riesgo Operacional|"&amp;MID($C104,12,500),rDname_ADM,0),0),"")</f>
        <v/>
      </c>
      <c r="AM104" s="62">
        <f>IF(N($AL104)&gt;0,INDEX(rIni_ADM,$AL104),IF(ISNUMBER($E104),$E104,""))</f>
        <v/>
      </c>
      <c r="AN104" s="62">
        <f>IF(N($AL104)&gt;0,INDEX(rLim_ADM,$AL104),IF(ISNUMBER($F104),$F104,""))</f>
        <v/>
      </c>
    </row>
    <row r="105">
      <c r="A105" s="56">
        <f>IF(NOT((COUNTA($B105:$D105)+COUNTA($G105:$L105)+COUNTA($Q105))&gt;0),"",IF($V105="Macro",COUNTIFS($V$5:$V105,"Macro",$S$5:$S105,$S105),IF(N($U105)=0,"?",COUNTIFS(INDEX($V$5:$V$1000,1):INDEX($V$5:$V$1000,$U105-4),"Macro",INDEX($S$5:$S$1000,1):INDEX($S$5:$S$1000,$U105-4),INDEX($S$5:$S$1000,$U105-4))&amp;"."&amp;COUNTIFS($U$5:$U105,$U105,$V$5:$V105,"Sub"))))</f>
        <v/>
      </c>
      <c r="B105" s="57" t="n"/>
      <c r="C105" s="58" t="n"/>
      <c r="D105" s="58" t="n"/>
      <c r="E105" s="59">
        <f>IF(N($AL105)&gt;0,INDEX(rIni_ADM,$AL105),"")</f>
        <v/>
      </c>
      <c r="F105" s="59">
        <f>IF(N($AL105)&gt;0,INDEX(rLim_ADM,$AL105),"")</f>
        <v/>
      </c>
      <c r="G105" s="59" t="n"/>
      <c r="H105" s="60" t="n"/>
      <c r="I105" s="60" t="n"/>
      <c r="J105" s="60" t="n"/>
      <c r="K105" s="60" t="n"/>
      <c r="L105" s="60" t="n"/>
      <c r="M105" s="61">
        <f>IF(NOT((COUNTA($B105:$D105)+COUNTA($G105:$L105)+COUNTA($Q105))&gt;0),"",IF(ISNUMBER($G105),1,IF(N($W105)&gt;0,AVERAGEIFS($X$5:$X$1000,$U$5:$U$1000,ROW(),$V$5:$V$1000,"Sub"),$X105)))</f>
        <v/>
      </c>
      <c r="N105" s="56">
        <f>IF($M105="","",IF($M105&gt;=1,"Completado",IF($M105&gt;0,"En curso","Pendiente")))</f>
        <v/>
      </c>
      <c r="O105" s="56">
        <f>IF(NOT((COUNTA($B105:$D105)+COUNTA($G105:$L105)+COUNTA($Q105))&gt;0),"",IF(ISNUMBER($G105),IF(AND(ISNUMBER($AN105),$G105&gt;$AN105),"Cumplida con "&amp;($G105-$AN105)&amp;IF($G105-$AN105=1," día"," días")&amp;" de retraso","Cumplida"),IF(N($M105)&gt;=1,"Cumplida",IF(NOT(ISNUMBER($AN105)),"Sin fecha límite",IF($AN105&lt;FechaRef,"Vencida hace "&amp;(FechaRef-$AN105)&amp;IF(FechaRef-$AN105=1," día"," días"),IF($AN105=FechaRef,"Vence hoy",IF($AN105-FechaRef&lt;=DiasAlerta,"Vence en "&amp;($AN105-FechaRef)&amp;IF($AN105-FechaRef=1," día"," días"),"En plazo")))))))</f>
        <v/>
      </c>
      <c r="P105" s="62" t="n"/>
      <c r="Q105" s="58" t="n"/>
      <c r="R105" s="63">
        <f>IF(NOT((COUNTA($B105:$D105)+COUNTA($G105:$L105)+COUNTA($Q105))&gt;0),"",IF((IF($C105="","Falta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",""))="","✔ OK","⚠ "&amp;LEFT(IF($C105="","Falta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",""),LEN(IF($C105="","Falta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",""))-3)))</f>
        <v/>
      </c>
      <c r="S105" s="64">
        <f>IF(NOT((COUNTA($B105:$D105)+COUNTA($G105:$L105)+COUNTA($Q105))&gt;0),"",IF(AND($V105="Sub",N($U105)&gt;0),IF(ISNUMBER(INDEX($AM$5:$AM$1000,$U105-4)),DATE(YEAR(INDEX($AM$5:$AM$1000,$U105-4)),MONTH(INDEX($AM$5:$AM$1000,$U105-4)),1),IF(ISNUMBER(INDEX($AN$5:$AN$1000,$U105-4)),DATE(YEAR(INDEX($AN$5:$AN$1000,$U105-4)),MONTH(INDEX($AN$5:$AN$1000,$U105-4)),1),MesCiclo)),IF(ISNUMBER($AM105),DATE(YEAR($AM105),MONTH($AM105),1),IF(ISNUMBER($AN105),DATE(YEAR($AN105),MONTH($AN105),1),MesCiclo))))</f>
        <v/>
      </c>
      <c r="T105" s="62">
        <f>IF(OR($S105="",$S105&lt;&gt;MesCiclo),"",COUNTIF($S$5:$S105,MesCiclo))</f>
        <v/>
      </c>
      <c r="U105" s="62">
        <f>IF($V105="","",IF($V105="Macro",ROW(),IFERROR(LOOKUP(2,1/($V$5:$V105="Macro"),ROW($V$5:$V105)),0)))</f>
        <v/>
      </c>
      <c r="V105" s="62">
        <f>IF(NOT((COUNTA($B105:$D105)+COUNTA($G105:$L105)+COUNTA($Q105))&gt;0),"",IF($B105="Subactividad","Sub","Macro"))</f>
        <v/>
      </c>
      <c r="W105" s="62">
        <f>IF($V105="Macro",COUNTIFS($U$5:$U$1000,ROW(),$V$5:$V$1000,"Sub"),"")</f>
        <v/>
      </c>
      <c r="X105" s="62">
        <f>IF($V105="","",IF(ISNUMBER($G105),1,IFERROR(LOOKUP(2,1/($I105:$L105&lt;&gt;""),$I105:$L105),0)))</f>
        <v/>
      </c>
      <c r="Y105" s="62">
        <f>IF($V105="","",IF(AND(ISNUMBER($G105),$G105&lt;=IF($S105=MesCiclo,InicioCiclo,$S105+MOD(2-WEEKDAY($S105),7))+6),1,IF(ISNUMBER($I105),$I105,0)))</f>
        <v/>
      </c>
      <c r="Z105" s="62">
        <f>IF($V105="","",IF(AND(ISNUMBER($G105),$G105&lt;=IF($S105=MesCiclo,InicioCiclo,$S105+MOD(2-WEEKDAY($S105),7))+13),1,IF(ISNUMBER($J105),$J105,$Y105)))</f>
        <v/>
      </c>
      <c r="AA105" s="62">
        <f>IF($V105="","",IF(AND(ISNUMBER($G105),$G105&lt;=IF($S105=MesCiclo,InicioCiclo,$S105+MOD(2-WEEKDAY($S105),7))+20),1,IF(ISNUMBER($K105),$K105,$Z105)))</f>
        <v/>
      </c>
      <c r="AB105" s="62">
        <f>IF($V105="","",IF(AND(ISNUMBER($G105),$G105&lt;=IF($S105=MesCiclo,InicioCiclo,$S105+MOD(2-WEEKDAY($S105),7))+27),1,IF(ISNUMBER($L105),$L105,$AA105)))</f>
        <v/>
      </c>
      <c r="AC105" s="62">
        <f>IF($V105="","",IF(AND(ISNUMBER($G105),$G105&lt;=IF($S105=MesCiclo,InicioCiclo,$S105+MOD(2-WEEKDAY($S105),7))+6),1,IF(N($W105)&gt;0,AVERAGEIFS($Y$5:$Y$1000,$U$5:$U$1000,ROW(),$V$5:$V$1000,"Sub"),$Y105)))</f>
        <v/>
      </c>
      <c r="AD105" s="62">
        <f>IF($V105="","",IF(AND(ISNUMBER($G105),$G105&lt;=IF($S105=MesCiclo,InicioCiclo,$S105+MOD(2-WEEKDAY($S105),7))+13),1,IF(N($W105)&gt;0,AVERAGEIFS($Z$5:$Z$1000,$U$5:$U$1000,ROW(),$V$5:$V$1000,"Sub"),$Z105)))</f>
        <v/>
      </c>
      <c r="AE105" s="62">
        <f>IF($V105="","",IF(AND(ISNUMBER($G105),$G105&lt;=IF($S105=MesCiclo,InicioCiclo,$S105+MOD(2-WEEKDAY($S105),7))+20),1,IF(N($W105)&gt;0,AVERAGEIFS($AA$5:$AA$1000,$U$5:$U$1000,ROW(),$V$5:$V$1000,"Sub"),$AA105)))</f>
        <v/>
      </c>
      <c r="AF105" s="62">
        <f>IF($V105="","",IF(AND(ISNUMBER($G105),$G105&lt;=IF($S105=MesCiclo,InicioCiclo,$S105+MOD(2-WEEKDAY($S105),7))+27),1,IF(N($W105)&gt;0,AVERAGEIFS($AB$5:$AB$1000,$U$5:$U$1000,ROW(),$V$5:$V$1000,"Sub"),$AB105)))</f>
        <v/>
      </c>
      <c r="AG105" s="62">
        <f>IF($V105&lt;&gt;"Macro","",IF(COUNTIFS($S$5:$S$1000,$S105,$V$5:$V$1000,"Macro",$H$5:$H$1000,"&gt;0")=0,1/COUNTIFS($S$5:$S$1000,$S105,$V$5:$V$1000,"Macro"),IF(AND(ISNUMBER($H105),N($H105)&gt;0),$H105,SUMIFS($H$5:$H$1000,$S$5:$S$1000,$S105,$V$5:$V$1000,"Macro")/COUNTIFS($S$5:$S$1000,$S105,$V$5:$V$1000,"Macro",$H$5:$H$1000,"&gt;0"))/(COUNTIFS($S$5:$S$1000,$S105,$V$5:$V$1000,"Macro")*SUMIFS($H$5:$H$1000,$S$5:$S$1000,$S105,$V$5:$V$1000,"Macro")/COUNTIFS($S$5:$S$1000,$S105,$V$5:$V$1000,"Macro",$H$5:$H$1000,"&gt;0"))))</f>
        <v/>
      </c>
      <c r="AH105" s="62" t="n"/>
      <c r="AI105" s="62" t="n"/>
      <c r="AJ105" s="62" t="n"/>
      <c r="AK105" s="62" t="n"/>
      <c r="AL105" s="62">
        <f>IF(LEFT($C105,11)="[Jefatura] ",IFERROR(MATCH("Riesgo Operacional|"&amp;MID($C105,12,500),rDname_ADM,0),0),"")</f>
        <v/>
      </c>
      <c r="AM105" s="62">
        <f>IF(N($AL105)&gt;0,INDEX(rIni_ADM,$AL105),IF(ISNUMBER($E105),$E105,""))</f>
        <v/>
      </c>
      <c r="AN105" s="62">
        <f>IF(N($AL105)&gt;0,INDEX(rLim_ADM,$AL105),IF(ISNUMBER($F105),$F105,""))</f>
        <v/>
      </c>
    </row>
    <row r="106">
      <c r="A106" s="56">
        <f>IF(NOT((COUNTA($B106:$D106)+COUNTA($G106:$L106)+COUNTA($Q106))&gt;0),"",IF($V106="Macro",COUNTIFS($V$5:$V106,"Macro",$S$5:$S106,$S106),IF(N($U106)=0,"?",COUNTIFS(INDEX($V$5:$V$1000,1):INDEX($V$5:$V$1000,$U106-4),"Macro",INDEX($S$5:$S$1000,1):INDEX($S$5:$S$1000,$U106-4),INDEX($S$5:$S$1000,$U106-4))&amp;"."&amp;COUNTIFS($U$5:$U106,$U106,$V$5:$V106,"Sub"))))</f>
        <v/>
      </c>
      <c r="B106" s="57" t="n"/>
      <c r="C106" s="58" t="n"/>
      <c r="D106" s="58" t="n"/>
      <c r="E106" s="59">
        <f>IF(N($AL106)&gt;0,INDEX(rIni_ADM,$AL106),"")</f>
        <v/>
      </c>
      <c r="F106" s="59">
        <f>IF(N($AL106)&gt;0,INDEX(rLim_ADM,$AL106),"")</f>
        <v/>
      </c>
      <c r="G106" s="59" t="n"/>
      <c r="H106" s="60" t="n"/>
      <c r="I106" s="60" t="n"/>
      <c r="J106" s="60" t="n"/>
      <c r="K106" s="60" t="n"/>
      <c r="L106" s="60" t="n"/>
      <c r="M106" s="61">
        <f>IF(NOT((COUNTA($B106:$D106)+COUNTA($G106:$L106)+COUNTA($Q106))&gt;0),"",IF(ISNUMBER($G106),1,IF(N($W106)&gt;0,AVERAGEIFS($X$5:$X$1000,$U$5:$U$1000,ROW(),$V$5:$V$1000,"Sub"),$X106)))</f>
        <v/>
      </c>
      <c r="N106" s="56">
        <f>IF($M106="","",IF($M106&gt;=1,"Completado",IF($M106&gt;0,"En curso","Pendiente")))</f>
        <v/>
      </c>
      <c r="O106" s="56">
        <f>IF(NOT((COUNTA($B106:$D106)+COUNTA($G106:$L106)+COUNTA($Q106))&gt;0),"",IF(ISNUMBER($G106),IF(AND(ISNUMBER($AN106),$G106&gt;$AN106),"Cumplida con "&amp;($G106-$AN106)&amp;IF($G106-$AN106=1," día"," días")&amp;" de retraso","Cumplida"),IF(N($M106)&gt;=1,"Cumplida",IF(NOT(ISNUMBER($AN106)),"Sin fecha límite",IF($AN106&lt;FechaRef,"Vencida hace "&amp;(FechaRef-$AN106)&amp;IF(FechaRef-$AN106=1," día"," días"),IF($AN106=FechaRef,"Vence hoy",IF($AN106-FechaRef&lt;=DiasAlerta,"Vence en "&amp;($AN106-FechaRef)&amp;IF($AN106-FechaRef=1," día"," días"),"En plazo")))))))</f>
        <v/>
      </c>
      <c r="P106" s="62" t="n"/>
      <c r="Q106" s="58" t="n"/>
      <c r="R106" s="63">
        <f>IF(NOT((COUNTA($B106:$D106)+COUNTA($G106:$L106)+COUNTA($Q106))&gt;0),"",IF((IF($C106="","Falta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",""))="","✔ OK","⚠ "&amp;LEFT(IF($C106="","Falta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",""),LEN(IF($C106="","Falta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",""))-3)))</f>
        <v/>
      </c>
      <c r="S106" s="64">
        <f>IF(NOT((COUNTA($B106:$D106)+COUNTA($G106:$L106)+COUNTA($Q106))&gt;0),"",IF(AND($V106="Sub",N($U106)&gt;0),IF(ISNUMBER(INDEX($AM$5:$AM$1000,$U106-4)),DATE(YEAR(INDEX($AM$5:$AM$1000,$U106-4)),MONTH(INDEX($AM$5:$AM$1000,$U106-4)),1),IF(ISNUMBER(INDEX($AN$5:$AN$1000,$U106-4)),DATE(YEAR(INDEX($AN$5:$AN$1000,$U106-4)),MONTH(INDEX($AN$5:$AN$1000,$U106-4)),1),MesCiclo)),IF(ISNUMBER($AM106),DATE(YEAR($AM106),MONTH($AM106),1),IF(ISNUMBER($AN106),DATE(YEAR($AN106),MONTH($AN106),1),MesCiclo))))</f>
        <v/>
      </c>
      <c r="T106" s="62">
        <f>IF(OR($S106="",$S106&lt;&gt;MesCiclo),"",COUNTIF($S$5:$S106,MesCiclo))</f>
        <v/>
      </c>
      <c r="U106" s="62">
        <f>IF($V106="","",IF($V106="Macro",ROW(),IFERROR(LOOKUP(2,1/($V$5:$V106="Macro"),ROW($V$5:$V106)),0)))</f>
        <v/>
      </c>
      <c r="V106" s="62">
        <f>IF(NOT((COUNTA($B106:$D106)+COUNTA($G106:$L106)+COUNTA($Q106))&gt;0),"",IF($B106="Subactividad","Sub","Macro"))</f>
        <v/>
      </c>
      <c r="W106" s="62">
        <f>IF($V106="Macro",COUNTIFS($U$5:$U$1000,ROW(),$V$5:$V$1000,"Sub"),"")</f>
        <v/>
      </c>
      <c r="X106" s="62">
        <f>IF($V106="","",IF(ISNUMBER($G106),1,IFERROR(LOOKUP(2,1/($I106:$L106&lt;&gt;""),$I106:$L106),0)))</f>
        <v/>
      </c>
      <c r="Y106" s="62">
        <f>IF($V106="","",IF(AND(ISNUMBER($G106),$G106&lt;=IF($S106=MesCiclo,InicioCiclo,$S106+MOD(2-WEEKDAY($S106),7))+6),1,IF(ISNUMBER($I106),$I106,0)))</f>
        <v/>
      </c>
      <c r="Z106" s="62">
        <f>IF($V106="","",IF(AND(ISNUMBER($G106),$G106&lt;=IF($S106=MesCiclo,InicioCiclo,$S106+MOD(2-WEEKDAY($S106),7))+13),1,IF(ISNUMBER($J106),$J106,$Y106)))</f>
        <v/>
      </c>
      <c r="AA106" s="62">
        <f>IF($V106="","",IF(AND(ISNUMBER($G106),$G106&lt;=IF($S106=MesCiclo,InicioCiclo,$S106+MOD(2-WEEKDAY($S106),7))+20),1,IF(ISNUMBER($K106),$K106,$Z106)))</f>
        <v/>
      </c>
      <c r="AB106" s="62">
        <f>IF($V106="","",IF(AND(ISNUMBER($G106),$G106&lt;=IF($S106=MesCiclo,InicioCiclo,$S106+MOD(2-WEEKDAY($S106),7))+27),1,IF(ISNUMBER($L106),$L106,$AA106)))</f>
        <v/>
      </c>
      <c r="AC106" s="62">
        <f>IF($V106="","",IF(AND(ISNUMBER($G106),$G106&lt;=IF($S106=MesCiclo,InicioCiclo,$S106+MOD(2-WEEKDAY($S106),7))+6),1,IF(N($W106)&gt;0,AVERAGEIFS($Y$5:$Y$1000,$U$5:$U$1000,ROW(),$V$5:$V$1000,"Sub"),$Y106)))</f>
        <v/>
      </c>
      <c r="AD106" s="62">
        <f>IF($V106="","",IF(AND(ISNUMBER($G106),$G106&lt;=IF($S106=MesCiclo,InicioCiclo,$S106+MOD(2-WEEKDAY($S106),7))+13),1,IF(N($W106)&gt;0,AVERAGEIFS($Z$5:$Z$1000,$U$5:$U$1000,ROW(),$V$5:$V$1000,"Sub"),$Z106)))</f>
        <v/>
      </c>
      <c r="AE106" s="62">
        <f>IF($V106="","",IF(AND(ISNUMBER($G106),$G106&lt;=IF($S106=MesCiclo,InicioCiclo,$S106+MOD(2-WEEKDAY($S106),7))+20),1,IF(N($W106)&gt;0,AVERAGEIFS($AA$5:$AA$1000,$U$5:$U$1000,ROW(),$V$5:$V$1000,"Sub"),$AA106)))</f>
        <v/>
      </c>
      <c r="AF106" s="62">
        <f>IF($V106="","",IF(AND(ISNUMBER($G106),$G106&lt;=IF($S106=MesCiclo,InicioCiclo,$S106+MOD(2-WEEKDAY($S106),7))+27),1,IF(N($W106)&gt;0,AVERAGEIFS($AB$5:$AB$1000,$U$5:$U$1000,ROW(),$V$5:$V$1000,"Sub"),$AB106)))</f>
        <v/>
      </c>
      <c r="AG106" s="62">
        <f>IF($V106&lt;&gt;"Macro","",IF(COUNTIFS($S$5:$S$1000,$S106,$V$5:$V$1000,"Macro",$H$5:$H$1000,"&gt;0")=0,1/COUNTIFS($S$5:$S$1000,$S106,$V$5:$V$1000,"Macro"),IF(AND(ISNUMBER($H106),N($H106)&gt;0),$H106,SUMIFS($H$5:$H$1000,$S$5:$S$1000,$S106,$V$5:$V$1000,"Macro")/COUNTIFS($S$5:$S$1000,$S106,$V$5:$V$1000,"Macro",$H$5:$H$1000,"&gt;0"))/(COUNTIFS($S$5:$S$1000,$S106,$V$5:$V$1000,"Macro")*SUMIFS($H$5:$H$1000,$S$5:$S$1000,$S106,$V$5:$V$1000,"Macro")/COUNTIFS($S$5:$S$1000,$S106,$V$5:$V$1000,"Macro",$H$5:$H$1000,"&gt;0"))))</f>
        <v/>
      </c>
      <c r="AH106" s="62" t="n"/>
      <c r="AI106" s="62" t="n"/>
      <c r="AJ106" s="62" t="n"/>
      <c r="AK106" s="62" t="n"/>
      <c r="AL106" s="62">
        <f>IF(LEFT($C106,11)="[Jefatura] ",IFERROR(MATCH("Riesgo Operacional|"&amp;MID($C106,12,500),rDname_ADM,0),0),"")</f>
        <v/>
      </c>
      <c r="AM106" s="62">
        <f>IF(N($AL106)&gt;0,INDEX(rIni_ADM,$AL106),IF(ISNUMBER($E106),$E106,""))</f>
        <v/>
      </c>
      <c r="AN106" s="62">
        <f>IF(N($AL106)&gt;0,INDEX(rLim_ADM,$AL106),IF(ISNUMBER($F106),$F106,""))</f>
        <v/>
      </c>
    </row>
    <row r="107">
      <c r="A107" s="56">
        <f>IF(NOT((COUNTA($B107:$D107)+COUNTA($G107:$L107)+COUNTA($Q107))&gt;0),"",IF($V107="Macro",COUNTIFS($V$5:$V107,"Macro",$S$5:$S107,$S107),IF(N($U107)=0,"?",COUNTIFS(INDEX($V$5:$V$1000,1):INDEX($V$5:$V$1000,$U107-4),"Macro",INDEX($S$5:$S$1000,1):INDEX($S$5:$S$1000,$U107-4),INDEX($S$5:$S$1000,$U107-4))&amp;"."&amp;COUNTIFS($U$5:$U107,$U107,$V$5:$V107,"Sub"))))</f>
        <v/>
      </c>
      <c r="B107" s="57" t="n"/>
      <c r="C107" s="58" t="n"/>
      <c r="D107" s="58" t="n"/>
      <c r="E107" s="59">
        <f>IF(N($AL107)&gt;0,INDEX(rIni_ADM,$AL107),"")</f>
        <v/>
      </c>
      <c r="F107" s="59">
        <f>IF(N($AL107)&gt;0,INDEX(rLim_ADM,$AL107),"")</f>
        <v/>
      </c>
      <c r="G107" s="59" t="n"/>
      <c r="H107" s="60" t="n"/>
      <c r="I107" s="60" t="n"/>
      <c r="J107" s="60" t="n"/>
      <c r="K107" s="60" t="n"/>
      <c r="L107" s="60" t="n"/>
      <c r="M107" s="61">
        <f>IF(NOT((COUNTA($B107:$D107)+COUNTA($G107:$L107)+COUNTA($Q107))&gt;0),"",IF(ISNUMBER($G107),1,IF(N($W107)&gt;0,AVERAGEIFS($X$5:$X$1000,$U$5:$U$1000,ROW(),$V$5:$V$1000,"Sub"),$X107)))</f>
        <v/>
      </c>
      <c r="N107" s="56">
        <f>IF($M107="","",IF($M107&gt;=1,"Completado",IF($M107&gt;0,"En curso","Pendiente")))</f>
        <v/>
      </c>
      <c r="O107" s="56">
        <f>IF(NOT((COUNTA($B107:$D107)+COUNTA($G107:$L107)+COUNTA($Q107))&gt;0),"",IF(ISNUMBER($G107),IF(AND(ISNUMBER($AN107),$G107&gt;$AN107),"Cumplida con "&amp;($G107-$AN107)&amp;IF($G107-$AN107=1," día"," días")&amp;" de retraso","Cumplida"),IF(N($M107)&gt;=1,"Cumplida",IF(NOT(ISNUMBER($AN107)),"Sin fecha límite",IF($AN107&lt;FechaRef,"Vencida hace "&amp;(FechaRef-$AN107)&amp;IF(FechaRef-$AN107=1," día"," días"),IF($AN107=FechaRef,"Vence hoy",IF($AN107-FechaRef&lt;=DiasAlerta,"Vence en "&amp;($AN107-FechaRef)&amp;IF($AN107-FechaRef=1," día"," días"),"En plazo")))))))</f>
        <v/>
      </c>
      <c r="P107" s="62" t="n"/>
      <c r="Q107" s="58" t="n"/>
      <c r="R107" s="63">
        <f>IF(NOT((COUNTA($B107:$D107)+COUNTA($G107:$L107)+COUNTA($Q107))&gt;0),"",IF((IF($C107="","Falta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",""))="","✔ OK","⚠ "&amp;LEFT(IF($C107="","Falta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",""),LEN(IF($C107="","Falta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",""))-3)))</f>
        <v/>
      </c>
      <c r="S107" s="64">
        <f>IF(NOT((COUNTA($B107:$D107)+COUNTA($G107:$L107)+COUNTA($Q107))&gt;0),"",IF(AND($V107="Sub",N($U107)&gt;0),IF(ISNUMBER(INDEX($AM$5:$AM$1000,$U107-4)),DATE(YEAR(INDEX($AM$5:$AM$1000,$U107-4)),MONTH(INDEX($AM$5:$AM$1000,$U107-4)),1),IF(ISNUMBER(INDEX($AN$5:$AN$1000,$U107-4)),DATE(YEAR(INDEX($AN$5:$AN$1000,$U107-4)),MONTH(INDEX($AN$5:$AN$1000,$U107-4)),1),MesCiclo)),IF(ISNUMBER($AM107),DATE(YEAR($AM107),MONTH($AM107),1),IF(ISNUMBER($AN107),DATE(YEAR($AN107),MONTH($AN107),1),MesCiclo))))</f>
        <v/>
      </c>
      <c r="T107" s="62">
        <f>IF(OR($S107="",$S107&lt;&gt;MesCiclo),"",COUNTIF($S$5:$S107,MesCiclo))</f>
        <v/>
      </c>
      <c r="U107" s="62">
        <f>IF($V107="","",IF($V107="Macro",ROW(),IFERROR(LOOKUP(2,1/($V$5:$V107="Macro"),ROW($V$5:$V107)),0)))</f>
        <v/>
      </c>
      <c r="V107" s="62">
        <f>IF(NOT((COUNTA($B107:$D107)+COUNTA($G107:$L107)+COUNTA($Q107))&gt;0),"",IF($B107="Subactividad","Sub","Macro"))</f>
        <v/>
      </c>
      <c r="W107" s="62">
        <f>IF($V107="Macro",COUNTIFS($U$5:$U$1000,ROW(),$V$5:$V$1000,"Sub"),"")</f>
        <v/>
      </c>
      <c r="X107" s="62">
        <f>IF($V107="","",IF(ISNUMBER($G107),1,IFERROR(LOOKUP(2,1/($I107:$L107&lt;&gt;""),$I107:$L107),0)))</f>
        <v/>
      </c>
      <c r="Y107" s="62">
        <f>IF($V107="","",IF(AND(ISNUMBER($G107),$G107&lt;=IF($S107=MesCiclo,InicioCiclo,$S107+MOD(2-WEEKDAY($S107),7))+6),1,IF(ISNUMBER($I107),$I107,0)))</f>
        <v/>
      </c>
      <c r="Z107" s="62">
        <f>IF($V107="","",IF(AND(ISNUMBER($G107),$G107&lt;=IF($S107=MesCiclo,InicioCiclo,$S107+MOD(2-WEEKDAY($S107),7))+13),1,IF(ISNUMBER($J107),$J107,$Y107)))</f>
        <v/>
      </c>
      <c r="AA107" s="62">
        <f>IF($V107="","",IF(AND(ISNUMBER($G107),$G107&lt;=IF($S107=MesCiclo,InicioCiclo,$S107+MOD(2-WEEKDAY($S107),7))+20),1,IF(ISNUMBER($K107),$K107,$Z107)))</f>
        <v/>
      </c>
      <c r="AB107" s="62">
        <f>IF($V107="","",IF(AND(ISNUMBER($G107),$G107&lt;=IF($S107=MesCiclo,InicioCiclo,$S107+MOD(2-WEEKDAY($S107),7))+27),1,IF(ISNUMBER($L107),$L107,$AA107)))</f>
        <v/>
      </c>
      <c r="AC107" s="62">
        <f>IF($V107="","",IF(AND(ISNUMBER($G107),$G107&lt;=IF($S107=MesCiclo,InicioCiclo,$S107+MOD(2-WEEKDAY($S107),7))+6),1,IF(N($W107)&gt;0,AVERAGEIFS($Y$5:$Y$1000,$U$5:$U$1000,ROW(),$V$5:$V$1000,"Sub"),$Y107)))</f>
        <v/>
      </c>
      <c r="AD107" s="62">
        <f>IF($V107="","",IF(AND(ISNUMBER($G107),$G107&lt;=IF($S107=MesCiclo,InicioCiclo,$S107+MOD(2-WEEKDAY($S107),7))+13),1,IF(N($W107)&gt;0,AVERAGEIFS($Z$5:$Z$1000,$U$5:$U$1000,ROW(),$V$5:$V$1000,"Sub"),$Z107)))</f>
        <v/>
      </c>
      <c r="AE107" s="62">
        <f>IF($V107="","",IF(AND(ISNUMBER($G107),$G107&lt;=IF($S107=MesCiclo,InicioCiclo,$S107+MOD(2-WEEKDAY($S107),7))+20),1,IF(N($W107)&gt;0,AVERAGEIFS($AA$5:$AA$1000,$U$5:$U$1000,ROW(),$V$5:$V$1000,"Sub"),$AA107)))</f>
        <v/>
      </c>
      <c r="AF107" s="62">
        <f>IF($V107="","",IF(AND(ISNUMBER($G107),$G107&lt;=IF($S107=MesCiclo,InicioCiclo,$S107+MOD(2-WEEKDAY($S107),7))+27),1,IF(N($W107)&gt;0,AVERAGEIFS($AB$5:$AB$1000,$U$5:$U$1000,ROW(),$V$5:$V$1000,"Sub"),$AB107)))</f>
        <v/>
      </c>
      <c r="AG107" s="62">
        <f>IF($V107&lt;&gt;"Macro","",IF(COUNTIFS($S$5:$S$1000,$S107,$V$5:$V$1000,"Macro",$H$5:$H$1000,"&gt;0")=0,1/COUNTIFS($S$5:$S$1000,$S107,$V$5:$V$1000,"Macro"),IF(AND(ISNUMBER($H107),N($H107)&gt;0),$H107,SUMIFS($H$5:$H$1000,$S$5:$S$1000,$S107,$V$5:$V$1000,"Macro")/COUNTIFS($S$5:$S$1000,$S107,$V$5:$V$1000,"Macro",$H$5:$H$1000,"&gt;0"))/(COUNTIFS($S$5:$S$1000,$S107,$V$5:$V$1000,"Macro")*SUMIFS($H$5:$H$1000,$S$5:$S$1000,$S107,$V$5:$V$1000,"Macro")/COUNTIFS($S$5:$S$1000,$S107,$V$5:$V$1000,"Macro",$H$5:$H$1000,"&gt;0"))))</f>
        <v/>
      </c>
      <c r="AH107" s="62" t="n"/>
      <c r="AI107" s="62" t="n"/>
      <c r="AJ107" s="62" t="n"/>
      <c r="AK107" s="62" t="n"/>
      <c r="AL107" s="62">
        <f>IF(LEFT($C107,11)="[Jefatura] ",IFERROR(MATCH("Riesgo Operacional|"&amp;MID($C107,12,500),rDname_ADM,0),0),"")</f>
        <v/>
      </c>
      <c r="AM107" s="62">
        <f>IF(N($AL107)&gt;0,INDEX(rIni_ADM,$AL107),IF(ISNUMBER($E107),$E107,""))</f>
        <v/>
      </c>
      <c r="AN107" s="62">
        <f>IF(N($AL107)&gt;0,INDEX(rLim_ADM,$AL107),IF(ISNUMBER($F107),$F107,""))</f>
        <v/>
      </c>
    </row>
    <row r="108">
      <c r="A108" s="56">
        <f>IF(NOT((COUNTA($B108:$D108)+COUNTA($G108:$L108)+COUNTA($Q108))&gt;0),"",IF($V108="Macro",COUNTIFS($V$5:$V108,"Macro",$S$5:$S108,$S108),IF(N($U108)=0,"?",COUNTIFS(INDEX($V$5:$V$1000,1):INDEX($V$5:$V$1000,$U108-4),"Macro",INDEX($S$5:$S$1000,1):INDEX($S$5:$S$1000,$U108-4),INDEX($S$5:$S$1000,$U108-4))&amp;"."&amp;COUNTIFS($U$5:$U108,$U108,$V$5:$V108,"Sub"))))</f>
        <v/>
      </c>
      <c r="B108" s="57" t="n"/>
      <c r="C108" s="58" t="n"/>
      <c r="D108" s="58" t="n"/>
      <c r="E108" s="59">
        <f>IF(N($AL108)&gt;0,INDEX(rIni_ADM,$AL108),"")</f>
        <v/>
      </c>
      <c r="F108" s="59">
        <f>IF(N($AL108)&gt;0,INDEX(rLim_ADM,$AL108),"")</f>
        <v/>
      </c>
      <c r="G108" s="59" t="n"/>
      <c r="H108" s="60" t="n"/>
      <c r="I108" s="60" t="n"/>
      <c r="J108" s="60" t="n"/>
      <c r="K108" s="60" t="n"/>
      <c r="L108" s="60" t="n"/>
      <c r="M108" s="61">
        <f>IF(NOT((COUNTA($B108:$D108)+COUNTA($G108:$L108)+COUNTA($Q108))&gt;0),"",IF(ISNUMBER($G108),1,IF(N($W108)&gt;0,AVERAGEIFS($X$5:$X$1000,$U$5:$U$1000,ROW(),$V$5:$V$1000,"Sub"),$X108)))</f>
        <v/>
      </c>
      <c r="N108" s="56">
        <f>IF($M108="","",IF($M108&gt;=1,"Completado",IF($M108&gt;0,"En curso","Pendiente")))</f>
        <v/>
      </c>
      <c r="O108" s="56">
        <f>IF(NOT((COUNTA($B108:$D108)+COUNTA($G108:$L108)+COUNTA($Q108))&gt;0),"",IF(ISNUMBER($G108),IF(AND(ISNUMBER($AN108),$G108&gt;$AN108),"Cumplida con "&amp;($G108-$AN108)&amp;IF($G108-$AN108=1," día"," días")&amp;" de retraso","Cumplida"),IF(N($M108)&gt;=1,"Cumplida",IF(NOT(ISNUMBER($AN108)),"Sin fecha límite",IF($AN108&lt;FechaRef,"Vencida hace "&amp;(FechaRef-$AN108)&amp;IF(FechaRef-$AN108=1," día"," días"),IF($AN108=FechaRef,"Vence hoy",IF($AN108-FechaRef&lt;=DiasAlerta,"Vence en "&amp;($AN108-FechaRef)&amp;IF($AN108-FechaRef=1," día"," días"),"En plazo")))))))</f>
        <v/>
      </c>
      <c r="P108" s="62" t="n"/>
      <c r="Q108" s="58" t="n"/>
      <c r="R108" s="63">
        <f>IF(NOT((COUNTA($B108:$D108)+COUNTA($G108:$L108)+COUNTA($Q108))&gt;0),"",IF((IF($C108="","Falta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",""))="","✔ OK","⚠ "&amp;LEFT(IF($C108="","Falta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",""),LEN(IF($C108="","Falta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",""))-3)))</f>
        <v/>
      </c>
      <c r="S108" s="64">
        <f>IF(NOT((COUNTA($B108:$D108)+COUNTA($G108:$L108)+COUNTA($Q108))&gt;0),"",IF(AND($V108="Sub",N($U108)&gt;0),IF(ISNUMBER(INDEX($AM$5:$AM$1000,$U108-4)),DATE(YEAR(INDEX($AM$5:$AM$1000,$U108-4)),MONTH(INDEX($AM$5:$AM$1000,$U108-4)),1),IF(ISNUMBER(INDEX($AN$5:$AN$1000,$U108-4)),DATE(YEAR(INDEX($AN$5:$AN$1000,$U108-4)),MONTH(INDEX($AN$5:$AN$1000,$U108-4)),1),MesCiclo)),IF(ISNUMBER($AM108),DATE(YEAR($AM108),MONTH($AM108),1),IF(ISNUMBER($AN108),DATE(YEAR($AN108),MONTH($AN108),1),MesCiclo))))</f>
        <v/>
      </c>
      <c r="T108" s="62">
        <f>IF(OR($S108="",$S108&lt;&gt;MesCiclo),"",COUNTIF($S$5:$S108,MesCiclo))</f>
        <v/>
      </c>
      <c r="U108" s="62">
        <f>IF($V108="","",IF($V108="Macro",ROW(),IFERROR(LOOKUP(2,1/($V$5:$V108="Macro"),ROW($V$5:$V108)),0)))</f>
        <v/>
      </c>
      <c r="V108" s="62">
        <f>IF(NOT((COUNTA($B108:$D108)+COUNTA($G108:$L108)+COUNTA($Q108))&gt;0),"",IF($B108="Subactividad","Sub","Macro"))</f>
        <v/>
      </c>
      <c r="W108" s="62">
        <f>IF($V108="Macro",COUNTIFS($U$5:$U$1000,ROW(),$V$5:$V$1000,"Sub"),"")</f>
        <v/>
      </c>
      <c r="X108" s="62">
        <f>IF($V108="","",IF(ISNUMBER($G108),1,IFERROR(LOOKUP(2,1/($I108:$L108&lt;&gt;""),$I108:$L108),0)))</f>
        <v/>
      </c>
      <c r="Y108" s="62">
        <f>IF($V108="","",IF(AND(ISNUMBER($G108),$G108&lt;=IF($S108=MesCiclo,InicioCiclo,$S108+MOD(2-WEEKDAY($S108),7))+6),1,IF(ISNUMBER($I108),$I108,0)))</f>
        <v/>
      </c>
      <c r="Z108" s="62">
        <f>IF($V108="","",IF(AND(ISNUMBER($G108),$G108&lt;=IF($S108=MesCiclo,InicioCiclo,$S108+MOD(2-WEEKDAY($S108),7))+13),1,IF(ISNUMBER($J108),$J108,$Y108)))</f>
        <v/>
      </c>
      <c r="AA108" s="62">
        <f>IF($V108="","",IF(AND(ISNUMBER($G108),$G108&lt;=IF($S108=MesCiclo,InicioCiclo,$S108+MOD(2-WEEKDAY($S108),7))+20),1,IF(ISNUMBER($K108),$K108,$Z108)))</f>
        <v/>
      </c>
      <c r="AB108" s="62">
        <f>IF($V108="","",IF(AND(ISNUMBER($G108),$G108&lt;=IF($S108=MesCiclo,InicioCiclo,$S108+MOD(2-WEEKDAY($S108),7))+27),1,IF(ISNUMBER($L108),$L108,$AA108)))</f>
        <v/>
      </c>
      <c r="AC108" s="62">
        <f>IF($V108="","",IF(AND(ISNUMBER($G108),$G108&lt;=IF($S108=MesCiclo,InicioCiclo,$S108+MOD(2-WEEKDAY($S108),7))+6),1,IF(N($W108)&gt;0,AVERAGEIFS($Y$5:$Y$1000,$U$5:$U$1000,ROW(),$V$5:$V$1000,"Sub"),$Y108)))</f>
        <v/>
      </c>
      <c r="AD108" s="62">
        <f>IF($V108="","",IF(AND(ISNUMBER($G108),$G108&lt;=IF($S108=MesCiclo,InicioCiclo,$S108+MOD(2-WEEKDAY($S108),7))+13),1,IF(N($W108)&gt;0,AVERAGEIFS($Z$5:$Z$1000,$U$5:$U$1000,ROW(),$V$5:$V$1000,"Sub"),$Z108)))</f>
        <v/>
      </c>
      <c r="AE108" s="62">
        <f>IF($V108="","",IF(AND(ISNUMBER($G108),$G108&lt;=IF($S108=MesCiclo,InicioCiclo,$S108+MOD(2-WEEKDAY($S108),7))+20),1,IF(N($W108)&gt;0,AVERAGEIFS($AA$5:$AA$1000,$U$5:$U$1000,ROW(),$V$5:$V$1000,"Sub"),$AA108)))</f>
        <v/>
      </c>
      <c r="AF108" s="62">
        <f>IF($V108="","",IF(AND(ISNUMBER($G108),$G108&lt;=IF($S108=MesCiclo,InicioCiclo,$S108+MOD(2-WEEKDAY($S108),7))+27),1,IF(N($W108)&gt;0,AVERAGEIFS($AB$5:$AB$1000,$U$5:$U$1000,ROW(),$V$5:$V$1000,"Sub"),$AB108)))</f>
        <v/>
      </c>
      <c r="AG108" s="62">
        <f>IF($V108&lt;&gt;"Macro","",IF(COUNTIFS($S$5:$S$1000,$S108,$V$5:$V$1000,"Macro",$H$5:$H$1000,"&gt;0")=0,1/COUNTIFS($S$5:$S$1000,$S108,$V$5:$V$1000,"Macro"),IF(AND(ISNUMBER($H108),N($H108)&gt;0),$H108,SUMIFS($H$5:$H$1000,$S$5:$S$1000,$S108,$V$5:$V$1000,"Macro")/COUNTIFS($S$5:$S$1000,$S108,$V$5:$V$1000,"Macro",$H$5:$H$1000,"&gt;0"))/(COUNTIFS($S$5:$S$1000,$S108,$V$5:$V$1000,"Macro")*SUMIFS($H$5:$H$1000,$S$5:$S$1000,$S108,$V$5:$V$1000,"Macro")/COUNTIFS($S$5:$S$1000,$S108,$V$5:$V$1000,"Macro",$H$5:$H$1000,"&gt;0"))))</f>
        <v/>
      </c>
      <c r="AH108" s="62" t="n"/>
      <c r="AI108" s="62" t="n"/>
      <c r="AJ108" s="62" t="n"/>
      <c r="AK108" s="62" t="n"/>
      <c r="AL108" s="62">
        <f>IF(LEFT($C108,11)="[Jefatura] ",IFERROR(MATCH("Riesgo Operacional|"&amp;MID($C108,12,500),rDname_ADM,0),0),"")</f>
        <v/>
      </c>
      <c r="AM108" s="62">
        <f>IF(N($AL108)&gt;0,INDEX(rIni_ADM,$AL108),IF(ISNUMBER($E108),$E108,""))</f>
        <v/>
      </c>
      <c r="AN108" s="62">
        <f>IF(N($AL108)&gt;0,INDEX(rLim_ADM,$AL108),IF(ISNUMBER($F108),$F108,""))</f>
        <v/>
      </c>
    </row>
    <row r="109">
      <c r="A109" s="56">
        <f>IF(NOT((COUNTA($B109:$D109)+COUNTA($G109:$L109)+COUNTA($Q109))&gt;0),"",IF($V109="Macro",COUNTIFS($V$5:$V109,"Macro",$S$5:$S109,$S109),IF(N($U109)=0,"?",COUNTIFS(INDEX($V$5:$V$1000,1):INDEX($V$5:$V$1000,$U109-4),"Macro",INDEX($S$5:$S$1000,1):INDEX($S$5:$S$1000,$U109-4),INDEX($S$5:$S$1000,$U109-4))&amp;"."&amp;COUNTIFS($U$5:$U109,$U109,$V$5:$V109,"Sub"))))</f>
        <v/>
      </c>
      <c r="B109" s="57" t="n"/>
      <c r="C109" s="58" t="n"/>
      <c r="D109" s="58" t="n"/>
      <c r="E109" s="59">
        <f>IF(N($AL109)&gt;0,INDEX(rIni_ADM,$AL109),"")</f>
        <v/>
      </c>
      <c r="F109" s="59">
        <f>IF(N($AL109)&gt;0,INDEX(rLim_ADM,$AL109),"")</f>
        <v/>
      </c>
      <c r="G109" s="59" t="n"/>
      <c r="H109" s="60" t="n"/>
      <c r="I109" s="60" t="n"/>
      <c r="J109" s="60" t="n"/>
      <c r="K109" s="60" t="n"/>
      <c r="L109" s="60" t="n"/>
      <c r="M109" s="61">
        <f>IF(NOT((COUNTA($B109:$D109)+COUNTA($G109:$L109)+COUNTA($Q109))&gt;0),"",IF(ISNUMBER($G109),1,IF(N($W109)&gt;0,AVERAGEIFS($X$5:$X$1000,$U$5:$U$1000,ROW(),$V$5:$V$1000,"Sub"),$X109)))</f>
        <v/>
      </c>
      <c r="N109" s="56">
        <f>IF($M109="","",IF($M109&gt;=1,"Completado",IF($M109&gt;0,"En curso","Pendiente")))</f>
        <v/>
      </c>
      <c r="O109" s="56">
        <f>IF(NOT((COUNTA($B109:$D109)+COUNTA($G109:$L109)+COUNTA($Q109))&gt;0),"",IF(ISNUMBER($G109),IF(AND(ISNUMBER($AN109),$G109&gt;$AN109),"Cumplida con "&amp;($G109-$AN109)&amp;IF($G109-$AN109=1," día"," días")&amp;" de retraso","Cumplida"),IF(N($M109)&gt;=1,"Cumplida",IF(NOT(ISNUMBER($AN109)),"Sin fecha límite",IF($AN109&lt;FechaRef,"Vencida hace "&amp;(FechaRef-$AN109)&amp;IF(FechaRef-$AN109=1," día"," días"),IF($AN109=FechaRef,"Vence hoy",IF($AN109-FechaRef&lt;=DiasAlerta,"Vence en "&amp;($AN109-FechaRef)&amp;IF($AN109-FechaRef=1," día"," días"),"En plazo")))))))</f>
        <v/>
      </c>
      <c r="P109" s="62" t="n"/>
      <c r="Q109" s="58" t="n"/>
      <c r="R109" s="63">
        <f>IF(NOT((COUNTA($B109:$D109)+COUNTA($G109:$L109)+COUNTA($Q109))&gt;0),"",IF((IF($C109="","Falta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",""))="","✔ OK","⚠ "&amp;LEFT(IF($C109="","Falta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",""),LEN(IF($C109="","Falta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",""))-3)))</f>
        <v/>
      </c>
      <c r="S109" s="64">
        <f>IF(NOT((COUNTA($B109:$D109)+COUNTA($G109:$L109)+COUNTA($Q109))&gt;0),"",IF(AND($V109="Sub",N($U109)&gt;0),IF(ISNUMBER(INDEX($AM$5:$AM$1000,$U109-4)),DATE(YEAR(INDEX($AM$5:$AM$1000,$U109-4)),MONTH(INDEX($AM$5:$AM$1000,$U109-4)),1),IF(ISNUMBER(INDEX($AN$5:$AN$1000,$U109-4)),DATE(YEAR(INDEX($AN$5:$AN$1000,$U109-4)),MONTH(INDEX($AN$5:$AN$1000,$U109-4)),1),MesCiclo)),IF(ISNUMBER($AM109),DATE(YEAR($AM109),MONTH($AM109),1),IF(ISNUMBER($AN109),DATE(YEAR($AN109),MONTH($AN109),1),MesCiclo))))</f>
        <v/>
      </c>
      <c r="T109" s="62">
        <f>IF(OR($S109="",$S109&lt;&gt;MesCiclo),"",COUNTIF($S$5:$S109,MesCiclo))</f>
        <v/>
      </c>
      <c r="U109" s="62">
        <f>IF($V109="","",IF($V109="Macro",ROW(),IFERROR(LOOKUP(2,1/($V$5:$V109="Macro"),ROW($V$5:$V109)),0)))</f>
        <v/>
      </c>
      <c r="V109" s="62">
        <f>IF(NOT((COUNTA($B109:$D109)+COUNTA($G109:$L109)+COUNTA($Q109))&gt;0),"",IF($B109="Subactividad","Sub","Macro"))</f>
        <v/>
      </c>
      <c r="W109" s="62">
        <f>IF($V109="Macro",COUNTIFS($U$5:$U$1000,ROW(),$V$5:$V$1000,"Sub"),"")</f>
        <v/>
      </c>
      <c r="X109" s="62">
        <f>IF($V109="","",IF(ISNUMBER($G109),1,IFERROR(LOOKUP(2,1/($I109:$L109&lt;&gt;""),$I109:$L109),0)))</f>
        <v/>
      </c>
      <c r="Y109" s="62">
        <f>IF($V109="","",IF(AND(ISNUMBER($G109),$G109&lt;=IF($S109=MesCiclo,InicioCiclo,$S109+MOD(2-WEEKDAY($S109),7))+6),1,IF(ISNUMBER($I109),$I109,0)))</f>
        <v/>
      </c>
      <c r="Z109" s="62">
        <f>IF($V109="","",IF(AND(ISNUMBER($G109),$G109&lt;=IF($S109=MesCiclo,InicioCiclo,$S109+MOD(2-WEEKDAY($S109),7))+13),1,IF(ISNUMBER($J109),$J109,$Y109)))</f>
        <v/>
      </c>
      <c r="AA109" s="62">
        <f>IF($V109="","",IF(AND(ISNUMBER($G109),$G109&lt;=IF($S109=MesCiclo,InicioCiclo,$S109+MOD(2-WEEKDAY($S109),7))+20),1,IF(ISNUMBER($K109),$K109,$Z109)))</f>
        <v/>
      </c>
      <c r="AB109" s="62">
        <f>IF($V109="","",IF(AND(ISNUMBER($G109),$G109&lt;=IF($S109=MesCiclo,InicioCiclo,$S109+MOD(2-WEEKDAY($S109),7))+27),1,IF(ISNUMBER($L109),$L109,$AA109)))</f>
        <v/>
      </c>
      <c r="AC109" s="62">
        <f>IF($V109="","",IF(AND(ISNUMBER($G109),$G109&lt;=IF($S109=MesCiclo,InicioCiclo,$S109+MOD(2-WEEKDAY($S109),7))+6),1,IF(N($W109)&gt;0,AVERAGEIFS($Y$5:$Y$1000,$U$5:$U$1000,ROW(),$V$5:$V$1000,"Sub"),$Y109)))</f>
        <v/>
      </c>
      <c r="AD109" s="62">
        <f>IF($V109="","",IF(AND(ISNUMBER($G109),$G109&lt;=IF($S109=MesCiclo,InicioCiclo,$S109+MOD(2-WEEKDAY($S109),7))+13),1,IF(N($W109)&gt;0,AVERAGEIFS($Z$5:$Z$1000,$U$5:$U$1000,ROW(),$V$5:$V$1000,"Sub"),$Z109)))</f>
        <v/>
      </c>
      <c r="AE109" s="62">
        <f>IF($V109="","",IF(AND(ISNUMBER($G109),$G109&lt;=IF($S109=MesCiclo,InicioCiclo,$S109+MOD(2-WEEKDAY($S109),7))+20),1,IF(N($W109)&gt;0,AVERAGEIFS($AA$5:$AA$1000,$U$5:$U$1000,ROW(),$V$5:$V$1000,"Sub"),$AA109)))</f>
        <v/>
      </c>
      <c r="AF109" s="62">
        <f>IF($V109="","",IF(AND(ISNUMBER($G109),$G109&lt;=IF($S109=MesCiclo,InicioCiclo,$S109+MOD(2-WEEKDAY($S109),7))+27),1,IF(N($W109)&gt;0,AVERAGEIFS($AB$5:$AB$1000,$U$5:$U$1000,ROW(),$V$5:$V$1000,"Sub"),$AB109)))</f>
        <v/>
      </c>
      <c r="AG109" s="62">
        <f>IF($V109&lt;&gt;"Macro","",IF(COUNTIFS($S$5:$S$1000,$S109,$V$5:$V$1000,"Macro",$H$5:$H$1000,"&gt;0")=0,1/COUNTIFS($S$5:$S$1000,$S109,$V$5:$V$1000,"Macro"),IF(AND(ISNUMBER($H109),N($H109)&gt;0),$H109,SUMIFS($H$5:$H$1000,$S$5:$S$1000,$S109,$V$5:$V$1000,"Macro")/COUNTIFS($S$5:$S$1000,$S109,$V$5:$V$1000,"Macro",$H$5:$H$1000,"&gt;0"))/(COUNTIFS($S$5:$S$1000,$S109,$V$5:$V$1000,"Macro")*SUMIFS($H$5:$H$1000,$S$5:$S$1000,$S109,$V$5:$V$1000,"Macro")/COUNTIFS($S$5:$S$1000,$S109,$V$5:$V$1000,"Macro",$H$5:$H$1000,"&gt;0"))))</f>
        <v/>
      </c>
      <c r="AH109" s="62" t="n"/>
      <c r="AI109" s="62" t="n"/>
      <c r="AJ109" s="62" t="n"/>
      <c r="AK109" s="62" t="n"/>
      <c r="AL109" s="62">
        <f>IF(LEFT($C109,11)="[Jefatura] ",IFERROR(MATCH("Riesgo Operacional|"&amp;MID($C109,12,500),rDname_ADM,0),0),"")</f>
        <v/>
      </c>
      <c r="AM109" s="62">
        <f>IF(N($AL109)&gt;0,INDEX(rIni_ADM,$AL109),IF(ISNUMBER($E109),$E109,""))</f>
        <v/>
      </c>
      <c r="AN109" s="62">
        <f>IF(N($AL109)&gt;0,INDEX(rLim_ADM,$AL109),IF(ISNUMBER($F109),$F109,""))</f>
        <v/>
      </c>
    </row>
    <row r="110">
      <c r="A110" s="56">
        <f>IF(NOT((COUNTA($B110:$D110)+COUNTA($G110:$L110)+COUNTA($Q110))&gt;0),"",IF($V110="Macro",COUNTIFS($V$5:$V110,"Macro",$S$5:$S110,$S110),IF(N($U110)=0,"?",COUNTIFS(INDEX($V$5:$V$1000,1):INDEX($V$5:$V$1000,$U110-4),"Macro",INDEX($S$5:$S$1000,1):INDEX($S$5:$S$1000,$U110-4),INDEX($S$5:$S$1000,$U110-4))&amp;"."&amp;COUNTIFS($U$5:$U110,$U110,$V$5:$V110,"Sub"))))</f>
        <v/>
      </c>
      <c r="B110" s="57" t="n"/>
      <c r="C110" s="58" t="n"/>
      <c r="D110" s="58" t="n"/>
      <c r="E110" s="59">
        <f>IF(N($AL110)&gt;0,INDEX(rIni_ADM,$AL110),"")</f>
        <v/>
      </c>
      <c r="F110" s="59">
        <f>IF(N($AL110)&gt;0,INDEX(rLim_ADM,$AL110),"")</f>
        <v/>
      </c>
      <c r="G110" s="59" t="n"/>
      <c r="H110" s="60" t="n"/>
      <c r="I110" s="60" t="n"/>
      <c r="J110" s="60" t="n"/>
      <c r="K110" s="60" t="n"/>
      <c r="L110" s="60" t="n"/>
      <c r="M110" s="61">
        <f>IF(NOT((COUNTA($B110:$D110)+COUNTA($G110:$L110)+COUNTA($Q110))&gt;0),"",IF(ISNUMBER($G110),1,IF(N($W110)&gt;0,AVERAGEIFS($X$5:$X$1000,$U$5:$U$1000,ROW(),$V$5:$V$1000,"Sub"),$X110)))</f>
        <v/>
      </c>
      <c r="N110" s="56">
        <f>IF($M110="","",IF($M110&gt;=1,"Completado",IF($M110&gt;0,"En curso","Pendiente")))</f>
        <v/>
      </c>
      <c r="O110" s="56">
        <f>IF(NOT((COUNTA($B110:$D110)+COUNTA($G110:$L110)+COUNTA($Q110))&gt;0),"",IF(ISNUMBER($G110),IF(AND(ISNUMBER($AN110),$G110&gt;$AN110),"Cumplida con "&amp;($G110-$AN110)&amp;IF($G110-$AN110=1," día"," días")&amp;" de retraso","Cumplida"),IF(N($M110)&gt;=1,"Cumplida",IF(NOT(ISNUMBER($AN110)),"Sin fecha límite",IF($AN110&lt;FechaRef,"Vencida hace "&amp;(FechaRef-$AN110)&amp;IF(FechaRef-$AN110=1," día"," días"),IF($AN110=FechaRef,"Vence hoy",IF($AN110-FechaRef&lt;=DiasAlerta,"Vence en "&amp;($AN110-FechaRef)&amp;IF($AN110-FechaRef=1," día"," días"),"En plazo")))))))</f>
        <v/>
      </c>
      <c r="P110" s="62" t="n"/>
      <c r="Q110" s="58" t="n"/>
      <c r="R110" s="63">
        <f>IF(NOT((COUNTA($B110:$D110)+COUNTA($G110:$L110)+COUNTA($Q110))&gt;0),"",IF((IF($C110="","Falta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",""))="","✔ OK","⚠ "&amp;LEFT(IF($C110="","Falta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",""),LEN(IF($C110="","Falta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",""))-3)))</f>
        <v/>
      </c>
      <c r="S110" s="64">
        <f>IF(NOT((COUNTA($B110:$D110)+COUNTA($G110:$L110)+COUNTA($Q110))&gt;0),"",IF(AND($V110="Sub",N($U110)&gt;0),IF(ISNUMBER(INDEX($AM$5:$AM$1000,$U110-4)),DATE(YEAR(INDEX($AM$5:$AM$1000,$U110-4)),MONTH(INDEX($AM$5:$AM$1000,$U110-4)),1),IF(ISNUMBER(INDEX($AN$5:$AN$1000,$U110-4)),DATE(YEAR(INDEX($AN$5:$AN$1000,$U110-4)),MONTH(INDEX($AN$5:$AN$1000,$U110-4)),1),MesCiclo)),IF(ISNUMBER($AM110),DATE(YEAR($AM110),MONTH($AM110),1),IF(ISNUMBER($AN110),DATE(YEAR($AN110),MONTH($AN110),1),MesCiclo))))</f>
        <v/>
      </c>
      <c r="T110" s="62">
        <f>IF(OR($S110="",$S110&lt;&gt;MesCiclo),"",COUNTIF($S$5:$S110,MesCiclo))</f>
        <v/>
      </c>
      <c r="U110" s="62">
        <f>IF($V110="","",IF($V110="Macro",ROW(),IFERROR(LOOKUP(2,1/($V$5:$V110="Macro"),ROW($V$5:$V110)),0)))</f>
        <v/>
      </c>
      <c r="V110" s="62">
        <f>IF(NOT((COUNTA($B110:$D110)+COUNTA($G110:$L110)+COUNTA($Q110))&gt;0),"",IF($B110="Subactividad","Sub","Macro"))</f>
        <v/>
      </c>
      <c r="W110" s="62">
        <f>IF($V110="Macro",COUNTIFS($U$5:$U$1000,ROW(),$V$5:$V$1000,"Sub"),"")</f>
        <v/>
      </c>
      <c r="X110" s="62">
        <f>IF($V110="","",IF(ISNUMBER($G110),1,IFERROR(LOOKUP(2,1/($I110:$L110&lt;&gt;""),$I110:$L110),0)))</f>
        <v/>
      </c>
      <c r="Y110" s="62">
        <f>IF($V110="","",IF(AND(ISNUMBER($G110),$G110&lt;=IF($S110=MesCiclo,InicioCiclo,$S110+MOD(2-WEEKDAY($S110),7))+6),1,IF(ISNUMBER($I110),$I110,0)))</f>
        <v/>
      </c>
      <c r="Z110" s="62">
        <f>IF($V110="","",IF(AND(ISNUMBER($G110),$G110&lt;=IF($S110=MesCiclo,InicioCiclo,$S110+MOD(2-WEEKDAY($S110),7))+13),1,IF(ISNUMBER($J110),$J110,$Y110)))</f>
        <v/>
      </c>
      <c r="AA110" s="62">
        <f>IF($V110="","",IF(AND(ISNUMBER($G110),$G110&lt;=IF($S110=MesCiclo,InicioCiclo,$S110+MOD(2-WEEKDAY($S110),7))+20),1,IF(ISNUMBER($K110),$K110,$Z110)))</f>
        <v/>
      </c>
      <c r="AB110" s="62">
        <f>IF($V110="","",IF(AND(ISNUMBER($G110),$G110&lt;=IF($S110=MesCiclo,InicioCiclo,$S110+MOD(2-WEEKDAY($S110),7))+27),1,IF(ISNUMBER($L110),$L110,$AA110)))</f>
        <v/>
      </c>
      <c r="AC110" s="62">
        <f>IF($V110="","",IF(AND(ISNUMBER($G110),$G110&lt;=IF($S110=MesCiclo,InicioCiclo,$S110+MOD(2-WEEKDAY($S110),7))+6),1,IF(N($W110)&gt;0,AVERAGEIFS($Y$5:$Y$1000,$U$5:$U$1000,ROW(),$V$5:$V$1000,"Sub"),$Y110)))</f>
        <v/>
      </c>
      <c r="AD110" s="62">
        <f>IF($V110="","",IF(AND(ISNUMBER($G110),$G110&lt;=IF($S110=MesCiclo,InicioCiclo,$S110+MOD(2-WEEKDAY($S110),7))+13),1,IF(N($W110)&gt;0,AVERAGEIFS($Z$5:$Z$1000,$U$5:$U$1000,ROW(),$V$5:$V$1000,"Sub"),$Z110)))</f>
        <v/>
      </c>
      <c r="AE110" s="62">
        <f>IF($V110="","",IF(AND(ISNUMBER($G110),$G110&lt;=IF($S110=MesCiclo,InicioCiclo,$S110+MOD(2-WEEKDAY($S110),7))+20),1,IF(N($W110)&gt;0,AVERAGEIFS($AA$5:$AA$1000,$U$5:$U$1000,ROW(),$V$5:$V$1000,"Sub"),$AA110)))</f>
        <v/>
      </c>
      <c r="AF110" s="62">
        <f>IF($V110="","",IF(AND(ISNUMBER($G110),$G110&lt;=IF($S110=MesCiclo,InicioCiclo,$S110+MOD(2-WEEKDAY($S110),7))+27),1,IF(N($W110)&gt;0,AVERAGEIFS($AB$5:$AB$1000,$U$5:$U$1000,ROW(),$V$5:$V$1000,"Sub"),$AB110)))</f>
        <v/>
      </c>
      <c r="AG110" s="62">
        <f>IF($V110&lt;&gt;"Macro","",IF(COUNTIFS($S$5:$S$1000,$S110,$V$5:$V$1000,"Macro",$H$5:$H$1000,"&gt;0")=0,1/COUNTIFS($S$5:$S$1000,$S110,$V$5:$V$1000,"Macro"),IF(AND(ISNUMBER($H110),N($H110)&gt;0),$H110,SUMIFS($H$5:$H$1000,$S$5:$S$1000,$S110,$V$5:$V$1000,"Macro")/COUNTIFS($S$5:$S$1000,$S110,$V$5:$V$1000,"Macro",$H$5:$H$1000,"&gt;0"))/(COUNTIFS($S$5:$S$1000,$S110,$V$5:$V$1000,"Macro")*SUMIFS($H$5:$H$1000,$S$5:$S$1000,$S110,$V$5:$V$1000,"Macro")/COUNTIFS($S$5:$S$1000,$S110,$V$5:$V$1000,"Macro",$H$5:$H$1000,"&gt;0"))))</f>
        <v/>
      </c>
      <c r="AH110" s="62" t="n"/>
      <c r="AI110" s="62" t="n"/>
      <c r="AJ110" s="62" t="n"/>
      <c r="AK110" s="62" t="n"/>
      <c r="AL110" s="62">
        <f>IF(LEFT($C110,11)="[Jefatura] ",IFERROR(MATCH("Riesgo Operacional|"&amp;MID($C110,12,500),rDname_ADM,0),0),"")</f>
        <v/>
      </c>
      <c r="AM110" s="62">
        <f>IF(N($AL110)&gt;0,INDEX(rIni_ADM,$AL110),IF(ISNUMBER($E110),$E110,""))</f>
        <v/>
      </c>
      <c r="AN110" s="62">
        <f>IF(N($AL110)&gt;0,INDEX(rLim_ADM,$AL110),IF(ISNUMBER($F110),$F110,""))</f>
        <v/>
      </c>
    </row>
    <row r="111">
      <c r="A111" s="56">
        <f>IF(NOT((COUNTA($B111:$D111)+COUNTA($G111:$L111)+COUNTA($Q111))&gt;0),"",IF($V111="Macro",COUNTIFS($V$5:$V111,"Macro",$S$5:$S111,$S111),IF(N($U111)=0,"?",COUNTIFS(INDEX($V$5:$V$1000,1):INDEX($V$5:$V$1000,$U111-4),"Macro",INDEX($S$5:$S$1000,1):INDEX($S$5:$S$1000,$U111-4),INDEX($S$5:$S$1000,$U111-4))&amp;"."&amp;COUNTIFS($U$5:$U111,$U111,$V$5:$V111,"Sub"))))</f>
        <v/>
      </c>
      <c r="B111" s="57" t="n"/>
      <c r="C111" s="58" t="n"/>
      <c r="D111" s="58" t="n"/>
      <c r="E111" s="59">
        <f>IF(N($AL111)&gt;0,INDEX(rIni_ADM,$AL111),"")</f>
        <v/>
      </c>
      <c r="F111" s="59">
        <f>IF(N($AL111)&gt;0,INDEX(rLim_ADM,$AL111),"")</f>
        <v/>
      </c>
      <c r="G111" s="59" t="n"/>
      <c r="H111" s="60" t="n"/>
      <c r="I111" s="60" t="n"/>
      <c r="J111" s="60" t="n"/>
      <c r="K111" s="60" t="n"/>
      <c r="L111" s="60" t="n"/>
      <c r="M111" s="61">
        <f>IF(NOT((COUNTA($B111:$D111)+COUNTA($G111:$L111)+COUNTA($Q111))&gt;0),"",IF(ISNUMBER($G111),1,IF(N($W111)&gt;0,AVERAGEIFS($X$5:$X$1000,$U$5:$U$1000,ROW(),$V$5:$V$1000,"Sub"),$X111)))</f>
        <v/>
      </c>
      <c r="N111" s="56">
        <f>IF($M111="","",IF($M111&gt;=1,"Completado",IF($M111&gt;0,"En curso","Pendiente")))</f>
        <v/>
      </c>
      <c r="O111" s="56">
        <f>IF(NOT((COUNTA($B111:$D111)+COUNTA($G111:$L111)+COUNTA($Q111))&gt;0),"",IF(ISNUMBER($G111),IF(AND(ISNUMBER($AN111),$G111&gt;$AN111),"Cumplida con "&amp;($G111-$AN111)&amp;IF($G111-$AN111=1," día"," días")&amp;" de retraso","Cumplida"),IF(N($M111)&gt;=1,"Cumplida",IF(NOT(ISNUMBER($AN111)),"Sin fecha límite",IF($AN111&lt;FechaRef,"Vencida hace "&amp;(FechaRef-$AN111)&amp;IF(FechaRef-$AN111=1," día"," días"),IF($AN111=FechaRef,"Vence hoy",IF($AN111-FechaRef&lt;=DiasAlerta,"Vence en "&amp;($AN111-FechaRef)&amp;IF($AN111-FechaRef=1," día"," días"),"En plazo")))))))</f>
        <v/>
      </c>
      <c r="P111" s="62" t="n"/>
      <c r="Q111" s="58" t="n"/>
      <c r="R111" s="63">
        <f>IF(NOT((COUNTA($B111:$D111)+COUNTA($G111:$L111)+COUNTA($Q111))&gt;0),"",IF((IF($C111="","Falta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",""))="","✔ OK","⚠ "&amp;LEFT(IF($C111="","Falta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",""),LEN(IF($C111="","Falta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",""))-3)))</f>
        <v/>
      </c>
      <c r="S111" s="64">
        <f>IF(NOT((COUNTA($B111:$D111)+COUNTA($G111:$L111)+COUNTA($Q111))&gt;0),"",IF(AND($V111="Sub",N($U111)&gt;0),IF(ISNUMBER(INDEX($AM$5:$AM$1000,$U111-4)),DATE(YEAR(INDEX($AM$5:$AM$1000,$U111-4)),MONTH(INDEX($AM$5:$AM$1000,$U111-4)),1),IF(ISNUMBER(INDEX($AN$5:$AN$1000,$U111-4)),DATE(YEAR(INDEX($AN$5:$AN$1000,$U111-4)),MONTH(INDEX($AN$5:$AN$1000,$U111-4)),1),MesCiclo)),IF(ISNUMBER($AM111),DATE(YEAR($AM111),MONTH($AM111),1),IF(ISNUMBER($AN111),DATE(YEAR($AN111),MONTH($AN111),1),MesCiclo))))</f>
        <v/>
      </c>
      <c r="T111" s="62">
        <f>IF(OR($S111="",$S111&lt;&gt;MesCiclo),"",COUNTIF($S$5:$S111,MesCiclo))</f>
        <v/>
      </c>
      <c r="U111" s="62">
        <f>IF($V111="","",IF($V111="Macro",ROW(),IFERROR(LOOKUP(2,1/($V$5:$V111="Macro"),ROW($V$5:$V111)),0)))</f>
        <v/>
      </c>
      <c r="V111" s="62">
        <f>IF(NOT((COUNTA($B111:$D111)+COUNTA($G111:$L111)+COUNTA($Q111))&gt;0),"",IF($B111="Subactividad","Sub","Macro"))</f>
        <v/>
      </c>
      <c r="W111" s="62">
        <f>IF($V111="Macro",COUNTIFS($U$5:$U$1000,ROW(),$V$5:$V$1000,"Sub"),"")</f>
        <v/>
      </c>
      <c r="X111" s="62">
        <f>IF($V111="","",IF(ISNUMBER($G111),1,IFERROR(LOOKUP(2,1/($I111:$L111&lt;&gt;""),$I111:$L111),0)))</f>
        <v/>
      </c>
      <c r="Y111" s="62">
        <f>IF($V111="","",IF(AND(ISNUMBER($G111),$G111&lt;=IF($S111=MesCiclo,InicioCiclo,$S111+MOD(2-WEEKDAY($S111),7))+6),1,IF(ISNUMBER($I111),$I111,0)))</f>
        <v/>
      </c>
      <c r="Z111" s="62">
        <f>IF($V111="","",IF(AND(ISNUMBER($G111),$G111&lt;=IF($S111=MesCiclo,InicioCiclo,$S111+MOD(2-WEEKDAY($S111),7))+13),1,IF(ISNUMBER($J111),$J111,$Y111)))</f>
        <v/>
      </c>
      <c r="AA111" s="62">
        <f>IF($V111="","",IF(AND(ISNUMBER($G111),$G111&lt;=IF($S111=MesCiclo,InicioCiclo,$S111+MOD(2-WEEKDAY($S111),7))+20),1,IF(ISNUMBER($K111),$K111,$Z111)))</f>
        <v/>
      </c>
      <c r="AB111" s="62">
        <f>IF($V111="","",IF(AND(ISNUMBER($G111),$G111&lt;=IF($S111=MesCiclo,InicioCiclo,$S111+MOD(2-WEEKDAY($S111),7))+27),1,IF(ISNUMBER($L111),$L111,$AA111)))</f>
        <v/>
      </c>
      <c r="AC111" s="62">
        <f>IF($V111="","",IF(AND(ISNUMBER($G111),$G111&lt;=IF($S111=MesCiclo,InicioCiclo,$S111+MOD(2-WEEKDAY($S111),7))+6),1,IF(N($W111)&gt;0,AVERAGEIFS($Y$5:$Y$1000,$U$5:$U$1000,ROW(),$V$5:$V$1000,"Sub"),$Y111)))</f>
        <v/>
      </c>
      <c r="AD111" s="62">
        <f>IF($V111="","",IF(AND(ISNUMBER($G111),$G111&lt;=IF($S111=MesCiclo,InicioCiclo,$S111+MOD(2-WEEKDAY($S111),7))+13),1,IF(N($W111)&gt;0,AVERAGEIFS($Z$5:$Z$1000,$U$5:$U$1000,ROW(),$V$5:$V$1000,"Sub"),$Z111)))</f>
        <v/>
      </c>
      <c r="AE111" s="62">
        <f>IF($V111="","",IF(AND(ISNUMBER($G111),$G111&lt;=IF($S111=MesCiclo,InicioCiclo,$S111+MOD(2-WEEKDAY($S111),7))+20),1,IF(N($W111)&gt;0,AVERAGEIFS($AA$5:$AA$1000,$U$5:$U$1000,ROW(),$V$5:$V$1000,"Sub"),$AA111)))</f>
        <v/>
      </c>
      <c r="AF111" s="62">
        <f>IF($V111="","",IF(AND(ISNUMBER($G111),$G111&lt;=IF($S111=MesCiclo,InicioCiclo,$S111+MOD(2-WEEKDAY($S111),7))+27),1,IF(N($W111)&gt;0,AVERAGEIFS($AB$5:$AB$1000,$U$5:$U$1000,ROW(),$V$5:$V$1000,"Sub"),$AB111)))</f>
        <v/>
      </c>
      <c r="AG111" s="62">
        <f>IF($V111&lt;&gt;"Macro","",IF(COUNTIFS($S$5:$S$1000,$S111,$V$5:$V$1000,"Macro",$H$5:$H$1000,"&gt;0")=0,1/COUNTIFS($S$5:$S$1000,$S111,$V$5:$V$1000,"Macro"),IF(AND(ISNUMBER($H111),N($H111)&gt;0),$H111,SUMIFS($H$5:$H$1000,$S$5:$S$1000,$S111,$V$5:$V$1000,"Macro")/COUNTIFS($S$5:$S$1000,$S111,$V$5:$V$1000,"Macro",$H$5:$H$1000,"&gt;0"))/(COUNTIFS($S$5:$S$1000,$S111,$V$5:$V$1000,"Macro")*SUMIFS($H$5:$H$1000,$S$5:$S$1000,$S111,$V$5:$V$1000,"Macro")/COUNTIFS($S$5:$S$1000,$S111,$V$5:$V$1000,"Macro",$H$5:$H$1000,"&gt;0"))))</f>
        <v/>
      </c>
      <c r="AH111" s="62" t="n"/>
      <c r="AI111" s="62" t="n"/>
      <c r="AJ111" s="62" t="n"/>
      <c r="AK111" s="62" t="n"/>
      <c r="AL111" s="62">
        <f>IF(LEFT($C111,11)="[Jefatura] ",IFERROR(MATCH("Riesgo Operacional|"&amp;MID($C111,12,500),rDname_ADM,0),0),"")</f>
        <v/>
      </c>
      <c r="AM111" s="62">
        <f>IF(N($AL111)&gt;0,INDEX(rIni_ADM,$AL111),IF(ISNUMBER($E111),$E111,""))</f>
        <v/>
      </c>
      <c r="AN111" s="62">
        <f>IF(N($AL111)&gt;0,INDEX(rLim_ADM,$AL111),IF(ISNUMBER($F111),$F111,""))</f>
        <v/>
      </c>
    </row>
    <row r="112">
      <c r="A112" s="56">
        <f>IF(NOT((COUNTA($B112:$D112)+COUNTA($G112:$L112)+COUNTA($Q112))&gt;0),"",IF($V112="Macro",COUNTIFS($V$5:$V112,"Macro",$S$5:$S112,$S112),IF(N($U112)=0,"?",COUNTIFS(INDEX($V$5:$V$1000,1):INDEX($V$5:$V$1000,$U112-4),"Macro",INDEX($S$5:$S$1000,1):INDEX($S$5:$S$1000,$U112-4),INDEX($S$5:$S$1000,$U112-4))&amp;"."&amp;COUNTIFS($U$5:$U112,$U112,$V$5:$V112,"Sub"))))</f>
        <v/>
      </c>
      <c r="B112" s="57" t="n"/>
      <c r="C112" s="58" t="n"/>
      <c r="D112" s="58" t="n"/>
      <c r="E112" s="59">
        <f>IF(N($AL112)&gt;0,INDEX(rIni_ADM,$AL112),"")</f>
        <v/>
      </c>
      <c r="F112" s="59">
        <f>IF(N($AL112)&gt;0,INDEX(rLim_ADM,$AL112),"")</f>
        <v/>
      </c>
      <c r="G112" s="59" t="n"/>
      <c r="H112" s="60" t="n"/>
      <c r="I112" s="60" t="n"/>
      <c r="J112" s="60" t="n"/>
      <c r="K112" s="60" t="n"/>
      <c r="L112" s="60" t="n"/>
      <c r="M112" s="61">
        <f>IF(NOT((COUNTA($B112:$D112)+COUNTA($G112:$L112)+COUNTA($Q112))&gt;0),"",IF(ISNUMBER($G112),1,IF(N($W112)&gt;0,AVERAGEIFS($X$5:$X$1000,$U$5:$U$1000,ROW(),$V$5:$V$1000,"Sub"),$X112)))</f>
        <v/>
      </c>
      <c r="N112" s="56">
        <f>IF($M112="","",IF($M112&gt;=1,"Completado",IF($M112&gt;0,"En curso","Pendiente")))</f>
        <v/>
      </c>
      <c r="O112" s="56">
        <f>IF(NOT((COUNTA($B112:$D112)+COUNTA($G112:$L112)+COUNTA($Q112))&gt;0),"",IF(ISNUMBER($G112),IF(AND(ISNUMBER($AN112),$G112&gt;$AN112),"Cumplida con "&amp;($G112-$AN112)&amp;IF($G112-$AN112=1," día"," días")&amp;" de retraso","Cumplida"),IF(N($M112)&gt;=1,"Cumplida",IF(NOT(ISNUMBER($AN112)),"Sin fecha límite",IF($AN112&lt;FechaRef,"Vencida hace "&amp;(FechaRef-$AN112)&amp;IF(FechaRef-$AN112=1," día"," días"),IF($AN112=FechaRef,"Vence hoy",IF($AN112-FechaRef&lt;=DiasAlerta,"Vence en "&amp;($AN112-FechaRef)&amp;IF($AN112-FechaRef=1," día"," días"),"En plazo")))))))</f>
        <v/>
      </c>
      <c r="P112" s="62" t="n"/>
      <c r="Q112" s="58" t="n"/>
      <c r="R112" s="63">
        <f>IF(NOT((COUNTA($B112:$D112)+COUNTA($G112:$L112)+COUNTA($Q112))&gt;0),"",IF((IF($C112="","Falta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",""))="","✔ OK","⚠ "&amp;LEFT(IF($C112="","Falta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",""),LEN(IF($C112="","Falta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",""))-3)))</f>
        <v/>
      </c>
      <c r="S112" s="64">
        <f>IF(NOT((COUNTA($B112:$D112)+COUNTA($G112:$L112)+COUNTA($Q112))&gt;0),"",IF(AND($V112="Sub",N($U112)&gt;0),IF(ISNUMBER(INDEX($AM$5:$AM$1000,$U112-4)),DATE(YEAR(INDEX($AM$5:$AM$1000,$U112-4)),MONTH(INDEX($AM$5:$AM$1000,$U112-4)),1),IF(ISNUMBER(INDEX($AN$5:$AN$1000,$U112-4)),DATE(YEAR(INDEX($AN$5:$AN$1000,$U112-4)),MONTH(INDEX($AN$5:$AN$1000,$U112-4)),1),MesCiclo)),IF(ISNUMBER($AM112),DATE(YEAR($AM112),MONTH($AM112),1),IF(ISNUMBER($AN112),DATE(YEAR($AN112),MONTH($AN112),1),MesCiclo))))</f>
        <v/>
      </c>
      <c r="T112" s="62">
        <f>IF(OR($S112="",$S112&lt;&gt;MesCiclo),"",COUNTIF($S$5:$S112,MesCiclo))</f>
        <v/>
      </c>
      <c r="U112" s="62">
        <f>IF($V112="","",IF($V112="Macro",ROW(),IFERROR(LOOKUP(2,1/($V$5:$V112="Macro"),ROW($V$5:$V112)),0)))</f>
        <v/>
      </c>
      <c r="V112" s="62">
        <f>IF(NOT((COUNTA($B112:$D112)+COUNTA($G112:$L112)+COUNTA($Q112))&gt;0),"",IF($B112="Subactividad","Sub","Macro"))</f>
        <v/>
      </c>
      <c r="W112" s="62">
        <f>IF($V112="Macro",COUNTIFS($U$5:$U$1000,ROW(),$V$5:$V$1000,"Sub"),"")</f>
        <v/>
      </c>
      <c r="X112" s="62">
        <f>IF($V112="","",IF(ISNUMBER($G112),1,IFERROR(LOOKUP(2,1/($I112:$L112&lt;&gt;""),$I112:$L112),0)))</f>
        <v/>
      </c>
      <c r="Y112" s="62">
        <f>IF($V112="","",IF(AND(ISNUMBER($G112),$G112&lt;=IF($S112=MesCiclo,InicioCiclo,$S112+MOD(2-WEEKDAY($S112),7))+6),1,IF(ISNUMBER($I112),$I112,0)))</f>
        <v/>
      </c>
      <c r="Z112" s="62">
        <f>IF($V112="","",IF(AND(ISNUMBER($G112),$G112&lt;=IF($S112=MesCiclo,InicioCiclo,$S112+MOD(2-WEEKDAY($S112),7))+13),1,IF(ISNUMBER($J112),$J112,$Y112)))</f>
        <v/>
      </c>
      <c r="AA112" s="62">
        <f>IF($V112="","",IF(AND(ISNUMBER($G112),$G112&lt;=IF($S112=MesCiclo,InicioCiclo,$S112+MOD(2-WEEKDAY($S112),7))+20),1,IF(ISNUMBER($K112),$K112,$Z112)))</f>
        <v/>
      </c>
      <c r="AB112" s="62">
        <f>IF($V112="","",IF(AND(ISNUMBER($G112),$G112&lt;=IF($S112=MesCiclo,InicioCiclo,$S112+MOD(2-WEEKDAY($S112),7))+27),1,IF(ISNUMBER($L112),$L112,$AA112)))</f>
        <v/>
      </c>
      <c r="AC112" s="62">
        <f>IF($V112="","",IF(AND(ISNUMBER($G112),$G112&lt;=IF($S112=MesCiclo,InicioCiclo,$S112+MOD(2-WEEKDAY($S112),7))+6),1,IF(N($W112)&gt;0,AVERAGEIFS($Y$5:$Y$1000,$U$5:$U$1000,ROW(),$V$5:$V$1000,"Sub"),$Y112)))</f>
        <v/>
      </c>
      <c r="AD112" s="62">
        <f>IF($V112="","",IF(AND(ISNUMBER($G112),$G112&lt;=IF($S112=MesCiclo,InicioCiclo,$S112+MOD(2-WEEKDAY($S112),7))+13),1,IF(N($W112)&gt;0,AVERAGEIFS($Z$5:$Z$1000,$U$5:$U$1000,ROW(),$V$5:$V$1000,"Sub"),$Z112)))</f>
        <v/>
      </c>
      <c r="AE112" s="62">
        <f>IF($V112="","",IF(AND(ISNUMBER($G112),$G112&lt;=IF($S112=MesCiclo,InicioCiclo,$S112+MOD(2-WEEKDAY($S112),7))+20),1,IF(N($W112)&gt;0,AVERAGEIFS($AA$5:$AA$1000,$U$5:$U$1000,ROW(),$V$5:$V$1000,"Sub"),$AA112)))</f>
        <v/>
      </c>
      <c r="AF112" s="62">
        <f>IF($V112="","",IF(AND(ISNUMBER($G112),$G112&lt;=IF($S112=MesCiclo,InicioCiclo,$S112+MOD(2-WEEKDAY($S112),7))+27),1,IF(N($W112)&gt;0,AVERAGEIFS($AB$5:$AB$1000,$U$5:$U$1000,ROW(),$V$5:$V$1000,"Sub"),$AB112)))</f>
        <v/>
      </c>
      <c r="AG112" s="62">
        <f>IF($V112&lt;&gt;"Macro","",IF(COUNTIFS($S$5:$S$1000,$S112,$V$5:$V$1000,"Macro",$H$5:$H$1000,"&gt;0")=0,1/COUNTIFS($S$5:$S$1000,$S112,$V$5:$V$1000,"Macro"),IF(AND(ISNUMBER($H112),N($H112)&gt;0),$H112,SUMIFS($H$5:$H$1000,$S$5:$S$1000,$S112,$V$5:$V$1000,"Macro")/COUNTIFS($S$5:$S$1000,$S112,$V$5:$V$1000,"Macro",$H$5:$H$1000,"&gt;0"))/(COUNTIFS($S$5:$S$1000,$S112,$V$5:$V$1000,"Macro")*SUMIFS($H$5:$H$1000,$S$5:$S$1000,$S112,$V$5:$V$1000,"Macro")/COUNTIFS($S$5:$S$1000,$S112,$V$5:$V$1000,"Macro",$H$5:$H$1000,"&gt;0"))))</f>
        <v/>
      </c>
      <c r="AH112" s="62" t="n"/>
      <c r="AI112" s="62" t="n"/>
      <c r="AJ112" s="62" t="n"/>
      <c r="AK112" s="62" t="n"/>
      <c r="AL112" s="62">
        <f>IF(LEFT($C112,11)="[Jefatura] ",IFERROR(MATCH("Riesgo Operacional|"&amp;MID($C112,12,500),rDname_ADM,0),0),"")</f>
        <v/>
      </c>
      <c r="AM112" s="62">
        <f>IF(N($AL112)&gt;0,INDEX(rIni_ADM,$AL112),IF(ISNUMBER($E112),$E112,""))</f>
        <v/>
      </c>
      <c r="AN112" s="62">
        <f>IF(N($AL112)&gt;0,INDEX(rLim_ADM,$AL112),IF(ISNUMBER($F112),$F112,""))</f>
        <v/>
      </c>
    </row>
    <row r="113">
      <c r="A113" s="56">
        <f>IF(NOT((COUNTA($B113:$D113)+COUNTA($G113:$L113)+COUNTA($Q113))&gt;0),"",IF($V113="Macro",COUNTIFS($V$5:$V113,"Macro",$S$5:$S113,$S113),IF(N($U113)=0,"?",COUNTIFS(INDEX($V$5:$V$1000,1):INDEX($V$5:$V$1000,$U113-4),"Macro",INDEX($S$5:$S$1000,1):INDEX($S$5:$S$1000,$U113-4),INDEX($S$5:$S$1000,$U113-4))&amp;"."&amp;COUNTIFS($U$5:$U113,$U113,$V$5:$V113,"Sub"))))</f>
        <v/>
      </c>
      <c r="B113" s="57" t="n"/>
      <c r="C113" s="58" t="n"/>
      <c r="D113" s="58" t="n"/>
      <c r="E113" s="59">
        <f>IF(N($AL113)&gt;0,INDEX(rIni_ADM,$AL113),"")</f>
        <v/>
      </c>
      <c r="F113" s="59">
        <f>IF(N($AL113)&gt;0,INDEX(rLim_ADM,$AL113),"")</f>
        <v/>
      </c>
      <c r="G113" s="59" t="n"/>
      <c r="H113" s="60" t="n"/>
      <c r="I113" s="60" t="n"/>
      <c r="J113" s="60" t="n"/>
      <c r="K113" s="60" t="n"/>
      <c r="L113" s="60" t="n"/>
      <c r="M113" s="61">
        <f>IF(NOT((COUNTA($B113:$D113)+COUNTA($G113:$L113)+COUNTA($Q113))&gt;0),"",IF(ISNUMBER($G113),1,IF(N($W113)&gt;0,AVERAGEIFS($X$5:$X$1000,$U$5:$U$1000,ROW(),$V$5:$V$1000,"Sub"),$X113)))</f>
        <v/>
      </c>
      <c r="N113" s="56">
        <f>IF($M113="","",IF($M113&gt;=1,"Completado",IF($M113&gt;0,"En curso","Pendiente")))</f>
        <v/>
      </c>
      <c r="O113" s="56">
        <f>IF(NOT((COUNTA($B113:$D113)+COUNTA($G113:$L113)+COUNTA($Q113))&gt;0),"",IF(ISNUMBER($G113),IF(AND(ISNUMBER($AN113),$G113&gt;$AN113),"Cumplida con "&amp;($G113-$AN113)&amp;IF($G113-$AN113=1," día"," días")&amp;" de retraso","Cumplida"),IF(N($M113)&gt;=1,"Cumplida",IF(NOT(ISNUMBER($AN113)),"Sin fecha límite",IF($AN113&lt;FechaRef,"Vencida hace "&amp;(FechaRef-$AN113)&amp;IF(FechaRef-$AN113=1," día"," días"),IF($AN113=FechaRef,"Vence hoy",IF($AN113-FechaRef&lt;=DiasAlerta,"Vence en "&amp;($AN113-FechaRef)&amp;IF($AN113-FechaRef=1," día"," días"),"En plazo")))))))</f>
        <v/>
      </c>
      <c r="P113" s="62" t="n"/>
      <c r="Q113" s="58" t="n"/>
      <c r="R113" s="63">
        <f>IF(NOT((COUNTA($B113:$D113)+COUNTA($G113:$L113)+COUNTA($Q113))&gt;0),"",IF((IF($C113="","Falta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",""))="","✔ OK","⚠ "&amp;LEFT(IF($C113="","Falta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",""),LEN(IF($C113="","Falta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",""))-3)))</f>
        <v/>
      </c>
      <c r="S113" s="64">
        <f>IF(NOT((COUNTA($B113:$D113)+COUNTA($G113:$L113)+COUNTA($Q113))&gt;0),"",IF(AND($V113="Sub",N($U113)&gt;0),IF(ISNUMBER(INDEX($AM$5:$AM$1000,$U113-4)),DATE(YEAR(INDEX($AM$5:$AM$1000,$U113-4)),MONTH(INDEX($AM$5:$AM$1000,$U113-4)),1),IF(ISNUMBER(INDEX($AN$5:$AN$1000,$U113-4)),DATE(YEAR(INDEX($AN$5:$AN$1000,$U113-4)),MONTH(INDEX($AN$5:$AN$1000,$U113-4)),1),MesCiclo)),IF(ISNUMBER($AM113),DATE(YEAR($AM113),MONTH($AM113),1),IF(ISNUMBER($AN113),DATE(YEAR($AN113),MONTH($AN113),1),MesCiclo))))</f>
        <v/>
      </c>
      <c r="T113" s="62">
        <f>IF(OR($S113="",$S113&lt;&gt;MesCiclo),"",COUNTIF($S$5:$S113,MesCiclo))</f>
        <v/>
      </c>
      <c r="U113" s="62">
        <f>IF($V113="","",IF($V113="Macro",ROW(),IFERROR(LOOKUP(2,1/($V$5:$V113="Macro"),ROW($V$5:$V113)),0)))</f>
        <v/>
      </c>
      <c r="V113" s="62">
        <f>IF(NOT((COUNTA($B113:$D113)+COUNTA($G113:$L113)+COUNTA($Q113))&gt;0),"",IF($B113="Subactividad","Sub","Macro"))</f>
        <v/>
      </c>
      <c r="W113" s="62">
        <f>IF($V113="Macro",COUNTIFS($U$5:$U$1000,ROW(),$V$5:$V$1000,"Sub"),"")</f>
        <v/>
      </c>
      <c r="X113" s="62">
        <f>IF($V113="","",IF(ISNUMBER($G113),1,IFERROR(LOOKUP(2,1/($I113:$L113&lt;&gt;""),$I113:$L113),0)))</f>
        <v/>
      </c>
      <c r="Y113" s="62">
        <f>IF($V113="","",IF(AND(ISNUMBER($G113),$G113&lt;=IF($S113=MesCiclo,InicioCiclo,$S113+MOD(2-WEEKDAY($S113),7))+6),1,IF(ISNUMBER($I113),$I113,0)))</f>
        <v/>
      </c>
      <c r="Z113" s="62">
        <f>IF($V113="","",IF(AND(ISNUMBER($G113),$G113&lt;=IF($S113=MesCiclo,InicioCiclo,$S113+MOD(2-WEEKDAY($S113),7))+13),1,IF(ISNUMBER($J113),$J113,$Y113)))</f>
        <v/>
      </c>
      <c r="AA113" s="62">
        <f>IF($V113="","",IF(AND(ISNUMBER($G113),$G113&lt;=IF($S113=MesCiclo,InicioCiclo,$S113+MOD(2-WEEKDAY($S113),7))+20),1,IF(ISNUMBER($K113),$K113,$Z113)))</f>
        <v/>
      </c>
      <c r="AB113" s="62">
        <f>IF($V113="","",IF(AND(ISNUMBER($G113),$G113&lt;=IF($S113=MesCiclo,InicioCiclo,$S113+MOD(2-WEEKDAY($S113),7))+27),1,IF(ISNUMBER($L113),$L113,$AA113)))</f>
        <v/>
      </c>
      <c r="AC113" s="62">
        <f>IF($V113="","",IF(AND(ISNUMBER($G113),$G113&lt;=IF($S113=MesCiclo,InicioCiclo,$S113+MOD(2-WEEKDAY($S113),7))+6),1,IF(N($W113)&gt;0,AVERAGEIFS($Y$5:$Y$1000,$U$5:$U$1000,ROW(),$V$5:$V$1000,"Sub"),$Y113)))</f>
        <v/>
      </c>
      <c r="AD113" s="62">
        <f>IF($V113="","",IF(AND(ISNUMBER($G113),$G113&lt;=IF($S113=MesCiclo,InicioCiclo,$S113+MOD(2-WEEKDAY($S113),7))+13),1,IF(N($W113)&gt;0,AVERAGEIFS($Z$5:$Z$1000,$U$5:$U$1000,ROW(),$V$5:$V$1000,"Sub"),$Z113)))</f>
        <v/>
      </c>
      <c r="AE113" s="62">
        <f>IF($V113="","",IF(AND(ISNUMBER($G113),$G113&lt;=IF($S113=MesCiclo,InicioCiclo,$S113+MOD(2-WEEKDAY($S113),7))+20),1,IF(N($W113)&gt;0,AVERAGEIFS($AA$5:$AA$1000,$U$5:$U$1000,ROW(),$V$5:$V$1000,"Sub"),$AA113)))</f>
        <v/>
      </c>
      <c r="AF113" s="62">
        <f>IF($V113="","",IF(AND(ISNUMBER($G113),$G113&lt;=IF($S113=MesCiclo,InicioCiclo,$S113+MOD(2-WEEKDAY($S113),7))+27),1,IF(N($W113)&gt;0,AVERAGEIFS($AB$5:$AB$1000,$U$5:$U$1000,ROW(),$V$5:$V$1000,"Sub"),$AB113)))</f>
        <v/>
      </c>
      <c r="AG113" s="62">
        <f>IF($V113&lt;&gt;"Macro","",IF(COUNTIFS($S$5:$S$1000,$S113,$V$5:$V$1000,"Macro",$H$5:$H$1000,"&gt;0")=0,1/COUNTIFS($S$5:$S$1000,$S113,$V$5:$V$1000,"Macro"),IF(AND(ISNUMBER($H113),N($H113)&gt;0),$H113,SUMIFS($H$5:$H$1000,$S$5:$S$1000,$S113,$V$5:$V$1000,"Macro")/COUNTIFS($S$5:$S$1000,$S113,$V$5:$V$1000,"Macro",$H$5:$H$1000,"&gt;0"))/(COUNTIFS($S$5:$S$1000,$S113,$V$5:$V$1000,"Macro")*SUMIFS($H$5:$H$1000,$S$5:$S$1000,$S113,$V$5:$V$1000,"Macro")/COUNTIFS($S$5:$S$1000,$S113,$V$5:$V$1000,"Macro",$H$5:$H$1000,"&gt;0"))))</f>
        <v/>
      </c>
      <c r="AH113" s="62" t="n"/>
      <c r="AI113" s="62" t="n"/>
      <c r="AJ113" s="62" t="n"/>
      <c r="AK113" s="62" t="n"/>
      <c r="AL113" s="62">
        <f>IF(LEFT($C113,11)="[Jefatura] ",IFERROR(MATCH("Riesgo Operacional|"&amp;MID($C113,12,500),rDname_ADM,0),0),"")</f>
        <v/>
      </c>
      <c r="AM113" s="62">
        <f>IF(N($AL113)&gt;0,INDEX(rIni_ADM,$AL113),IF(ISNUMBER($E113),$E113,""))</f>
        <v/>
      </c>
      <c r="AN113" s="62">
        <f>IF(N($AL113)&gt;0,INDEX(rLim_ADM,$AL113),IF(ISNUMBER($F113),$F113,""))</f>
        <v/>
      </c>
    </row>
    <row r="114">
      <c r="A114" s="56">
        <f>IF(NOT((COUNTA($B114:$D114)+COUNTA($G114:$L114)+COUNTA($Q114))&gt;0),"",IF($V114="Macro",COUNTIFS($V$5:$V114,"Macro",$S$5:$S114,$S114),IF(N($U114)=0,"?",COUNTIFS(INDEX($V$5:$V$1000,1):INDEX($V$5:$V$1000,$U114-4),"Macro",INDEX($S$5:$S$1000,1):INDEX($S$5:$S$1000,$U114-4),INDEX($S$5:$S$1000,$U114-4))&amp;"."&amp;COUNTIFS($U$5:$U114,$U114,$V$5:$V114,"Sub"))))</f>
        <v/>
      </c>
      <c r="B114" s="57" t="n"/>
      <c r="C114" s="58" t="n"/>
      <c r="D114" s="58" t="n"/>
      <c r="E114" s="59">
        <f>IF(N($AL114)&gt;0,INDEX(rIni_ADM,$AL114),"")</f>
        <v/>
      </c>
      <c r="F114" s="59">
        <f>IF(N($AL114)&gt;0,INDEX(rLim_ADM,$AL114),"")</f>
        <v/>
      </c>
      <c r="G114" s="59" t="n"/>
      <c r="H114" s="60" t="n"/>
      <c r="I114" s="60" t="n"/>
      <c r="J114" s="60" t="n"/>
      <c r="K114" s="60" t="n"/>
      <c r="L114" s="60" t="n"/>
      <c r="M114" s="61">
        <f>IF(NOT((COUNTA($B114:$D114)+COUNTA($G114:$L114)+COUNTA($Q114))&gt;0),"",IF(ISNUMBER($G114),1,IF(N($W114)&gt;0,AVERAGEIFS($X$5:$X$1000,$U$5:$U$1000,ROW(),$V$5:$V$1000,"Sub"),$X114)))</f>
        <v/>
      </c>
      <c r="N114" s="56">
        <f>IF($M114="","",IF($M114&gt;=1,"Completado",IF($M114&gt;0,"En curso","Pendiente")))</f>
        <v/>
      </c>
      <c r="O114" s="56">
        <f>IF(NOT((COUNTA($B114:$D114)+COUNTA($G114:$L114)+COUNTA($Q114))&gt;0),"",IF(ISNUMBER($G114),IF(AND(ISNUMBER($AN114),$G114&gt;$AN114),"Cumplida con "&amp;($G114-$AN114)&amp;IF($G114-$AN114=1," día"," días")&amp;" de retraso","Cumplida"),IF(N($M114)&gt;=1,"Cumplida",IF(NOT(ISNUMBER($AN114)),"Sin fecha límite",IF($AN114&lt;FechaRef,"Vencida hace "&amp;(FechaRef-$AN114)&amp;IF(FechaRef-$AN114=1," día"," días"),IF($AN114=FechaRef,"Vence hoy",IF($AN114-FechaRef&lt;=DiasAlerta,"Vence en "&amp;($AN114-FechaRef)&amp;IF($AN114-FechaRef=1," día"," días"),"En plazo")))))))</f>
        <v/>
      </c>
      <c r="P114" s="62" t="n"/>
      <c r="Q114" s="58" t="n"/>
      <c r="R114" s="63">
        <f>IF(NOT((COUNTA($B114:$D114)+COUNTA($G114:$L114)+COUNTA($Q114))&gt;0),"",IF((IF($C114="","Falta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",""))="","✔ OK","⚠ "&amp;LEFT(IF($C114="","Falta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",""),LEN(IF($C114="","Falta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",""))-3)))</f>
        <v/>
      </c>
      <c r="S114" s="64">
        <f>IF(NOT((COUNTA($B114:$D114)+COUNTA($G114:$L114)+COUNTA($Q114))&gt;0),"",IF(AND($V114="Sub",N($U114)&gt;0),IF(ISNUMBER(INDEX($AM$5:$AM$1000,$U114-4)),DATE(YEAR(INDEX($AM$5:$AM$1000,$U114-4)),MONTH(INDEX($AM$5:$AM$1000,$U114-4)),1),IF(ISNUMBER(INDEX($AN$5:$AN$1000,$U114-4)),DATE(YEAR(INDEX($AN$5:$AN$1000,$U114-4)),MONTH(INDEX($AN$5:$AN$1000,$U114-4)),1),MesCiclo)),IF(ISNUMBER($AM114),DATE(YEAR($AM114),MONTH($AM114),1),IF(ISNUMBER($AN114),DATE(YEAR($AN114),MONTH($AN114),1),MesCiclo))))</f>
        <v/>
      </c>
      <c r="T114" s="62">
        <f>IF(OR($S114="",$S114&lt;&gt;MesCiclo),"",COUNTIF($S$5:$S114,MesCiclo))</f>
        <v/>
      </c>
      <c r="U114" s="62">
        <f>IF($V114="","",IF($V114="Macro",ROW(),IFERROR(LOOKUP(2,1/($V$5:$V114="Macro"),ROW($V$5:$V114)),0)))</f>
        <v/>
      </c>
      <c r="V114" s="62">
        <f>IF(NOT((COUNTA($B114:$D114)+COUNTA($G114:$L114)+COUNTA($Q114))&gt;0),"",IF($B114="Subactividad","Sub","Macro"))</f>
        <v/>
      </c>
      <c r="W114" s="62">
        <f>IF($V114="Macro",COUNTIFS($U$5:$U$1000,ROW(),$V$5:$V$1000,"Sub"),"")</f>
        <v/>
      </c>
      <c r="X114" s="62">
        <f>IF($V114="","",IF(ISNUMBER($G114),1,IFERROR(LOOKUP(2,1/($I114:$L114&lt;&gt;""),$I114:$L114),0)))</f>
        <v/>
      </c>
      <c r="Y114" s="62">
        <f>IF($V114="","",IF(AND(ISNUMBER($G114),$G114&lt;=IF($S114=MesCiclo,InicioCiclo,$S114+MOD(2-WEEKDAY($S114),7))+6),1,IF(ISNUMBER($I114),$I114,0)))</f>
        <v/>
      </c>
      <c r="Z114" s="62">
        <f>IF($V114="","",IF(AND(ISNUMBER($G114),$G114&lt;=IF($S114=MesCiclo,InicioCiclo,$S114+MOD(2-WEEKDAY($S114),7))+13),1,IF(ISNUMBER($J114),$J114,$Y114)))</f>
        <v/>
      </c>
      <c r="AA114" s="62">
        <f>IF($V114="","",IF(AND(ISNUMBER($G114),$G114&lt;=IF($S114=MesCiclo,InicioCiclo,$S114+MOD(2-WEEKDAY($S114),7))+20),1,IF(ISNUMBER($K114),$K114,$Z114)))</f>
        <v/>
      </c>
      <c r="AB114" s="62">
        <f>IF($V114="","",IF(AND(ISNUMBER($G114),$G114&lt;=IF($S114=MesCiclo,InicioCiclo,$S114+MOD(2-WEEKDAY($S114),7))+27),1,IF(ISNUMBER($L114),$L114,$AA114)))</f>
        <v/>
      </c>
      <c r="AC114" s="62">
        <f>IF($V114="","",IF(AND(ISNUMBER($G114),$G114&lt;=IF($S114=MesCiclo,InicioCiclo,$S114+MOD(2-WEEKDAY($S114),7))+6),1,IF(N($W114)&gt;0,AVERAGEIFS($Y$5:$Y$1000,$U$5:$U$1000,ROW(),$V$5:$V$1000,"Sub"),$Y114)))</f>
        <v/>
      </c>
      <c r="AD114" s="62">
        <f>IF($V114="","",IF(AND(ISNUMBER($G114),$G114&lt;=IF($S114=MesCiclo,InicioCiclo,$S114+MOD(2-WEEKDAY($S114),7))+13),1,IF(N($W114)&gt;0,AVERAGEIFS($Z$5:$Z$1000,$U$5:$U$1000,ROW(),$V$5:$V$1000,"Sub"),$Z114)))</f>
        <v/>
      </c>
      <c r="AE114" s="62">
        <f>IF($V114="","",IF(AND(ISNUMBER($G114),$G114&lt;=IF($S114=MesCiclo,InicioCiclo,$S114+MOD(2-WEEKDAY($S114),7))+20),1,IF(N($W114)&gt;0,AVERAGEIFS($AA$5:$AA$1000,$U$5:$U$1000,ROW(),$V$5:$V$1000,"Sub"),$AA114)))</f>
        <v/>
      </c>
      <c r="AF114" s="62">
        <f>IF($V114="","",IF(AND(ISNUMBER($G114),$G114&lt;=IF($S114=MesCiclo,InicioCiclo,$S114+MOD(2-WEEKDAY($S114),7))+27),1,IF(N($W114)&gt;0,AVERAGEIFS($AB$5:$AB$1000,$U$5:$U$1000,ROW(),$V$5:$V$1000,"Sub"),$AB114)))</f>
        <v/>
      </c>
      <c r="AG114" s="62">
        <f>IF($V114&lt;&gt;"Macro","",IF(COUNTIFS($S$5:$S$1000,$S114,$V$5:$V$1000,"Macro",$H$5:$H$1000,"&gt;0")=0,1/COUNTIFS($S$5:$S$1000,$S114,$V$5:$V$1000,"Macro"),IF(AND(ISNUMBER($H114),N($H114)&gt;0),$H114,SUMIFS($H$5:$H$1000,$S$5:$S$1000,$S114,$V$5:$V$1000,"Macro")/COUNTIFS($S$5:$S$1000,$S114,$V$5:$V$1000,"Macro",$H$5:$H$1000,"&gt;0"))/(COUNTIFS($S$5:$S$1000,$S114,$V$5:$V$1000,"Macro")*SUMIFS($H$5:$H$1000,$S$5:$S$1000,$S114,$V$5:$V$1000,"Macro")/COUNTIFS($S$5:$S$1000,$S114,$V$5:$V$1000,"Macro",$H$5:$H$1000,"&gt;0"))))</f>
        <v/>
      </c>
      <c r="AH114" s="62" t="n"/>
      <c r="AI114" s="62" t="n"/>
      <c r="AJ114" s="62" t="n"/>
      <c r="AK114" s="62" t="n"/>
      <c r="AL114" s="62">
        <f>IF(LEFT($C114,11)="[Jefatura] ",IFERROR(MATCH("Riesgo Operacional|"&amp;MID($C114,12,500),rDname_ADM,0),0),"")</f>
        <v/>
      </c>
      <c r="AM114" s="62">
        <f>IF(N($AL114)&gt;0,INDEX(rIni_ADM,$AL114),IF(ISNUMBER($E114),$E114,""))</f>
        <v/>
      </c>
      <c r="AN114" s="62">
        <f>IF(N($AL114)&gt;0,INDEX(rLim_ADM,$AL114),IF(ISNUMBER($F114),$F114,""))</f>
        <v/>
      </c>
    </row>
    <row r="115">
      <c r="A115" s="56">
        <f>IF(NOT((COUNTA($B115:$D115)+COUNTA($G115:$L115)+COUNTA($Q115))&gt;0),"",IF($V115="Macro",COUNTIFS($V$5:$V115,"Macro",$S$5:$S115,$S115),IF(N($U115)=0,"?",COUNTIFS(INDEX($V$5:$V$1000,1):INDEX($V$5:$V$1000,$U115-4),"Macro",INDEX($S$5:$S$1000,1):INDEX($S$5:$S$1000,$U115-4),INDEX($S$5:$S$1000,$U115-4))&amp;"."&amp;COUNTIFS($U$5:$U115,$U115,$V$5:$V115,"Sub"))))</f>
        <v/>
      </c>
      <c r="B115" s="57" t="n"/>
      <c r="C115" s="58" t="n"/>
      <c r="D115" s="58" t="n"/>
      <c r="E115" s="59">
        <f>IF(N($AL115)&gt;0,INDEX(rIni_ADM,$AL115),"")</f>
        <v/>
      </c>
      <c r="F115" s="59">
        <f>IF(N($AL115)&gt;0,INDEX(rLim_ADM,$AL115),"")</f>
        <v/>
      </c>
      <c r="G115" s="59" t="n"/>
      <c r="H115" s="60" t="n"/>
      <c r="I115" s="60" t="n"/>
      <c r="J115" s="60" t="n"/>
      <c r="K115" s="60" t="n"/>
      <c r="L115" s="60" t="n"/>
      <c r="M115" s="61">
        <f>IF(NOT((COUNTA($B115:$D115)+COUNTA($G115:$L115)+COUNTA($Q115))&gt;0),"",IF(ISNUMBER($G115),1,IF(N($W115)&gt;0,AVERAGEIFS($X$5:$X$1000,$U$5:$U$1000,ROW(),$V$5:$V$1000,"Sub"),$X115)))</f>
        <v/>
      </c>
      <c r="N115" s="56">
        <f>IF($M115="","",IF($M115&gt;=1,"Completado",IF($M115&gt;0,"En curso","Pendiente")))</f>
        <v/>
      </c>
      <c r="O115" s="56">
        <f>IF(NOT((COUNTA($B115:$D115)+COUNTA($G115:$L115)+COUNTA($Q115))&gt;0),"",IF(ISNUMBER($G115),IF(AND(ISNUMBER($AN115),$G115&gt;$AN115),"Cumplida con "&amp;($G115-$AN115)&amp;IF($G115-$AN115=1," día"," días")&amp;" de retraso","Cumplida"),IF(N($M115)&gt;=1,"Cumplida",IF(NOT(ISNUMBER($AN115)),"Sin fecha límite",IF($AN115&lt;FechaRef,"Vencida hace "&amp;(FechaRef-$AN115)&amp;IF(FechaRef-$AN115=1," día"," días"),IF($AN115=FechaRef,"Vence hoy",IF($AN115-FechaRef&lt;=DiasAlerta,"Vence en "&amp;($AN115-FechaRef)&amp;IF($AN115-FechaRef=1," día"," días"),"En plazo")))))))</f>
        <v/>
      </c>
      <c r="P115" s="62" t="n"/>
      <c r="Q115" s="58" t="n"/>
      <c r="R115" s="63">
        <f>IF(NOT((COUNTA($B115:$D115)+COUNTA($G115:$L115)+COUNTA($Q115))&gt;0),"",IF((IF($C115="","Falta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",""))="","✔ OK","⚠ "&amp;LEFT(IF($C115="","Falta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",""),LEN(IF($C115="","Falta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",""))-3)))</f>
        <v/>
      </c>
      <c r="S115" s="64">
        <f>IF(NOT((COUNTA($B115:$D115)+COUNTA($G115:$L115)+COUNTA($Q115))&gt;0),"",IF(AND($V115="Sub",N($U115)&gt;0),IF(ISNUMBER(INDEX($AM$5:$AM$1000,$U115-4)),DATE(YEAR(INDEX($AM$5:$AM$1000,$U115-4)),MONTH(INDEX($AM$5:$AM$1000,$U115-4)),1),IF(ISNUMBER(INDEX($AN$5:$AN$1000,$U115-4)),DATE(YEAR(INDEX($AN$5:$AN$1000,$U115-4)),MONTH(INDEX($AN$5:$AN$1000,$U115-4)),1),MesCiclo)),IF(ISNUMBER($AM115),DATE(YEAR($AM115),MONTH($AM115),1),IF(ISNUMBER($AN115),DATE(YEAR($AN115),MONTH($AN115),1),MesCiclo))))</f>
        <v/>
      </c>
      <c r="T115" s="62">
        <f>IF(OR($S115="",$S115&lt;&gt;MesCiclo),"",COUNTIF($S$5:$S115,MesCiclo))</f>
        <v/>
      </c>
      <c r="U115" s="62">
        <f>IF($V115="","",IF($V115="Macro",ROW(),IFERROR(LOOKUP(2,1/($V$5:$V115="Macro"),ROW($V$5:$V115)),0)))</f>
        <v/>
      </c>
      <c r="V115" s="62">
        <f>IF(NOT((COUNTA($B115:$D115)+COUNTA($G115:$L115)+COUNTA($Q115))&gt;0),"",IF($B115="Subactividad","Sub","Macro"))</f>
        <v/>
      </c>
      <c r="W115" s="62">
        <f>IF($V115="Macro",COUNTIFS($U$5:$U$1000,ROW(),$V$5:$V$1000,"Sub"),"")</f>
        <v/>
      </c>
      <c r="X115" s="62">
        <f>IF($V115="","",IF(ISNUMBER($G115),1,IFERROR(LOOKUP(2,1/($I115:$L115&lt;&gt;""),$I115:$L115),0)))</f>
        <v/>
      </c>
      <c r="Y115" s="62">
        <f>IF($V115="","",IF(AND(ISNUMBER($G115),$G115&lt;=IF($S115=MesCiclo,InicioCiclo,$S115+MOD(2-WEEKDAY($S115),7))+6),1,IF(ISNUMBER($I115),$I115,0)))</f>
        <v/>
      </c>
      <c r="Z115" s="62">
        <f>IF($V115="","",IF(AND(ISNUMBER($G115),$G115&lt;=IF($S115=MesCiclo,InicioCiclo,$S115+MOD(2-WEEKDAY($S115),7))+13),1,IF(ISNUMBER($J115),$J115,$Y115)))</f>
        <v/>
      </c>
      <c r="AA115" s="62">
        <f>IF($V115="","",IF(AND(ISNUMBER($G115),$G115&lt;=IF($S115=MesCiclo,InicioCiclo,$S115+MOD(2-WEEKDAY($S115),7))+20),1,IF(ISNUMBER($K115),$K115,$Z115)))</f>
        <v/>
      </c>
      <c r="AB115" s="62">
        <f>IF($V115="","",IF(AND(ISNUMBER($G115),$G115&lt;=IF($S115=MesCiclo,InicioCiclo,$S115+MOD(2-WEEKDAY($S115),7))+27),1,IF(ISNUMBER($L115),$L115,$AA115)))</f>
        <v/>
      </c>
      <c r="AC115" s="62">
        <f>IF($V115="","",IF(AND(ISNUMBER($G115),$G115&lt;=IF($S115=MesCiclo,InicioCiclo,$S115+MOD(2-WEEKDAY($S115),7))+6),1,IF(N($W115)&gt;0,AVERAGEIFS($Y$5:$Y$1000,$U$5:$U$1000,ROW(),$V$5:$V$1000,"Sub"),$Y115)))</f>
        <v/>
      </c>
      <c r="AD115" s="62">
        <f>IF($V115="","",IF(AND(ISNUMBER($G115),$G115&lt;=IF($S115=MesCiclo,InicioCiclo,$S115+MOD(2-WEEKDAY($S115),7))+13),1,IF(N($W115)&gt;0,AVERAGEIFS($Z$5:$Z$1000,$U$5:$U$1000,ROW(),$V$5:$V$1000,"Sub"),$Z115)))</f>
        <v/>
      </c>
      <c r="AE115" s="62">
        <f>IF($V115="","",IF(AND(ISNUMBER($G115),$G115&lt;=IF($S115=MesCiclo,InicioCiclo,$S115+MOD(2-WEEKDAY($S115),7))+20),1,IF(N($W115)&gt;0,AVERAGEIFS($AA$5:$AA$1000,$U$5:$U$1000,ROW(),$V$5:$V$1000,"Sub"),$AA115)))</f>
        <v/>
      </c>
      <c r="AF115" s="62">
        <f>IF($V115="","",IF(AND(ISNUMBER($G115),$G115&lt;=IF($S115=MesCiclo,InicioCiclo,$S115+MOD(2-WEEKDAY($S115),7))+27),1,IF(N($W115)&gt;0,AVERAGEIFS($AB$5:$AB$1000,$U$5:$U$1000,ROW(),$V$5:$V$1000,"Sub"),$AB115)))</f>
        <v/>
      </c>
      <c r="AG115" s="62">
        <f>IF($V115&lt;&gt;"Macro","",IF(COUNTIFS($S$5:$S$1000,$S115,$V$5:$V$1000,"Macro",$H$5:$H$1000,"&gt;0")=0,1/COUNTIFS($S$5:$S$1000,$S115,$V$5:$V$1000,"Macro"),IF(AND(ISNUMBER($H115),N($H115)&gt;0),$H115,SUMIFS($H$5:$H$1000,$S$5:$S$1000,$S115,$V$5:$V$1000,"Macro")/COUNTIFS($S$5:$S$1000,$S115,$V$5:$V$1000,"Macro",$H$5:$H$1000,"&gt;0"))/(COUNTIFS($S$5:$S$1000,$S115,$V$5:$V$1000,"Macro")*SUMIFS($H$5:$H$1000,$S$5:$S$1000,$S115,$V$5:$V$1000,"Macro")/COUNTIFS($S$5:$S$1000,$S115,$V$5:$V$1000,"Macro",$H$5:$H$1000,"&gt;0"))))</f>
        <v/>
      </c>
      <c r="AH115" s="62" t="n"/>
      <c r="AI115" s="62" t="n"/>
      <c r="AJ115" s="62" t="n"/>
      <c r="AK115" s="62" t="n"/>
      <c r="AL115" s="62">
        <f>IF(LEFT($C115,11)="[Jefatura] ",IFERROR(MATCH("Riesgo Operacional|"&amp;MID($C115,12,500),rDname_ADM,0),0),"")</f>
        <v/>
      </c>
      <c r="AM115" s="62">
        <f>IF(N($AL115)&gt;0,INDEX(rIni_ADM,$AL115),IF(ISNUMBER($E115),$E115,""))</f>
        <v/>
      </c>
      <c r="AN115" s="62">
        <f>IF(N($AL115)&gt;0,INDEX(rLim_ADM,$AL115),IF(ISNUMBER($F115),$F115,""))</f>
        <v/>
      </c>
    </row>
    <row r="116">
      <c r="A116" s="56">
        <f>IF(NOT((COUNTA($B116:$D116)+COUNTA($G116:$L116)+COUNTA($Q116))&gt;0),"",IF($V116="Macro",COUNTIFS($V$5:$V116,"Macro",$S$5:$S116,$S116),IF(N($U116)=0,"?",COUNTIFS(INDEX($V$5:$V$1000,1):INDEX($V$5:$V$1000,$U116-4),"Macro",INDEX($S$5:$S$1000,1):INDEX($S$5:$S$1000,$U116-4),INDEX($S$5:$S$1000,$U116-4))&amp;"."&amp;COUNTIFS($U$5:$U116,$U116,$V$5:$V116,"Sub"))))</f>
        <v/>
      </c>
      <c r="B116" s="57" t="n"/>
      <c r="C116" s="58" t="n"/>
      <c r="D116" s="58" t="n"/>
      <c r="E116" s="59">
        <f>IF(N($AL116)&gt;0,INDEX(rIni_ADM,$AL116),"")</f>
        <v/>
      </c>
      <c r="F116" s="59">
        <f>IF(N($AL116)&gt;0,INDEX(rLim_ADM,$AL116),"")</f>
        <v/>
      </c>
      <c r="G116" s="59" t="n"/>
      <c r="H116" s="60" t="n"/>
      <c r="I116" s="60" t="n"/>
      <c r="J116" s="60" t="n"/>
      <c r="K116" s="60" t="n"/>
      <c r="L116" s="60" t="n"/>
      <c r="M116" s="61">
        <f>IF(NOT((COUNTA($B116:$D116)+COUNTA($G116:$L116)+COUNTA($Q116))&gt;0),"",IF(ISNUMBER($G116),1,IF(N($W116)&gt;0,AVERAGEIFS($X$5:$X$1000,$U$5:$U$1000,ROW(),$V$5:$V$1000,"Sub"),$X116)))</f>
        <v/>
      </c>
      <c r="N116" s="56">
        <f>IF($M116="","",IF($M116&gt;=1,"Completado",IF($M116&gt;0,"En curso","Pendiente")))</f>
        <v/>
      </c>
      <c r="O116" s="56">
        <f>IF(NOT((COUNTA($B116:$D116)+COUNTA($G116:$L116)+COUNTA($Q116))&gt;0),"",IF(ISNUMBER($G116),IF(AND(ISNUMBER($AN116),$G116&gt;$AN116),"Cumplida con "&amp;($G116-$AN116)&amp;IF($G116-$AN116=1," día"," días")&amp;" de retraso","Cumplida"),IF(N($M116)&gt;=1,"Cumplida",IF(NOT(ISNUMBER($AN116)),"Sin fecha límite",IF($AN116&lt;FechaRef,"Vencida hace "&amp;(FechaRef-$AN116)&amp;IF(FechaRef-$AN116=1," día"," días"),IF($AN116=FechaRef,"Vence hoy",IF($AN116-FechaRef&lt;=DiasAlerta,"Vence en "&amp;($AN116-FechaRef)&amp;IF($AN116-FechaRef=1," día"," días"),"En plazo")))))))</f>
        <v/>
      </c>
      <c r="P116" s="62" t="n"/>
      <c r="Q116" s="58" t="n"/>
      <c r="R116" s="63">
        <f>IF(NOT((COUNTA($B116:$D116)+COUNTA($G116:$L116)+COUNTA($Q116))&gt;0),"",IF((IF($C116="","Falta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",""))="","✔ OK","⚠ "&amp;LEFT(IF($C116="","Falta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",""),LEN(IF($C116="","Falta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",""))-3)))</f>
        <v/>
      </c>
      <c r="S116" s="64">
        <f>IF(NOT((COUNTA($B116:$D116)+COUNTA($G116:$L116)+COUNTA($Q116))&gt;0),"",IF(AND($V116="Sub",N($U116)&gt;0),IF(ISNUMBER(INDEX($AM$5:$AM$1000,$U116-4)),DATE(YEAR(INDEX($AM$5:$AM$1000,$U116-4)),MONTH(INDEX($AM$5:$AM$1000,$U116-4)),1),IF(ISNUMBER(INDEX($AN$5:$AN$1000,$U116-4)),DATE(YEAR(INDEX($AN$5:$AN$1000,$U116-4)),MONTH(INDEX($AN$5:$AN$1000,$U116-4)),1),MesCiclo)),IF(ISNUMBER($AM116),DATE(YEAR($AM116),MONTH($AM116),1),IF(ISNUMBER($AN116),DATE(YEAR($AN116),MONTH($AN116),1),MesCiclo))))</f>
        <v/>
      </c>
      <c r="T116" s="62">
        <f>IF(OR($S116="",$S116&lt;&gt;MesCiclo),"",COUNTIF($S$5:$S116,MesCiclo))</f>
        <v/>
      </c>
      <c r="U116" s="62">
        <f>IF($V116="","",IF($V116="Macro",ROW(),IFERROR(LOOKUP(2,1/($V$5:$V116="Macro"),ROW($V$5:$V116)),0)))</f>
        <v/>
      </c>
      <c r="V116" s="62">
        <f>IF(NOT((COUNTA($B116:$D116)+COUNTA($G116:$L116)+COUNTA($Q116))&gt;0),"",IF($B116="Subactividad","Sub","Macro"))</f>
        <v/>
      </c>
      <c r="W116" s="62">
        <f>IF($V116="Macro",COUNTIFS($U$5:$U$1000,ROW(),$V$5:$V$1000,"Sub"),"")</f>
        <v/>
      </c>
      <c r="X116" s="62">
        <f>IF($V116="","",IF(ISNUMBER($G116),1,IFERROR(LOOKUP(2,1/($I116:$L116&lt;&gt;""),$I116:$L116),0)))</f>
        <v/>
      </c>
      <c r="Y116" s="62">
        <f>IF($V116="","",IF(AND(ISNUMBER($G116),$G116&lt;=IF($S116=MesCiclo,InicioCiclo,$S116+MOD(2-WEEKDAY($S116),7))+6),1,IF(ISNUMBER($I116),$I116,0)))</f>
        <v/>
      </c>
      <c r="Z116" s="62">
        <f>IF($V116="","",IF(AND(ISNUMBER($G116),$G116&lt;=IF($S116=MesCiclo,InicioCiclo,$S116+MOD(2-WEEKDAY($S116),7))+13),1,IF(ISNUMBER($J116),$J116,$Y116)))</f>
        <v/>
      </c>
      <c r="AA116" s="62">
        <f>IF($V116="","",IF(AND(ISNUMBER($G116),$G116&lt;=IF($S116=MesCiclo,InicioCiclo,$S116+MOD(2-WEEKDAY($S116),7))+20),1,IF(ISNUMBER($K116),$K116,$Z116)))</f>
        <v/>
      </c>
      <c r="AB116" s="62">
        <f>IF($V116="","",IF(AND(ISNUMBER($G116),$G116&lt;=IF($S116=MesCiclo,InicioCiclo,$S116+MOD(2-WEEKDAY($S116),7))+27),1,IF(ISNUMBER($L116),$L116,$AA116)))</f>
        <v/>
      </c>
      <c r="AC116" s="62">
        <f>IF($V116="","",IF(AND(ISNUMBER($G116),$G116&lt;=IF($S116=MesCiclo,InicioCiclo,$S116+MOD(2-WEEKDAY($S116),7))+6),1,IF(N($W116)&gt;0,AVERAGEIFS($Y$5:$Y$1000,$U$5:$U$1000,ROW(),$V$5:$V$1000,"Sub"),$Y116)))</f>
        <v/>
      </c>
      <c r="AD116" s="62">
        <f>IF($V116="","",IF(AND(ISNUMBER($G116),$G116&lt;=IF($S116=MesCiclo,InicioCiclo,$S116+MOD(2-WEEKDAY($S116),7))+13),1,IF(N($W116)&gt;0,AVERAGEIFS($Z$5:$Z$1000,$U$5:$U$1000,ROW(),$V$5:$V$1000,"Sub"),$Z116)))</f>
        <v/>
      </c>
      <c r="AE116" s="62">
        <f>IF($V116="","",IF(AND(ISNUMBER($G116),$G116&lt;=IF($S116=MesCiclo,InicioCiclo,$S116+MOD(2-WEEKDAY($S116),7))+20),1,IF(N($W116)&gt;0,AVERAGEIFS($AA$5:$AA$1000,$U$5:$U$1000,ROW(),$V$5:$V$1000,"Sub"),$AA116)))</f>
        <v/>
      </c>
      <c r="AF116" s="62">
        <f>IF($V116="","",IF(AND(ISNUMBER($G116),$G116&lt;=IF($S116=MesCiclo,InicioCiclo,$S116+MOD(2-WEEKDAY($S116),7))+27),1,IF(N($W116)&gt;0,AVERAGEIFS($AB$5:$AB$1000,$U$5:$U$1000,ROW(),$V$5:$V$1000,"Sub"),$AB116)))</f>
        <v/>
      </c>
      <c r="AG116" s="62">
        <f>IF($V116&lt;&gt;"Macro","",IF(COUNTIFS($S$5:$S$1000,$S116,$V$5:$V$1000,"Macro",$H$5:$H$1000,"&gt;0")=0,1/COUNTIFS($S$5:$S$1000,$S116,$V$5:$V$1000,"Macro"),IF(AND(ISNUMBER($H116),N($H116)&gt;0),$H116,SUMIFS($H$5:$H$1000,$S$5:$S$1000,$S116,$V$5:$V$1000,"Macro")/COUNTIFS($S$5:$S$1000,$S116,$V$5:$V$1000,"Macro",$H$5:$H$1000,"&gt;0"))/(COUNTIFS($S$5:$S$1000,$S116,$V$5:$V$1000,"Macro")*SUMIFS($H$5:$H$1000,$S$5:$S$1000,$S116,$V$5:$V$1000,"Macro")/COUNTIFS($S$5:$S$1000,$S116,$V$5:$V$1000,"Macro",$H$5:$H$1000,"&gt;0"))))</f>
        <v/>
      </c>
      <c r="AH116" s="62" t="n"/>
      <c r="AI116" s="62" t="n"/>
      <c r="AJ116" s="62" t="n"/>
      <c r="AK116" s="62" t="n"/>
      <c r="AL116" s="62">
        <f>IF(LEFT($C116,11)="[Jefatura] ",IFERROR(MATCH("Riesgo Operacional|"&amp;MID($C116,12,500),rDname_ADM,0),0),"")</f>
        <v/>
      </c>
      <c r="AM116" s="62">
        <f>IF(N($AL116)&gt;0,INDEX(rIni_ADM,$AL116),IF(ISNUMBER($E116),$E116,""))</f>
        <v/>
      </c>
      <c r="AN116" s="62">
        <f>IF(N($AL116)&gt;0,INDEX(rLim_ADM,$AL116),IF(ISNUMBER($F116),$F116,""))</f>
        <v/>
      </c>
    </row>
    <row r="117">
      <c r="A117" s="56">
        <f>IF(NOT((COUNTA($B117:$D117)+COUNTA($G117:$L117)+COUNTA($Q117))&gt;0),"",IF($V117="Macro",COUNTIFS($V$5:$V117,"Macro",$S$5:$S117,$S117),IF(N($U117)=0,"?",COUNTIFS(INDEX($V$5:$V$1000,1):INDEX($V$5:$V$1000,$U117-4),"Macro",INDEX($S$5:$S$1000,1):INDEX($S$5:$S$1000,$U117-4),INDEX($S$5:$S$1000,$U117-4))&amp;"."&amp;COUNTIFS($U$5:$U117,$U117,$V$5:$V117,"Sub"))))</f>
        <v/>
      </c>
      <c r="B117" s="57" t="n"/>
      <c r="C117" s="58" t="n"/>
      <c r="D117" s="58" t="n"/>
      <c r="E117" s="59">
        <f>IF(N($AL117)&gt;0,INDEX(rIni_ADM,$AL117),"")</f>
        <v/>
      </c>
      <c r="F117" s="59">
        <f>IF(N($AL117)&gt;0,INDEX(rLim_ADM,$AL117),"")</f>
        <v/>
      </c>
      <c r="G117" s="59" t="n"/>
      <c r="H117" s="60" t="n"/>
      <c r="I117" s="60" t="n"/>
      <c r="J117" s="60" t="n"/>
      <c r="K117" s="60" t="n"/>
      <c r="L117" s="60" t="n"/>
      <c r="M117" s="61">
        <f>IF(NOT((COUNTA($B117:$D117)+COUNTA($G117:$L117)+COUNTA($Q117))&gt;0),"",IF(ISNUMBER($G117),1,IF(N($W117)&gt;0,AVERAGEIFS($X$5:$X$1000,$U$5:$U$1000,ROW(),$V$5:$V$1000,"Sub"),$X117)))</f>
        <v/>
      </c>
      <c r="N117" s="56">
        <f>IF($M117="","",IF($M117&gt;=1,"Completado",IF($M117&gt;0,"En curso","Pendiente")))</f>
        <v/>
      </c>
      <c r="O117" s="56">
        <f>IF(NOT((COUNTA($B117:$D117)+COUNTA($G117:$L117)+COUNTA($Q117))&gt;0),"",IF(ISNUMBER($G117),IF(AND(ISNUMBER($AN117),$G117&gt;$AN117),"Cumplida con "&amp;($G117-$AN117)&amp;IF($G117-$AN117=1," día"," días")&amp;" de retraso","Cumplida"),IF(N($M117)&gt;=1,"Cumplida",IF(NOT(ISNUMBER($AN117)),"Sin fecha límite",IF($AN117&lt;FechaRef,"Vencida hace "&amp;(FechaRef-$AN117)&amp;IF(FechaRef-$AN117=1," día"," días"),IF($AN117=FechaRef,"Vence hoy",IF($AN117-FechaRef&lt;=DiasAlerta,"Vence en "&amp;($AN117-FechaRef)&amp;IF($AN117-FechaRef=1," día"," días"),"En plazo")))))))</f>
        <v/>
      </c>
      <c r="P117" s="62" t="n"/>
      <c r="Q117" s="58" t="n"/>
      <c r="R117" s="63">
        <f>IF(NOT((COUNTA($B117:$D117)+COUNTA($G117:$L117)+COUNTA($Q117))&gt;0),"",IF((IF($C117="","Falta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",""))="","✔ OK","⚠ "&amp;LEFT(IF($C117="","Falta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",""),LEN(IF($C117="","Falta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",""))-3)))</f>
        <v/>
      </c>
      <c r="S117" s="64">
        <f>IF(NOT((COUNTA($B117:$D117)+COUNTA($G117:$L117)+COUNTA($Q117))&gt;0),"",IF(AND($V117="Sub",N($U117)&gt;0),IF(ISNUMBER(INDEX($AM$5:$AM$1000,$U117-4)),DATE(YEAR(INDEX($AM$5:$AM$1000,$U117-4)),MONTH(INDEX($AM$5:$AM$1000,$U117-4)),1),IF(ISNUMBER(INDEX($AN$5:$AN$1000,$U117-4)),DATE(YEAR(INDEX($AN$5:$AN$1000,$U117-4)),MONTH(INDEX($AN$5:$AN$1000,$U117-4)),1),MesCiclo)),IF(ISNUMBER($AM117),DATE(YEAR($AM117),MONTH($AM117),1),IF(ISNUMBER($AN117),DATE(YEAR($AN117),MONTH($AN117),1),MesCiclo))))</f>
        <v/>
      </c>
      <c r="T117" s="62">
        <f>IF(OR($S117="",$S117&lt;&gt;MesCiclo),"",COUNTIF($S$5:$S117,MesCiclo))</f>
        <v/>
      </c>
      <c r="U117" s="62">
        <f>IF($V117="","",IF($V117="Macro",ROW(),IFERROR(LOOKUP(2,1/($V$5:$V117="Macro"),ROW($V$5:$V117)),0)))</f>
        <v/>
      </c>
      <c r="V117" s="62">
        <f>IF(NOT((COUNTA($B117:$D117)+COUNTA($G117:$L117)+COUNTA($Q117))&gt;0),"",IF($B117="Subactividad","Sub","Macro"))</f>
        <v/>
      </c>
      <c r="W117" s="62">
        <f>IF($V117="Macro",COUNTIFS($U$5:$U$1000,ROW(),$V$5:$V$1000,"Sub"),"")</f>
        <v/>
      </c>
      <c r="X117" s="62">
        <f>IF($V117="","",IF(ISNUMBER($G117),1,IFERROR(LOOKUP(2,1/($I117:$L117&lt;&gt;""),$I117:$L117),0)))</f>
        <v/>
      </c>
      <c r="Y117" s="62">
        <f>IF($V117="","",IF(AND(ISNUMBER($G117),$G117&lt;=IF($S117=MesCiclo,InicioCiclo,$S117+MOD(2-WEEKDAY($S117),7))+6),1,IF(ISNUMBER($I117),$I117,0)))</f>
        <v/>
      </c>
      <c r="Z117" s="62">
        <f>IF($V117="","",IF(AND(ISNUMBER($G117),$G117&lt;=IF($S117=MesCiclo,InicioCiclo,$S117+MOD(2-WEEKDAY($S117),7))+13),1,IF(ISNUMBER($J117),$J117,$Y117)))</f>
        <v/>
      </c>
      <c r="AA117" s="62">
        <f>IF($V117="","",IF(AND(ISNUMBER($G117),$G117&lt;=IF($S117=MesCiclo,InicioCiclo,$S117+MOD(2-WEEKDAY($S117),7))+20),1,IF(ISNUMBER($K117),$K117,$Z117)))</f>
        <v/>
      </c>
      <c r="AB117" s="62">
        <f>IF($V117="","",IF(AND(ISNUMBER($G117),$G117&lt;=IF($S117=MesCiclo,InicioCiclo,$S117+MOD(2-WEEKDAY($S117),7))+27),1,IF(ISNUMBER($L117),$L117,$AA117)))</f>
        <v/>
      </c>
      <c r="AC117" s="62">
        <f>IF($V117="","",IF(AND(ISNUMBER($G117),$G117&lt;=IF($S117=MesCiclo,InicioCiclo,$S117+MOD(2-WEEKDAY($S117),7))+6),1,IF(N($W117)&gt;0,AVERAGEIFS($Y$5:$Y$1000,$U$5:$U$1000,ROW(),$V$5:$V$1000,"Sub"),$Y117)))</f>
        <v/>
      </c>
      <c r="AD117" s="62">
        <f>IF($V117="","",IF(AND(ISNUMBER($G117),$G117&lt;=IF($S117=MesCiclo,InicioCiclo,$S117+MOD(2-WEEKDAY($S117),7))+13),1,IF(N($W117)&gt;0,AVERAGEIFS($Z$5:$Z$1000,$U$5:$U$1000,ROW(),$V$5:$V$1000,"Sub"),$Z117)))</f>
        <v/>
      </c>
      <c r="AE117" s="62">
        <f>IF($V117="","",IF(AND(ISNUMBER($G117),$G117&lt;=IF($S117=MesCiclo,InicioCiclo,$S117+MOD(2-WEEKDAY($S117),7))+20),1,IF(N($W117)&gt;0,AVERAGEIFS($AA$5:$AA$1000,$U$5:$U$1000,ROW(),$V$5:$V$1000,"Sub"),$AA117)))</f>
        <v/>
      </c>
      <c r="AF117" s="62">
        <f>IF($V117="","",IF(AND(ISNUMBER($G117),$G117&lt;=IF($S117=MesCiclo,InicioCiclo,$S117+MOD(2-WEEKDAY($S117),7))+27),1,IF(N($W117)&gt;0,AVERAGEIFS($AB$5:$AB$1000,$U$5:$U$1000,ROW(),$V$5:$V$1000,"Sub"),$AB117)))</f>
        <v/>
      </c>
      <c r="AG117" s="62">
        <f>IF($V117&lt;&gt;"Macro","",IF(COUNTIFS($S$5:$S$1000,$S117,$V$5:$V$1000,"Macro",$H$5:$H$1000,"&gt;0")=0,1/COUNTIFS($S$5:$S$1000,$S117,$V$5:$V$1000,"Macro"),IF(AND(ISNUMBER($H117),N($H117)&gt;0),$H117,SUMIFS($H$5:$H$1000,$S$5:$S$1000,$S117,$V$5:$V$1000,"Macro")/COUNTIFS($S$5:$S$1000,$S117,$V$5:$V$1000,"Macro",$H$5:$H$1000,"&gt;0"))/(COUNTIFS($S$5:$S$1000,$S117,$V$5:$V$1000,"Macro")*SUMIFS($H$5:$H$1000,$S$5:$S$1000,$S117,$V$5:$V$1000,"Macro")/COUNTIFS($S$5:$S$1000,$S117,$V$5:$V$1000,"Macro",$H$5:$H$1000,"&gt;0"))))</f>
        <v/>
      </c>
      <c r="AH117" s="62" t="n"/>
      <c r="AI117" s="62" t="n"/>
      <c r="AJ117" s="62" t="n"/>
      <c r="AK117" s="62" t="n"/>
      <c r="AL117" s="62">
        <f>IF(LEFT($C117,11)="[Jefatura] ",IFERROR(MATCH("Riesgo Operacional|"&amp;MID($C117,12,500),rDname_ADM,0),0),"")</f>
        <v/>
      </c>
      <c r="AM117" s="62">
        <f>IF(N($AL117)&gt;0,INDEX(rIni_ADM,$AL117),IF(ISNUMBER($E117),$E117,""))</f>
        <v/>
      </c>
      <c r="AN117" s="62">
        <f>IF(N($AL117)&gt;0,INDEX(rLim_ADM,$AL117),IF(ISNUMBER($F117),$F117,""))</f>
        <v/>
      </c>
    </row>
    <row r="118">
      <c r="A118" s="56">
        <f>IF(NOT((COUNTA($B118:$D118)+COUNTA($G118:$L118)+COUNTA($Q118))&gt;0),"",IF($V118="Macro",COUNTIFS($V$5:$V118,"Macro",$S$5:$S118,$S118),IF(N($U118)=0,"?",COUNTIFS(INDEX($V$5:$V$1000,1):INDEX($V$5:$V$1000,$U118-4),"Macro",INDEX($S$5:$S$1000,1):INDEX($S$5:$S$1000,$U118-4),INDEX($S$5:$S$1000,$U118-4))&amp;"."&amp;COUNTIFS($U$5:$U118,$U118,$V$5:$V118,"Sub"))))</f>
        <v/>
      </c>
      <c r="B118" s="57" t="n"/>
      <c r="C118" s="58" t="n"/>
      <c r="D118" s="58" t="n"/>
      <c r="E118" s="59">
        <f>IF(N($AL118)&gt;0,INDEX(rIni_ADM,$AL118),"")</f>
        <v/>
      </c>
      <c r="F118" s="59">
        <f>IF(N($AL118)&gt;0,INDEX(rLim_ADM,$AL118),"")</f>
        <v/>
      </c>
      <c r="G118" s="59" t="n"/>
      <c r="H118" s="60" t="n"/>
      <c r="I118" s="60" t="n"/>
      <c r="J118" s="60" t="n"/>
      <c r="K118" s="60" t="n"/>
      <c r="L118" s="60" t="n"/>
      <c r="M118" s="61">
        <f>IF(NOT((COUNTA($B118:$D118)+COUNTA($G118:$L118)+COUNTA($Q118))&gt;0),"",IF(ISNUMBER($G118),1,IF(N($W118)&gt;0,AVERAGEIFS($X$5:$X$1000,$U$5:$U$1000,ROW(),$V$5:$V$1000,"Sub"),$X118)))</f>
        <v/>
      </c>
      <c r="N118" s="56">
        <f>IF($M118="","",IF($M118&gt;=1,"Completado",IF($M118&gt;0,"En curso","Pendiente")))</f>
        <v/>
      </c>
      <c r="O118" s="56">
        <f>IF(NOT((COUNTA($B118:$D118)+COUNTA($G118:$L118)+COUNTA($Q118))&gt;0),"",IF(ISNUMBER($G118),IF(AND(ISNUMBER($AN118),$G118&gt;$AN118),"Cumplida con "&amp;($G118-$AN118)&amp;IF($G118-$AN118=1," día"," días")&amp;" de retraso","Cumplida"),IF(N($M118)&gt;=1,"Cumplida",IF(NOT(ISNUMBER($AN118)),"Sin fecha límite",IF($AN118&lt;FechaRef,"Vencida hace "&amp;(FechaRef-$AN118)&amp;IF(FechaRef-$AN118=1," día"," días"),IF($AN118=FechaRef,"Vence hoy",IF($AN118-FechaRef&lt;=DiasAlerta,"Vence en "&amp;($AN118-FechaRef)&amp;IF($AN118-FechaRef=1," día"," días"),"En plazo")))))))</f>
        <v/>
      </c>
      <c r="P118" s="62" t="n"/>
      <c r="Q118" s="58" t="n"/>
      <c r="R118" s="63">
        <f>IF(NOT((COUNTA($B118:$D118)+COUNTA($G118:$L118)+COUNTA($Q118))&gt;0),"",IF((IF($C118="","Falta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",""))="","✔ OK","⚠ "&amp;LEFT(IF($C118="","Falta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",""),LEN(IF($C118="","Falta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",""))-3)))</f>
        <v/>
      </c>
      <c r="S118" s="64">
        <f>IF(NOT((COUNTA($B118:$D118)+COUNTA($G118:$L118)+COUNTA($Q118))&gt;0),"",IF(AND($V118="Sub",N($U118)&gt;0),IF(ISNUMBER(INDEX($AM$5:$AM$1000,$U118-4)),DATE(YEAR(INDEX($AM$5:$AM$1000,$U118-4)),MONTH(INDEX($AM$5:$AM$1000,$U118-4)),1),IF(ISNUMBER(INDEX($AN$5:$AN$1000,$U118-4)),DATE(YEAR(INDEX($AN$5:$AN$1000,$U118-4)),MONTH(INDEX($AN$5:$AN$1000,$U118-4)),1),MesCiclo)),IF(ISNUMBER($AM118),DATE(YEAR($AM118),MONTH($AM118),1),IF(ISNUMBER($AN118),DATE(YEAR($AN118),MONTH($AN118),1),MesCiclo))))</f>
        <v/>
      </c>
      <c r="T118" s="62">
        <f>IF(OR($S118="",$S118&lt;&gt;MesCiclo),"",COUNTIF($S$5:$S118,MesCiclo))</f>
        <v/>
      </c>
      <c r="U118" s="62">
        <f>IF($V118="","",IF($V118="Macro",ROW(),IFERROR(LOOKUP(2,1/($V$5:$V118="Macro"),ROW($V$5:$V118)),0)))</f>
        <v/>
      </c>
      <c r="V118" s="62">
        <f>IF(NOT((COUNTA($B118:$D118)+COUNTA($G118:$L118)+COUNTA($Q118))&gt;0),"",IF($B118="Subactividad","Sub","Macro"))</f>
        <v/>
      </c>
      <c r="W118" s="62">
        <f>IF($V118="Macro",COUNTIFS($U$5:$U$1000,ROW(),$V$5:$V$1000,"Sub"),"")</f>
        <v/>
      </c>
      <c r="X118" s="62">
        <f>IF($V118="","",IF(ISNUMBER($G118),1,IFERROR(LOOKUP(2,1/($I118:$L118&lt;&gt;""),$I118:$L118),0)))</f>
        <v/>
      </c>
      <c r="Y118" s="62">
        <f>IF($V118="","",IF(AND(ISNUMBER($G118),$G118&lt;=IF($S118=MesCiclo,InicioCiclo,$S118+MOD(2-WEEKDAY($S118),7))+6),1,IF(ISNUMBER($I118),$I118,0)))</f>
        <v/>
      </c>
      <c r="Z118" s="62">
        <f>IF($V118="","",IF(AND(ISNUMBER($G118),$G118&lt;=IF($S118=MesCiclo,InicioCiclo,$S118+MOD(2-WEEKDAY($S118),7))+13),1,IF(ISNUMBER($J118),$J118,$Y118)))</f>
        <v/>
      </c>
      <c r="AA118" s="62">
        <f>IF($V118="","",IF(AND(ISNUMBER($G118),$G118&lt;=IF($S118=MesCiclo,InicioCiclo,$S118+MOD(2-WEEKDAY($S118),7))+20),1,IF(ISNUMBER($K118),$K118,$Z118)))</f>
        <v/>
      </c>
      <c r="AB118" s="62">
        <f>IF($V118="","",IF(AND(ISNUMBER($G118),$G118&lt;=IF($S118=MesCiclo,InicioCiclo,$S118+MOD(2-WEEKDAY($S118),7))+27),1,IF(ISNUMBER($L118),$L118,$AA118)))</f>
        <v/>
      </c>
      <c r="AC118" s="62">
        <f>IF($V118="","",IF(AND(ISNUMBER($G118),$G118&lt;=IF($S118=MesCiclo,InicioCiclo,$S118+MOD(2-WEEKDAY($S118),7))+6),1,IF(N($W118)&gt;0,AVERAGEIFS($Y$5:$Y$1000,$U$5:$U$1000,ROW(),$V$5:$V$1000,"Sub"),$Y118)))</f>
        <v/>
      </c>
      <c r="AD118" s="62">
        <f>IF($V118="","",IF(AND(ISNUMBER($G118),$G118&lt;=IF($S118=MesCiclo,InicioCiclo,$S118+MOD(2-WEEKDAY($S118),7))+13),1,IF(N($W118)&gt;0,AVERAGEIFS($Z$5:$Z$1000,$U$5:$U$1000,ROW(),$V$5:$V$1000,"Sub"),$Z118)))</f>
        <v/>
      </c>
      <c r="AE118" s="62">
        <f>IF($V118="","",IF(AND(ISNUMBER($G118),$G118&lt;=IF($S118=MesCiclo,InicioCiclo,$S118+MOD(2-WEEKDAY($S118),7))+20),1,IF(N($W118)&gt;0,AVERAGEIFS($AA$5:$AA$1000,$U$5:$U$1000,ROW(),$V$5:$V$1000,"Sub"),$AA118)))</f>
        <v/>
      </c>
      <c r="AF118" s="62">
        <f>IF($V118="","",IF(AND(ISNUMBER($G118),$G118&lt;=IF($S118=MesCiclo,InicioCiclo,$S118+MOD(2-WEEKDAY($S118),7))+27),1,IF(N($W118)&gt;0,AVERAGEIFS($AB$5:$AB$1000,$U$5:$U$1000,ROW(),$V$5:$V$1000,"Sub"),$AB118)))</f>
        <v/>
      </c>
      <c r="AG118" s="62">
        <f>IF($V118&lt;&gt;"Macro","",IF(COUNTIFS($S$5:$S$1000,$S118,$V$5:$V$1000,"Macro",$H$5:$H$1000,"&gt;0")=0,1/COUNTIFS($S$5:$S$1000,$S118,$V$5:$V$1000,"Macro"),IF(AND(ISNUMBER($H118),N($H118)&gt;0),$H118,SUMIFS($H$5:$H$1000,$S$5:$S$1000,$S118,$V$5:$V$1000,"Macro")/COUNTIFS($S$5:$S$1000,$S118,$V$5:$V$1000,"Macro",$H$5:$H$1000,"&gt;0"))/(COUNTIFS($S$5:$S$1000,$S118,$V$5:$V$1000,"Macro")*SUMIFS($H$5:$H$1000,$S$5:$S$1000,$S118,$V$5:$V$1000,"Macro")/COUNTIFS($S$5:$S$1000,$S118,$V$5:$V$1000,"Macro",$H$5:$H$1000,"&gt;0"))))</f>
        <v/>
      </c>
      <c r="AH118" s="62" t="n"/>
      <c r="AI118" s="62" t="n"/>
      <c r="AJ118" s="62" t="n"/>
      <c r="AK118" s="62" t="n"/>
      <c r="AL118" s="62">
        <f>IF(LEFT($C118,11)="[Jefatura] ",IFERROR(MATCH("Riesgo Operacional|"&amp;MID($C118,12,500),rDname_ADM,0),0),"")</f>
        <v/>
      </c>
      <c r="AM118" s="62">
        <f>IF(N($AL118)&gt;0,INDEX(rIni_ADM,$AL118),IF(ISNUMBER($E118),$E118,""))</f>
        <v/>
      </c>
      <c r="AN118" s="62">
        <f>IF(N($AL118)&gt;0,INDEX(rLim_ADM,$AL118),IF(ISNUMBER($F118),$F118,""))</f>
        <v/>
      </c>
    </row>
    <row r="119">
      <c r="A119" s="56">
        <f>IF(NOT((COUNTA($B119:$D119)+COUNTA($G119:$L119)+COUNTA($Q119))&gt;0),"",IF($V119="Macro",COUNTIFS($V$5:$V119,"Macro",$S$5:$S119,$S119),IF(N($U119)=0,"?",COUNTIFS(INDEX($V$5:$V$1000,1):INDEX($V$5:$V$1000,$U119-4),"Macro",INDEX($S$5:$S$1000,1):INDEX($S$5:$S$1000,$U119-4),INDEX($S$5:$S$1000,$U119-4))&amp;"."&amp;COUNTIFS($U$5:$U119,$U119,$V$5:$V119,"Sub"))))</f>
        <v/>
      </c>
      <c r="B119" s="57" t="n"/>
      <c r="C119" s="58" t="n"/>
      <c r="D119" s="58" t="n"/>
      <c r="E119" s="59">
        <f>IF(N($AL119)&gt;0,INDEX(rIni_ADM,$AL119),"")</f>
        <v/>
      </c>
      <c r="F119" s="59">
        <f>IF(N($AL119)&gt;0,INDEX(rLim_ADM,$AL119),"")</f>
        <v/>
      </c>
      <c r="G119" s="59" t="n"/>
      <c r="H119" s="60" t="n"/>
      <c r="I119" s="60" t="n"/>
      <c r="J119" s="60" t="n"/>
      <c r="K119" s="60" t="n"/>
      <c r="L119" s="60" t="n"/>
      <c r="M119" s="61">
        <f>IF(NOT((COUNTA($B119:$D119)+COUNTA($G119:$L119)+COUNTA($Q119))&gt;0),"",IF(ISNUMBER($G119),1,IF(N($W119)&gt;0,AVERAGEIFS($X$5:$X$1000,$U$5:$U$1000,ROW(),$V$5:$V$1000,"Sub"),$X119)))</f>
        <v/>
      </c>
      <c r="N119" s="56">
        <f>IF($M119="","",IF($M119&gt;=1,"Completado",IF($M119&gt;0,"En curso","Pendiente")))</f>
        <v/>
      </c>
      <c r="O119" s="56">
        <f>IF(NOT((COUNTA($B119:$D119)+COUNTA($G119:$L119)+COUNTA($Q119))&gt;0),"",IF(ISNUMBER($G119),IF(AND(ISNUMBER($AN119),$G119&gt;$AN119),"Cumplida con "&amp;($G119-$AN119)&amp;IF($G119-$AN119=1," día"," días")&amp;" de retraso","Cumplida"),IF(N($M119)&gt;=1,"Cumplida",IF(NOT(ISNUMBER($AN119)),"Sin fecha límite",IF($AN119&lt;FechaRef,"Vencida hace "&amp;(FechaRef-$AN119)&amp;IF(FechaRef-$AN119=1," día"," días"),IF($AN119=FechaRef,"Vence hoy",IF($AN119-FechaRef&lt;=DiasAlerta,"Vence en "&amp;($AN119-FechaRef)&amp;IF($AN119-FechaRef=1," día"," días"),"En plazo")))))))</f>
        <v/>
      </c>
      <c r="P119" s="62" t="n"/>
      <c r="Q119" s="58" t="n"/>
      <c r="R119" s="63">
        <f>IF(NOT((COUNTA($B119:$D119)+COUNTA($G119:$L119)+COUNTA($Q119))&gt;0),"",IF((IF($C119="","Falta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",""))="","✔ OK","⚠ "&amp;LEFT(IF($C119="","Falta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",""),LEN(IF($C119="","Falta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",""))-3)))</f>
        <v/>
      </c>
      <c r="S119" s="64">
        <f>IF(NOT((COUNTA($B119:$D119)+COUNTA($G119:$L119)+COUNTA($Q119))&gt;0),"",IF(AND($V119="Sub",N($U119)&gt;0),IF(ISNUMBER(INDEX($AM$5:$AM$1000,$U119-4)),DATE(YEAR(INDEX($AM$5:$AM$1000,$U119-4)),MONTH(INDEX($AM$5:$AM$1000,$U119-4)),1),IF(ISNUMBER(INDEX($AN$5:$AN$1000,$U119-4)),DATE(YEAR(INDEX($AN$5:$AN$1000,$U119-4)),MONTH(INDEX($AN$5:$AN$1000,$U119-4)),1),MesCiclo)),IF(ISNUMBER($AM119),DATE(YEAR($AM119),MONTH($AM119),1),IF(ISNUMBER($AN119),DATE(YEAR($AN119),MONTH($AN119),1),MesCiclo))))</f>
        <v/>
      </c>
      <c r="T119" s="62">
        <f>IF(OR($S119="",$S119&lt;&gt;MesCiclo),"",COUNTIF($S$5:$S119,MesCiclo))</f>
        <v/>
      </c>
      <c r="U119" s="62">
        <f>IF($V119="","",IF($V119="Macro",ROW(),IFERROR(LOOKUP(2,1/($V$5:$V119="Macro"),ROW($V$5:$V119)),0)))</f>
        <v/>
      </c>
      <c r="V119" s="62">
        <f>IF(NOT((COUNTA($B119:$D119)+COUNTA($G119:$L119)+COUNTA($Q119))&gt;0),"",IF($B119="Subactividad","Sub","Macro"))</f>
        <v/>
      </c>
      <c r="W119" s="62">
        <f>IF($V119="Macro",COUNTIFS($U$5:$U$1000,ROW(),$V$5:$V$1000,"Sub"),"")</f>
        <v/>
      </c>
      <c r="X119" s="62">
        <f>IF($V119="","",IF(ISNUMBER($G119),1,IFERROR(LOOKUP(2,1/($I119:$L119&lt;&gt;""),$I119:$L119),0)))</f>
        <v/>
      </c>
      <c r="Y119" s="62">
        <f>IF($V119="","",IF(AND(ISNUMBER($G119),$G119&lt;=IF($S119=MesCiclo,InicioCiclo,$S119+MOD(2-WEEKDAY($S119),7))+6),1,IF(ISNUMBER($I119),$I119,0)))</f>
        <v/>
      </c>
      <c r="Z119" s="62">
        <f>IF($V119="","",IF(AND(ISNUMBER($G119),$G119&lt;=IF($S119=MesCiclo,InicioCiclo,$S119+MOD(2-WEEKDAY($S119),7))+13),1,IF(ISNUMBER($J119),$J119,$Y119)))</f>
        <v/>
      </c>
      <c r="AA119" s="62">
        <f>IF($V119="","",IF(AND(ISNUMBER($G119),$G119&lt;=IF($S119=MesCiclo,InicioCiclo,$S119+MOD(2-WEEKDAY($S119),7))+20),1,IF(ISNUMBER($K119),$K119,$Z119)))</f>
        <v/>
      </c>
      <c r="AB119" s="62">
        <f>IF($V119="","",IF(AND(ISNUMBER($G119),$G119&lt;=IF($S119=MesCiclo,InicioCiclo,$S119+MOD(2-WEEKDAY($S119),7))+27),1,IF(ISNUMBER($L119),$L119,$AA119)))</f>
        <v/>
      </c>
      <c r="AC119" s="62">
        <f>IF($V119="","",IF(AND(ISNUMBER($G119),$G119&lt;=IF($S119=MesCiclo,InicioCiclo,$S119+MOD(2-WEEKDAY($S119),7))+6),1,IF(N($W119)&gt;0,AVERAGEIFS($Y$5:$Y$1000,$U$5:$U$1000,ROW(),$V$5:$V$1000,"Sub"),$Y119)))</f>
        <v/>
      </c>
      <c r="AD119" s="62">
        <f>IF($V119="","",IF(AND(ISNUMBER($G119),$G119&lt;=IF($S119=MesCiclo,InicioCiclo,$S119+MOD(2-WEEKDAY($S119),7))+13),1,IF(N($W119)&gt;0,AVERAGEIFS($Z$5:$Z$1000,$U$5:$U$1000,ROW(),$V$5:$V$1000,"Sub"),$Z119)))</f>
        <v/>
      </c>
      <c r="AE119" s="62">
        <f>IF($V119="","",IF(AND(ISNUMBER($G119),$G119&lt;=IF($S119=MesCiclo,InicioCiclo,$S119+MOD(2-WEEKDAY($S119),7))+20),1,IF(N($W119)&gt;0,AVERAGEIFS($AA$5:$AA$1000,$U$5:$U$1000,ROW(),$V$5:$V$1000,"Sub"),$AA119)))</f>
        <v/>
      </c>
      <c r="AF119" s="62">
        <f>IF($V119="","",IF(AND(ISNUMBER($G119),$G119&lt;=IF($S119=MesCiclo,InicioCiclo,$S119+MOD(2-WEEKDAY($S119),7))+27),1,IF(N($W119)&gt;0,AVERAGEIFS($AB$5:$AB$1000,$U$5:$U$1000,ROW(),$V$5:$V$1000,"Sub"),$AB119)))</f>
        <v/>
      </c>
      <c r="AG119" s="62">
        <f>IF($V119&lt;&gt;"Macro","",IF(COUNTIFS($S$5:$S$1000,$S119,$V$5:$V$1000,"Macro",$H$5:$H$1000,"&gt;0")=0,1/COUNTIFS($S$5:$S$1000,$S119,$V$5:$V$1000,"Macro"),IF(AND(ISNUMBER($H119),N($H119)&gt;0),$H119,SUMIFS($H$5:$H$1000,$S$5:$S$1000,$S119,$V$5:$V$1000,"Macro")/COUNTIFS($S$5:$S$1000,$S119,$V$5:$V$1000,"Macro",$H$5:$H$1000,"&gt;0"))/(COUNTIFS($S$5:$S$1000,$S119,$V$5:$V$1000,"Macro")*SUMIFS($H$5:$H$1000,$S$5:$S$1000,$S119,$V$5:$V$1000,"Macro")/COUNTIFS($S$5:$S$1000,$S119,$V$5:$V$1000,"Macro",$H$5:$H$1000,"&gt;0"))))</f>
        <v/>
      </c>
      <c r="AH119" s="62" t="n"/>
      <c r="AI119" s="62" t="n"/>
      <c r="AJ119" s="62" t="n"/>
      <c r="AK119" s="62" t="n"/>
      <c r="AL119" s="62">
        <f>IF(LEFT($C119,11)="[Jefatura] ",IFERROR(MATCH("Riesgo Operacional|"&amp;MID($C119,12,500),rDname_ADM,0),0),"")</f>
        <v/>
      </c>
      <c r="AM119" s="62">
        <f>IF(N($AL119)&gt;0,INDEX(rIni_ADM,$AL119),IF(ISNUMBER($E119),$E119,""))</f>
        <v/>
      </c>
      <c r="AN119" s="62">
        <f>IF(N($AL119)&gt;0,INDEX(rLim_ADM,$AL119),IF(ISNUMBER($F119),$F119,""))</f>
        <v/>
      </c>
    </row>
    <row r="120">
      <c r="A120" s="56">
        <f>IF(NOT((COUNTA($B120:$D120)+COUNTA($G120:$L120)+COUNTA($Q120))&gt;0),"",IF($V120="Macro",COUNTIFS($V$5:$V120,"Macro",$S$5:$S120,$S120),IF(N($U120)=0,"?",COUNTIFS(INDEX($V$5:$V$1000,1):INDEX($V$5:$V$1000,$U120-4),"Macro",INDEX($S$5:$S$1000,1):INDEX($S$5:$S$1000,$U120-4),INDEX($S$5:$S$1000,$U120-4))&amp;"."&amp;COUNTIFS($U$5:$U120,$U120,$V$5:$V120,"Sub"))))</f>
        <v/>
      </c>
      <c r="B120" s="57" t="n"/>
      <c r="C120" s="58" t="n"/>
      <c r="D120" s="58" t="n"/>
      <c r="E120" s="59">
        <f>IF(N($AL120)&gt;0,INDEX(rIni_ADM,$AL120),"")</f>
        <v/>
      </c>
      <c r="F120" s="59">
        <f>IF(N($AL120)&gt;0,INDEX(rLim_ADM,$AL120),"")</f>
        <v/>
      </c>
      <c r="G120" s="59" t="n"/>
      <c r="H120" s="60" t="n"/>
      <c r="I120" s="60" t="n"/>
      <c r="J120" s="60" t="n"/>
      <c r="K120" s="60" t="n"/>
      <c r="L120" s="60" t="n"/>
      <c r="M120" s="61">
        <f>IF(NOT((COUNTA($B120:$D120)+COUNTA($G120:$L120)+COUNTA($Q120))&gt;0),"",IF(ISNUMBER($G120),1,IF(N($W120)&gt;0,AVERAGEIFS($X$5:$X$1000,$U$5:$U$1000,ROW(),$V$5:$V$1000,"Sub"),$X120)))</f>
        <v/>
      </c>
      <c r="N120" s="56">
        <f>IF($M120="","",IF($M120&gt;=1,"Completado",IF($M120&gt;0,"En curso","Pendiente")))</f>
        <v/>
      </c>
      <c r="O120" s="56">
        <f>IF(NOT((COUNTA($B120:$D120)+COUNTA($G120:$L120)+COUNTA($Q120))&gt;0),"",IF(ISNUMBER($G120),IF(AND(ISNUMBER($AN120),$G120&gt;$AN120),"Cumplida con "&amp;($G120-$AN120)&amp;IF($G120-$AN120=1," día"," días")&amp;" de retraso","Cumplida"),IF(N($M120)&gt;=1,"Cumplida",IF(NOT(ISNUMBER($AN120)),"Sin fecha límite",IF($AN120&lt;FechaRef,"Vencida hace "&amp;(FechaRef-$AN120)&amp;IF(FechaRef-$AN120=1," día"," días"),IF($AN120=FechaRef,"Vence hoy",IF($AN120-FechaRef&lt;=DiasAlerta,"Vence en "&amp;($AN120-FechaRef)&amp;IF($AN120-FechaRef=1," día"," días"),"En plazo")))))))</f>
        <v/>
      </c>
      <c r="P120" s="62" t="n"/>
      <c r="Q120" s="58" t="n"/>
      <c r="R120" s="63">
        <f>IF(NOT((COUNTA($B120:$D120)+COUNTA($G120:$L120)+COUNTA($Q120))&gt;0),"",IF((IF($C120="","Falta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",""))="","✔ OK","⚠ "&amp;LEFT(IF($C120="","Falta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",""),LEN(IF($C120="","Falta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",""))-3)))</f>
        <v/>
      </c>
      <c r="S120" s="64">
        <f>IF(NOT((COUNTA($B120:$D120)+COUNTA($G120:$L120)+COUNTA($Q120))&gt;0),"",IF(AND($V120="Sub",N($U120)&gt;0),IF(ISNUMBER(INDEX($AM$5:$AM$1000,$U120-4)),DATE(YEAR(INDEX($AM$5:$AM$1000,$U120-4)),MONTH(INDEX($AM$5:$AM$1000,$U120-4)),1),IF(ISNUMBER(INDEX($AN$5:$AN$1000,$U120-4)),DATE(YEAR(INDEX($AN$5:$AN$1000,$U120-4)),MONTH(INDEX($AN$5:$AN$1000,$U120-4)),1),MesCiclo)),IF(ISNUMBER($AM120),DATE(YEAR($AM120),MONTH($AM120),1),IF(ISNUMBER($AN120),DATE(YEAR($AN120),MONTH($AN120),1),MesCiclo))))</f>
        <v/>
      </c>
      <c r="T120" s="62">
        <f>IF(OR($S120="",$S120&lt;&gt;MesCiclo),"",COUNTIF($S$5:$S120,MesCiclo))</f>
        <v/>
      </c>
      <c r="U120" s="62">
        <f>IF($V120="","",IF($V120="Macro",ROW(),IFERROR(LOOKUP(2,1/($V$5:$V120="Macro"),ROW($V$5:$V120)),0)))</f>
        <v/>
      </c>
      <c r="V120" s="62">
        <f>IF(NOT((COUNTA($B120:$D120)+COUNTA($G120:$L120)+COUNTA($Q120))&gt;0),"",IF($B120="Subactividad","Sub","Macro"))</f>
        <v/>
      </c>
      <c r="W120" s="62">
        <f>IF($V120="Macro",COUNTIFS($U$5:$U$1000,ROW(),$V$5:$V$1000,"Sub"),"")</f>
        <v/>
      </c>
      <c r="X120" s="62">
        <f>IF($V120="","",IF(ISNUMBER($G120),1,IFERROR(LOOKUP(2,1/($I120:$L120&lt;&gt;""),$I120:$L120),0)))</f>
        <v/>
      </c>
      <c r="Y120" s="62">
        <f>IF($V120="","",IF(AND(ISNUMBER($G120),$G120&lt;=IF($S120=MesCiclo,InicioCiclo,$S120+MOD(2-WEEKDAY($S120),7))+6),1,IF(ISNUMBER($I120),$I120,0)))</f>
        <v/>
      </c>
      <c r="Z120" s="62">
        <f>IF($V120="","",IF(AND(ISNUMBER($G120),$G120&lt;=IF($S120=MesCiclo,InicioCiclo,$S120+MOD(2-WEEKDAY($S120),7))+13),1,IF(ISNUMBER($J120),$J120,$Y120)))</f>
        <v/>
      </c>
      <c r="AA120" s="62">
        <f>IF($V120="","",IF(AND(ISNUMBER($G120),$G120&lt;=IF($S120=MesCiclo,InicioCiclo,$S120+MOD(2-WEEKDAY($S120),7))+20),1,IF(ISNUMBER($K120),$K120,$Z120)))</f>
        <v/>
      </c>
      <c r="AB120" s="62">
        <f>IF($V120="","",IF(AND(ISNUMBER($G120),$G120&lt;=IF($S120=MesCiclo,InicioCiclo,$S120+MOD(2-WEEKDAY($S120),7))+27),1,IF(ISNUMBER($L120),$L120,$AA120)))</f>
        <v/>
      </c>
      <c r="AC120" s="62">
        <f>IF($V120="","",IF(AND(ISNUMBER($G120),$G120&lt;=IF($S120=MesCiclo,InicioCiclo,$S120+MOD(2-WEEKDAY($S120),7))+6),1,IF(N($W120)&gt;0,AVERAGEIFS($Y$5:$Y$1000,$U$5:$U$1000,ROW(),$V$5:$V$1000,"Sub"),$Y120)))</f>
        <v/>
      </c>
      <c r="AD120" s="62">
        <f>IF($V120="","",IF(AND(ISNUMBER($G120),$G120&lt;=IF($S120=MesCiclo,InicioCiclo,$S120+MOD(2-WEEKDAY($S120),7))+13),1,IF(N($W120)&gt;0,AVERAGEIFS($Z$5:$Z$1000,$U$5:$U$1000,ROW(),$V$5:$V$1000,"Sub"),$Z120)))</f>
        <v/>
      </c>
      <c r="AE120" s="62">
        <f>IF($V120="","",IF(AND(ISNUMBER($G120),$G120&lt;=IF($S120=MesCiclo,InicioCiclo,$S120+MOD(2-WEEKDAY($S120),7))+20),1,IF(N($W120)&gt;0,AVERAGEIFS($AA$5:$AA$1000,$U$5:$U$1000,ROW(),$V$5:$V$1000,"Sub"),$AA120)))</f>
        <v/>
      </c>
      <c r="AF120" s="62">
        <f>IF($V120="","",IF(AND(ISNUMBER($G120),$G120&lt;=IF($S120=MesCiclo,InicioCiclo,$S120+MOD(2-WEEKDAY($S120),7))+27),1,IF(N($W120)&gt;0,AVERAGEIFS($AB$5:$AB$1000,$U$5:$U$1000,ROW(),$V$5:$V$1000,"Sub"),$AB120)))</f>
        <v/>
      </c>
      <c r="AG120" s="62">
        <f>IF($V120&lt;&gt;"Macro","",IF(COUNTIFS($S$5:$S$1000,$S120,$V$5:$V$1000,"Macro",$H$5:$H$1000,"&gt;0")=0,1/COUNTIFS($S$5:$S$1000,$S120,$V$5:$V$1000,"Macro"),IF(AND(ISNUMBER($H120),N($H120)&gt;0),$H120,SUMIFS($H$5:$H$1000,$S$5:$S$1000,$S120,$V$5:$V$1000,"Macro")/COUNTIFS($S$5:$S$1000,$S120,$V$5:$V$1000,"Macro",$H$5:$H$1000,"&gt;0"))/(COUNTIFS($S$5:$S$1000,$S120,$V$5:$V$1000,"Macro")*SUMIFS($H$5:$H$1000,$S$5:$S$1000,$S120,$V$5:$V$1000,"Macro")/COUNTIFS($S$5:$S$1000,$S120,$V$5:$V$1000,"Macro",$H$5:$H$1000,"&gt;0"))))</f>
        <v/>
      </c>
      <c r="AH120" s="62" t="n"/>
      <c r="AI120" s="62" t="n"/>
      <c r="AJ120" s="62" t="n"/>
      <c r="AK120" s="62" t="n"/>
      <c r="AL120" s="62">
        <f>IF(LEFT($C120,11)="[Jefatura] ",IFERROR(MATCH("Riesgo Operacional|"&amp;MID($C120,12,500),rDname_ADM,0),0),"")</f>
        <v/>
      </c>
      <c r="AM120" s="62">
        <f>IF(N($AL120)&gt;0,INDEX(rIni_ADM,$AL120),IF(ISNUMBER($E120),$E120,""))</f>
        <v/>
      </c>
      <c r="AN120" s="62">
        <f>IF(N($AL120)&gt;0,INDEX(rLim_ADM,$AL120),IF(ISNUMBER($F120),$F120,""))</f>
        <v/>
      </c>
    </row>
    <row r="121">
      <c r="A121" s="56">
        <f>IF(NOT((COUNTA($B121:$D121)+COUNTA($G121:$L121)+COUNTA($Q121))&gt;0),"",IF($V121="Macro",COUNTIFS($V$5:$V121,"Macro",$S$5:$S121,$S121),IF(N($U121)=0,"?",COUNTIFS(INDEX($V$5:$V$1000,1):INDEX($V$5:$V$1000,$U121-4),"Macro",INDEX($S$5:$S$1000,1):INDEX($S$5:$S$1000,$U121-4),INDEX($S$5:$S$1000,$U121-4))&amp;"."&amp;COUNTIFS($U$5:$U121,$U121,$V$5:$V121,"Sub"))))</f>
        <v/>
      </c>
      <c r="B121" s="57" t="n"/>
      <c r="C121" s="58" t="n"/>
      <c r="D121" s="58" t="n"/>
      <c r="E121" s="59">
        <f>IF(N($AL121)&gt;0,INDEX(rIni_ADM,$AL121),"")</f>
        <v/>
      </c>
      <c r="F121" s="59">
        <f>IF(N($AL121)&gt;0,INDEX(rLim_ADM,$AL121),"")</f>
        <v/>
      </c>
      <c r="G121" s="59" t="n"/>
      <c r="H121" s="60" t="n"/>
      <c r="I121" s="60" t="n"/>
      <c r="J121" s="60" t="n"/>
      <c r="K121" s="60" t="n"/>
      <c r="L121" s="60" t="n"/>
      <c r="M121" s="61">
        <f>IF(NOT((COUNTA($B121:$D121)+COUNTA($G121:$L121)+COUNTA($Q121))&gt;0),"",IF(ISNUMBER($G121),1,IF(N($W121)&gt;0,AVERAGEIFS($X$5:$X$1000,$U$5:$U$1000,ROW(),$V$5:$V$1000,"Sub"),$X121)))</f>
        <v/>
      </c>
      <c r="N121" s="56">
        <f>IF($M121="","",IF($M121&gt;=1,"Completado",IF($M121&gt;0,"En curso","Pendiente")))</f>
        <v/>
      </c>
      <c r="O121" s="56">
        <f>IF(NOT((COUNTA($B121:$D121)+COUNTA($G121:$L121)+COUNTA($Q121))&gt;0),"",IF(ISNUMBER($G121),IF(AND(ISNUMBER($AN121),$G121&gt;$AN121),"Cumplida con "&amp;($G121-$AN121)&amp;IF($G121-$AN121=1," día"," días")&amp;" de retraso","Cumplida"),IF(N($M121)&gt;=1,"Cumplida",IF(NOT(ISNUMBER($AN121)),"Sin fecha límite",IF($AN121&lt;FechaRef,"Vencida hace "&amp;(FechaRef-$AN121)&amp;IF(FechaRef-$AN121=1," día"," días"),IF($AN121=FechaRef,"Vence hoy",IF($AN121-FechaRef&lt;=DiasAlerta,"Vence en "&amp;($AN121-FechaRef)&amp;IF($AN121-FechaRef=1," día"," días"),"En plazo")))))))</f>
        <v/>
      </c>
      <c r="P121" s="62" t="n"/>
      <c r="Q121" s="58" t="n"/>
      <c r="R121" s="63">
        <f>IF(NOT((COUNTA($B121:$D121)+COUNTA($G121:$L121)+COUNTA($Q121))&gt;0),"",IF((IF($C121="","Falta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",""))="","✔ OK","⚠ "&amp;LEFT(IF($C121="","Falta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",""),LEN(IF($C121="","Falta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",""))-3)))</f>
        <v/>
      </c>
      <c r="S121" s="64">
        <f>IF(NOT((COUNTA($B121:$D121)+COUNTA($G121:$L121)+COUNTA($Q121))&gt;0),"",IF(AND($V121="Sub",N($U121)&gt;0),IF(ISNUMBER(INDEX($AM$5:$AM$1000,$U121-4)),DATE(YEAR(INDEX($AM$5:$AM$1000,$U121-4)),MONTH(INDEX($AM$5:$AM$1000,$U121-4)),1),IF(ISNUMBER(INDEX($AN$5:$AN$1000,$U121-4)),DATE(YEAR(INDEX($AN$5:$AN$1000,$U121-4)),MONTH(INDEX($AN$5:$AN$1000,$U121-4)),1),MesCiclo)),IF(ISNUMBER($AM121),DATE(YEAR($AM121),MONTH($AM121),1),IF(ISNUMBER($AN121),DATE(YEAR($AN121),MONTH($AN121),1),MesCiclo))))</f>
        <v/>
      </c>
      <c r="T121" s="62">
        <f>IF(OR($S121="",$S121&lt;&gt;MesCiclo),"",COUNTIF($S$5:$S121,MesCiclo))</f>
        <v/>
      </c>
      <c r="U121" s="62">
        <f>IF($V121="","",IF($V121="Macro",ROW(),IFERROR(LOOKUP(2,1/($V$5:$V121="Macro"),ROW($V$5:$V121)),0)))</f>
        <v/>
      </c>
      <c r="V121" s="62">
        <f>IF(NOT((COUNTA($B121:$D121)+COUNTA($G121:$L121)+COUNTA($Q121))&gt;0),"",IF($B121="Subactividad","Sub","Macro"))</f>
        <v/>
      </c>
      <c r="W121" s="62">
        <f>IF($V121="Macro",COUNTIFS($U$5:$U$1000,ROW(),$V$5:$V$1000,"Sub"),"")</f>
        <v/>
      </c>
      <c r="X121" s="62">
        <f>IF($V121="","",IF(ISNUMBER($G121),1,IFERROR(LOOKUP(2,1/($I121:$L121&lt;&gt;""),$I121:$L121),0)))</f>
        <v/>
      </c>
      <c r="Y121" s="62">
        <f>IF($V121="","",IF(AND(ISNUMBER($G121),$G121&lt;=IF($S121=MesCiclo,InicioCiclo,$S121+MOD(2-WEEKDAY($S121),7))+6),1,IF(ISNUMBER($I121),$I121,0)))</f>
        <v/>
      </c>
      <c r="Z121" s="62">
        <f>IF($V121="","",IF(AND(ISNUMBER($G121),$G121&lt;=IF($S121=MesCiclo,InicioCiclo,$S121+MOD(2-WEEKDAY($S121),7))+13),1,IF(ISNUMBER($J121),$J121,$Y121)))</f>
        <v/>
      </c>
      <c r="AA121" s="62">
        <f>IF($V121="","",IF(AND(ISNUMBER($G121),$G121&lt;=IF($S121=MesCiclo,InicioCiclo,$S121+MOD(2-WEEKDAY($S121),7))+20),1,IF(ISNUMBER($K121),$K121,$Z121)))</f>
        <v/>
      </c>
      <c r="AB121" s="62">
        <f>IF($V121="","",IF(AND(ISNUMBER($G121),$G121&lt;=IF($S121=MesCiclo,InicioCiclo,$S121+MOD(2-WEEKDAY($S121),7))+27),1,IF(ISNUMBER($L121),$L121,$AA121)))</f>
        <v/>
      </c>
      <c r="AC121" s="62">
        <f>IF($V121="","",IF(AND(ISNUMBER($G121),$G121&lt;=IF($S121=MesCiclo,InicioCiclo,$S121+MOD(2-WEEKDAY($S121),7))+6),1,IF(N($W121)&gt;0,AVERAGEIFS($Y$5:$Y$1000,$U$5:$U$1000,ROW(),$V$5:$V$1000,"Sub"),$Y121)))</f>
        <v/>
      </c>
      <c r="AD121" s="62">
        <f>IF($V121="","",IF(AND(ISNUMBER($G121),$G121&lt;=IF($S121=MesCiclo,InicioCiclo,$S121+MOD(2-WEEKDAY($S121),7))+13),1,IF(N($W121)&gt;0,AVERAGEIFS($Z$5:$Z$1000,$U$5:$U$1000,ROW(),$V$5:$V$1000,"Sub"),$Z121)))</f>
        <v/>
      </c>
      <c r="AE121" s="62">
        <f>IF($V121="","",IF(AND(ISNUMBER($G121),$G121&lt;=IF($S121=MesCiclo,InicioCiclo,$S121+MOD(2-WEEKDAY($S121),7))+20),1,IF(N($W121)&gt;0,AVERAGEIFS($AA$5:$AA$1000,$U$5:$U$1000,ROW(),$V$5:$V$1000,"Sub"),$AA121)))</f>
        <v/>
      </c>
      <c r="AF121" s="62">
        <f>IF($V121="","",IF(AND(ISNUMBER($G121),$G121&lt;=IF($S121=MesCiclo,InicioCiclo,$S121+MOD(2-WEEKDAY($S121),7))+27),1,IF(N($W121)&gt;0,AVERAGEIFS($AB$5:$AB$1000,$U$5:$U$1000,ROW(),$V$5:$V$1000,"Sub"),$AB121)))</f>
        <v/>
      </c>
      <c r="AG121" s="62">
        <f>IF($V121&lt;&gt;"Macro","",IF(COUNTIFS($S$5:$S$1000,$S121,$V$5:$V$1000,"Macro",$H$5:$H$1000,"&gt;0")=0,1/COUNTIFS($S$5:$S$1000,$S121,$V$5:$V$1000,"Macro"),IF(AND(ISNUMBER($H121),N($H121)&gt;0),$H121,SUMIFS($H$5:$H$1000,$S$5:$S$1000,$S121,$V$5:$V$1000,"Macro")/COUNTIFS($S$5:$S$1000,$S121,$V$5:$V$1000,"Macro",$H$5:$H$1000,"&gt;0"))/(COUNTIFS($S$5:$S$1000,$S121,$V$5:$V$1000,"Macro")*SUMIFS($H$5:$H$1000,$S$5:$S$1000,$S121,$V$5:$V$1000,"Macro")/COUNTIFS($S$5:$S$1000,$S121,$V$5:$V$1000,"Macro",$H$5:$H$1000,"&gt;0"))))</f>
        <v/>
      </c>
      <c r="AH121" s="62" t="n"/>
      <c r="AI121" s="62" t="n"/>
      <c r="AJ121" s="62" t="n"/>
      <c r="AK121" s="62" t="n"/>
      <c r="AL121" s="62">
        <f>IF(LEFT($C121,11)="[Jefatura] ",IFERROR(MATCH("Riesgo Operacional|"&amp;MID($C121,12,500),rDname_ADM,0),0),"")</f>
        <v/>
      </c>
      <c r="AM121" s="62">
        <f>IF(N($AL121)&gt;0,INDEX(rIni_ADM,$AL121),IF(ISNUMBER($E121),$E121,""))</f>
        <v/>
      </c>
      <c r="AN121" s="62">
        <f>IF(N($AL121)&gt;0,INDEX(rLim_ADM,$AL121),IF(ISNUMBER($F121),$F121,""))</f>
        <v/>
      </c>
    </row>
    <row r="122">
      <c r="A122" s="56">
        <f>IF(NOT((COUNTA($B122:$D122)+COUNTA($G122:$L122)+COUNTA($Q122))&gt;0),"",IF($V122="Macro",COUNTIFS($V$5:$V122,"Macro",$S$5:$S122,$S122),IF(N($U122)=0,"?",COUNTIFS(INDEX($V$5:$V$1000,1):INDEX($V$5:$V$1000,$U122-4),"Macro",INDEX($S$5:$S$1000,1):INDEX($S$5:$S$1000,$U122-4),INDEX($S$5:$S$1000,$U122-4))&amp;"."&amp;COUNTIFS($U$5:$U122,$U122,$V$5:$V122,"Sub"))))</f>
        <v/>
      </c>
      <c r="B122" s="57" t="n"/>
      <c r="C122" s="58" t="n"/>
      <c r="D122" s="58" t="n"/>
      <c r="E122" s="59">
        <f>IF(N($AL122)&gt;0,INDEX(rIni_ADM,$AL122),"")</f>
        <v/>
      </c>
      <c r="F122" s="59">
        <f>IF(N($AL122)&gt;0,INDEX(rLim_ADM,$AL122),"")</f>
        <v/>
      </c>
      <c r="G122" s="59" t="n"/>
      <c r="H122" s="60" t="n"/>
      <c r="I122" s="60" t="n"/>
      <c r="J122" s="60" t="n"/>
      <c r="K122" s="60" t="n"/>
      <c r="L122" s="60" t="n"/>
      <c r="M122" s="61">
        <f>IF(NOT((COUNTA($B122:$D122)+COUNTA($G122:$L122)+COUNTA($Q122))&gt;0),"",IF(ISNUMBER($G122),1,IF(N($W122)&gt;0,AVERAGEIFS($X$5:$X$1000,$U$5:$U$1000,ROW(),$V$5:$V$1000,"Sub"),$X122)))</f>
        <v/>
      </c>
      <c r="N122" s="56">
        <f>IF($M122="","",IF($M122&gt;=1,"Completado",IF($M122&gt;0,"En curso","Pendiente")))</f>
        <v/>
      </c>
      <c r="O122" s="56">
        <f>IF(NOT((COUNTA($B122:$D122)+COUNTA($G122:$L122)+COUNTA($Q122))&gt;0),"",IF(ISNUMBER($G122),IF(AND(ISNUMBER($AN122),$G122&gt;$AN122),"Cumplida con "&amp;($G122-$AN122)&amp;IF($G122-$AN122=1," día"," días")&amp;" de retraso","Cumplida"),IF(N($M122)&gt;=1,"Cumplida",IF(NOT(ISNUMBER($AN122)),"Sin fecha límite",IF($AN122&lt;FechaRef,"Vencida hace "&amp;(FechaRef-$AN122)&amp;IF(FechaRef-$AN122=1," día"," días"),IF($AN122=FechaRef,"Vence hoy",IF($AN122-FechaRef&lt;=DiasAlerta,"Vence en "&amp;($AN122-FechaRef)&amp;IF($AN122-FechaRef=1," día"," días"),"En plazo")))))))</f>
        <v/>
      </c>
      <c r="P122" s="62" t="n"/>
      <c r="Q122" s="58" t="n"/>
      <c r="R122" s="63">
        <f>IF(NOT((COUNTA($B122:$D122)+COUNTA($G122:$L122)+COUNTA($Q122))&gt;0),"",IF((IF($C122="","Falta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",""))="","✔ OK","⚠ "&amp;LEFT(IF($C122="","Falta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",""),LEN(IF($C122="","Falta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",""))-3)))</f>
        <v/>
      </c>
      <c r="S122" s="64">
        <f>IF(NOT((COUNTA($B122:$D122)+COUNTA($G122:$L122)+COUNTA($Q122))&gt;0),"",IF(AND($V122="Sub",N($U122)&gt;0),IF(ISNUMBER(INDEX($AM$5:$AM$1000,$U122-4)),DATE(YEAR(INDEX($AM$5:$AM$1000,$U122-4)),MONTH(INDEX($AM$5:$AM$1000,$U122-4)),1),IF(ISNUMBER(INDEX($AN$5:$AN$1000,$U122-4)),DATE(YEAR(INDEX($AN$5:$AN$1000,$U122-4)),MONTH(INDEX($AN$5:$AN$1000,$U122-4)),1),MesCiclo)),IF(ISNUMBER($AM122),DATE(YEAR($AM122),MONTH($AM122),1),IF(ISNUMBER($AN122),DATE(YEAR($AN122),MONTH($AN122),1),MesCiclo))))</f>
        <v/>
      </c>
      <c r="T122" s="62">
        <f>IF(OR($S122="",$S122&lt;&gt;MesCiclo),"",COUNTIF($S$5:$S122,MesCiclo))</f>
        <v/>
      </c>
      <c r="U122" s="62">
        <f>IF($V122="","",IF($V122="Macro",ROW(),IFERROR(LOOKUP(2,1/($V$5:$V122="Macro"),ROW($V$5:$V122)),0)))</f>
        <v/>
      </c>
      <c r="V122" s="62">
        <f>IF(NOT((COUNTA($B122:$D122)+COUNTA($G122:$L122)+COUNTA($Q122))&gt;0),"",IF($B122="Subactividad","Sub","Macro"))</f>
        <v/>
      </c>
      <c r="W122" s="62">
        <f>IF($V122="Macro",COUNTIFS($U$5:$U$1000,ROW(),$V$5:$V$1000,"Sub"),"")</f>
        <v/>
      </c>
      <c r="X122" s="62">
        <f>IF($V122="","",IF(ISNUMBER($G122),1,IFERROR(LOOKUP(2,1/($I122:$L122&lt;&gt;""),$I122:$L122),0)))</f>
        <v/>
      </c>
      <c r="Y122" s="62">
        <f>IF($V122="","",IF(AND(ISNUMBER($G122),$G122&lt;=IF($S122=MesCiclo,InicioCiclo,$S122+MOD(2-WEEKDAY($S122),7))+6),1,IF(ISNUMBER($I122),$I122,0)))</f>
        <v/>
      </c>
      <c r="Z122" s="62">
        <f>IF($V122="","",IF(AND(ISNUMBER($G122),$G122&lt;=IF($S122=MesCiclo,InicioCiclo,$S122+MOD(2-WEEKDAY($S122),7))+13),1,IF(ISNUMBER($J122),$J122,$Y122)))</f>
        <v/>
      </c>
      <c r="AA122" s="62">
        <f>IF($V122="","",IF(AND(ISNUMBER($G122),$G122&lt;=IF($S122=MesCiclo,InicioCiclo,$S122+MOD(2-WEEKDAY($S122),7))+20),1,IF(ISNUMBER($K122),$K122,$Z122)))</f>
        <v/>
      </c>
      <c r="AB122" s="62">
        <f>IF($V122="","",IF(AND(ISNUMBER($G122),$G122&lt;=IF($S122=MesCiclo,InicioCiclo,$S122+MOD(2-WEEKDAY($S122),7))+27),1,IF(ISNUMBER($L122),$L122,$AA122)))</f>
        <v/>
      </c>
      <c r="AC122" s="62">
        <f>IF($V122="","",IF(AND(ISNUMBER($G122),$G122&lt;=IF($S122=MesCiclo,InicioCiclo,$S122+MOD(2-WEEKDAY($S122),7))+6),1,IF(N($W122)&gt;0,AVERAGEIFS($Y$5:$Y$1000,$U$5:$U$1000,ROW(),$V$5:$V$1000,"Sub"),$Y122)))</f>
        <v/>
      </c>
      <c r="AD122" s="62">
        <f>IF($V122="","",IF(AND(ISNUMBER($G122),$G122&lt;=IF($S122=MesCiclo,InicioCiclo,$S122+MOD(2-WEEKDAY($S122),7))+13),1,IF(N($W122)&gt;0,AVERAGEIFS($Z$5:$Z$1000,$U$5:$U$1000,ROW(),$V$5:$V$1000,"Sub"),$Z122)))</f>
        <v/>
      </c>
      <c r="AE122" s="62">
        <f>IF($V122="","",IF(AND(ISNUMBER($G122),$G122&lt;=IF($S122=MesCiclo,InicioCiclo,$S122+MOD(2-WEEKDAY($S122),7))+20),1,IF(N($W122)&gt;0,AVERAGEIFS($AA$5:$AA$1000,$U$5:$U$1000,ROW(),$V$5:$V$1000,"Sub"),$AA122)))</f>
        <v/>
      </c>
      <c r="AF122" s="62">
        <f>IF($V122="","",IF(AND(ISNUMBER($G122),$G122&lt;=IF($S122=MesCiclo,InicioCiclo,$S122+MOD(2-WEEKDAY($S122),7))+27),1,IF(N($W122)&gt;0,AVERAGEIFS($AB$5:$AB$1000,$U$5:$U$1000,ROW(),$V$5:$V$1000,"Sub"),$AB122)))</f>
        <v/>
      </c>
      <c r="AG122" s="62">
        <f>IF($V122&lt;&gt;"Macro","",IF(COUNTIFS($S$5:$S$1000,$S122,$V$5:$V$1000,"Macro",$H$5:$H$1000,"&gt;0")=0,1/COUNTIFS($S$5:$S$1000,$S122,$V$5:$V$1000,"Macro"),IF(AND(ISNUMBER($H122),N($H122)&gt;0),$H122,SUMIFS($H$5:$H$1000,$S$5:$S$1000,$S122,$V$5:$V$1000,"Macro")/COUNTIFS($S$5:$S$1000,$S122,$V$5:$V$1000,"Macro",$H$5:$H$1000,"&gt;0"))/(COUNTIFS($S$5:$S$1000,$S122,$V$5:$V$1000,"Macro")*SUMIFS($H$5:$H$1000,$S$5:$S$1000,$S122,$V$5:$V$1000,"Macro")/COUNTIFS($S$5:$S$1000,$S122,$V$5:$V$1000,"Macro",$H$5:$H$1000,"&gt;0"))))</f>
        <v/>
      </c>
      <c r="AH122" s="62" t="n"/>
      <c r="AI122" s="62" t="n"/>
      <c r="AJ122" s="62" t="n"/>
      <c r="AK122" s="62" t="n"/>
      <c r="AL122" s="62">
        <f>IF(LEFT($C122,11)="[Jefatura] ",IFERROR(MATCH("Riesgo Operacional|"&amp;MID($C122,12,500),rDname_ADM,0),0),"")</f>
        <v/>
      </c>
      <c r="AM122" s="62">
        <f>IF(N($AL122)&gt;0,INDEX(rIni_ADM,$AL122),IF(ISNUMBER($E122),$E122,""))</f>
        <v/>
      </c>
      <c r="AN122" s="62">
        <f>IF(N($AL122)&gt;0,INDEX(rLim_ADM,$AL122),IF(ISNUMBER($F122),$F122,""))</f>
        <v/>
      </c>
    </row>
    <row r="123">
      <c r="A123" s="56">
        <f>IF(NOT((COUNTA($B123:$D123)+COUNTA($G123:$L123)+COUNTA($Q123))&gt;0),"",IF($V123="Macro",COUNTIFS($V$5:$V123,"Macro",$S$5:$S123,$S123),IF(N($U123)=0,"?",COUNTIFS(INDEX($V$5:$V$1000,1):INDEX($V$5:$V$1000,$U123-4),"Macro",INDEX($S$5:$S$1000,1):INDEX($S$5:$S$1000,$U123-4),INDEX($S$5:$S$1000,$U123-4))&amp;"."&amp;COUNTIFS($U$5:$U123,$U123,$V$5:$V123,"Sub"))))</f>
        <v/>
      </c>
      <c r="B123" s="57" t="n"/>
      <c r="C123" s="58" t="n"/>
      <c r="D123" s="58" t="n"/>
      <c r="E123" s="59">
        <f>IF(N($AL123)&gt;0,INDEX(rIni_ADM,$AL123),"")</f>
        <v/>
      </c>
      <c r="F123" s="59">
        <f>IF(N($AL123)&gt;0,INDEX(rLim_ADM,$AL123),"")</f>
        <v/>
      </c>
      <c r="G123" s="59" t="n"/>
      <c r="H123" s="60" t="n"/>
      <c r="I123" s="60" t="n"/>
      <c r="J123" s="60" t="n"/>
      <c r="K123" s="60" t="n"/>
      <c r="L123" s="60" t="n"/>
      <c r="M123" s="61">
        <f>IF(NOT((COUNTA($B123:$D123)+COUNTA($G123:$L123)+COUNTA($Q123))&gt;0),"",IF(ISNUMBER($G123),1,IF(N($W123)&gt;0,AVERAGEIFS($X$5:$X$1000,$U$5:$U$1000,ROW(),$V$5:$V$1000,"Sub"),$X123)))</f>
        <v/>
      </c>
      <c r="N123" s="56">
        <f>IF($M123="","",IF($M123&gt;=1,"Completado",IF($M123&gt;0,"En curso","Pendiente")))</f>
        <v/>
      </c>
      <c r="O123" s="56">
        <f>IF(NOT((COUNTA($B123:$D123)+COUNTA($G123:$L123)+COUNTA($Q123))&gt;0),"",IF(ISNUMBER($G123),IF(AND(ISNUMBER($AN123),$G123&gt;$AN123),"Cumplida con "&amp;($G123-$AN123)&amp;IF($G123-$AN123=1," día"," días")&amp;" de retraso","Cumplida"),IF(N($M123)&gt;=1,"Cumplida",IF(NOT(ISNUMBER($AN123)),"Sin fecha límite",IF($AN123&lt;FechaRef,"Vencida hace "&amp;(FechaRef-$AN123)&amp;IF(FechaRef-$AN123=1," día"," días"),IF($AN123=FechaRef,"Vence hoy",IF($AN123-FechaRef&lt;=DiasAlerta,"Vence en "&amp;($AN123-FechaRef)&amp;IF($AN123-FechaRef=1," día"," días"),"En plazo")))))))</f>
        <v/>
      </c>
      <c r="P123" s="62" t="n"/>
      <c r="Q123" s="58" t="n"/>
      <c r="R123" s="63">
        <f>IF(NOT((COUNTA($B123:$D123)+COUNTA($G123:$L123)+COUNTA($Q123))&gt;0),"",IF((IF($C123="","Falta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",""))="","✔ OK","⚠ "&amp;LEFT(IF($C123="","Falta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",""),LEN(IF($C123="","Falta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",""))-3)))</f>
        <v/>
      </c>
      <c r="S123" s="64">
        <f>IF(NOT((COUNTA($B123:$D123)+COUNTA($G123:$L123)+COUNTA($Q123))&gt;0),"",IF(AND($V123="Sub",N($U123)&gt;0),IF(ISNUMBER(INDEX($AM$5:$AM$1000,$U123-4)),DATE(YEAR(INDEX($AM$5:$AM$1000,$U123-4)),MONTH(INDEX($AM$5:$AM$1000,$U123-4)),1),IF(ISNUMBER(INDEX($AN$5:$AN$1000,$U123-4)),DATE(YEAR(INDEX($AN$5:$AN$1000,$U123-4)),MONTH(INDEX($AN$5:$AN$1000,$U123-4)),1),MesCiclo)),IF(ISNUMBER($AM123),DATE(YEAR($AM123),MONTH($AM123),1),IF(ISNUMBER($AN123),DATE(YEAR($AN123),MONTH($AN123),1),MesCiclo))))</f>
        <v/>
      </c>
      <c r="T123" s="62">
        <f>IF(OR($S123="",$S123&lt;&gt;MesCiclo),"",COUNTIF($S$5:$S123,MesCiclo))</f>
        <v/>
      </c>
      <c r="U123" s="62">
        <f>IF($V123="","",IF($V123="Macro",ROW(),IFERROR(LOOKUP(2,1/($V$5:$V123="Macro"),ROW($V$5:$V123)),0)))</f>
        <v/>
      </c>
      <c r="V123" s="62">
        <f>IF(NOT((COUNTA($B123:$D123)+COUNTA($G123:$L123)+COUNTA($Q123))&gt;0),"",IF($B123="Subactividad","Sub","Macro"))</f>
        <v/>
      </c>
      <c r="W123" s="62">
        <f>IF($V123="Macro",COUNTIFS($U$5:$U$1000,ROW(),$V$5:$V$1000,"Sub"),"")</f>
        <v/>
      </c>
      <c r="X123" s="62">
        <f>IF($V123="","",IF(ISNUMBER($G123),1,IFERROR(LOOKUP(2,1/($I123:$L123&lt;&gt;""),$I123:$L123),0)))</f>
        <v/>
      </c>
      <c r="Y123" s="62">
        <f>IF($V123="","",IF(AND(ISNUMBER($G123),$G123&lt;=IF($S123=MesCiclo,InicioCiclo,$S123+MOD(2-WEEKDAY($S123),7))+6),1,IF(ISNUMBER($I123),$I123,0)))</f>
        <v/>
      </c>
      <c r="Z123" s="62">
        <f>IF($V123="","",IF(AND(ISNUMBER($G123),$G123&lt;=IF($S123=MesCiclo,InicioCiclo,$S123+MOD(2-WEEKDAY($S123),7))+13),1,IF(ISNUMBER($J123),$J123,$Y123)))</f>
        <v/>
      </c>
      <c r="AA123" s="62">
        <f>IF($V123="","",IF(AND(ISNUMBER($G123),$G123&lt;=IF($S123=MesCiclo,InicioCiclo,$S123+MOD(2-WEEKDAY($S123),7))+20),1,IF(ISNUMBER($K123),$K123,$Z123)))</f>
        <v/>
      </c>
      <c r="AB123" s="62">
        <f>IF($V123="","",IF(AND(ISNUMBER($G123),$G123&lt;=IF($S123=MesCiclo,InicioCiclo,$S123+MOD(2-WEEKDAY($S123),7))+27),1,IF(ISNUMBER($L123),$L123,$AA123)))</f>
        <v/>
      </c>
      <c r="AC123" s="62">
        <f>IF($V123="","",IF(AND(ISNUMBER($G123),$G123&lt;=IF($S123=MesCiclo,InicioCiclo,$S123+MOD(2-WEEKDAY($S123),7))+6),1,IF(N($W123)&gt;0,AVERAGEIFS($Y$5:$Y$1000,$U$5:$U$1000,ROW(),$V$5:$V$1000,"Sub"),$Y123)))</f>
        <v/>
      </c>
      <c r="AD123" s="62">
        <f>IF($V123="","",IF(AND(ISNUMBER($G123),$G123&lt;=IF($S123=MesCiclo,InicioCiclo,$S123+MOD(2-WEEKDAY($S123),7))+13),1,IF(N($W123)&gt;0,AVERAGEIFS($Z$5:$Z$1000,$U$5:$U$1000,ROW(),$V$5:$V$1000,"Sub"),$Z123)))</f>
        <v/>
      </c>
      <c r="AE123" s="62">
        <f>IF($V123="","",IF(AND(ISNUMBER($G123),$G123&lt;=IF($S123=MesCiclo,InicioCiclo,$S123+MOD(2-WEEKDAY($S123),7))+20),1,IF(N($W123)&gt;0,AVERAGEIFS($AA$5:$AA$1000,$U$5:$U$1000,ROW(),$V$5:$V$1000,"Sub"),$AA123)))</f>
        <v/>
      </c>
      <c r="AF123" s="62">
        <f>IF($V123="","",IF(AND(ISNUMBER($G123),$G123&lt;=IF($S123=MesCiclo,InicioCiclo,$S123+MOD(2-WEEKDAY($S123),7))+27),1,IF(N($W123)&gt;0,AVERAGEIFS($AB$5:$AB$1000,$U$5:$U$1000,ROW(),$V$5:$V$1000,"Sub"),$AB123)))</f>
        <v/>
      </c>
      <c r="AG123" s="62">
        <f>IF($V123&lt;&gt;"Macro","",IF(COUNTIFS($S$5:$S$1000,$S123,$V$5:$V$1000,"Macro",$H$5:$H$1000,"&gt;0")=0,1/COUNTIFS($S$5:$S$1000,$S123,$V$5:$V$1000,"Macro"),IF(AND(ISNUMBER($H123),N($H123)&gt;0),$H123,SUMIFS($H$5:$H$1000,$S$5:$S$1000,$S123,$V$5:$V$1000,"Macro")/COUNTIFS($S$5:$S$1000,$S123,$V$5:$V$1000,"Macro",$H$5:$H$1000,"&gt;0"))/(COUNTIFS($S$5:$S$1000,$S123,$V$5:$V$1000,"Macro")*SUMIFS($H$5:$H$1000,$S$5:$S$1000,$S123,$V$5:$V$1000,"Macro")/COUNTIFS($S$5:$S$1000,$S123,$V$5:$V$1000,"Macro",$H$5:$H$1000,"&gt;0"))))</f>
        <v/>
      </c>
      <c r="AH123" s="62" t="n"/>
      <c r="AI123" s="62" t="n"/>
      <c r="AJ123" s="62" t="n"/>
      <c r="AK123" s="62" t="n"/>
      <c r="AL123" s="62">
        <f>IF(LEFT($C123,11)="[Jefatura] ",IFERROR(MATCH("Riesgo Operacional|"&amp;MID($C123,12,500),rDname_ADM,0),0),"")</f>
        <v/>
      </c>
      <c r="AM123" s="62">
        <f>IF(N($AL123)&gt;0,INDEX(rIni_ADM,$AL123),IF(ISNUMBER($E123),$E123,""))</f>
        <v/>
      </c>
      <c r="AN123" s="62">
        <f>IF(N($AL123)&gt;0,INDEX(rLim_ADM,$AL123),IF(ISNUMBER($F123),$F123,""))</f>
        <v/>
      </c>
    </row>
    <row r="124">
      <c r="A124" s="56">
        <f>IF(NOT((COUNTA($B124:$D124)+COUNTA($G124:$L124)+COUNTA($Q124))&gt;0),"",IF($V124="Macro",COUNTIFS($V$5:$V124,"Macro",$S$5:$S124,$S124),IF(N($U124)=0,"?",COUNTIFS(INDEX($V$5:$V$1000,1):INDEX($V$5:$V$1000,$U124-4),"Macro",INDEX($S$5:$S$1000,1):INDEX($S$5:$S$1000,$U124-4),INDEX($S$5:$S$1000,$U124-4))&amp;"."&amp;COUNTIFS($U$5:$U124,$U124,$V$5:$V124,"Sub"))))</f>
        <v/>
      </c>
      <c r="B124" s="57" t="n"/>
      <c r="C124" s="58" t="n"/>
      <c r="D124" s="58" t="n"/>
      <c r="E124" s="59">
        <f>IF(N($AL124)&gt;0,INDEX(rIni_ADM,$AL124),"")</f>
        <v/>
      </c>
      <c r="F124" s="59">
        <f>IF(N($AL124)&gt;0,INDEX(rLim_ADM,$AL124),"")</f>
        <v/>
      </c>
      <c r="G124" s="59" t="n"/>
      <c r="H124" s="60" t="n"/>
      <c r="I124" s="60" t="n"/>
      <c r="J124" s="60" t="n"/>
      <c r="K124" s="60" t="n"/>
      <c r="L124" s="60" t="n"/>
      <c r="M124" s="61">
        <f>IF(NOT((COUNTA($B124:$D124)+COUNTA($G124:$L124)+COUNTA($Q124))&gt;0),"",IF(ISNUMBER($G124),1,IF(N($W124)&gt;0,AVERAGEIFS($X$5:$X$1000,$U$5:$U$1000,ROW(),$V$5:$V$1000,"Sub"),$X124)))</f>
        <v/>
      </c>
      <c r="N124" s="56">
        <f>IF($M124="","",IF($M124&gt;=1,"Completado",IF($M124&gt;0,"En curso","Pendiente")))</f>
        <v/>
      </c>
      <c r="O124" s="56">
        <f>IF(NOT((COUNTA($B124:$D124)+COUNTA($G124:$L124)+COUNTA($Q124))&gt;0),"",IF(ISNUMBER($G124),IF(AND(ISNUMBER($AN124),$G124&gt;$AN124),"Cumplida con "&amp;($G124-$AN124)&amp;IF($G124-$AN124=1," día"," días")&amp;" de retraso","Cumplida"),IF(N($M124)&gt;=1,"Cumplida",IF(NOT(ISNUMBER($AN124)),"Sin fecha límite",IF($AN124&lt;FechaRef,"Vencida hace "&amp;(FechaRef-$AN124)&amp;IF(FechaRef-$AN124=1," día"," días"),IF($AN124=FechaRef,"Vence hoy",IF($AN124-FechaRef&lt;=DiasAlerta,"Vence en "&amp;($AN124-FechaRef)&amp;IF($AN124-FechaRef=1," día"," días"),"En plazo")))))))</f>
        <v/>
      </c>
      <c r="P124" s="62" t="n"/>
      <c r="Q124" s="58" t="n"/>
      <c r="R124" s="63">
        <f>IF(NOT((COUNTA($B124:$D124)+COUNTA($G124:$L124)+COUNTA($Q124))&gt;0),"",IF((IF($C124="","Falta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",""))="","✔ OK","⚠ "&amp;LEFT(IF($C124="","Falta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",""),LEN(IF($C124="","Falta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",""))-3)))</f>
        <v/>
      </c>
      <c r="S124" s="64">
        <f>IF(NOT((COUNTA($B124:$D124)+COUNTA($G124:$L124)+COUNTA($Q124))&gt;0),"",IF(AND($V124="Sub",N($U124)&gt;0),IF(ISNUMBER(INDEX($AM$5:$AM$1000,$U124-4)),DATE(YEAR(INDEX($AM$5:$AM$1000,$U124-4)),MONTH(INDEX($AM$5:$AM$1000,$U124-4)),1),IF(ISNUMBER(INDEX($AN$5:$AN$1000,$U124-4)),DATE(YEAR(INDEX($AN$5:$AN$1000,$U124-4)),MONTH(INDEX($AN$5:$AN$1000,$U124-4)),1),MesCiclo)),IF(ISNUMBER($AM124),DATE(YEAR($AM124),MONTH($AM124),1),IF(ISNUMBER($AN124),DATE(YEAR($AN124),MONTH($AN124),1),MesCiclo))))</f>
        <v/>
      </c>
      <c r="T124" s="62">
        <f>IF(OR($S124="",$S124&lt;&gt;MesCiclo),"",COUNTIF($S$5:$S124,MesCiclo))</f>
        <v/>
      </c>
      <c r="U124" s="62">
        <f>IF($V124="","",IF($V124="Macro",ROW(),IFERROR(LOOKUP(2,1/($V$5:$V124="Macro"),ROW($V$5:$V124)),0)))</f>
        <v/>
      </c>
      <c r="V124" s="62">
        <f>IF(NOT((COUNTA($B124:$D124)+COUNTA($G124:$L124)+COUNTA($Q124))&gt;0),"",IF($B124="Subactividad","Sub","Macro"))</f>
        <v/>
      </c>
      <c r="W124" s="62">
        <f>IF($V124="Macro",COUNTIFS($U$5:$U$1000,ROW(),$V$5:$V$1000,"Sub"),"")</f>
        <v/>
      </c>
      <c r="X124" s="62">
        <f>IF($V124="","",IF(ISNUMBER($G124),1,IFERROR(LOOKUP(2,1/($I124:$L124&lt;&gt;""),$I124:$L124),0)))</f>
        <v/>
      </c>
      <c r="Y124" s="62">
        <f>IF($V124="","",IF(AND(ISNUMBER($G124),$G124&lt;=IF($S124=MesCiclo,InicioCiclo,$S124+MOD(2-WEEKDAY($S124),7))+6),1,IF(ISNUMBER($I124),$I124,0)))</f>
        <v/>
      </c>
      <c r="Z124" s="62">
        <f>IF($V124="","",IF(AND(ISNUMBER($G124),$G124&lt;=IF($S124=MesCiclo,InicioCiclo,$S124+MOD(2-WEEKDAY($S124),7))+13),1,IF(ISNUMBER($J124),$J124,$Y124)))</f>
        <v/>
      </c>
      <c r="AA124" s="62">
        <f>IF($V124="","",IF(AND(ISNUMBER($G124),$G124&lt;=IF($S124=MesCiclo,InicioCiclo,$S124+MOD(2-WEEKDAY($S124),7))+20),1,IF(ISNUMBER($K124),$K124,$Z124)))</f>
        <v/>
      </c>
      <c r="AB124" s="62">
        <f>IF($V124="","",IF(AND(ISNUMBER($G124),$G124&lt;=IF($S124=MesCiclo,InicioCiclo,$S124+MOD(2-WEEKDAY($S124),7))+27),1,IF(ISNUMBER($L124),$L124,$AA124)))</f>
        <v/>
      </c>
      <c r="AC124" s="62">
        <f>IF($V124="","",IF(AND(ISNUMBER($G124),$G124&lt;=IF($S124=MesCiclo,InicioCiclo,$S124+MOD(2-WEEKDAY($S124),7))+6),1,IF(N($W124)&gt;0,AVERAGEIFS($Y$5:$Y$1000,$U$5:$U$1000,ROW(),$V$5:$V$1000,"Sub"),$Y124)))</f>
        <v/>
      </c>
      <c r="AD124" s="62">
        <f>IF($V124="","",IF(AND(ISNUMBER($G124),$G124&lt;=IF($S124=MesCiclo,InicioCiclo,$S124+MOD(2-WEEKDAY($S124),7))+13),1,IF(N($W124)&gt;0,AVERAGEIFS($Z$5:$Z$1000,$U$5:$U$1000,ROW(),$V$5:$V$1000,"Sub"),$Z124)))</f>
        <v/>
      </c>
      <c r="AE124" s="62">
        <f>IF($V124="","",IF(AND(ISNUMBER($G124),$G124&lt;=IF($S124=MesCiclo,InicioCiclo,$S124+MOD(2-WEEKDAY($S124),7))+20),1,IF(N($W124)&gt;0,AVERAGEIFS($AA$5:$AA$1000,$U$5:$U$1000,ROW(),$V$5:$V$1000,"Sub"),$AA124)))</f>
        <v/>
      </c>
      <c r="AF124" s="62">
        <f>IF($V124="","",IF(AND(ISNUMBER($G124),$G124&lt;=IF($S124=MesCiclo,InicioCiclo,$S124+MOD(2-WEEKDAY($S124),7))+27),1,IF(N($W124)&gt;0,AVERAGEIFS($AB$5:$AB$1000,$U$5:$U$1000,ROW(),$V$5:$V$1000,"Sub"),$AB124)))</f>
        <v/>
      </c>
      <c r="AG124" s="62">
        <f>IF($V124&lt;&gt;"Macro","",IF(COUNTIFS($S$5:$S$1000,$S124,$V$5:$V$1000,"Macro",$H$5:$H$1000,"&gt;0")=0,1/COUNTIFS($S$5:$S$1000,$S124,$V$5:$V$1000,"Macro"),IF(AND(ISNUMBER($H124),N($H124)&gt;0),$H124,SUMIFS($H$5:$H$1000,$S$5:$S$1000,$S124,$V$5:$V$1000,"Macro")/COUNTIFS($S$5:$S$1000,$S124,$V$5:$V$1000,"Macro",$H$5:$H$1000,"&gt;0"))/(COUNTIFS($S$5:$S$1000,$S124,$V$5:$V$1000,"Macro")*SUMIFS($H$5:$H$1000,$S$5:$S$1000,$S124,$V$5:$V$1000,"Macro")/COUNTIFS($S$5:$S$1000,$S124,$V$5:$V$1000,"Macro",$H$5:$H$1000,"&gt;0"))))</f>
        <v/>
      </c>
      <c r="AH124" s="62" t="n"/>
      <c r="AI124" s="62" t="n"/>
      <c r="AJ124" s="62" t="n"/>
      <c r="AK124" s="62" t="n"/>
      <c r="AL124" s="62">
        <f>IF(LEFT($C124,11)="[Jefatura] ",IFERROR(MATCH("Riesgo Operacional|"&amp;MID($C124,12,500),rDname_ADM,0),0),"")</f>
        <v/>
      </c>
      <c r="AM124" s="62">
        <f>IF(N($AL124)&gt;0,INDEX(rIni_ADM,$AL124),IF(ISNUMBER($E124),$E124,""))</f>
        <v/>
      </c>
      <c r="AN124" s="62">
        <f>IF(N($AL124)&gt;0,INDEX(rLim_ADM,$AL124),IF(ISNUMBER($F124),$F124,""))</f>
        <v/>
      </c>
    </row>
    <row r="125">
      <c r="A125" s="56">
        <f>IF(NOT((COUNTA($B125:$D125)+COUNTA($G125:$L125)+COUNTA($Q125))&gt;0),"",IF($V125="Macro",COUNTIFS($V$5:$V125,"Macro",$S$5:$S125,$S125),IF(N($U125)=0,"?",COUNTIFS(INDEX($V$5:$V$1000,1):INDEX($V$5:$V$1000,$U125-4),"Macro",INDEX($S$5:$S$1000,1):INDEX($S$5:$S$1000,$U125-4),INDEX($S$5:$S$1000,$U125-4))&amp;"."&amp;COUNTIFS($U$5:$U125,$U125,$V$5:$V125,"Sub"))))</f>
        <v/>
      </c>
      <c r="B125" s="57" t="n"/>
      <c r="C125" s="58" t="n"/>
      <c r="D125" s="58" t="n"/>
      <c r="E125" s="59">
        <f>IF(N($AL125)&gt;0,INDEX(rIni_ADM,$AL125),"")</f>
        <v/>
      </c>
      <c r="F125" s="59">
        <f>IF(N($AL125)&gt;0,INDEX(rLim_ADM,$AL125),"")</f>
        <v/>
      </c>
      <c r="G125" s="59" t="n"/>
      <c r="H125" s="60" t="n"/>
      <c r="I125" s="60" t="n"/>
      <c r="J125" s="60" t="n"/>
      <c r="K125" s="60" t="n"/>
      <c r="L125" s="60" t="n"/>
      <c r="M125" s="61">
        <f>IF(NOT((COUNTA($B125:$D125)+COUNTA($G125:$L125)+COUNTA($Q125))&gt;0),"",IF(ISNUMBER($G125),1,IF(N($W125)&gt;0,AVERAGEIFS($X$5:$X$1000,$U$5:$U$1000,ROW(),$V$5:$V$1000,"Sub"),$X125)))</f>
        <v/>
      </c>
      <c r="N125" s="56">
        <f>IF($M125="","",IF($M125&gt;=1,"Completado",IF($M125&gt;0,"En curso","Pendiente")))</f>
        <v/>
      </c>
      <c r="O125" s="56">
        <f>IF(NOT((COUNTA($B125:$D125)+COUNTA($G125:$L125)+COUNTA($Q125))&gt;0),"",IF(ISNUMBER($G125),IF(AND(ISNUMBER($AN125),$G125&gt;$AN125),"Cumplida con "&amp;($G125-$AN125)&amp;IF($G125-$AN125=1," día"," días")&amp;" de retraso","Cumplida"),IF(N($M125)&gt;=1,"Cumplida",IF(NOT(ISNUMBER($AN125)),"Sin fecha límite",IF($AN125&lt;FechaRef,"Vencida hace "&amp;(FechaRef-$AN125)&amp;IF(FechaRef-$AN125=1," día"," días"),IF($AN125=FechaRef,"Vence hoy",IF($AN125-FechaRef&lt;=DiasAlerta,"Vence en "&amp;($AN125-FechaRef)&amp;IF($AN125-FechaRef=1," día"," días"),"En plazo")))))))</f>
        <v/>
      </c>
      <c r="P125" s="62" t="n"/>
      <c r="Q125" s="58" t="n"/>
      <c r="R125" s="63">
        <f>IF(NOT((COUNTA($B125:$D125)+COUNTA($G125:$L125)+COUNTA($Q125))&gt;0),"",IF((IF($C125="","Falta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",""))="","✔ OK","⚠ "&amp;LEFT(IF($C125="","Falta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",""),LEN(IF($C125="","Falta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",""))-3)))</f>
        <v/>
      </c>
      <c r="S125" s="64">
        <f>IF(NOT((COUNTA($B125:$D125)+COUNTA($G125:$L125)+COUNTA($Q125))&gt;0),"",IF(AND($V125="Sub",N($U125)&gt;0),IF(ISNUMBER(INDEX($AM$5:$AM$1000,$U125-4)),DATE(YEAR(INDEX($AM$5:$AM$1000,$U125-4)),MONTH(INDEX($AM$5:$AM$1000,$U125-4)),1),IF(ISNUMBER(INDEX($AN$5:$AN$1000,$U125-4)),DATE(YEAR(INDEX($AN$5:$AN$1000,$U125-4)),MONTH(INDEX($AN$5:$AN$1000,$U125-4)),1),MesCiclo)),IF(ISNUMBER($AM125),DATE(YEAR($AM125),MONTH($AM125),1),IF(ISNUMBER($AN125),DATE(YEAR($AN125),MONTH($AN125),1),MesCiclo))))</f>
        <v/>
      </c>
      <c r="T125" s="62">
        <f>IF(OR($S125="",$S125&lt;&gt;MesCiclo),"",COUNTIF($S$5:$S125,MesCiclo))</f>
        <v/>
      </c>
      <c r="U125" s="62">
        <f>IF($V125="","",IF($V125="Macro",ROW(),IFERROR(LOOKUP(2,1/($V$5:$V125="Macro"),ROW($V$5:$V125)),0)))</f>
        <v/>
      </c>
      <c r="V125" s="62">
        <f>IF(NOT((COUNTA($B125:$D125)+COUNTA($G125:$L125)+COUNTA($Q125))&gt;0),"",IF($B125="Subactividad","Sub","Macro"))</f>
        <v/>
      </c>
      <c r="W125" s="62">
        <f>IF($V125="Macro",COUNTIFS($U$5:$U$1000,ROW(),$V$5:$V$1000,"Sub"),"")</f>
        <v/>
      </c>
      <c r="X125" s="62">
        <f>IF($V125="","",IF(ISNUMBER($G125),1,IFERROR(LOOKUP(2,1/($I125:$L125&lt;&gt;""),$I125:$L125),0)))</f>
        <v/>
      </c>
      <c r="Y125" s="62">
        <f>IF($V125="","",IF(AND(ISNUMBER($G125),$G125&lt;=IF($S125=MesCiclo,InicioCiclo,$S125+MOD(2-WEEKDAY($S125),7))+6),1,IF(ISNUMBER($I125),$I125,0)))</f>
        <v/>
      </c>
      <c r="Z125" s="62">
        <f>IF($V125="","",IF(AND(ISNUMBER($G125),$G125&lt;=IF($S125=MesCiclo,InicioCiclo,$S125+MOD(2-WEEKDAY($S125),7))+13),1,IF(ISNUMBER($J125),$J125,$Y125)))</f>
        <v/>
      </c>
      <c r="AA125" s="62">
        <f>IF($V125="","",IF(AND(ISNUMBER($G125),$G125&lt;=IF($S125=MesCiclo,InicioCiclo,$S125+MOD(2-WEEKDAY($S125),7))+20),1,IF(ISNUMBER($K125),$K125,$Z125)))</f>
        <v/>
      </c>
      <c r="AB125" s="62">
        <f>IF($V125="","",IF(AND(ISNUMBER($G125),$G125&lt;=IF($S125=MesCiclo,InicioCiclo,$S125+MOD(2-WEEKDAY($S125),7))+27),1,IF(ISNUMBER($L125),$L125,$AA125)))</f>
        <v/>
      </c>
      <c r="AC125" s="62">
        <f>IF($V125="","",IF(AND(ISNUMBER($G125),$G125&lt;=IF($S125=MesCiclo,InicioCiclo,$S125+MOD(2-WEEKDAY($S125),7))+6),1,IF(N($W125)&gt;0,AVERAGEIFS($Y$5:$Y$1000,$U$5:$U$1000,ROW(),$V$5:$V$1000,"Sub"),$Y125)))</f>
        <v/>
      </c>
      <c r="AD125" s="62">
        <f>IF($V125="","",IF(AND(ISNUMBER($G125),$G125&lt;=IF($S125=MesCiclo,InicioCiclo,$S125+MOD(2-WEEKDAY($S125),7))+13),1,IF(N($W125)&gt;0,AVERAGEIFS($Z$5:$Z$1000,$U$5:$U$1000,ROW(),$V$5:$V$1000,"Sub"),$Z125)))</f>
        <v/>
      </c>
      <c r="AE125" s="62">
        <f>IF($V125="","",IF(AND(ISNUMBER($G125),$G125&lt;=IF($S125=MesCiclo,InicioCiclo,$S125+MOD(2-WEEKDAY($S125),7))+20),1,IF(N($W125)&gt;0,AVERAGEIFS($AA$5:$AA$1000,$U$5:$U$1000,ROW(),$V$5:$V$1000,"Sub"),$AA125)))</f>
        <v/>
      </c>
      <c r="AF125" s="62">
        <f>IF($V125="","",IF(AND(ISNUMBER($G125),$G125&lt;=IF($S125=MesCiclo,InicioCiclo,$S125+MOD(2-WEEKDAY($S125),7))+27),1,IF(N($W125)&gt;0,AVERAGEIFS($AB$5:$AB$1000,$U$5:$U$1000,ROW(),$V$5:$V$1000,"Sub"),$AB125)))</f>
        <v/>
      </c>
      <c r="AG125" s="62">
        <f>IF($V125&lt;&gt;"Macro","",IF(COUNTIFS($S$5:$S$1000,$S125,$V$5:$V$1000,"Macro",$H$5:$H$1000,"&gt;0")=0,1/COUNTIFS($S$5:$S$1000,$S125,$V$5:$V$1000,"Macro"),IF(AND(ISNUMBER($H125),N($H125)&gt;0),$H125,SUMIFS($H$5:$H$1000,$S$5:$S$1000,$S125,$V$5:$V$1000,"Macro")/COUNTIFS($S$5:$S$1000,$S125,$V$5:$V$1000,"Macro",$H$5:$H$1000,"&gt;0"))/(COUNTIFS($S$5:$S$1000,$S125,$V$5:$V$1000,"Macro")*SUMIFS($H$5:$H$1000,$S$5:$S$1000,$S125,$V$5:$V$1000,"Macro")/COUNTIFS($S$5:$S$1000,$S125,$V$5:$V$1000,"Macro",$H$5:$H$1000,"&gt;0"))))</f>
        <v/>
      </c>
      <c r="AH125" s="62" t="n"/>
      <c r="AI125" s="62" t="n"/>
      <c r="AJ125" s="62" t="n"/>
      <c r="AK125" s="62" t="n"/>
      <c r="AL125" s="62">
        <f>IF(LEFT($C125,11)="[Jefatura] ",IFERROR(MATCH("Riesgo Operacional|"&amp;MID($C125,12,500),rDname_ADM,0),0),"")</f>
        <v/>
      </c>
      <c r="AM125" s="62">
        <f>IF(N($AL125)&gt;0,INDEX(rIni_ADM,$AL125),IF(ISNUMBER($E125),$E125,""))</f>
        <v/>
      </c>
      <c r="AN125" s="62">
        <f>IF(N($AL125)&gt;0,INDEX(rLim_ADM,$AL125),IF(ISNUMBER($F125),$F125,""))</f>
        <v/>
      </c>
    </row>
    <row r="126">
      <c r="A126" s="56">
        <f>IF(NOT((COUNTA($B126:$D126)+COUNTA($G126:$L126)+COUNTA($Q126))&gt;0),"",IF($V126="Macro",COUNTIFS($V$5:$V126,"Macro",$S$5:$S126,$S126),IF(N($U126)=0,"?",COUNTIFS(INDEX($V$5:$V$1000,1):INDEX($V$5:$V$1000,$U126-4),"Macro",INDEX($S$5:$S$1000,1):INDEX($S$5:$S$1000,$U126-4),INDEX($S$5:$S$1000,$U126-4))&amp;"."&amp;COUNTIFS($U$5:$U126,$U126,$V$5:$V126,"Sub"))))</f>
        <v/>
      </c>
      <c r="B126" s="57" t="n"/>
      <c r="C126" s="58" t="n"/>
      <c r="D126" s="58" t="n"/>
      <c r="E126" s="59">
        <f>IF(N($AL126)&gt;0,INDEX(rIni_ADM,$AL126),"")</f>
        <v/>
      </c>
      <c r="F126" s="59">
        <f>IF(N($AL126)&gt;0,INDEX(rLim_ADM,$AL126),"")</f>
        <v/>
      </c>
      <c r="G126" s="59" t="n"/>
      <c r="H126" s="60" t="n"/>
      <c r="I126" s="60" t="n"/>
      <c r="J126" s="60" t="n"/>
      <c r="K126" s="60" t="n"/>
      <c r="L126" s="60" t="n"/>
      <c r="M126" s="61">
        <f>IF(NOT((COUNTA($B126:$D126)+COUNTA($G126:$L126)+COUNTA($Q126))&gt;0),"",IF(ISNUMBER($G126),1,IF(N($W126)&gt;0,AVERAGEIFS($X$5:$X$1000,$U$5:$U$1000,ROW(),$V$5:$V$1000,"Sub"),$X126)))</f>
        <v/>
      </c>
      <c r="N126" s="56">
        <f>IF($M126="","",IF($M126&gt;=1,"Completado",IF($M126&gt;0,"En curso","Pendiente")))</f>
        <v/>
      </c>
      <c r="O126" s="56">
        <f>IF(NOT((COUNTA($B126:$D126)+COUNTA($G126:$L126)+COUNTA($Q126))&gt;0),"",IF(ISNUMBER($G126),IF(AND(ISNUMBER($AN126),$G126&gt;$AN126),"Cumplida con "&amp;($G126-$AN126)&amp;IF($G126-$AN126=1," día"," días")&amp;" de retraso","Cumplida"),IF(N($M126)&gt;=1,"Cumplida",IF(NOT(ISNUMBER($AN126)),"Sin fecha límite",IF($AN126&lt;FechaRef,"Vencida hace "&amp;(FechaRef-$AN126)&amp;IF(FechaRef-$AN126=1," día"," días"),IF($AN126=FechaRef,"Vence hoy",IF($AN126-FechaRef&lt;=DiasAlerta,"Vence en "&amp;($AN126-FechaRef)&amp;IF($AN126-FechaRef=1," día"," días"),"En plazo")))))))</f>
        <v/>
      </c>
      <c r="P126" s="62" t="n"/>
      <c r="Q126" s="58" t="n"/>
      <c r="R126" s="63">
        <f>IF(NOT((COUNTA($B126:$D126)+COUNTA($G126:$L126)+COUNTA($Q126))&gt;0),"",IF((IF($C126="","Falta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",""))="","✔ OK","⚠ "&amp;LEFT(IF($C126="","Falta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",""),LEN(IF($C126="","Falta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",""))-3)))</f>
        <v/>
      </c>
      <c r="S126" s="64">
        <f>IF(NOT((COUNTA($B126:$D126)+COUNTA($G126:$L126)+COUNTA($Q126))&gt;0),"",IF(AND($V126="Sub",N($U126)&gt;0),IF(ISNUMBER(INDEX($AM$5:$AM$1000,$U126-4)),DATE(YEAR(INDEX($AM$5:$AM$1000,$U126-4)),MONTH(INDEX($AM$5:$AM$1000,$U126-4)),1),IF(ISNUMBER(INDEX($AN$5:$AN$1000,$U126-4)),DATE(YEAR(INDEX($AN$5:$AN$1000,$U126-4)),MONTH(INDEX($AN$5:$AN$1000,$U126-4)),1),MesCiclo)),IF(ISNUMBER($AM126),DATE(YEAR($AM126),MONTH($AM126),1),IF(ISNUMBER($AN126),DATE(YEAR($AN126),MONTH($AN126),1),MesCiclo))))</f>
        <v/>
      </c>
      <c r="T126" s="62">
        <f>IF(OR($S126="",$S126&lt;&gt;MesCiclo),"",COUNTIF($S$5:$S126,MesCiclo))</f>
        <v/>
      </c>
      <c r="U126" s="62">
        <f>IF($V126="","",IF($V126="Macro",ROW(),IFERROR(LOOKUP(2,1/($V$5:$V126="Macro"),ROW($V$5:$V126)),0)))</f>
        <v/>
      </c>
      <c r="V126" s="62">
        <f>IF(NOT((COUNTA($B126:$D126)+COUNTA($G126:$L126)+COUNTA($Q126))&gt;0),"",IF($B126="Subactividad","Sub","Macro"))</f>
        <v/>
      </c>
      <c r="W126" s="62">
        <f>IF($V126="Macro",COUNTIFS($U$5:$U$1000,ROW(),$V$5:$V$1000,"Sub"),"")</f>
        <v/>
      </c>
      <c r="X126" s="62">
        <f>IF($V126="","",IF(ISNUMBER($G126),1,IFERROR(LOOKUP(2,1/($I126:$L126&lt;&gt;""),$I126:$L126),0)))</f>
        <v/>
      </c>
      <c r="Y126" s="62">
        <f>IF($V126="","",IF(AND(ISNUMBER($G126),$G126&lt;=IF($S126=MesCiclo,InicioCiclo,$S126+MOD(2-WEEKDAY($S126),7))+6),1,IF(ISNUMBER($I126),$I126,0)))</f>
        <v/>
      </c>
      <c r="Z126" s="62">
        <f>IF($V126="","",IF(AND(ISNUMBER($G126),$G126&lt;=IF($S126=MesCiclo,InicioCiclo,$S126+MOD(2-WEEKDAY($S126),7))+13),1,IF(ISNUMBER($J126),$J126,$Y126)))</f>
        <v/>
      </c>
      <c r="AA126" s="62">
        <f>IF($V126="","",IF(AND(ISNUMBER($G126),$G126&lt;=IF($S126=MesCiclo,InicioCiclo,$S126+MOD(2-WEEKDAY($S126),7))+20),1,IF(ISNUMBER($K126),$K126,$Z126)))</f>
        <v/>
      </c>
      <c r="AB126" s="62">
        <f>IF($V126="","",IF(AND(ISNUMBER($G126),$G126&lt;=IF($S126=MesCiclo,InicioCiclo,$S126+MOD(2-WEEKDAY($S126),7))+27),1,IF(ISNUMBER($L126),$L126,$AA126)))</f>
        <v/>
      </c>
      <c r="AC126" s="62">
        <f>IF($V126="","",IF(AND(ISNUMBER($G126),$G126&lt;=IF($S126=MesCiclo,InicioCiclo,$S126+MOD(2-WEEKDAY($S126),7))+6),1,IF(N($W126)&gt;0,AVERAGEIFS($Y$5:$Y$1000,$U$5:$U$1000,ROW(),$V$5:$V$1000,"Sub"),$Y126)))</f>
        <v/>
      </c>
      <c r="AD126" s="62">
        <f>IF($V126="","",IF(AND(ISNUMBER($G126),$G126&lt;=IF($S126=MesCiclo,InicioCiclo,$S126+MOD(2-WEEKDAY($S126),7))+13),1,IF(N($W126)&gt;0,AVERAGEIFS($Z$5:$Z$1000,$U$5:$U$1000,ROW(),$V$5:$V$1000,"Sub"),$Z126)))</f>
        <v/>
      </c>
      <c r="AE126" s="62">
        <f>IF($V126="","",IF(AND(ISNUMBER($G126),$G126&lt;=IF($S126=MesCiclo,InicioCiclo,$S126+MOD(2-WEEKDAY($S126),7))+20),1,IF(N($W126)&gt;0,AVERAGEIFS($AA$5:$AA$1000,$U$5:$U$1000,ROW(),$V$5:$V$1000,"Sub"),$AA126)))</f>
        <v/>
      </c>
      <c r="AF126" s="62">
        <f>IF($V126="","",IF(AND(ISNUMBER($G126),$G126&lt;=IF($S126=MesCiclo,InicioCiclo,$S126+MOD(2-WEEKDAY($S126),7))+27),1,IF(N($W126)&gt;0,AVERAGEIFS($AB$5:$AB$1000,$U$5:$U$1000,ROW(),$V$5:$V$1000,"Sub"),$AB126)))</f>
        <v/>
      </c>
      <c r="AG126" s="62">
        <f>IF($V126&lt;&gt;"Macro","",IF(COUNTIFS($S$5:$S$1000,$S126,$V$5:$V$1000,"Macro",$H$5:$H$1000,"&gt;0")=0,1/COUNTIFS($S$5:$S$1000,$S126,$V$5:$V$1000,"Macro"),IF(AND(ISNUMBER($H126),N($H126)&gt;0),$H126,SUMIFS($H$5:$H$1000,$S$5:$S$1000,$S126,$V$5:$V$1000,"Macro")/COUNTIFS($S$5:$S$1000,$S126,$V$5:$V$1000,"Macro",$H$5:$H$1000,"&gt;0"))/(COUNTIFS($S$5:$S$1000,$S126,$V$5:$V$1000,"Macro")*SUMIFS($H$5:$H$1000,$S$5:$S$1000,$S126,$V$5:$V$1000,"Macro")/COUNTIFS($S$5:$S$1000,$S126,$V$5:$V$1000,"Macro",$H$5:$H$1000,"&gt;0"))))</f>
        <v/>
      </c>
      <c r="AH126" s="62" t="n"/>
      <c r="AI126" s="62" t="n"/>
      <c r="AJ126" s="62" t="n"/>
      <c r="AK126" s="62" t="n"/>
      <c r="AL126" s="62">
        <f>IF(LEFT($C126,11)="[Jefatura] ",IFERROR(MATCH("Riesgo Operacional|"&amp;MID($C126,12,500),rDname_ADM,0),0),"")</f>
        <v/>
      </c>
      <c r="AM126" s="62">
        <f>IF(N($AL126)&gt;0,INDEX(rIni_ADM,$AL126),IF(ISNUMBER($E126),$E126,""))</f>
        <v/>
      </c>
      <c r="AN126" s="62">
        <f>IF(N($AL126)&gt;0,INDEX(rLim_ADM,$AL126),IF(ISNUMBER($F126),$F126,""))</f>
        <v/>
      </c>
    </row>
    <row r="127">
      <c r="A127" s="56">
        <f>IF(NOT((COUNTA($B127:$D127)+COUNTA($G127:$L127)+COUNTA($Q127))&gt;0),"",IF($V127="Macro",COUNTIFS($V$5:$V127,"Macro",$S$5:$S127,$S127),IF(N($U127)=0,"?",COUNTIFS(INDEX($V$5:$V$1000,1):INDEX($V$5:$V$1000,$U127-4),"Macro",INDEX($S$5:$S$1000,1):INDEX($S$5:$S$1000,$U127-4),INDEX($S$5:$S$1000,$U127-4))&amp;"."&amp;COUNTIFS($U$5:$U127,$U127,$V$5:$V127,"Sub"))))</f>
        <v/>
      </c>
      <c r="B127" s="57" t="n"/>
      <c r="C127" s="58" t="n"/>
      <c r="D127" s="58" t="n"/>
      <c r="E127" s="59">
        <f>IF(N($AL127)&gt;0,INDEX(rIni_ADM,$AL127),"")</f>
        <v/>
      </c>
      <c r="F127" s="59">
        <f>IF(N($AL127)&gt;0,INDEX(rLim_ADM,$AL127),"")</f>
        <v/>
      </c>
      <c r="G127" s="59" t="n"/>
      <c r="H127" s="60" t="n"/>
      <c r="I127" s="60" t="n"/>
      <c r="J127" s="60" t="n"/>
      <c r="K127" s="60" t="n"/>
      <c r="L127" s="60" t="n"/>
      <c r="M127" s="61">
        <f>IF(NOT((COUNTA($B127:$D127)+COUNTA($G127:$L127)+COUNTA($Q127))&gt;0),"",IF(ISNUMBER($G127),1,IF(N($W127)&gt;0,AVERAGEIFS($X$5:$X$1000,$U$5:$U$1000,ROW(),$V$5:$V$1000,"Sub"),$X127)))</f>
        <v/>
      </c>
      <c r="N127" s="56">
        <f>IF($M127="","",IF($M127&gt;=1,"Completado",IF($M127&gt;0,"En curso","Pendiente")))</f>
        <v/>
      </c>
      <c r="O127" s="56">
        <f>IF(NOT((COUNTA($B127:$D127)+COUNTA($G127:$L127)+COUNTA($Q127))&gt;0),"",IF(ISNUMBER($G127),IF(AND(ISNUMBER($AN127),$G127&gt;$AN127),"Cumplida con "&amp;($G127-$AN127)&amp;IF($G127-$AN127=1," día"," días")&amp;" de retraso","Cumplida"),IF(N($M127)&gt;=1,"Cumplida",IF(NOT(ISNUMBER($AN127)),"Sin fecha límite",IF($AN127&lt;FechaRef,"Vencida hace "&amp;(FechaRef-$AN127)&amp;IF(FechaRef-$AN127=1," día"," días"),IF($AN127=FechaRef,"Vence hoy",IF($AN127-FechaRef&lt;=DiasAlerta,"Vence en "&amp;($AN127-FechaRef)&amp;IF($AN127-FechaRef=1," día"," días"),"En plazo")))))))</f>
        <v/>
      </c>
      <c r="P127" s="62" t="n"/>
      <c r="Q127" s="58" t="n"/>
      <c r="R127" s="63">
        <f>IF(NOT((COUNTA($B127:$D127)+COUNTA($G127:$L127)+COUNTA($Q127))&gt;0),"",IF((IF($C127="","Falta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",""))="","✔ OK","⚠ "&amp;LEFT(IF($C127="","Falta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",""),LEN(IF($C127="","Falta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",""))-3)))</f>
        <v/>
      </c>
      <c r="S127" s="64">
        <f>IF(NOT((COUNTA($B127:$D127)+COUNTA($G127:$L127)+COUNTA($Q127))&gt;0),"",IF(AND($V127="Sub",N($U127)&gt;0),IF(ISNUMBER(INDEX($AM$5:$AM$1000,$U127-4)),DATE(YEAR(INDEX($AM$5:$AM$1000,$U127-4)),MONTH(INDEX($AM$5:$AM$1000,$U127-4)),1),IF(ISNUMBER(INDEX($AN$5:$AN$1000,$U127-4)),DATE(YEAR(INDEX($AN$5:$AN$1000,$U127-4)),MONTH(INDEX($AN$5:$AN$1000,$U127-4)),1),MesCiclo)),IF(ISNUMBER($AM127),DATE(YEAR($AM127),MONTH($AM127),1),IF(ISNUMBER($AN127),DATE(YEAR($AN127),MONTH($AN127),1),MesCiclo))))</f>
        <v/>
      </c>
      <c r="T127" s="62">
        <f>IF(OR($S127="",$S127&lt;&gt;MesCiclo),"",COUNTIF($S$5:$S127,MesCiclo))</f>
        <v/>
      </c>
      <c r="U127" s="62">
        <f>IF($V127="","",IF($V127="Macro",ROW(),IFERROR(LOOKUP(2,1/($V$5:$V127="Macro"),ROW($V$5:$V127)),0)))</f>
        <v/>
      </c>
      <c r="V127" s="62">
        <f>IF(NOT((COUNTA($B127:$D127)+COUNTA($G127:$L127)+COUNTA($Q127))&gt;0),"",IF($B127="Subactividad","Sub","Macro"))</f>
        <v/>
      </c>
      <c r="W127" s="62">
        <f>IF($V127="Macro",COUNTIFS($U$5:$U$1000,ROW(),$V$5:$V$1000,"Sub"),"")</f>
        <v/>
      </c>
      <c r="X127" s="62">
        <f>IF($V127="","",IF(ISNUMBER($G127),1,IFERROR(LOOKUP(2,1/($I127:$L127&lt;&gt;""),$I127:$L127),0)))</f>
        <v/>
      </c>
      <c r="Y127" s="62">
        <f>IF($V127="","",IF(AND(ISNUMBER($G127),$G127&lt;=IF($S127=MesCiclo,InicioCiclo,$S127+MOD(2-WEEKDAY($S127),7))+6),1,IF(ISNUMBER($I127),$I127,0)))</f>
        <v/>
      </c>
      <c r="Z127" s="62">
        <f>IF($V127="","",IF(AND(ISNUMBER($G127),$G127&lt;=IF($S127=MesCiclo,InicioCiclo,$S127+MOD(2-WEEKDAY($S127),7))+13),1,IF(ISNUMBER($J127),$J127,$Y127)))</f>
        <v/>
      </c>
      <c r="AA127" s="62">
        <f>IF($V127="","",IF(AND(ISNUMBER($G127),$G127&lt;=IF($S127=MesCiclo,InicioCiclo,$S127+MOD(2-WEEKDAY($S127),7))+20),1,IF(ISNUMBER($K127),$K127,$Z127)))</f>
        <v/>
      </c>
      <c r="AB127" s="62">
        <f>IF($V127="","",IF(AND(ISNUMBER($G127),$G127&lt;=IF($S127=MesCiclo,InicioCiclo,$S127+MOD(2-WEEKDAY($S127),7))+27),1,IF(ISNUMBER($L127),$L127,$AA127)))</f>
        <v/>
      </c>
      <c r="AC127" s="62">
        <f>IF($V127="","",IF(AND(ISNUMBER($G127),$G127&lt;=IF($S127=MesCiclo,InicioCiclo,$S127+MOD(2-WEEKDAY($S127),7))+6),1,IF(N($W127)&gt;0,AVERAGEIFS($Y$5:$Y$1000,$U$5:$U$1000,ROW(),$V$5:$V$1000,"Sub"),$Y127)))</f>
        <v/>
      </c>
      <c r="AD127" s="62">
        <f>IF($V127="","",IF(AND(ISNUMBER($G127),$G127&lt;=IF($S127=MesCiclo,InicioCiclo,$S127+MOD(2-WEEKDAY($S127),7))+13),1,IF(N($W127)&gt;0,AVERAGEIFS($Z$5:$Z$1000,$U$5:$U$1000,ROW(),$V$5:$V$1000,"Sub"),$Z127)))</f>
        <v/>
      </c>
      <c r="AE127" s="62">
        <f>IF($V127="","",IF(AND(ISNUMBER($G127),$G127&lt;=IF($S127=MesCiclo,InicioCiclo,$S127+MOD(2-WEEKDAY($S127),7))+20),1,IF(N($W127)&gt;0,AVERAGEIFS($AA$5:$AA$1000,$U$5:$U$1000,ROW(),$V$5:$V$1000,"Sub"),$AA127)))</f>
        <v/>
      </c>
      <c r="AF127" s="62">
        <f>IF($V127="","",IF(AND(ISNUMBER($G127),$G127&lt;=IF($S127=MesCiclo,InicioCiclo,$S127+MOD(2-WEEKDAY($S127),7))+27),1,IF(N($W127)&gt;0,AVERAGEIFS($AB$5:$AB$1000,$U$5:$U$1000,ROW(),$V$5:$V$1000,"Sub"),$AB127)))</f>
        <v/>
      </c>
      <c r="AG127" s="62">
        <f>IF($V127&lt;&gt;"Macro","",IF(COUNTIFS($S$5:$S$1000,$S127,$V$5:$V$1000,"Macro",$H$5:$H$1000,"&gt;0")=0,1/COUNTIFS($S$5:$S$1000,$S127,$V$5:$V$1000,"Macro"),IF(AND(ISNUMBER($H127),N($H127)&gt;0),$H127,SUMIFS($H$5:$H$1000,$S$5:$S$1000,$S127,$V$5:$V$1000,"Macro")/COUNTIFS($S$5:$S$1000,$S127,$V$5:$V$1000,"Macro",$H$5:$H$1000,"&gt;0"))/(COUNTIFS($S$5:$S$1000,$S127,$V$5:$V$1000,"Macro")*SUMIFS($H$5:$H$1000,$S$5:$S$1000,$S127,$V$5:$V$1000,"Macro")/COUNTIFS($S$5:$S$1000,$S127,$V$5:$V$1000,"Macro",$H$5:$H$1000,"&gt;0"))))</f>
        <v/>
      </c>
      <c r="AH127" s="62" t="n"/>
      <c r="AI127" s="62" t="n"/>
      <c r="AJ127" s="62" t="n"/>
      <c r="AK127" s="62" t="n"/>
      <c r="AL127" s="62">
        <f>IF(LEFT($C127,11)="[Jefatura] ",IFERROR(MATCH("Riesgo Operacional|"&amp;MID($C127,12,500),rDname_ADM,0),0),"")</f>
        <v/>
      </c>
      <c r="AM127" s="62">
        <f>IF(N($AL127)&gt;0,INDEX(rIni_ADM,$AL127),IF(ISNUMBER($E127),$E127,""))</f>
        <v/>
      </c>
      <c r="AN127" s="62">
        <f>IF(N($AL127)&gt;0,INDEX(rLim_ADM,$AL127),IF(ISNUMBER($F127),$F127,""))</f>
        <v/>
      </c>
    </row>
    <row r="128">
      <c r="A128" s="56">
        <f>IF(NOT((COUNTA($B128:$D128)+COUNTA($G128:$L128)+COUNTA($Q128))&gt;0),"",IF($V128="Macro",COUNTIFS($V$5:$V128,"Macro",$S$5:$S128,$S128),IF(N($U128)=0,"?",COUNTIFS(INDEX($V$5:$V$1000,1):INDEX($V$5:$V$1000,$U128-4),"Macro",INDEX($S$5:$S$1000,1):INDEX($S$5:$S$1000,$U128-4),INDEX($S$5:$S$1000,$U128-4))&amp;"."&amp;COUNTIFS($U$5:$U128,$U128,$V$5:$V128,"Sub"))))</f>
        <v/>
      </c>
      <c r="B128" s="57" t="n"/>
      <c r="C128" s="58" t="n"/>
      <c r="D128" s="58" t="n"/>
      <c r="E128" s="59">
        <f>IF(N($AL128)&gt;0,INDEX(rIni_ADM,$AL128),"")</f>
        <v/>
      </c>
      <c r="F128" s="59">
        <f>IF(N($AL128)&gt;0,INDEX(rLim_ADM,$AL128),"")</f>
        <v/>
      </c>
      <c r="G128" s="59" t="n"/>
      <c r="H128" s="60" t="n"/>
      <c r="I128" s="60" t="n"/>
      <c r="J128" s="60" t="n"/>
      <c r="K128" s="60" t="n"/>
      <c r="L128" s="60" t="n"/>
      <c r="M128" s="61">
        <f>IF(NOT((COUNTA($B128:$D128)+COUNTA($G128:$L128)+COUNTA($Q128))&gt;0),"",IF(ISNUMBER($G128),1,IF(N($W128)&gt;0,AVERAGEIFS($X$5:$X$1000,$U$5:$U$1000,ROW(),$V$5:$V$1000,"Sub"),$X128)))</f>
        <v/>
      </c>
      <c r="N128" s="56">
        <f>IF($M128="","",IF($M128&gt;=1,"Completado",IF($M128&gt;0,"En curso","Pendiente")))</f>
        <v/>
      </c>
      <c r="O128" s="56">
        <f>IF(NOT((COUNTA($B128:$D128)+COUNTA($G128:$L128)+COUNTA($Q128))&gt;0),"",IF(ISNUMBER($G128),IF(AND(ISNUMBER($AN128),$G128&gt;$AN128),"Cumplida con "&amp;($G128-$AN128)&amp;IF($G128-$AN128=1," día"," días")&amp;" de retraso","Cumplida"),IF(N($M128)&gt;=1,"Cumplida",IF(NOT(ISNUMBER($AN128)),"Sin fecha límite",IF($AN128&lt;FechaRef,"Vencida hace "&amp;(FechaRef-$AN128)&amp;IF(FechaRef-$AN128=1," día"," días"),IF($AN128=FechaRef,"Vence hoy",IF($AN128-FechaRef&lt;=DiasAlerta,"Vence en "&amp;($AN128-FechaRef)&amp;IF($AN128-FechaRef=1," día"," días"),"En plazo")))))))</f>
        <v/>
      </c>
      <c r="P128" s="62" t="n"/>
      <c r="Q128" s="58" t="n"/>
      <c r="R128" s="63">
        <f>IF(NOT((COUNTA($B128:$D128)+COUNTA($G128:$L128)+COUNTA($Q128))&gt;0),"",IF((IF($C128="","Falta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",""))="","✔ OK","⚠ "&amp;LEFT(IF($C128="","Falta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",""),LEN(IF($C128="","Falta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",""))-3)))</f>
        <v/>
      </c>
      <c r="S128" s="64">
        <f>IF(NOT((COUNTA($B128:$D128)+COUNTA($G128:$L128)+COUNTA($Q128))&gt;0),"",IF(AND($V128="Sub",N($U128)&gt;0),IF(ISNUMBER(INDEX($AM$5:$AM$1000,$U128-4)),DATE(YEAR(INDEX($AM$5:$AM$1000,$U128-4)),MONTH(INDEX($AM$5:$AM$1000,$U128-4)),1),IF(ISNUMBER(INDEX($AN$5:$AN$1000,$U128-4)),DATE(YEAR(INDEX($AN$5:$AN$1000,$U128-4)),MONTH(INDEX($AN$5:$AN$1000,$U128-4)),1),MesCiclo)),IF(ISNUMBER($AM128),DATE(YEAR($AM128),MONTH($AM128),1),IF(ISNUMBER($AN128),DATE(YEAR($AN128),MONTH($AN128),1),MesCiclo))))</f>
        <v/>
      </c>
      <c r="T128" s="62">
        <f>IF(OR($S128="",$S128&lt;&gt;MesCiclo),"",COUNTIF($S$5:$S128,MesCiclo))</f>
        <v/>
      </c>
      <c r="U128" s="62">
        <f>IF($V128="","",IF($V128="Macro",ROW(),IFERROR(LOOKUP(2,1/($V$5:$V128="Macro"),ROW($V$5:$V128)),0)))</f>
        <v/>
      </c>
      <c r="V128" s="62">
        <f>IF(NOT((COUNTA($B128:$D128)+COUNTA($G128:$L128)+COUNTA($Q128))&gt;0),"",IF($B128="Subactividad","Sub","Macro"))</f>
        <v/>
      </c>
      <c r="W128" s="62">
        <f>IF($V128="Macro",COUNTIFS($U$5:$U$1000,ROW(),$V$5:$V$1000,"Sub"),"")</f>
        <v/>
      </c>
      <c r="X128" s="62">
        <f>IF($V128="","",IF(ISNUMBER($G128),1,IFERROR(LOOKUP(2,1/($I128:$L128&lt;&gt;""),$I128:$L128),0)))</f>
        <v/>
      </c>
      <c r="Y128" s="62">
        <f>IF($V128="","",IF(AND(ISNUMBER($G128),$G128&lt;=IF($S128=MesCiclo,InicioCiclo,$S128+MOD(2-WEEKDAY($S128),7))+6),1,IF(ISNUMBER($I128),$I128,0)))</f>
        <v/>
      </c>
      <c r="Z128" s="62">
        <f>IF($V128="","",IF(AND(ISNUMBER($G128),$G128&lt;=IF($S128=MesCiclo,InicioCiclo,$S128+MOD(2-WEEKDAY($S128),7))+13),1,IF(ISNUMBER($J128),$J128,$Y128)))</f>
        <v/>
      </c>
      <c r="AA128" s="62">
        <f>IF($V128="","",IF(AND(ISNUMBER($G128),$G128&lt;=IF($S128=MesCiclo,InicioCiclo,$S128+MOD(2-WEEKDAY($S128),7))+20),1,IF(ISNUMBER($K128),$K128,$Z128)))</f>
        <v/>
      </c>
      <c r="AB128" s="62">
        <f>IF($V128="","",IF(AND(ISNUMBER($G128),$G128&lt;=IF($S128=MesCiclo,InicioCiclo,$S128+MOD(2-WEEKDAY($S128),7))+27),1,IF(ISNUMBER($L128),$L128,$AA128)))</f>
        <v/>
      </c>
      <c r="AC128" s="62">
        <f>IF($V128="","",IF(AND(ISNUMBER($G128),$G128&lt;=IF($S128=MesCiclo,InicioCiclo,$S128+MOD(2-WEEKDAY($S128),7))+6),1,IF(N($W128)&gt;0,AVERAGEIFS($Y$5:$Y$1000,$U$5:$U$1000,ROW(),$V$5:$V$1000,"Sub"),$Y128)))</f>
        <v/>
      </c>
      <c r="AD128" s="62">
        <f>IF($V128="","",IF(AND(ISNUMBER($G128),$G128&lt;=IF($S128=MesCiclo,InicioCiclo,$S128+MOD(2-WEEKDAY($S128),7))+13),1,IF(N($W128)&gt;0,AVERAGEIFS($Z$5:$Z$1000,$U$5:$U$1000,ROW(),$V$5:$V$1000,"Sub"),$Z128)))</f>
        <v/>
      </c>
      <c r="AE128" s="62">
        <f>IF($V128="","",IF(AND(ISNUMBER($G128),$G128&lt;=IF($S128=MesCiclo,InicioCiclo,$S128+MOD(2-WEEKDAY($S128),7))+20),1,IF(N($W128)&gt;0,AVERAGEIFS($AA$5:$AA$1000,$U$5:$U$1000,ROW(),$V$5:$V$1000,"Sub"),$AA128)))</f>
        <v/>
      </c>
      <c r="AF128" s="62">
        <f>IF($V128="","",IF(AND(ISNUMBER($G128),$G128&lt;=IF($S128=MesCiclo,InicioCiclo,$S128+MOD(2-WEEKDAY($S128),7))+27),1,IF(N($W128)&gt;0,AVERAGEIFS($AB$5:$AB$1000,$U$5:$U$1000,ROW(),$V$5:$V$1000,"Sub"),$AB128)))</f>
        <v/>
      </c>
      <c r="AG128" s="62">
        <f>IF($V128&lt;&gt;"Macro","",IF(COUNTIFS($S$5:$S$1000,$S128,$V$5:$V$1000,"Macro",$H$5:$H$1000,"&gt;0")=0,1/COUNTIFS($S$5:$S$1000,$S128,$V$5:$V$1000,"Macro"),IF(AND(ISNUMBER($H128),N($H128)&gt;0),$H128,SUMIFS($H$5:$H$1000,$S$5:$S$1000,$S128,$V$5:$V$1000,"Macro")/COUNTIFS($S$5:$S$1000,$S128,$V$5:$V$1000,"Macro",$H$5:$H$1000,"&gt;0"))/(COUNTIFS($S$5:$S$1000,$S128,$V$5:$V$1000,"Macro")*SUMIFS($H$5:$H$1000,$S$5:$S$1000,$S128,$V$5:$V$1000,"Macro")/COUNTIFS($S$5:$S$1000,$S128,$V$5:$V$1000,"Macro",$H$5:$H$1000,"&gt;0"))))</f>
        <v/>
      </c>
      <c r="AH128" s="62" t="n"/>
      <c r="AI128" s="62" t="n"/>
      <c r="AJ128" s="62" t="n"/>
      <c r="AK128" s="62" t="n"/>
      <c r="AL128" s="62">
        <f>IF(LEFT($C128,11)="[Jefatura] ",IFERROR(MATCH("Riesgo Operacional|"&amp;MID($C128,12,500),rDname_ADM,0),0),"")</f>
        <v/>
      </c>
      <c r="AM128" s="62">
        <f>IF(N($AL128)&gt;0,INDEX(rIni_ADM,$AL128),IF(ISNUMBER($E128),$E128,""))</f>
        <v/>
      </c>
      <c r="AN128" s="62">
        <f>IF(N($AL128)&gt;0,INDEX(rLim_ADM,$AL128),IF(ISNUMBER($F128),$F128,""))</f>
        <v/>
      </c>
    </row>
    <row r="129">
      <c r="A129" s="56">
        <f>IF(NOT((COUNTA($B129:$D129)+COUNTA($G129:$L129)+COUNTA($Q129))&gt;0),"",IF($V129="Macro",COUNTIFS($V$5:$V129,"Macro",$S$5:$S129,$S129),IF(N($U129)=0,"?",COUNTIFS(INDEX($V$5:$V$1000,1):INDEX($V$5:$V$1000,$U129-4),"Macro",INDEX($S$5:$S$1000,1):INDEX($S$5:$S$1000,$U129-4),INDEX($S$5:$S$1000,$U129-4))&amp;"."&amp;COUNTIFS($U$5:$U129,$U129,$V$5:$V129,"Sub"))))</f>
        <v/>
      </c>
      <c r="B129" s="57" t="n"/>
      <c r="C129" s="58" t="n"/>
      <c r="D129" s="58" t="n"/>
      <c r="E129" s="59">
        <f>IF(N($AL129)&gt;0,INDEX(rIni_ADM,$AL129),"")</f>
        <v/>
      </c>
      <c r="F129" s="59">
        <f>IF(N($AL129)&gt;0,INDEX(rLim_ADM,$AL129),"")</f>
        <v/>
      </c>
      <c r="G129" s="59" t="n"/>
      <c r="H129" s="60" t="n"/>
      <c r="I129" s="60" t="n"/>
      <c r="J129" s="60" t="n"/>
      <c r="K129" s="60" t="n"/>
      <c r="L129" s="60" t="n"/>
      <c r="M129" s="61">
        <f>IF(NOT((COUNTA($B129:$D129)+COUNTA($G129:$L129)+COUNTA($Q129))&gt;0),"",IF(ISNUMBER($G129),1,IF(N($W129)&gt;0,AVERAGEIFS($X$5:$X$1000,$U$5:$U$1000,ROW(),$V$5:$V$1000,"Sub"),$X129)))</f>
        <v/>
      </c>
      <c r="N129" s="56">
        <f>IF($M129="","",IF($M129&gt;=1,"Completado",IF($M129&gt;0,"En curso","Pendiente")))</f>
        <v/>
      </c>
      <c r="O129" s="56">
        <f>IF(NOT((COUNTA($B129:$D129)+COUNTA($G129:$L129)+COUNTA($Q129))&gt;0),"",IF(ISNUMBER($G129),IF(AND(ISNUMBER($AN129),$G129&gt;$AN129),"Cumplida con "&amp;($G129-$AN129)&amp;IF($G129-$AN129=1," día"," días")&amp;" de retraso","Cumplida"),IF(N($M129)&gt;=1,"Cumplida",IF(NOT(ISNUMBER($AN129)),"Sin fecha límite",IF($AN129&lt;FechaRef,"Vencida hace "&amp;(FechaRef-$AN129)&amp;IF(FechaRef-$AN129=1," día"," días"),IF($AN129=FechaRef,"Vence hoy",IF($AN129-FechaRef&lt;=DiasAlerta,"Vence en "&amp;($AN129-FechaRef)&amp;IF($AN129-FechaRef=1," día"," días"),"En plazo")))))))</f>
        <v/>
      </c>
      <c r="P129" s="62" t="n"/>
      <c r="Q129" s="58" t="n"/>
      <c r="R129" s="63">
        <f>IF(NOT((COUNTA($B129:$D129)+COUNTA($G129:$L129)+COUNTA($Q129))&gt;0),"",IF((IF($C129="","Falta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",""))="","✔ OK","⚠ "&amp;LEFT(IF($C129="","Falta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",""),LEN(IF($C129="","Falta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",""))-3)))</f>
        <v/>
      </c>
      <c r="S129" s="64">
        <f>IF(NOT((COUNTA($B129:$D129)+COUNTA($G129:$L129)+COUNTA($Q129))&gt;0),"",IF(AND($V129="Sub",N($U129)&gt;0),IF(ISNUMBER(INDEX($AM$5:$AM$1000,$U129-4)),DATE(YEAR(INDEX($AM$5:$AM$1000,$U129-4)),MONTH(INDEX($AM$5:$AM$1000,$U129-4)),1),IF(ISNUMBER(INDEX($AN$5:$AN$1000,$U129-4)),DATE(YEAR(INDEX($AN$5:$AN$1000,$U129-4)),MONTH(INDEX($AN$5:$AN$1000,$U129-4)),1),MesCiclo)),IF(ISNUMBER($AM129),DATE(YEAR($AM129),MONTH($AM129),1),IF(ISNUMBER($AN129),DATE(YEAR($AN129),MONTH($AN129),1),MesCiclo))))</f>
        <v/>
      </c>
      <c r="T129" s="62">
        <f>IF(OR($S129="",$S129&lt;&gt;MesCiclo),"",COUNTIF($S$5:$S129,MesCiclo))</f>
        <v/>
      </c>
      <c r="U129" s="62">
        <f>IF($V129="","",IF($V129="Macro",ROW(),IFERROR(LOOKUP(2,1/($V$5:$V129="Macro"),ROW($V$5:$V129)),0)))</f>
        <v/>
      </c>
      <c r="V129" s="62">
        <f>IF(NOT((COUNTA($B129:$D129)+COUNTA($G129:$L129)+COUNTA($Q129))&gt;0),"",IF($B129="Subactividad","Sub","Macro"))</f>
        <v/>
      </c>
      <c r="W129" s="62">
        <f>IF($V129="Macro",COUNTIFS($U$5:$U$1000,ROW(),$V$5:$V$1000,"Sub"),"")</f>
        <v/>
      </c>
      <c r="X129" s="62">
        <f>IF($V129="","",IF(ISNUMBER($G129),1,IFERROR(LOOKUP(2,1/($I129:$L129&lt;&gt;""),$I129:$L129),0)))</f>
        <v/>
      </c>
      <c r="Y129" s="62">
        <f>IF($V129="","",IF(AND(ISNUMBER($G129),$G129&lt;=IF($S129=MesCiclo,InicioCiclo,$S129+MOD(2-WEEKDAY($S129),7))+6),1,IF(ISNUMBER($I129),$I129,0)))</f>
        <v/>
      </c>
      <c r="Z129" s="62">
        <f>IF($V129="","",IF(AND(ISNUMBER($G129),$G129&lt;=IF($S129=MesCiclo,InicioCiclo,$S129+MOD(2-WEEKDAY($S129),7))+13),1,IF(ISNUMBER($J129),$J129,$Y129)))</f>
        <v/>
      </c>
      <c r="AA129" s="62">
        <f>IF($V129="","",IF(AND(ISNUMBER($G129),$G129&lt;=IF($S129=MesCiclo,InicioCiclo,$S129+MOD(2-WEEKDAY($S129),7))+20),1,IF(ISNUMBER($K129),$K129,$Z129)))</f>
        <v/>
      </c>
      <c r="AB129" s="62">
        <f>IF($V129="","",IF(AND(ISNUMBER($G129),$G129&lt;=IF($S129=MesCiclo,InicioCiclo,$S129+MOD(2-WEEKDAY($S129),7))+27),1,IF(ISNUMBER($L129),$L129,$AA129)))</f>
        <v/>
      </c>
      <c r="AC129" s="62">
        <f>IF($V129="","",IF(AND(ISNUMBER($G129),$G129&lt;=IF($S129=MesCiclo,InicioCiclo,$S129+MOD(2-WEEKDAY($S129),7))+6),1,IF(N($W129)&gt;0,AVERAGEIFS($Y$5:$Y$1000,$U$5:$U$1000,ROW(),$V$5:$V$1000,"Sub"),$Y129)))</f>
        <v/>
      </c>
      <c r="AD129" s="62">
        <f>IF($V129="","",IF(AND(ISNUMBER($G129),$G129&lt;=IF($S129=MesCiclo,InicioCiclo,$S129+MOD(2-WEEKDAY($S129),7))+13),1,IF(N($W129)&gt;0,AVERAGEIFS($Z$5:$Z$1000,$U$5:$U$1000,ROW(),$V$5:$V$1000,"Sub"),$Z129)))</f>
        <v/>
      </c>
      <c r="AE129" s="62">
        <f>IF($V129="","",IF(AND(ISNUMBER($G129),$G129&lt;=IF($S129=MesCiclo,InicioCiclo,$S129+MOD(2-WEEKDAY($S129),7))+20),1,IF(N($W129)&gt;0,AVERAGEIFS($AA$5:$AA$1000,$U$5:$U$1000,ROW(),$V$5:$V$1000,"Sub"),$AA129)))</f>
        <v/>
      </c>
      <c r="AF129" s="62">
        <f>IF($V129="","",IF(AND(ISNUMBER($G129),$G129&lt;=IF($S129=MesCiclo,InicioCiclo,$S129+MOD(2-WEEKDAY($S129),7))+27),1,IF(N($W129)&gt;0,AVERAGEIFS($AB$5:$AB$1000,$U$5:$U$1000,ROW(),$V$5:$V$1000,"Sub"),$AB129)))</f>
        <v/>
      </c>
      <c r="AG129" s="62">
        <f>IF($V129&lt;&gt;"Macro","",IF(COUNTIFS($S$5:$S$1000,$S129,$V$5:$V$1000,"Macro",$H$5:$H$1000,"&gt;0")=0,1/COUNTIFS($S$5:$S$1000,$S129,$V$5:$V$1000,"Macro"),IF(AND(ISNUMBER($H129),N($H129)&gt;0),$H129,SUMIFS($H$5:$H$1000,$S$5:$S$1000,$S129,$V$5:$V$1000,"Macro")/COUNTIFS($S$5:$S$1000,$S129,$V$5:$V$1000,"Macro",$H$5:$H$1000,"&gt;0"))/(COUNTIFS($S$5:$S$1000,$S129,$V$5:$V$1000,"Macro")*SUMIFS($H$5:$H$1000,$S$5:$S$1000,$S129,$V$5:$V$1000,"Macro")/COUNTIFS($S$5:$S$1000,$S129,$V$5:$V$1000,"Macro",$H$5:$H$1000,"&gt;0"))))</f>
        <v/>
      </c>
      <c r="AH129" s="62" t="n"/>
      <c r="AI129" s="62" t="n"/>
      <c r="AJ129" s="62" t="n"/>
      <c r="AK129" s="62" t="n"/>
      <c r="AL129" s="62">
        <f>IF(LEFT($C129,11)="[Jefatura] ",IFERROR(MATCH("Riesgo Operacional|"&amp;MID($C129,12,500),rDname_ADM,0),0),"")</f>
        <v/>
      </c>
      <c r="AM129" s="62">
        <f>IF(N($AL129)&gt;0,INDEX(rIni_ADM,$AL129),IF(ISNUMBER($E129),$E129,""))</f>
        <v/>
      </c>
      <c r="AN129" s="62">
        <f>IF(N($AL129)&gt;0,INDEX(rLim_ADM,$AL129),IF(ISNUMBER($F129),$F129,""))</f>
        <v/>
      </c>
    </row>
    <row r="130">
      <c r="A130" s="56">
        <f>IF(NOT((COUNTA($B130:$D130)+COUNTA($G130:$L130)+COUNTA($Q130))&gt;0),"",IF($V130="Macro",COUNTIFS($V$5:$V130,"Macro",$S$5:$S130,$S130),IF(N($U130)=0,"?",COUNTIFS(INDEX($V$5:$V$1000,1):INDEX($V$5:$V$1000,$U130-4),"Macro",INDEX($S$5:$S$1000,1):INDEX($S$5:$S$1000,$U130-4),INDEX($S$5:$S$1000,$U130-4))&amp;"."&amp;COUNTIFS($U$5:$U130,$U130,$V$5:$V130,"Sub"))))</f>
        <v/>
      </c>
      <c r="B130" s="57" t="n"/>
      <c r="C130" s="58" t="n"/>
      <c r="D130" s="58" t="n"/>
      <c r="E130" s="59">
        <f>IF(N($AL130)&gt;0,INDEX(rIni_ADM,$AL130),"")</f>
        <v/>
      </c>
      <c r="F130" s="59">
        <f>IF(N($AL130)&gt;0,INDEX(rLim_ADM,$AL130),"")</f>
        <v/>
      </c>
      <c r="G130" s="59" t="n"/>
      <c r="H130" s="60" t="n"/>
      <c r="I130" s="60" t="n"/>
      <c r="J130" s="60" t="n"/>
      <c r="K130" s="60" t="n"/>
      <c r="L130" s="60" t="n"/>
      <c r="M130" s="61">
        <f>IF(NOT((COUNTA($B130:$D130)+COUNTA($G130:$L130)+COUNTA($Q130))&gt;0),"",IF(ISNUMBER($G130),1,IF(N($W130)&gt;0,AVERAGEIFS($X$5:$X$1000,$U$5:$U$1000,ROW(),$V$5:$V$1000,"Sub"),$X130)))</f>
        <v/>
      </c>
      <c r="N130" s="56">
        <f>IF($M130="","",IF($M130&gt;=1,"Completado",IF($M130&gt;0,"En curso","Pendiente")))</f>
        <v/>
      </c>
      <c r="O130" s="56">
        <f>IF(NOT((COUNTA($B130:$D130)+COUNTA($G130:$L130)+COUNTA($Q130))&gt;0),"",IF(ISNUMBER($G130),IF(AND(ISNUMBER($AN130),$G130&gt;$AN130),"Cumplida con "&amp;($G130-$AN130)&amp;IF($G130-$AN130=1," día"," días")&amp;" de retraso","Cumplida"),IF(N($M130)&gt;=1,"Cumplida",IF(NOT(ISNUMBER($AN130)),"Sin fecha límite",IF($AN130&lt;FechaRef,"Vencida hace "&amp;(FechaRef-$AN130)&amp;IF(FechaRef-$AN130=1," día"," días"),IF($AN130=FechaRef,"Vence hoy",IF($AN130-FechaRef&lt;=DiasAlerta,"Vence en "&amp;($AN130-FechaRef)&amp;IF($AN130-FechaRef=1," día"," días"),"En plazo")))))))</f>
        <v/>
      </c>
      <c r="P130" s="62" t="n"/>
      <c r="Q130" s="58" t="n"/>
      <c r="R130" s="63">
        <f>IF(NOT((COUNTA($B130:$D130)+COUNTA($G130:$L130)+COUNTA($Q130))&gt;0),"",IF((IF($C130="","Falta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",""))="","✔ OK","⚠ "&amp;LEFT(IF($C130="","Falta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",""),LEN(IF($C130="","Falta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",""))-3)))</f>
        <v/>
      </c>
      <c r="S130" s="64">
        <f>IF(NOT((COUNTA($B130:$D130)+COUNTA($G130:$L130)+COUNTA($Q130))&gt;0),"",IF(AND($V130="Sub",N($U130)&gt;0),IF(ISNUMBER(INDEX($AM$5:$AM$1000,$U130-4)),DATE(YEAR(INDEX($AM$5:$AM$1000,$U130-4)),MONTH(INDEX($AM$5:$AM$1000,$U130-4)),1),IF(ISNUMBER(INDEX($AN$5:$AN$1000,$U130-4)),DATE(YEAR(INDEX($AN$5:$AN$1000,$U130-4)),MONTH(INDEX($AN$5:$AN$1000,$U130-4)),1),MesCiclo)),IF(ISNUMBER($AM130),DATE(YEAR($AM130),MONTH($AM130),1),IF(ISNUMBER($AN130),DATE(YEAR($AN130),MONTH($AN130),1),MesCiclo))))</f>
        <v/>
      </c>
      <c r="T130" s="62">
        <f>IF(OR($S130="",$S130&lt;&gt;MesCiclo),"",COUNTIF($S$5:$S130,MesCiclo))</f>
        <v/>
      </c>
      <c r="U130" s="62">
        <f>IF($V130="","",IF($V130="Macro",ROW(),IFERROR(LOOKUP(2,1/($V$5:$V130="Macro"),ROW($V$5:$V130)),0)))</f>
        <v/>
      </c>
      <c r="V130" s="62">
        <f>IF(NOT((COUNTA($B130:$D130)+COUNTA($G130:$L130)+COUNTA($Q130))&gt;0),"",IF($B130="Subactividad","Sub","Macro"))</f>
        <v/>
      </c>
      <c r="W130" s="62">
        <f>IF($V130="Macro",COUNTIFS($U$5:$U$1000,ROW(),$V$5:$V$1000,"Sub"),"")</f>
        <v/>
      </c>
      <c r="X130" s="62">
        <f>IF($V130="","",IF(ISNUMBER($G130),1,IFERROR(LOOKUP(2,1/($I130:$L130&lt;&gt;""),$I130:$L130),0)))</f>
        <v/>
      </c>
      <c r="Y130" s="62">
        <f>IF($V130="","",IF(AND(ISNUMBER($G130),$G130&lt;=IF($S130=MesCiclo,InicioCiclo,$S130+MOD(2-WEEKDAY($S130),7))+6),1,IF(ISNUMBER($I130),$I130,0)))</f>
        <v/>
      </c>
      <c r="Z130" s="62">
        <f>IF($V130="","",IF(AND(ISNUMBER($G130),$G130&lt;=IF($S130=MesCiclo,InicioCiclo,$S130+MOD(2-WEEKDAY($S130),7))+13),1,IF(ISNUMBER($J130),$J130,$Y130)))</f>
        <v/>
      </c>
      <c r="AA130" s="62">
        <f>IF($V130="","",IF(AND(ISNUMBER($G130),$G130&lt;=IF($S130=MesCiclo,InicioCiclo,$S130+MOD(2-WEEKDAY($S130),7))+20),1,IF(ISNUMBER($K130),$K130,$Z130)))</f>
        <v/>
      </c>
      <c r="AB130" s="62">
        <f>IF($V130="","",IF(AND(ISNUMBER($G130),$G130&lt;=IF($S130=MesCiclo,InicioCiclo,$S130+MOD(2-WEEKDAY($S130),7))+27),1,IF(ISNUMBER($L130),$L130,$AA130)))</f>
        <v/>
      </c>
      <c r="AC130" s="62">
        <f>IF($V130="","",IF(AND(ISNUMBER($G130),$G130&lt;=IF($S130=MesCiclo,InicioCiclo,$S130+MOD(2-WEEKDAY($S130),7))+6),1,IF(N($W130)&gt;0,AVERAGEIFS($Y$5:$Y$1000,$U$5:$U$1000,ROW(),$V$5:$V$1000,"Sub"),$Y130)))</f>
        <v/>
      </c>
      <c r="AD130" s="62">
        <f>IF($V130="","",IF(AND(ISNUMBER($G130),$G130&lt;=IF($S130=MesCiclo,InicioCiclo,$S130+MOD(2-WEEKDAY($S130),7))+13),1,IF(N($W130)&gt;0,AVERAGEIFS($Z$5:$Z$1000,$U$5:$U$1000,ROW(),$V$5:$V$1000,"Sub"),$Z130)))</f>
        <v/>
      </c>
      <c r="AE130" s="62">
        <f>IF($V130="","",IF(AND(ISNUMBER($G130),$G130&lt;=IF($S130=MesCiclo,InicioCiclo,$S130+MOD(2-WEEKDAY($S130),7))+20),1,IF(N($W130)&gt;0,AVERAGEIFS($AA$5:$AA$1000,$U$5:$U$1000,ROW(),$V$5:$V$1000,"Sub"),$AA130)))</f>
        <v/>
      </c>
      <c r="AF130" s="62">
        <f>IF($V130="","",IF(AND(ISNUMBER($G130),$G130&lt;=IF($S130=MesCiclo,InicioCiclo,$S130+MOD(2-WEEKDAY($S130),7))+27),1,IF(N($W130)&gt;0,AVERAGEIFS($AB$5:$AB$1000,$U$5:$U$1000,ROW(),$V$5:$V$1000,"Sub"),$AB130)))</f>
        <v/>
      </c>
      <c r="AG130" s="62">
        <f>IF($V130&lt;&gt;"Macro","",IF(COUNTIFS($S$5:$S$1000,$S130,$V$5:$V$1000,"Macro",$H$5:$H$1000,"&gt;0")=0,1/COUNTIFS($S$5:$S$1000,$S130,$V$5:$V$1000,"Macro"),IF(AND(ISNUMBER($H130),N($H130)&gt;0),$H130,SUMIFS($H$5:$H$1000,$S$5:$S$1000,$S130,$V$5:$V$1000,"Macro")/COUNTIFS($S$5:$S$1000,$S130,$V$5:$V$1000,"Macro",$H$5:$H$1000,"&gt;0"))/(COUNTIFS($S$5:$S$1000,$S130,$V$5:$V$1000,"Macro")*SUMIFS($H$5:$H$1000,$S$5:$S$1000,$S130,$V$5:$V$1000,"Macro")/COUNTIFS($S$5:$S$1000,$S130,$V$5:$V$1000,"Macro",$H$5:$H$1000,"&gt;0"))))</f>
        <v/>
      </c>
      <c r="AH130" s="62" t="n"/>
      <c r="AI130" s="62" t="n"/>
      <c r="AJ130" s="62" t="n"/>
      <c r="AK130" s="62" t="n"/>
      <c r="AL130" s="62">
        <f>IF(LEFT($C130,11)="[Jefatura] ",IFERROR(MATCH("Riesgo Operacional|"&amp;MID($C130,12,500),rDname_ADM,0),0),"")</f>
        <v/>
      </c>
      <c r="AM130" s="62">
        <f>IF(N($AL130)&gt;0,INDEX(rIni_ADM,$AL130),IF(ISNUMBER($E130),$E130,""))</f>
        <v/>
      </c>
      <c r="AN130" s="62">
        <f>IF(N($AL130)&gt;0,INDEX(rLim_ADM,$AL130),IF(ISNUMBER($F130),$F130,""))</f>
        <v/>
      </c>
    </row>
    <row r="131">
      <c r="A131" s="56">
        <f>IF(NOT((COUNTA($B131:$D131)+COUNTA($G131:$L131)+COUNTA($Q131))&gt;0),"",IF($V131="Macro",COUNTIFS($V$5:$V131,"Macro",$S$5:$S131,$S131),IF(N($U131)=0,"?",COUNTIFS(INDEX($V$5:$V$1000,1):INDEX($V$5:$V$1000,$U131-4),"Macro",INDEX($S$5:$S$1000,1):INDEX($S$5:$S$1000,$U131-4),INDEX($S$5:$S$1000,$U131-4))&amp;"."&amp;COUNTIFS($U$5:$U131,$U131,$V$5:$V131,"Sub"))))</f>
        <v/>
      </c>
      <c r="B131" s="57" t="n"/>
      <c r="C131" s="58" t="n"/>
      <c r="D131" s="58" t="n"/>
      <c r="E131" s="59">
        <f>IF(N($AL131)&gt;0,INDEX(rIni_ADM,$AL131),"")</f>
        <v/>
      </c>
      <c r="F131" s="59">
        <f>IF(N($AL131)&gt;0,INDEX(rLim_ADM,$AL131),"")</f>
        <v/>
      </c>
      <c r="G131" s="59" t="n"/>
      <c r="H131" s="60" t="n"/>
      <c r="I131" s="60" t="n"/>
      <c r="J131" s="60" t="n"/>
      <c r="K131" s="60" t="n"/>
      <c r="L131" s="60" t="n"/>
      <c r="M131" s="61">
        <f>IF(NOT((COUNTA($B131:$D131)+COUNTA($G131:$L131)+COUNTA($Q131))&gt;0),"",IF(ISNUMBER($G131),1,IF(N($W131)&gt;0,AVERAGEIFS($X$5:$X$1000,$U$5:$U$1000,ROW(),$V$5:$V$1000,"Sub"),$X131)))</f>
        <v/>
      </c>
      <c r="N131" s="56">
        <f>IF($M131="","",IF($M131&gt;=1,"Completado",IF($M131&gt;0,"En curso","Pendiente")))</f>
        <v/>
      </c>
      <c r="O131" s="56">
        <f>IF(NOT((COUNTA($B131:$D131)+COUNTA($G131:$L131)+COUNTA($Q131))&gt;0),"",IF(ISNUMBER($G131),IF(AND(ISNUMBER($AN131),$G131&gt;$AN131),"Cumplida con "&amp;($G131-$AN131)&amp;IF($G131-$AN131=1," día"," días")&amp;" de retraso","Cumplida"),IF(N($M131)&gt;=1,"Cumplida",IF(NOT(ISNUMBER($AN131)),"Sin fecha límite",IF($AN131&lt;FechaRef,"Vencida hace "&amp;(FechaRef-$AN131)&amp;IF(FechaRef-$AN131=1," día"," días"),IF($AN131=FechaRef,"Vence hoy",IF($AN131-FechaRef&lt;=DiasAlerta,"Vence en "&amp;($AN131-FechaRef)&amp;IF($AN131-FechaRef=1," día"," días"),"En plazo")))))))</f>
        <v/>
      </c>
      <c r="P131" s="62" t="n"/>
      <c r="Q131" s="58" t="n"/>
      <c r="R131" s="63">
        <f>IF(NOT((COUNTA($B131:$D131)+COUNTA($G131:$L131)+COUNTA($Q131))&gt;0),"",IF((IF($C131="","Falta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",""))="","✔ OK","⚠ "&amp;LEFT(IF($C131="","Falta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",""),LEN(IF($C131="","Falta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",""))-3)))</f>
        <v/>
      </c>
      <c r="S131" s="64">
        <f>IF(NOT((COUNTA($B131:$D131)+COUNTA($G131:$L131)+COUNTA($Q131))&gt;0),"",IF(AND($V131="Sub",N($U131)&gt;0),IF(ISNUMBER(INDEX($AM$5:$AM$1000,$U131-4)),DATE(YEAR(INDEX($AM$5:$AM$1000,$U131-4)),MONTH(INDEX($AM$5:$AM$1000,$U131-4)),1),IF(ISNUMBER(INDEX($AN$5:$AN$1000,$U131-4)),DATE(YEAR(INDEX($AN$5:$AN$1000,$U131-4)),MONTH(INDEX($AN$5:$AN$1000,$U131-4)),1),MesCiclo)),IF(ISNUMBER($AM131),DATE(YEAR($AM131),MONTH($AM131),1),IF(ISNUMBER($AN131),DATE(YEAR($AN131),MONTH($AN131),1),MesCiclo))))</f>
        <v/>
      </c>
      <c r="T131" s="62">
        <f>IF(OR($S131="",$S131&lt;&gt;MesCiclo),"",COUNTIF($S$5:$S131,MesCiclo))</f>
        <v/>
      </c>
      <c r="U131" s="62">
        <f>IF($V131="","",IF($V131="Macro",ROW(),IFERROR(LOOKUP(2,1/($V$5:$V131="Macro"),ROW($V$5:$V131)),0)))</f>
        <v/>
      </c>
      <c r="V131" s="62">
        <f>IF(NOT((COUNTA($B131:$D131)+COUNTA($G131:$L131)+COUNTA($Q131))&gt;0),"",IF($B131="Subactividad","Sub","Macro"))</f>
        <v/>
      </c>
      <c r="W131" s="62">
        <f>IF($V131="Macro",COUNTIFS($U$5:$U$1000,ROW(),$V$5:$V$1000,"Sub"),"")</f>
        <v/>
      </c>
      <c r="X131" s="62">
        <f>IF($V131="","",IF(ISNUMBER($G131),1,IFERROR(LOOKUP(2,1/($I131:$L131&lt;&gt;""),$I131:$L131),0)))</f>
        <v/>
      </c>
      <c r="Y131" s="62">
        <f>IF($V131="","",IF(AND(ISNUMBER($G131),$G131&lt;=IF($S131=MesCiclo,InicioCiclo,$S131+MOD(2-WEEKDAY($S131),7))+6),1,IF(ISNUMBER($I131),$I131,0)))</f>
        <v/>
      </c>
      <c r="Z131" s="62">
        <f>IF($V131="","",IF(AND(ISNUMBER($G131),$G131&lt;=IF($S131=MesCiclo,InicioCiclo,$S131+MOD(2-WEEKDAY($S131),7))+13),1,IF(ISNUMBER($J131),$J131,$Y131)))</f>
        <v/>
      </c>
      <c r="AA131" s="62">
        <f>IF($V131="","",IF(AND(ISNUMBER($G131),$G131&lt;=IF($S131=MesCiclo,InicioCiclo,$S131+MOD(2-WEEKDAY($S131),7))+20),1,IF(ISNUMBER($K131),$K131,$Z131)))</f>
        <v/>
      </c>
      <c r="AB131" s="62">
        <f>IF($V131="","",IF(AND(ISNUMBER($G131),$G131&lt;=IF($S131=MesCiclo,InicioCiclo,$S131+MOD(2-WEEKDAY($S131),7))+27),1,IF(ISNUMBER($L131),$L131,$AA131)))</f>
        <v/>
      </c>
      <c r="AC131" s="62">
        <f>IF($V131="","",IF(AND(ISNUMBER($G131),$G131&lt;=IF($S131=MesCiclo,InicioCiclo,$S131+MOD(2-WEEKDAY($S131),7))+6),1,IF(N($W131)&gt;0,AVERAGEIFS($Y$5:$Y$1000,$U$5:$U$1000,ROW(),$V$5:$V$1000,"Sub"),$Y131)))</f>
        <v/>
      </c>
      <c r="AD131" s="62">
        <f>IF($V131="","",IF(AND(ISNUMBER($G131),$G131&lt;=IF($S131=MesCiclo,InicioCiclo,$S131+MOD(2-WEEKDAY($S131),7))+13),1,IF(N($W131)&gt;0,AVERAGEIFS($Z$5:$Z$1000,$U$5:$U$1000,ROW(),$V$5:$V$1000,"Sub"),$Z131)))</f>
        <v/>
      </c>
      <c r="AE131" s="62">
        <f>IF($V131="","",IF(AND(ISNUMBER($G131),$G131&lt;=IF($S131=MesCiclo,InicioCiclo,$S131+MOD(2-WEEKDAY($S131),7))+20),1,IF(N($W131)&gt;0,AVERAGEIFS($AA$5:$AA$1000,$U$5:$U$1000,ROW(),$V$5:$V$1000,"Sub"),$AA131)))</f>
        <v/>
      </c>
      <c r="AF131" s="62">
        <f>IF($V131="","",IF(AND(ISNUMBER($G131),$G131&lt;=IF($S131=MesCiclo,InicioCiclo,$S131+MOD(2-WEEKDAY($S131),7))+27),1,IF(N($W131)&gt;0,AVERAGEIFS($AB$5:$AB$1000,$U$5:$U$1000,ROW(),$V$5:$V$1000,"Sub"),$AB131)))</f>
        <v/>
      </c>
      <c r="AG131" s="62">
        <f>IF($V131&lt;&gt;"Macro","",IF(COUNTIFS($S$5:$S$1000,$S131,$V$5:$V$1000,"Macro",$H$5:$H$1000,"&gt;0")=0,1/COUNTIFS($S$5:$S$1000,$S131,$V$5:$V$1000,"Macro"),IF(AND(ISNUMBER($H131),N($H131)&gt;0),$H131,SUMIFS($H$5:$H$1000,$S$5:$S$1000,$S131,$V$5:$V$1000,"Macro")/COUNTIFS($S$5:$S$1000,$S131,$V$5:$V$1000,"Macro",$H$5:$H$1000,"&gt;0"))/(COUNTIFS($S$5:$S$1000,$S131,$V$5:$V$1000,"Macro")*SUMIFS($H$5:$H$1000,$S$5:$S$1000,$S131,$V$5:$V$1000,"Macro")/COUNTIFS($S$5:$S$1000,$S131,$V$5:$V$1000,"Macro",$H$5:$H$1000,"&gt;0"))))</f>
        <v/>
      </c>
      <c r="AH131" s="62" t="n"/>
      <c r="AI131" s="62" t="n"/>
      <c r="AJ131" s="62" t="n"/>
      <c r="AK131" s="62" t="n"/>
      <c r="AL131" s="62">
        <f>IF(LEFT($C131,11)="[Jefatura] ",IFERROR(MATCH("Riesgo Operacional|"&amp;MID($C131,12,500),rDname_ADM,0),0),"")</f>
        <v/>
      </c>
      <c r="AM131" s="62">
        <f>IF(N($AL131)&gt;0,INDEX(rIni_ADM,$AL131),IF(ISNUMBER($E131),$E131,""))</f>
        <v/>
      </c>
      <c r="AN131" s="62">
        <f>IF(N($AL131)&gt;0,INDEX(rLim_ADM,$AL131),IF(ISNUMBER($F131),$F131,""))</f>
        <v/>
      </c>
    </row>
    <row r="132">
      <c r="A132" s="56">
        <f>IF(NOT((COUNTA($B132:$D132)+COUNTA($G132:$L132)+COUNTA($Q132))&gt;0),"",IF($V132="Macro",COUNTIFS($V$5:$V132,"Macro",$S$5:$S132,$S132),IF(N($U132)=0,"?",COUNTIFS(INDEX($V$5:$V$1000,1):INDEX($V$5:$V$1000,$U132-4),"Macro",INDEX($S$5:$S$1000,1):INDEX($S$5:$S$1000,$U132-4),INDEX($S$5:$S$1000,$U132-4))&amp;"."&amp;COUNTIFS($U$5:$U132,$U132,$V$5:$V132,"Sub"))))</f>
        <v/>
      </c>
      <c r="B132" s="57" t="n"/>
      <c r="C132" s="58" t="n"/>
      <c r="D132" s="58" t="n"/>
      <c r="E132" s="59">
        <f>IF(N($AL132)&gt;0,INDEX(rIni_ADM,$AL132),"")</f>
        <v/>
      </c>
      <c r="F132" s="59">
        <f>IF(N($AL132)&gt;0,INDEX(rLim_ADM,$AL132),"")</f>
        <v/>
      </c>
      <c r="G132" s="59" t="n"/>
      <c r="H132" s="60" t="n"/>
      <c r="I132" s="60" t="n"/>
      <c r="J132" s="60" t="n"/>
      <c r="K132" s="60" t="n"/>
      <c r="L132" s="60" t="n"/>
      <c r="M132" s="61">
        <f>IF(NOT((COUNTA($B132:$D132)+COUNTA($G132:$L132)+COUNTA($Q132))&gt;0),"",IF(ISNUMBER($G132),1,IF(N($W132)&gt;0,AVERAGEIFS($X$5:$X$1000,$U$5:$U$1000,ROW(),$V$5:$V$1000,"Sub"),$X132)))</f>
        <v/>
      </c>
      <c r="N132" s="56">
        <f>IF($M132="","",IF($M132&gt;=1,"Completado",IF($M132&gt;0,"En curso","Pendiente")))</f>
        <v/>
      </c>
      <c r="O132" s="56">
        <f>IF(NOT((COUNTA($B132:$D132)+COUNTA($G132:$L132)+COUNTA($Q132))&gt;0),"",IF(ISNUMBER($G132),IF(AND(ISNUMBER($AN132),$G132&gt;$AN132),"Cumplida con "&amp;($G132-$AN132)&amp;IF($G132-$AN132=1," día"," días")&amp;" de retraso","Cumplida"),IF(N($M132)&gt;=1,"Cumplida",IF(NOT(ISNUMBER($AN132)),"Sin fecha límite",IF($AN132&lt;FechaRef,"Vencida hace "&amp;(FechaRef-$AN132)&amp;IF(FechaRef-$AN132=1," día"," días"),IF($AN132=FechaRef,"Vence hoy",IF($AN132-FechaRef&lt;=DiasAlerta,"Vence en "&amp;($AN132-FechaRef)&amp;IF($AN132-FechaRef=1," día"," días"),"En plazo")))))))</f>
        <v/>
      </c>
      <c r="P132" s="62" t="n"/>
      <c r="Q132" s="58" t="n"/>
      <c r="R132" s="63">
        <f>IF(NOT((COUNTA($B132:$D132)+COUNTA($G132:$L132)+COUNTA($Q132))&gt;0),"",IF((IF($C132="","Falta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",""))="","✔ OK","⚠ "&amp;LEFT(IF($C132="","Falta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",""),LEN(IF($C132="","Falta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",""))-3)))</f>
        <v/>
      </c>
      <c r="S132" s="64">
        <f>IF(NOT((COUNTA($B132:$D132)+COUNTA($G132:$L132)+COUNTA($Q132))&gt;0),"",IF(AND($V132="Sub",N($U132)&gt;0),IF(ISNUMBER(INDEX($AM$5:$AM$1000,$U132-4)),DATE(YEAR(INDEX($AM$5:$AM$1000,$U132-4)),MONTH(INDEX($AM$5:$AM$1000,$U132-4)),1),IF(ISNUMBER(INDEX($AN$5:$AN$1000,$U132-4)),DATE(YEAR(INDEX($AN$5:$AN$1000,$U132-4)),MONTH(INDEX($AN$5:$AN$1000,$U132-4)),1),MesCiclo)),IF(ISNUMBER($AM132),DATE(YEAR($AM132),MONTH($AM132),1),IF(ISNUMBER($AN132),DATE(YEAR($AN132),MONTH($AN132),1),MesCiclo))))</f>
        <v/>
      </c>
      <c r="T132" s="62">
        <f>IF(OR($S132="",$S132&lt;&gt;MesCiclo),"",COUNTIF($S$5:$S132,MesCiclo))</f>
        <v/>
      </c>
      <c r="U132" s="62">
        <f>IF($V132="","",IF($V132="Macro",ROW(),IFERROR(LOOKUP(2,1/($V$5:$V132="Macro"),ROW($V$5:$V132)),0)))</f>
        <v/>
      </c>
      <c r="V132" s="62">
        <f>IF(NOT((COUNTA($B132:$D132)+COUNTA($G132:$L132)+COUNTA($Q132))&gt;0),"",IF($B132="Subactividad","Sub","Macro"))</f>
        <v/>
      </c>
      <c r="W132" s="62">
        <f>IF($V132="Macro",COUNTIFS($U$5:$U$1000,ROW(),$V$5:$V$1000,"Sub"),"")</f>
        <v/>
      </c>
      <c r="X132" s="62">
        <f>IF($V132="","",IF(ISNUMBER($G132),1,IFERROR(LOOKUP(2,1/($I132:$L132&lt;&gt;""),$I132:$L132),0)))</f>
        <v/>
      </c>
      <c r="Y132" s="62">
        <f>IF($V132="","",IF(AND(ISNUMBER($G132),$G132&lt;=IF($S132=MesCiclo,InicioCiclo,$S132+MOD(2-WEEKDAY($S132),7))+6),1,IF(ISNUMBER($I132),$I132,0)))</f>
        <v/>
      </c>
      <c r="Z132" s="62">
        <f>IF($V132="","",IF(AND(ISNUMBER($G132),$G132&lt;=IF($S132=MesCiclo,InicioCiclo,$S132+MOD(2-WEEKDAY($S132),7))+13),1,IF(ISNUMBER($J132),$J132,$Y132)))</f>
        <v/>
      </c>
      <c r="AA132" s="62">
        <f>IF($V132="","",IF(AND(ISNUMBER($G132),$G132&lt;=IF($S132=MesCiclo,InicioCiclo,$S132+MOD(2-WEEKDAY($S132),7))+20),1,IF(ISNUMBER($K132),$K132,$Z132)))</f>
        <v/>
      </c>
      <c r="AB132" s="62">
        <f>IF($V132="","",IF(AND(ISNUMBER($G132),$G132&lt;=IF($S132=MesCiclo,InicioCiclo,$S132+MOD(2-WEEKDAY($S132),7))+27),1,IF(ISNUMBER($L132),$L132,$AA132)))</f>
        <v/>
      </c>
      <c r="AC132" s="62">
        <f>IF($V132="","",IF(AND(ISNUMBER($G132),$G132&lt;=IF($S132=MesCiclo,InicioCiclo,$S132+MOD(2-WEEKDAY($S132),7))+6),1,IF(N($W132)&gt;0,AVERAGEIFS($Y$5:$Y$1000,$U$5:$U$1000,ROW(),$V$5:$V$1000,"Sub"),$Y132)))</f>
        <v/>
      </c>
      <c r="AD132" s="62">
        <f>IF($V132="","",IF(AND(ISNUMBER($G132),$G132&lt;=IF($S132=MesCiclo,InicioCiclo,$S132+MOD(2-WEEKDAY($S132),7))+13),1,IF(N($W132)&gt;0,AVERAGEIFS($Z$5:$Z$1000,$U$5:$U$1000,ROW(),$V$5:$V$1000,"Sub"),$Z132)))</f>
        <v/>
      </c>
      <c r="AE132" s="62">
        <f>IF($V132="","",IF(AND(ISNUMBER($G132),$G132&lt;=IF($S132=MesCiclo,InicioCiclo,$S132+MOD(2-WEEKDAY($S132),7))+20),1,IF(N($W132)&gt;0,AVERAGEIFS($AA$5:$AA$1000,$U$5:$U$1000,ROW(),$V$5:$V$1000,"Sub"),$AA132)))</f>
        <v/>
      </c>
      <c r="AF132" s="62">
        <f>IF($V132="","",IF(AND(ISNUMBER($G132),$G132&lt;=IF($S132=MesCiclo,InicioCiclo,$S132+MOD(2-WEEKDAY($S132),7))+27),1,IF(N($W132)&gt;0,AVERAGEIFS($AB$5:$AB$1000,$U$5:$U$1000,ROW(),$V$5:$V$1000,"Sub"),$AB132)))</f>
        <v/>
      </c>
      <c r="AG132" s="62">
        <f>IF($V132&lt;&gt;"Macro","",IF(COUNTIFS($S$5:$S$1000,$S132,$V$5:$V$1000,"Macro",$H$5:$H$1000,"&gt;0")=0,1/COUNTIFS($S$5:$S$1000,$S132,$V$5:$V$1000,"Macro"),IF(AND(ISNUMBER($H132),N($H132)&gt;0),$H132,SUMIFS($H$5:$H$1000,$S$5:$S$1000,$S132,$V$5:$V$1000,"Macro")/COUNTIFS($S$5:$S$1000,$S132,$V$5:$V$1000,"Macro",$H$5:$H$1000,"&gt;0"))/(COUNTIFS($S$5:$S$1000,$S132,$V$5:$V$1000,"Macro")*SUMIFS($H$5:$H$1000,$S$5:$S$1000,$S132,$V$5:$V$1000,"Macro")/COUNTIFS($S$5:$S$1000,$S132,$V$5:$V$1000,"Macro",$H$5:$H$1000,"&gt;0"))))</f>
        <v/>
      </c>
      <c r="AH132" s="62" t="n"/>
      <c r="AI132" s="62" t="n"/>
      <c r="AJ132" s="62" t="n"/>
      <c r="AK132" s="62" t="n"/>
      <c r="AL132" s="62">
        <f>IF(LEFT($C132,11)="[Jefatura] ",IFERROR(MATCH("Riesgo Operacional|"&amp;MID($C132,12,500),rDname_ADM,0),0),"")</f>
        <v/>
      </c>
      <c r="AM132" s="62">
        <f>IF(N($AL132)&gt;0,INDEX(rIni_ADM,$AL132),IF(ISNUMBER($E132),$E132,""))</f>
        <v/>
      </c>
      <c r="AN132" s="62">
        <f>IF(N($AL132)&gt;0,INDEX(rLim_ADM,$AL132),IF(ISNUMBER($F132),$F132,""))</f>
        <v/>
      </c>
    </row>
    <row r="133">
      <c r="A133" s="56">
        <f>IF(NOT((COUNTA($B133:$D133)+COUNTA($G133:$L133)+COUNTA($Q133))&gt;0),"",IF($V133="Macro",COUNTIFS($V$5:$V133,"Macro",$S$5:$S133,$S133),IF(N($U133)=0,"?",COUNTIFS(INDEX($V$5:$V$1000,1):INDEX($V$5:$V$1000,$U133-4),"Macro",INDEX($S$5:$S$1000,1):INDEX($S$5:$S$1000,$U133-4),INDEX($S$5:$S$1000,$U133-4))&amp;"."&amp;COUNTIFS($U$5:$U133,$U133,$V$5:$V133,"Sub"))))</f>
        <v/>
      </c>
      <c r="B133" s="57" t="n"/>
      <c r="C133" s="58" t="n"/>
      <c r="D133" s="58" t="n"/>
      <c r="E133" s="59">
        <f>IF(N($AL133)&gt;0,INDEX(rIni_ADM,$AL133),"")</f>
        <v/>
      </c>
      <c r="F133" s="59">
        <f>IF(N($AL133)&gt;0,INDEX(rLim_ADM,$AL133),"")</f>
        <v/>
      </c>
      <c r="G133" s="59" t="n"/>
      <c r="H133" s="60" t="n"/>
      <c r="I133" s="60" t="n"/>
      <c r="J133" s="60" t="n"/>
      <c r="K133" s="60" t="n"/>
      <c r="L133" s="60" t="n"/>
      <c r="M133" s="61">
        <f>IF(NOT((COUNTA($B133:$D133)+COUNTA($G133:$L133)+COUNTA($Q133))&gt;0),"",IF(ISNUMBER($G133),1,IF(N($W133)&gt;0,AVERAGEIFS($X$5:$X$1000,$U$5:$U$1000,ROW(),$V$5:$V$1000,"Sub"),$X133)))</f>
        <v/>
      </c>
      <c r="N133" s="56">
        <f>IF($M133="","",IF($M133&gt;=1,"Completado",IF($M133&gt;0,"En curso","Pendiente")))</f>
        <v/>
      </c>
      <c r="O133" s="56">
        <f>IF(NOT((COUNTA($B133:$D133)+COUNTA($G133:$L133)+COUNTA($Q133))&gt;0),"",IF(ISNUMBER($G133),IF(AND(ISNUMBER($AN133),$G133&gt;$AN133),"Cumplida con "&amp;($G133-$AN133)&amp;IF($G133-$AN133=1," día"," días")&amp;" de retraso","Cumplida"),IF(N($M133)&gt;=1,"Cumplida",IF(NOT(ISNUMBER($AN133)),"Sin fecha límite",IF($AN133&lt;FechaRef,"Vencida hace "&amp;(FechaRef-$AN133)&amp;IF(FechaRef-$AN133=1," día"," días"),IF($AN133=FechaRef,"Vence hoy",IF($AN133-FechaRef&lt;=DiasAlerta,"Vence en "&amp;($AN133-FechaRef)&amp;IF($AN133-FechaRef=1," día"," días"),"En plazo")))))))</f>
        <v/>
      </c>
      <c r="P133" s="62" t="n"/>
      <c r="Q133" s="58" t="n"/>
      <c r="R133" s="63">
        <f>IF(NOT((COUNTA($B133:$D133)+COUNTA($G133:$L133)+COUNTA($Q133))&gt;0),"",IF((IF($C133="","Falta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",""))="","✔ OK","⚠ "&amp;LEFT(IF($C133="","Falta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",""),LEN(IF($C133="","Falta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",""))-3)))</f>
        <v/>
      </c>
      <c r="S133" s="64">
        <f>IF(NOT((COUNTA($B133:$D133)+COUNTA($G133:$L133)+COUNTA($Q133))&gt;0),"",IF(AND($V133="Sub",N($U133)&gt;0),IF(ISNUMBER(INDEX($AM$5:$AM$1000,$U133-4)),DATE(YEAR(INDEX($AM$5:$AM$1000,$U133-4)),MONTH(INDEX($AM$5:$AM$1000,$U133-4)),1),IF(ISNUMBER(INDEX($AN$5:$AN$1000,$U133-4)),DATE(YEAR(INDEX($AN$5:$AN$1000,$U133-4)),MONTH(INDEX($AN$5:$AN$1000,$U133-4)),1),MesCiclo)),IF(ISNUMBER($AM133),DATE(YEAR($AM133),MONTH($AM133),1),IF(ISNUMBER($AN133),DATE(YEAR($AN133),MONTH($AN133),1),MesCiclo))))</f>
        <v/>
      </c>
      <c r="T133" s="62">
        <f>IF(OR($S133="",$S133&lt;&gt;MesCiclo),"",COUNTIF($S$5:$S133,MesCiclo))</f>
        <v/>
      </c>
      <c r="U133" s="62">
        <f>IF($V133="","",IF($V133="Macro",ROW(),IFERROR(LOOKUP(2,1/($V$5:$V133="Macro"),ROW($V$5:$V133)),0)))</f>
        <v/>
      </c>
      <c r="V133" s="62">
        <f>IF(NOT((COUNTA($B133:$D133)+COUNTA($G133:$L133)+COUNTA($Q133))&gt;0),"",IF($B133="Subactividad","Sub","Macro"))</f>
        <v/>
      </c>
      <c r="W133" s="62">
        <f>IF($V133="Macro",COUNTIFS($U$5:$U$1000,ROW(),$V$5:$V$1000,"Sub"),"")</f>
        <v/>
      </c>
      <c r="X133" s="62">
        <f>IF($V133="","",IF(ISNUMBER($G133),1,IFERROR(LOOKUP(2,1/($I133:$L133&lt;&gt;""),$I133:$L133),0)))</f>
        <v/>
      </c>
      <c r="Y133" s="62">
        <f>IF($V133="","",IF(AND(ISNUMBER($G133),$G133&lt;=IF($S133=MesCiclo,InicioCiclo,$S133+MOD(2-WEEKDAY($S133),7))+6),1,IF(ISNUMBER($I133),$I133,0)))</f>
        <v/>
      </c>
      <c r="Z133" s="62">
        <f>IF($V133="","",IF(AND(ISNUMBER($G133),$G133&lt;=IF($S133=MesCiclo,InicioCiclo,$S133+MOD(2-WEEKDAY($S133),7))+13),1,IF(ISNUMBER($J133),$J133,$Y133)))</f>
        <v/>
      </c>
      <c r="AA133" s="62">
        <f>IF($V133="","",IF(AND(ISNUMBER($G133),$G133&lt;=IF($S133=MesCiclo,InicioCiclo,$S133+MOD(2-WEEKDAY($S133),7))+20),1,IF(ISNUMBER($K133),$K133,$Z133)))</f>
        <v/>
      </c>
      <c r="AB133" s="62">
        <f>IF($V133="","",IF(AND(ISNUMBER($G133),$G133&lt;=IF($S133=MesCiclo,InicioCiclo,$S133+MOD(2-WEEKDAY($S133),7))+27),1,IF(ISNUMBER($L133),$L133,$AA133)))</f>
        <v/>
      </c>
      <c r="AC133" s="62">
        <f>IF($V133="","",IF(AND(ISNUMBER($G133),$G133&lt;=IF($S133=MesCiclo,InicioCiclo,$S133+MOD(2-WEEKDAY($S133),7))+6),1,IF(N($W133)&gt;0,AVERAGEIFS($Y$5:$Y$1000,$U$5:$U$1000,ROW(),$V$5:$V$1000,"Sub"),$Y133)))</f>
        <v/>
      </c>
      <c r="AD133" s="62">
        <f>IF($V133="","",IF(AND(ISNUMBER($G133),$G133&lt;=IF($S133=MesCiclo,InicioCiclo,$S133+MOD(2-WEEKDAY($S133),7))+13),1,IF(N($W133)&gt;0,AVERAGEIFS($Z$5:$Z$1000,$U$5:$U$1000,ROW(),$V$5:$V$1000,"Sub"),$Z133)))</f>
        <v/>
      </c>
      <c r="AE133" s="62">
        <f>IF($V133="","",IF(AND(ISNUMBER($G133),$G133&lt;=IF($S133=MesCiclo,InicioCiclo,$S133+MOD(2-WEEKDAY($S133),7))+20),1,IF(N($W133)&gt;0,AVERAGEIFS($AA$5:$AA$1000,$U$5:$U$1000,ROW(),$V$5:$V$1000,"Sub"),$AA133)))</f>
        <v/>
      </c>
      <c r="AF133" s="62">
        <f>IF($V133="","",IF(AND(ISNUMBER($G133),$G133&lt;=IF($S133=MesCiclo,InicioCiclo,$S133+MOD(2-WEEKDAY($S133),7))+27),1,IF(N($W133)&gt;0,AVERAGEIFS($AB$5:$AB$1000,$U$5:$U$1000,ROW(),$V$5:$V$1000,"Sub"),$AB133)))</f>
        <v/>
      </c>
      <c r="AG133" s="62">
        <f>IF($V133&lt;&gt;"Macro","",IF(COUNTIFS($S$5:$S$1000,$S133,$V$5:$V$1000,"Macro",$H$5:$H$1000,"&gt;0")=0,1/COUNTIFS($S$5:$S$1000,$S133,$V$5:$V$1000,"Macro"),IF(AND(ISNUMBER($H133),N($H133)&gt;0),$H133,SUMIFS($H$5:$H$1000,$S$5:$S$1000,$S133,$V$5:$V$1000,"Macro")/COUNTIFS($S$5:$S$1000,$S133,$V$5:$V$1000,"Macro",$H$5:$H$1000,"&gt;0"))/(COUNTIFS($S$5:$S$1000,$S133,$V$5:$V$1000,"Macro")*SUMIFS($H$5:$H$1000,$S$5:$S$1000,$S133,$V$5:$V$1000,"Macro")/COUNTIFS($S$5:$S$1000,$S133,$V$5:$V$1000,"Macro",$H$5:$H$1000,"&gt;0"))))</f>
        <v/>
      </c>
      <c r="AH133" s="62" t="n"/>
      <c r="AI133" s="62" t="n"/>
      <c r="AJ133" s="62" t="n"/>
      <c r="AK133" s="62" t="n"/>
      <c r="AL133" s="62">
        <f>IF(LEFT($C133,11)="[Jefatura] ",IFERROR(MATCH("Riesgo Operacional|"&amp;MID($C133,12,500),rDname_ADM,0),0),"")</f>
        <v/>
      </c>
      <c r="AM133" s="62">
        <f>IF(N($AL133)&gt;0,INDEX(rIni_ADM,$AL133),IF(ISNUMBER($E133),$E133,""))</f>
        <v/>
      </c>
      <c r="AN133" s="62">
        <f>IF(N($AL133)&gt;0,INDEX(rLim_ADM,$AL133),IF(ISNUMBER($F133),$F133,""))</f>
        <v/>
      </c>
    </row>
    <row r="134">
      <c r="A134" s="56">
        <f>IF(NOT((COUNTA($B134:$D134)+COUNTA($G134:$L134)+COUNTA($Q134))&gt;0),"",IF($V134="Macro",COUNTIFS($V$5:$V134,"Macro",$S$5:$S134,$S134),IF(N($U134)=0,"?",COUNTIFS(INDEX($V$5:$V$1000,1):INDEX($V$5:$V$1000,$U134-4),"Macro",INDEX($S$5:$S$1000,1):INDEX($S$5:$S$1000,$U134-4),INDEX($S$5:$S$1000,$U134-4))&amp;"."&amp;COUNTIFS($U$5:$U134,$U134,$V$5:$V134,"Sub"))))</f>
        <v/>
      </c>
      <c r="B134" s="57" t="n"/>
      <c r="C134" s="58" t="n"/>
      <c r="D134" s="58" t="n"/>
      <c r="E134" s="59">
        <f>IF(N($AL134)&gt;0,INDEX(rIni_ADM,$AL134),"")</f>
        <v/>
      </c>
      <c r="F134" s="59">
        <f>IF(N($AL134)&gt;0,INDEX(rLim_ADM,$AL134),"")</f>
        <v/>
      </c>
      <c r="G134" s="59" t="n"/>
      <c r="H134" s="60" t="n"/>
      <c r="I134" s="60" t="n"/>
      <c r="J134" s="60" t="n"/>
      <c r="K134" s="60" t="n"/>
      <c r="L134" s="60" t="n"/>
      <c r="M134" s="61">
        <f>IF(NOT((COUNTA($B134:$D134)+COUNTA($G134:$L134)+COUNTA($Q134))&gt;0),"",IF(ISNUMBER($G134),1,IF(N($W134)&gt;0,AVERAGEIFS($X$5:$X$1000,$U$5:$U$1000,ROW(),$V$5:$V$1000,"Sub"),$X134)))</f>
        <v/>
      </c>
      <c r="N134" s="56">
        <f>IF($M134="","",IF($M134&gt;=1,"Completado",IF($M134&gt;0,"En curso","Pendiente")))</f>
        <v/>
      </c>
      <c r="O134" s="56">
        <f>IF(NOT((COUNTA($B134:$D134)+COUNTA($G134:$L134)+COUNTA($Q134))&gt;0),"",IF(ISNUMBER($G134),IF(AND(ISNUMBER($AN134),$G134&gt;$AN134),"Cumplida con "&amp;($G134-$AN134)&amp;IF($G134-$AN134=1," día"," días")&amp;" de retraso","Cumplida"),IF(N($M134)&gt;=1,"Cumplida",IF(NOT(ISNUMBER($AN134)),"Sin fecha límite",IF($AN134&lt;FechaRef,"Vencida hace "&amp;(FechaRef-$AN134)&amp;IF(FechaRef-$AN134=1," día"," días"),IF($AN134=FechaRef,"Vence hoy",IF($AN134-FechaRef&lt;=DiasAlerta,"Vence en "&amp;($AN134-FechaRef)&amp;IF($AN134-FechaRef=1," día"," días"),"En plazo")))))))</f>
        <v/>
      </c>
      <c r="P134" s="62" t="n"/>
      <c r="Q134" s="58" t="n"/>
      <c r="R134" s="63">
        <f>IF(NOT((COUNTA($B134:$D134)+COUNTA($G134:$L134)+COUNTA($Q134))&gt;0),"",IF((IF($C134="","Falta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",""))="","✔ OK","⚠ "&amp;LEFT(IF($C134="","Falta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",""),LEN(IF($C134="","Falta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",""))-3)))</f>
        <v/>
      </c>
      <c r="S134" s="64">
        <f>IF(NOT((COUNTA($B134:$D134)+COUNTA($G134:$L134)+COUNTA($Q134))&gt;0),"",IF(AND($V134="Sub",N($U134)&gt;0),IF(ISNUMBER(INDEX($AM$5:$AM$1000,$U134-4)),DATE(YEAR(INDEX($AM$5:$AM$1000,$U134-4)),MONTH(INDEX($AM$5:$AM$1000,$U134-4)),1),IF(ISNUMBER(INDEX($AN$5:$AN$1000,$U134-4)),DATE(YEAR(INDEX($AN$5:$AN$1000,$U134-4)),MONTH(INDEX($AN$5:$AN$1000,$U134-4)),1),MesCiclo)),IF(ISNUMBER($AM134),DATE(YEAR($AM134),MONTH($AM134),1),IF(ISNUMBER($AN134),DATE(YEAR($AN134),MONTH($AN134),1),MesCiclo))))</f>
        <v/>
      </c>
      <c r="T134" s="62">
        <f>IF(OR($S134="",$S134&lt;&gt;MesCiclo),"",COUNTIF($S$5:$S134,MesCiclo))</f>
        <v/>
      </c>
      <c r="U134" s="62">
        <f>IF($V134="","",IF($V134="Macro",ROW(),IFERROR(LOOKUP(2,1/($V$5:$V134="Macro"),ROW($V$5:$V134)),0)))</f>
        <v/>
      </c>
      <c r="V134" s="62">
        <f>IF(NOT((COUNTA($B134:$D134)+COUNTA($G134:$L134)+COUNTA($Q134))&gt;0),"",IF($B134="Subactividad","Sub","Macro"))</f>
        <v/>
      </c>
      <c r="W134" s="62">
        <f>IF($V134="Macro",COUNTIFS($U$5:$U$1000,ROW(),$V$5:$V$1000,"Sub"),"")</f>
        <v/>
      </c>
      <c r="X134" s="62">
        <f>IF($V134="","",IF(ISNUMBER($G134),1,IFERROR(LOOKUP(2,1/($I134:$L134&lt;&gt;""),$I134:$L134),0)))</f>
        <v/>
      </c>
      <c r="Y134" s="62">
        <f>IF($V134="","",IF(AND(ISNUMBER($G134),$G134&lt;=IF($S134=MesCiclo,InicioCiclo,$S134+MOD(2-WEEKDAY($S134),7))+6),1,IF(ISNUMBER($I134),$I134,0)))</f>
        <v/>
      </c>
      <c r="Z134" s="62">
        <f>IF($V134="","",IF(AND(ISNUMBER($G134),$G134&lt;=IF($S134=MesCiclo,InicioCiclo,$S134+MOD(2-WEEKDAY($S134),7))+13),1,IF(ISNUMBER($J134),$J134,$Y134)))</f>
        <v/>
      </c>
      <c r="AA134" s="62">
        <f>IF($V134="","",IF(AND(ISNUMBER($G134),$G134&lt;=IF($S134=MesCiclo,InicioCiclo,$S134+MOD(2-WEEKDAY($S134),7))+20),1,IF(ISNUMBER($K134),$K134,$Z134)))</f>
        <v/>
      </c>
      <c r="AB134" s="62">
        <f>IF($V134="","",IF(AND(ISNUMBER($G134),$G134&lt;=IF($S134=MesCiclo,InicioCiclo,$S134+MOD(2-WEEKDAY($S134),7))+27),1,IF(ISNUMBER($L134),$L134,$AA134)))</f>
        <v/>
      </c>
      <c r="AC134" s="62">
        <f>IF($V134="","",IF(AND(ISNUMBER($G134),$G134&lt;=IF($S134=MesCiclo,InicioCiclo,$S134+MOD(2-WEEKDAY($S134),7))+6),1,IF(N($W134)&gt;0,AVERAGEIFS($Y$5:$Y$1000,$U$5:$U$1000,ROW(),$V$5:$V$1000,"Sub"),$Y134)))</f>
        <v/>
      </c>
      <c r="AD134" s="62">
        <f>IF($V134="","",IF(AND(ISNUMBER($G134),$G134&lt;=IF($S134=MesCiclo,InicioCiclo,$S134+MOD(2-WEEKDAY($S134),7))+13),1,IF(N($W134)&gt;0,AVERAGEIFS($Z$5:$Z$1000,$U$5:$U$1000,ROW(),$V$5:$V$1000,"Sub"),$Z134)))</f>
        <v/>
      </c>
      <c r="AE134" s="62">
        <f>IF($V134="","",IF(AND(ISNUMBER($G134),$G134&lt;=IF($S134=MesCiclo,InicioCiclo,$S134+MOD(2-WEEKDAY($S134),7))+20),1,IF(N($W134)&gt;0,AVERAGEIFS($AA$5:$AA$1000,$U$5:$U$1000,ROW(),$V$5:$V$1000,"Sub"),$AA134)))</f>
        <v/>
      </c>
      <c r="AF134" s="62">
        <f>IF($V134="","",IF(AND(ISNUMBER($G134),$G134&lt;=IF($S134=MesCiclo,InicioCiclo,$S134+MOD(2-WEEKDAY($S134),7))+27),1,IF(N($W134)&gt;0,AVERAGEIFS($AB$5:$AB$1000,$U$5:$U$1000,ROW(),$V$5:$V$1000,"Sub"),$AB134)))</f>
        <v/>
      </c>
      <c r="AG134" s="62">
        <f>IF($V134&lt;&gt;"Macro","",IF(COUNTIFS($S$5:$S$1000,$S134,$V$5:$V$1000,"Macro",$H$5:$H$1000,"&gt;0")=0,1/COUNTIFS($S$5:$S$1000,$S134,$V$5:$V$1000,"Macro"),IF(AND(ISNUMBER($H134),N($H134)&gt;0),$H134,SUMIFS($H$5:$H$1000,$S$5:$S$1000,$S134,$V$5:$V$1000,"Macro")/COUNTIFS($S$5:$S$1000,$S134,$V$5:$V$1000,"Macro",$H$5:$H$1000,"&gt;0"))/(COUNTIFS($S$5:$S$1000,$S134,$V$5:$V$1000,"Macro")*SUMIFS($H$5:$H$1000,$S$5:$S$1000,$S134,$V$5:$V$1000,"Macro")/COUNTIFS($S$5:$S$1000,$S134,$V$5:$V$1000,"Macro",$H$5:$H$1000,"&gt;0"))))</f>
        <v/>
      </c>
      <c r="AH134" s="62" t="n"/>
      <c r="AI134" s="62" t="n"/>
      <c r="AJ134" s="62" t="n"/>
      <c r="AK134" s="62" t="n"/>
      <c r="AL134" s="62">
        <f>IF(LEFT($C134,11)="[Jefatura] ",IFERROR(MATCH("Riesgo Operacional|"&amp;MID($C134,12,500),rDname_ADM,0),0),"")</f>
        <v/>
      </c>
      <c r="AM134" s="62">
        <f>IF(N($AL134)&gt;0,INDEX(rIni_ADM,$AL134),IF(ISNUMBER($E134),$E134,""))</f>
        <v/>
      </c>
      <c r="AN134" s="62">
        <f>IF(N($AL134)&gt;0,INDEX(rLim_ADM,$AL134),IF(ISNUMBER($F134),$F134,""))</f>
        <v/>
      </c>
    </row>
    <row r="135">
      <c r="A135" s="56">
        <f>IF(NOT((COUNTA($B135:$D135)+COUNTA($G135:$L135)+COUNTA($Q135))&gt;0),"",IF($V135="Macro",COUNTIFS($V$5:$V135,"Macro",$S$5:$S135,$S135),IF(N($U135)=0,"?",COUNTIFS(INDEX($V$5:$V$1000,1):INDEX($V$5:$V$1000,$U135-4),"Macro",INDEX($S$5:$S$1000,1):INDEX($S$5:$S$1000,$U135-4),INDEX($S$5:$S$1000,$U135-4))&amp;"."&amp;COUNTIFS($U$5:$U135,$U135,$V$5:$V135,"Sub"))))</f>
        <v/>
      </c>
      <c r="B135" s="57" t="n"/>
      <c r="C135" s="58" t="n"/>
      <c r="D135" s="58" t="n"/>
      <c r="E135" s="59">
        <f>IF(N($AL135)&gt;0,INDEX(rIni_ADM,$AL135),"")</f>
        <v/>
      </c>
      <c r="F135" s="59">
        <f>IF(N($AL135)&gt;0,INDEX(rLim_ADM,$AL135),"")</f>
        <v/>
      </c>
      <c r="G135" s="59" t="n"/>
      <c r="H135" s="60" t="n"/>
      <c r="I135" s="60" t="n"/>
      <c r="J135" s="60" t="n"/>
      <c r="K135" s="60" t="n"/>
      <c r="L135" s="60" t="n"/>
      <c r="M135" s="61">
        <f>IF(NOT((COUNTA($B135:$D135)+COUNTA($G135:$L135)+COUNTA($Q135))&gt;0),"",IF(ISNUMBER($G135),1,IF(N($W135)&gt;0,AVERAGEIFS($X$5:$X$1000,$U$5:$U$1000,ROW(),$V$5:$V$1000,"Sub"),$X135)))</f>
        <v/>
      </c>
      <c r="N135" s="56">
        <f>IF($M135="","",IF($M135&gt;=1,"Completado",IF($M135&gt;0,"En curso","Pendiente")))</f>
        <v/>
      </c>
      <c r="O135" s="56">
        <f>IF(NOT((COUNTA($B135:$D135)+COUNTA($G135:$L135)+COUNTA($Q135))&gt;0),"",IF(ISNUMBER($G135),IF(AND(ISNUMBER($AN135),$G135&gt;$AN135),"Cumplida con "&amp;($G135-$AN135)&amp;IF($G135-$AN135=1," día"," días")&amp;" de retraso","Cumplida"),IF(N($M135)&gt;=1,"Cumplida",IF(NOT(ISNUMBER($AN135)),"Sin fecha límite",IF($AN135&lt;FechaRef,"Vencida hace "&amp;(FechaRef-$AN135)&amp;IF(FechaRef-$AN135=1," día"," días"),IF($AN135=FechaRef,"Vence hoy",IF($AN135-FechaRef&lt;=DiasAlerta,"Vence en "&amp;($AN135-FechaRef)&amp;IF($AN135-FechaRef=1," día"," días"),"En plazo")))))))</f>
        <v/>
      </c>
      <c r="P135" s="62" t="n"/>
      <c r="Q135" s="58" t="n"/>
      <c r="R135" s="63">
        <f>IF(NOT((COUNTA($B135:$D135)+COUNTA($G135:$L135)+COUNTA($Q135))&gt;0),"",IF((IF($C135="","Falta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",""))="","✔ OK","⚠ "&amp;LEFT(IF($C135="","Falta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",""),LEN(IF($C135="","Falta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",""))-3)))</f>
        <v/>
      </c>
      <c r="S135" s="64">
        <f>IF(NOT((COUNTA($B135:$D135)+COUNTA($G135:$L135)+COUNTA($Q135))&gt;0),"",IF(AND($V135="Sub",N($U135)&gt;0),IF(ISNUMBER(INDEX($AM$5:$AM$1000,$U135-4)),DATE(YEAR(INDEX($AM$5:$AM$1000,$U135-4)),MONTH(INDEX($AM$5:$AM$1000,$U135-4)),1),IF(ISNUMBER(INDEX($AN$5:$AN$1000,$U135-4)),DATE(YEAR(INDEX($AN$5:$AN$1000,$U135-4)),MONTH(INDEX($AN$5:$AN$1000,$U135-4)),1),MesCiclo)),IF(ISNUMBER($AM135),DATE(YEAR($AM135),MONTH($AM135),1),IF(ISNUMBER($AN135),DATE(YEAR($AN135),MONTH($AN135),1),MesCiclo))))</f>
        <v/>
      </c>
      <c r="T135" s="62">
        <f>IF(OR($S135="",$S135&lt;&gt;MesCiclo),"",COUNTIF($S$5:$S135,MesCiclo))</f>
        <v/>
      </c>
      <c r="U135" s="62">
        <f>IF($V135="","",IF($V135="Macro",ROW(),IFERROR(LOOKUP(2,1/($V$5:$V135="Macro"),ROW($V$5:$V135)),0)))</f>
        <v/>
      </c>
      <c r="V135" s="62">
        <f>IF(NOT((COUNTA($B135:$D135)+COUNTA($G135:$L135)+COUNTA($Q135))&gt;0),"",IF($B135="Subactividad","Sub","Macro"))</f>
        <v/>
      </c>
      <c r="W135" s="62">
        <f>IF($V135="Macro",COUNTIFS($U$5:$U$1000,ROW(),$V$5:$V$1000,"Sub"),"")</f>
        <v/>
      </c>
      <c r="X135" s="62">
        <f>IF($V135="","",IF(ISNUMBER($G135),1,IFERROR(LOOKUP(2,1/($I135:$L135&lt;&gt;""),$I135:$L135),0)))</f>
        <v/>
      </c>
      <c r="Y135" s="62">
        <f>IF($V135="","",IF(AND(ISNUMBER($G135),$G135&lt;=IF($S135=MesCiclo,InicioCiclo,$S135+MOD(2-WEEKDAY($S135),7))+6),1,IF(ISNUMBER($I135),$I135,0)))</f>
        <v/>
      </c>
      <c r="Z135" s="62">
        <f>IF($V135="","",IF(AND(ISNUMBER($G135),$G135&lt;=IF($S135=MesCiclo,InicioCiclo,$S135+MOD(2-WEEKDAY($S135),7))+13),1,IF(ISNUMBER($J135),$J135,$Y135)))</f>
        <v/>
      </c>
      <c r="AA135" s="62">
        <f>IF($V135="","",IF(AND(ISNUMBER($G135),$G135&lt;=IF($S135=MesCiclo,InicioCiclo,$S135+MOD(2-WEEKDAY($S135),7))+20),1,IF(ISNUMBER($K135),$K135,$Z135)))</f>
        <v/>
      </c>
      <c r="AB135" s="62">
        <f>IF($V135="","",IF(AND(ISNUMBER($G135),$G135&lt;=IF($S135=MesCiclo,InicioCiclo,$S135+MOD(2-WEEKDAY($S135),7))+27),1,IF(ISNUMBER($L135),$L135,$AA135)))</f>
        <v/>
      </c>
      <c r="AC135" s="62">
        <f>IF($V135="","",IF(AND(ISNUMBER($G135),$G135&lt;=IF($S135=MesCiclo,InicioCiclo,$S135+MOD(2-WEEKDAY($S135),7))+6),1,IF(N($W135)&gt;0,AVERAGEIFS($Y$5:$Y$1000,$U$5:$U$1000,ROW(),$V$5:$V$1000,"Sub"),$Y135)))</f>
        <v/>
      </c>
      <c r="AD135" s="62">
        <f>IF($V135="","",IF(AND(ISNUMBER($G135),$G135&lt;=IF($S135=MesCiclo,InicioCiclo,$S135+MOD(2-WEEKDAY($S135),7))+13),1,IF(N($W135)&gt;0,AVERAGEIFS($Z$5:$Z$1000,$U$5:$U$1000,ROW(),$V$5:$V$1000,"Sub"),$Z135)))</f>
        <v/>
      </c>
      <c r="AE135" s="62">
        <f>IF($V135="","",IF(AND(ISNUMBER($G135),$G135&lt;=IF($S135=MesCiclo,InicioCiclo,$S135+MOD(2-WEEKDAY($S135),7))+20),1,IF(N($W135)&gt;0,AVERAGEIFS($AA$5:$AA$1000,$U$5:$U$1000,ROW(),$V$5:$V$1000,"Sub"),$AA135)))</f>
        <v/>
      </c>
      <c r="AF135" s="62">
        <f>IF($V135="","",IF(AND(ISNUMBER($G135),$G135&lt;=IF($S135=MesCiclo,InicioCiclo,$S135+MOD(2-WEEKDAY($S135),7))+27),1,IF(N($W135)&gt;0,AVERAGEIFS($AB$5:$AB$1000,$U$5:$U$1000,ROW(),$V$5:$V$1000,"Sub"),$AB135)))</f>
        <v/>
      </c>
      <c r="AG135" s="62">
        <f>IF($V135&lt;&gt;"Macro","",IF(COUNTIFS($S$5:$S$1000,$S135,$V$5:$V$1000,"Macro",$H$5:$H$1000,"&gt;0")=0,1/COUNTIFS($S$5:$S$1000,$S135,$V$5:$V$1000,"Macro"),IF(AND(ISNUMBER($H135),N($H135)&gt;0),$H135,SUMIFS($H$5:$H$1000,$S$5:$S$1000,$S135,$V$5:$V$1000,"Macro")/COUNTIFS($S$5:$S$1000,$S135,$V$5:$V$1000,"Macro",$H$5:$H$1000,"&gt;0"))/(COUNTIFS($S$5:$S$1000,$S135,$V$5:$V$1000,"Macro")*SUMIFS($H$5:$H$1000,$S$5:$S$1000,$S135,$V$5:$V$1000,"Macro")/COUNTIFS($S$5:$S$1000,$S135,$V$5:$V$1000,"Macro",$H$5:$H$1000,"&gt;0"))))</f>
        <v/>
      </c>
      <c r="AH135" s="62" t="n"/>
      <c r="AI135" s="62" t="n"/>
      <c r="AJ135" s="62" t="n"/>
      <c r="AK135" s="62" t="n"/>
      <c r="AL135" s="62">
        <f>IF(LEFT($C135,11)="[Jefatura] ",IFERROR(MATCH("Riesgo Operacional|"&amp;MID($C135,12,500),rDname_ADM,0),0),"")</f>
        <v/>
      </c>
      <c r="AM135" s="62">
        <f>IF(N($AL135)&gt;0,INDEX(rIni_ADM,$AL135),IF(ISNUMBER($E135),$E135,""))</f>
        <v/>
      </c>
      <c r="AN135" s="62">
        <f>IF(N($AL135)&gt;0,INDEX(rLim_ADM,$AL135),IF(ISNUMBER($F135),$F135,""))</f>
        <v/>
      </c>
    </row>
    <row r="136">
      <c r="A136" s="56">
        <f>IF(NOT((COUNTA($B136:$D136)+COUNTA($G136:$L136)+COUNTA($Q136))&gt;0),"",IF($V136="Macro",COUNTIFS($V$5:$V136,"Macro",$S$5:$S136,$S136),IF(N($U136)=0,"?",COUNTIFS(INDEX($V$5:$V$1000,1):INDEX($V$5:$V$1000,$U136-4),"Macro",INDEX($S$5:$S$1000,1):INDEX($S$5:$S$1000,$U136-4),INDEX($S$5:$S$1000,$U136-4))&amp;"."&amp;COUNTIFS($U$5:$U136,$U136,$V$5:$V136,"Sub"))))</f>
        <v/>
      </c>
      <c r="B136" s="57" t="n"/>
      <c r="C136" s="58" t="n"/>
      <c r="D136" s="58" t="n"/>
      <c r="E136" s="59">
        <f>IF(N($AL136)&gt;0,INDEX(rIni_ADM,$AL136),"")</f>
        <v/>
      </c>
      <c r="F136" s="59">
        <f>IF(N($AL136)&gt;0,INDEX(rLim_ADM,$AL136),"")</f>
        <v/>
      </c>
      <c r="G136" s="59" t="n"/>
      <c r="H136" s="60" t="n"/>
      <c r="I136" s="60" t="n"/>
      <c r="J136" s="60" t="n"/>
      <c r="K136" s="60" t="n"/>
      <c r="L136" s="60" t="n"/>
      <c r="M136" s="61">
        <f>IF(NOT((COUNTA($B136:$D136)+COUNTA($G136:$L136)+COUNTA($Q136))&gt;0),"",IF(ISNUMBER($G136),1,IF(N($W136)&gt;0,AVERAGEIFS($X$5:$X$1000,$U$5:$U$1000,ROW(),$V$5:$V$1000,"Sub"),$X136)))</f>
        <v/>
      </c>
      <c r="N136" s="56">
        <f>IF($M136="","",IF($M136&gt;=1,"Completado",IF($M136&gt;0,"En curso","Pendiente")))</f>
        <v/>
      </c>
      <c r="O136" s="56">
        <f>IF(NOT((COUNTA($B136:$D136)+COUNTA($G136:$L136)+COUNTA($Q136))&gt;0),"",IF(ISNUMBER($G136),IF(AND(ISNUMBER($AN136),$G136&gt;$AN136),"Cumplida con "&amp;($G136-$AN136)&amp;IF($G136-$AN136=1," día"," días")&amp;" de retraso","Cumplida"),IF(N($M136)&gt;=1,"Cumplida",IF(NOT(ISNUMBER($AN136)),"Sin fecha límite",IF($AN136&lt;FechaRef,"Vencida hace "&amp;(FechaRef-$AN136)&amp;IF(FechaRef-$AN136=1," día"," días"),IF($AN136=FechaRef,"Vence hoy",IF($AN136-FechaRef&lt;=DiasAlerta,"Vence en "&amp;($AN136-FechaRef)&amp;IF($AN136-FechaRef=1," día"," días"),"En plazo")))))))</f>
        <v/>
      </c>
      <c r="P136" s="62" t="n"/>
      <c r="Q136" s="58" t="n"/>
      <c r="R136" s="63">
        <f>IF(NOT((COUNTA($B136:$D136)+COUNTA($G136:$L136)+COUNTA($Q136))&gt;0),"",IF((IF($C136="","Falta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",""))="","✔ OK","⚠ "&amp;LEFT(IF($C136="","Falta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",""),LEN(IF($C136="","Falta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",""))-3)))</f>
        <v/>
      </c>
      <c r="S136" s="64">
        <f>IF(NOT((COUNTA($B136:$D136)+COUNTA($G136:$L136)+COUNTA($Q136))&gt;0),"",IF(AND($V136="Sub",N($U136)&gt;0),IF(ISNUMBER(INDEX($AM$5:$AM$1000,$U136-4)),DATE(YEAR(INDEX($AM$5:$AM$1000,$U136-4)),MONTH(INDEX($AM$5:$AM$1000,$U136-4)),1),IF(ISNUMBER(INDEX($AN$5:$AN$1000,$U136-4)),DATE(YEAR(INDEX($AN$5:$AN$1000,$U136-4)),MONTH(INDEX($AN$5:$AN$1000,$U136-4)),1),MesCiclo)),IF(ISNUMBER($AM136),DATE(YEAR($AM136),MONTH($AM136),1),IF(ISNUMBER($AN136),DATE(YEAR($AN136),MONTH($AN136),1),MesCiclo))))</f>
        <v/>
      </c>
      <c r="T136" s="62">
        <f>IF(OR($S136="",$S136&lt;&gt;MesCiclo),"",COUNTIF($S$5:$S136,MesCiclo))</f>
        <v/>
      </c>
      <c r="U136" s="62">
        <f>IF($V136="","",IF($V136="Macro",ROW(),IFERROR(LOOKUP(2,1/($V$5:$V136="Macro"),ROW($V$5:$V136)),0)))</f>
        <v/>
      </c>
      <c r="V136" s="62">
        <f>IF(NOT((COUNTA($B136:$D136)+COUNTA($G136:$L136)+COUNTA($Q136))&gt;0),"",IF($B136="Subactividad","Sub","Macro"))</f>
        <v/>
      </c>
      <c r="W136" s="62">
        <f>IF($V136="Macro",COUNTIFS($U$5:$U$1000,ROW(),$V$5:$V$1000,"Sub"),"")</f>
        <v/>
      </c>
      <c r="X136" s="62">
        <f>IF($V136="","",IF(ISNUMBER($G136),1,IFERROR(LOOKUP(2,1/($I136:$L136&lt;&gt;""),$I136:$L136),0)))</f>
        <v/>
      </c>
      <c r="Y136" s="62">
        <f>IF($V136="","",IF(AND(ISNUMBER($G136),$G136&lt;=IF($S136=MesCiclo,InicioCiclo,$S136+MOD(2-WEEKDAY($S136),7))+6),1,IF(ISNUMBER($I136),$I136,0)))</f>
        <v/>
      </c>
      <c r="Z136" s="62">
        <f>IF($V136="","",IF(AND(ISNUMBER($G136),$G136&lt;=IF($S136=MesCiclo,InicioCiclo,$S136+MOD(2-WEEKDAY($S136),7))+13),1,IF(ISNUMBER($J136),$J136,$Y136)))</f>
        <v/>
      </c>
      <c r="AA136" s="62">
        <f>IF($V136="","",IF(AND(ISNUMBER($G136),$G136&lt;=IF($S136=MesCiclo,InicioCiclo,$S136+MOD(2-WEEKDAY($S136),7))+20),1,IF(ISNUMBER($K136),$K136,$Z136)))</f>
        <v/>
      </c>
      <c r="AB136" s="62">
        <f>IF($V136="","",IF(AND(ISNUMBER($G136),$G136&lt;=IF($S136=MesCiclo,InicioCiclo,$S136+MOD(2-WEEKDAY($S136),7))+27),1,IF(ISNUMBER($L136),$L136,$AA136)))</f>
        <v/>
      </c>
      <c r="AC136" s="62">
        <f>IF($V136="","",IF(AND(ISNUMBER($G136),$G136&lt;=IF($S136=MesCiclo,InicioCiclo,$S136+MOD(2-WEEKDAY($S136),7))+6),1,IF(N($W136)&gt;0,AVERAGEIFS($Y$5:$Y$1000,$U$5:$U$1000,ROW(),$V$5:$V$1000,"Sub"),$Y136)))</f>
        <v/>
      </c>
      <c r="AD136" s="62">
        <f>IF($V136="","",IF(AND(ISNUMBER($G136),$G136&lt;=IF($S136=MesCiclo,InicioCiclo,$S136+MOD(2-WEEKDAY($S136),7))+13),1,IF(N($W136)&gt;0,AVERAGEIFS($Z$5:$Z$1000,$U$5:$U$1000,ROW(),$V$5:$V$1000,"Sub"),$Z136)))</f>
        <v/>
      </c>
      <c r="AE136" s="62">
        <f>IF($V136="","",IF(AND(ISNUMBER($G136),$G136&lt;=IF($S136=MesCiclo,InicioCiclo,$S136+MOD(2-WEEKDAY($S136),7))+20),1,IF(N($W136)&gt;0,AVERAGEIFS($AA$5:$AA$1000,$U$5:$U$1000,ROW(),$V$5:$V$1000,"Sub"),$AA136)))</f>
        <v/>
      </c>
      <c r="AF136" s="62">
        <f>IF($V136="","",IF(AND(ISNUMBER($G136),$G136&lt;=IF($S136=MesCiclo,InicioCiclo,$S136+MOD(2-WEEKDAY($S136),7))+27),1,IF(N($W136)&gt;0,AVERAGEIFS($AB$5:$AB$1000,$U$5:$U$1000,ROW(),$V$5:$V$1000,"Sub"),$AB136)))</f>
        <v/>
      </c>
      <c r="AG136" s="62">
        <f>IF($V136&lt;&gt;"Macro","",IF(COUNTIFS($S$5:$S$1000,$S136,$V$5:$V$1000,"Macro",$H$5:$H$1000,"&gt;0")=0,1/COUNTIFS($S$5:$S$1000,$S136,$V$5:$V$1000,"Macro"),IF(AND(ISNUMBER($H136),N($H136)&gt;0),$H136,SUMIFS($H$5:$H$1000,$S$5:$S$1000,$S136,$V$5:$V$1000,"Macro")/COUNTIFS($S$5:$S$1000,$S136,$V$5:$V$1000,"Macro",$H$5:$H$1000,"&gt;0"))/(COUNTIFS($S$5:$S$1000,$S136,$V$5:$V$1000,"Macro")*SUMIFS($H$5:$H$1000,$S$5:$S$1000,$S136,$V$5:$V$1000,"Macro")/COUNTIFS($S$5:$S$1000,$S136,$V$5:$V$1000,"Macro",$H$5:$H$1000,"&gt;0"))))</f>
        <v/>
      </c>
      <c r="AH136" s="62" t="n"/>
      <c r="AI136" s="62" t="n"/>
      <c r="AJ136" s="62" t="n"/>
      <c r="AK136" s="62" t="n"/>
      <c r="AL136" s="62">
        <f>IF(LEFT($C136,11)="[Jefatura] ",IFERROR(MATCH("Riesgo Operacional|"&amp;MID($C136,12,500),rDname_ADM,0),0),"")</f>
        <v/>
      </c>
      <c r="AM136" s="62">
        <f>IF(N($AL136)&gt;0,INDEX(rIni_ADM,$AL136),IF(ISNUMBER($E136),$E136,""))</f>
        <v/>
      </c>
      <c r="AN136" s="62">
        <f>IF(N($AL136)&gt;0,INDEX(rLim_ADM,$AL136),IF(ISNUMBER($F136),$F136,""))</f>
        <v/>
      </c>
    </row>
    <row r="137">
      <c r="A137" s="56">
        <f>IF(NOT((COUNTA($B137:$D137)+COUNTA($G137:$L137)+COUNTA($Q137))&gt;0),"",IF($V137="Macro",COUNTIFS($V$5:$V137,"Macro",$S$5:$S137,$S137),IF(N($U137)=0,"?",COUNTIFS(INDEX($V$5:$V$1000,1):INDEX($V$5:$V$1000,$U137-4),"Macro",INDEX($S$5:$S$1000,1):INDEX($S$5:$S$1000,$U137-4),INDEX($S$5:$S$1000,$U137-4))&amp;"."&amp;COUNTIFS($U$5:$U137,$U137,$V$5:$V137,"Sub"))))</f>
        <v/>
      </c>
      <c r="B137" s="57" t="n"/>
      <c r="C137" s="58" t="n"/>
      <c r="D137" s="58" t="n"/>
      <c r="E137" s="59">
        <f>IF(N($AL137)&gt;0,INDEX(rIni_ADM,$AL137),"")</f>
        <v/>
      </c>
      <c r="F137" s="59">
        <f>IF(N($AL137)&gt;0,INDEX(rLim_ADM,$AL137),"")</f>
        <v/>
      </c>
      <c r="G137" s="59" t="n"/>
      <c r="H137" s="60" t="n"/>
      <c r="I137" s="60" t="n"/>
      <c r="J137" s="60" t="n"/>
      <c r="K137" s="60" t="n"/>
      <c r="L137" s="60" t="n"/>
      <c r="M137" s="61">
        <f>IF(NOT((COUNTA($B137:$D137)+COUNTA($G137:$L137)+COUNTA($Q137))&gt;0),"",IF(ISNUMBER($G137),1,IF(N($W137)&gt;0,AVERAGEIFS($X$5:$X$1000,$U$5:$U$1000,ROW(),$V$5:$V$1000,"Sub"),$X137)))</f>
        <v/>
      </c>
      <c r="N137" s="56">
        <f>IF($M137="","",IF($M137&gt;=1,"Completado",IF($M137&gt;0,"En curso","Pendiente")))</f>
        <v/>
      </c>
      <c r="O137" s="56">
        <f>IF(NOT((COUNTA($B137:$D137)+COUNTA($G137:$L137)+COUNTA($Q137))&gt;0),"",IF(ISNUMBER($G137),IF(AND(ISNUMBER($AN137),$G137&gt;$AN137),"Cumplida con "&amp;($G137-$AN137)&amp;IF($G137-$AN137=1," día"," días")&amp;" de retraso","Cumplida"),IF(N($M137)&gt;=1,"Cumplida",IF(NOT(ISNUMBER($AN137)),"Sin fecha límite",IF($AN137&lt;FechaRef,"Vencida hace "&amp;(FechaRef-$AN137)&amp;IF(FechaRef-$AN137=1," día"," días"),IF($AN137=FechaRef,"Vence hoy",IF($AN137-FechaRef&lt;=DiasAlerta,"Vence en "&amp;($AN137-FechaRef)&amp;IF($AN137-FechaRef=1," día"," días"),"En plazo")))))))</f>
        <v/>
      </c>
      <c r="P137" s="62" t="n"/>
      <c r="Q137" s="58" t="n"/>
      <c r="R137" s="63">
        <f>IF(NOT((COUNTA($B137:$D137)+COUNTA($G137:$L137)+COUNTA($Q137))&gt;0),"",IF((IF($C137="","Falta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",""))="","✔ OK","⚠ "&amp;LEFT(IF($C137="","Falta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",""),LEN(IF($C137="","Falta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",""))-3)))</f>
        <v/>
      </c>
      <c r="S137" s="64">
        <f>IF(NOT((COUNTA($B137:$D137)+COUNTA($G137:$L137)+COUNTA($Q137))&gt;0),"",IF(AND($V137="Sub",N($U137)&gt;0),IF(ISNUMBER(INDEX($AM$5:$AM$1000,$U137-4)),DATE(YEAR(INDEX($AM$5:$AM$1000,$U137-4)),MONTH(INDEX($AM$5:$AM$1000,$U137-4)),1),IF(ISNUMBER(INDEX($AN$5:$AN$1000,$U137-4)),DATE(YEAR(INDEX($AN$5:$AN$1000,$U137-4)),MONTH(INDEX($AN$5:$AN$1000,$U137-4)),1),MesCiclo)),IF(ISNUMBER($AM137),DATE(YEAR($AM137),MONTH($AM137),1),IF(ISNUMBER($AN137),DATE(YEAR($AN137),MONTH($AN137),1),MesCiclo))))</f>
        <v/>
      </c>
      <c r="T137" s="62">
        <f>IF(OR($S137="",$S137&lt;&gt;MesCiclo),"",COUNTIF($S$5:$S137,MesCiclo))</f>
        <v/>
      </c>
      <c r="U137" s="62">
        <f>IF($V137="","",IF($V137="Macro",ROW(),IFERROR(LOOKUP(2,1/($V$5:$V137="Macro"),ROW($V$5:$V137)),0)))</f>
        <v/>
      </c>
      <c r="V137" s="62">
        <f>IF(NOT((COUNTA($B137:$D137)+COUNTA($G137:$L137)+COUNTA($Q137))&gt;0),"",IF($B137="Subactividad","Sub","Macro"))</f>
        <v/>
      </c>
      <c r="W137" s="62">
        <f>IF($V137="Macro",COUNTIFS($U$5:$U$1000,ROW(),$V$5:$V$1000,"Sub"),"")</f>
        <v/>
      </c>
      <c r="X137" s="62">
        <f>IF($V137="","",IF(ISNUMBER($G137),1,IFERROR(LOOKUP(2,1/($I137:$L137&lt;&gt;""),$I137:$L137),0)))</f>
        <v/>
      </c>
      <c r="Y137" s="62">
        <f>IF($V137="","",IF(AND(ISNUMBER($G137),$G137&lt;=IF($S137=MesCiclo,InicioCiclo,$S137+MOD(2-WEEKDAY($S137),7))+6),1,IF(ISNUMBER($I137),$I137,0)))</f>
        <v/>
      </c>
      <c r="Z137" s="62">
        <f>IF($V137="","",IF(AND(ISNUMBER($G137),$G137&lt;=IF($S137=MesCiclo,InicioCiclo,$S137+MOD(2-WEEKDAY($S137),7))+13),1,IF(ISNUMBER($J137),$J137,$Y137)))</f>
        <v/>
      </c>
      <c r="AA137" s="62">
        <f>IF($V137="","",IF(AND(ISNUMBER($G137),$G137&lt;=IF($S137=MesCiclo,InicioCiclo,$S137+MOD(2-WEEKDAY($S137),7))+20),1,IF(ISNUMBER($K137),$K137,$Z137)))</f>
        <v/>
      </c>
      <c r="AB137" s="62">
        <f>IF($V137="","",IF(AND(ISNUMBER($G137),$G137&lt;=IF($S137=MesCiclo,InicioCiclo,$S137+MOD(2-WEEKDAY($S137),7))+27),1,IF(ISNUMBER($L137),$L137,$AA137)))</f>
        <v/>
      </c>
      <c r="AC137" s="62">
        <f>IF($V137="","",IF(AND(ISNUMBER($G137),$G137&lt;=IF($S137=MesCiclo,InicioCiclo,$S137+MOD(2-WEEKDAY($S137),7))+6),1,IF(N($W137)&gt;0,AVERAGEIFS($Y$5:$Y$1000,$U$5:$U$1000,ROW(),$V$5:$V$1000,"Sub"),$Y137)))</f>
        <v/>
      </c>
      <c r="AD137" s="62">
        <f>IF($V137="","",IF(AND(ISNUMBER($G137),$G137&lt;=IF($S137=MesCiclo,InicioCiclo,$S137+MOD(2-WEEKDAY($S137),7))+13),1,IF(N($W137)&gt;0,AVERAGEIFS($Z$5:$Z$1000,$U$5:$U$1000,ROW(),$V$5:$V$1000,"Sub"),$Z137)))</f>
        <v/>
      </c>
      <c r="AE137" s="62">
        <f>IF($V137="","",IF(AND(ISNUMBER($G137),$G137&lt;=IF($S137=MesCiclo,InicioCiclo,$S137+MOD(2-WEEKDAY($S137),7))+20),1,IF(N($W137)&gt;0,AVERAGEIFS($AA$5:$AA$1000,$U$5:$U$1000,ROW(),$V$5:$V$1000,"Sub"),$AA137)))</f>
        <v/>
      </c>
      <c r="AF137" s="62">
        <f>IF($V137="","",IF(AND(ISNUMBER($G137),$G137&lt;=IF($S137=MesCiclo,InicioCiclo,$S137+MOD(2-WEEKDAY($S137),7))+27),1,IF(N($W137)&gt;0,AVERAGEIFS($AB$5:$AB$1000,$U$5:$U$1000,ROW(),$V$5:$V$1000,"Sub"),$AB137)))</f>
        <v/>
      </c>
      <c r="AG137" s="62">
        <f>IF($V137&lt;&gt;"Macro","",IF(COUNTIFS($S$5:$S$1000,$S137,$V$5:$V$1000,"Macro",$H$5:$H$1000,"&gt;0")=0,1/COUNTIFS($S$5:$S$1000,$S137,$V$5:$V$1000,"Macro"),IF(AND(ISNUMBER($H137),N($H137)&gt;0),$H137,SUMIFS($H$5:$H$1000,$S$5:$S$1000,$S137,$V$5:$V$1000,"Macro")/COUNTIFS($S$5:$S$1000,$S137,$V$5:$V$1000,"Macro",$H$5:$H$1000,"&gt;0"))/(COUNTIFS($S$5:$S$1000,$S137,$V$5:$V$1000,"Macro")*SUMIFS($H$5:$H$1000,$S$5:$S$1000,$S137,$V$5:$V$1000,"Macro")/COUNTIFS($S$5:$S$1000,$S137,$V$5:$V$1000,"Macro",$H$5:$H$1000,"&gt;0"))))</f>
        <v/>
      </c>
      <c r="AH137" s="62" t="n"/>
      <c r="AI137" s="62" t="n"/>
      <c r="AJ137" s="62" t="n"/>
      <c r="AK137" s="62" t="n"/>
      <c r="AL137" s="62">
        <f>IF(LEFT($C137,11)="[Jefatura] ",IFERROR(MATCH("Riesgo Operacional|"&amp;MID($C137,12,500),rDname_ADM,0),0),"")</f>
        <v/>
      </c>
      <c r="AM137" s="62">
        <f>IF(N($AL137)&gt;0,INDEX(rIni_ADM,$AL137),IF(ISNUMBER($E137),$E137,""))</f>
        <v/>
      </c>
      <c r="AN137" s="62">
        <f>IF(N($AL137)&gt;0,INDEX(rLim_ADM,$AL137),IF(ISNUMBER($F137),$F137,""))</f>
        <v/>
      </c>
    </row>
    <row r="138">
      <c r="A138" s="56">
        <f>IF(NOT((COUNTA($B138:$D138)+COUNTA($G138:$L138)+COUNTA($Q138))&gt;0),"",IF($V138="Macro",COUNTIFS($V$5:$V138,"Macro",$S$5:$S138,$S138),IF(N($U138)=0,"?",COUNTIFS(INDEX($V$5:$V$1000,1):INDEX($V$5:$V$1000,$U138-4),"Macro",INDEX($S$5:$S$1000,1):INDEX($S$5:$S$1000,$U138-4),INDEX($S$5:$S$1000,$U138-4))&amp;"."&amp;COUNTIFS($U$5:$U138,$U138,$V$5:$V138,"Sub"))))</f>
        <v/>
      </c>
      <c r="B138" s="57" t="n"/>
      <c r="C138" s="58" t="n"/>
      <c r="D138" s="58" t="n"/>
      <c r="E138" s="59">
        <f>IF(N($AL138)&gt;0,INDEX(rIni_ADM,$AL138),"")</f>
        <v/>
      </c>
      <c r="F138" s="59">
        <f>IF(N($AL138)&gt;0,INDEX(rLim_ADM,$AL138),"")</f>
        <v/>
      </c>
      <c r="G138" s="59" t="n"/>
      <c r="H138" s="60" t="n"/>
      <c r="I138" s="60" t="n"/>
      <c r="J138" s="60" t="n"/>
      <c r="K138" s="60" t="n"/>
      <c r="L138" s="60" t="n"/>
      <c r="M138" s="61">
        <f>IF(NOT((COUNTA($B138:$D138)+COUNTA($G138:$L138)+COUNTA($Q138))&gt;0),"",IF(ISNUMBER($G138),1,IF(N($W138)&gt;0,AVERAGEIFS($X$5:$X$1000,$U$5:$U$1000,ROW(),$V$5:$V$1000,"Sub"),$X138)))</f>
        <v/>
      </c>
      <c r="N138" s="56">
        <f>IF($M138="","",IF($M138&gt;=1,"Completado",IF($M138&gt;0,"En curso","Pendiente")))</f>
        <v/>
      </c>
      <c r="O138" s="56">
        <f>IF(NOT((COUNTA($B138:$D138)+COUNTA($G138:$L138)+COUNTA($Q138))&gt;0),"",IF(ISNUMBER($G138),IF(AND(ISNUMBER($AN138),$G138&gt;$AN138),"Cumplida con "&amp;($G138-$AN138)&amp;IF($G138-$AN138=1," día"," días")&amp;" de retraso","Cumplida"),IF(N($M138)&gt;=1,"Cumplida",IF(NOT(ISNUMBER($AN138)),"Sin fecha límite",IF($AN138&lt;FechaRef,"Vencida hace "&amp;(FechaRef-$AN138)&amp;IF(FechaRef-$AN138=1," día"," días"),IF($AN138=FechaRef,"Vence hoy",IF($AN138-FechaRef&lt;=DiasAlerta,"Vence en "&amp;($AN138-FechaRef)&amp;IF($AN138-FechaRef=1," día"," días"),"En plazo")))))))</f>
        <v/>
      </c>
      <c r="P138" s="62" t="n"/>
      <c r="Q138" s="58" t="n"/>
      <c r="R138" s="63">
        <f>IF(NOT((COUNTA($B138:$D138)+COUNTA($G138:$L138)+COUNTA($Q138))&gt;0),"",IF((IF($C138="","Falta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",""))="","✔ OK","⚠ "&amp;LEFT(IF($C138="","Falta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",""),LEN(IF($C138="","Falta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",""))-3)))</f>
        <v/>
      </c>
      <c r="S138" s="64">
        <f>IF(NOT((COUNTA($B138:$D138)+COUNTA($G138:$L138)+COUNTA($Q138))&gt;0),"",IF(AND($V138="Sub",N($U138)&gt;0),IF(ISNUMBER(INDEX($AM$5:$AM$1000,$U138-4)),DATE(YEAR(INDEX($AM$5:$AM$1000,$U138-4)),MONTH(INDEX($AM$5:$AM$1000,$U138-4)),1),IF(ISNUMBER(INDEX($AN$5:$AN$1000,$U138-4)),DATE(YEAR(INDEX($AN$5:$AN$1000,$U138-4)),MONTH(INDEX($AN$5:$AN$1000,$U138-4)),1),MesCiclo)),IF(ISNUMBER($AM138),DATE(YEAR($AM138),MONTH($AM138),1),IF(ISNUMBER($AN138),DATE(YEAR($AN138),MONTH($AN138),1),MesCiclo))))</f>
        <v/>
      </c>
      <c r="T138" s="62">
        <f>IF(OR($S138="",$S138&lt;&gt;MesCiclo),"",COUNTIF($S$5:$S138,MesCiclo))</f>
        <v/>
      </c>
      <c r="U138" s="62">
        <f>IF($V138="","",IF($V138="Macro",ROW(),IFERROR(LOOKUP(2,1/($V$5:$V138="Macro"),ROW($V$5:$V138)),0)))</f>
        <v/>
      </c>
      <c r="V138" s="62">
        <f>IF(NOT((COUNTA($B138:$D138)+COUNTA($G138:$L138)+COUNTA($Q138))&gt;0),"",IF($B138="Subactividad","Sub","Macro"))</f>
        <v/>
      </c>
      <c r="W138" s="62">
        <f>IF($V138="Macro",COUNTIFS($U$5:$U$1000,ROW(),$V$5:$V$1000,"Sub"),"")</f>
        <v/>
      </c>
      <c r="X138" s="62">
        <f>IF($V138="","",IF(ISNUMBER($G138),1,IFERROR(LOOKUP(2,1/($I138:$L138&lt;&gt;""),$I138:$L138),0)))</f>
        <v/>
      </c>
      <c r="Y138" s="62">
        <f>IF($V138="","",IF(AND(ISNUMBER($G138),$G138&lt;=IF($S138=MesCiclo,InicioCiclo,$S138+MOD(2-WEEKDAY($S138),7))+6),1,IF(ISNUMBER($I138),$I138,0)))</f>
        <v/>
      </c>
      <c r="Z138" s="62">
        <f>IF($V138="","",IF(AND(ISNUMBER($G138),$G138&lt;=IF($S138=MesCiclo,InicioCiclo,$S138+MOD(2-WEEKDAY($S138),7))+13),1,IF(ISNUMBER($J138),$J138,$Y138)))</f>
        <v/>
      </c>
      <c r="AA138" s="62">
        <f>IF($V138="","",IF(AND(ISNUMBER($G138),$G138&lt;=IF($S138=MesCiclo,InicioCiclo,$S138+MOD(2-WEEKDAY($S138),7))+20),1,IF(ISNUMBER($K138),$K138,$Z138)))</f>
        <v/>
      </c>
      <c r="AB138" s="62">
        <f>IF($V138="","",IF(AND(ISNUMBER($G138),$G138&lt;=IF($S138=MesCiclo,InicioCiclo,$S138+MOD(2-WEEKDAY($S138),7))+27),1,IF(ISNUMBER($L138),$L138,$AA138)))</f>
        <v/>
      </c>
      <c r="AC138" s="62">
        <f>IF($V138="","",IF(AND(ISNUMBER($G138),$G138&lt;=IF($S138=MesCiclo,InicioCiclo,$S138+MOD(2-WEEKDAY($S138),7))+6),1,IF(N($W138)&gt;0,AVERAGEIFS($Y$5:$Y$1000,$U$5:$U$1000,ROW(),$V$5:$V$1000,"Sub"),$Y138)))</f>
        <v/>
      </c>
      <c r="AD138" s="62">
        <f>IF($V138="","",IF(AND(ISNUMBER($G138),$G138&lt;=IF($S138=MesCiclo,InicioCiclo,$S138+MOD(2-WEEKDAY($S138),7))+13),1,IF(N($W138)&gt;0,AVERAGEIFS($Z$5:$Z$1000,$U$5:$U$1000,ROW(),$V$5:$V$1000,"Sub"),$Z138)))</f>
        <v/>
      </c>
      <c r="AE138" s="62">
        <f>IF($V138="","",IF(AND(ISNUMBER($G138),$G138&lt;=IF($S138=MesCiclo,InicioCiclo,$S138+MOD(2-WEEKDAY($S138),7))+20),1,IF(N($W138)&gt;0,AVERAGEIFS($AA$5:$AA$1000,$U$5:$U$1000,ROW(),$V$5:$V$1000,"Sub"),$AA138)))</f>
        <v/>
      </c>
      <c r="AF138" s="62">
        <f>IF($V138="","",IF(AND(ISNUMBER($G138),$G138&lt;=IF($S138=MesCiclo,InicioCiclo,$S138+MOD(2-WEEKDAY($S138),7))+27),1,IF(N($W138)&gt;0,AVERAGEIFS($AB$5:$AB$1000,$U$5:$U$1000,ROW(),$V$5:$V$1000,"Sub"),$AB138)))</f>
        <v/>
      </c>
      <c r="AG138" s="62">
        <f>IF($V138&lt;&gt;"Macro","",IF(COUNTIFS($S$5:$S$1000,$S138,$V$5:$V$1000,"Macro",$H$5:$H$1000,"&gt;0")=0,1/COUNTIFS($S$5:$S$1000,$S138,$V$5:$V$1000,"Macro"),IF(AND(ISNUMBER($H138),N($H138)&gt;0),$H138,SUMIFS($H$5:$H$1000,$S$5:$S$1000,$S138,$V$5:$V$1000,"Macro")/COUNTIFS($S$5:$S$1000,$S138,$V$5:$V$1000,"Macro",$H$5:$H$1000,"&gt;0"))/(COUNTIFS($S$5:$S$1000,$S138,$V$5:$V$1000,"Macro")*SUMIFS($H$5:$H$1000,$S$5:$S$1000,$S138,$V$5:$V$1000,"Macro")/COUNTIFS($S$5:$S$1000,$S138,$V$5:$V$1000,"Macro",$H$5:$H$1000,"&gt;0"))))</f>
        <v/>
      </c>
      <c r="AH138" s="62" t="n"/>
      <c r="AI138" s="62" t="n"/>
      <c r="AJ138" s="62" t="n"/>
      <c r="AK138" s="62" t="n"/>
      <c r="AL138" s="62">
        <f>IF(LEFT($C138,11)="[Jefatura] ",IFERROR(MATCH("Riesgo Operacional|"&amp;MID($C138,12,500),rDname_ADM,0),0),"")</f>
        <v/>
      </c>
      <c r="AM138" s="62">
        <f>IF(N($AL138)&gt;0,INDEX(rIni_ADM,$AL138),IF(ISNUMBER($E138),$E138,""))</f>
        <v/>
      </c>
      <c r="AN138" s="62">
        <f>IF(N($AL138)&gt;0,INDEX(rLim_ADM,$AL138),IF(ISNUMBER($F138),$F138,""))</f>
        <v/>
      </c>
    </row>
    <row r="139">
      <c r="A139" s="56">
        <f>IF(NOT((COUNTA($B139:$D139)+COUNTA($G139:$L139)+COUNTA($Q139))&gt;0),"",IF($V139="Macro",COUNTIFS($V$5:$V139,"Macro",$S$5:$S139,$S139),IF(N($U139)=0,"?",COUNTIFS(INDEX($V$5:$V$1000,1):INDEX($V$5:$V$1000,$U139-4),"Macro",INDEX($S$5:$S$1000,1):INDEX($S$5:$S$1000,$U139-4),INDEX($S$5:$S$1000,$U139-4))&amp;"."&amp;COUNTIFS($U$5:$U139,$U139,$V$5:$V139,"Sub"))))</f>
        <v/>
      </c>
      <c r="B139" s="57" t="n"/>
      <c r="C139" s="58" t="n"/>
      <c r="D139" s="58" t="n"/>
      <c r="E139" s="59">
        <f>IF(N($AL139)&gt;0,INDEX(rIni_ADM,$AL139),"")</f>
        <v/>
      </c>
      <c r="F139" s="59">
        <f>IF(N($AL139)&gt;0,INDEX(rLim_ADM,$AL139),"")</f>
        <v/>
      </c>
      <c r="G139" s="59" t="n"/>
      <c r="H139" s="60" t="n"/>
      <c r="I139" s="60" t="n"/>
      <c r="J139" s="60" t="n"/>
      <c r="K139" s="60" t="n"/>
      <c r="L139" s="60" t="n"/>
      <c r="M139" s="61">
        <f>IF(NOT((COUNTA($B139:$D139)+COUNTA($G139:$L139)+COUNTA($Q139))&gt;0),"",IF(ISNUMBER($G139),1,IF(N($W139)&gt;0,AVERAGEIFS($X$5:$X$1000,$U$5:$U$1000,ROW(),$V$5:$V$1000,"Sub"),$X139)))</f>
        <v/>
      </c>
      <c r="N139" s="56">
        <f>IF($M139="","",IF($M139&gt;=1,"Completado",IF($M139&gt;0,"En curso","Pendiente")))</f>
        <v/>
      </c>
      <c r="O139" s="56">
        <f>IF(NOT((COUNTA($B139:$D139)+COUNTA($G139:$L139)+COUNTA($Q139))&gt;0),"",IF(ISNUMBER($G139),IF(AND(ISNUMBER($AN139),$G139&gt;$AN139),"Cumplida con "&amp;($G139-$AN139)&amp;IF($G139-$AN139=1," día"," días")&amp;" de retraso","Cumplida"),IF(N($M139)&gt;=1,"Cumplida",IF(NOT(ISNUMBER($AN139)),"Sin fecha límite",IF($AN139&lt;FechaRef,"Vencida hace "&amp;(FechaRef-$AN139)&amp;IF(FechaRef-$AN139=1," día"," días"),IF($AN139=FechaRef,"Vence hoy",IF($AN139-FechaRef&lt;=DiasAlerta,"Vence en "&amp;($AN139-FechaRef)&amp;IF($AN139-FechaRef=1," día"," días"),"En plazo")))))))</f>
        <v/>
      </c>
      <c r="P139" s="62" t="n"/>
      <c r="Q139" s="58" t="n"/>
      <c r="R139" s="63">
        <f>IF(NOT((COUNTA($B139:$D139)+COUNTA($G139:$L139)+COUNTA($Q139))&gt;0),"",IF((IF($C139="","Falta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",""))="","✔ OK","⚠ "&amp;LEFT(IF($C139="","Falta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",""),LEN(IF($C139="","Falta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",""))-3)))</f>
        <v/>
      </c>
      <c r="S139" s="64">
        <f>IF(NOT((COUNTA($B139:$D139)+COUNTA($G139:$L139)+COUNTA($Q139))&gt;0),"",IF(AND($V139="Sub",N($U139)&gt;0),IF(ISNUMBER(INDEX($AM$5:$AM$1000,$U139-4)),DATE(YEAR(INDEX($AM$5:$AM$1000,$U139-4)),MONTH(INDEX($AM$5:$AM$1000,$U139-4)),1),IF(ISNUMBER(INDEX($AN$5:$AN$1000,$U139-4)),DATE(YEAR(INDEX($AN$5:$AN$1000,$U139-4)),MONTH(INDEX($AN$5:$AN$1000,$U139-4)),1),MesCiclo)),IF(ISNUMBER($AM139),DATE(YEAR($AM139),MONTH($AM139),1),IF(ISNUMBER($AN139),DATE(YEAR($AN139),MONTH($AN139),1),MesCiclo))))</f>
        <v/>
      </c>
      <c r="T139" s="62">
        <f>IF(OR($S139="",$S139&lt;&gt;MesCiclo),"",COUNTIF($S$5:$S139,MesCiclo))</f>
        <v/>
      </c>
      <c r="U139" s="62">
        <f>IF($V139="","",IF($V139="Macro",ROW(),IFERROR(LOOKUP(2,1/($V$5:$V139="Macro"),ROW($V$5:$V139)),0)))</f>
        <v/>
      </c>
      <c r="V139" s="62">
        <f>IF(NOT((COUNTA($B139:$D139)+COUNTA($G139:$L139)+COUNTA($Q139))&gt;0),"",IF($B139="Subactividad","Sub","Macro"))</f>
        <v/>
      </c>
      <c r="W139" s="62">
        <f>IF($V139="Macro",COUNTIFS($U$5:$U$1000,ROW(),$V$5:$V$1000,"Sub"),"")</f>
        <v/>
      </c>
      <c r="X139" s="62">
        <f>IF($V139="","",IF(ISNUMBER($G139),1,IFERROR(LOOKUP(2,1/($I139:$L139&lt;&gt;""),$I139:$L139),0)))</f>
        <v/>
      </c>
      <c r="Y139" s="62">
        <f>IF($V139="","",IF(AND(ISNUMBER($G139),$G139&lt;=IF($S139=MesCiclo,InicioCiclo,$S139+MOD(2-WEEKDAY($S139),7))+6),1,IF(ISNUMBER($I139),$I139,0)))</f>
        <v/>
      </c>
      <c r="Z139" s="62">
        <f>IF($V139="","",IF(AND(ISNUMBER($G139),$G139&lt;=IF($S139=MesCiclo,InicioCiclo,$S139+MOD(2-WEEKDAY($S139),7))+13),1,IF(ISNUMBER($J139),$J139,$Y139)))</f>
        <v/>
      </c>
      <c r="AA139" s="62">
        <f>IF($V139="","",IF(AND(ISNUMBER($G139),$G139&lt;=IF($S139=MesCiclo,InicioCiclo,$S139+MOD(2-WEEKDAY($S139),7))+20),1,IF(ISNUMBER($K139),$K139,$Z139)))</f>
        <v/>
      </c>
      <c r="AB139" s="62">
        <f>IF($V139="","",IF(AND(ISNUMBER($G139),$G139&lt;=IF($S139=MesCiclo,InicioCiclo,$S139+MOD(2-WEEKDAY($S139),7))+27),1,IF(ISNUMBER($L139),$L139,$AA139)))</f>
        <v/>
      </c>
      <c r="AC139" s="62">
        <f>IF($V139="","",IF(AND(ISNUMBER($G139),$G139&lt;=IF($S139=MesCiclo,InicioCiclo,$S139+MOD(2-WEEKDAY($S139),7))+6),1,IF(N($W139)&gt;0,AVERAGEIFS($Y$5:$Y$1000,$U$5:$U$1000,ROW(),$V$5:$V$1000,"Sub"),$Y139)))</f>
        <v/>
      </c>
      <c r="AD139" s="62">
        <f>IF($V139="","",IF(AND(ISNUMBER($G139),$G139&lt;=IF($S139=MesCiclo,InicioCiclo,$S139+MOD(2-WEEKDAY($S139),7))+13),1,IF(N($W139)&gt;0,AVERAGEIFS($Z$5:$Z$1000,$U$5:$U$1000,ROW(),$V$5:$V$1000,"Sub"),$Z139)))</f>
        <v/>
      </c>
      <c r="AE139" s="62">
        <f>IF($V139="","",IF(AND(ISNUMBER($G139),$G139&lt;=IF($S139=MesCiclo,InicioCiclo,$S139+MOD(2-WEEKDAY($S139),7))+20),1,IF(N($W139)&gt;0,AVERAGEIFS($AA$5:$AA$1000,$U$5:$U$1000,ROW(),$V$5:$V$1000,"Sub"),$AA139)))</f>
        <v/>
      </c>
      <c r="AF139" s="62">
        <f>IF($V139="","",IF(AND(ISNUMBER($G139),$G139&lt;=IF($S139=MesCiclo,InicioCiclo,$S139+MOD(2-WEEKDAY($S139),7))+27),1,IF(N($W139)&gt;0,AVERAGEIFS($AB$5:$AB$1000,$U$5:$U$1000,ROW(),$V$5:$V$1000,"Sub"),$AB139)))</f>
        <v/>
      </c>
      <c r="AG139" s="62">
        <f>IF($V139&lt;&gt;"Macro","",IF(COUNTIFS($S$5:$S$1000,$S139,$V$5:$V$1000,"Macro",$H$5:$H$1000,"&gt;0")=0,1/COUNTIFS($S$5:$S$1000,$S139,$V$5:$V$1000,"Macro"),IF(AND(ISNUMBER($H139),N($H139)&gt;0),$H139,SUMIFS($H$5:$H$1000,$S$5:$S$1000,$S139,$V$5:$V$1000,"Macro")/COUNTIFS($S$5:$S$1000,$S139,$V$5:$V$1000,"Macro",$H$5:$H$1000,"&gt;0"))/(COUNTIFS($S$5:$S$1000,$S139,$V$5:$V$1000,"Macro")*SUMIFS($H$5:$H$1000,$S$5:$S$1000,$S139,$V$5:$V$1000,"Macro")/COUNTIFS($S$5:$S$1000,$S139,$V$5:$V$1000,"Macro",$H$5:$H$1000,"&gt;0"))))</f>
        <v/>
      </c>
      <c r="AH139" s="62" t="n"/>
      <c r="AI139" s="62" t="n"/>
      <c r="AJ139" s="62" t="n"/>
      <c r="AK139" s="62" t="n"/>
      <c r="AL139" s="62">
        <f>IF(LEFT($C139,11)="[Jefatura] ",IFERROR(MATCH("Riesgo Operacional|"&amp;MID($C139,12,500),rDname_ADM,0),0),"")</f>
        <v/>
      </c>
      <c r="AM139" s="62">
        <f>IF(N($AL139)&gt;0,INDEX(rIni_ADM,$AL139),IF(ISNUMBER($E139),$E139,""))</f>
        <v/>
      </c>
      <c r="AN139" s="62">
        <f>IF(N($AL139)&gt;0,INDEX(rLim_ADM,$AL139),IF(ISNUMBER($F139),$F139,""))</f>
        <v/>
      </c>
    </row>
    <row r="140">
      <c r="A140" s="56">
        <f>IF(NOT((COUNTA($B140:$D140)+COUNTA($G140:$L140)+COUNTA($Q140))&gt;0),"",IF($V140="Macro",COUNTIFS($V$5:$V140,"Macro",$S$5:$S140,$S140),IF(N($U140)=0,"?",COUNTIFS(INDEX($V$5:$V$1000,1):INDEX($V$5:$V$1000,$U140-4),"Macro",INDEX($S$5:$S$1000,1):INDEX($S$5:$S$1000,$U140-4),INDEX($S$5:$S$1000,$U140-4))&amp;"."&amp;COUNTIFS($U$5:$U140,$U140,$V$5:$V140,"Sub"))))</f>
        <v/>
      </c>
      <c r="B140" s="57" t="n"/>
      <c r="C140" s="58" t="n"/>
      <c r="D140" s="58" t="n"/>
      <c r="E140" s="59">
        <f>IF(N($AL140)&gt;0,INDEX(rIni_ADM,$AL140),"")</f>
        <v/>
      </c>
      <c r="F140" s="59">
        <f>IF(N($AL140)&gt;0,INDEX(rLim_ADM,$AL140),"")</f>
        <v/>
      </c>
      <c r="G140" s="59" t="n"/>
      <c r="H140" s="60" t="n"/>
      <c r="I140" s="60" t="n"/>
      <c r="J140" s="60" t="n"/>
      <c r="K140" s="60" t="n"/>
      <c r="L140" s="60" t="n"/>
      <c r="M140" s="61">
        <f>IF(NOT((COUNTA($B140:$D140)+COUNTA($G140:$L140)+COUNTA($Q140))&gt;0),"",IF(ISNUMBER($G140),1,IF(N($W140)&gt;0,AVERAGEIFS($X$5:$X$1000,$U$5:$U$1000,ROW(),$V$5:$V$1000,"Sub"),$X140)))</f>
        <v/>
      </c>
      <c r="N140" s="56">
        <f>IF($M140="","",IF($M140&gt;=1,"Completado",IF($M140&gt;0,"En curso","Pendiente")))</f>
        <v/>
      </c>
      <c r="O140" s="56">
        <f>IF(NOT((COUNTA($B140:$D140)+COUNTA($G140:$L140)+COUNTA($Q140))&gt;0),"",IF(ISNUMBER($G140),IF(AND(ISNUMBER($AN140),$G140&gt;$AN140),"Cumplida con "&amp;($G140-$AN140)&amp;IF($G140-$AN140=1," día"," días")&amp;" de retraso","Cumplida"),IF(N($M140)&gt;=1,"Cumplida",IF(NOT(ISNUMBER($AN140)),"Sin fecha límite",IF($AN140&lt;FechaRef,"Vencida hace "&amp;(FechaRef-$AN140)&amp;IF(FechaRef-$AN140=1," día"," días"),IF($AN140=FechaRef,"Vence hoy",IF($AN140-FechaRef&lt;=DiasAlerta,"Vence en "&amp;($AN140-FechaRef)&amp;IF($AN140-FechaRef=1," día"," días"),"En plazo")))))))</f>
        <v/>
      </c>
      <c r="P140" s="62" t="n"/>
      <c r="Q140" s="58" t="n"/>
      <c r="R140" s="63">
        <f>IF(NOT((COUNTA($B140:$D140)+COUNTA($G140:$L140)+COUNTA($Q140))&gt;0),"",IF((IF($C140="","Falta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",""))="","✔ OK","⚠ "&amp;LEFT(IF($C140="","Falta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",""),LEN(IF($C140="","Falta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",""))-3)))</f>
        <v/>
      </c>
      <c r="S140" s="64">
        <f>IF(NOT((COUNTA($B140:$D140)+COUNTA($G140:$L140)+COUNTA($Q140))&gt;0),"",IF(AND($V140="Sub",N($U140)&gt;0),IF(ISNUMBER(INDEX($AM$5:$AM$1000,$U140-4)),DATE(YEAR(INDEX($AM$5:$AM$1000,$U140-4)),MONTH(INDEX($AM$5:$AM$1000,$U140-4)),1),IF(ISNUMBER(INDEX($AN$5:$AN$1000,$U140-4)),DATE(YEAR(INDEX($AN$5:$AN$1000,$U140-4)),MONTH(INDEX($AN$5:$AN$1000,$U140-4)),1),MesCiclo)),IF(ISNUMBER($AM140),DATE(YEAR($AM140),MONTH($AM140),1),IF(ISNUMBER($AN140),DATE(YEAR($AN140),MONTH($AN140),1),MesCiclo))))</f>
        <v/>
      </c>
      <c r="T140" s="62">
        <f>IF(OR($S140="",$S140&lt;&gt;MesCiclo),"",COUNTIF($S$5:$S140,MesCiclo))</f>
        <v/>
      </c>
      <c r="U140" s="62">
        <f>IF($V140="","",IF($V140="Macro",ROW(),IFERROR(LOOKUP(2,1/($V$5:$V140="Macro"),ROW($V$5:$V140)),0)))</f>
        <v/>
      </c>
      <c r="V140" s="62">
        <f>IF(NOT((COUNTA($B140:$D140)+COUNTA($G140:$L140)+COUNTA($Q140))&gt;0),"",IF($B140="Subactividad","Sub","Macro"))</f>
        <v/>
      </c>
      <c r="W140" s="62">
        <f>IF($V140="Macro",COUNTIFS($U$5:$U$1000,ROW(),$V$5:$V$1000,"Sub"),"")</f>
        <v/>
      </c>
      <c r="X140" s="62">
        <f>IF($V140="","",IF(ISNUMBER($G140),1,IFERROR(LOOKUP(2,1/($I140:$L140&lt;&gt;""),$I140:$L140),0)))</f>
        <v/>
      </c>
      <c r="Y140" s="62">
        <f>IF($V140="","",IF(AND(ISNUMBER($G140),$G140&lt;=IF($S140=MesCiclo,InicioCiclo,$S140+MOD(2-WEEKDAY($S140),7))+6),1,IF(ISNUMBER($I140),$I140,0)))</f>
        <v/>
      </c>
      <c r="Z140" s="62">
        <f>IF($V140="","",IF(AND(ISNUMBER($G140),$G140&lt;=IF($S140=MesCiclo,InicioCiclo,$S140+MOD(2-WEEKDAY($S140),7))+13),1,IF(ISNUMBER($J140),$J140,$Y140)))</f>
        <v/>
      </c>
      <c r="AA140" s="62">
        <f>IF($V140="","",IF(AND(ISNUMBER($G140),$G140&lt;=IF($S140=MesCiclo,InicioCiclo,$S140+MOD(2-WEEKDAY($S140),7))+20),1,IF(ISNUMBER($K140),$K140,$Z140)))</f>
        <v/>
      </c>
      <c r="AB140" s="62">
        <f>IF($V140="","",IF(AND(ISNUMBER($G140),$G140&lt;=IF($S140=MesCiclo,InicioCiclo,$S140+MOD(2-WEEKDAY($S140),7))+27),1,IF(ISNUMBER($L140),$L140,$AA140)))</f>
        <v/>
      </c>
      <c r="AC140" s="62">
        <f>IF($V140="","",IF(AND(ISNUMBER($G140),$G140&lt;=IF($S140=MesCiclo,InicioCiclo,$S140+MOD(2-WEEKDAY($S140),7))+6),1,IF(N($W140)&gt;0,AVERAGEIFS($Y$5:$Y$1000,$U$5:$U$1000,ROW(),$V$5:$V$1000,"Sub"),$Y140)))</f>
        <v/>
      </c>
      <c r="AD140" s="62">
        <f>IF($V140="","",IF(AND(ISNUMBER($G140),$G140&lt;=IF($S140=MesCiclo,InicioCiclo,$S140+MOD(2-WEEKDAY($S140),7))+13),1,IF(N($W140)&gt;0,AVERAGEIFS($Z$5:$Z$1000,$U$5:$U$1000,ROW(),$V$5:$V$1000,"Sub"),$Z140)))</f>
        <v/>
      </c>
      <c r="AE140" s="62">
        <f>IF($V140="","",IF(AND(ISNUMBER($G140),$G140&lt;=IF($S140=MesCiclo,InicioCiclo,$S140+MOD(2-WEEKDAY($S140),7))+20),1,IF(N($W140)&gt;0,AVERAGEIFS($AA$5:$AA$1000,$U$5:$U$1000,ROW(),$V$5:$V$1000,"Sub"),$AA140)))</f>
        <v/>
      </c>
      <c r="AF140" s="62">
        <f>IF($V140="","",IF(AND(ISNUMBER($G140),$G140&lt;=IF($S140=MesCiclo,InicioCiclo,$S140+MOD(2-WEEKDAY($S140),7))+27),1,IF(N($W140)&gt;0,AVERAGEIFS($AB$5:$AB$1000,$U$5:$U$1000,ROW(),$V$5:$V$1000,"Sub"),$AB140)))</f>
        <v/>
      </c>
      <c r="AG140" s="62">
        <f>IF($V140&lt;&gt;"Macro","",IF(COUNTIFS($S$5:$S$1000,$S140,$V$5:$V$1000,"Macro",$H$5:$H$1000,"&gt;0")=0,1/COUNTIFS($S$5:$S$1000,$S140,$V$5:$V$1000,"Macro"),IF(AND(ISNUMBER($H140),N($H140)&gt;0),$H140,SUMIFS($H$5:$H$1000,$S$5:$S$1000,$S140,$V$5:$V$1000,"Macro")/COUNTIFS($S$5:$S$1000,$S140,$V$5:$V$1000,"Macro",$H$5:$H$1000,"&gt;0"))/(COUNTIFS($S$5:$S$1000,$S140,$V$5:$V$1000,"Macro")*SUMIFS($H$5:$H$1000,$S$5:$S$1000,$S140,$V$5:$V$1000,"Macro")/COUNTIFS($S$5:$S$1000,$S140,$V$5:$V$1000,"Macro",$H$5:$H$1000,"&gt;0"))))</f>
        <v/>
      </c>
      <c r="AH140" s="62" t="n"/>
      <c r="AI140" s="62" t="n"/>
      <c r="AJ140" s="62" t="n"/>
      <c r="AK140" s="62" t="n"/>
      <c r="AL140" s="62">
        <f>IF(LEFT($C140,11)="[Jefatura] ",IFERROR(MATCH("Riesgo Operacional|"&amp;MID($C140,12,500),rDname_ADM,0),0),"")</f>
        <v/>
      </c>
      <c r="AM140" s="62">
        <f>IF(N($AL140)&gt;0,INDEX(rIni_ADM,$AL140),IF(ISNUMBER($E140),$E140,""))</f>
        <v/>
      </c>
      <c r="AN140" s="62">
        <f>IF(N($AL140)&gt;0,INDEX(rLim_ADM,$AL140),IF(ISNUMBER($F140),$F140,""))</f>
        <v/>
      </c>
    </row>
    <row r="141">
      <c r="A141" s="56">
        <f>IF(NOT((COUNTA($B141:$D141)+COUNTA($G141:$L141)+COUNTA($Q141))&gt;0),"",IF($V141="Macro",COUNTIFS($V$5:$V141,"Macro",$S$5:$S141,$S141),IF(N($U141)=0,"?",COUNTIFS(INDEX($V$5:$V$1000,1):INDEX($V$5:$V$1000,$U141-4),"Macro",INDEX($S$5:$S$1000,1):INDEX($S$5:$S$1000,$U141-4),INDEX($S$5:$S$1000,$U141-4))&amp;"."&amp;COUNTIFS($U$5:$U141,$U141,$V$5:$V141,"Sub"))))</f>
        <v/>
      </c>
      <c r="B141" s="57" t="n"/>
      <c r="C141" s="58" t="n"/>
      <c r="D141" s="58" t="n"/>
      <c r="E141" s="59">
        <f>IF(N($AL141)&gt;0,INDEX(rIni_ADM,$AL141),"")</f>
        <v/>
      </c>
      <c r="F141" s="59">
        <f>IF(N($AL141)&gt;0,INDEX(rLim_ADM,$AL141),"")</f>
        <v/>
      </c>
      <c r="G141" s="59" t="n"/>
      <c r="H141" s="60" t="n"/>
      <c r="I141" s="60" t="n"/>
      <c r="J141" s="60" t="n"/>
      <c r="K141" s="60" t="n"/>
      <c r="L141" s="60" t="n"/>
      <c r="M141" s="61">
        <f>IF(NOT((COUNTA($B141:$D141)+COUNTA($G141:$L141)+COUNTA($Q141))&gt;0),"",IF(ISNUMBER($G141),1,IF(N($W141)&gt;0,AVERAGEIFS($X$5:$X$1000,$U$5:$U$1000,ROW(),$V$5:$V$1000,"Sub"),$X141)))</f>
        <v/>
      </c>
      <c r="N141" s="56">
        <f>IF($M141="","",IF($M141&gt;=1,"Completado",IF($M141&gt;0,"En curso","Pendiente")))</f>
        <v/>
      </c>
      <c r="O141" s="56">
        <f>IF(NOT((COUNTA($B141:$D141)+COUNTA($G141:$L141)+COUNTA($Q141))&gt;0),"",IF(ISNUMBER($G141),IF(AND(ISNUMBER($AN141),$G141&gt;$AN141),"Cumplida con "&amp;($G141-$AN141)&amp;IF($G141-$AN141=1," día"," días")&amp;" de retraso","Cumplida"),IF(N($M141)&gt;=1,"Cumplida",IF(NOT(ISNUMBER($AN141)),"Sin fecha límite",IF($AN141&lt;FechaRef,"Vencida hace "&amp;(FechaRef-$AN141)&amp;IF(FechaRef-$AN141=1," día"," días"),IF($AN141=FechaRef,"Vence hoy",IF($AN141-FechaRef&lt;=DiasAlerta,"Vence en "&amp;($AN141-FechaRef)&amp;IF($AN141-FechaRef=1," día"," días"),"En plazo")))))))</f>
        <v/>
      </c>
      <c r="P141" s="62" t="n"/>
      <c r="Q141" s="58" t="n"/>
      <c r="R141" s="63">
        <f>IF(NOT((COUNTA($B141:$D141)+COUNTA($G141:$L141)+COUNTA($Q141))&gt;0),"",IF((IF($C141="","Falta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",""))="","✔ OK","⚠ "&amp;LEFT(IF($C141="","Falta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",""),LEN(IF($C141="","Falta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",""))-3)))</f>
        <v/>
      </c>
      <c r="S141" s="64">
        <f>IF(NOT((COUNTA($B141:$D141)+COUNTA($G141:$L141)+COUNTA($Q141))&gt;0),"",IF(AND($V141="Sub",N($U141)&gt;0),IF(ISNUMBER(INDEX($AM$5:$AM$1000,$U141-4)),DATE(YEAR(INDEX($AM$5:$AM$1000,$U141-4)),MONTH(INDEX($AM$5:$AM$1000,$U141-4)),1),IF(ISNUMBER(INDEX($AN$5:$AN$1000,$U141-4)),DATE(YEAR(INDEX($AN$5:$AN$1000,$U141-4)),MONTH(INDEX($AN$5:$AN$1000,$U141-4)),1),MesCiclo)),IF(ISNUMBER($AM141),DATE(YEAR($AM141),MONTH($AM141),1),IF(ISNUMBER($AN141),DATE(YEAR($AN141),MONTH($AN141),1),MesCiclo))))</f>
        <v/>
      </c>
      <c r="T141" s="62">
        <f>IF(OR($S141="",$S141&lt;&gt;MesCiclo),"",COUNTIF($S$5:$S141,MesCiclo))</f>
        <v/>
      </c>
      <c r="U141" s="62">
        <f>IF($V141="","",IF($V141="Macro",ROW(),IFERROR(LOOKUP(2,1/($V$5:$V141="Macro"),ROW($V$5:$V141)),0)))</f>
        <v/>
      </c>
      <c r="V141" s="62">
        <f>IF(NOT((COUNTA($B141:$D141)+COUNTA($G141:$L141)+COUNTA($Q141))&gt;0),"",IF($B141="Subactividad","Sub","Macro"))</f>
        <v/>
      </c>
      <c r="W141" s="62">
        <f>IF($V141="Macro",COUNTIFS($U$5:$U$1000,ROW(),$V$5:$V$1000,"Sub"),"")</f>
        <v/>
      </c>
      <c r="X141" s="62">
        <f>IF($V141="","",IF(ISNUMBER($G141),1,IFERROR(LOOKUP(2,1/($I141:$L141&lt;&gt;""),$I141:$L141),0)))</f>
        <v/>
      </c>
      <c r="Y141" s="62">
        <f>IF($V141="","",IF(AND(ISNUMBER($G141),$G141&lt;=IF($S141=MesCiclo,InicioCiclo,$S141+MOD(2-WEEKDAY($S141),7))+6),1,IF(ISNUMBER($I141),$I141,0)))</f>
        <v/>
      </c>
      <c r="Z141" s="62">
        <f>IF($V141="","",IF(AND(ISNUMBER($G141),$G141&lt;=IF($S141=MesCiclo,InicioCiclo,$S141+MOD(2-WEEKDAY($S141),7))+13),1,IF(ISNUMBER($J141),$J141,$Y141)))</f>
        <v/>
      </c>
      <c r="AA141" s="62">
        <f>IF($V141="","",IF(AND(ISNUMBER($G141),$G141&lt;=IF($S141=MesCiclo,InicioCiclo,$S141+MOD(2-WEEKDAY($S141),7))+20),1,IF(ISNUMBER($K141),$K141,$Z141)))</f>
        <v/>
      </c>
      <c r="AB141" s="62">
        <f>IF($V141="","",IF(AND(ISNUMBER($G141),$G141&lt;=IF($S141=MesCiclo,InicioCiclo,$S141+MOD(2-WEEKDAY($S141),7))+27),1,IF(ISNUMBER($L141),$L141,$AA141)))</f>
        <v/>
      </c>
      <c r="AC141" s="62">
        <f>IF($V141="","",IF(AND(ISNUMBER($G141),$G141&lt;=IF($S141=MesCiclo,InicioCiclo,$S141+MOD(2-WEEKDAY($S141),7))+6),1,IF(N($W141)&gt;0,AVERAGEIFS($Y$5:$Y$1000,$U$5:$U$1000,ROW(),$V$5:$V$1000,"Sub"),$Y141)))</f>
        <v/>
      </c>
      <c r="AD141" s="62">
        <f>IF($V141="","",IF(AND(ISNUMBER($G141),$G141&lt;=IF($S141=MesCiclo,InicioCiclo,$S141+MOD(2-WEEKDAY($S141),7))+13),1,IF(N($W141)&gt;0,AVERAGEIFS($Z$5:$Z$1000,$U$5:$U$1000,ROW(),$V$5:$V$1000,"Sub"),$Z141)))</f>
        <v/>
      </c>
      <c r="AE141" s="62">
        <f>IF($V141="","",IF(AND(ISNUMBER($G141),$G141&lt;=IF($S141=MesCiclo,InicioCiclo,$S141+MOD(2-WEEKDAY($S141),7))+20),1,IF(N($W141)&gt;0,AVERAGEIFS($AA$5:$AA$1000,$U$5:$U$1000,ROW(),$V$5:$V$1000,"Sub"),$AA141)))</f>
        <v/>
      </c>
      <c r="AF141" s="62">
        <f>IF($V141="","",IF(AND(ISNUMBER($G141),$G141&lt;=IF($S141=MesCiclo,InicioCiclo,$S141+MOD(2-WEEKDAY($S141),7))+27),1,IF(N($W141)&gt;0,AVERAGEIFS($AB$5:$AB$1000,$U$5:$U$1000,ROW(),$V$5:$V$1000,"Sub"),$AB141)))</f>
        <v/>
      </c>
      <c r="AG141" s="62">
        <f>IF($V141&lt;&gt;"Macro","",IF(COUNTIFS($S$5:$S$1000,$S141,$V$5:$V$1000,"Macro",$H$5:$H$1000,"&gt;0")=0,1/COUNTIFS($S$5:$S$1000,$S141,$V$5:$V$1000,"Macro"),IF(AND(ISNUMBER($H141),N($H141)&gt;0),$H141,SUMIFS($H$5:$H$1000,$S$5:$S$1000,$S141,$V$5:$V$1000,"Macro")/COUNTIFS($S$5:$S$1000,$S141,$V$5:$V$1000,"Macro",$H$5:$H$1000,"&gt;0"))/(COUNTIFS($S$5:$S$1000,$S141,$V$5:$V$1000,"Macro")*SUMIFS($H$5:$H$1000,$S$5:$S$1000,$S141,$V$5:$V$1000,"Macro")/COUNTIFS($S$5:$S$1000,$S141,$V$5:$V$1000,"Macro",$H$5:$H$1000,"&gt;0"))))</f>
        <v/>
      </c>
      <c r="AH141" s="62" t="n"/>
      <c r="AI141" s="62" t="n"/>
      <c r="AJ141" s="62" t="n"/>
      <c r="AK141" s="62" t="n"/>
      <c r="AL141" s="62">
        <f>IF(LEFT($C141,11)="[Jefatura] ",IFERROR(MATCH("Riesgo Operacional|"&amp;MID($C141,12,500),rDname_ADM,0),0),"")</f>
        <v/>
      </c>
      <c r="AM141" s="62">
        <f>IF(N($AL141)&gt;0,INDEX(rIni_ADM,$AL141),IF(ISNUMBER($E141),$E141,""))</f>
        <v/>
      </c>
      <c r="AN141" s="62">
        <f>IF(N($AL141)&gt;0,INDEX(rLim_ADM,$AL141),IF(ISNUMBER($F141),$F141,""))</f>
        <v/>
      </c>
    </row>
    <row r="142">
      <c r="A142" s="56">
        <f>IF(NOT((COUNTA($B142:$D142)+COUNTA($G142:$L142)+COUNTA($Q142))&gt;0),"",IF($V142="Macro",COUNTIFS($V$5:$V142,"Macro",$S$5:$S142,$S142),IF(N($U142)=0,"?",COUNTIFS(INDEX($V$5:$V$1000,1):INDEX($V$5:$V$1000,$U142-4),"Macro",INDEX($S$5:$S$1000,1):INDEX($S$5:$S$1000,$U142-4),INDEX($S$5:$S$1000,$U142-4))&amp;"."&amp;COUNTIFS($U$5:$U142,$U142,$V$5:$V142,"Sub"))))</f>
        <v/>
      </c>
      <c r="B142" s="57" t="n"/>
      <c r="C142" s="58" t="n"/>
      <c r="D142" s="58" t="n"/>
      <c r="E142" s="59">
        <f>IF(N($AL142)&gt;0,INDEX(rIni_ADM,$AL142),"")</f>
        <v/>
      </c>
      <c r="F142" s="59">
        <f>IF(N($AL142)&gt;0,INDEX(rLim_ADM,$AL142),"")</f>
        <v/>
      </c>
      <c r="G142" s="59" t="n"/>
      <c r="H142" s="60" t="n"/>
      <c r="I142" s="60" t="n"/>
      <c r="J142" s="60" t="n"/>
      <c r="K142" s="60" t="n"/>
      <c r="L142" s="60" t="n"/>
      <c r="M142" s="61">
        <f>IF(NOT((COUNTA($B142:$D142)+COUNTA($G142:$L142)+COUNTA($Q142))&gt;0),"",IF(ISNUMBER($G142),1,IF(N($W142)&gt;0,AVERAGEIFS($X$5:$X$1000,$U$5:$U$1000,ROW(),$V$5:$V$1000,"Sub"),$X142)))</f>
        <v/>
      </c>
      <c r="N142" s="56">
        <f>IF($M142="","",IF($M142&gt;=1,"Completado",IF($M142&gt;0,"En curso","Pendiente")))</f>
        <v/>
      </c>
      <c r="O142" s="56">
        <f>IF(NOT((COUNTA($B142:$D142)+COUNTA($G142:$L142)+COUNTA($Q142))&gt;0),"",IF(ISNUMBER($G142),IF(AND(ISNUMBER($AN142),$G142&gt;$AN142),"Cumplida con "&amp;($G142-$AN142)&amp;IF($G142-$AN142=1," día"," días")&amp;" de retraso","Cumplida"),IF(N($M142)&gt;=1,"Cumplida",IF(NOT(ISNUMBER($AN142)),"Sin fecha límite",IF($AN142&lt;FechaRef,"Vencida hace "&amp;(FechaRef-$AN142)&amp;IF(FechaRef-$AN142=1," día"," días"),IF($AN142=FechaRef,"Vence hoy",IF($AN142-FechaRef&lt;=DiasAlerta,"Vence en "&amp;($AN142-FechaRef)&amp;IF($AN142-FechaRef=1," día"," días"),"En plazo")))))))</f>
        <v/>
      </c>
      <c r="P142" s="62" t="n"/>
      <c r="Q142" s="58" t="n"/>
      <c r="R142" s="63">
        <f>IF(NOT((COUNTA($B142:$D142)+COUNTA($G142:$L142)+COUNTA($Q142))&gt;0),"",IF((IF($C142="","Falta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",""))="","✔ OK","⚠ "&amp;LEFT(IF($C142="","Falta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",""),LEN(IF($C142="","Falta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",""))-3)))</f>
        <v/>
      </c>
      <c r="S142" s="64">
        <f>IF(NOT((COUNTA($B142:$D142)+COUNTA($G142:$L142)+COUNTA($Q142))&gt;0),"",IF(AND($V142="Sub",N($U142)&gt;0),IF(ISNUMBER(INDEX($AM$5:$AM$1000,$U142-4)),DATE(YEAR(INDEX($AM$5:$AM$1000,$U142-4)),MONTH(INDEX($AM$5:$AM$1000,$U142-4)),1),IF(ISNUMBER(INDEX($AN$5:$AN$1000,$U142-4)),DATE(YEAR(INDEX($AN$5:$AN$1000,$U142-4)),MONTH(INDEX($AN$5:$AN$1000,$U142-4)),1),MesCiclo)),IF(ISNUMBER($AM142),DATE(YEAR($AM142),MONTH($AM142),1),IF(ISNUMBER($AN142),DATE(YEAR($AN142),MONTH($AN142),1),MesCiclo))))</f>
        <v/>
      </c>
      <c r="T142" s="62">
        <f>IF(OR($S142="",$S142&lt;&gt;MesCiclo),"",COUNTIF($S$5:$S142,MesCiclo))</f>
        <v/>
      </c>
      <c r="U142" s="62">
        <f>IF($V142="","",IF($V142="Macro",ROW(),IFERROR(LOOKUP(2,1/($V$5:$V142="Macro"),ROW($V$5:$V142)),0)))</f>
        <v/>
      </c>
      <c r="V142" s="62">
        <f>IF(NOT((COUNTA($B142:$D142)+COUNTA($G142:$L142)+COUNTA($Q142))&gt;0),"",IF($B142="Subactividad","Sub","Macro"))</f>
        <v/>
      </c>
      <c r="W142" s="62">
        <f>IF($V142="Macro",COUNTIFS($U$5:$U$1000,ROW(),$V$5:$V$1000,"Sub"),"")</f>
        <v/>
      </c>
      <c r="X142" s="62">
        <f>IF($V142="","",IF(ISNUMBER($G142),1,IFERROR(LOOKUP(2,1/($I142:$L142&lt;&gt;""),$I142:$L142),0)))</f>
        <v/>
      </c>
      <c r="Y142" s="62">
        <f>IF($V142="","",IF(AND(ISNUMBER($G142),$G142&lt;=IF($S142=MesCiclo,InicioCiclo,$S142+MOD(2-WEEKDAY($S142),7))+6),1,IF(ISNUMBER($I142),$I142,0)))</f>
        <v/>
      </c>
      <c r="Z142" s="62">
        <f>IF($V142="","",IF(AND(ISNUMBER($G142),$G142&lt;=IF($S142=MesCiclo,InicioCiclo,$S142+MOD(2-WEEKDAY($S142),7))+13),1,IF(ISNUMBER($J142),$J142,$Y142)))</f>
        <v/>
      </c>
      <c r="AA142" s="62">
        <f>IF($V142="","",IF(AND(ISNUMBER($G142),$G142&lt;=IF($S142=MesCiclo,InicioCiclo,$S142+MOD(2-WEEKDAY($S142),7))+20),1,IF(ISNUMBER($K142),$K142,$Z142)))</f>
        <v/>
      </c>
      <c r="AB142" s="62">
        <f>IF($V142="","",IF(AND(ISNUMBER($G142),$G142&lt;=IF($S142=MesCiclo,InicioCiclo,$S142+MOD(2-WEEKDAY($S142),7))+27),1,IF(ISNUMBER($L142),$L142,$AA142)))</f>
        <v/>
      </c>
      <c r="AC142" s="62">
        <f>IF($V142="","",IF(AND(ISNUMBER($G142),$G142&lt;=IF($S142=MesCiclo,InicioCiclo,$S142+MOD(2-WEEKDAY($S142),7))+6),1,IF(N($W142)&gt;0,AVERAGEIFS($Y$5:$Y$1000,$U$5:$U$1000,ROW(),$V$5:$V$1000,"Sub"),$Y142)))</f>
        <v/>
      </c>
      <c r="AD142" s="62">
        <f>IF($V142="","",IF(AND(ISNUMBER($G142),$G142&lt;=IF($S142=MesCiclo,InicioCiclo,$S142+MOD(2-WEEKDAY($S142),7))+13),1,IF(N($W142)&gt;0,AVERAGEIFS($Z$5:$Z$1000,$U$5:$U$1000,ROW(),$V$5:$V$1000,"Sub"),$Z142)))</f>
        <v/>
      </c>
      <c r="AE142" s="62">
        <f>IF($V142="","",IF(AND(ISNUMBER($G142),$G142&lt;=IF($S142=MesCiclo,InicioCiclo,$S142+MOD(2-WEEKDAY($S142),7))+20),1,IF(N($W142)&gt;0,AVERAGEIFS($AA$5:$AA$1000,$U$5:$U$1000,ROW(),$V$5:$V$1000,"Sub"),$AA142)))</f>
        <v/>
      </c>
      <c r="AF142" s="62">
        <f>IF($V142="","",IF(AND(ISNUMBER($G142),$G142&lt;=IF($S142=MesCiclo,InicioCiclo,$S142+MOD(2-WEEKDAY($S142),7))+27),1,IF(N($W142)&gt;0,AVERAGEIFS($AB$5:$AB$1000,$U$5:$U$1000,ROW(),$V$5:$V$1000,"Sub"),$AB142)))</f>
        <v/>
      </c>
      <c r="AG142" s="62">
        <f>IF($V142&lt;&gt;"Macro","",IF(COUNTIFS($S$5:$S$1000,$S142,$V$5:$V$1000,"Macro",$H$5:$H$1000,"&gt;0")=0,1/COUNTIFS($S$5:$S$1000,$S142,$V$5:$V$1000,"Macro"),IF(AND(ISNUMBER($H142),N($H142)&gt;0),$H142,SUMIFS($H$5:$H$1000,$S$5:$S$1000,$S142,$V$5:$V$1000,"Macro")/COUNTIFS($S$5:$S$1000,$S142,$V$5:$V$1000,"Macro",$H$5:$H$1000,"&gt;0"))/(COUNTIFS($S$5:$S$1000,$S142,$V$5:$V$1000,"Macro")*SUMIFS($H$5:$H$1000,$S$5:$S$1000,$S142,$V$5:$V$1000,"Macro")/COUNTIFS($S$5:$S$1000,$S142,$V$5:$V$1000,"Macro",$H$5:$H$1000,"&gt;0"))))</f>
        <v/>
      </c>
      <c r="AH142" s="62" t="n"/>
      <c r="AI142" s="62" t="n"/>
      <c r="AJ142" s="62" t="n"/>
      <c r="AK142" s="62" t="n"/>
      <c r="AL142" s="62">
        <f>IF(LEFT($C142,11)="[Jefatura] ",IFERROR(MATCH("Riesgo Operacional|"&amp;MID($C142,12,500),rDname_ADM,0),0),"")</f>
        <v/>
      </c>
      <c r="AM142" s="62">
        <f>IF(N($AL142)&gt;0,INDEX(rIni_ADM,$AL142),IF(ISNUMBER($E142),$E142,""))</f>
        <v/>
      </c>
      <c r="AN142" s="62">
        <f>IF(N($AL142)&gt;0,INDEX(rLim_ADM,$AL142),IF(ISNUMBER($F142),$F142,""))</f>
        <v/>
      </c>
    </row>
    <row r="143">
      <c r="A143" s="56">
        <f>IF(NOT((COUNTA($B143:$D143)+COUNTA($G143:$L143)+COUNTA($Q143))&gt;0),"",IF($V143="Macro",COUNTIFS($V$5:$V143,"Macro",$S$5:$S143,$S143),IF(N($U143)=0,"?",COUNTIFS(INDEX($V$5:$V$1000,1):INDEX($V$5:$V$1000,$U143-4),"Macro",INDEX($S$5:$S$1000,1):INDEX($S$5:$S$1000,$U143-4),INDEX($S$5:$S$1000,$U143-4))&amp;"."&amp;COUNTIFS($U$5:$U143,$U143,$V$5:$V143,"Sub"))))</f>
        <v/>
      </c>
      <c r="B143" s="57" t="n"/>
      <c r="C143" s="58" t="n"/>
      <c r="D143" s="58" t="n"/>
      <c r="E143" s="59">
        <f>IF(N($AL143)&gt;0,INDEX(rIni_ADM,$AL143),"")</f>
        <v/>
      </c>
      <c r="F143" s="59">
        <f>IF(N($AL143)&gt;0,INDEX(rLim_ADM,$AL143),"")</f>
        <v/>
      </c>
      <c r="G143" s="59" t="n"/>
      <c r="H143" s="60" t="n"/>
      <c r="I143" s="60" t="n"/>
      <c r="J143" s="60" t="n"/>
      <c r="K143" s="60" t="n"/>
      <c r="L143" s="60" t="n"/>
      <c r="M143" s="61">
        <f>IF(NOT((COUNTA($B143:$D143)+COUNTA($G143:$L143)+COUNTA($Q143))&gt;0),"",IF(ISNUMBER($G143),1,IF(N($W143)&gt;0,AVERAGEIFS($X$5:$X$1000,$U$5:$U$1000,ROW(),$V$5:$V$1000,"Sub"),$X143)))</f>
        <v/>
      </c>
      <c r="N143" s="56">
        <f>IF($M143="","",IF($M143&gt;=1,"Completado",IF($M143&gt;0,"En curso","Pendiente")))</f>
        <v/>
      </c>
      <c r="O143" s="56">
        <f>IF(NOT((COUNTA($B143:$D143)+COUNTA($G143:$L143)+COUNTA($Q143))&gt;0),"",IF(ISNUMBER($G143),IF(AND(ISNUMBER($AN143),$G143&gt;$AN143),"Cumplida con "&amp;($G143-$AN143)&amp;IF($G143-$AN143=1," día"," días")&amp;" de retraso","Cumplida"),IF(N($M143)&gt;=1,"Cumplida",IF(NOT(ISNUMBER($AN143)),"Sin fecha límite",IF($AN143&lt;FechaRef,"Vencida hace "&amp;(FechaRef-$AN143)&amp;IF(FechaRef-$AN143=1," día"," días"),IF($AN143=FechaRef,"Vence hoy",IF($AN143-FechaRef&lt;=DiasAlerta,"Vence en "&amp;($AN143-FechaRef)&amp;IF($AN143-FechaRef=1," día"," días"),"En plazo")))))))</f>
        <v/>
      </c>
      <c r="P143" s="62" t="n"/>
      <c r="Q143" s="58" t="n"/>
      <c r="R143" s="63">
        <f>IF(NOT((COUNTA($B143:$D143)+COUNTA($G143:$L143)+COUNTA($Q143))&gt;0),"",IF((IF($C143="","Falta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",""))="","✔ OK","⚠ "&amp;LEFT(IF($C143="","Falta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",""),LEN(IF($C143="","Falta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",""))-3)))</f>
        <v/>
      </c>
      <c r="S143" s="64">
        <f>IF(NOT((COUNTA($B143:$D143)+COUNTA($G143:$L143)+COUNTA($Q143))&gt;0),"",IF(AND($V143="Sub",N($U143)&gt;0),IF(ISNUMBER(INDEX($AM$5:$AM$1000,$U143-4)),DATE(YEAR(INDEX($AM$5:$AM$1000,$U143-4)),MONTH(INDEX($AM$5:$AM$1000,$U143-4)),1),IF(ISNUMBER(INDEX($AN$5:$AN$1000,$U143-4)),DATE(YEAR(INDEX($AN$5:$AN$1000,$U143-4)),MONTH(INDEX($AN$5:$AN$1000,$U143-4)),1),MesCiclo)),IF(ISNUMBER($AM143),DATE(YEAR($AM143),MONTH($AM143),1),IF(ISNUMBER($AN143),DATE(YEAR($AN143),MONTH($AN143),1),MesCiclo))))</f>
        <v/>
      </c>
      <c r="T143" s="62">
        <f>IF(OR($S143="",$S143&lt;&gt;MesCiclo),"",COUNTIF($S$5:$S143,MesCiclo))</f>
        <v/>
      </c>
      <c r="U143" s="62">
        <f>IF($V143="","",IF($V143="Macro",ROW(),IFERROR(LOOKUP(2,1/($V$5:$V143="Macro"),ROW($V$5:$V143)),0)))</f>
        <v/>
      </c>
      <c r="V143" s="62">
        <f>IF(NOT((COUNTA($B143:$D143)+COUNTA($G143:$L143)+COUNTA($Q143))&gt;0),"",IF($B143="Subactividad","Sub","Macro"))</f>
        <v/>
      </c>
      <c r="W143" s="62">
        <f>IF($V143="Macro",COUNTIFS($U$5:$U$1000,ROW(),$V$5:$V$1000,"Sub"),"")</f>
        <v/>
      </c>
      <c r="X143" s="62">
        <f>IF($V143="","",IF(ISNUMBER($G143),1,IFERROR(LOOKUP(2,1/($I143:$L143&lt;&gt;""),$I143:$L143),0)))</f>
        <v/>
      </c>
      <c r="Y143" s="62">
        <f>IF($V143="","",IF(AND(ISNUMBER($G143),$G143&lt;=IF($S143=MesCiclo,InicioCiclo,$S143+MOD(2-WEEKDAY($S143),7))+6),1,IF(ISNUMBER($I143),$I143,0)))</f>
        <v/>
      </c>
      <c r="Z143" s="62">
        <f>IF($V143="","",IF(AND(ISNUMBER($G143),$G143&lt;=IF($S143=MesCiclo,InicioCiclo,$S143+MOD(2-WEEKDAY($S143),7))+13),1,IF(ISNUMBER($J143),$J143,$Y143)))</f>
        <v/>
      </c>
      <c r="AA143" s="62">
        <f>IF($V143="","",IF(AND(ISNUMBER($G143),$G143&lt;=IF($S143=MesCiclo,InicioCiclo,$S143+MOD(2-WEEKDAY($S143),7))+20),1,IF(ISNUMBER($K143),$K143,$Z143)))</f>
        <v/>
      </c>
      <c r="AB143" s="62">
        <f>IF($V143="","",IF(AND(ISNUMBER($G143),$G143&lt;=IF($S143=MesCiclo,InicioCiclo,$S143+MOD(2-WEEKDAY($S143),7))+27),1,IF(ISNUMBER($L143),$L143,$AA143)))</f>
        <v/>
      </c>
      <c r="AC143" s="62">
        <f>IF($V143="","",IF(AND(ISNUMBER($G143),$G143&lt;=IF($S143=MesCiclo,InicioCiclo,$S143+MOD(2-WEEKDAY($S143),7))+6),1,IF(N($W143)&gt;0,AVERAGEIFS($Y$5:$Y$1000,$U$5:$U$1000,ROW(),$V$5:$V$1000,"Sub"),$Y143)))</f>
        <v/>
      </c>
      <c r="AD143" s="62">
        <f>IF($V143="","",IF(AND(ISNUMBER($G143),$G143&lt;=IF($S143=MesCiclo,InicioCiclo,$S143+MOD(2-WEEKDAY($S143),7))+13),1,IF(N($W143)&gt;0,AVERAGEIFS($Z$5:$Z$1000,$U$5:$U$1000,ROW(),$V$5:$V$1000,"Sub"),$Z143)))</f>
        <v/>
      </c>
      <c r="AE143" s="62">
        <f>IF($V143="","",IF(AND(ISNUMBER($G143),$G143&lt;=IF($S143=MesCiclo,InicioCiclo,$S143+MOD(2-WEEKDAY($S143),7))+20),1,IF(N($W143)&gt;0,AVERAGEIFS($AA$5:$AA$1000,$U$5:$U$1000,ROW(),$V$5:$V$1000,"Sub"),$AA143)))</f>
        <v/>
      </c>
      <c r="AF143" s="62">
        <f>IF($V143="","",IF(AND(ISNUMBER($G143),$G143&lt;=IF($S143=MesCiclo,InicioCiclo,$S143+MOD(2-WEEKDAY($S143),7))+27),1,IF(N($W143)&gt;0,AVERAGEIFS($AB$5:$AB$1000,$U$5:$U$1000,ROW(),$V$5:$V$1000,"Sub"),$AB143)))</f>
        <v/>
      </c>
      <c r="AG143" s="62">
        <f>IF($V143&lt;&gt;"Macro","",IF(COUNTIFS($S$5:$S$1000,$S143,$V$5:$V$1000,"Macro",$H$5:$H$1000,"&gt;0")=0,1/COUNTIFS($S$5:$S$1000,$S143,$V$5:$V$1000,"Macro"),IF(AND(ISNUMBER($H143),N($H143)&gt;0),$H143,SUMIFS($H$5:$H$1000,$S$5:$S$1000,$S143,$V$5:$V$1000,"Macro")/COUNTIFS($S$5:$S$1000,$S143,$V$5:$V$1000,"Macro",$H$5:$H$1000,"&gt;0"))/(COUNTIFS($S$5:$S$1000,$S143,$V$5:$V$1000,"Macro")*SUMIFS($H$5:$H$1000,$S$5:$S$1000,$S143,$V$5:$V$1000,"Macro")/COUNTIFS($S$5:$S$1000,$S143,$V$5:$V$1000,"Macro",$H$5:$H$1000,"&gt;0"))))</f>
        <v/>
      </c>
      <c r="AH143" s="62" t="n"/>
      <c r="AI143" s="62" t="n"/>
      <c r="AJ143" s="62" t="n"/>
      <c r="AK143" s="62" t="n"/>
      <c r="AL143" s="62">
        <f>IF(LEFT($C143,11)="[Jefatura] ",IFERROR(MATCH("Riesgo Operacional|"&amp;MID($C143,12,500),rDname_ADM,0),0),"")</f>
        <v/>
      </c>
      <c r="AM143" s="62">
        <f>IF(N($AL143)&gt;0,INDEX(rIni_ADM,$AL143),IF(ISNUMBER($E143),$E143,""))</f>
        <v/>
      </c>
      <c r="AN143" s="62">
        <f>IF(N($AL143)&gt;0,INDEX(rLim_ADM,$AL143),IF(ISNUMBER($F143),$F143,""))</f>
        <v/>
      </c>
    </row>
    <row r="144">
      <c r="A144" s="56">
        <f>IF(NOT((COUNTA($B144:$D144)+COUNTA($G144:$L144)+COUNTA($Q144))&gt;0),"",IF($V144="Macro",COUNTIFS($V$5:$V144,"Macro",$S$5:$S144,$S144),IF(N($U144)=0,"?",COUNTIFS(INDEX($V$5:$V$1000,1):INDEX($V$5:$V$1000,$U144-4),"Macro",INDEX($S$5:$S$1000,1):INDEX($S$5:$S$1000,$U144-4),INDEX($S$5:$S$1000,$U144-4))&amp;"."&amp;COUNTIFS($U$5:$U144,$U144,$V$5:$V144,"Sub"))))</f>
        <v/>
      </c>
      <c r="B144" s="57" t="n"/>
      <c r="C144" s="58" t="n"/>
      <c r="D144" s="58" t="n"/>
      <c r="E144" s="59">
        <f>IF(N($AL144)&gt;0,INDEX(rIni_ADM,$AL144),"")</f>
        <v/>
      </c>
      <c r="F144" s="59">
        <f>IF(N($AL144)&gt;0,INDEX(rLim_ADM,$AL144),"")</f>
        <v/>
      </c>
      <c r="G144" s="59" t="n"/>
      <c r="H144" s="60" t="n"/>
      <c r="I144" s="60" t="n"/>
      <c r="J144" s="60" t="n"/>
      <c r="K144" s="60" t="n"/>
      <c r="L144" s="60" t="n"/>
      <c r="M144" s="61">
        <f>IF(NOT((COUNTA($B144:$D144)+COUNTA($G144:$L144)+COUNTA($Q144))&gt;0),"",IF(ISNUMBER($G144),1,IF(N($W144)&gt;0,AVERAGEIFS($X$5:$X$1000,$U$5:$U$1000,ROW(),$V$5:$V$1000,"Sub"),$X144)))</f>
        <v/>
      </c>
      <c r="N144" s="56">
        <f>IF($M144="","",IF($M144&gt;=1,"Completado",IF($M144&gt;0,"En curso","Pendiente")))</f>
        <v/>
      </c>
      <c r="O144" s="56">
        <f>IF(NOT((COUNTA($B144:$D144)+COUNTA($G144:$L144)+COUNTA($Q144))&gt;0),"",IF(ISNUMBER($G144),IF(AND(ISNUMBER($AN144),$G144&gt;$AN144),"Cumplida con "&amp;($G144-$AN144)&amp;IF($G144-$AN144=1," día"," días")&amp;" de retraso","Cumplida"),IF(N($M144)&gt;=1,"Cumplida",IF(NOT(ISNUMBER($AN144)),"Sin fecha límite",IF($AN144&lt;FechaRef,"Vencida hace "&amp;(FechaRef-$AN144)&amp;IF(FechaRef-$AN144=1," día"," días"),IF($AN144=FechaRef,"Vence hoy",IF($AN144-FechaRef&lt;=DiasAlerta,"Vence en "&amp;($AN144-FechaRef)&amp;IF($AN144-FechaRef=1," día"," días"),"En plazo")))))))</f>
        <v/>
      </c>
      <c r="P144" s="62" t="n"/>
      <c r="Q144" s="58" t="n"/>
      <c r="R144" s="63">
        <f>IF(NOT((COUNTA($B144:$D144)+COUNTA($G144:$L144)+COUNTA($Q144))&gt;0),"",IF((IF($C144="","Falta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",""))="","✔ OK","⚠ "&amp;LEFT(IF($C144="","Falta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",""),LEN(IF($C144="","Falta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",""))-3)))</f>
        <v/>
      </c>
      <c r="S144" s="64">
        <f>IF(NOT((COUNTA($B144:$D144)+COUNTA($G144:$L144)+COUNTA($Q144))&gt;0),"",IF(AND($V144="Sub",N($U144)&gt;0),IF(ISNUMBER(INDEX($AM$5:$AM$1000,$U144-4)),DATE(YEAR(INDEX($AM$5:$AM$1000,$U144-4)),MONTH(INDEX($AM$5:$AM$1000,$U144-4)),1),IF(ISNUMBER(INDEX($AN$5:$AN$1000,$U144-4)),DATE(YEAR(INDEX($AN$5:$AN$1000,$U144-4)),MONTH(INDEX($AN$5:$AN$1000,$U144-4)),1),MesCiclo)),IF(ISNUMBER($AM144),DATE(YEAR($AM144),MONTH($AM144),1),IF(ISNUMBER($AN144),DATE(YEAR($AN144),MONTH($AN144),1),MesCiclo))))</f>
        <v/>
      </c>
      <c r="T144" s="62">
        <f>IF(OR($S144="",$S144&lt;&gt;MesCiclo),"",COUNTIF($S$5:$S144,MesCiclo))</f>
        <v/>
      </c>
      <c r="U144" s="62">
        <f>IF($V144="","",IF($V144="Macro",ROW(),IFERROR(LOOKUP(2,1/($V$5:$V144="Macro"),ROW($V$5:$V144)),0)))</f>
        <v/>
      </c>
      <c r="V144" s="62">
        <f>IF(NOT((COUNTA($B144:$D144)+COUNTA($G144:$L144)+COUNTA($Q144))&gt;0),"",IF($B144="Subactividad","Sub","Macro"))</f>
        <v/>
      </c>
      <c r="W144" s="62">
        <f>IF($V144="Macro",COUNTIFS($U$5:$U$1000,ROW(),$V$5:$V$1000,"Sub"),"")</f>
        <v/>
      </c>
      <c r="X144" s="62">
        <f>IF($V144="","",IF(ISNUMBER($G144),1,IFERROR(LOOKUP(2,1/($I144:$L144&lt;&gt;""),$I144:$L144),0)))</f>
        <v/>
      </c>
      <c r="Y144" s="62">
        <f>IF($V144="","",IF(AND(ISNUMBER($G144),$G144&lt;=IF($S144=MesCiclo,InicioCiclo,$S144+MOD(2-WEEKDAY($S144),7))+6),1,IF(ISNUMBER($I144),$I144,0)))</f>
        <v/>
      </c>
      <c r="Z144" s="62">
        <f>IF($V144="","",IF(AND(ISNUMBER($G144),$G144&lt;=IF($S144=MesCiclo,InicioCiclo,$S144+MOD(2-WEEKDAY($S144),7))+13),1,IF(ISNUMBER($J144),$J144,$Y144)))</f>
        <v/>
      </c>
      <c r="AA144" s="62">
        <f>IF($V144="","",IF(AND(ISNUMBER($G144),$G144&lt;=IF($S144=MesCiclo,InicioCiclo,$S144+MOD(2-WEEKDAY($S144),7))+20),1,IF(ISNUMBER($K144),$K144,$Z144)))</f>
        <v/>
      </c>
      <c r="AB144" s="62">
        <f>IF($V144="","",IF(AND(ISNUMBER($G144),$G144&lt;=IF($S144=MesCiclo,InicioCiclo,$S144+MOD(2-WEEKDAY($S144),7))+27),1,IF(ISNUMBER($L144),$L144,$AA144)))</f>
        <v/>
      </c>
      <c r="AC144" s="62">
        <f>IF($V144="","",IF(AND(ISNUMBER($G144),$G144&lt;=IF($S144=MesCiclo,InicioCiclo,$S144+MOD(2-WEEKDAY($S144),7))+6),1,IF(N($W144)&gt;0,AVERAGEIFS($Y$5:$Y$1000,$U$5:$U$1000,ROW(),$V$5:$V$1000,"Sub"),$Y144)))</f>
        <v/>
      </c>
      <c r="AD144" s="62">
        <f>IF($V144="","",IF(AND(ISNUMBER($G144),$G144&lt;=IF($S144=MesCiclo,InicioCiclo,$S144+MOD(2-WEEKDAY($S144),7))+13),1,IF(N($W144)&gt;0,AVERAGEIFS($Z$5:$Z$1000,$U$5:$U$1000,ROW(),$V$5:$V$1000,"Sub"),$Z144)))</f>
        <v/>
      </c>
      <c r="AE144" s="62">
        <f>IF($V144="","",IF(AND(ISNUMBER($G144),$G144&lt;=IF($S144=MesCiclo,InicioCiclo,$S144+MOD(2-WEEKDAY($S144),7))+20),1,IF(N($W144)&gt;0,AVERAGEIFS($AA$5:$AA$1000,$U$5:$U$1000,ROW(),$V$5:$V$1000,"Sub"),$AA144)))</f>
        <v/>
      </c>
      <c r="AF144" s="62">
        <f>IF($V144="","",IF(AND(ISNUMBER($G144),$G144&lt;=IF($S144=MesCiclo,InicioCiclo,$S144+MOD(2-WEEKDAY($S144),7))+27),1,IF(N($W144)&gt;0,AVERAGEIFS($AB$5:$AB$1000,$U$5:$U$1000,ROW(),$V$5:$V$1000,"Sub"),$AB144)))</f>
        <v/>
      </c>
      <c r="AG144" s="62">
        <f>IF($V144&lt;&gt;"Macro","",IF(COUNTIFS($S$5:$S$1000,$S144,$V$5:$V$1000,"Macro",$H$5:$H$1000,"&gt;0")=0,1/COUNTIFS($S$5:$S$1000,$S144,$V$5:$V$1000,"Macro"),IF(AND(ISNUMBER($H144),N($H144)&gt;0),$H144,SUMIFS($H$5:$H$1000,$S$5:$S$1000,$S144,$V$5:$V$1000,"Macro")/COUNTIFS($S$5:$S$1000,$S144,$V$5:$V$1000,"Macro",$H$5:$H$1000,"&gt;0"))/(COUNTIFS($S$5:$S$1000,$S144,$V$5:$V$1000,"Macro")*SUMIFS($H$5:$H$1000,$S$5:$S$1000,$S144,$V$5:$V$1000,"Macro")/COUNTIFS($S$5:$S$1000,$S144,$V$5:$V$1000,"Macro",$H$5:$H$1000,"&gt;0"))))</f>
        <v/>
      </c>
      <c r="AH144" s="62" t="n"/>
      <c r="AI144" s="62" t="n"/>
      <c r="AJ144" s="62" t="n"/>
      <c r="AK144" s="62" t="n"/>
      <c r="AL144" s="62">
        <f>IF(LEFT($C144,11)="[Jefatura] ",IFERROR(MATCH("Riesgo Operacional|"&amp;MID($C144,12,500),rDname_ADM,0),0),"")</f>
        <v/>
      </c>
      <c r="AM144" s="62">
        <f>IF(N($AL144)&gt;0,INDEX(rIni_ADM,$AL144),IF(ISNUMBER($E144),$E144,""))</f>
        <v/>
      </c>
      <c r="AN144" s="62">
        <f>IF(N($AL144)&gt;0,INDEX(rLim_ADM,$AL144),IF(ISNUMBER($F144),$F144,""))</f>
        <v/>
      </c>
    </row>
    <row r="145">
      <c r="A145" s="56">
        <f>IF(NOT((COUNTA($B145:$D145)+COUNTA($G145:$L145)+COUNTA($Q145))&gt;0),"",IF($V145="Macro",COUNTIFS($V$5:$V145,"Macro",$S$5:$S145,$S145),IF(N($U145)=0,"?",COUNTIFS(INDEX($V$5:$V$1000,1):INDEX($V$5:$V$1000,$U145-4),"Macro",INDEX($S$5:$S$1000,1):INDEX($S$5:$S$1000,$U145-4),INDEX($S$5:$S$1000,$U145-4))&amp;"."&amp;COUNTIFS($U$5:$U145,$U145,$V$5:$V145,"Sub"))))</f>
        <v/>
      </c>
      <c r="B145" s="57" t="n"/>
      <c r="C145" s="58" t="n"/>
      <c r="D145" s="58" t="n"/>
      <c r="E145" s="59">
        <f>IF(N($AL145)&gt;0,INDEX(rIni_ADM,$AL145),"")</f>
        <v/>
      </c>
      <c r="F145" s="59">
        <f>IF(N($AL145)&gt;0,INDEX(rLim_ADM,$AL145),"")</f>
        <v/>
      </c>
      <c r="G145" s="59" t="n"/>
      <c r="H145" s="60" t="n"/>
      <c r="I145" s="60" t="n"/>
      <c r="J145" s="60" t="n"/>
      <c r="K145" s="60" t="n"/>
      <c r="L145" s="60" t="n"/>
      <c r="M145" s="61">
        <f>IF(NOT((COUNTA($B145:$D145)+COUNTA($G145:$L145)+COUNTA($Q145))&gt;0),"",IF(ISNUMBER($G145),1,IF(N($W145)&gt;0,AVERAGEIFS($X$5:$X$1000,$U$5:$U$1000,ROW(),$V$5:$V$1000,"Sub"),$X145)))</f>
        <v/>
      </c>
      <c r="N145" s="56">
        <f>IF($M145="","",IF($M145&gt;=1,"Completado",IF($M145&gt;0,"En curso","Pendiente")))</f>
        <v/>
      </c>
      <c r="O145" s="56">
        <f>IF(NOT((COUNTA($B145:$D145)+COUNTA($G145:$L145)+COUNTA($Q145))&gt;0),"",IF(ISNUMBER($G145),IF(AND(ISNUMBER($AN145),$G145&gt;$AN145),"Cumplida con "&amp;($G145-$AN145)&amp;IF($G145-$AN145=1," día"," días")&amp;" de retraso","Cumplida"),IF(N($M145)&gt;=1,"Cumplida",IF(NOT(ISNUMBER($AN145)),"Sin fecha límite",IF($AN145&lt;FechaRef,"Vencida hace "&amp;(FechaRef-$AN145)&amp;IF(FechaRef-$AN145=1," día"," días"),IF($AN145=FechaRef,"Vence hoy",IF($AN145-FechaRef&lt;=DiasAlerta,"Vence en "&amp;($AN145-FechaRef)&amp;IF($AN145-FechaRef=1," día"," días"),"En plazo")))))))</f>
        <v/>
      </c>
      <c r="P145" s="62" t="n"/>
      <c r="Q145" s="58" t="n"/>
      <c r="R145" s="63">
        <f>IF(NOT((COUNTA($B145:$D145)+COUNTA($G145:$L145)+COUNTA($Q145))&gt;0),"",IF((IF($C145="","Falta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",""))="","✔ OK","⚠ "&amp;LEFT(IF($C145="","Falta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",""),LEN(IF($C145="","Falta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",""))-3)))</f>
        <v/>
      </c>
      <c r="S145" s="64">
        <f>IF(NOT((COUNTA($B145:$D145)+COUNTA($G145:$L145)+COUNTA($Q145))&gt;0),"",IF(AND($V145="Sub",N($U145)&gt;0),IF(ISNUMBER(INDEX($AM$5:$AM$1000,$U145-4)),DATE(YEAR(INDEX($AM$5:$AM$1000,$U145-4)),MONTH(INDEX($AM$5:$AM$1000,$U145-4)),1),IF(ISNUMBER(INDEX($AN$5:$AN$1000,$U145-4)),DATE(YEAR(INDEX($AN$5:$AN$1000,$U145-4)),MONTH(INDEX($AN$5:$AN$1000,$U145-4)),1),MesCiclo)),IF(ISNUMBER($AM145),DATE(YEAR($AM145),MONTH($AM145),1),IF(ISNUMBER($AN145),DATE(YEAR($AN145),MONTH($AN145),1),MesCiclo))))</f>
        <v/>
      </c>
      <c r="T145" s="62">
        <f>IF(OR($S145="",$S145&lt;&gt;MesCiclo),"",COUNTIF($S$5:$S145,MesCiclo))</f>
        <v/>
      </c>
      <c r="U145" s="62">
        <f>IF($V145="","",IF($V145="Macro",ROW(),IFERROR(LOOKUP(2,1/($V$5:$V145="Macro"),ROW($V$5:$V145)),0)))</f>
        <v/>
      </c>
      <c r="V145" s="62">
        <f>IF(NOT((COUNTA($B145:$D145)+COUNTA($G145:$L145)+COUNTA($Q145))&gt;0),"",IF($B145="Subactividad","Sub","Macro"))</f>
        <v/>
      </c>
      <c r="W145" s="62">
        <f>IF($V145="Macro",COUNTIFS($U$5:$U$1000,ROW(),$V$5:$V$1000,"Sub"),"")</f>
        <v/>
      </c>
      <c r="X145" s="62">
        <f>IF($V145="","",IF(ISNUMBER($G145),1,IFERROR(LOOKUP(2,1/($I145:$L145&lt;&gt;""),$I145:$L145),0)))</f>
        <v/>
      </c>
      <c r="Y145" s="62">
        <f>IF($V145="","",IF(AND(ISNUMBER($G145),$G145&lt;=IF($S145=MesCiclo,InicioCiclo,$S145+MOD(2-WEEKDAY($S145),7))+6),1,IF(ISNUMBER($I145),$I145,0)))</f>
        <v/>
      </c>
      <c r="Z145" s="62">
        <f>IF($V145="","",IF(AND(ISNUMBER($G145),$G145&lt;=IF($S145=MesCiclo,InicioCiclo,$S145+MOD(2-WEEKDAY($S145),7))+13),1,IF(ISNUMBER($J145),$J145,$Y145)))</f>
        <v/>
      </c>
      <c r="AA145" s="62">
        <f>IF($V145="","",IF(AND(ISNUMBER($G145),$G145&lt;=IF($S145=MesCiclo,InicioCiclo,$S145+MOD(2-WEEKDAY($S145),7))+20),1,IF(ISNUMBER($K145),$K145,$Z145)))</f>
        <v/>
      </c>
      <c r="AB145" s="62">
        <f>IF($V145="","",IF(AND(ISNUMBER($G145),$G145&lt;=IF($S145=MesCiclo,InicioCiclo,$S145+MOD(2-WEEKDAY($S145),7))+27),1,IF(ISNUMBER($L145),$L145,$AA145)))</f>
        <v/>
      </c>
      <c r="AC145" s="62">
        <f>IF($V145="","",IF(AND(ISNUMBER($G145),$G145&lt;=IF($S145=MesCiclo,InicioCiclo,$S145+MOD(2-WEEKDAY($S145),7))+6),1,IF(N($W145)&gt;0,AVERAGEIFS($Y$5:$Y$1000,$U$5:$U$1000,ROW(),$V$5:$V$1000,"Sub"),$Y145)))</f>
        <v/>
      </c>
      <c r="AD145" s="62">
        <f>IF($V145="","",IF(AND(ISNUMBER($G145),$G145&lt;=IF($S145=MesCiclo,InicioCiclo,$S145+MOD(2-WEEKDAY($S145),7))+13),1,IF(N($W145)&gt;0,AVERAGEIFS($Z$5:$Z$1000,$U$5:$U$1000,ROW(),$V$5:$V$1000,"Sub"),$Z145)))</f>
        <v/>
      </c>
      <c r="AE145" s="62">
        <f>IF($V145="","",IF(AND(ISNUMBER($G145),$G145&lt;=IF($S145=MesCiclo,InicioCiclo,$S145+MOD(2-WEEKDAY($S145),7))+20),1,IF(N($W145)&gt;0,AVERAGEIFS($AA$5:$AA$1000,$U$5:$U$1000,ROW(),$V$5:$V$1000,"Sub"),$AA145)))</f>
        <v/>
      </c>
      <c r="AF145" s="62">
        <f>IF($V145="","",IF(AND(ISNUMBER($G145),$G145&lt;=IF($S145=MesCiclo,InicioCiclo,$S145+MOD(2-WEEKDAY($S145),7))+27),1,IF(N($W145)&gt;0,AVERAGEIFS($AB$5:$AB$1000,$U$5:$U$1000,ROW(),$V$5:$V$1000,"Sub"),$AB145)))</f>
        <v/>
      </c>
      <c r="AG145" s="62">
        <f>IF($V145&lt;&gt;"Macro","",IF(COUNTIFS($S$5:$S$1000,$S145,$V$5:$V$1000,"Macro",$H$5:$H$1000,"&gt;0")=0,1/COUNTIFS($S$5:$S$1000,$S145,$V$5:$V$1000,"Macro"),IF(AND(ISNUMBER($H145),N($H145)&gt;0),$H145,SUMIFS($H$5:$H$1000,$S$5:$S$1000,$S145,$V$5:$V$1000,"Macro")/COUNTIFS($S$5:$S$1000,$S145,$V$5:$V$1000,"Macro",$H$5:$H$1000,"&gt;0"))/(COUNTIFS($S$5:$S$1000,$S145,$V$5:$V$1000,"Macro")*SUMIFS($H$5:$H$1000,$S$5:$S$1000,$S145,$V$5:$V$1000,"Macro")/COUNTIFS($S$5:$S$1000,$S145,$V$5:$V$1000,"Macro",$H$5:$H$1000,"&gt;0"))))</f>
        <v/>
      </c>
      <c r="AH145" s="62" t="n"/>
      <c r="AI145" s="62" t="n"/>
      <c r="AJ145" s="62" t="n"/>
      <c r="AK145" s="62" t="n"/>
      <c r="AL145" s="62">
        <f>IF(LEFT($C145,11)="[Jefatura] ",IFERROR(MATCH("Riesgo Operacional|"&amp;MID($C145,12,500),rDname_ADM,0),0),"")</f>
        <v/>
      </c>
      <c r="AM145" s="62">
        <f>IF(N($AL145)&gt;0,INDEX(rIni_ADM,$AL145),IF(ISNUMBER($E145),$E145,""))</f>
        <v/>
      </c>
      <c r="AN145" s="62">
        <f>IF(N($AL145)&gt;0,INDEX(rLim_ADM,$AL145),IF(ISNUMBER($F145),$F145,""))</f>
        <v/>
      </c>
    </row>
    <row r="146">
      <c r="A146" s="56">
        <f>IF(NOT((COUNTA($B146:$D146)+COUNTA($G146:$L146)+COUNTA($Q146))&gt;0),"",IF($V146="Macro",COUNTIFS($V$5:$V146,"Macro",$S$5:$S146,$S146),IF(N($U146)=0,"?",COUNTIFS(INDEX($V$5:$V$1000,1):INDEX($V$5:$V$1000,$U146-4),"Macro",INDEX($S$5:$S$1000,1):INDEX($S$5:$S$1000,$U146-4),INDEX($S$5:$S$1000,$U146-4))&amp;"."&amp;COUNTIFS($U$5:$U146,$U146,$V$5:$V146,"Sub"))))</f>
        <v/>
      </c>
      <c r="B146" s="57" t="n"/>
      <c r="C146" s="58" t="n"/>
      <c r="D146" s="58" t="n"/>
      <c r="E146" s="59">
        <f>IF(N($AL146)&gt;0,INDEX(rIni_ADM,$AL146),"")</f>
        <v/>
      </c>
      <c r="F146" s="59">
        <f>IF(N($AL146)&gt;0,INDEX(rLim_ADM,$AL146),"")</f>
        <v/>
      </c>
      <c r="G146" s="59" t="n"/>
      <c r="H146" s="60" t="n"/>
      <c r="I146" s="60" t="n"/>
      <c r="J146" s="60" t="n"/>
      <c r="K146" s="60" t="n"/>
      <c r="L146" s="60" t="n"/>
      <c r="M146" s="61">
        <f>IF(NOT((COUNTA($B146:$D146)+COUNTA($G146:$L146)+COUNTA($Q146))&gt;0),"",IF(ISNUMBER($G146),1,IF(N($W146)&gt;0,AVERAGEIFS($X$5:$X$1000,$U$5:$U$1000,ROW(),$V$5:$V$1000,"Sub"),$X146)))</f>
        <v/>
      </c>
      <c r="N146" s="56">
        <f>IF($M146="","",IF($M146&gt;=1,"Completado",IF($M146&gt;0,"En curso","Pendiente")))</f>
        <v/>
      </c>
      <c r="O146" s="56">
        <f>IF(NOT((COUNTA($B146:$D146)+COUNTA($G146:$L146)+COUNTA($Q146))&gt;0),"",IF(ISNUMBER($G146),IF(AND(ISNUMBER($AN146),$G146&gt;$AN146),"Cumplida con "&amp;($G146-$AN146)&amp;IF($G146-$AN146=1," día"," días")&amp;" de retraso","Cumplida"),IF(N($M146)&gt;=1,"Cumplida",IF(NOT(ISNUMBER($AN146)),"Sin fecha límite",IF($AN146&lt;FechaRef,"Vencida hace "&amp;(FechaRef-$AN146)&amp;IF(FechaRef-$AN146=1," día"," días"),IF($AN146=FechaRef,"Vence hoy",IF($AN146-FechaRef&lt;=DiasAlerta,"Vence en "&amp;($AN146-FechaRef)&amp;IF($AN146-FechaRef=1," día"," días"),"En plazo")))))))</f>
        <v/>
      </c>
      <c r="P146" s="62" t="n"/>
      <c r="Q146" s="58" t="n"/>
      <c r="R146" s="63">
        <f>IF(NOT((COUNTA($B146:$D146)+COUNTA($G146:$L146)+COUNTA($Q146))&gt;0),"",IF((IF($C146="","Falta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",""))="","✔ OK","⚠ "&amp;LEFT(IF($C146="","Falta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",""),LEN(IF($C146="","Falta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",""))-3)))</f>
        <v/>
      </c>
      <c r="S146" s="64">
        <f>IF(NOT((COUNTA($B146:$D146)+COUNTA($G146:$L146)+COUNTA($Q146))&gt;0),"",IF(AND($V146="Sub",N($U146)&gt;0),IF(ISNUMBER(INDEX($AM$5:$AM$1000,$U146-4)),DATE(YEAR(INDEX($AM$5:$AM$1000,$U146-4)),MONTH(INDEX($AM$5:$AM$1000,$U146-4)),1),IF(ISNUMBER(INDEX($AN$5:$AN$1000,$U146-4)),DATE(YEAR(INDEX($AN$5:$AN$1000,$U146-4)),MONTH(INDEX($AN$5:$AN$1000,$U146-4)),1),MesCiclo)),IF(ISNUMBER($AM146),DATE(YEAR($AM146),MONTH($AM146),1),IF(ISNUMBER($AN146),DATE(YEAR($AN146),MONTH($AN146),1),MesCiclo))))</f>
        <v/>
      </c>
      <c r="T146" s="62">
        <f>IF(OR($S146="",$S146&lt;&gt;MesCiclo),"",COUNTIF($S$5:$S146,MesCiclo))</f>
        <v/>
      </c>
      <c r="U146" s="62">
        <f>IF($V146="","",IF($V146="Macro",ROW(),IFERROR(LOOKUP(2,1/($V$5:$V146="Macro"),ROW($V$5:$V146)),0)))</f>
        <v/>
      </c>
      <c r="V146" s="62">
        <f>IF(NOT((COUNTA($B146:$D146)+COUNTA($G146:$L146)+COUNTA($Q146))&gt;0),"",IF($B146="Subactividad","Sub","Macro"))</f>
        <v/>
      </c>
      <c r="W146" s="62">
        <f>IF($V146="Macro",COUNTIFS($U$5:$U$1000,ROW(),$V$5:$V$1000,"Sub"),"")</f>
        <v/>
      </c>
      <c r="X146" s="62">
        <f>IF($V146="","",IF(ISNUMBER($G146),1,IFERROR(LOOKUP(2,1/($I146:$L146&lt;&gt;""),$I146:$L146),0)))</f>
        <v/>
      </c>
      <c r="Y146" s="62">
        <f>IF($V146="","",IF(AND(ISNUMBER($G146),$G146&lt;=IF($S146=MesCiclo,InicioCiclo,$S146+MOD(2-WEEKDAY($S146),7))+6),1,IF(ISNUMBER($I146),$I146,0)))</f>
        <v/>
      </c>
      <c r="Z146" s="62">
        <f>IF($V146="","",IF(AND(ISNUMBER($G146),$G146&lt;=IF($S146=MesCiclo,InicioCiclo,$S146+MOD(2-WEEKDAY($S146),7))+13),1,IF(ISNUMBER($J146),$J146,$Y146)))</f>
        <v/>
      </c>
      <c r="AA146" s="62">
        <f>IF($V146="","",IF(AND(ISNUMBER($G146),$G146&lt;=IF($S146=MesCiclo,InicioCiclo,$S146+MOD(2-WEEKDAY($S146),7))+20),1,IF(ISNUMBER($K146),$K146,$Z146)))</f>
        <v/>
      </c>
      <c r="AB146" s="62">
        <f>IF($V146="","",IF(AND(ISNUMBER($G146),$G146&lt;=IF($S146=MesCiclo,InicioCiclo,$S146+MOD(2-WEEKDAY($S146),7))+27),1,IF(ISNUMBER($L146),$L146,$AA146)))</f>
        <v/>
      </c>
      <c r="AC146" s="62">
        <f>IF($V146="","",IF(AND(ISNUMBER($G146),$G146&lt;=IF($S146=MesCiclo,InicioCiclo,$S146+MOD(2-WEEKDAY($S146),7))+6),1,IF(N($W146)&gt;0,AVERAGEIFS($Y$5:$Y$1000,$U$5:$U$1000,ROW(),$V$5:$V$1000,"Sub"),$Y146)))</f>
        <v/>
      </c>
      <c r="AD146" s="62">
        <f>IF($V146="","",IF(AND(ISNUMBER($G146),$G146&lt;=IF($S146=MesCiclo,InicioCiclo,$S146+MOD(2-WEEKDAY($S146),7))+13),1,IF(N($W146)&gt;0,AVERAGEIFS($Z$5:$Z$1000,$U$5:$U$1000,ROW(),$V$5:$V$1000,"Sub"),$Z146)))</f>
        <v/>
      </c>
      <c r="AE146" s="62">
        <f>IF($V146="","",IF(AND(ISNUMBER($G146),$G146&lt;=IF($S146=MesCiclo,InicioCiclo,$S146+MOD(2-WEEKDAY($S146),7))+20),1,IF(N($W146)&gt;0,AVERAGEIFS($AA$5:$AA$1000,$U$5:$U$1000,ROW(),$V$5:$V$1000,"Sub"),$AA146)))</f>
        <v/>
      </c>
      <c r="AF146" s="62">
        <f>IF($V146="","",IF(AND(ISNUMBER($G146),$G146&lt;=IF($S146=MesCiclo,InicioCiclo,$S146+MOD(2-WEEKDAY($S146),7))+27),1,IF(N($W146)&gt;0,AVERAGEIFS($AB$5:$AB$1000,$U$5:$U$1000,ROW(),$V$5:$V$1000,"Sub"),$AB146)))</f>
        <v/>
      </c>
      <c r="AG146" s="62">
        <f>IF($V146&lt;&gt;"Macro","",IF(COUNTIFS($S$5:$S$1000,$S146,$V$5:$V$1000,"Macro",$H$5:$H$1000,"&gt;0")=0,1/COUNTIFS($S$5:$S$1000,$S146,$V$5:$V$1000,"Macro"),IF(AND(ISNUMBER($H146),N($H146)&gt;0),$H146,SUMIFS($H$5:$H$1000,$S$5:$S$1000,$S146,$V$5:$V$1000,"Macro")/COUNTIFS($S$5:$S$1000,$S146,$V$5:$V$1000,"Macro",$H$5:$H$1000,"&gt;0"))/(COUNTIFS($S$5:$S$1000,$S146,$V$5:$V$1000,"Macro")*SUMIFS($H$5:$H$1000,$S$5:$S$1000,$S146,$V$5:$V$1000,"Macro")/COUNTIFS($S$5:$S$1000,$S146,$V$5:$V$1000,"Macro",$H$5:$H$1000,"&gt;0"))))</f>
        <v/>
      </c>
      <c r="AH146" s="62" t="n"/>
      <c r="AI146" s="62" t="n"/>
      <c r="AJ146" s="62" t="n"/>
      <c r="AK146" s="62" t="n"/>
      <c r="AL146" s="62">
        <f>IF(LEFT($C146,11)="[Jefatura] ",IFERROR(MATCH("Riesgo Operacional|"&amp;MID($C146,12,500),rDname_ADM,0),0),"")</f>
        <v/>
      </c>
      <c r="AM146" s="62">
        <f>IF(N($AL146)&gt;0,INDEX(rIni_ADM,$AL146),IF(ISNUMBER($E146),$E146,""))</f>
        <v/>
      </c>
      <c r="AN146" s="62">
        <f>IF(N($AL146)&gt;0,INDEX(rLim_ADM,$AL146),IF(ISNUMBER($F146),$F146,""))</f>
        <v/>
      </c>
    </row>
    <row r="147">
      <c r="A147" s="56">
        <f>IF(NOT((COUNTA($B147:$D147)+COUNTA($G147:$L147)+COUNTA($Q147))&gt;0),"",IF($V147="Macro",COUNTIFS($V$5:$V147,"Macro",$S$5:$S147,$S147),IF(N($U147)=0,"?",COUNTIFS(INDEX($V$5:$V$1000,1):INDEX($V$5:$V$1000,$U147-4),"Macro",INDEX($S$5:$S$1000,1):INDEX($S$5:$S$1000,$U147-4),INDEX($S$5:$S$1000,$U147-4))&amp;"."&amp;COUNTIFS($U$5:$U147,$U147,$V$5:$V147,"Sub"))))</f>
        <v/>
      </c>
      <c r="B147" s="57" t="n"/>
      <c r="C147" s="58" t="n"/>
      <c r="D147" s="58" t="n"/>
      <c r="E147" s="59">
        <f>IF(N($AL147)&gt;0,INDEX(rIni_ADM,$AL147),"")</f>
        <v/>
      </c>
      <c r="F147" s="59">
        <f>IF(N($AL147)&gt;0,INDEX(rLim_ADM,$AL147),"")</f>
        <v/>
      </c>
      <c r="G147" s="59" t="n"/>
      <c r="H147" s="60" t="n"/>
      <c r="I147" s="60" t="n"/>
      <c r="J147" s="60" t="n"/>
      <c r="K147" s="60" t="n"/>
      <c r="L147" s="60" t="n"/>
      <c r="M147" s="61">
        <f>IF(NOT((COUNTA($B147:$D147)+COUNTA($G147:$L147)+COUNTA($Q147))&gt;0),"",IF(ISNUMBER($G147),1,IF(N($W147)&gt;0,AVERAGEIFS($X$5:$X$1000,$U$5:$U$1000,ROW(),$V$5:$V$1000,"Sub"),$X147)))</f>
        <v/>
      </c>
      <c r="N147" s="56">
        <f>IF($M147="","",IF($M147&gt;=1,"Completado",IF($M147&gt;0,"En curso","Pendiente")))</f>
        <v/>
      </c>
      <c r="O147" s="56">
        <f>IF(NOT((COUNTA($B147:$D147)+COUNTA($G147:$L147)+COUNTA($Q147))&gt;0),"",IF(ISNUMBER($G147),IF(AND(ISNUMBER($AN147),$G147&gt;$AN147),"Cumplida con "&amp;($G147-$AN147)&amp;IF($G147-$AN147=1," día"," días")&amp;" de retraso","Cumplida"),IF(N($M147)&gt;=1,"Cumplida",IF(NOT(ISNUMBER($AN147)),"Sin fecha límite",IF($AN147&lt;FechaRef,"Vencida hace "&amp;(FechaRef-$AN147)&amp;IF(FechaRef-$AN147=1," día"," días"),IF($AN147=FechaRef,"Vence hoy",IF($AN147-FechaRef&lt;=DiasAlerta,"Vence en "&amp;($AN147-FechaRef)&amp;IF($AN147-FechaRef=1," día"," días"),"En plazo")))))))</f>
        <v/>
      </c>
      <c r="P147" s="62" t="n"/>
      <c r="Q147" s="58" t="n"/>
      <c r="R147" s="63">
        <f>IF(NOT((COUNTA($B147:$D147)+COUNTA($G147:$L147)+COUNTA($Q147))&gt;0),"",IF((IF($C147="","Falta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",""))="","✔ OK","⚠ "&amp;LEFT(IF($C147="","Falta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",""),LEN(IF($C147="","Falta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",""))-3)))</f>
        <v/>
      </c>
      <c r="S147" s="64">
        <f>IF(NOT((COUNTA($B147:$D147)+COUNTA($G147:$L147)+COUNTA($Q147))&gt;0),"",IF(AND($V147="Sub",N($U147)&gt;0),IF(ISNUMBER(INDEX($AM$5:$AM$1000,$U147-4)),DATE(YEAR(INDEX($AM$5:$AM$1000,$U147-4)),MONTH(INDEX($AM$5:$AM$1000,$U147-4)),1),IF(ISNUMBER(INDEX($AN$5:$AN$1000,$U147-4)),DATE(YEAR(INDEX($AN$5:$AN$1000,$U147-4)),MONTH(INDEX($AN$5:$AN$1000,$U147-4)),1),MesCiclo)),IF(ISNUMBER($AM147),DATE(YEAR($AM147),MONTH($AM147),1),IF(ISNUMBER($AN147),DATE(YEAR($AN147),MONTH($AN147),1),MesCiclo))))</f>
        <v/>
      </c>
      <c r="T147" s="62">
        <f>IF(OR($S147="",$S147&lt;&gt;MesCiclo),"",COUNTIF($S$5:$S147,MesCiclo))</f>
        <v/>
      </c>
      <c r="U147" s="62">
        <f>IF($V147="","",IF($V147="Macro",ROW(),IFERROR(LOOKUP(2,1/($V$5:$V147="Macro"),ROW($V$5:$V147)),0)))</f>
        <v/>
      </c>
      <c r="V147" s="62">
        <f>IF(NOT((COUNTA($B147:$D147)+COUNTA($G147:$L147)+COUNTA($Q147))&gt;0),"",IF($B147="Subactividad","Sub","Macro"))</f>
        <v/>
      </c>
      <c r="W147" s="62">
        <f>IF($V147="Macro",COUNTIFS($U$5:$U$1000,ROW(),$V$5:$V$1000,"Sub"),"")</f>
        <v/>
      </c>
      <c r="X147" s="62">
        <f>IF($V147="","",IF(ISNUMBER($G147),1,IFERROR(LOOKUP(2,1/($I147:$L147&lt;&gt;""),$I147:$L147),0)))</f>
        <v/>
      </c>
      <c r="Y147" s="62">
        <f>IF($V147="","",IF(AND(ISNUMBER($G147),$G147&lt;=IF($S147=MesCiclo,InicioCiclo,$S147+MOD(2-WEEKDAY($S147),7))+6),1,IF(ISNUMBER($I147),$I147,0)))</f>
        <v/>
      </c>
      <c r="Z147" s="62">
        <f>IF($V147="","",IF(AND(ISNUMBER($G147),$G147&lt;=IF($S147=MesCiclo,InicioCiclo,$S147+MOD(2-WEEKDAY($S147),7))+13),1,IF(ISNUMBER($J147),$J147,$Y147)))</f>
        <v/>
      </c>
      <c r="AA147" s="62">
        <f>IF($V147="","",IF(AND(ISNUMBER($G147),$G147&lt;=IF($S147=MesCiclo,InicioCiclo,$S147+MOD(2-WEEKDAY($S147),7))+20),1,IF(ISNUMBER($K147),$K147,$Z147)))</f>
        <v/>
      </c>
      <c r="AB147" s="62">
        <f>IF($V147="","",IF(AND(ISNUMBER($G147),$G147&lt;=IF($S147=MesCiclo,InicioCiclo,$S147+MOD(2-WEEKDAY($S147),7))+27),1,IF(ISNUMBER($L147),$L147,$AA147)))</f>
        <v/>
      </c>
      <c r="AC147" s="62">
        <f>IF($V147="","",IF(AND(ISNUMBER($G147),$G147&lt;=IF($S147=MesCiclo,InicioCiclo,$S147+MOD(2-WEEKDAY($S147),7))+6),1,IF(N($W147)&gt;0,AVERAGEIFS($Y$5:$Y$1000,$U$5:$U$1000,ROW(),$V$5:$V$1000,"Sub"),$Y147)))</f>
        <v/>
      </c>
      <c r="AD147" s="62">
        <f>IF($V147="","",IF(AND(ISNUMBER($G147),$G147&lt;=IF($S147=MesCiclo,InicioCiclo,$S147+MOD(2-WEEKDAY($S147),7))+13),1,IF(N($W147)&gt;0,AVERAGEIFS($Z$5:$Z$1000,$U$5:$U$1000,ROW(),$V$5:$V$1000,"Sub"),$Z147)))</f>
        <v/>
      </c>
      <c r="AE147" s="62">
        <f>IF($V147="","",IF(AND(ISNUMBER($G147),$G147&lt;=IF($S147=MesCiclo,InicioCiclo,$S147+MOD(2-WEEKDAY($S147),7))+20),1,IF(N($W147)&gt;0,AVERAGEIFS($AA$5:$AA$1000,$U$5:$U$1000,ROW(),$V$5:$V$1000,"Sub"),$AA147)))</f>
        <v/>
      </c>
      <c r="AF147" s="62">
        <f>IF($V147="","",IF(AND(ISNUMBER($G147),$G147&lt;=IF($S147=MesCiclo,InicioCiclo,$S147+MOD(2-WEEKDAY($S147),7))+27),1,IF(N($W147)&gt;0,AVERAGEIFS($AB$5:$AB$1000,$U$5:$U$1000,ROW(),$V$5:$V$1000,"Sub"),$AB147)))</f>
        <v/>
      </c>
      <c r="AG147" s="62">
        <f>IF($V147&lt;&gt;"Macro","",IF(COUNTIFS($S$5:$S$1000,$S147,$V$5:$V$1000,"Macro",$H$5:$H$1000,"&gt;0")=0,1/COUNTIFS($S$5:$S$1000,$S147,$V$5:$V$1000,"Macro"),IF(AND(ISNUMBER($H147),N($H147)&gt;0),$H147,SUMIFS($H$5:$H$1000,$S$5:$S$1000,$S147,$V$5:$V$1000,"Macro")/COUNTIFS($S$5:$S$1000,$S147,$V$5:$V$1000,"Macro",$H$5:$H$1000,"&gt;0"))/(COUNTIFS($S$5:$S$1000,$S147,$V$5:$V$1000,"Macro")*SUMIFS($H$5:$H$1000,$S$5:$S$1000,$S147,$V$5:$V$1000,"Macro")/COUNTIFS($S$5:$S$1000,$S147,$V$5:$V$1000,"Macro",$H$5:$H$1000,"&gt;0"))))</f>
        <v/>
      </c>
      <c r="AH147" s="62" t="n"/>
      <c r="AI147" s="62" t="n"/>
      <c r="AJ147" s="62" t="n"/>
      <c r="AK147" s="62" t="n"/>
      <c r="AL147" s="62">
        <f>IF(LEFT($C147,11)="[Jefatura] ",IFERROR(MATCH("Riesgo Operacional|"&amp;MID($C147,12,500),rDname_ADM,0),0),"")</f>
        <v/>
      </c>
      <c r="AM147" s="62">
        <f>IF(N($AL147)&gt;0,INDEX(rIni_ADM,$AL147),IF(ISNUMBER($E147),$E147,""))</f>
        <v/>
      </c>
      <c r="AN147" s="62">
        <f>IF(N($AL147)&gt;0,INDEX(rLim_ADM,$AL147),IF(ISNUMBER($F147),$F147,""))</f>
        <v/>
      </c>
    </row>
    <row r="148">
      <c r="A148" s="56">
        <f>IF(NOT((COUNTA($B148:$D148)+COUNTA($G148:$L148)+COUNTA($Q148))&gt;0),"",IF($V148="Macro",COUNTIFS($V$5:$V148,"Macro",$S$5:$S148,$S148),IF(N($U148)=0,"?",COUNTIFS(INDEX($V$5:$V$1000,1):INDEX($V$5:$V$1000,$U148-4),"Macro",INDEX($S$5:$S$1000,1):INDEX($S$5:$S$1000,$U148-4),INDEX($S$5:$S$1000,$U148-4))&amp;"."&amp;COUNTIFS($U$5:$U148,$U148,$V$5:$V148,"Sub"))))</f>
        <v/>
      </c>
      <c r="B148" s="57" t="n"/>
      <c r="C148" s="58" t="n"/>
      <c r="D148" s="58" t="n"/>
      <c r="E148" s="59">
        <f>IF(N($AL148)&gt;0,INDEX(rIni_ADM,$AL148),"")</f>
        <v/>
      </c>
      <c r="F148" s="59">
        <f>IF(N($AL148)&gt;0,INDEX(rLim_ADM,$AL148),"")</f>
        <v/>
      </c>
      <c r="G148" s="59" t="n"/>
      <c r="H148" s="60" t="n"/>
      <c r="I148" s="60" t="n"/>
      <c r="J148" s="60" t="n"/>
      <c r="K148" s="60" t="n"/>
      <c r="L148" s="60" t="n"/>
      <c r="M148" s="61">
        <f>IF(NOT((COUNTA($B148:$D148)+COUNTA($G148:$L148)+COUNTA($Q148))&gt;0),"",IF(ISNUMBER($G148),1,IF(N($W148)&gt;0,AVERAGEIFS($X$5:$X$1000,$U$5:$U$1000,ROW(),$V$5:$V$1000,"Sub"),$X148)))</f>
        <v/>
      </c>
      <c r="N148" s="56">
        <f>IF($M148="","",IF($M148&gt;=1,"Completado",IF($M148&gt;0,"En curso","Pendiente")))</f>
        <v/>
      </c>
      <c r="O148" s="56">
        <f>IF(NOT((COUNTA($B148:$D148)+COUNTA($G148:$L148)+COUNTA($Q148))&gt;0),"",IF(ISNUMBER($G148),IF(AND(ISNUMBER($AN148),$G148&gt;$AN148),"Cumplida con "&amp;($G148-$AN148)&amp;IF($G148-$AN148=1," día"," días")&amp;" de retraso","Cumplida"),IF(N($M148)&gt;=1,"Cumplida",IF(NOT(ISNUMBER($AN148)),"Sin fecha límite",IF($AN148&lt;FechaRef,"Vencida hace "&amp;(FechaRef-$AN148)&amp;IF(FechaRef-$AN148=1," día"," días"),IF($AN148=FechaRef,"Vence hoy",IF($AN148-FechaRef&lt;=DiasAlerta,"Vence en "&amp;($AN148-FechaRef)&amp;IF($AN148-FechaRef=1," día"," días"),"En plazo")))))))</f>
        <v/>
      </c>
      <c r="P148" s="62" t="n"/>
      <c r="Q148" s="58" t="n"/>
      <c r="R148" s="63">
        <f>IF(NOT((COUNTA($B148:$D148)+COUNTA($G148:$L148)+COUNTA($Q148))&gt;0),"",IF((IF($C148="","Falta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",""))="","✔ OK","⚠ "&amp;LEFT(IF($C148="","Falta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",""),LEN(IF($C148="","Falta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",""))-3)))</f>
        <v/>
      </c>
      <c r="S148" s="64">
        <f>IF(NOT((COUNTA($B148:$D148)+COUNTA($G148:$L148)+COUNTA($Q148))&gt;0),"",IF(AND($V148="Sub",N($U148)&gt;0),IF(ISNUMBER(INDEX($AM$5:$AM$1000,$U148-4)),DATE(YEAR(INDEX($AM$5:$AM$1000,$U148-4)),MONTH(INDEX($AM$5:$AM$1000,$U148-4)),1),IF(ISNUMBER(INDEX($AN$5:$AN$1000,$U148-4)),DATE(YEAR(INDEX($AN$5:$AN$1000,$U148-4)),MONTH(INDEX($AN$5:$AN$1000,$U148-4)),1),MesCiclo)),IF(ISNUMBER($AM148),DATE(YEAR($AM148),MONTH($AM148),1),IF(ISNUMBER($AN148),DATE(YEAR($AN148),MONTH($AN148),1),MesCiclo))))</f>
        <v/>
      </c>
      <c r="T148" s="62">
        <f>IF(OR($S148="",$S148&lt;&gt;MesCiclo),"",COUNTIF($S$5:$S148,MesCiclo))</f>
        <v/>
      </c>
      <c r="U148" s="62">
        <f>IF($V148="","",IF($V148="Macro",ROW(),IFERROR(LOOKUP(2,1/($V$5:$V148="Macro"),ROW($V$5:$V148)),0)))</f>
        <v/>
      </c>
      <c r="V148" s="62">
        <f>IF(NOT((COUNTA($B148:$D148)+COUNTA($G148:$L148)+COUNTA($Q148))&gt;0),"",IF($B148="Subactividad","Sub","Macro"))</f>
        <v/>
      </c>
      <c r="W148" s="62">
        <f>IF($V148="Macro",COUNTIFS($U$5:$U$1000,ROW(),$V$5:$V$1000,"Sub"),"")</f>
        <v/>
      </c>
      <c r="X148" s="62">
        <f>IF($V148="","",IF(ISNUMBER($G148),1,IFERROR(LOOKUP(2,1/($I148:$L148&lt;&gt;""),$I148:$L148),0)))</f>
        <v/>
      </c>
      <c r="Y148" s="62">
        <f>IF($V148="","",IF(AND(ISNUMBER($G148),$G148&lt;=IF($S148=MesCiclo,InicioCiclo,$S148+MOD(2-WEEKDAY($S148),7))+6),1,IF(ISNUMBER($I148),$I148,0)))</f>
        <v/>
      </c>
      <c r="Z148" s="62">
        <f>IF($V148="","",IF(AND(ISNUMBER($G148),$G148&lt;=IF($S148=MesCiclo,InicioCiclo,$S148+MOD(2-WEEKDAY($S148),7))+13),1,IF(ISNUMBER($J148),$J148,$Y148)))</f>
        <v/>
      </c>
      <c r="AA148" s="62">
        <f>IF($V148="","",IF(AND(ISNUMBER($G148),$G148&lt;=IF($S148=MesCiclo,InicioCiclo,$S148+MOD(2-WEEKDAY($S148),7))+20),1,IF(ISNUMBER($K148),$K148,$Z148)))</f>
        <v/>
      </c>
      <c r="AB148" s="62">
        <f>IF($V148="","",IF(AND(ISNUMBER($G148),$G148&lt;=IF($S148=MesCiclo,InicioCiclo,$S148+MOD(2-WEEKDAY($S148),7))+27),1,IF(ISNUMBER($L148),$L148,$AA148)))</f>
        <v/>
      </c>
      <c r="AC148" s="62">
        <f>IF($V148="","",IF(AND(ISNUMBER($G148),$G148&lt;=IF($S148=MesCiclo,InicioCiclo,$S148+MOD(2-WEEKDAY($S148),7))+6),1,IF(N($W148)&gt;0,AVERAGEIFS($Y$5:$Y$1000,$U$5:$U$1000,ROW(),$V$5:$V$1000,"Sub"),$Y148)))</f>
        <v/>
      </c>
      <c r="AD148" s="62">
        <f>IF($V148="","",IF(AND(ISNUMBER($G148),$G148&lt;=IF($S148=MesCiclo,InicioCiclo,$S148+MOD(2-WEEKDAY($S148),7))+13),1,IF(N($W148)&gt;0,AVERAGEIFS($Z$5:$Z$1000,$U$5:$U$1000,ROW(),$V$5:$V$1000,"Sub"),$Z148)))</f>
        <v/>
      </c>
      <c r="AE148" s="62">
        <f>IF($V148="","",IF(AND(ISNUMBER($G148),$G148&lt;=IF($S148=MesCiclo,InicioCiclo,$S148+MOD(2-WEEKDAY($S148),7))+20),1,IF(N($W148)&gt;0,AVERAGEIFS($AA$5:$AA$1000,$U$5:$U$1000,ROW(),$V$5:$V$1000,"Sub"),$AA148)))</f>
        <v/>
      </c>
      <c r="AF148" s="62">
        <f>IF($V148="","",IF(AND(ISNUMBER($G148),$G148&lt;=IF($S148=MesCiclo,InicioCiclo,$S148+MOD(2-WEEKDAY($S148),7))+27),1,IF(N($W148)&gt;0,AVERAGEIFS($AB$5:$AB$1000,$U$5:$U$1000,ROW(),$V$5:$V$1000,"Sub"),$AB148)))</f>
        <v/>
      </c>
      <c r="AG148" s="62">
        <f>IF($V148&lt;&gt;"Macro","",IF(COUNTIFS($S$5:$S$1000,$S148,$V$5:$V$1000,"Macro",$H$5:$H$1000,"&gt;0")=0,1/COUNTIFS($S$5:$S$1000,$S148,$V$5:$V$1000,"Macro"),IF(AND(ISNUMBER($H148),N($H148)&gt;0),$H148,SUMIFS($H$5:$H$1000,$S$5:$S$1000,$S148,$V$5:$V$1000,"Macro")/COUNTIFS($S$5:$S$1000,$S148,$V$5:$V$1000,"Macro",$H$5:$H$1000,"&gt;0"))/(COUNTIFS($S$5:$S$1000,$S148,$V$5:$V$1000,"Macro")*SUMIFS($H$5:$H$1000,$S$5:$S$1000,$S148,$V$5:$V$1000,"Macro")/COUNTIFS($S$5:$S$1000,$S148,$V$5:$V$1000,"Macro",$H$5:$H$1000,"&gt;0"))))</f>
        <v/>
      </c>
      <c r="AH148" s="62" t="n"/>
      <c r="AI148" s="62" t="n"/>
      <c r="AJ148" s="62" t="n"/>
      <c r="AK148" s="62" t="n"/>
      <c r="AL148" s="62">
        <f>IF(LEFT($C148,11)="[Jefatura] ",IFERROR(MATCH("Riesgo Operacional|"&amp;MID($C148,12,500),rDname_ADM,0),0),"")</f>
        <v/>
      </c>
      <c r="AM148" s="62">
        <f>IF(N($AL148)&gt;0,INDEX(rIni_ADM,$AL148),IF(ISNUMBER($E148),$E148,""))</f>
        <v/>
      </c>
      <c r="AN148" s="62">
        <f>IF(N($AL148)&gt;0,INDEX(rLim_ADM,$AL148),IF(ISNUMBER($F148),$F148,""))</f>
        <v/>
      </c>
    </row>
    <row r="149">
      <c r="A149" s="56">
        <f>IF(NOT((COUNTA($B149:$D149)+COUNTA($G149:$L149)+COUNTA($Q149))&gt;0),"",IF($V149="Macro",COUNTIFS($V$5:$V149,"Macro",$S$5:$S149,$S149),IF(N($U149)=0,"?",COUNTIFS(INDEX($V$5:$V$1000,1):INDEX($V$5:$V$1000,$U149-4),"Macro",INDEX($S$5:$S$1000,1):INDEX($S$5:$S$1000,$U149-4),INDEX($S$5:$S$1000,$U149-4))&amp;"."&amp;COUNTIFS($U$5:$U149,$U149,$V$5:$V149,"Sub"))))</f>
        <v/>
      </c>
      <c r="B149" s="57" t="n"/>
      <c r="C149" s="58" t="n"/>
      <c r="D149" s="58" t="n"/>
      <c r="E149" s="59">
        <f>IF(N($AL149)&gt;0,INDEX(rIni_ADM,$AL149),"")</f>
        <v/>
      </c>
      <c r="F149" s="59">
        <f>IF(N($AL149)&gt;0,INDEX(rLim_ADM,$AL149),"")</f>
        <v/>
      </c>
      <c r="G149" s="59" t="n"/>
      <c r="H149" s="60" t="n"/>
      <c r="I149" s="60" t="n"/>
      <c r="J149" s="60" t="n"/>
      <c r="K149" s="60" t="n"/>
      <c r="L149" s="60" t="n"/>
      <c r="M149" s="61">
        <f>IF(NOT((COUNTA($B149:$D149)+COUNTA($G149:$L149)+COUNTA($Q149))&gt;0),"",IF(ISNUMBER($G149),1,IF(N($W149)&gt;0,AVERAGEIFS($X$5:$X$1000,$U$5:$U$1000,ROW(),$V$5:$V$1000,"Sub"),$X149)))</f>
        <v/>
      </c>
      <c r="N149" s="56">
        <f>IF($M149="","",IF($M149&gt;=1,"Completado",IF($M149&gt;0,"En curso","Pendiente")))</f>
        <v/>
      </c>
      <c r="O149" s="56">
        <f>IF(NOT((COUNTA($B149:$D149)+COUNTA($G149:$L149)+COUNTA($Q149))&gt;0),"",IF(ISNUMBER($G149),IF(AND(ISNUMBER($AN149),$G149&gt;$AN149),"Cumplida con "&amp;($G149-$AN149)&amp;IF($G149-$AN149=1," día"," días")&amp;" de retraso","Cumplida"),IF(N($M149)&gt;=1,"Cumplida",IF(NOT(ISNUMBER($AN149)),"Sin fecha límite",IF($AN149&lt;FechaRef,"Vencida hace "&amp;(FechaRef-$AN149)&amp;IF(FechaRef-$AN149=1," día"," días"),IF($AN149=FechaRef,"Vence hoy",IF($AN149-FechaRef&lt;=DiasAlerta,"Vence en "&amp;($AN149-FechaRef)&amp;IF($AN149-FechaRef=1," día"," días"),"En plazo")))))))</f>
        <v/>
      </c>
      <c r="P149" s="62" t="n"/>
      <c r="Q149" s="58" t="n"/>
      <c r="R149" s="63">
        <f>IF(NOT((COUNTA($B149:$D149)+COUNTA($G149:$L149)+COUNTA($Q149))&gt;0),"",IF((IF($C149="","Falta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",""))="","✔ OK","⚠ "&amp;LEFT(IF($C149="","Falta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",""),LEN(IF($C149="","Falta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",""))-3)))</f>
        <v/>
      </c>
      <c r="S149" s="64">
        <f>IF(NOT((COUNTA($B149:$D149)+COUNTA($G149:$L149)+COUNTA($Q149))&gt;0),"",IF(AND($V149="Sub",N($U149)&gt;0),IF(ISNUMBER(INDEX($AM$5:$AM$1000,$U149-4)),DATE(YEAR(INDEX($AM$5:$AM$1000,$U149-4)),MONTH(INDEX($AM$5:$AM$1000,$U149-4)),1),IF(ISNUMBER(INDEX($AN$5:$AN$1000,$U149-4)),DATE(YEAR(INDEX($AN$5:$AN$1000,$U149-4)),MONTH(INDEX($AN$5:$AN$1000,$U149-4)),1),MesCiclo)),IF(ISNUMBER($AM149),DATE(YEAR($AM149),MONTH($AM149),1),IF(ISNUMBER($AN149),DATE(YEAR($AN149),MONTH($AN149),1),MesCiclo))))</f>
        <v/>
      </c>
      <c r="T149" s="62">
        <f>IF(OR($S149="",$S149&lt;&gt;MesCiclo),"",COUNTIF($S$5:$S149,MesCiclo))</f>
        <v/>
      </c>
      <c r="U149" s="62">
        <f>IF($V149="","",IF($V149="Macro",ROW(),IFERROR(LOOKUP(2,1/($V$5:$V149="Macro"),ROW($V$5:$V149)),0)))</f>
        <v/>
      </c>
      <c r="V149" s="62">
        <f>IF(NOT((COUNTA($B149:$D149)+COUNTA($G149:$L149)+COUNTA($Q149))&gt;0),"",IF($B149="Subactividad","Sub","Macro"))</f>
        <v/>
      </c>
      <c r="W149" s="62">
        <f>IF($V149="Macro",COUNTIFS($U$5:$U$1000,ROW(),$V$5:$V$1000,"Sub"),"")</f>
        <v/>
      </c>
      <c r="X149" s="62">
        <f>IF($V149="","",IF(ISNUMBER($G149),1,IFERROR(LOOKUP(2,1/($I149:$L149&lt;&gt;""),$I149:$L149),0)))</f>
        <v/>
      </c>
      <c r="Y149" s="62">
        <f>IF($V149="","",IF(AND(ISNUMBER($G149),$G149&lt;=IF($S149=MesCiclo,InicioCiclo,$S149+MOD(2-WEEKDAY($S149),7))+6),1,IF(ISNUMBER($I149),$I149,0)))</f>
        <v/>
      </c>
      <c r="Z149" s="62">
        <f>IF($V149="","",IF(AND(ISNUMBER($G149),$G149&lt;=IF($S149=MesCiclo,InicioCiclo,$S149+MOD(2-WEEKDAY($S149),7))+13),1,IF(ISNUMBER($J149),$J149,$Y149)))</f>
        <v/>
      </c>
      <c r="AA149" s="62">
        <f>IF($V149="","",IF(AND(ISNUMBER($G149),$G149&lt;=IF($S149=MesCiclo,InicioCiclo,$S149+MOD(2-WEEKDAY($S149),7))+20),1,IF(ISNUMBER($K149),$K149,$Z149)))</f>
        <v/>
      </c>
      <c r="AB149" s="62">
        <f>IF($V149="","",IF(AND(ISNUMBER($G149),$G149&lt;=IF($S149=MesCiclo,InicioCiclo,$S149+MOD(2-WEEKDAY($S149),7))+27),1,IF(ISNUMBER($L149),$L149,$AA149)))</f>
        <v/>
      </c>
      <c r="AC149" s="62">
        <f>IF($V149="","",IF(AND(ISNUMBER($G149),$G149&lt;=IF($S149=MesCiclo,InicioCiclo,$S149+MOD(2-WEEKDAY($S149),7))+6),1,IF(N($W149)&gt;0,AVERAGEIFS($Y$5:$Y$1000,$U$5:$U$1000,ROW(),$V$5:$V$1000,"Sub"),$Y149)))</f>
        <v/>
      </c>
      <c r="AD149" s="62">
        <f>IF($V149="","",IF(AND(ISNUMBER($G149),$G149&lt;=IF($S149=MesCiclo,InicioCiclo,$S149+MOD(2-WEEKDAY($S149),7))+13),1,IF(N($W149)&gt;0,AVERAGEIFS($Z$5:$Z$1000,$U$5:$U$1000,ROW(),$V$5:$V$1000,"Sub"),$Z149)))</f>
        <v/>
      </c>
      <c r="AE149" s="62">
        <f>IF($V149="","",IF(AND(ISNUMBER($G149),$G149&lt;=IF($S149=MesCiclo,InicioCiclo,$S149+MOD(2-WEEKDAY($S149),7))+20),1,IF(N($W149)&gt;0,AVERAGEIFS($AA$5:$AA$1000,$U$5:$U$1000,ROW(),$V$5:$V$1000,"Sub"),$AA149)))</f>
        <v/>
      </c>
      <c r="AF149" s="62">
        <f>IF($V149="","",IF(AND(ISNUMBER($G149),$G149&lt;=IF($S149=MesCiclo,InicioCiclo,$S149+MOD(2-WEEKDAY($S149),7))+27),1,IF(N($W149)&gt;0,AVERAGEIFS($AB$5:$AB$1000,$U$5:$U$1000,ROW(),$V$5:$V$1000,"Sub"),$AB149)))</f>
        <v/>
      </c>
      <c r="AG149" s="62">
        <f>IF($V149&lt;&gt;"Macro","",IF(COUNTIFS($S$5:$S$1000,$S149,$V$5:$V$1000,"Macro",$H$5:$H$1000,"&gt;0")=0,1/COUNTIFS($S$5:$S$1000,$S149,$V$5:$V$1000,"Macro"),IF(AND(ISNUMBER($H149),N($H149)&gt;0),$H149,SUMIFS($H$5:$H$1000,$S$5:$S$1000,$S149,$V$5:$V$1000,"Macro")/COUNTIFS($S$5:$S$1000,$S149,$V$5:$V$1000,"Macro",$H$5:$H$1000,"&gt;0"))/(COUNTIFS($S$5:$S$1000,$S149,$V$5:$V$1000,"Macro")*SUMIFS($H$5:$H$1000,$S$5:$S$1000,$S149,$V$5:$V$1000,"Macro")/COUNTIFS($S$5:$S$1000,$S149,$V$5:$V$1000,"Macro",$H$5:$H$1000,"&gt;0"))))</f>
        <v/>
      </c>
      <c r="AH149" s="62" t="n"/>
      <c r="AI149" s="62" t="n"/>
      <c r="AJ149" s="62" t="n"/>
      <c r="AK149" s="62" t="n"/>
      <c r="AL149" s="62">
        <f>IF(LEFT($C149,11)="[Jefatura] ",IFERROR(MATCH("Riesgo Operacional|"&amp;MID($C149,12,500),rDname_ADM,0),0),"")</f>
        <v/>
      </c>
      <c r="AM149" s="62">
        <f>IF(N($AL149)&gt;0,INDEX(rIni_ADM,$AL149),IF(ISNUMBER($E149),$E149,""))</f>
        <v/>
      </c>
      <c r="AN149" s="62">
        <f>IF(N($AL149)&gt;0,INDEX(rLim_ADM,$AL149),IF(ISNUMBER($F149),$F149,""))</f>
        <v/>
      </c>
    </row>
    <row r="150">
      <c r="A150" s="56">
        <f>IF(NOT((COUNTA($B150:$D150)+COUNTA($G150:$L150)+COUNTA($Q150))&gt;0),"",IF($V150="Macro",COUNTIFS($V$5:$V150,"Macro",$S$5:$S150,$S150),IF(N($U150)=0,"?",COUNTIFS(INDEX($V$5:$V$1000,1):INDEX($V$5:$V$1000,$U150-4),"Macro",INDEX($S$5:$S$1000,1):INDEX($S$5:$S$1000,$U150-4),INDEX($S$5:$S$1000,$U150-4))&amp;"."&amp;COUNTIFS($U$5:$U150,$U150,$V$5:$V150,"Sub"))))</f>
        <v/>
      </c>
      <c r="B150" s="57" t="n"/>
      <c r="C150" s="58" t="n"/>
      <c r="D150" s="58" t="n"/>
      <c r="E150" s="59">
        <f>IF(N($AL150)&gt;0,INDEX(rIni_ADM,$AL150),"")</f>
        <v/>
      </c>
      <c r="F150" s="59">
        <f>IF(N($AL150)&gt;0,INDEX(rLim_ADM,$AL150),"")</f>
        <v/>
      </c>
      <c r="G150" s="59" t="n"/>
      <c r="H150" s="60" t="n"/>
      <c r="I150" s="60" t="n"/>
      <c r="J150" s="60" t="n"/>
      <c r="K150" s="60" t="n"/>
      <c r="L150" s="60" t="n"/>
      <c r="M150" s="61">
        <f>IF(NOT((COUNTA($B150:$D150)+COUNTA($G150:$L150)+COUNTA($Q150))&gt;0),"",IF(ISNUMBER($G150),1,IF(N($W150)&gt;0,AVERAGEIFS($X$5:$X$1000,$U$5:$U$1000,ROW(),$V$5:$V$1000,"Sub"),$X150)))</f>
        <v/>
      </c>
      <c r="N150" s="56">
        <f>IF($M150="","",IF($M150&gt;=1,"Completado",IF($M150&gt;0,"En curso","Pendiente")))</f>
        <v/>
      </c>
      <c r="O150" s="56">
        <f>IF(NOT((COUNTA($B150:$D150)+COUNTA($G150:$L150)+COUNTA($Q150))&gt;0),"",IF(ISNUMBER($G150),IF(AND(ISNUMBER($AN150),$G150&gt;$AN150),"Cumplida con "&amp;($G150-$AN150)&amp;IF($G150-$AN150=1," día"," días")&amp;" de retraso","Cumplida"),IF(N($M150)&gt;=1,"Cumplida",IF(NOT(ISNUMBER($AN150)),"Sin fecha límite",IF($AN150&lt;FechaRef,"Vencida hace "&amp;(FechaRef-$AN150)&amp;IF(FechaRef-$AN150=1," día"," días"),IF($AN150=FechaRef,"Vence hoy",IF($AN150-FechaRef&lt;=DiasAlerta,"Vence en "&amp;($AN150-FechaRef)&amp;IF($AN150-FechaRef=1," día"," días"),"En plazo")))))))</f>
        <v/>
      </c>
      <c r="P150" s="62" t="n"/>
      <c r="Q150" s="58" t="n"/>
      <c r="R150" s="63">
        <f>IF(NOT((COUNTA($B150:$D150)+COUNTA($G150:$L150)+COUNTA($Q150))&gt;0),"",IF((IF($C150="","Falta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",""))="","✔ OK","⚠ "&amp;LEFT(IF($C150="","Falta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",""),LEN(IF($C150="","Falta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",""))-3)))</f>
        <v/>
      </c>
      <c r="S150" s="64">
        <f>IF(NOT((COUNTA($B150:$D150)+COUNTA($G150:$L150)+COUNTA($Q150))&gt;0),"",IF(AND($V150="Sub",N($U150)&gt;0),IF(ISNUMBER(INDEX($AM$5:$AM$1000,$U150-4)),DATE(YEAR(INDEX($AM$5:$AM$1000,$U150-4)),MONTH(INDEX($AM$5:$AM$1000,$U150-4)),1),IF(ISNUMBER(INDEX($AN$5:$AN$1000,$U150-4)),DATE(YEAR(INDEX($AN$5:$AN$1000,$U150-4)),MONTH(INDEX($AN$5:$AN$1000,$U150-4)),1),MesCiclo)),IF(ISNUMBER($AM150),DATE(YEAR($AM150),MONTH($AM150),1),IF(ISNUMBER($AN150),DATE(YEAR($AN150),MONTH($AN150),1),MesCiclo))))</f>
        <v/>
      </c>
      <c r="T150" s="62">
        <f>IF(OR($S150="",$S150&lt;&gt;MesCiclo),"",COUNTIF($S$5:$S150,MesCiclo))</f>
        <v/>
      </c>
      <c r="U150" s="62">
        <f>IF($V150="","",IF($V150="Macro",ROW(),IFERROR(LOOKUP(2,1/($V$5:$V150="Macro"),ROW($V$5:$V150)),0)))</f>
        <v/>
      </c>
      <c r="V150" s="62">
        <f>IF(NOT((COUNTA($B150:$D150)+COUNTA($G150:$L150)+COUNTA($Q150))&gt;0),"",IF($B150="Subactividad","Sub","Macro"))</f>
        <v/>
      </c>
      <c r="W150" s="62">
        <f>IF($V150="Macro",COUNTIFS($U$5:$U$1000,ROW(),$V$5:$V$1000,"Sub"),"")</f>
        <v/>
      </c>
      <c r="X150" s="62">
        <f>IF($V150="","",IF(ISNUMBER($G150),1,IFERROR(LOOKUP(2,1/($I150:$L150&lt;&gt;""),$I150:$L150),0)))</f>
        <v/>
      </c>
      <c r="Y150" s="62">
        <f>IF($V150="","",IF(AND(ISNUMBER($G150),$G150&lt;=IF($S150=MesCiclo,InicioCiclo,$S150+MOD(2-WEEKDAY($S150),7))+6),1,IF(ISNUMBER($I150),$I150,0)))</f>
        <v/>
      </c>
      <c r="Z150" s="62">
        <f>IF($V150="","",IF(AND(ISNUMBER($G150),$G150&lt;=IF($S150=MesCiclo,InicioCiclo,$S150+MOD(2-WEEKDAY($S150),7))+13),1,IF(ISNUMBER($J150),$J150,$Y150)))</f>
        <v/>
      </c>
      <c r="AA150" s="62">
        <f>IF($V150="","",IF(AND(ISNUMBER($G150),$G150&lt;=IF($S150=MesCiclo,InicioCiclo,$S150+MOD(2-WEEKDAY($S150),7))+20),1,IF(ISNUMBER($K150),$K150,$Z150)))</f>
        <v/>
      </c>
      <c r="AB150" s="62">
        <f>IF($V150="","",IF(AND(ISNUMBER($G150),$G150&lt;=IF($S150=MesCiclo,InicioCiclo,$S150+MOD(2-WEEKDAY($S150),7))+27),1,IF(ISNUMBER($L150),$L150,$AA150)))</f>
        <v/>
      </c>
      <c r="AC150" s="62">
        <f>IF($V150="","",IF(AND(ISNUMBER($G150),$G150&lt;=IF($S150=MesCiclo,InicioCiclo,$S150+MOD(2-WEEKDAY($S150),7))+6),1,IF(N($W150)&gt;0,AVERAGEIFS($Y$5:$Y$1000,$U$5:$U$1000,ROW(),$V$5:$V$1000,"Sub"),$Y150)))</f>
        <v/>
      </c>
      <c r="AD150" s="62">
        <f>IF($V150="","",IF(AND(ISNUMBER($G150),$G150&lt;=IF($S150=MesCiclo,InicioCiclo,$S150+MOD(2-WEEKDAY($S150),7))+13),1,IF(N($W150)&gt;0,AVERAGEIFS($Z$5:$Z$1000,$U$5:$U$1000,ROW(),$V$5:$V$1000,"Sub"),$Z150)))</f>
        <v/>
      </c>
      <c r="AE150" s="62">
        <f>IF($V150="","",IF(AND(ISNUMBER($G150),$G150&lt;=IF($S150=MesCiclo,InicioCiclo,$S150+MOD(2-WEEKDAY($S150),7))+20),1,IF(N($W150)&gt;0,AVERAGEIFS($AA$5:$AA$1000,$U$5:$U$1000,ROW(),$V$5:$V$1000,"Sub"),$AA150)))</f>
        <v/>
      </c>
      <c r="AF150" s="62">
        <f>IF($V150="","",IF(AND(ISNUMBER($G150),$G150&lt;=IF($S150=MesCiclo,InicioCiclo,$S150+MOD(2-WEEKDAY($S150),7))+27),1,IF(N($W150)&gt;0,AVERAGEIFS($AB$5:$AB$1000,$U$5:$U$1000,ROW(),$V$5:$V$1000,"Sub"),$AB150)))</f>
        <v/>
      </c>
      <c r="AG150" s="62">
        <f>IF($V150&lt;&gt;"Macro","",IF(COUNTIFS($S$5:$S$1000,$S150,$V$5:$V$1000,"Macro",$H$5:$H$1000,"&gt;0")=0,1/COUNTIFS($S$5:$S$1000,$S150,$V$5:$V$1000,"Macro"),IF(AND(ISNUMBER($H150),N($H150)&gt;0),$H150,SUMIFS($H$5:$H$1000,$S$5:$S$1000,$S150,$V$5:$V$1000,"Macro")/COUNTIFS($S$5:$S$1000,$S150,$V$5:$V$1000,"Macro",$H$5:$H$1000,"&gt;0"))/(COUNTIFS($S$5:$S$1000,$S150,$V$5:$V$1000,"Macro")*SUMIFS($H$5:$H$1000,$S$5:$S$1000,$S150,$V$5:$V$1000,"Macro")/COUNTIFS($S$5:$S$1000,$S150,$V$5:$V$1000,"Macro",$H$5:$H$1000,"&gt;0"))))</f>
        <v/>
      </c>
      <c r="AH150" s="62" t="n"/>
      <c r="AI150" s="62" t="n"/>
      <c r="AJ150" s="62" t="n"/>
      <c r="AK150" s="62" t="n"/>
      <c r="AL150" s="62">
        <f>IF(LEFT($C150,11)="[Jefatura] ",IFERROR(MATCH("Riesgo Operacional|"&amp;MID($C150,12,500),rDname_ADM,0),0),"")</f>
        <v/>
      </c>
      <c r="AM150" s="62">
        <f>IF(N($AL150)&gt;0,INDEX(rIni_ADM,$AL150),IF(ISNUMBER($E150),$E150,""))</f>
        <v/>
      </c>
      <c r="AN150" s="62">
        <f>IF(N($AL150)&gt;0,INDEX(rLim_ADM,$AL150),IF(ISNUMBER($F150),$F150,""))</f>
        <v/>
      </c>
    </row>
    <row r="151">
      <c r="A151" s="56">
        <f>IF(NOT((COUNTA($B151:$D151)+COUNTA($G151:$L151)+COUNTA($Q151))&gt;0),"",IF($V151="Macro",COUNTIFS($V$5:$V151,"Macro",$S$5:$S151,$S151),IF(N($U151)=0,"?",COUNTIFS(INDEX($V$5:$V$1000,1):INDEX($V$5:$V$1000,$U151-4),"Macro",INDEX($S$5:$S$1000,1):INDEX($S$5:$S$1000,$U151-4),INDEX($S$5:$S$1000,$U151-4))&amp;"."&amp;COUNTIFS($U$5:$U151,$U151,$V$5:$V151,"Sub"))))</f>
        <v/>
      </c>
      <c r="B151" s="57" t="n"/>
      <c r="C151" s="58" t="n"/>
      <c r="D151" s="58" t="n"/>
      <c r="E151" s="59">
        <f>IF(N($AL151)&gt;0,INDEX(rIni_ADM,$AL151),"")</f>
        <v/>
      </c>
      <c r="F151" s="59">
        <f>IF(N($AL151)&gt;0,INDEX(rLim_ADM,$AL151),"")</f>
        <v/>
      </c>
      <c r="G151" s="59" t="n"/>
      <c r="H151" s="60" t="n"/>
      <c r="I151" s="60" t="n"/>
      <c r="J151" s="60" t="n"/>
      <c r="K151" s="60" t="n"/>
      <c r="L151" s="60" t="n"/>
      <c r="M151" s="61">
        <f>IF(NOT((COUNTA($B151:$D151)+COUNTA($G151:$L151)+COUNTA($Q151))&gt;0),"",IF(ISNUMBER($G151),1,IF(N($W151)&gt;0,AVERAGEIFS($X$5:$X$1000,$U$5:$U$1000,ROW(),$V$5:$V$1000,"Sub"),$X151)))</f>
        <v/>
      </c>
      <c r="N151" s="56">
        <f>IF($M151="","",IF($M151&gt;=1,"Completado",IF($M151&gt;0,"En curso","Pendiente")))</f>
        <v/>
      </c>
      <c r="O151" s="56">
        <f>IF(NOT((COUNTA($B151:$D151)+COUNTA($G151:$L151)+COUNTA($Q151))&gt;0),"",IF(ISNUMBER($G151),IF(AND(ISNUMBER($AN151),$G151&gt;$AN151),"Cumplida con "&amp;($G151-$AN151)&amp;IF($G151-$AN151=1," día"," días")&amp;" de retraso","Cumplida"),IF(N($M151)&gt;=1,"Cumplida",IF(NOT(ISNUMBER($AN151)),"Sin fecha límite",IF($AN151&lt;FechaRef,"Vencida hace "&amp;(FechaRef-$AN151)&amp;IF(FechaRef-$AN151=1," día"," días"),IF($AN151=FechaRef,"Vence hoy",IF($AN151-FechaRef&lt;=DiasAlerta,"Vence en "&amp;($AN151-FechaRef)&amp;IF($AN151-FechaRef=1," día"," días"),"En plazo")))))))</f>
        <v/>
      </c>
      <c r="P151" s="62" t="n"/>
      <c r="Q151" s="58" t="n"/>
      <c r="R151" s="63">
        <f>IF(NOT((COUNTA($B151:$D151)+COUNTA($G151:$L151)+COUNTA($Q151))&gt;0),"",IF((IF($C151="","Falta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",""))="","✔ OK","⚠ "&amp;LEFT(IF($C151="","Falta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",""),LEN(IF($C151="","Falta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",""))-3)))</f>
        <v/>
      </c>
      <c r="S151" s="64">
        <f>IF(NOT((COUNTA($B151:$D151)+COUNTA($G151:$L151)+COUNTA($Q151))&gt;0),"",IF(AND($V151="Sub",N($U151)&gt;0),IF(ISNUMBER(INDEX($AM$5:$AM$1000,$U151-4)),DATE(YEAR(INDEX($AM$5:$AM$1000,$U151-4)),MONTH(INDEX($AM$5:$AM$1000,$U151-4)),1),IF(ISNUMBER(INDEX($AN$5:$AN$1000,$U151-4)),DATE(YEAR(INDEX($AN$5:$AN$1000,$U151-4)),MONTH(INDEX($AN$5:$AN$1000,$U151-4)),1),MesCiclo)),IF(ISNUMBER($AM151),DATE(YEAR($AM151),MONTH($AM151),1),IF(ISNUMBER($AN151),DATE(YEAR($AN151),MONTH($AN151),1),MesCiclo))))</f>
        <v/>
      </c>
      <c r="T151" s="62">
        <f>IF(OR($S151="",$S151&lt;&gt;MesCiclo),"",COUNTIF($S$5:$S151,MesCiclo))</f>
        <v/>
      </c>
      <c r="U151" s="62">
        <f>IF($V151="","",IF($V151="Macro",ROW(),IFERROR(LOOKUP(2,1/($V$5:$V151="Macro"),ROW($V$5:$V151)),0)))</f>
        <v/>
      </c>
      <c r="V151" s="62">
        <f>IF(NOT((COUNTA($B151:$D151)+COUNTA($G151:$L151)+COUNTA($Q151))&gt;0),"",IF($B151="Subactividad","Sub","Macro"))</f>
        <v/>
      </c>
      <c r="W151" s="62">
        <f>IF($V151="Macro",COUNTIFS($U$5:$U$1000,ROW(),$V$5:$V$1000,"Sub"),"")</f>
        <v/>
      </c>
      <c r="X151" s="62">
        <f>IF($V151="","",IF(ISNUMBER($G151),1,IFERROR(LOOKUP(2,1/($I151:$L151&lt;&gt;""),$I151:$L151),0)))</f>
        <v/>
      </c>
      <c r="Y151" s="62">
        <f>IF($V151="","",IF(AND(ISNUMBER($G151),$G151&lt;=IF($S151=MesCiclo,InicioCiclo,$S151+MOD(2-WEEKDAY($S151),7))+6),1,IF(ISNUMBER($I151),$I151,0)))</f>
        <v/>
      </c>
      <c r="Z151" s="62">
        <f>IF($V151="","",IF(AND(ISNUMBER($G151),$G151&lt;=IF($S151=MesCiclo,InicioCiclo,$S151+MOD(2-WEEKDAY($S151),7))+13),1,IF(ISNUMBER($J151),$J151,$Y151)))</f>
        <v/>
      </c>
      <c r="AA151" s="62">
        <f>IF($V151="","",IF(AND(ISNUMBER($G151),$G151&lt;=IF($S151=MesCiclo,InicioCiclo,$S151+MOD(2-WEEKDAY($S151),7))+20),1,IF(ISNUMBER($K151),$K151,$Z151)))</f>
        <v/>
      </c>
      <c r="AB151" s="62">
        <f>IF($V151="","",IF(AND(ISNUMBER($G151),$G151&lt;=IF($S151=MesCiclo,InicioCiclo,$S151+MOD(2-WEEKDAY($S151),7))+27),1,IF(ISNUMBER($L151),$L151,$AA151)))</f>
        <v/>
      </c>
      <c r="AC151" s="62">
        <f>IF($V151="","",IF(AND(ISNUMBER($G151),$G151&lt;=IF($S151=MesCiclo,InicioCiclo,$S151+MOD(2-WEEKDAY($S151),7))+6),1,IF(N($W151)&gt;0,AVERAGEIFS($Y$5:$Y$1000,$U$5:$U$1000,ROW(),$V$5:$V$1000,"Sub"),$Y151)))</f>
        <v/>
      </c>
      <c r="AD151" s="62">
        <f>IF($V151="","",IF(AND(ISNUMBER($G151),$G151&lt;=IF($S151=MesCiclo,InicioCiclo,$S151+MOD(2-WEEKDAY($S151),7))+13),1,IF(N($W151)&gt;0,AVERAGEIFS($Z$5:$Z$1000,$U$5:$U$1000,ROW(),$V$5:$V$1000,"Sub"),$Z151)))</f>
        <v/>
      </c>
      <c r="AE151" s="62">
        <f>IF($V151="","",IF(AND(ISNUMBER($G151),$G151&lt;=IF($S151=MesCiclo,InicioCiclo,$S151+MOD(2-WEEKDAY($S151),7))+20),1,IF(N($W151)&gt;0,AVERAGEIFS($AA$5:$AA$1000,$U$5:$U$1000,ROW(),$V$5:$V$1000,"Sub"),$AA151)))</f>
        <v/>
      </c>
      <c r="AF151" s="62">
        <f>IF($V151="","",IF(AND(ISNUMBER($G151),$G151&lt;=IF($S151=MesCiclo,InicioCiclo,$S151+MOD(2-WEEKDAY($S151),7))+27),1,IF(N($W151)&gt;0,AVERAGEIFS($AB$5:$AB$1000,$U$5:$U$1000,ROW(),$V$5:$V$1000,"Sub"),$AB151)))</f>
        <v/>
      </c>
      <c r="AG151" s="62">
        <f>IF($V151&lt;&gt;"Macro","",IF(COUNTIFS($S$5:$S$1000,$S151,$V$5:$V$1000,"Macro",$H$5:$H$1000,"&gt;0")=0,1/COUNTIFS($S$5:$S$1000,$S151,$V$5:$V$1000,"Macro"),IF(AND(ISNUMBER($H151),N($H151)&gt;0),$H151,SUMIFS($H$5:$H$1000,$S$5:$S$1000,$S151,$V$5:$V$1000,"Macro")/COUNTIFS($S$5:$S$1000,$S151,$V$5:$V$1000,"Macro",$H$5:$H$1000,"&gt;0"))/(COUNTIFS($S$5:$S$1000,$S151,$V$5:$V$1000,"Macro")*SUMIFS($H$5:$H$1000,$S$5:$S$1000,$S151,$V$5:$V$1000,"Macro")/COUNTIFS($S$5:$S$1000,$S151,$V$5:$V$1000,"Macro",$H$5:$H$1000,"&gt;0"))))</f>
        <v/>
      </c>
      <c r="AH151" s="62" t="n"/>
      <c r="AI151" s="62" t="n"/>
      <c r="AJ151" s="62" t="n"/>
      <c r="AK151" s="62" t="n"/>
      <c r="AL151" s="62">
        <f>IF(LEFT($C151,11)="[Jefatura] ",IFERROR(MATCH("Riesgo Operacional|"&amp;MID($C151,12,500),rDname_ADM,0),0),"")</f>
        <v/>
      </c>
      <c r="AM151" s="62">
        <f>IF(N($AL151)&gt;0,INDEX(rIni_ADM,$AL151),IF(ISNUMBER($E151),$E151,""))</f>
        <v/>
      </c>
      <c r="AN151" s="62">
        <f>IF(N($AL151)&gt;0,INDEX(rLim_ADM,$AL151),IF(ISNUMBER($F151),$F151,""))</f>
        <v/>
      </c>
    </row>
    <row r="152">
      <c r="A152" s="56">
        <f>IF(NOT((COUNTA($B152:$D152)+COUNTA($G152:$L152)+COUNTA($Q152))&gt;0),"",IF($V152="Macro",COUNTIFS($V$5:$V152,"Macro",$S$5:$S152,$S152),IF(N($U152)=0,"?",COUNTIFS(INDEX($V$5:$V$1000,1):INDEX($V$5:$V$1000,$U152-4),"Macro",INDEX($S$5:$S$1000,1):INDEX($S$5:$S$1000,$U152-4),INDEX($S$5:$S$1000,$U152-4))&amp;"."&amp;COUNTIFS($U$5:$U152,$U152,$V$5:$V152,"Sub"))))</f>
        <v/>
      </c>
      <c r="B152" s="57" t="n"/>
      <c r="C152" s="58" t="n"/>
      <c r="D152" s="58" t="n"/>
      <c r="E152" s="59">
        <f>IF(N($AL152)&gt;0,INDEX(rIni_ADM,$AL152),"")</f>
        <v/>
      </c>
      <c r="F152" s="59">
        <f>IF(N($AL152)&gt;0,INDEX(rLim_ADM,$AL152),"")</f>
        <v/>
      </c>
      <c r="G152" s="59" t="n"/>
      <c r="H152" s="60" t="n"/>
      <c r="I152" s="60" t="n"/>
      <c r="J152" s="60" t="n"/>
      <c r="K152" s="60" t="n"/>
      <c r="L152" s="60" t="n"/>
      <c r="M152" s="61">
        <f>IF(NOT((COUNTA($B152:$D152)+COUNTA($G152:$L152)+COUNTA($Q152))&gt;0),"",IF(ISNUMBER($G152),1,IF(N($W152)&gt;0,AVERAGEIFS($X$5:$X$1000,$U$5:$U$1000,ROW(),$V$5:$V$1000,"Sub"),$X152)))</f>
        <v/>
      </c>
      <c r="N152" s="56">
        <f>IF($M152="","",IF($M152&gt;=1,"Completado",IF($M152&gt;0,"En curso","Pendiente")))</f>
        <v/>
      </c>
      <c r="O152" s="56">
        <f>IF(NOT((COUNTA($B152:$D152)+COUNTA($G152:$L152)+COUNTA($Q152))&gt;0),"",IF(ISNUMBER($G152),IF(AND(ISNUMBER($AN152),$G152&gt;$AN152),"Cumplida con "&amp;($G152-$AN152)&amp;IF($G152-$AN152=1," día"," días")&amp;" de retraso","Cumplida"),IF(N($M152)&gt;=1,"Cumplida",IF(NOT(ISNUMBER($AN152)),"Sin fecha límite",IF($AN152&lt;FechaRef,"Vencida hace "&amp;(FechaRef-$AN152)&amp;IF(FechaRef-$AN152=1," día"," días"),IF($AN152=FechaRef,"Vence hoy",IF($AN152-FechaRef&lt;=DiasAlerta,"Vence en "&amp;($AN152-FechaRef)&amp;IF($AN152-FechaRef=1," día"," días"),"En plazo")))))))</f>
        <v/>
      </c>
      <c r="P152" s="62" t="n"/>
      <c r="Q152" s="58" t="n"/>
      <c r="R152" s="63">
        <f>IF(NOT((COUNTA($B152:$D152)+COUNTA($G152:$L152)+COUNTA($Q152))&gt;0),"",IF((IF($C152="","Falta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",""))="","✔ OK","⚠ "&amp;LEFT(IF($C152="","Falta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",""),LEN(IF($C152="","Falta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",""))-3)))</f>
        <v/>
      </c>
      <c r="S152" s="64">
        <f>IF(NOT((COUNTA($B152:$D152)+COUNTA($G152:$L152)+COUNTA($Q152))&gt;0),"",IF(AND($V152="Sub",N($U152)&gt;0),IF(ISNUMBER(INDEX($AM$5:$AM$1000,$U152-4)),DATE(YEAR(INDEX($AM$5:$AM$1000,$U152-4)),MONTH(INDEX($AM$5:$AM$1000,$U152-4)),1),IF(ISNUMBER(INDEX($AN$5:$AN$1000,$U152-4)),DATE(YEAR(INDEX($AN$5:$AN$1000,$U152-4)),MONTH(INDEX($AN$5:$AN$1000,$U152-4)),1),MesCiclo)),IF(ISNUMBER($AM152),DATE(YEAR($AM152),MONTH($AM152),1),IF(ISNUMBER($AN152),DATE(YEAR($AN152),MONTH($AN152),1),MesCiclo))))</f>
        <v/>
      </c>
      <c r="T152" s="62">
        <f>IF(OR($S152="",$S152&lt;&gt;MesCiclo),"",COUNTIF($S$5:$S152,MesCiclo))</f>
        <v/>
      </c>
      <c r="U152" s="62">
        <f>IF($V152="","",IF($V152="Macro",ROW(),IFERROR(LOOKUP(2,1/($V$5:$V152="Macro"),ROW($V$5:$V152)),0)))</f>
        <v/>
      </c>
      <c r="V152" s="62">
        <f>IF(NOT((COUNTA($B152:$D152)+COUNTA($G152:$L152)+COUNTA($Q152))&gt;0),"",IF($B152="Subactividad","Sub","Macro"))</f>
        <v/>
      </c>
      <c r="W152" s="62">
        <f>IF($V152="Macro",COUNTIFS($U$5:$U$1000,ROW(),$V$5:$V$1000,"Sub"),"")</f>
        <v/>
      </c>
      <c r="X152" s="62">
        <f>IF($V152="","",IF(ISNUMBER($G152),1,IFERROR(LOOKUP(2,1/($I152:$L152&lt;&gt;""),$I152:$L152),0)))</f>
        <v/>
      </c>
      <c r="Y152" s="62">
        <f>IF($V152="","",IF(AND(ISNUMBER($G152),$G152&lt;=IF($S152=MesCiclo,InicioCiclo,$S152+MOD(2-WEEKDAY($S152),7))+6),1,IF(ISNUMBER($I152),$I152,0)))</f>
        <v/>
      </c>
      <c r="Z152" s="62">
        <f>IF($V152="","",IF(AND(ISNUMBER($G152),$G152&lt;=IF($S152=MesCiclo,InicioCiclo,$S152+MOD(2-WEEKDAY($S152),7))+13),1,IF(ISNUMBER($J152),$J152,$Y152)))</f>
        <v/>
      </c>
      <c r="AA152" s="62">
        <f>IF($V152="","",IF(AND(ISNUMBER($G152),$G152&lt;=IF($S152=MesCiclo,InicioCiclo,$S152+MOD(2-WEEKDAY($S152),7))+20),1,IF(ISNUMBER($K152),$K152,$Z152)))</f>
        <v/>
      </c>
      <c r="AB152" s="62">
        <f>IF($V152="","",IF(AND(ISNUMBER($G152),$G152&lt;=IF($S152=MesCiclo,InicioCiclo,$S152+MOD(2-WEEKDAY($S152),7))+27),1,IF(ISNUMBER($L152),$L152,$AA152)))</f>
        <v/>
      </c>
      <c r="AC152" s="62">
        <f>IF($V152="","",IF(AND(ISNUMBER($G152),$G152&lt;=IF($S152=MesCiclo,InicioCiclo,$S152+MOD(2-WEEKDAY($S152),7))+6),1,IF(N($W152)&gt;0,AVERAGEIFS($Y$5:$Y$1000,$U$5:$U$1000,ROW(),$V$5:$V$1000,"Sub"),$Y152)))</f>
        <v/>
      </c>
      <c r="AD152" s="62">
        <f>IF($V152="","",IF(AND(ISNUMBER($G152),$G152&lt;=IF($S152=MesCiclo,InicioCiclo,$S152+MOD(2-WEEKDAY($S152),7))+13),1,IF(N($W152)&gt;0,AVERAGEIFS($Z$5:$Z$1000,$U$5:$U$1000,ROW(),$V$5:$V$1000,"Sub"),$Z152)))</f>
        <v/>
      </c>
      <c r="AE152" s="62">
        <f>IF($V152="","",IF(AND(ISNUMBER($G152),$G152&lt;=IF($S152=MesCiclo,InicioCiclo,$S152+MOD(2-WEEKDAY($S152),7))+20),1,IF(N($W152)&gt;0,AVERAGEIFS($AA$5:$AA$1000,$U$5:$U$1000,ROW(),$V$5:$V$1000,"Sub"),$AA152)))</f>
        <v/>
      </c>
      <c r="AF152" s="62">
        <f>IF($V152="","",IF(AND(ISNUMBER($G152),$G152&lt;=IF($S152=MesCiclo,InicioCiclo,$S152+MOD(2-WEEKDAY($S152),7))+27),1,IF(N($W152)&gt;0,AVERAGEIFS($AB$5:$AB$1000,$U$5:$U$1000,ROW(),$V$5:$V$1000,"Sub"),$AB152)))</f>
        <v/>
      </c>
      <c r="AG152" s="62">
        <f>IF($V152&lt;&gt;"Macro","",IF(COUNTIFS($S$5:$S$1000,$S152,$V$5:$V$1000,"Macro",$H$5:$H$1000,"&gt;0")=0,1/COUNTIFS($S$5:$S$1000,$S152,$V$5:$V$1000,"Macro"),IF(AND(ISNUMBER($H152),N($H152)&gt;0),$H152,SUMIFS($H$5:$H$1000,$S$5:$S$1000,$S152,$V$5:$V$1000,"Macro")/COUNTIFS($S$5:$S$1000,$S152,$V$5:$V$1000,"Macro",$H$5:$H$1000,"&gt;0"))/(COUNTIFS($S$5:$S$1000,$S152,$V$5:$V$1000,"Macro")*SUMIFS($H$5:$H$1000,$S$5:$S$1000,$S152,$V$5:$V$1000,"Macro")/COUNTIFS($S$5:$S$1000,$S152,$V$5:$V$1000,"Macro",$H$5:$H$1000,"&gt;0"))))</f>
        <v/>
      </c>
      <c r="AH152" s="62" t="n"/>
      <c r="AI152" s="62" t="n"/>
      <c r="AJ152" s="62" t="n"/>
      <c r="AK152" s="62" t="n"/>
      <c r="AL152" s="62">
        <f>IF(LEFT($C152,11)="[Jefatura] ",IFERROR(MATCH("Riesgo Operacional|"&amp;MID($C152,12,500),rDname_ADM,0),0),"")</f>
        <v/>
      </c>
      <c r="AM152" s="62">
        <f>IF(N($AL152)&gt;0,INDEX(rIni_ADM,$AL152),IF(ISNUMBER($E152),$E152,""))</f>
        <v/>
      </c>
      <c r="AN152" s="62">
        <f>IF(N($AL152)&gt;0,INDEX(rLim_ADM,$AL152),IF(ISNUMBER($F152),$F152,""))</f>
        <v/>
      </c>
    </row>
    <row r="153">
      <c r="A153" s="56">
        <f>IF(NOT((COUNTA($B153:$D153)+COUNTA($G153:$L153)+COUNTA($Q153))&gt;0),"",IF($V153="Macro",COUNTIFS($V$5:$V153,"Macro",$S$5:$S153,$S153),IF(N($U153)=0,"?",COUNTIFS(INDEX($V$5:$V$1000,1):INDEX($V$5:$V$1000,$U153-4),"Macro",INDEX($S$5:$S$1000,1):INDEX($S$5:$S$1000,$U153-4),INDEX($S$5:$S$1000,$U153-4))&amp;"."&amp;COUNTIFS($U$5:$U153,$U153,$V$5:$V153,"Sub"))))</f>
        <v/>
      </c>
      <c r="B153" s="57" t="n"/>
      <c r="C153" s="58" t="n"/>
      <c r="D153" s="58" t="n"/>
      <c r="E153" s="59">
        <f>IF(N($AL153)&gt;0,INDEX(rIni_ADM,$AL153),"")</f>
        <v/>
      </c>
      <c r="F153" s="59">
        <f>IF(N($AL153)&gt;0,INDEX(rLim_ADM,$AL153),"")</f>
        <v/>
      </c>
      <c r="G153" s="59" t="n"/>
      <c r="H153" s="60" t="n"/>
      <c r="I153" s="60" t="n"/>
      <c r="J153" s="60" t="n"/>
      <c r="K153" s="60" t="n"/>
      <c r="L153" s="60" t="n"/>
      <c r="M153" s="61">
        <f>IF(NOT((COUNTA($B153:$D153)+COUNTA($G153:$L153)+COUNTA($Q153))&gt;0),"",IF(ISNUMBER($G153),1,IF(N($W153)&gt;0,AVERAGEIFS($X$5:$X$1000,$U$5:$U$1000,ROW(),$V$5:$V$1000,"Sub"),$X153)))</f>
        <v/>
      </c>
      <c r="N153" s="56">
        <f>IF($M153="","",IF($M153&gt;=1,"Completado",IF($M153&gt;0,"En curso","Pendiente")))</f>
        <v/>
      </c>
      <c r="O153" s="56">
        <f>IF(NOT((COUNTA($B153:$D153)+COUNTA($G153:$L153)+COUNTA($Q153))&gt;0),"",IF(ISNUMBER($G153),IF(AND(ISNUMBER($AN153),$G153&gt;$AN153),"Cumplida con "&amp;($G153-$AN153)&amp;IF($G153-$AN153=1," día"," días")&amp;" de retraso","Cumplida"),IF(N($M153)&gt;=1,"Cumplida",IF(NOT(ISNUMBER($AN153)),"Sin fecha límite",IF($AN153&lt;FechaRef,"Vencida hace "&amp;(FechaRef-$AN153)&amp;IF(FechaRef-$AN153=1," día"," días"),IF($AN153=FechaRef,"Vence hoy",IF($AN153-FechaRef&lt;=DiasAlerta,"Vence en "&amp;($AN153-FechaRef)&amp;IF($AN153-FechaRef=1," día"," días"),"En plazo")))))))</f>
        <v/>
      </c>
      <c r="P153" s="62" t="n"/>
      <c r="Q153" s="58" t="n"/>
      <c r="R153" s="63">
        <f>IF(NOT((COUNTA($B153:$D153)+COUNTA($G153:$L153)+COUNTA($Q153))&gt;0),"",IF((IF($C153="","Falta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",""))="","✔ OK","⚠ "&amp;LEFT(IF($C153="","Falta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",""),LEN(IF($C153="","Falta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",""))-3)))</f>
        <v/>
      </c>
      <c r="S153" s="64">
        <f>IF(NOT((COUNTA($B153:$D153)+COUNTA($G153:$L153)+COUNTA($Q153))&gt;0),"",IF(AND($V153="Sub",N($U153)&gt;0),IF(ISNUMBER(INDEX($AM$5:$AM$1000,$U153-4)),DATE(YEAR(INDEX($AM$5:$AM$1000,$U153-4)),MONTH(INDEX($AM$5:$AM$1000,$U153-4)),1),IF(ISNUMBER(INDEX($AN$5:$AN$1000,$U153-4)),DATE(YEAR(INDEX($AN$5:$AN$1000,$U153-4)),MONTH(INDEX($AN$5:$AN$1000,$U153-4)),1),MesCiclo)),IF(ISNUMBER($AM153),DATE(YEAR($AM153),MONTH($AM153),1),IF(ISNUMBER($AN153),DATE(YEAR($AN153),MONTH($AN153),1),MesCiclo))))</f>
        <v/>
      </c>
      <c r="T153" s="62">
        <f>IF(OR($S153="",$S153&lt;&gt;MesCiclo),"",COUNTIF($S$5:$S153,MesCiclo))</f>
        <v/>
      </c>
      <c r="U153" s="62">
        <f>IF($V153="","",IF($V153="Macro",ROW(),IFERROR(LOOKUP(2,1/($V$5:$V153="Macro"),ROW($V$5:$V153)),0)))</f>
        <v/>
      </c>
      <c r="V153" s="62">
        <f>IF(NOT((COUNTA($B153:$D153)+COUNTA($G153:$L153)+COUNTA($Q153))&gt;0),"",IF($B153="Subactividad","Sub","Macro"))</f>
        <v/>
      </c>
      <c r="W153" s="62">
        <f>IF($V153="Macro",COUNTIFS($U$5:$U$1000,ROW(),$V$5:$V$1000,"Sub"),"")</f>
        <v/>
      </c>
      <c r="X153" s="62">
        <f>IF($V153="","",IF(ISNUMBER($G153),1,IFERROR(LOOKUP(2,1/($I153:$L153&lt;&gt;""),$I153:$L153),0)))</f>
        <v/>
      </c>
      <c r="Y153" s="62">
        <f>IF($V153="","",IF(AND(ISNUMBER($G153),$G153&lt;=IF($S153=MesCiclo,InicioCiclo,$S153+MOD(2-WEEKDAY($S153),7))+6),1,IF(ISNUMBER($I153),$I153,0)))</f>
        <v/>
      </c>
      <c r="Z153" s="62">
        <f>IF($V153="","",IF(AND(ISNUMBER($G153),$G153&lt;=IF($S153=MesCiclo,InicioCiclo,$S153+MOD(2-WEEKDAY($S153),7))+13),1,IF(ISNUMBER($J153),$J153,$Y153)))</f>
        <v/>
      </c>
      <c r="AA153" s="62">
        <f>IF($V153="","",IF(AND(ISNUMBER($G153),$G153&lt;=IF($S153=MesCiclo,InicioCiclo,$S153+MOD(2-WEEKDAY($S153),7))+20),1,IF(ISNUMBER($K153),$K153,$Z153)))</f>
        <v/>
      </c>
      <c r="AB153" s="62">
        <f>IF($V153="","",IF(AND(ISNUMBER($G153),$G153&lt;=IF($S153=MesCiclo,InicioCiclo,$S153+MOD(2-WEEKDAY($S153),7))+27),1,IF(ISNUMBER($L153),$L153,$AA153)))</f>
        <v/>
      </c>
      <c r="AC153" s="62">
        <f>IF($V153="","",IF(AND(ISNUMBER($G153),$G153&lt;=IF($S153=MesCiclo,InicioCiclo,$S153+MOD(2-WEEKDAY($S153),7))+6),1,IF(N($W153)&gt;0,AVERAGEIFS($Y$5:$Y$1000,$U$5:$U$1000,ROW(),$V$5:$V$1000,"Sub"),$Y153)))</f>
        <v/>
      </c>
      <c r="AD153" s="62">
        <f>IF($V153="","",IF(AND(ISNUMBER($G153),$G153&lt;=IF($S153=MesCiclo,InicioCiclo,$S153+MOD(2-WEEKDAY($S153),7))+13),1,IF(N($W153)&gt;0,AVERAGEIFS($Z$5:$Z$1000,$U$5:$U$1000,ROW(),$V$5:$V$1000,"Sub"),$Z153)))</f>
        <v/>
      </c>
      <c r="AE153" s="62">
        <f>IF($V153="","",IF(AND(ISNUMBER($G153),$G153&lt;=IF($S153=MesCiclo,InicioCiclo,$S153+MOD(2-WEEKDAY($S153),7))+20),1,IF(N($W153)&gt;0,AVERAGEIFS($AA$5:$AA$1000,$U$5:$U$1000,ROW(),$V$5:$V$1000,"Sub"),$AA153)))</f>
        <v/>
      </c>
      <c r="AF153" s="62">
        <f>IF($V153="","",IF(AND(ISNUMBER($G153),$G153&lt;=IF($S153=MesCiclo,InicioCiclo,$S153+MOD(2-WEEKDAY($S153),7))+27),1,IF(N($W153)&gt;0,AVERAGEIFS($AB$5:$AB$1000,$U$5:$U$1000,ROW(),$V$5:$V$1000,"Sub"),$AB153)))</f>
        <v/>
      </c>
      <c r="AG153" s="62">
        <f>IF($V153&lt;&gt;"Macro","",IF(COUNTIFS($S$5:$S$1000,$S153,$V$5:$V$1000,"Macro",$H$5:$H$1000,"&gt;0")=0,1/COUNTIFS($S$5:$S$1000,$S153,$V$5:$V$1000,"Macro"),IF(AND(ISNUMBER($H153),N($H153)&gt;0),$H153,SUMIFS($H$5:$H$1000,$S$5:$S$1000,$S153,$V$5:$V$1000,"Macro")/COUNTIFS($S$5:$S$1000,$S153,$V$5:$V$1000,"Macro",$H$5:$H$1000,"&gt;0"))/(COUNTIFS($S$5:$S$1000,$S153,$V$5:$V$1000,"Macro")*SUMIFS($H$5:$H$1000,$S$5:$S$1000,$S153,$V$5:$V$1000,"Macro")/COUNTIFS($S$5:$S$1000,$S153,$V$5:$V$1000,"Macro",$H$5:$H$1000,"&gt;0"))))</f>
        <v/>
      </c>
      <c r="AH153" s="62" t="n"/>
      <c r="AI153" s="62" t="n"/>
      <c r="AJ153" s="62" t="n"/>
      <c r="AK153" s="62" t="n"/>
      <c r="AL153" s="62">
        <f>IF(LEFT($C153,11)="[Jefatura] ",IFERROR(MATCH("Riesgo Operacional|"&amp;MID($C153,12,500),rDname_ADM,0),0),"")</f>
        <v/>
      </c>
      <c r="AM153" s="62">
        <f>IF(N($AL153)&gt;0,INDEX(rIni_ADM,$AL153),IF(ISNUMBER($E153),$E153,""))</f>
        <v/>
      </c>
      <c r="AN153" s="62">
        <f>IF(N($AL153)&gt;0,INDEX(rLim_ADM,$AL153),IF(ISNUMBER($F153),$F153,""))</f>
        <v/>
      </c>
    </row>
    <row r="154">
      <c r="A154" s="56">
        <f>IF(NOT((COUNTA($B154:$D154)+COUNTA($G154:$L154)+COUNTA($Q154))&gt;0),"",IF($V154="Macro",COUNTIFS($V$5:$V154,"Macro",$S$5:$S154,$S154),IF(N($U154)=0,"?",COUNTIFS(INDEX($V$5:$V$1000,1):INDEX($V$5:$V$1000,$U154-4),"Macro",INDEX($S$5:$S$1000,1):INDEX($S$5:$S$1000,$U154-4),INDEX($S$5:$S$1000,$U154-4))&amp;"."&amp;COUNTIFS($U$5:$U154,$U154,$V$5:$V154,"Sub"))))</f>
        <v/>
      </c>
      <c r="B154" s="57" t="n"/>
      <c r="C154" s="58" t="n"/>
      <c r="D154" s="58" t="n"/>
      <c r="E154" s="59">
        <f>IF(N($AL154)&gt;0,INDEX(rIni_ADM,$AL154),"")</f>
        <v/>
      </c>
      <c r="F154" s="59">
        <f>IF(N($AL154)&gt;0,INDEX(rLim_ADM,$AL154),"")</f>
        <v/>
      </c>
      <c r="G154" s="59" t="n"/>
      <c r="H154" s="60" t="n"/>
      <c r="I154" s="60" t="n"/>
      <c r="J154" s="60" t="n"/>
      <c r="K154" s="60" t="n"/>
      <c r="L154" s="60" t="n"/>
      <c r="M154" s="61">
        <f>IF(NOT((COUNTA($B154:$D154)+COUNTA($G154:$L154)+COUNTA($Q154))&gt;0),"",IF(ISNUMBER($G154),1,IF(N($W154)&gt;0,AVERAGEIFS($X$5:$X$1000,$U$5:$U$1000,ROW(),$V$5:$V$1000,"Sub"),$X154)))</f>
        <v/>
      </c>
      <c r="N154" s="56">
        <f>IF($M154="","",IF($M154&gt;=1,"Completado",IF($M154&gt;0,"En curso","Pendiente")))</f>
        <v/>
      </c>
      <c r="O154" s="56">
        <f>IF(NOT((COUNTA($B154:$D154)+COUNTA($G154:$L154)+COUNTA($Q154))&gt;0),"",IF(ISNUMBER($G154),IF(AND(ISNUMBER($AN154),$G154&gt;$AN154),"Cumplida con "&amp;($G154-$AN154)&amp;IF($G154-$AN154=1," día"," días")&amp;" de retraso","Cumplida"),IF(N($M154)&gt;=1,"Cumplida",IF(NOT(ISNUMBER($AN154)),"Sin fecha límite",IF($AN154&lt;FechaRef,"Vencida hace "&amp;(FechaRef-$AN154)&amp;IF(FechaRef-$AN154=1," día"," días"),IF($AN154=FechaRef,"Vence hoy",IF($AN154-FechaRef&lt;=DiasAlerta,"Vence en "&amp;($AN154-FechaRef)&amp;IF($AN154-FechaRef=1," día"," días"),"En plazo")))))))</f>
        <v/>
      </c>
      <c r="P154" s="62" t="n"/>
      <c r="Q154" s="58" t="n"/>
      <c r="R154" s="63">
        <f>IF(NOT((COUNTA($B154:$D154)+COUNTA($G154:$L154)+COUNTA($Q154))&gt;0),"",IF((IF($C154="","Falta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",""))="","✔ OK","⚠ "&amp;LEFT(IF($C154="","Falta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",""),LEN(IF($C154="","Falta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",""))-3)))</f>
        <v/>
      </c>
      <c r="S154" s="64">
        <f>IF(NOT((COUNTA($B154:$D154)+COUNTA($G154:$L154)+COUNTA($Q154))&gt;0),"",IF(AND($V154="Sub",N($U154)&gt;0),IF(ISNUMBER(INDEX($AM$5:$AM$1000,$U154-4)),DATE(YEAR(INDEX($AM$5:$AM$1000,$U154-4)),MONTH(INDEX($AM$5:$AM$1000,$U154-4)),1),IF(ISNUMBER(INDEX($AN$5:$AN$1000,$U154-4)),DATE(YEAR(INDEX($AN$5:$AN$1000,$U154-4)),MONTH(INDEX($AN$5:$AN$1000,$U154-4)),1),MesCiclo)),IF(ISNUMBER($AM154),DATE(YEAR($AM154),MONTH($AM154),1),IF(ISNUMBER($AN154),DATE(YEAR($AN154),MONTH($AN154),1),MesCiclo))))</f>
        <v/>
      </c>
      <c r="T154" s="62">
        <f>IF(OR($S154="",$S154&lt;&gt;MesCiclo),"",COUNTIF($S$5:$S154,MesCiclo))</f>
        <v/>
      </c>
      <c r="U154" s="62">
        <f>IF($V154="","",IF($V154="Macro",ROW(),IFERROR(LOOKUP(2,1/($V$5:$V154="Macro"),ROW($V$5:$V154)),0)))</f>
        <v/>
      </c>
      <c r="V154" s="62">
        <f>IF(NOT((COUNTA($B154:$D154)+COUNTA($G154:$L154)+COUNTA($Q154))&gt;0),"",IF($B154="Subactividad","Sub","Macro"))</f>
        <v/>
      </c>
      <c r="W154" s="62">
        <f>IF($V154="Macro",COUNTIFS($U$5:$U$1000,ROW(),$V$5:$V$1000,"Sub"),"")</f>
        <v/>
      </c>
      <c r="X154" s="62">
        <f>IF($V154="","",IF(ISNUMBER($G154),1,IFERROR(LOOKUP(2,1/($I154:$L154&lt;&gt;""),$I154:$L154),0)))</f>
        <v/>
      </c>
      <c r="Y154" s="62">
        <f>IF($V154="","",IF(AND(ISNUMBER($G154),$G154&lt;=IF($S154=MesCiclo,InicioCiclo,$S154+MOD(2-WEEKDAY($S154),7))+6),1,IF(ISNUMBER($I154),$I154,0)))</f>
        <v/>
      </c>
      <c r="Z154" s="62">
        <f>IF($V154="","",IF(AND(ISNUMBER($G154),$G154&lt;=IF($S154=MesCiclo,InicioCiclo,$S154+MOD(2-WEEKDAY($S154),7))+13),1,IF(ISNUMBER($J154),$J154,$Y154)))</f>
        <v/>
      </c>
      <c r="AA154" s="62">
        <f>IF($V154="","",IF(AND(ISNUMBER($G154),$G154&lt;=IF($S154=MesCiclo,InicioCiclo,$S154+MOD(2-WEEKDAY($S154),7))+20),1,IF(ISNUMBER($K154),$K154,$Z154)))</f>
        <v/>
      </c>
      <c r="AB154" s="62">
        <f>IF($V154="","",IF(AND(ISNUMBER($G154),$G154&lt;=IF($S154=MesCiclo,InicioCiclo,$S154+MOD(2-WEEKDAY($S154),7))+27),1,IF(ISNUMBER($L154),$L154,$AA154)))</f>
        <v/>
      </c>
      <c r="AC154" s="62">
        <f>IF($V154="","",IF(AND(ISNUMBER($G154),$G154&lt;=IF($S154=MesCiclo,InicioCiclo,$S154+MOD(2-WEEKDAY($S154),7))+6),1,IF(N($W154)&gt;0,AVERAGEIFS($Y$5:$Y$1000,$U$5:$U$1000,ROW(),$V$5:$V$1000,"Sub"),$Y154)))</f>
        <v/>
      </c>
      <c r="AD154" s="62">
        <f>IF($V154="","",IF(AND(ISNUMBER($G154),$G154&lt;=IF($S154=MesCiclo,InicioCiclo,$S154+MOD(2-WEEKDAY($S154),7))+13),1,IF(N($W154)&gt;0,AVERAGEIFS($Z$5:$Z$1000,$U$5:$U$1000,ROW(),$V$5:$V$1000,"Sub"),$Z154)))</f>
        <v/>
      </c>
      <c r="AE154" s="62">
        <f>IF($V154="","",IF(AND(ISNUMBER($G154),$G154&lt;=IF($S154=MesCiclo,InicioCiclo,$S154+MOD(2-WEEKDAY($S154),7))+20),1,IF(N($W154)&gt;0,AVERAGEIFS($AA$5:$AA$1000,$U$5:$U$1000,ROW(),$V$5:$V$1000,"Sub"),$AA154)))</f>
        <v/>
      </c>
      <c r="AF154" s="62">
        <f>IF($V154="","",IF(AND(ISNUMBER($G154),$G154&lt;=IF($S154=MesCiclo,InicioCiclo,$S154+MOD(2-WEEKDAY($S154),7))+27),1,IF(N($W154)&gt;0,AVERAGEIFS($AB$5:$AB$1000,$U$5:$U$1000,ROW(),$V$5:$V$1000,"Sub"),$AB154)))</f>
        <v/>
      </c>
      <c r="AG154" s="62">
        <f>IF($V154&lt;&gt;"Macro","",IF(COUNTIFS($S$5:$S$1000,$S154,$V$5:$V$1000,"Macro",$H$5:$H$1000,"&gt;0")=0,1/COUNTIFS($S$5:$S$1000,$S154,$V$5:$V$1000,"Macro"),IF(AND(ISNUMBER($H154),N($H154)&gt;0),$H154,SUMIFS($H$5:$H$1000,$S$5:$S$1000,$S154,$V$5:$V$1000,"Macro")/COUNTIFS($S$5:$S$1000,$S154,$V$5:$V$1000,"Macro",$H$5:$H$1000,"&gt;0"))/(COUNTIFS($S$5:$S$1000,$S154,$V$5:$V$1000,"Macro")*SUMIFS($H$5:$H$1000,$S$5:$S$1000,$S154,$V$5:$V$1000,"Macro")/COUNTIFS($S$5:$S$1000,$S154,$V$5:$V$1000,"Macro",$H$5:$H$1000,"&gt;0"))))</f>
        <v/>
      </c>
      <c r="AH154" s="62" t="n"/>
      <c r="AI154" s="62" t="n"/>
      <c r="AJ154" s="62" t="n"/>
      <c r="AK154" s="62" t="n"/>
      <c r="AL154" s="62">
        <f>IF(LEFT($C154,11)="[Jefatura] ",IFERROR(MATCH("Riesgo Operacional|"&amp;MID($C154,12,500),rDname_ADM,0),0),"")</f>
        <v/>
      </c>
      <c r="AM154" s="62">
        <f>IF(N($AL154)&gt;0,INDEX(rIni_ADM,$AL154),IF(ISNUMBER($E154),$E154,""))</f>
        <v/>
      </c>
      <c r="AN154" s="62">
        <f>IF(N($AL154)&gt;0,INDEX(rLim_ADM,$AL154),IF(ISNUMBER($F154),$F154,""))</f>
        <v/>
      </c>
    </row>
    <row r="155">
      <c r="A155" s="56">
        <f>IF(NOT((COUNTA($B155:$D155)+COUNTA($G155:$L155)+COUNTA($Q155))&gt;0),"",IF($V155="Macro",COUNTIFS($V$5:$V155,"Macro",$S$5:$S155,$S155),IF(N($U155)=0,"?",COUNTIFS(INDEX($V$5:$V$1000,1):INDEX($V$5:$V$1000,$U155-4),"Macro",INDEX($S$5:$S$1000,1):INDEX($S$5:$S$1000,$U155-4),INDEX($S$5:$S$1000,$U155-4))&amp;"."&amp;COUNTIFS($U$5:$U155,$U155,$V$5:$V155,"Sub"))))</f>
        <v/>
      </c>
      <c r="B155" s="57" t="n"/>
      <c r="C155" s="58" t="n"/>
      <c r="D155" s="58" t="n"/>
      <c r="E155" s="59">
        <f>IF(N($AL155)&gt;0,INDEX(rIni_ADM,$AL155),"")</f>
        <v/>
      </c>
      <c r="F155" s="59">
        <f>IF(N($AL155)&gt;0,INDEX(rLim_ADM,$AL155),"")</f>
        <v/>
      </c>
      <c r="G155" s="59" t="n"/>
      <c r="H155" s="60" t="n"/>
      <c r="I155" s="60" t="n"/>
      <c r="J155" s="60" t="n"/>
      <c r="K155" s="60" t="n"/>
      <c r="L155" s="60" t="n"/>
      <c r="M155" s="61">
        <f>IF(NOT((COUNTA($B155:$D155)+COUNTA($G155:$L155)+COUNTA($Q155))&gt;0),"",IF(ISNUMBER($G155),1,IF(N($W155)&gt;0,AVERAGEIFS($X$5:$X$1000,$U$5:$U$1000,ROW(),$V$5:$V$1000,"Sub"),$X155)))</f>
        <v/>
      </c>
      <c r="N155" s="56">
        <f>IF($M155="","",IF($M155&gt;=1,"Completado",IF($M155&gt;0,"En curso","Pendiente")))</f>
        <v/>
      </c>
      <c r="O155" s="56">
        <f>IF(NOT((COUNTA($B155:$D155)+COUNTA($G155:$L155)+COUNTA($Q155))&gt;0),"",IF(ISNUMBER($G155),IF(AND(ISNUMBER($AN155),$G155&gt;$AN155),"Cumplida con "&amp;($G155-$AN155)&amp;IF($G155-$AN155=1," día"," días")&amp;" de retraso","Cumplida"),IF(N($M155)&gt;=1,"Cumplida",IF(NOT(ISNUMBER($AN155)),"Sin fecha límite",IF($AN155&lt;FechaRef,"Vencida hace "&amp;(FechaRef-$AN155)&amp;IF(FechaRef-$AN155=1," día"," días"),IF($AN155=FechaRef,"Vence hoy",IF($AN155-FechaRef&lt;=DiasAlerta,"Vence en "&amp;($AN155-FechaRef)&amp;IF($AN155-FechaRef=1," día"," días"),"En plazo")))))))</f>
        <v/>
      </c>
      <c r="P155" s="62" t="n"/>
      <c r="Q155" s="58" t="n"/>
      <c r="R155" s="63">
        <f>IF(NOT((COUNTA($B155:$D155)+COUNTA($G155:$L155)+COUNTA($Q155))&gt;0),"",IF((IF($C155="","Falta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",""))="","✔ OK","⚠ "&amp;LEFT(IF($C155="","Falta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",""),LEN(IF($C155="","Falta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",""))-3)))</f>
        <v/>
      </c>
      <c r="S155" s="64">
        <f>IF(NOT((COUNTA($B155:$D155)+COUNTA($G155:$L155)+COUNTA($Q155))&gt;0),"",IF(AND($V155="Sub",N($U155)&gt;0),IF(ISNUMBER(INDEX($AM$5:$AM$1000,$U155-4)),DATE(YEAR(INDEX($AM$5:$AM$1000,$U155-4)),MONTH(INDEX($AM$5:$AM$1000,$U155-4)),1),IF(ISNUMBER(INDEX($AN$5:$AN$1000,$U155-4)),DATE(YEAR(INDEX($AN$5:$AN$1000,$U155-4)),MONTH(INDEX($AN$5:$AN$1000,$U155-4)),1),MesCiclo)),IF(ISNUMBER($AM155),DATE(YEAR($AM155),MONTH($AM155),1),IF(ISNUMBER($AN155),DATE(YEAR($AN155),MONTH($AN155),1),MesCiclo))))</f>
        <v/>
      </c>
      <c r="T155" s="62">
        <f>IF(OR($S155="",$S155&lt;&gt;MesCiclo),"",COUNTIF($S$5:$S155,MesCiclo))</f>
        <v/>
      </c>
      <c r="U155" s="62">
        <f>IF($V155="","",IF($V155="Macro",ROW(),IFERROR(LOOKUP(2,1/($V$5:$V155="Macro"),ROW($V$5:$V155)),0)))</f>
        <v/>
      </c>
      <c r="V155" s="62">
        <f>IF(NOT((COUNTA($B155:$D155)+COUNTA($G155:$L155)+COUNTA($Q155))&gt;0),"",IF($B155="Subactividad","Sub","Macro"))</f>
        <v/>
      </c>
      <c r="W155" s="62">
        <f>IF($V155="Macro",COUNTIFS($U$5:$U$1000,ROW(),$V$5:$V$1000,"Sub"),"")</f>
        <v/>
      </c>
      <c r="X155" s="62">
        <f>IF($V155="","",IF(ISNUMBER($G155),1,IFERROR(LOOKUP(2,1/($I155:$L155&lt;&gt;""),$I155:$L155),0)))</f>
        <v/>
      </c>
      <c r="Y155" s="62">
        <f>IF($V155="","",IF(AND(ISNUMBER($G155),$G155&lt;=IF($S155=MesCiclo,InicioCiclo,$S155+MOD(2-WEEKDAY($S155),7))+6),1,IF(ISNUMBER($I155),$I155,0)))</f>
        <v/>
      </c>
      <c r="Z155" s="62">
        <f>IF($V155="","",IF(AND(ISNUMBER($G155),$G155&lt;=IF($S155=MesCiclo,InicioCiclo,$S155+MOD(2-WEEKDAY($S155),7))+13),1,IF(ISNUMBER($J155),$J155,$Y155)))</f>
        <v/>
      </c>
      <c r="AA155" s="62">
        <f>IF($V155="","",IF(AND(ISNUMBER($G155),$G155&lt;=IF($S155=MesCiclo,InicioCiclo,$S155+MOD(2-WEEKDAY($S155),7))+20),1,IF(ISNUMBER($K155),$K155,$Z155)))</f>
        <v/>
      </c>
      <c r="AB155" s="62">
        <f>IF($V155="","",IF(AND(ISNUMBER($G155),$G155&lt;=IF($S155=MesCiclo,InicioCiclo,$S155+MOD(2-WEEKDAY($S155),7))+27),1,IF(ISNUMBER($L155),$L155,$AA155)))</f>
        <v/>
      </c>
      <c r="AC155" s="62">
        <f>IF($V155="","",IF(AND(ISNUMBER($G155),$G155&lt;=IF($S155=MesCiclo,InicioCiclo,$S155+MOD(2-WEEKDAY($S155),7))+6),1,IF(N($W155)&gt;0,AVERAGEIFS($Y$5:$Y$1000,$U$5:$U$1000,ROW(),$V$5:$V$1000,"Sub"),$Y155)))</f>
        <v/>
      </c>
      <c r="AD155" s="62">
        <f>IF($V155="","",IF(AND(ISNUMBER($G155),$G155&lt;=IF($S155=MesCiclo,InicioCiclo,$S155+MOD(2-WEEKDAY($S155),7))+13),1,IF(N($W155)&gt;0,AVERAGEIFS($Z$5:$Z$1000,$U$5:$U$1000,ROW(),$V$5:$V$1000,"Sub"),$Z155)))</f>
        <v/>
      </c>
      <c r="AE155" s="62">
        <f>IF($V155="","",IF(AND(ISNUMBER($G155),$G155&lt;=IF($S155=MesCiclo,InicioCiclo,$S155+MOD(2-WEEKDAY($S155),7))+20),1,IF(N($W155)&gt;0,AVERAGEIFS($AA$5:$AA$1000,$U$5:$U$1000,ROW(),$V$5:$V$1000,"Sub"),$AA155)))</f>
        <v/>
      </c>
      <c r="AF155" s="62">
        <f>IF($V155="","",IF(AND(ISNUMBER($G155),$G155&lt;=IF($S155=MesCiclo,InicioCiclo,$S155+MOD(2-WEEKDAY($S155),7))+27),1,IF(N($W155)&gt;0,AVERAGEIFS($AB$5:$AB$1000,$U$5:$U$1000,ROW(),$V$5:$V$1000,"Sub"),$AB155)))</f>
        <v/>
      </c>
      <c r="AG155" s="62">
        <f>IF($V155&lt;&gt;"Macro","",IF(COUNTIFS($S$5:$S$1000,$S155,$V$5:$V$1000,"Macro",$H$5:$H$1000,"&gt;0")=0,1/COUNTIFS($S$5:$S$1000,$S155,$V$5:$V$1000,"Macro"),IF(AND(ISNUMBER($H155),N($H155)&gt;0),$H155,SUMIFS($H$5:$H$1000,$S$5:$S$1000,$S155,$V$5:$V$1000,"Macro")/COUNTIFS($S$5:$S$1000,$S155,$V$5:$V$1000,"Macro",$H$5:$H$1000,"&gt;0"))/(COUNTIFS($S$5:$S$1000,$S155,$V$5:$V$1000,"Macro")*SUMIFS($H$5:$H$1000,$S$5:$S$1000,$S155,$V$5:$V$1000,"Macro")/COUNTIFS($S$5:$S$1000,$S155,$V$5:$V$1000,"Macro",$H$5:$H$1000,"&gt;0"))))</f>
        <v/>
      </c>
      <c r="AH155" s="62" t="n"/>
      <c r="AI155" s="62" t="n"/>
      <c r="AJ155" s="62" t="n"/>
      <c r="AK155" s="62" t="n"/>
      <c r="AL155" s="62">
        <f>IF(LEFT($C155,11)="[Jefatura] ",IFERROR(MATCH("Riesgo Operacional|"&amp;MID($C155,12,500),rDname_ADM,0),0),"")</f>
        <v/>
      </c>
      <c r="AM155" s="62">
        <f>IF(N($AL155)&gt;0,INDEX(rIni_ADM,$AL155),IF(ISNUMBER($E155),$E155,""))</f>
        <v/>
      </c>
      <c r="AN155" s="62">
        <f>IF(N($AL155)&gt;0,INDEX(rLim_ADM,$AL155),IF(ISNUMBER($F155),$F155,""))</f>
        <v/>
      </c>
    </row>
    <row r="156">
      <c r="A156" s="56">
        <f>IF(NOT((COUNTA($B156:$D156)+COUNTA($G156:$L156)+COUNTA($Q156))&gt;0),"",IF($V156="Macro",COUNTIFS($V$5:$V156,"Macro",$S$5:$S156,$S156),IF(N($U156)=0,"?",COUNTIFS(INDEX($V$5:$V$1000,1):INDEX($V$5:$V$1000,$U156-4),"Macro",INDEX($S$5:$S$1000,1):INDEX($S$5:$S$1000,$U156-4),INDEX($S$5:$S$1000,$U156-4))&amp;"."&amp;COUNTIFS($U$5:$U156,$U156,$V$5:$V156,"Sub"))))</f>
        <v/>
      </c>
      <c r="B156" s="57" t="n"/>
      <c r="C156" s="58" t="n"/>
      <c r="D156" s="58" t="n"/>
      <c r="E156" s="59">
        <f>IF(N($AL156)&gt;0,INDEX(rIni_ADM,$AL156),"")</f>
        <v/>
      </c>
      <c r="F156" s="59">
        <f>IF(N($AL156)&gt;0,INDEX(rLim_ADM,$AL156),"")</f>
        <v/>
      </c>
      <c r="G156" s="59" t="n"/>
      <c r="H156" s="60" t="n"/>
      <c r="I156" s="60" t="n"/>
      <c r="J156" s="60" t="n"/>
      <c r="K156" s="60" t="n"/>
      <c r="L156" s="60" t="n"/>
      <c r="M156" s="61">
        <f>IF(NOT((COUNTA($B156:$D156)+COUNTA($G156:$L156)+COUNTA($Q156))&gt;0),"",IF(ISNUMBER($G156),1,IF(N($W156)&gt;0,AVERAGEIFS($X$5:$X$1000,$U$5:$U$1000,ROW(),$V$5:$V$1000,"Sub"),$X156)))</f>
        <v/>
      </c>
      <c r="N156" s="56">
        <f>IF($M156="","",IF($M156&gt;=1,"Completado",IF($M156&gt;0,"En curso","Pendiente")))</f>
        <v/>
      </c>
      <c r="O156" s="56">
        <f>IF(NOT((COUNTA($B156:$D156)+COUNTA($G156:$L156)+COUNTA($Q156))&gt;0),"",IF(ISNUMBER($G156),IF(AND(ISNUMBER($AN156),$G156&gt;$AN156),"Cumplida con "&amp;($G156-$AN156)&amp;IF($G156-$AN156=1," día"," días")&amp;" de retraso","Cumplida"),IF(N($M156)&gt;=1,"Cumplida",IF(NOT(ISNUMBER($AN156)),"Sin fecha límite",IF($AN156&lt;FechaRef,"Vencida hace "&amp;(FechaRef-$AN156)&amp;IF(FechaRef-$AN156=1," día"," días"),IF($AN156=FechaRef,"Vence hoy",IF($AN156-FechaRef&lt;=DiasAlerta,"Vence en "&amp;($AN156-FechaRef)&amp;IF($AN156-FechaRef=1," día"," días"),"En plazo")))))))</f>
        <v/>
      </c>
      <c r="P156" s="62" t="n"/>
      <c r="Q156" s="58" t="n"/>
      <c r="R156" s="63">
        <f>IF(NOT((COUNTA($B156:$D156)+COUNTA($G156:$L156)+COUNTA($Q156))&gt;0),"",IF((IF($C156="","Falta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",""))="","✔ OK","⚠ "&amp;LEFT(IF($C156="","Falta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",""),LEN(IF($C156="","Falta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",""))-3)))</f>
        <v/>
      </c>
      <c r="S156" s="64">
        <f>IF(NOT((COUNTA($B156:$D156)+COUNTA($G156:$L156)+COUNTA($Q156))&gt;0),"",IF(AND($V156="Sub",N($U156)&gt;0),IF(ISNUMBER(INDEX($AM$5:$AM$1000,$U156-4)),DATE(YEAR(INDEX($AM$5:$AM$1000,$U156-4)),MONTH(INDEX($AM$5:$AM$1000,$U156-4)),1),IF(ISNUMBER(INDEX($AN$5:$AN$1000,$U156-4)),DATE(YEAR(INDEX($AN$5:$AN$1000,$U156-4)),MONTH(INDEX($AN$5:$AN$1000,$U156-4)),1),MesCiclo)),IF(ISNUMBER($AM156),DATE(YEAR($AM156),MONTH($AM156),1),IF(ISNUMBER($AN156),DATE(YEAR($AN156),MONTH($AN156),1),MesCiclo))))</f>
        <v/>
      </c>
      <c r="T156" s="62">
        <f>IF(OR($S156="",$S156&lt;&gt;MesCiclo),"",COUNTIF($S$5:$S156,MesCiclo))</f>
        <v/>
      </c>
      <c r="U156" s="62">
        <f>IF($V156="","",IF($V156="Macro",ROW(),IFERROR(LOOKUP(2,1/($V$5:$V156="Macro"),ROW($V$5:$V156)),0)))</f>
        <v/>
      </c>
      <c r="V156" s="62">
        <f>IF(NOT((COUNTA($B156:$D156)+COUNTA($G156:$L156)+COUNTA($Q156))&gt;0),"",IF($B156="Subactividad","Sub","Macro"))</f>
        <v/>
      </c>
      <c r="W156" s="62">
        <f>IF($V156="Macro",COUNTIFS($U$5:$U$1000,ROW(),$V$5:$V$1000,"Sub"),"")</f>
        <v/>
      </c>
      <c r="X156" s="62">
        <f>IF($V156="","",IF(ISNUMBER($G156),1,IFERROR(LOOKUP(2,1/($I156:$L156&lt;&gt;""),$I156:$L156),0)))</f>
        <v/>
      </c>
      <c r="Y156" s="62">
        <f>IF($V156="","",IF(AND(ISNUMBER($G156),$G156&lt;=IF($S156=MesCiclo,InicioCiclo,$S156+MOD(2-WEEKDAY($S156),7))+6),1,IF(ISNUMBER($I156),$I156,0)))</f>
        <v/>
      </c>
      <c r="Z156" s="62">
        <f>IF($V156="","",IF(AND(ISNUMBER($G156),$G156&lt;=IF($S156=MesCiclo,InicioCiclo,$S156+MOD(2-WEEKDAY($S156),7))+13),1,IF(ISNUMBER($J156),$J156,$Y156)))</f>
        <v/>
      </c>
      <c r="AA156" s="62">
        <f>IF($V156="","",IF(AND(ISNUMBER($G156),$G156&lt;=IF($S156=MesCiclo,InicioCiclo,$S156+MOD(2-WEEKDAY($S156),7))+20),1,IF(ISNUMBER($K156),$K156,$Z156)))</f>
        <v/>
      </c>
      <c r="AB156" s="62">
        <f>IF($V156="","",IF(AND(ISNUMBER($G156),$G156&lt;=IF($S156=MesCiclo,InicioCiclo,$S156+MOD(2-WEEKDAY($S156),7))+27),1,IF(ISNUMBER($L156),$L156,$AA156)))</f>
        <v/>
      </c>
      <c r="AC156" s="62">
        <f>IF($V156="","",IF(AND(ISNUMBER($G156),$G156&lt;=IF($S156=MesCiclo,InicioCiclo,$S156+MOD(2-WEEKDAY($S156),7))+6),1,IF(N($W156)&gt;0,AVERAGEIFS($Y$5:$Y$1000,$U$5:$U$1000,ROW(),$V$5:$V$1000,"Sub"),$Y156)))</f>
        <v/>
      </c>
      <c r="AD156" s="62">
        <f>IF($V156="","",IF(AND(ISNUMBER($G156),$G156&lt;=IF($S156=MesCiclo,InicioCiclo,$S156+MOD(2-WEEKDAY($S156),7))+13),1,IF(N($W156)&gt;0,AVERAGEIFS($Z$5:$Z$1000,$U$5:$U$1000,ROW(),$V$5:$V$1000,"Sub"),$Z156)))</f>
        <v/>
      </c>
      <c r="AE156" s="62">
        <f>IF($V156="","",IF(AND(ISNUMBER($G156),$G156&lt;=IF($S156=MesCiclo,InicioCiclo,$S156+MOD(2-WEEKDAY($S156),7))+20),1,IF(N($W156)&gt;0,AVERAGEIFS($AA$5:$AA$1000,$U$5:$U$1000,ROW(),$V$5:$V$1000,"Sub"),$AA156)))</f>
        <v/>
      </c>
      <c r="AF156" s="62">
        <f>IF($V156="","",IF(AND(ISNUMBER($G156),$G156&lt;=IF($S156=MesCiclo,InicioCiclo,$S156+MOD(2-WEEKDAY($S156),7))+27),1,IF(N($W156)&gt;0,AVERAGEIFS($AB$5:$AB$1000,$U$5:$U$1000,ROW(),$V$5:$V$1000,"Sub"),$AB156)))</f>
        <v/>
      </c>
      <c r="AG156" s="62">
        <f>IF($V156&lt;&gt;"Macro","",IF(COUNTIFS($S$5:$S$1000,$S156,$V$5:$V$1000,"Macro",$H$5:$H$1000,"&gt;0")=0,1/COUNTIFS($S$5:$S$1000,$S156,$V$5:$V$1000,"Macro"),IF(AND(ISNUMBER($H156),N($H156)&gt;0),$H156,SUMIFS($H$5:$H$1000,$S$5:$S$1000,$S156,$V$5:$V$1000,"Macro")/COUNTIFS($S$5:$S$1000,$S156,$V$5:$V$1000,"Macro",$H$5:$H$1000,"&gt;0"))/(COUNTIFS($S$5:$S$1000,$S156,$V$5:$V$1000,"Macro")*SUMIFS($H$5:$H$1000,$S$5:$S$1000,$S156,$V$5:$V$1000,"Macro")/COUNTIFS($S$5:$S$1000,$S156,$V$5:$V$1000,"Macro",$H$5:$H$1000,"&gt;0"))))</f>
        <v/>
      </c>
      <c r="AH156" s="62" t="n"/>
      <c r="AI156" s="62" t="n"/>
      <c r="AJ156" s="62" t="n"/>
      <c r="AK156" s="62" t="n"/>
      <c r="AL156" s="62">
        <f>IF(LEFT($C156,11)="[Jefatura] ",IFERROR(MATCH("Riesgo Operacional|"&amp;MID($C156,12,500),rDname_ADM,0),0),"")</f>
        <v/>
      </c>
      <c r="AM156" s="62">
        <f>IF(N($AL156)&gt;0,INDEX(rIni_ADM,$AL156),IF(ISNUMBER($E156),$E156,""))</f>
        <v/>
      </c>
      <c r="AN156" s="62">
        <f>IF(N($AL156)&gt;0,INDEX(rLim_ADM,$AL156),IF(ISNUMBER($F156),$F156,""))</f>
        <v/>
      </c>
    </row>
    <row r="157">
      <c r="A157" s="56">
        <f>IF(NOT((COUNTA($B157:$D157)+COUNTA($G157:$L157)+COUNTA($Q157))&gt;0),"",IF($V157="Macro",COUNTIFS($V$5:$V157,"Macro",$S$5:$S157,$S157),IF(N($U157)=0,"?",COUNTIFS(INDEX($V$5:$V$1000,1):INDEX($V$5:$V$1000,$U157-4),"Macro",INDEX($S$5:$S$1000,1):INDEX($S$5:$S$1000,$U157-4),INDEX($S$5:$S$1000,$U157-4))&amp;"."&amp;COUNTIFS($U$5:$U157,$U157,$V$5:$V157,"Sub"))))</f>
        <v/>
      </c>
      <c r="B157" s="57" t="n"/>
      <c r="C157" s="58" t="n"/>
      <c r="D157" s="58" t="n"/>
      <c r="E157" s="59">
        <f>IF(N($AL157)&gt;0,INDEX(rIni_ADM,$AL157),"")</f>
        <v/>
      </c>
      <c r="F157" s="59">
        <f>IF(N($AL157)&gt;0,INDEX(rLim_ADM,$AL157),"")</f>
        <v/>
      </c>
      <c r="G157" s="59" t="n"/>
      <c r="H157" s="60" t="n"/>
      <c r="I157" s="60" t="n"/>
      <c r="J157" s="60" t="n"/>
      <c r="K157" s="60" t="n"/>
      <c r="L157" s="60" t="n"/>
      <c r="M157" s="61">
        <f>IF(NOT((COUNTA($B157:$D157)+COUNTA($G157:$L157)+COUNTA($Q157))&gt;0),"",IF(ISNUMBER($G157),1,IF(N($W157)&gt;0,AVERAGEIFS($X$5:$X$1000,$U$5:$U$1000,ROW(),$V$5:$V$1000,"Sub"),$X157)))</f>
        <v/>
      </c>
      <c r="N157" s="56">
        <f>IF($M157="","",IF($M157&gt;=1,"Completado",IF($M157&gt;0,"En curso","Pendiente")))</f>
        <v/>
      </c>
      <c r="O157" s="56">
        <f>IF(NOT((COUNTA($B157:$D157)+COUNTA($G157:$L157)+COUNTA($Q157))&gt;0),"",IF(ISNUMBER($G157),IF(AND(ISNUMBER($AN157),$G157&gt;$AN157),"Cumplida con "&amp;($G157-$AN157)&amp;IF($G157-$AN157=1," día"," días")&amp;" de retraso","Cumplida"),IF(N($M157)&gt;=1,"Cumplida",IF(NOT(ISNUMBER($AN157)),"Sin fecha límite",IF($AN157&lt;FechaRef,"Vencida hace "&amp;(FechaRef-$AN157)&amp;IF(FechaRef-$AN157=1," día"," días"),IF($AN157=FechaRef,"Vence hoy",IF($AN157-FechaRef&lt;=DiasAlerta,"Vence en "&amp;($AN157-FechaRef)&amp;IF($AN157-FechaRef=1," día"," días"),"En plazo")))))))</f>
        <v/>
      </c>
      <c r="P157" s="62" t="n"/>
      <c r="Q157" s="58" t="n"/>
      <c r="R157" s="63">
        <f>IF(NOT((COUNTA($B157:$D157)+COUNTA($G157:$L157)+COUNTA($Q157))&gt;0),"",IF((IF($C157="","Falta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",""))="","✔ OK","⚠ "&amp;LEFT(IF($C157="","Falta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",""),LEN(IF($C157="","Falta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",""))-3)))</f>
        <v/>
      </c>
      <c r="S157" s="64">
        <f>IF(NOT((COUNTA($B157:$D157)+COUNTA($G157:$L157)+COUNTA($Q157))&gt;0),"",IF(AND($V157="Sub",N($U157)&gt;0),IF(ISNUMBER(INDEX($AM$5:$AM$1000,$U157-4)),DATE(YEAR(INDEX($AM$5:$AM$1000,$U157-4)),MONTH(INDEX($AM$5:$AM$1000,$U157-4)),1),IF(ISNUMBER(INDEX($AN$5:$AN$1000,$U157-4)),DATE(YEAR(INDEX($AN$5:$AN$1000,$U157-4)),MONTH(INDEX($AN$5:$AN$1000,$U157-4)),1),MesCiclo)),IF(ISNUMBER($AM157),DATE(YEAR($AM157),MONTH($AM157),1),IF(ISNUMBER($AN157),DATE(YEAR($AN157),MONTH($AN157),1),MesCiclo))))</f>
        <v/>
      </c>
      <c r="T157" s="62">
        <f>IF(OR($S157="",$S157&lt;&gt;MesCiclo),"",COUNTIF($S$5:$S157,MesCiclo))</f>
        <v/>
      </c>
      <c r="U157" s="62">
        <f>IF($V157="","",IF($V157="Macro",ROW(),IFERROR(LOOKUP(2,1/($V$5:$V157="Macro"),ROW($V$5:$V157)),0)))</f>
        <v/>
      </c>
      <c r="V157" s="62">
        <f>IF(NOT((COUNTA($B157:$D157)+COUNTA($G157:$L157)+COUNTA($Q157))&gt;0),"",IF($B157="Subactividad","Sub","Macro"))</f>
        <v/>
      </c>
      <c r="W157" s="62">
        <f>IF($V157="Macro",COUNTIFS($U$5:$U$1000,ROW(),$V$5:$V$1000,"Sub"),"")</f>
        <v/>
      </c>
      <c r="X157" s="62">
        <f>IF($V157="","",IF(ISNUMBER($G157),1,IFERROR(LOOKUP(2,1/($I157:$L157&lt;&gt;""),$I157:$L157),0)))</f>
        <v/>
      </c>
      <c r="Y157" s="62">
        <f>IF($V157="","",IF(AND(ISNUMBER($G157),$G157&lt;=IF($S157=MesCiclo,InicioCiclo,$S157+MOD(2-WEEKDAY($S157),7))+6),1,IF(ISNUMBER($I157),$I157,0)))</f>
        <v/>
      </c>
      <c r="Z157" s="62">
        <f>IF($V157="","",IF(AND(ISNUMBER($G157),$G157&lt;=IF($S157=MesCiclo,InicioCiclo,$S157+MOD(2-WEEKDAY($S157),7))+13),1,IF(ISNUMBER($J157),$J157,$Y157)))</f>
        <v/>
      </c>
      <c r="AA157" s="62">
        <f>IF($V157="","",IF(AND(ISNUMBER($G157),$G157&lt;=IF($S157=MesCiclo,InicioCiclo,$S157+MOD(2-WEEKDAY($S157),7))+20),1,IF(ISNUMBER($K157),$K157,$Z157)))</f>
        <v/>
      </c>
      <c r="AB157" s="62">
        <f>IF($V157="","",IF(AND(ISNUMBER($G157),$G157&lt;=IF($S157=MesCiclo,InicioCiclo,$S157+MOD(2-WEEKDAY($S157),7))+27),1,IF(ISNUMBER($L157),$L157,$AA157)))</f>
        <v/>
      </c>
      <c r="AC157" s="62">
        <f>IF($V157="","",IF(AND(ISNUMBER($G157),$G157&lt;=IF($S157=MesCiclo,InicioCiclo,$S157+MOD(2-WEEKDAY($S157),7))+6),1,IF(N($W157)&gt;0,AVERAGEIFS($Y$5:$Y$1000,$U$5:$U$1000,ROW(),$V$5:$V$1000,"Sub"),$Y157)))</f>
        <v/>
      </c>
      <c r="AD157" s="62">
        <f>IF($V157="","",IF(AND(ISNUMBER($G157),$G157&lt;=IF($S157=MesCiclo,InicioCiclo,$S157+MOD(2-WEEKDAY($S157),7))+13),1,IF(N($W157)&gt;0,AVERAGEIFS($Z$5:$Z$1000,$U$5:$U$1000,ROW(),$V$5:$V$1000,"Sub"),$Z157)))</f>
        <v/>
      </c>
      <c r="AE157" s="62">
        <f>IF($V157="","",IF(AND(ISNUMBER($G157),$G157&lt;=IF($S157=MesCiclo,InicioCiclo,$S157+MOD(2-WEEKDAY($S157),7))+20),1,IF(N($W157)&gt;0,AVERAGEIFS($AA$5:$AA$1000,$U$5:$U$1000,ROW(),$V$5:$V$1000,"Sub"),$AA157)))</f>
        <v/>
      </c>
      <c r="AF157" s="62">
        <f>IF($V157="","",IF(AND(ISNUMBER($G157),$G157&lt;=IF($S157=MesCiclo,InicioCiclo,$S157+MOD(2-WEEKDAY($S157),7))+27),1,IF(N($W157)&gt;0,AVERAGEIFS($AB$5:$AB$1000,$U$5:$U$1000,ROW(),$V$5:$V$1000,"Sub"),$AB157)))</f>
        <v/>
      </c>
      <c r="AG157" s="62">
        <f>IF($V157&lt;&gt;"Macro","",IF(COUNTIFS($S$5:$S$1000,$S157,$V$5:$V$1000,"Macro",$H$5:$H$1000,"&gt;0")=0,1/COUNTIFS($S$5:$S$1000,$S157,$V$5:$V$1000,"Macro"),IF(AND(ISNUMBER($H157),N($H157)&gt;0),$H157,SUMIFS($H$5:$H$1000,$S$5:$S$1000,$S157,$V$5:$V$1000,"Macro")/COUNTIFS($S$5:$S$1000,$S157,$V$5:$V$1000,"Macro",$H$5:$H$1000,"&gt;0"))/(COUNTIFS($S$5:$S$1000,$S157,$V$5:$V$1000,"Macro")*SUMIFS($H$5:$H$1000,$S$5:$S$1000,$S157,$V$5:$V$1000,"Macro")/COUNTIFS($S$5:$S$1000,$S157,$V$5:$V$1000,"Macro",$H$5:$H$1000,"&gt;0"))))</f>
        <v/>
      </c>
      <c r="AH157" s="62" t="n"/>
      <c r="AI157" s="62" t="n"/>
      <c r="AJ157" s="62" t="n"/>
      <c r="AK157" s="62" t="n"/>
      <c r="AL157" s="62">
        <f>IF(LEFT($C157,11)="[Jefatura] ",IFERROR(MATCH("Riesgo Operacional|"&amp;MID($C157,12,500),rDname_ADM,0),0),"")</f>
        <v/>
      </c>
      <c r="AM157" s="62">
        <f>IF(N($AL157)&gt;0,INDEX(rIni_ADM,$AL157),IF(ISNUMBER($E157),$E157,""))</f>
        <v/>
      </c>
      <c r="AN157" s="62">
        <f>IF(N($AL157)&gt;0,INDEX(rLim_ADM,$AL157),IF(ISNUMBER($F157),$F157,""))</f>
        <v/>
      </c>
    </row>
    <row r="158">
      <c r="A158" s="56">
        <f>IF(NOT((COUNTA($B158:$D158)+COUNTA($G158:$L158)+COUNTA($Q158))&gt;0),"",IF($V158="Macro",COUNTIFS($V$5:$V158,"Macro",$S$5:$S158,$S158),IF(N($U158)=0,"?",COUNTIFS(INDEX($V$5:$V$1000,1):INDEX($V$5:$V$1000,$U158-4),"Macro",INDEX($S$5:$S$1000,1):INDEX($S$5:$S$1000,$U158-4),INDEX($S$5:$S$1000,$U158-4))&amp;"."&amp;COUNTIFS($U$5:$U158,$U158,$V$5:$V158,"Sub"))))</f>
        <v/>
      </c>
      <c r="B158" s="57" t="n"/>
      <c r="C158" s="58" t="n"/>
      <c r="D158" s="58" t="n"/>
      <c r="E158" s="59">
        <f>IF(N($AL158)&gt;0,INDEX(rIni_ADM,$AL158),"")</f>
        <v/>
      </c>
      <c r="F158" s="59">
        <f>IF(N($AL158)&gt;0,INDEX(rLim_ADM,$AL158),"")</f>
        <v/>
      </c>
      <c r="G158" s="59" t="n"/>
      <c r="H158" s="60" t="n"/>
      <c r="I158" s="60" t="n"/>
      <c r="J158" s="60" t="n"/>
      <c r="K158" s="60" t="n"/>
      <c r="L158" s="60" t="n"/>
      <c r="M158" s="61">
        <f>IF(NOT((COUNTA($B158:$D158)+COUNTA($G158:$L158)+COUNTA($Q158))&gt;0),"",IF(ISNUMBER($G158),1,IF(N($W158)&gt;0,AVERAGEIFS($X$5:$X$1000,$U$5:$U$1000,ROW(),$V$5:$V$1000,"Sub"),$X158)))</f>
        <v/>
      </c>
      <c r="N158" s="56">
        <f>IF($M158="","",IF($M158&gt;=1,"Completado",IF($M158&gt;0,"En curso","Pendiente")))</f>
        <v/>
      </c>
      <c r="O158" s="56">
        <f>IF(NOT((COUNTA($B158:$D158)+COUNTA($G158:$L158)+COUNTA($Q158))&gt;0),"",IF(ISNUMBER($G158),IF(AND(ISNUMBER($AN158),$G158&gt;$AN158),"Cumplida con "&amp;($G158-$AN158)&amp;IF($G158-$AN158=1," día"," días")&amp;" de retraso","Cumplida"),IF(N($M158)&gt;=1,"Cumplida",IF(NOT(ISNUMBER($AN158)),"Sin fecha límite",IF($AN158&lt;FechaRef,"Vencida hace "&amp;(FechaRef-$AN158)&amp;IF(FechaRef-$AN158=1," día"," días"),IF($AN158=FechaRef,"Vence hoy",IF($AN158-FechaRef&lt;=DiasAlerta,"Vence en "&amp;($AN158-FechaRef)&amp;IF($AN158-FechaRef=1," día"," días"),"En plazo")))))))</f>
        <v/>
      </c>
      <c r="P158" s="62" t="n"/>
      <c r="Q158" s="58" t="n"/>
      <c r="R158" s="63">
        <f>IF(NOT((COUNTA($B158:$D158)+COUNTA($G158:$L158)+COUNTA($Q158))&gt;0),"",IF((IF($C158="","Falta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",""))="","✔ OK","⚠ "&amp;LEFT(IF($C158="","Falta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",""),LEN(IF($C158="","Falta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",""))-3)))</f>
        <v/>
      </c>
      <c r="S158" s="64">
        <f>IF(NOT((COUNTA($B158:$D158)+COUNTA($G158:$L158)+COUNTA($Q158))&gt;0),"",IF(AND($V158="Sub",N($U158)&gt;0),IF(ISNUMBER(INDEX($AM$5:$AM$1000,$U158-4)),DATE(YEAR(INDEX($AM$5:$AM$1000,$U158-4)),MONTH(INDEX($AM$5:$AM$1000,$U158-4)),1),IF(ISNUMBER(INDEX($AN$5:$AN$1000,$U158-4)),DATE(YEAR(INDEX($AN$5:$AN$1000,$U158-4)),MONTH(INDEX($AN$5:$AN$1000,$U158-4)),1),MesCiclo)),IF(ISNUMBER($AM158),DATE(YEAR($AM158),MONTH($AM158),1),IF(ISNUMBER($AN158),DATE(YEAR($AN158),MONTH($AN158),1),MesCiclo))))</f>
        <v/>
      </c>
      <c r="T158" s="62">
        <f>IF(OR($S158="",$S158&lt;&gt;MesCiclo),"",COUNTIF($S$5:$S158,MesCiclo))</f>
        <v/>
      </c>
      <c r="U158" s="62">
        <f>IF($V158="","",IF($V158="Macro",ROW(),IFERROR(LOOKUP(2,1/($V$5:$V158="Macro"),ROW($V$5:$V158)),0)))</f>
        <v/>
      </c>
      <c r="V158" s="62">
        <f>IF(NOT((COUNTA($B158:$D158)+COUNTA($G158:$L158)+COUNTA($Q158))&gt;0),"",IF($B158="Subactividad","Sub","Macro"))</f>
        <v/>
      </c>
      <c r="W158" s="62">
        <f>IF($V158="Macro",COUNTIFS($U$5:$U$1000,ROW(),$V$5:$V$1000,"Sub"),"")</f>
        <v/>
      </c>
      <c r="X158" s="62">
        <f>IF($V158="","",IF(ISNUMBER($G158),1,IFERROR(LOOKUP(2,1/($I158:$L158&lt;&gt;""),$I158:$L158),0)))</f>
        <v/>
      </c>
      <c r="Y158" s="62">
        <f>IF($V158="","",IF(AND(ISNUMBER($G158),$G158&lt;=IF($S158=MesCiclo,InicioCiclo,$S158+MOD(2-WEEKDAY($S158),7))+6),1,IF(ISNUMBER($I158),$I158,0)))</f>
        <v/>
      </c>
      <c r="Z158" s="62">
        <f>IF($V158="","",IF(AND(ISNUMBER($G158),$G158&lt;=IF($S158=MesCiclo,InicioCiclo,$S158+MOD(2-WEEKDAY($S158),7))+13),1,IF(ISNUMBER($J158),$J158,$Y158)))</f>
        <v/>
      </c>
      <c r="AA158" s="62">
        <f>IF($V158="","",IF(AND(ISNUMBER($G158),$G158&lt;=IF($S158=MesCiclo,InicioCiclo,$S158+MOD(2-WEEKDAY($S158),7))+20),1,IF(ISNUMBER($K158),$K158,$Z158)))</f>
        <v/>
      </c>
      <c r="AB158" s="62">
        <f>IF($V158="","",IF(AND(ISNUMBER($G158),$G158&lt;=IF($S158=MesCiclo,InicioCiclo,$S158+MOD(2-WEEKDAY($S158),7))+27),1,IF(ISNUMBER($L158),$L158,$AA158)))</f>
        <v/>
      </c>
      <c r="AC158" s="62">
        <f>IF($V158="","",IF(AND(ISNUMBER($G158),$G158&lt;=IF($S158=MesCiclo,InicioCiclo,$S158+MOD(2-WEEKDAY($S158),7))+6),1,IF(N($W158)&gt;0,AVERAGEIFS($Y$5:$Y$1000,$U$5:$U$1000,ROW(),$V$5:$V$1000,"Sub"),$Y158)))</f>
        <v/>
      </c>
      <c r="AD158" s="62">
        <f>IF($V158="","",IF(AND(ISNUMBER($G158),$G158&lt;=IF($S158=MesCiclo,InicioCiclo,$S158+MOD(2-WEEKDAY($S158),7))+13),1,IF(N($W158)&gt;0,AVERAGEIFS($Z$5:$Z$1000,$U$5:$U$1000,ROW(),$V$5:$V$1000,"Sub"),$Z158)))</f>
        <v/>
      </c>
      <c r="AE158" s="62">
        <f>IF($V158="","",IF(AND(ISNUMBER($G158),$G158&lt;=IF($S158=MesCiclo,InicioCiclo,$S158+MOD(2-WEEKDAY($S158),7))+20),1,IF(N($W158)&gt;0,AVERAGEIFS($AA$5:$AA$1000,$U$5:$U$1000,ROW(),$V$5:$V$1000,"Sub"),$AA158)))</f>
        <v/>
      </c>
      <c r="AF158" s="62">
        <f>IF($V158="","",IF(AND(ISNUMBER($G158),$G158&lt;=IF($S158=MesCiclo,InicioCiclo,$S158+MOD(2-WEEKDAY($S158),7))+27),1,IF(N($W158)&gt;0,AVERAGEIFS($AB$5:$AB$1000,$U$5:$U$1000,ROW(),$V$5:$V$1000,"Sub"),$AB158)))</f>
        <v/>
      </c>
      <c r="AG158" s="62">
        <f>IF($V158&lt;&gt;"Macro","",IF(COUNTIFS($S$5:$S$1000,$S158,$V$5:$V$1000,"Macro",$H$5:$H$1000,"&gt;0")=0,1/COUNTIFS($S$5:$S$1000,$S158,$V$5:$V$1000,"Macro"),IF(AND(ISNUMBER($H158),N($H158)&gt;0),$H158,SUMIFS($H$5:$H$1000,$S$5:$S$1000,$S158,$V$5:$V$1000,"Macro")/COUNTIFS($S$5:$S$1000,$S158,$V$5:$V$1000,"Macro",$H$5:$H$1000,"&gt;0"))/(COUNTIFS($S$5:$S$1000,$S158,$V$5:$V$1000,"Macro")*SUMIFS($H$5:$H$1000,$S$5:$S$1000,$S158,$V$5:$V$1000,"Macro")/COUNTIFS($S$5:$S$1000,$S158,$V$5:$V$1000,"Macro",$H$5:$H$1000,"&gt;0"))))</f>
        <v/>
      </c>
      <c r="AH158" s="62" t="n"/>
      <c r="AI158" s="62" t="n"/>
      <c r="AJ158" s="62" t="n"/>
      <c r="AK158" s="62" t="n"/>
      <c r="AL158" s="62">
        <f>IF(LEFT($C158,11)="[Jefatura] ",IFERROR(MATCH("Riesgo Operacional|"&amp;MID($C158,12,500),rDname_ADM,0),0),"")</f>
        <v/>
      </c>
      <c r="AM158" s="62">
        <f>IF(N($AL158)&gt;0,INDEX(rIni_ADM,$AL158),IF(ISNUMBER($E158),$E158,""))</f>
        <v/>
      </c>
      <c r="AN158" s="62">
        <f>IF(N($AL158)&gt;0,INDEX(rLim_ADM,$AL158),IF(ISNUMBER($F158),$F158,""))</f>
        <v/>
      </c>
    </row>
    <row r="159">
      <c r="A159" s="56">
        <f>IF(NOT((COUNTA($B159:$D159)+COUNTA($G159:$L159)+COUNTA($Q159))&gt;0),"",IF($V159="Macro",COUNTIFS($V$5:$V159,"Macro",$S$5:$S159,$S159),IF(N($U159)=0,"?",COUNTIFS(INDEX($V$5:$V$1000,1):INDEX($V$5:$V$1000,$U159-4),"Macro",INDEX($S$5:$S$1000,1):INDEX($S$5:$S$1000,$U159-4),INDEX($S$5:$S$1000,$U159-4))&amp;"."&amp;COUNTIFS($U$5:$U159,$U159,$V$5:$V159,"Sub"))))</f>
        <v/>
      </c>
      <c r="B159" s="57" t="n"/>
      <c r="C159" s="58" t="n"/>
      <c r="D159" s="58" t="n"/>
      <c r="E159" s="59">
        <f>IF(N($AL159)&gt;0,INDEX(rIni_ADM,$AL159),"")</f>
        <v/>
      </c>
      <c r="F159" s="59">
        <f>IF(N($AL159)&gt;0,INDEX(rLim_ADM,$AL159),"")</f>
        <v/>
      </c>
      <c r="G159" s="59" t="n"/>
      <c r="H159" s="60" t="n"/>
      <c r="I159" s="60" t="n"/>
      <c r="J159" s="60" t="n"/>
      <c r="K159" s="60" t="n"/>
      <c r="L159" s="60" t="n"/>
      <c r="M159" s="61">
        <f>IF(NOT((COUNTA($B159:$D159)+COUNTA($G159:$L159)+COUNTA($Q159))&gt;0),"",IF(ISNUMBER($G159),1,IF(N($W159)&gt;0,AVERAGEIFS($X$5:$X$1000,$U$5:$U$1000,ROW(),$V$5:$V$1000,"Sub"),$X159)))</f>
        <v/>
      </c>
      <c r="N159" s="56">
        <f>IF($M159="","",IF($M159&gt;=1,"Completado",IF($M159&gt;0,"En curso","Pendiente")))</f>
        <v/>
      </c>
      <c r="O159" s="56">
        <f>IF(NOT((COUNTA($B159:$D159)+COUNTA($G159:$L159)+COUNTA($Q159))&gt;0),"",IF(ISNUMBER($G159),IF(AND(ISNUMBER($AN159),$G159&gt;$AN159),"Cumplida con "&amp;($G159-$AN159)&amp;IF($G159-$AN159=1," día"," días")&amp;" de retraso","Cumplida"),IF(N($M159)&gt;=1,"Cumplida",IF(NOT(ISNUMBER($AN159)),"Sin fecha límite",IF($AN159&lt;FechaRef,"Vencida hace "&amp;(FechaRef-$AN159)&amp;IF(FechaRef-$AN159=1," día"," días"),IF($AN159=FechaRef,"Vence hoy",IF($AN159-FechaRef&lt;=DiasAlerta,"Vence en "&amp;($AN159-FechaRef)&amp;IF($AN159-FechaRef=1," día"," días"),"En plazo")))))))</f>
        <v/>
      </c>
      <c r="P159" s="62" t="n"/>
      <c r="Q159" s="58" t="n"/>
      <c r="R159" s="63">
        <f>IF(NOT((COUNTA($B159:$D159)+COUNTA($G159:$L159)+COUNTA($Q159))&gt;0),"",IF((IF($C159="","Falta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",""))="","✔ OK","⚠ "&amp;LEFT(IF($C159="","Falta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",""),LEN(IF($C159="","Falta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",""))-3)))</f>
        <v/>
      </c>
      <c r="S159" s="64">
        <f>IF(NOT((COUNTA($B159:$D159)+COUNTA($G159:$L159)+COUNTA($Q159))&gt;0),"",IF(AND($V159="Sub",N($U159)&gt;0),IF(ISNUMBER(INDEX($AM$5:$AM$1000,$U159-4)),DATE(YEAR(INDEX($AM$5:$AM$1000,$U159-4)),MONTH(INDEX($AM$5:$AM$1000,$U159-4)),1),IF(ISNUMBER(INDEX($AN$5:$AN$1000,$U159-4)),DATE(YEAR(INDEX($AN$5:$AN$1000,$U159-4)),MONTH(INDEX($AN$5:$AN$1000,$U159-4)),1),MesCiclo)),IF(ISNUMBER($AM159),DATE(YEAR($AM159),MONTH($AM159),1),IF(ISNUMBER($AN159),DATE(YEAR($AN159),MONTH($AN159),1),MesCiclo))))</f>
        <v/>
      </c>
      <c r="T159" s="62">
        <f>IF(OR($S159="",$S159&lt;&gt;MesCiclo),"",COUNTIF($S$5:$S159,MesCiclo))</f>
        <v/>
      </c>
      <c r="U159" s="62">
        <f>IF($V159="","",IF($V159="Macro",ROW(),IFERROR(LOOKUP(2,1/($V$5:$V159="Macro"),ROW($V$5:$V159)),0)))</f>
        <v/>
      </c>
      <c r="V159" s="62">
        <f>IF(NOT((COUNTA($B159:$D159)+COUNTA($G159:$L159)+COUNTA($Q159))&gt;0),"",IF($B159="Subactividad","Sub","Macro"))</f>
        <v/>
      </c>
      <c r="W159" s="62">
        <f>IF($V159="Macro",COUNTIFS($U$5:$U$1000,ROW(),$V$5:$V$1000,"Sub"),"")</f>
        <v/>
      </c>
      <c r="X159" s="62">
        <f>IF($V159="","",IF(ISNUMBER($G159),1,IFERROR(LOOKUP(2,1/($I159:$L159&lt;&gt;""),$I159:$L159),0)))</f>
        <v/>
      </c>
      <c r="Y159" s="62">
        <f>IF($V159="","",IF(AND(ISNUMBER($G159),$G159&lt;=IF($S159=MesCiclo,InicioCiclo,$S159+MOD(2-WEEKDAY($S159),7))+6),1,IF(ISNUMBER($I159),$I159,0)))</f>
        <v/>
      </c>
      <c r="Z159" s="62">
        <f>IF($V159="","",IF(AND(ISNUMBER($G159),$G159&lt;=IF($S159=MesCiclo,InicioCiclo,$S159+MOD(2-WEEKDAY($S159),7))+13),1,IF(ISNUMBER($J159),$J159,$Y159)))</f>
        <v/>
      </c>
      <c r="AA159" s="62">
        <f>IF($V159="","",IF(AND(ISNUMBER($G159),$G159&lt;=IF($S159=MesCiclo,InicioCiclo,$S159+MOD(2-WEEKDAY($S159),7))+20),1,IF(ISNUMBER($K159),$K159,$Z159)))</f>
        <v/>
      </c>
      <c r="AB159" s="62">
        <f>IF($V159="","",IF(AND(ISNUMBER($G159),$G159&lt;=IF($S159=MesCiclo,InicioCiclo,$S159+MOD(2-WEEKDAY($S159),7))+27),1,IF(ISNUMBER($L159),$L159,$AA159)))</f>
        <v/>
      </c>
      <c r="AC159" s="62">
        <f>IF($V159="","",IF(AND(ISNUMBER($G159),$G159&lt;=IF($S159=MesCiclo,InicioCiclo,$S159+MOD(2-WEEKDAY($S159),7))+6),1,IF(N($W159)&gt;0,AVERAGEIFS($Y$5:$Y$1000,$U$5:$U$1000,ROW(),$V$5:$V$1000,"Sub"),$Y159)))</f>
        <v/>
      </c>
      <c r="AD159" s="62">
        <f>IF($V159="","",IF(AND(ISNUMBER($G159),$G159&lt;=IF($S159=MesCiclo,InicioCiclo,$S159+MOD(2-WEEKDAY($S159),7))+13),1,IF(N($W159)&gt;0,AVERAGEIFS($Z$5:$Z$1000,$U$5:$U$1000,ROW(),$V$5:$V$1000,"Sub"),$Z159)))</f>
        <v/>
      </c>
      <c r="AE159" s="62">
        <f>IF($V159="","",IF(AND(ISNUMBER($G159),$G159&lt;=IF($S159=MesCiclo,InicioCiclo,$S159+MOD(2-WEEKDAY($S159),7))+20),1,IF(N($W159)&gt;0,AVERAGEIFS($AA$5:$AA$1000,$U$5:$U$1000,ROW(),$V$5:$V$1000,"Sub"),$AA159)))</f>
        <v/>
      </c>
      <c r="AF159" s="62">
        <f>IF($V159="","",IF(AND(ISNUMBER($G159),$G159&lt;=IF($S159=MesCiclo,InicioCiclo,$S159+MOD(2-WEEKDAY($S159),7))+27),1,IF(N($W159)&gt;0,AVERAGEIFS($AB$5:$AB$1000,$U$5:$U$1000,ROW(),$V$5:$V$1000,"Sub"),$AB159)))</f>
        <v/>
      </c>
      <c r="AG159" s="62">
        <f>IF($V159&lt;&gt;"Macro","",IF(COUNTIFS($S$5:$S$1000,$S159,$V$5:$V$1000,"Macro",$H$5:$H$1000,"&gt;0")=0,1/COUNTIFS($S$5:$S$1000,$S159,$V$5:$V$1000,"Macro"),IF(AND(ISNUMBER($H159),N($H159)&gt;0),$H159,SUMIFS($H$5:$H$1000,$S$5:$S$1000,$S159,$V$5:$V$1000,"Macro")/COUNTIFS($S$5:$S$1000,$S159,$V$5:$V$1000,"Macro",$H$5:$H$1000,"&gt;0"))/(COUNTIFS($S$5:$S$1000,$S159,$V$5:$V$1000,"Macro")*SUMIFS($H$5:$H$1000,$S$5:$S$1000,$S159,$V$5:$V$1000,"Macro")/COUNTIFS($S$5:$S$1000,$S159,$V$5:$V$1000,"Macro",$H$5:$H$1000,"&gt;0"))))</f>
        <v/>
      </c>
      <c r="AH159" s="62" t="n"/>
      <c r="AI159" s="62" t="n"/>
      <c r="AJ159" s="62" t="n"/>
      <c r="AK159" s="62" t="n"/>
      <c r="AL159" s="62">
        <f>IF(LEFT($C159,11)="[Jefatura] ",IFERROR(MATCH("Riesgo Operacional|"&amp;MID($C159,12,500),rDname_ADM,0),0),"")</f>
        <v/>
      </c>
      <c r="AM159" s="62">
        <f>IF(N($AL159)&gt;0,INDEX(rIni_ADM,$AL159),IF(ISNUMBER($E159),$E159,""))</f>
        <v/>
      </c>
      <c r="AN159" s="62">
        <f>IF(N($AL159)&gt;0,INDEX(rLim_ADM,$AL159),IF(ISNUMBER($F159),$F159,""))</f>
        <v/>
      </c>
    </row>
    <row r="160">
      <c r="A160" s="56">
        <f>IF(NOT((COUNTA($B160:$D160)+COUNTA($G160:$L160)+COUNTA($Q160))&gt;0),"",IF($V160="Macro",COUNTIFS($V$5:$V160,"Macro",$S$5:$S160,$S160),IF(N($U160)=0,"?",COUNTIFS(INDEX($V$5:$V$1000,1):INDEX($V$5:$V$1000,$U160-4),"Macro",INDEX($S$5:$S$1000,1):INDEX($S$5:$S$1000,$U160-4),INDEX($S$5:$S$1000,$U160-4))&amp;"."&amp;COUNTIFS($U$5:$U160,$U160,$V$5:$V160,"Sub"))))</f>
        <v/>
      </c>
      <c r="B160" s="57" t="n"/>
      <c r="C160" s="58" t="n"/>
      <c r="D160" s="58" t="n"/>
      <c r="E160" s="59">
        <f>IF(N($AL160)&gt;0,INDEX(rIni_ADM,$AL160),"")</f>
        <v/>
      </c>
      <c r="F160" s="59">
        <f>IF(N($AL160)&gt;0,INDEX(rLim_ADM,$AL160),"")</f>
        <v/>
      </c>
      <c r="G160" s="59" t="n"/>
      <c r="H160" s="60" t="n"/>
      <c r="I160" s="60" t="n"/>
      <c r="J160" s="60" t="n"/>
      <c r="K160" s="60" t="n"/>
      <c r="L160" s="60" t="n"/>
      <c r="M160" s="61">
        <f>IF(NOT((COUNTA($B160:$D160)+COUNTA($G160:$L160)+COUNTA($Q160))&gt;0),"",IF(ISNUMBER($G160),1,IF(N($W160)&gt;0,AVERAGEIFS($X$5:$X$1000,$U$5:$U$1000,ROW(),$V$5:$V$1000,"Sub"),$X160)))</f>
        <v/>
      </c>
      <c r="N160" s="56">
        <f>IF($M160="","",IF($M160&gt;=1,"Completado",IF($M160&gt;0,"En curso","Pendiente")))</f>
        <v/>
      </c>
      <c r="O160" s="56">
        <f>IF(NOT((COUNTA($B160:$D160)+COUNTA($G160:$L160)+COUNTA($Q160))&gt;0),"",IF(ISNUMBER($G160),IF(AND(ISNUMBER($AN160),$G160&gt;$AN160),"Cumplida con "&amp;($G160-$AN160)&amp;IF($G160-$AN160=1," día"," días")&amp;" de retraso","Cumplida"),IF(N($M160)&gt;=1,"Cumplida",IF(NOT(ISNUMBER($AN160)),"Sin fecha límite",IF($AN160&lt;FechaRef,"Vencida hace "&amp;(FechaRef-$AN160)&amp;IF(FechaRef-$AN160=1," día"," días"),IF($AN160=FechaRef,"Vence hoy",IF($AN160-FechaRef&lt;=DiasAlerta,"Vence en "&amp;($AN160-FechaRef)&amp;IF($AN160-FechaRef=1," día"," días"),"En plazo")))))))</f>
        <v/>
      </c>
      <c r="P160" s="62" t="n"/>
      <c r="Q160" s="58" t="n"/>
      <c r="R160" s="63">
        <f>IF(NOT((COUNTA($B160:$D160)+COUNTA($G160:$L160)+COUNTA($Q160))&gt;0),"",IF((IF($C160="","Falta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",""))="","✔ OK","⚠ "&amp;LEFT(IF($C160="","Falta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",""),LEN(IF($C160="","Falta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",""))-3)))</f>
        <v/>
      </c>
      <c r="S160" s="64">
        <f>IF(NOT((COUNTA($B160:$D160)+COUNTA($G160:$L160)+COUNTA($Q160))&gt;0),"",IF(AND($V160="Sub",N($U160)&gt;0),IF(ISNUMBER(INDEX($AM$5:$AM$1000,$U160-4)),DATE(YEAR(INDEX($AM$5:$AM$1000,$U160-4)),MONTH(INDEX($AM$5:$AM$1000,$U160-4)),1),IF(ISNUMBER(INDEX($AN$5:$AN$1000,$U160-4)),DATE(YEAR(INDEX($AN$5:$AN$1000,$U160-4)),MONTH(INDEX($AN$5:$AN$1000,$U160-4)),1),MesCiclo)),IF(ISNUMBER($AM160),DATE(YEAR($AM160),MONTH($AM160),1),IF(ISNUMBER($AN160),DATE(YEAR($AN160),MONTH($AN160),1),MesCiclo))))</f>
        <v/>
      </c>
      <c r="T160" s="62">
        <f>IF(OR($S160="",$S160&lt;&gt;MesCiclo),"",COUNTIF($S$5:$S160,MesCiclo))</f>
        <v/>
      </c>
      <c r="U160" s="62">
        <f>IF($V160="","",IF($V160="Macro",ROW(),IFERROR(LOOKUP(2,1/($V$5:$V160="Macro"),ROW($V$5:$V160)),0)))</f>
        <v/>
      </c>
      <c r="V160" s="62">
        <f>IF(NOT((COUNTA($B160:$D160)+COUNTA($G160:$L160)+COUNTA($Q160))&gt;0),"",IF($B160="Subactividad","Sub","Macro"))</f>
        <v/>
      </c>
      <c r="W160" s="62">
        <f>IF($V160="Macro",COUNTIFS($U$5:$U$1000,ROW(),$V$5:$V$1000,"Sub"),"")</f>
        <v/>
      </c>
      <c r="X160" s="62">
        <f>IF($V160="","",IF(ISNUMBER($G160),1,IFERROR(LOOKUP(2,1/($I160:$L160&lt;&gt;""),$I160:$L160),0)))</f>
        <v/>
      </c>
      <c r="Y160" s="62">
        <f>IF($V160="","",IF(AND(ISNUMBER($G160),$G160&lt;=IF($S160=MesCiclo,InicioCiclo,$S160+MOD(2-WEEKDAY($S160),7))+6),1,IF(ISNUMBER($I160),$I160,0)))</f>
        <v/>
      </c>
      <c r="Z160" s="62">
        <f>IF($V160="","",IF(AND(ISNUMBER($G160),$G160&lt;=IF($S160=MesCiclo,InicioCiclo,$S160+MOD(2-WEEKDAY($S160),7))+13),1,IF(ISNUMBER($J160),$J160,$Y160)))</f>
        <v/>
      </c>
      <c r="AA160" s="62">
        <f>IF($V160="","",IF(AND(ISNUMBER($G160),$G160&lt;=IF($S160=MesCiclo,InicioCiclo,$S160+MOD(2-WEEKDAY($S160),7))+20),1,IF(ISNUMBER($K160),$K160,$Z160)))</f>
        <v/>
      </c>
      <c r="AB160" s="62">
        <f>IF($V160="","",IF(AND(ISNUMBER($G160),$G160&lt;=IF($S160=MesCiclo,InicioCiclo,$S160+MOD(2-WEEKDAY($S160),7))+27),1,IF(ISNUMBER($L160),$L160,$AA160)))</f>
        <v/>
      </c>
      <c r="AC160" s="62">
        <f>IF($V160="","",IF(AND(ISNUMBER($G160),$G160&lt;=IF($S160=MesCiclo,InicioCiclo,$S160+MOD(2-WEEKDAY($S160),7))+6),1,IF(N($W160)&gt;0,AVERAGEIFS($Y$5:$Y$1000,$U$5:$U$1000,ROW(),$V$5:$V$1000,"Sub"),$Y160)))</f>
        <v/>
      </c>
      <c r="AD160" s="62">
        <f>IF($V160="","",IF(AND(ISNUMBER($G160),$G160&lt;=IF($S160=MesCiclo,InicioCiclo,$S160+MOD(2-WEEKDAY($S160),7))+13),1,IF(N($W160)&gt;0,AVERAGEIFS($Z$5:$Z$1000,$U$5:$U$1000,ROW(),$V$5:$V$1000,"Sub"),$Z160)))</f>
        <v/>
      </c>
      <c r="AE160" s="62">
        <f>IF($V160="","",IF(AND(ISNUMBER($G160),$G160&lt;=IF($S160=MesCiclo,InicioCiclo,$S160+MOD(2-WEEKDAY($S160),7))+20),1,IF(N($W160)&gt;0,AVERAGEIFS($AA$5:$AA$1000,$U$5:$U$1000,ROW(),$V$5:$V$1000,"Sub"),$AA160)))</f>
        <v/>
      </c>
      <c r="AF160" s="62">
        <f>IF($V160="","",IF(AND(ISNUMBER($G160),$G160&lt;=IF($S160=MesCiclo,InicioCiclo,$S160+MOD(2-WEEKDAY($S160),7))+27),1,IF(N($W160)&gt;0,AVERAGEIFS($AB$5:$AB$1000,$U$5:$U$1000,ROW(),$V$5:$V$1000,"Sub"),$AB160)))</f>
        <v/>
      </c>
      <c r="AG160" s="62">
        <f>IF($V160&lt;&gt;"Macro","",IF(COUNTIFS($S$5:$S$1000,$S160,$V$5:$V$1000,"Macro",$H$5:$H$1000,"&gt;0")=0,1/COUNTIFS($S$5:$S$1000,$S160,$V$5:$V$1000,"Macro"),IF(AND(ISNUMBER($H160),N($H160)&gt;0),$H160,SUMIFS($H$5:$H$1000,$S$5:$S$1000,$S160,$V$5:$V$1000,"Macro")/COUNTIFS($S$5:$S$1000,$S160,$V$5:$V$1000,"Macro",$H$5:$H$1000,"&gt;0"))/(COUNTIFS($S$5:$S$1000,$S160,$V$5:$V$1000,"Macro")*SUMIFS($H$5:$H$1000,$S$5:$S$1000,$S160,$V$5:$V$1000,"Macro")/COUNTIFS($S$5:$S$1000,$S160,$V$5:$V$1000,"Macro",$H$5:$H$1000,"&gt;0"))))</f>
        <v/>
      </c>
      <c r="AH160" s="62" t="n"/>
      <c r="AI160" s="62" t="n"/>
      <c r="AJ160" s="62" t="n"/>
      <c r="AK160" s="62" t="n"/>
      <c r="AL160" s="62">
        <f>IF(LEFT($C160,11)="[Jefatura] ",IFERROR(MATCH("Riesgo Operacional|"&amp;MID($C160,12,500),rDname_ADM,0),0),"")</f>
        <v/>
      </c>
      <c r="AM160" s="62">
        <f>IF(N($AL160)&gt;0,INDEX(rIni_ADM,$AL160),IF(ISNUMBER($E160),$E160,""))</f>
        <v/>
      </c>
      <c r="AN160" s="62">
        <f>IF(N($AL160)&gt;0,INDEX(rLim_ADM,$AL160),IF(ISNUMBER($F160),$F160,""))</f>
        <v/>
      </c>
    </row>
    <row r="161">
      <c r="A161" s="56">
        <f>IF(NOT((COUNTA($B161:$D161)+COUNTA($G161:$L161)+COUNTA($Q161))&gt;0),"",IF($V161="Macro",COUNTIFS($V$5:$V161,"Macro",$S$5:$S161,$S161),IF(N($U161)=0,"?",COUNTIFS(INDEX($V$5:$V$1000,1):INDEX($V$5:$V$1000,$U161-4),"Macro",INDEX($S$5:$S$1000,1):INDEX($S$5:$S$1000,$U161-4),INDEX($S$5:$S$1000,$U161-4))&amp;"."&amp;COUNTIFS($U$5:$U161,$U161,$V$5:$V161,"Sub"))))</f>
        <v/>
      </c>
      <c r="B161" s="57" t="n"/>
      <c r="C161" s="58" t="n"/>
      <c r="D161" s="58" t="n"/>
      <c r="E161" s="59">
        <f>IF(N($AL161)&gt;0,INDEX(rIni_ADM,$AL161),"")</f>
        <v/>
      </c>
      <c r="F161" s="59">
        <f>IF(N($AL161)&gt;0,INDEX(rLim_ADM,$AL161),"")</f>
        <v/>
      </c>
      <c r="G161" s="59" t="n"/>
      <c r="H161" s="60" t="n"/>
      <c r="I161" s="60" t="n"/>
      <c r="J161" s="60" t="n"/>
      <c r="K161" s="60" t="n"/>
      <c r="L161" s="60" t="n"/>
      <c r="M161" s="61">
        <f>IF(NOT((COUNTA($B161:$D161)+COUNTA($G161:$L161)+COUNTA($Q161))&gt;0),"",IF(ISNUMBER($G161),1,IF(N($W161)&gt;0,AVERAGEIFS($X$5:$X$1000,$U$5:$U$1000,ROW(),$V$5:$V$1000,"Sub"),$X161)))</f>
        <v/>
      </c>
      <c r="N161" s="56">
        <f>IF($M161="","",IF($M161&gt;=1,"Completado",IF($M161&gt;0,"En curso","Pendiente")))</f>
        <v/>
      </c>
      <c r="O161" s="56">
        <f>IF(NOT((COUNTA($B161:$D161)+COUNTA($G161:$L161)+COUNTA($Q161))&gt;0),"",IF(ISNUMBER($G161),IF(AND(ISNUMBER($AN161),$G161&gt;$AN161),"Cumplida con "&amp;($G161-$AN161)&amp;IF($G161-$AN161=1," día"," días")&amp;" de retraso","Cumplida"),IF(N($M161)&gt;=1,"Cumplida",IF(NOT(ISNUMBER($AN161)),"Sin fecha límite",IF($AN161&lt;FechaRef,"Vencida hace "&amp;(FechaRef-$AN161)&amp;IF(FechaRef-$AN161=1," día"," días"),IF($AN161=FechaRef,"Vence hoy",IF($AN161-FechaRef&lt;=DiasAlerta,"Vence en "&amp;($AN161-FechaRef)&amp;IF($AN161-FechaRef=1," día"," días"),"En plazo")))))))</f>
        <v/>
      </c>
      <c r="P161" s="62" t="n"/>
      <c r="Q161" s="58" t="n"/>
      <c r="R161" s="63">
        <f>IF(NOT((COUNTA($B161:$D161)+COUNTA($G161:$L161)+COUNTA($Q161))&gt;0),"",IF((IF($C161="","Falta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",""))="","✔ OK","⚠ "&amp;LEFT(IF($C161="","Falta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",""),LEN(IF($C161="","Falta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",""))-3)))</f>
        <v/>
      </c>
      <c r="S161" s="64">
        <f>IF(NOT((COUNTA($B161:$D161)+COUNTA($G161:$L161)+COUNTA($Q161))&gt;0),"",IF(AND($V161="Sub",N($U161)&gt;0),IF(ISNUMBER(INDEX($AM$5:$AM$1000,$U161-4)),DATE(YEAR(INDEX($AM$5:$AM$1000,$U161-4)),MONTH(INDEX($AM$5:$AM$1000,$U161-4)),1),IF(ISNUMBER(INDEX($AN$5:$AN$1000,$U161-4)),DATE(YEAR(INDEX($AN$5:$AN$1000,$U161-4)),MONTH(INDEX($AN$5:$AN$1000,$U161-4)),1),MesCiclo)),IF(ISNUMBER($AM161),DATE(YEAR($AM161),MONTH($AM161),1),IF(ISNUMBER($AN161),DATE(YEAR($AN161),MONTH($AN161),1),MesCiclo))))</f>
        <v/>
      </c>
      <c r="T161" s="62">
        <f>IF(OR($S161="",$S161&lt;&gt;MesCiclo),"",COUNTIF($S$5:$S161,MesCiclo))</f>
        <v/>
      </c>
      <c r="U161" s="62">
        <f>IF($V161="","",IF($V161="Macro",ROW(),IFERROR(LOOKUP(2,1/($V$5:$V161="Macro"),ROW($V$5:$V161)),0)))</f>
        <v/>
      </c>
      <c r="V161" s="62">
        <f>IF(NOT((COUNTA($B161:$D161)+COUNTA($G161:$L161)+COUNTA($Q161))&gt;0),"",IF($B161="Subactividad","Sub","Macro"))</f>
        <v/>
      </c>
      <c r="W161" s="62">
        <f>IF($V161="Macro",COUNTIFS($U$5:$U$1000,ROW(),$V$5:$V$1000,"Sub"),"")</f>
        <v/>
      </c>
      <c r="X161" s="62">
        <f>IF($V161="","",IF(ISNUMBER($G161),1,IFERROR(LOOKUP(2,1/($I161:$L161&lt;&gt;""),$I161:$L161),0)))</f>
        <v/>
      </c>
      <c r="Y161" s="62">
        <f>IF($V161="","",IF(AND(ISNUMBER($G161),$G161&lt;=IF($S161=MesCiclo,InicioCiclo,$S161+MOD(2-WEEKDAY($S161),7))+6),1,IF(ISNUMBER($I161),$I161,0)))</f>
        <v/>
      </c>
      <c r="Z161" s="62">
        <f>IF($V161="","",IF(AND(ISNUMBER($G161),$G161&lt;=IF($S161=MesCiclo,InicioCiclo,$S161+MOD(2-WEEKDAY($S161),7))+13),1,IF(ISNUMBER($J161),$J161,$Y161)))</f>
        <v/>
      </c>
      <c r="AA161" s="62">
        <f>IF($V161="","",IF(AND(ISNUMBER($G161),$G161&lt;=IF($S161=MesCiclo,InicioCiclo,$S161+MOD(2-WEEKDAY($S161),7))+20),1,IF(ISNUMBER($K161),$K161,$Z161)))</f>
        <v/>
      </c>
      <c r="AB161" s="62">
        <f>IF($V161="","",IF(AND(ISNUMBER($G161),$G161&lt;=IF($S161=MesCiclo,InicioCiclo,$S161+MOD(2-WEEKDAY($S161),7))+27),1,IF(ISNUMBER($L161),$L161,$AA161)))</f>
        <v/>
      </c>
      <c r="AC161" s="62">
        <f>IF($V161="","",IF(AND(ISNUMBER($G161),$G161&lt;=IF($S161=MesCiclo,InicioCiclo,$S161+MOD(2-WEEKDAY($S161),7))+6),1,IF(N($W161)&gt;0,AVERAGEIFS($Y$5:$Y$1000,$U$5:$U$1000,ROW(),$V$5:$V$1000,"Sub"),$Y161)))</f>
        <v/>
      </c>
      <c r="AD161" s="62">
        <f>IF($V161="","",IF(AND(ISNUMBER($G161),$G161&lt;=IF($S161=MesCiclo,InicioCiclo,$S161+MOD(2-WEEKDAY($S161),7))+13),1,IF(N($W161)&gt;0,AVERAGEIFS($Z$5:$Z$1000,$U$5:$U$1000,ROW(),$V$5:$V$1000,"Sub"),$Z161)))</f>
        <v/>
      </c>
      <c r="AE161" s="62">
        <f>IF($V161="","",IF(AND(ISNUMBER($G161),$G161&lt;=IF($S161=MesCiclo,InicioCiclo,$S161+MOD(2-WEEKDAY($S161),7))+20),1,IF(N($W161)&gt;0,AVERAGEIFS($AA$5:$AA$1000,$U$5:$U$1000,ROW(),$V$5:$V$1000,"Sub"),$AA161)))</f>
        <v/>
      </c>
      <c r="AF161" s="62">
        <f>IF($V161="","",IF(AND(ISNUMBER($G161),$G161&lt;=IF($S161=MesCiclo,InicioCiclo,$S161+MOD(2-WEEKDAY($S161),7))+27),1,IF(N($W161)&gt;0,AVERAGEIFS($AB$5:$AB$1000,$U$5:$U$1000,ROW(),$V$5:$V$1000,"Sub"),$AB161)))</f>
        <v/>
      </c>
      <c r="AG161" s="62">
        <f>IF($V161&lt;&gt;"Macro","",IF(COUNTIFS($S$5:$S$1000,$S161,$V$5:$V$1000,"Macro",$H$5:$H$1000,"&gt;0")=0,1/COUNTIFS($S$5:$S$1000,$S161,$V$5:$V$1000,"Macro"),IF(AND(ISNUMBER($H161),N($H161)&gt;0),$H161,SUMIFS($H$5:$H$1000,$S$5:$S$1000,$S161,$V$5:$V$1000,"Macro")/COUNTIFS($S$5:$S$1000,$S161,$V$5:$V$1000,"Macro",$H$5:$H$1000,"&gt;0"))/(COUNTIFS($S$5:$S$1000,$S161,$V$5:$V$1000,"Macro")*SUMIFS($H$5:$H$1000,$S$5:$S$1000,$S161,$V$5:$V$1000,"Macro")/COUNTIFS($S$5:$S$1000,$S161,$V$5:$V$1000,"Macro",$H$5:$H$1000,"&gt;0"))))</f>
        <v/>
      </c>
      <c r="AH161" s="62" t="n"/>
      <c r="AI161" s="62" t="n"/>
      <c r="AJ161" s="62" t="n"/>
      <c r="AK161" s="62" t="n"/>
      <c r="AL161" s="62">
        <f>IF(LEFT($C161,11)="[Jefatura] ",IFERROR(MATCH("Riesgo Operacional|"&amp;MID($C161,12,500),rDname_ADM,0),0),"")</f>
        <v/>
      </c>
      <c r="AM161" s="62">
        <f>IF(N($AL161)&gt;0,INDEX(rIni_ADM,$AL161),IF(ISNUMBER($E161),$E161,""))</f>
        <v/>
      </c>
      <c r="AN161" s="62">
        <f>IF(N($AL161)&gt;0,INDEX(rLim_ADM,$AL161),IF(ISNUMBER($F161),$F161,""))</f>
        <v/>
      </c>
    </row>
    <row r="162">
      <c r="A162" s="56">
        <f>IF(NOT((COUNTA($B162:$D162)+COUNTA($G162:$L162)+COUNTA($Q162))&gt;0),"",IF($V162="Macro",COUNTIFS($V$5:$V162,"Macro",$S$5:$S162,$S162),IF(N($U162)=0,"?",COUNTIFS(INDEX($V$5:$V$1000,1):INDEX($V$5:$V$1000,$U162-4),"Macro",INDEX($S$5:$S$1000,1):INDEX($S$5:$S$1000,$U162-4),INDEX($S$5:$S$1000,$U162-4))&amp;"."&amp;COUNTIFS($U$5:$U162,$U162,$V$5:$V162,"Sub"))))</f>
        <v/>
      </c>
      <c r="B162" s="57" t="n"/>
      <c r="C162" s="58" t="n"/>
      <c r="D162" s="58" t="n"/>
      <c r="E162" s="59">
        <f>IF(N($AL162)&gt;0,INDEX(rIni_ADM,$AL162),"")</f>
        <v/>
      </c>
      <c r="F162" s="59">
        <f>IF(N($AL162)&gt;0,INDEX(rLim_ADM,$AL162),"")</f>
        <v/>
      </c>
      <c r="G162" s="59" t="n"/>
      <c r="H162" s="60" t="n"/>
      <c r="I162" s="60" t="n"/>
      <c r="J162" s="60" t="n"/>
      <c r="K162" s="60" t="n"/>
      <c r="L162" s="60" t="n"/>
      <c r="M162" s="61">
        <f>IF(NOT((COUNTA($B162:$D162)+COUNTA($G162:$L162)+COUNTA($Q162))&gt;0),"",IF(ISNUMBER($G162),1,IF(N($W162)&gt;0,AVERAGEIFS($X$5:$X$1000,$U$5:$U$1000,ROW(),$V$5:$V$1000,"Sub"),$X162)))</f>
        <v/>
      </c>
      <c r="N162" s="56">
        <f>IF($M162="","",IF($M162&gt;=1,"Completado",IF($M162&gt;0,"En curso","Pendiente")))</f>
        <v/>
      </c>
      <c r="O162" s="56">
        <f>IF(NOT((COUNTA($B162:$D162)+COUNTA($G162:$L162)+COUNTA($Q162))&gt;0),"",IF(ISNUMBER($G162),IF(AND(ISNUMBER($AN162),$G162&gt;$AN162),"Cumplida con "&amp;($G162-$AN162)&amp;IF($G162-$AN162=1," día"," días")&amp;" de retraso","Cumplida"),IF(N($M162)&gt;=1,"Cumplida",IF(NOT(ISNUMBER($AN162)),"Sin fecha límite",IF($AN162&lt;FechaRef,"Vencida hace "&amp;(FechaRef-$AN162)&amp;IF(FechaRef-$AN162=1," día"," días"),IF($AN162=FechaRef,"Vence hoy",IF($AN162-FechaRef&lt;=DiasAlerta,"Vence en "&amp;($AN162-FechaRef)&amp;IF($AN162-FechaRef=1," día"," días"),"En plazo")))))))</f>
        <v/>
      </c>
      <c r="P162" s="62" t="n"/>
      <c r="Q162" s="58" t="n"/>
      <c r="R162" s="63">
        <f>IF(NOT((COUNTA($B162:$D162)+COUNTA($G162:$L162)+COUNTA($Q162))&gt;0),"",IF((IF($C162="","Falta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",""))="","✔ OK","⚠ "&amp;LEFT(IF($C162="","Falta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",""),LEN(IF($C162="","Falta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",""))-3)))</f>
        <v/>
      </c>
      <c r="S162" s="64">
        <f>IF(NOT((COUNTA($B162:$D162)+COUNTA($G162:$L162)+COUNTA($Q162))&gt;0),"",IF(AND($V162="Sub",N($U162)&gt;0),IF(ISNUMBER(INDEX($AM$5:$AM$1000,$U162-4)),DATE(YEAR(INDEX($AM$5:$AM$1000,$U162-4)),MONTH(INDEX($AM$5:$AM$1000,$U162-4)),1),IF(ISNUMBER(INDEX($AN$5:$AN$1000,$U162-4)),DATE(YEAR(INDEX($AN$5:$AN$1000,$U162-4)),MONTH(INDEX($AN$5:$AN$1000,$U162-4)),1),MesCiclo)),IF(ISNUMBER($AM162),DATE(YEAR($AM162),MONTH($AM162),1),IF(ISNUMBER($AN162),DATE(YEAR($AN162),MONTH($AN162),1),MesCiclo))))</f>
        <v/>
      </c>
      <c r="T162" s="62">
        <f>IF(OR($S162="",$S162&lt;&gt;MesCiclo),"",COUNTIF($S$5:$S162,MesCiclo))</f>
        <v/>
      </c>
      <c r="U162" s="62">
        <f>IF($V162="","",IF($V162="Macro",ROW(),IFERROR(LOOKUP(2,1/($V$5:$V162="Macro"),ROW($V$5:$V162)),0)))</f>
        <v/>
      </c>
      <c r="V162" s="62">
        <f>IF(NOT((COUNTA($B162:$D162)+COUNTA($G162:$L162)+COUNTA($Q162))&gt;0),"",IF($B162="Subactividad","Sub","Macro"))</f>
        <v/>
      </c>
      <c r="W162" s="62">
        <f>IF($V162="Macro",COUNTIFS($U$5:$U$1000,ROW(),$V$5:$V$1000,"Sub"),"")</f>
        <v/>
      </c>
      <c r="X162" s="62">
        <f>IF($V162="","",IF(ISNUMBER($G162),1,IFERROR(LOOKUP(2,1/($I162:$L162&lt;&gt;""),$I162:$L162),0)))</f>
        <v/>
      </c>
      <c r="Y162" s="62">
        <f>IF($V162="","",IF(AND(ISNUMBER($G162),$G162&lt;=IF($S162=MesCiclo,InicioCiclo,$S162+MOD(2-WEEKDAY($S162),7))+6),1,IF(ISNUMBER($I162),$I162,0)))</f>
        <v/>
      </c>
      <c r="Z162" s="62">
        <f>IF($V162="","",IF(AND(ISNUMBER($G162),$G162&lt;=IF($S162=MesCiclo,InicioCiclo,$S162+MOD(2-WEEKDAY($S162),7))+13),1,IF(ISNUMBER($J162),$J162,$Y162)))</f>
        <v/>
      </c>
      <c r="AA162" s="62">
        <f>IF($V162="","",IF(AND(ISNUMBER($G162),$G162&lt;=IF($S162=MesCiclo,InicioCiclo,$S162+MOD(2-WEEKDAY($S162),7))+20),1,IF(ISNUMBER($K162),$K162,$Z162)))</f>
        <v/>
      </c>
      <c r="AB162" s="62">
        <f>IF($V162="","",IF(AND(ISNUMBER($G162),$G162&lt;=IF($S162=MesCiclo,InicioCiclo,$S162+MOD(2-WEEKDAY($S162),7))+27),1,IF(ISNUMBER($L162),$L162,$AA162)))</f>
        <v/>
      </c>
      <c r="AC162" s="62">
        <f>IF($V162="","",IF(AND(ISNUMBER($G162),$G162&lt;=IF($S162=MesCiclo,InicioCiclo,$S162+MOD(2-WEEKDAY($S162),7))+6),1,IF(N($W162)&gt;0,AVERAGEIFS($Y$5:$Y$1000,$U$5:$U$1000,ROW(),$V$5:$V$1000,"Sub"),$Y162)))</f>
        <v/>
      </c>
      <c r="AD162" s="62">
        <f>IF($V162="","",IF(AND(ISNUMBER($G162),$G162&lt;=IF($S162=MesCiclo,InicioCiclo,$S162+MOD(2-WEEKDAY($S162),7))+13),1,IF(N($W162)&gt;0,AVERAGEIFS($Z$5:$Z$1000,$U$5:$U$1000,ROW(),$V$5:$V$1000,"Sub"),$Z162)))</f>
        <v/>
      </c>
      <c r="AE162" s="62">
        <f>IF($V162="","",IF(AND(ISNUMBER($G162),$G162&lt;=IF($S162=MesCiclo,InicioCiclo,$S162+MOD(2-WEEKDAY($S162),7))+20),1,IF(N($W162)&gt;0,AVERAGEIFS($AA$5:$AA$1000,$U$5:$U$1000,ROW(),$V$5:$V$1000,"Sub"),$AA162)))</f>
        <v/>
      </c>
      <c r="AF162" s="62">
        <f>IF($V162="","",IF(AND(ISNUMBER($G162),$G162&lt;=IF($S162=MesCiclo,InicioCiclo,$S162+MOD(2-WEEKDAY($S162),7))+27),1,IF(N($W162)&gt;0,AVERAGEIFS($AB$5:$AB$1000,$U$5:$U$1000,ROW(),$V$5:$V$1000,"Sub"),$AB162)))</f>
        <v/>
      </c>
      <c r="AG162" s="62">
        <f>IF($V162&lt;&gt;"Macro","",IF(COUNTIFS($S$5:$S$1000,$S162,$V$5:$V$1000,"Macro",$H$5:$H$1000,"&gt;0")=0,1/COUNTIFS($S$5:$S$1000,$S162,$V$5:$V$1000,"Macro"),IF(AND(ISNUMBER($H162),N($H162)&gt;0),$H162,SUMIFS($H$5:$H$1000,$S$5:$S$1000,$S162,$V$5:$V$1000,"Macro")/COUNTIFS($S$5:$S$1000,$S162,$V$5:$V$1000,"Macro",$H$5:$H$1000,"&gt;0"))/(COUNTIFS($S$5:$S$1000,$S162,$V$5:$V$1000,"Macro")*SUMIFS($H$5:$H$1000,$S$5:$S$1000,$S162,$V$5:$V$1000,"Macro")/COUNTIFS($S$5:$S$1000,$S162,$V$5:$V$1000,"Macro",$H$5:$H$1000,"&gt;0"))))</f>
        <v/>
      </c>
      <c r="AH162" s="62" t="n"/>
      <c r="AI162" s="62" t="n"/>
      <c r="AJ162" s="62" t="n"/>
      <c r="AK162" s="62" t="n"/>
      <c r="AL162" s="62">
        <f>IF(LEFT($C162,11)="[Jefatura] ",IFERROR(MATCH("Riesgo Operacional|"&amp;MID($C162,12,500),rDname_ADM,0),0),"")</f>
        <v/>
      </c>
      <c r="AM162" s="62">
        <f>IF(N($AL162)&gt;0,INDEX(rIni_ADM,$AL162),IF(ISNUMBER($E162),$E162,""))</f>
        <v/>
      </c>
      <c r="AN162" s="62">
        <f>IF(N($AL162)&gt;0,INDEX(rLim_ADM,$AL162),IF(ISNUMBER($F162),$F162,""))</f>
        <v/>
      </c>
    </row>
    <row r="163">
      <c r="A163" s="56">
        <f>IF(NOT((COUNTA($B163:$D163)+COUNTA($G163:$L163)+COUNTA($Q163))&gt;0),"",IF($V163="Macro",COUNTIFS($V$5:$V163,"Macro",$S$5:$S163,$S163),IF(N($U163)=0,"?",COUNTIFS(INDEX($V$5:$V$1000,1):INDEX($V$5:$V$1000,$U163-4),"Macro",INDEX($S$5:$S$1000,1):INDEX($S$5:$S$1000,$U163-4),INDEX($S$5:$S$1000,$U163-4))&amp;"."&amp;COUNTIFS($U$5:$U163,$U163,$V$5:$V163,"Sub"))))</f>
        <v/>
      </c>
      <c r="B163" s="57" t="n"/>
      <c r="C163" s="58" t="n"/>
      <c r="D163" s="58" t="n"/>
      <c r="E163" s="59">
        <f>IF(N($AL163)&gt;0,INDEX(rIni_ADM,$AL163),"")</f>
        <v/>
      </c>
      <c r="F163" s="59">
        <f>IF(N($AL163)&gt;0,INDEX(rLim_ADM,$AL163),"")</f>
        <v/>
      </c>
      <c r="G163" s="59" t="n"/>
      <c r="H163" s="60" t="n"/>
      <c r="I163" s="60" t="n"/>
      <c r="J163" s="60" t="n"/>
      <c r="K163" s="60" t="n"/>
      <c r="L163" s="60" t="n"/>
      <c r="M163" s="61">
        <f>IF(NOT((COUNTA($B163:$D163)+COUNTA($G163:$L163)+COUNTA($Q163))&gt;0),"",IF(ISNUMBER($G163),1,IF(N($W163)&gt;0,AVERAGEIFS($X$5:$X$1000,$U$5:$U$1000,ROW(),$V$5:$V$1000,"Sub"),$X163)))</f>
        <v/>
      </c>
      <c r="N163" s="56">
        <f>IF($M163="","",IF($M163&gt;=1,"Completado",IF($M163&gt;0,"En curso","Pendiente")))</f>
        <v/>
      </c>
      <c r="O163" s="56">
        <f>IF(NOT((COUNTA($B163:$D163)+COUNTA($G163:$L163)+COUNTA($Q163))&gt;0),"",IF(ISNUMBER($G163),IF(AND(ISNUMBER($AN163),$G163&gt;$AN163),"Cumplida con "&amp;($G163-$AN163)&amp;IF($G163-$AN163=1," día"," días")&amp;" de retraso","Cumplida"),IF(N($M163)&gt;=1,"Cumplida",IF(NOT(ISNUMBER($AN163)),"Sin fecha límite",IF($AN163&lt;FechaRef,"Vencida hace "&amp;(FechaRef-$AN163)&amp;IF(FechaRef-$AN163=1," día"," días"),IF($AN163=FechaRef,"Vence hoy",IF($AN163-FechaRef&lt;=DiasAlerta,"Vence en "&amp;($AN163-FechaRef)&amp;IF($AN163-FechaRef=1," día"," días"),"En plazo")))))))</f>
        <v/>
      </c>
      <c r="P163" s="62" t="n"/>
      <c r="Q163" s="58" t="n"/>
      <c r="R163" s="63">
        <f>IF(NOT((COUNTA($B163:$D163)+COUNTA($G163:$L163)+COUNTA($Q163))&gt;0),"",IF((IF($C163="","Falta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",""))="","✔ OK","⚠ "&amp;LEFT(IF($C163="","Falta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",""),LEN(IF($C163="","Falta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",""))-3)))</f>
        <v/>
      </c>
      <c r="S163" s="64">
        <f>IF(NOT((COUNTA($B163:$D163)+COUNTA($G163:$L163)+COUNTA($Q163))&gt;0),"",IF(AND($V163="Sub",N($U163)&gt;0),IF(ISNUMBER(INDEX($AM$5:$AM$1000,$U163-4)),DATE(YEAR(INDEX($AM$5:$AM$1000,$U163-4)),MONTH(INDEX($AM$5:$AM$1000,$U163-4)),1),IF(ISNUMBER(INDEX($AN$5:$AN$1000,$U163-4)),DATE(YEAR(INDEX($AN$5:$AN$1000,$U163-4)),MONTH(INDEX($AN$5:$AN$1000,$U163-4)),1),MesCiclo)),IF(ISNUMBER($AM163),DATE(YEAR($AM163),MONTH($AM163),1),IF(ISNUMBER($AN163),DATE(YEAR($AN163),MONTH($AN163),1),MesCiclo))))</f>
        <v/>
      </c>
      <c r="T163" s="62">
        <f>IF(OR($S163="",$S163&lt;&gt;MesCiclo),"",COUNTIF($S$5:$S163,MesCiclo))</f>
        <v/>
      </c>
      <c r="U163" s="62">
        <f>IF($V163="","",IF($V163="Macro",ROW(),IFERROR(LOOKUP(2,1/($V$5:$V163="Macro"),ROW($V$5:$V163)),0)))</f>
        <v/>
      </c>
      <c r="V163" s="62">
        <f>IF(NOT((COUNTA($B163:$D163)+COUNTA($G163:$L163)+COUNTA($Q163))&gt;0),"",IF($B163="Subactividad","Sub","Macro"))</f>
        <v/>
      </c>
      <c r="W163" s="62">
        <f>IF($V163="Macro",COUNTIFS($U$5:$U$1000,ROW(),$V$5:$V$1000,"Sub"),"")</f>
        <v/>
      </c>
      <c r="X163" s="62">
        <f>IF($V163="","",IF(ISNUMBER($G163),1,IFERROR(LOOKUP(2,1/($I163:$L163&lt;&gt;""),$I163:$L163),0)))</f>
        <v/>
      </c>
      <c r="Y163" s="62">
        <f>IF($V163="","",IF(AND(ISNUMBER($G163),$G163&lt;=IF($S163=MesCiclo,InicioCiclo,$S163+MOD(2-WEEKDAY($S163),7))+6),1,IF(ISNUMBER($I163),$I163,0)))</f>
        <v/>
      </c>
      <c r="Z163" s="62">
        <f>IF($V163="","",IF(AND(ISNUMBER($G163),$G163&lt;=IF($S163=MesCiclo,InicioCiclo,$S163+MOD(2-WEEKDAY($S163),7))+13),1,IF(ISNUMBER($J163),$J163,$Y163)))</f>
        <v/>
      </c>
      <c r="AA163" s="62">
        <f>IF($V163="","",IF(AND(ISNUMBER($G163),$G163&lt;=IF($S163=MesCiclo,InicioCiclo,$S163+MOD(2-WEEKDAY($S163),7))+20),1,IF(ISNUMBER($K163),$K163,$Z163)))</f>
        <v/>
      </c>
      <c r="AB163" s="62">
        <f>IF($V163="","",IF(AND(ISNUMBER($G163),$G163&lt;=IF($S163=MesCiclo,InicioCiclo,$S163+MOD(2-WEEKDAY($S163),7))+27),1,IF(ISNUMBER($L163),$L163,$AA163)))</f>
        <v/>
      </c>
      <c r="AC163" s="62">
        <f>IF($V163="","",IF(AND(ISNUMBER($G163),$G163&lt;=IF($S163=MesCiclo,InicioCiclo,$S163+MOD(2-WEEKDAY($S163),7))+6),1,IF(N($W163)&gt;0,AVERAGEIFS($Y$5:$Y$1000,$U$5:$U$1000,ROW(),$V$5:$V$1000,"Sub"),$Y163)))</f>
        <v/>
      </c>
      <c r="AD163" s="62">
        <f>IF($V163="","",IF(AND(ISNUMBER($G163),$G163&lt;=IF($S163=MesCiclo,InicioCiclo,$S163+MOD(2-WEEKDAY($S163),7))+13),1,IF(N($W163)&gt;0,AVERAGEIFS($Z$5:$Z$1000,$U$5:$U$1000,ROW(),$V$5:$V$1000,"Sub"),$Z163)))</f>
        <v/>
      </c>
      <c r="AE163" s="62">
        <f>IF($V163="","",IF(AND(ISNUMBER($G163),$G163&lt;=IF($S163=MesCiclo,InicioCiclo,$S163+MOD(2-WEEKDAY($S163),7))+20),1,IF(N($W163)&gt;0,AVERAGEIFS($AA$5:$AA$1000,$U$5:$U$1000,ROW(),$V$5:$V$1000,"Sub"),$AA163)))</f>
        <v/>
      </c>
      <c r="AF163" s="62">
        <f>IF($V163="","",IF(AND(ISNUMBER($G163),$G163&lt;=IF($S163=MesCiclo,InicioCiclo,$S163+MOD(2-WEEKDAY($S163),7))+27),1,IF(N($W163)&gt;0,AVERAGEIFS($AB$5:$AB$1000,$U$5:$U$1000,ROW(),$V$5:$V$1000,"Sub"),$AB163)))</f>
        <v/>
      </c>
      <c r="AG163" s="62">
        <f>IF($V163&lt;&gt;"Macro","",IF(COUNTIFS($S$5:$S$1000,$S163,$V$5:$V$1000,"Macro",$H$5:$H$1000,"&gt;0")=0,1/COUNTIFS($S$5:$S$1000,$S163,$V$5:$V$1000,"Macro"),IF(AND(ISNUMBER($H163),N($H163)&gt;0),$H163,SUMIFS($H$5:$H$1000,$S$5:$S$1000,$S163,$V$5:$V$1000,"Macro")/COUNTIFS($S$5:$S$1000,$S163,$V$5:$V$1000,"Macro",$H$5:$H$1000,"&gt;0"))/(COUNTIFS($S$5:$S$1000,$S163,$V$5:$V$1000,"Macro")*SUMIFS($H$5:$H$1000,$S$5:$S$1000,$S163,$V$5:$V$1000,"Macro")/COUNTIFS($S$5:$S$1000,$S163,$V$5:$V$1000,"Macro",$H$5:$H$1000,"&gt;0"))))</f>
        <v/>
      </c>
      <c r="AH163" s="62" t="n"/>
      <c r="AI163" s="62" t="n"/>
      <c r="AJ163" s="62" t="n"/>
      <c r="AK163" s="62" t="n"/>
      <c r="AL163" s="62">
        <f>IF(LEFT($C163,11)="[Jefatura] ",IFERROR(MATCH("Riesgo Operacional|"&amp;MID($C163,12,500),rDname_ADM,0),0),"")</f>
        <v/>
      </c>
      <c r="AM163" s="62">
        <f>IF(N($AL163)&gt;0,INDEX(rIni_ADM,$AL163),IF(ISNUMBER($E163),$E163,""))</f>
        <v/>
      </c>
      <c r="AN163" s="62">
        <f>IF(N($AL163)&gt;0,INDEX(rLim_ADM,$AL163),IF(ISNUMBER($F163),$F163,""))</f>
        <v/>
      </c>
    </row>
    <row r="164">
      <c r="A164" s="56">
        <f>IF(NOT((COUNTA($B164:$D164)+COUNTA($G164:$L164)+COUNTA($Q164))&gt;0),"",IF($V164="Macro",COUNTIFS($V$5:$V164,"Macro",$S$5:$S164,$S164),IF(N($U164)=0,"?",COUNTIFS(INDEX($V$5:$V$1000,1):INDEX($V$5:$V$1000,$U164-4),"Macro",INDEX($S$5:$S$1000,1):INDEX($S$5:$S$1000,$U164-4),INDEX($S$5:$S$1000,$U164-4))&amp;"."&amp;COUNTIFS($U$5:$U164,$U164,$V$5:$V164,"Sub"))))</f>
        <v/>
      </c>
      <c r="B164" s="57" t="n"/>
      <c r="C164" s="58" t="n"/>
      <c r="D164" s="58" t="n"/>
      <c r="E164" s="59">
        <f>IF(N($AL164)&gt;0,INDEX(rIni_ADM,$AL164),"")</f>
        <v/>
      </c>
      <c r="F164" s="59">
        <f>IF(N($AL164)&gt;0,INDEX(rLim_ADM,$AL164),"")</f>
        <v/>
      </c>
      <c r="G164" s="59" t="n"/>
      <c r="H164" s="60" t="n"/>
      <c r="I164" s="60" t="n"/>
      <c r="J164" s="60" t="n"/>
      <c r="K164" s="60" t="n"/>
      <c r="L164" s="60" t="n"/>
      <c r="M164" s="61">
        <f>IF(NOT((COUNTA($B164:$D164)+COUNTA($G164:$L164)+COUNTA($Q164))&gt;0),"",IF(ISNUMBER($G164),1,IF(N($W164)&gt;0,AVERAGEIFS($X$5:$X$1000,$U$5:$U$1000,ROW(),$V$5:$V$1000,"Sub"),$X164)))</f>
        <v/>
      </c>
      <c r="N164" s="56">
        <f>IF($M164="","",IF($M164&gt;=1,"Completado",IF($M164&gt;0,"En curso","Pendiente")))</f>
        <v/>
      </c>
      <c r="O164" s="56">
        <f>IF(NOT((COUNTA($B164:$D164)+COUNTA($G164:$L164)+COUNTA($Q164))&gt;0),"",IF(ISNUMBER($G164),IF(AND(ISNUMBER($AN164),$G164&gt;$AN164),"Cumplida con "&amp;($G164-$AN164)&amp;IF($G164-$AN164=1," día"," días")&amp;" de retraso","Cumplida"),IF(N($M164)&gt;=1,"Cumplida",IF(NOT(ISNUMBER($AN164)),"Sin fecha límite",IF($AN164&lt;FechaRef,"Vencida hace "&amp;(FechaRef-$AN164)&amp;IF(FechaRef-$AN164=1," día"," días"),IF($AN164=FechaRef,"Vence hoy",IF($AN164-FechaRef&lt;=DiasAlerta,"Vence en "&amp;($AN164-FechaRef)&amp;IF($AN164-FechaRef=1," día"," días"),"En plazo")))))))</f>
        <v/>
      </c>
      <c r="P164" s="62" t="n"/>
      <c r="Q164" s="58" t="n"/>
      <c r="R164" s="63">
        <f>IF(NOT((COUNTA($B164:$D164)+COUNTA($G164:$L164)+COUNTA($Q164))&gt;0),"",IF((IF($C164="","Falta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",""))="","✔ OK","⚠ "&amp;LEFT(IF($C164="","Falta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",""),LEN(IF($C164="","Falta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",""))-3)))</f>
        <v/>
      </c>
      <c r="S164" s="64">
        <f>IF(NOT((COUNTA($B164:$D164)+COUNTA($G164:$L164)+COUNTA($Q164))&gt;0),"",IF(AND($V164="Sub",N($U164)&gt;0),IF(ISNUMBER(INDEX($AM$5:$AM$1000,$U164-4)),DATE(YEAR(INDEX($AM$5:$AM$1000,$U164-4)),MONTH(INDEX($AM$5:$AM$1000,$U164-4)),1),IF(ISNUMBER(INDEX($AN$5:$AN$1000,$U164-4)),DATE(YEAR(INDEX($AN$5:$AN$1000,$U164-4)),MONTH(INDEX($AN$5:$AN$1000,$U164-4)),1),MesCiclo)),IF(ISNUMBER($AM164),DATE(YEAR($AM164),MONTH($AM164),1),IF(ISNUMBER($AN164),DATE(YEAR($AN164),MONTH($AN164),1),MesCiclo))))</f>
        <v/>
      </c>
      <c r="T164" s="62">
        <f>IF(OR($S164="",$S164&lt;&gt;MesCiclo),"",COUNTIF($S$5:$S164,MesCiclo))</f>
        <v/>
      </c>
      <c r="U164" s="62">
        <f>IF($V164="","",IF($V164="Macro",ROW(),IFERROR(LOOKUP(2,1/($V$5:$V164="Macro"),ROW($V$5:$V164)),0)))</f>
        <v/>
      </c>
      <c r="V164" s="62">
        <f>IF(NOT((COUNTA($B164:$D164)+COUNTA($G164:$L164)+COUNTA($Q164))&gt;0),"",IF($B164="Subactividad","Sub","Macro"))</f>
        <v/>
      </c>
      <c r="W164" s="62">
        <f>IF($V164="Macro",COUNTIFS($U$5:$U$1000,ROW(),$V$5:$V$1000,"Sub"),"")</f>
        <v/>
      </c>
      <c r="X164" s="62">
        <f>IF($V164="","",IF(ISNUMBER($G164),1,IFERROR(LOOKUP(2,1/($I164:$L164&lt;&gt;""),$I164:$L164),0)))</f>
        <v/>
      </c>
      <c r="Y164" s="62">
        <f>IF($V164="","",IF(AND(ISNUMBER($G164),$G164&lt;=IF($S164=MesCiclo,InicioCiclo,$S164+MOD(2-WEEKDAY($S164),7))+6),1,IF(ISNUMBER($I164),$I164,0)))</f>
        <v/>
      </c>
      <c r="Z164" s="62">
        <f>IF($V164="","",IF(AND(ISNUMBER($G164),$G164&lt;=IF($S164=MesCiclo,InicioCiclo,$S164+MOD(2-WEEKDAY($S164),7))+13),1,IF(ISNUMBER($J164),$J164,$Y164)))</f>
        <v/>
      </c>
      <c r="AA164" s="62">
        <f>IF($V164="","",IF(AND(ISNUMBER($G164),$G164&lt;=IF($S164=MesCiclo,InicioCiclo,$S164+MOD(2-WEEKDAY($S164),7))+20),1,IF(ISNUMBER($K164),$K164,$Z164)))</f>
        <v/>
      </c>
      <c r="AB164" s="62">
        <f>IF($V164="","",IF(AND(ISNUMBER($G164),$G164&lt;=IF($S164=MesCiclo,InicioCiclo,$S164+MOD(2-WEEKDAY($S164),7))+27),1,IF(ISNUMBER($L164),$L164,$AA164)))</f>
        <v/>
      </c>
      <c r="AC164" s="62">
        <f>IF($V164="","",IF(AND(ISNUMBER($G164),$G164&lt;=IF($S164=MesCiclo,InicioCiclo,$S164+MOD(2-WEEKDAY($S164),7))+6),1,IF(N($W164)&gt;0,AVERAGEIFS($Y$5:$Y$1000,$U$5:$U$1000,ROW(),$V$5:$V$1000,"Sub"),$Y164)))</f>
        <v/>
      </c>
      <c r="AD164" s="62">
        <f>IF($V164="","",IF(AND(ISNUMBER($G164),$G164&lt;=IF($S164=MesCiclo,InicioCiclo,$S164+MOD(2-WEEKDAY($S164),7))+13),1,IF(N($W164)&gt;0,AVERAGEIFS($Z$5:$Z$1000,$U$5:$U$1000,ROW(),$V$5:$V$1000,"Sub"),$Z164)))</f>
        <v/>
      </c>
      <c r="AE164" s="62">
        <f>IF($V164="","",IF(AND(ISNUMBER($G164),$G164&lt;=IF($S164=MesCiclo,InicioCiclo,$S164+MOD(2-WEEKDAY($S164),7))+20),1,IF(N($W164)&gt;0,AVERAGEIFS($AA$5:$AA$1000,$U$5:$U$1000,ROW(),$V$5:$V$1000,"Sub"),$AA164)))</f>
        <v/>
      </c>
      <c r="AF164" s="62">
        <f>IF($V164="","",IF(AND(ISNUMBER($G164),$G164&lt;=IF($S164=MesCiclo,InicioCiclo,$S164+MOD(2-WEEKDAY($S164),7))+27),1,IF(N($W164)&gt;0,AVERAGEIFS($AB$5:$AB$1000,$U$5:$U$1000,ROW(),$V$5:$V$1000,"Sub"),$AB164)))</f>
        <v/>
      </c>
      <c r="AG164" s="62">
        <f>IF($V164&lt;&gt;"Macro","",IF(COUNTIFS($S$5:$S$1000,$S164,$V$5:$V$1000,"Macro",$H$5:$H$1000,"&gt;0")=0,1/COUNTIFS($S$5:$S$1000,$S164,$V$5:$V$1000,"Macro"),IF(AND(ISNUMBER($H164),N($H164)&gt;0),$H164,SUMIFS($H$5:$H$1000,$S$5:$S$1000,$S164,$V$5:$V$1000,"Macro")/COUNTIFS($S$5:$S$1000,$S164,$V$5:$V$1000,"Macro",$H$5:$H$1000,"&gt;0"))/(COUNTIFS($S$5:$S$1000,$S164,$V$5:$V$1000,"Macro")*SUMIFS($H$5:$H$1000,$S$5:$S$1000,$S164,$V$5:$V$1000,"Macro")/COUNTIFS($S$5:$S$1000,$S164,$V$5:$V$1000,"Macro",$H$5:$H$1000,"&gt;0"))))</f>
        <v/>
      </c>
      <c r="AH164" s="62" t="n"/>
      <c r="AI164" s="62" t="n"/>
      <c r="AJ164" s="62" t="n"/>
      <c r="AK164" s="62" t="n"/>
      <c r="AL164" s="62">
        <f>IF(LEFT($C164,11)="[Jefatura] ",IFERROR(MATCH("Riesgo Operacional|"&amp;MID($C164,12,500),rDname_ADM,0),0),"")</f>
        <v/>
      </c>
      <c r="AM164" s="62">
        <f>IF(N($AL164)&gt;0,INDEX(rIni_ADM,$AL164),IF(ISNUMBER($E164),$E164,""))</f>
        <v/>
      </c>
      <c r="AN164" s="62">
        <f>IF(N($AL164)&gt;0,INDEX(rLim_ADM,$AL164),IF(ISNUMBER($F164),$F164,""))</f>
        <v/>
      </c>
    </row>
    <row r="165">
      <c r="A165" s="56">
        <f>IF(NOT((COUNTA($B165:$D165)+COUNTA($G165:$L165)+COUNTA($Q165))&gt;0),"",IF($V165="Macro",COUNTIFS($V$5:$V165,"Macro",$S$5:$S165,$S165),IF(N($U165)=0,"?",COUNTIFS(INDEX($V$5:$V$1000,1):INDEX($V$5:$V$1000,$U165-4),"Macro",INDEX($S$5:$S$1000,1):INDEX($S$5:$S$1000,$U165-4),INDEX($S$5:$S$1000,$U165-4))&amp;"."&amp;COUNTIFS($U$5:$U165,$U165,$V$5:$V165,"Sub"))))</f>
        <v/>
      </c>
      <c r="B165" s="57" t="n"/>
      <c r="C165" s="58" t="n"/>
      <c r="D165" s="58" t="n"/>
      <c r="E165" s="59">
        <f>IF(N($AL165)&gt;0,INDEX(rIni_ADM,$AL165),"")</f>
        <v/>
      </c>
      <c r="F165" s="59">
        <f>IF(N($AL165)&gt;0,INDEX(rLim_ADM,$AL165),"")</f>
        <v/>
      </c>
      <c r="G165" s="59" t="n"/>
      <c r="H165" s="60" t="n"/>
      <c r="I165" s="60" t="n"/>
      <c r="J165" s="60" t="n"/>
      <c r="K165" s="60" t="n"/>
      <c r="L165" s="60" t="n"/>
      <c r="M165" s="61">
        <f>IF(NOT((COUNTA($B165:$D165)+COUNTA($G165:$L165)+COUNTA($Q165))&gt;0),"",IF(ISNUMBER($G165),1,IF(N($W165)&gt;0,AVERAGEIFS($X$5:$X$1000,$U$5:$U$1000,ROW(),$V$5:$V$1000,"Sub"),$X165)))</f>
        <v/>
      </c>
      <c r="N165" s="56">
        <f>IF($M165="","",IF($M165&gt;=1,"Completado",IF($M165&gt;0,"En curso","Pendiente")))</f>
        <v/>
      </c>
      <c r="O165" s="56">
        <f>IF(NOT((COUNTA($B165:$D165)+COUNTA($G165:$L165)+COUNTA($Q165))&gt;0),"",IF(ISNUMBER($G165),IF(AND(ISNUMBER($AN165),$G165&gt;$AN165),"Cumplida con "&amp;($G165-$AN165)&amp;IF($G165-$AN165=1," día"," días")&amp;" de retraso","Cumplida"),IF(N($M165)&gt;=1,"Cumplida",IF(NOT(ISNUMBER($AN165)),"Sin fecha límite",IF($AN165&lt;FechaRef,"Vencida hace "&amp;(FechaRef-$AN165)&amp;IF(FechaRef-$AN165=1," día"," días"),IF($AN165=FechaRef,"Vence hoy",IF($AN165-FechaRef&lt;=DiasAlerta,"Vence en "&amp;($AN165-FechaRef)&amp;IF($AN165-FechaRef=1," día"," días"),"En plazo")))))))</f>
        <v/>
      </c>
      <c r="P165" s="62" t="n"/>
      <c r="Q165" s="58" t="n"/>
      <c r="R165" s="63">
        <f>IF(NOT((COUNTA($B165:$D165)+COUNTA($G165:$L165)+COUNTA($Q165))&gt;0),"",IF((IF($C165="","Falta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",""))="","✔ OK","⚠ "&amp;LEFT(IF($C165="","Falta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",""),LEN(IF($C165="","Falta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",""))-3)))</f>
        <v/>
      </c>
      <c r="S165" s="64">
        <f>IF(NOT((COUNTA($B165:$D165)+COUNTA($G165:$L165)+COUNTA($Q165))&gt;0),"",IF(AND($V165="Sub",N($U165)&gt;0),IF(ISNUMBER(INDEX($AM$5:$AM$1000,$U165-4)),DATE(YEAR(INDEX($AM$5:$AM$1000,$U165-4)),MONTH(INDEX($AM$5:$AM$1000,$U165-4)),1),IF(ISNUMBER(INDEX($AN$5:$AN$1000,$U165-4)),DATE(YEAR(INDEX($AN$5:$AN$1000,$U165-4)),MONTH(INDEX($AN$5:$AN$1000,$U165-4)),1),MesCiclo)),IF(ISNUMBER($AM165),DATE(YEAR($AM165),MONTH($AM165),1),IF(ISNUMBER($AN165),DATE(YEAR($AN165),MONTH($AN165),1),MesCiclo))))</f>
        <v/>
      </c>
      <c r="T165" s="62">
        <f>IF(OR($S165="",$S165&lt;&gt;MesCiclo),"",COUNTIF($S$5:$S165,MesCiclo))</f>
        <v/>
      </c>
      <c r="U165" s="62">
        <f>IF($V165="","",IF($V165="Macro",ROW(),IFERROR(LOOKUP(2,1/($V$5:$V165="Macro"),ROW($V$5:$V165)),0)))</f>
        <v/>
      </c>
      <c r="V165" s="62">
        <f>IF(NOT((COUNTA($B165:$D165)+COUNTA($G165:$L165)+COUNTA($Q165))&gt;0),"",IF($B165="Subactividad","Sub","Macro"))</f>
        <v/>
      </c>
      <c r="W165" s="62">
        <f>IF($V165="Macro",COUNTIFS($U$5:$U$1000,ROW(),$V$5:$V$1000,"Sub"),"")</f>
        <v/>
      </c>
      <c r="X165" s="62">
        <f>IF($V165="","",IF(ISNUMBER($G165),1,IFERROR(LOOKUP(2,1/($I165:$L165&lt;&gt;""),$I165:$L165),0)))</f>
        <v/>
      </c>
      <c r="Y165" s="62">
        <f>IF($V165="","",IF(AND(ISNUMBER($G165),$G165&lt;=IF($S165=MesCiclo,InicioCiclo,$S165+MOD(2-WEEKDAY($S165),7))+6),1,IF(ISNUMBER($I165),$I165,0)))</f>
        <v/>
      </c>
      <c r="Z165" s="62">
        <f>IF($V165="","",IF(AND(ISNUMBER($G165),$G165&lt;=IF($S165=MesCiclo,InicioCiclo,$S165+MOD(2-WEEKDAY($S165),7))+13),1,IF(ISNUMBER($J165),$J165,$Y165)))</f>
        <v/>
      </c>
      <c r="AA165" s="62">
        <f>IF($V165="","",IF(AND(ISNUMBER($G165),$G165&lt;=IF($S165=MesCiclo,InicioCiclo,$S165+MOD(2-WEEKDAY($S165),7))+20),1,IF(ISNUMBER($K165),$K165,$Z165)))</f>
        <v/>
      </c>
      <c r="AB165" s="62">
        <f>IF($V165="","",IF(AND(ISNUMBER($G165),$G165&lt;=IF($S165=MesCiclo,InicioCiclo,$S165+MOD(2-WEEKDAY($S165),7))+27),1,IF(ISNUMBER($L165),$L165,$AA165)))</f>
        <v/>
      </c>
      <c r="AC165" s="62">
        <f>IF($V165="","",IF(AND(ISNUMBER($G165),$G165&lt;=IF($S165=MesCiclo,InicioCiclo,$S165+MOD(2-WEEKDAY($S165),7))+6),1,IF(N($W165)&gt;0,AVERAGEIFS($Y$5:$Y$1000,$U$5:$U$1000,ROW(),$V$5:$V$1000,"Sub"),$Y165)))</f>
        <v/>
      </c>
      <c r="AD165" s="62">
        <f>IF($V165="","",IF(AND(ISNUMBER($G165),$G165&lt;=IF($S165=MesCiclo,InicioCiclo,$S165+MOD(2-WEEKDAY($S165),7))+13),1,IF(N($W165)&gt;0,AVERAGEIFS($Z$5:$Z$1000,$U$5:$U$1000,ROW(),$V$5:$V$1000,"Sub"),$Z165)))</f>
        <v/>
      </c>
      <c r="AE165" s="62">
        <f>IF($V165="","",IF(AND(ISNUMBER($G165),$G165&lt;=IF($S165=MesCiclo,InicioCiclo,$S165+MOD(2-WEEKDAY($S165),7))+20),1,IF(N($W165)&gt;0,AVERAGEIFS($AA$5:$AA$1000,$U$5:$U$1000,ROW(),$V$5:$V$1000,"Sub"),$AA165)))</f>
        <v/>
      </c>
      <c r="AF165" s="62">
        <f>IF($V165="","",IF(AND(ISNUMBER($G165),$G165&lt;=IF($S165=MesCiclo,InicioCiclo,$S165+MOD(2-WEEKDAY($S165),7))+27),1,IF(N($W165)&gt;0,AVERAGEIFS($AB$5:$AB$1000,$U$5:$U$1000,ROW(),$V$5:$V$1000,"Sub"),$AB165)))</f>
        <v/>
      </c>
      <c r="AG165" s="62">
        <f>IF($V165&lt;&gt;"Macro","",IF(COUNTIFS($S$5:$S$1000,$S165,$V$5:$V$1000,"Macro",$H$5:$H$1000,"&gt;0")=0,1/COUNTIFS($S$5:$S$1000,$S165,$V$5:$V$1000,"Macro"),IF(AND(ISNUMBER($H165),N($H165)&gt;0),$H165,SUMIFS($H$5:$H$1000,$S$5:$S$1000,$S165,$V$5:$V$1000,"Macro")/COUNTIFS($S$5:$S$1000,$S165,$V$5:$V$1000,"Macro",$H$5:$H$1000,"&gt;0"))/(COUNTIFS($S$5:$S$1000,$S165,$V$5:$V$1000,"Macro")*SUMIFS($H$5:$H$1000,$S$5:$S$1000,$S165,$V$5:$V$1000,"Macro")/COUNTIFS($S$5:$S$1000,$S165,$V$5:$V$1000,"Macro",$H$5:$H$1000,"&gt;0"))))</f>
        <v/>
      </c>
      <c r="AH165" s="62" t="n"/>
      <c r="AI165" s="62" t="n"/>
      <c r="AJ165" s="62" t="n"/>
      <c r="AK165" s="62" t="n"/>
      <c r="AL165" s="62">
        <f>IF(LEFT($C165,11)="[Jefatura] ",IFERROR(MATCH("Riesgo Operacional|"&amp;MID($C165,12,500),rDname_ADM,0),0),"")</f>
        <v/>
      </c>
      <c r="AM165" s="62">
        <f>IF(N($AL165)&gt;0,INDEX(rIni_ADM,$AL165),IF(ISNUMBER($E165),$E165,""))</f>
        <v/>
      </c>
      <c r="AN165" s="62">
        <f>IF(N($AL165)&gt;0,INDEX(rLim_ADM,$AL165),IF(ISNUMBER($F165),$F165,""))</f>
        <v/>
      </c>
    </row>
    <row r="166">
      <c r="A166" s="56">
        <f>IF(NOT((COUNTA($B166:$D166)+COUNTA($G166:$L166)+COUNTA($Q166))&gt;0),"",IF($V166="Macro",COUNTIFS($V$5:$V166,"Macro",$S$5:$S166,$S166),IF(N($U166)=0,"?",COUNTIFS(INDEX($V$5:$V$1000,1):INDEX($V$5:$V$1000,$U166-4),"Macro",INDEX($S$5:$S$1000,1):INDEX($S$5:$S$1000,$U166-4),INDEX($S$5:$S$1000,$U166-4))&amp;"."&amp;COUNTIFS($U$5:$U166,$U166,$V$5:$V166,"Sub"))))</f>
        <v/>
      </c>
      <c r="B166" s="57" t="n"/>
      <c r="C166" s="58" t="n"/>
      <c r="D166" s="58" t="n"/>
      <c r="E166" s="59">
        <f>IF(N($AL166)&gt;0,INDEX(rIni_ADM,$AL166),"")</f>
        <v/>
      </c>
      <c r="F166" s="59">
        <f>IF(N($AL166)&gt;0,INDEX(rLim_ADM,$AL166),"")</f>
        <v/>
      </c>
      <c r="G166" s="59" t="n"/>
      <c r="H166" s="60" t="n"/>
      <c r="I166" s="60" t="n"/>
      <c r="J166" s="60" t="n"/>
      <c r="K166" s="60" t="n"/>
      <c r="L166" s="60" t="n"/>
      <c r="M166" s="61">
        <f>IF(NOT((COUNTA($B166:$D166)+COUNTA($G166:$L166)+COUNTA($Q166))&gt;0),"",IF(ISNUMBER($G166),1,IF(N($W166)&gt;0,AVERAGEIFS($X$5:$X$1000,$U$5:$U$1000,ROW(),$V$5:$V$1000,"Sub"),$X166)))</f>
        <v/>
      </c>
      <c r="N166" s="56">
        <f>IF($M166="","",IF($M166&gt;=1,"Completado",IF($M166&gt;0,"En curso","Pendiente")))</f>
        <v/>
      </c>
      <c r="O166" s="56">
        <f>IF(NOT((COUNTA($B166:$D166)+COUNTA($G166:$L166)+COUNTA($Q166))&gt;0),"",IF(ISNUMBER($G166),IF(AND(ISNUMBER($AN166),$G166&gt;$AN166),"Cumplida con "&amp;($G166-$AN166)&amp;IF($G166-$AN166=1," día"," días")&amp;" de retraso","Cumplida"),IF(N($M166)&gt;=1,"Cumplida",IF(NOT(ISNUMBER($AN166)),"Sin fecha límite",IF($AN166&lt;FechaRef,"Vencida hace "&amp;(FechaRef-$AN166)&amp;IF(FechaRef-$AN166=1," día"," días"),IF($AN166=FechaRef,"Vence hoy",IF($AN166-FechaRef&lt;=DiasAlerta,"Vence en "&amp;($AN166-FechaRef)&amp;IF($AN166-FechaRef=1," día"," días"),"En plazo")))))))</f>
        <v/>
      </c>
      <c r="P166" s="62" t="n"/>
      <c r="Q166" s="58" t="n"/>
      <c r="R166" s="63">
        <f>IF(NOT((COUNTA($B166:$D166)+COUNTA($G166:$L166)+COUNTA($Q166))&gt;0),"",IF((IF($C166="","Falta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",""))="","✔ OK","⚠ "&amp;LEFT(IF($C166="","Falta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",""),LEN(IF($C166="","Falta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",""))-3)))</f>
        <v/>
      </c>
      <c r="S166" s="64">
        <f>IF(NOT((COUNTA($B166:$D166)+COUNTA($G166:$L166)+COUNTA($Q166))&gt;0),"",IF(AND($V166="Sub",N($U166)&gt;0),IF(ISNUMBER(INDEX($AM$5:$AM$1000,$U166-4)),DATE(YEAR(INDEX($AM$5:$AM$1000,$U166-4)),MONTH(INDEX($AM$5:$AM$1000,$U166-4)),1),IF(ISNUMBER(INDEX($AN$5:$AN$1000,$U166-4)),DATE(YEAR(INDEX($AN$5:$AN$1000,$U166-4)),MONTH(INDEX($AN$5:$AN$1000,$U166-4)),1),MesCiclo)),IF(ISNUMBER($AM166),DATE(YEAR($AM166),MONTH($AM166),1),IF(ISNUMBER($AN166),DATE(YEAR($AN166),MONTH($AN166),1),MesCiclo))))</f>
        <v/>
      </c>
      <c r="T166" s="62">
        <f>IF(OR($S166="",$S166&lt;&gt;MesCiclo),"",COUNTIF($S$5:$S166,MesCiclo))</f>
        <v/>
      </c>
      <c r="U166" s="62">
        <f>IF($V166="","",IF($V166="Macro",ROW(),IFERROR(LOOKUP(2,1/($V$5:$V166="Macro"),ROW($V$5:$V166)),0)))</f>
        <v/>
      </c>
      <c r="V166" s="62">
        <f>IF(NOT((COUNTA($B166:$D166)+COUNTA($G166:$L166)+COUNTA($Q166))&gt;0),"",IF($B166="Subactividad","Sub","Macro"))</f>
        <v/>
      </c>
      <c r="W166" s="62">
        <f>IF($V166="Macro",COUNTIFS($U$5:$U$1000,ROW(),$V$5:$V$1000,"Sub"),"")</f>
        <v/>
      </c>
      <c r="X166" s="62">
        <f>IF($V166="","",IF(ISNUMBER($G166),1,IFERROR(LOOKUP(2,1/($I166:$L166&lt;&gt;""),$I166:$L166),0)))</f>
        <v/>
      </c>
      <c r="Y166" s="62">
        <f>IF($V166="","",IF(AND(ISNUMBER($G166),$G166&lt;=IF($S166=MesCiclo,InicioCiclo,$S166+MOD(2-WEEKDAY($S166),7))+6),1,IF(ISNUMBER($I166),$I166,0)))</f>
        <v/>
      </c>
      <c r="Z166" s="62">
        <f>IF($V166="","",IF(AND(ISNUMBER($G166),$G166&lt;=IF($S166=MesCiclo,InicioCiclo,$S166+MOD(2-WEEKDAY($S166),7))+13),1,IF(ISNUMBER($J166),$J166,$Y166)))</f>
        <v/>
      </c>
      <c r="AA166" s="62">
        <f>IF($V166="","",IF(AND(ISNUMBER($G166),$G166&lt;=IF($S166=MesCiclo,InicioCiclo,$S166+MOD(2-WEEKDAY($S166),7))+20),1,IF(ISNUMBER($K166),$K166,$Z166)))</f>
        <v/>
      </c>
      <c r="AB166" s="62">
        <f>IF($V166="","",IF(AND(ISNUMBER($G166),$G166&lt;=IF($S166=MesCiclo,InicioCiclo,$S166+MOD(2-WEEKDAY($S166),7))+27),1,IF(ISNUMBER($L166),$L166,$AA166)))</f>
        <v/>
      </c>
      <c r="AC166" s="62">
        <f>IF($V166="","",IF(AND(ISNUMBER($G166),$G166&lt;=IF($S166=MesCiclo,InicioCiclo,$S166+MOD(2-WEEKDAY($S166),7))+6),1,IF(N($W166)&gt;0,AVERAGEIFS($Y$5:$Y$1000,$U$5:$U$1000,ROW(),$V$5:$V$1000,"Sub"),$Y166)))</f>
        <v/>
      </c>
      <c r="AD166" s="62">
        <f>IF($V166="","",IF(AND(ISNUMBER($G166),$G166&lt;=IF($S166=MesCiclo,InicioCiclo,$S166+MOD(2-WEEKDAY($S166),7))+13),1,IF(N($W166)&gt;0,AVERAGEIFS($Z$5:$Z$1000,$U$5:$U$1000,ROW(),$V$5:$V$1000,"Sub"),$Z166)))</f>
        <v/>
      </c>
      <c r="AE166" s="62">
        <f>IF($V166="","",IF(AND(ISNUMBER($G166),$G166&lt;=IF($S166=MesCiclo,InicioCiclo,$S166+MOD(2-WEEKDAY($S166),7))+20),1,IF(N($W166)&gt;0,AVERAGEIFS($AA$5:$AA$1000,$U$5:$U$1000,ROW(),$V$5:$V$1000,"Sub"),$AA166)))</f>
        <v/>
      </c>
      <c r="AF166" s="62">
        <f>IF($V166="","",IF(AND(ISNUMBER($G166),$G166&lt;=IF($S166=MesCiclo,InicioCiclo,$S166+MOD(2-WEEKDAY($S166),7))+27),1,IF(N($W166)&gt;0,AVERAGEIFS($AB$5:$AB$1000,$U$5:$U$1000,ROW(),$V$5:$V$1000,"Sub"),$AB166)))</f>
        <v/>
      </c>
      <c r="AG166" s="62">
        <f>IF($V166&lt;&gt;"Macro","",IF(COUNTIFS($S$5:$S$1000,$S166,$V$5:$V$1000,"Macro",$H$5:$H$1000,"&gt;0")=0,1/COUNTIFS($S$5:$S$1000,$S166,$V$5:$V$1000,"Macro"),IF(AND(ISNUMBER($H166),N($H166)&gt;0),$H166,SUMIFS($H$5:$H$1000,$S$5:$S$1000,$S166,$V$5:$V$1000,"Macro")/COUNTIFS($S$5:$S$1000,$S166,$V$5:$V$1000,"Macro",$H$5:$H$1000,"&gt;0"))/(COUNTIFS($S$5:$S$1000,$S166,$V$5:$V$1000,"Macro")*SUMIFS($H$5:$H$1000,$S$5:$S$1000,$S166,$V$5:$V$1000,"Macro")/COUNTIFS($S$5:$S$1000,$S166,$V$5:$V$1000,"Macro",$H$5:$H$1000,"&gt;0"))))</f>
        <v/>
      </c>
      <c r="AH166" s="62" t="n"/>
      <c r="AI166" s="62" t="n"/>
      <c r="AJ166" s="62" t="n"/>
      <c r="AK166" s="62" t="n"/>
      <c r="AL166" s="62">
        <f>IF(LEFT($C166,11)="[Jefatura] ",IFERROR(MATCH("Riesgo Operacional|"&amp;MID($C166,12,500),rDname_ADM,0),0),"")</f>
        <v/>
      </c>
      <c r="AM166" s="62">
        <f>IF(N($AL166)&gt;0,INDEX(rIni_ADM,$AL166),IF(ISNUMBER($E166),$E166,""))</f>
        <v/>
      </c>
      <c r="AN166" s="62">
        <f>IF(N($AL166)&gt;0,INDEX(rLim_ADM,$AL166),IF(ISNUMBER($F166),$F166,""))</f>
        <v/>
      </c>
    </row>
    <row r="167">
      <c r="A167" s="56">
        <f>IF(NOT((COUNTA($B167:$D167)+COUNTA($G167:$L167)+COUNTA($Q167))&gt;0),"",IF($V167="Macro",COUNTIFS($V$5:$V167,"Macro",$S$5:$S167,$S167),IF(N($U167)=0,"?",COUNTIFS(INDEX($V$5:$V$1000,1):INDEX($V$5:$V$1000,$U167-4),"Macro",INDEX($S$5:$S$1000,1):INDEX($S$5:$S$1000,$U167-4),INDEX($S$5:$S$1000,$U167-4))&amp;"."&amp;COUNTIFS($U$5:$U167,$U167,$V$5:$V167,"Sub"))))</f>
        <v/>
      </c>
      <c r="B167" s="57" t="n"/>
      <c r="C167" s="58" t="n"/>
      <c r="D167" s="58" t="n"/>
      <c r="E167" s="59">
        <f>IF(N($AL167)&gt;0,INDEX(rIni_ADM,$AL167),"")</f>
        <v/>
      </c>
      <c r="F167" s="59">
        <f>IF(N($AL167)&gt;0,INDEX(rLim_ADM,$AL167),"")</f>
        <v/>
      </c>
      <c r="G167" s="59" t="n"/>
      <c r="H167" s="60" t="n"/>
      <c r="I167" s="60" t="n"/>
      <c r="J167" s="60" t="n"/>
      <c r="K167" s="60" t="n"/>
      <c r="L167" s="60" t="n"/>
      <c r="M167" s="61">
        <f>IF(NOT((COUNTA($B167:$D167)+COUNTA($G167:$L167)+COUNTA($Q167))&gt;0),"",IF(ISNUMBER($G167),1,IF(N($W167)&gt;0,AVERAGEIFS($X$5:$X$1000,$U$5:$U$1000,ROW(),$V$5:$V$1000,"Sub"),$X167)))</f>
        <v/>
      </c>
      <c r="N167" s="56">
        <f>IF($M167="","",IF($M167&gt;=1,"Completado",IF($M167&gt;0,"En curso","Pendiente")))</f>
        <v/>
      </c>
      <c r="O167" s="56">
        <f>IF(NOT((COUNTA($B167:$D167)+COUNTA($G167:$L167)+COUNTA($Q167))&gt;0),"",IF(ISNUMBER($G167),IF(AND(ISNUMBER($AN167),$G167&gt;$AN167),"Cumplida con "&amp;($G167-$AN167)&amp;IF($G167-$AN167=1," día"," días")&amp;" de retraso","Cumplida"),IF(N($M167)&gt;=1,"Cumplida",IF(NOT(ISNUMBER($AN167)),"Sin fecha límite",IF($AN167&lt;FechaRef,"Vencida hace "&amp;(FechaRef-$AN167)&amp;IF(FechaRef-$AN167=1," día"," días"),IF($AN167=FechaRef,"Vence hoy",IF($AN167-FechaRef&lt;=DiasAlerta,"Vence en "&amp;($AN167-FechaRef)&amp;IF($AN167-FechaRef=1," día"," días"),"En plazo")))))))</f>
        <v/>
      </c>
      <c r="P167" s="62" t="n"/>
      <c r="Q167" s="58" t="n"/>
      <c r="R167" s="63">
        <f>IF(NOT((COUNTA($B167:$D167)+COUNTA($G167:$L167)+COUNTA($Q167))&gt;0),"",IF((IF($C167="","Falta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",""))="","✔ OK","⚠ "&amp;LEFT(IF($C167="","Falta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",""),LEN(IF($C167="","Falta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",""))-3)))</f>
        <v/>
      </c>
      <c r="S167" s="64">
        <f>IF(NOT((COUNTA($B167:$D167)+COUNTA($G167:$L167)+COUNTA($Q167))&gt;0),"",IF(AND($V167="Sub",N($U167)&gt;0),IF(ISNUMBER(INDEX($AM$5:$AM$1000,$U167-4)),DATE(YEAR(INDEX($AM$5:$AM$1000,$U167-4)),MONTH(INDEX($AM$5:$AM$1000,$U167-4)),1),IF(ISNUMBER(INDEX($AN$5:$AN$1000,$U167-4)),DATE(YEAR(INDEX($AN$5:$AN$1000,$U167-4)),MONTH(INDEX($AN$5:$AN$1000,$U167-4)),1),MesCiclo)),IF(ISNUMBER($AM167),DATE(YEAR($AM167),MONTH($AM167),1),IF(ISNUMBER($AN167),DATE(YEAR($AN167),MONTH($AN167),1),MesCiclo))))</f>
        <v/>
      </c>
      <c r="T167" s="62">
        <f>IF(OR($S167="",$S167&lt;&gt;MesCiclo),"",COUNTIF($S$5:$S167,MesCiclo))</f>
        <v/>
      </c>
      <c r="U167" s="62">
        <f>IF($V167="","",IF($V167="Macro",ROW(),IFERROR(LOOKUP(2,1/($V$5:$V167="Macro"),ROW($V$5:$V167)),0)))</f>
        <v/>
      </c>
      <c r="V167" s="62">
        <f>IF(NOT((COUNTA($B167:$D167)+COUNTA($G167:$L167)+COUNTA($Q167))&gt;0),"",IF($B167="Subactividad","Sub","Macro"))</f>
        <v/>
      </c>
      <c r="W167" s="62">
        <f>IF($V167="Macro",COUNTIFS($U$5:$U$1000,ROW(),$V$5:$V$1000,"Sub"),"")</f>
        <v/>
      </c>
      <c r="X167" s="62">
        <f>IF($V167="","",IF(ISNUMBER($G167),1,IFERROR(LOOKUP(2,1/($I167:$L167&lt;&gt;""),$I167:$L167),0)))</f>
        <v/>
      </c>
      <c r="Y167" s="62">
        <f>IF($V167="","",IF(AND(ISNUMBER($G167),$G167&lt;=IF($S167=MesCiclo,InicioCiclo,$S167+MOD(2-WEEKDAY($S167),7))+6),1,IF(ISNUMBER($I167),$I167,0)))</f>
        <v/>
      </c>
      <c r="Z167" s="62">
        <f>IF($V167="","",IF(AND(ISNUMBER($G167),$G167&lt;=IF($S167=MesCiclo,InicioCiclo,$S167+MOD(2-WEEKDAY($S167),7))+13),1,IF(ISNUMBER($J167),$J167,$Y167)))</f>
        <v/>
      </c>
      <c r="AA167" s="62">
        <f>IF($V167="","",IF(AND(ISNUMBER($G167),$G167&lt;=IF($S167=MesCiclo,InicioCiclo,$S167+MOD(2-WEEKDAY($S167),7))+20),1,IF(ISNUMBER($K167),$K167,$Z167)))</f>
        <v/>
      </c>
      <c r="AB167" s="62">
        <f>IF($V167="","",IF(AND(ISNUMBER($G167),$G167&lt;=IF($S167=MesCiclo,InicioCiclo,$S167+MOD(2-WEEKDAY($S167),7))+27),1,IF(ISNUMBER($L167),$L167,$AA167)))</f>
        <v/>
      </c>
      <c r="AC167" s="62">
        <f>IF($V167="","",IF(AND(ISNUMBER($G167),$G167&lt;=IF($S167=MesCiclo,InicioCiclo,$S167+MOD(2-WEEKDAY($S167),7))+6),1,IF(N($W167)&gt;0,AVERAGEIFS($Y$5:$Y$1000,$U$5:$U$1000,ROW(),$V$5:$V$1000,"Sub"),$Y167)))</f>
        <v/>
      </c>
      <c r="AD167" s="62">
        <f>IF($V167="","",IF(AND(ISNUMBER($G167),$G167&lt;=IF($S167=MesCiclo,InicioCiclo,$S167+MOD(2-WEEKDAY($S167),7))+13),1,IF(N($W167)&gt;0,AVERAGEIFS($Z$5:$Z$1000,$U$5:$U$1000,ROW(),$V$5:$V$1000,"Sub"),$Z167)))</f>
        <v/>
      </c>
      <c r="AE167" s="62">
        <f>IF($V167="","",IF(AND(ISNUMBER($G167),$G167&lt;=IF($S167=MesCiclo,InicioCiclo,$S167+MOD(2-WEEKDAY($S167),7))+20),1,IF(N($W167)&gt;0,AVERAGEIFS($AA$5:$AA$1000,$U$5:$U$1000,ROW(),$V$5:$V$1000,"Sub"),$AA167)))</f>
        <v/>
      </c>
      <c r="AF167" s="62">
        <f>IF($V167="","",IF(AND(ISNUMBER($G167),$G167&lt;=IF($S167=MesCiclo,InicioCiclo,$S167+MOD(2-WEEKDAY($S167),7))+27),1,IF(N($W167)&gt;0,AVERAGEIFS($AB$5:$AB$1000,$U$5:$U$1000,ROW(),$V$5:$V$1000,"Sub"),$AB167)))</f>
        <v/>
      </c>
      <c r="AG167" s="62">
        <f>IF($V167&lt;&gt;"Macro","",IF(COUNTIFS($S$5:$S$1000,$S167,$V$5:$V$1000,"Macro",$H$5:$H$1000,"&gt;0")=0,1/COUNTIFS($S$5:$S$1000,$S167,$V$5:$V$1000,"Macro"),IF(AND(ISNUMBER($H167),N($H167)&gt;0),$H167,SUMIFS($H$5:$H$1000,$S$5:$S$1000,$S167,$V$5:$V$1000,"Macro")/COUNTIFS($S$5:$S$1000,$S167,$V$5:$V$1000,"Macro",$H$5:$H$1000,"&gt;0"))/(COUNTIFS($S$5:$S$1000,$S167,$V$5:$V$1000,"Macro")*SUMIFS($H$5:$H$1000,$S$5:$S$1000,$S167,$V$5:$V$1000,"Macro")/COUNTIFS($S$5:$S$1000,$S167,$V$5:$V$1000,"Macro",$H$5:$H$1000,"&gt;0"))))</f>
        <v/>
      </c>
      <c r="AH167" s="62" t="n"/>
      <c r="AI167" s="62" t="n"/>
      <c r="AJ167" s="62" t="n"/>
      <c r="AK167" s="62" t="n"/>
      <c r="AL167" s="62">
        <f>IF(LEFT($C167,11)="[Jefatura] ",IFERROR(MATCH("Riesgo Operacional|"&amp;MID($C167,12,500),rDname_ADM,0),0),"")</f>
        <v/>
      </c>
      <c r="AM167" s="62">
        <f>IF(N($AL167)&gt;0,INDEX(rIni_ADM,$AL167),IF(ISNUMBER($E167),$E167,""))</f>
        <v/>
      </c>
      <c r="AN167" s="62">
        <f>IF(N($AL167)&gt;0,INDEX(rLim_ADM,$AL167),IF(ISNUMBER($F167),$F167,""))</f>
        <v/>
      </c>
    </row>
    <row r="168">
      <c r="A168" s="56">
        <f>IF(NOT((COUNTA($B168:$D168)+COUNTA($G168:$L168)+COUNTA($Q168))&gt;0),"",IF($V168="Macro",COUNTIFS($V$5:$V168,"Macro",$S$5:$S168,$S168),IF(N($U168)=0,"?",COUNTIFS(INDEX($V$5:$V$1000,1):INDEX($V$5:$V$1000,$U168-4),"Macro",INDEX($S$5:$S$1000,1):INDEX($S$5:$S$1000,$U168-4),INDEX($S$5:$S$1000,$U168-4))&amp;"."&amp;COUNTIFS($U$5:$U168,$U168,$V$5:$V168,"Sub"))))</f>
        <v/>
      </c>
      <c r="B168" s="57" t="n"/>
      <c r="C168" s="58" t="n"/>
      <c r="D168" s="58" t="n"/>
      <c r="E168" s="59">
        <f>IF(N($AL168)&gt;0,INDEX(rIni_ADM,$AL168),"")</f>
        <v/>
      </c>
      <c r="F168" s="59">
        <f>IF(N($AL168)&gt;0,INDEX(rLim_ADM,$AL168),"")</f>
        <v/>
      </c>
      <c r="G168" s="59" t="n"/>
      <c r="H168" s="60" t="n"/>
      <c r="I168" s="60" t="n"/>
      <c r="J168" s="60" t="n"/>
      <c r="K168" s="60" t="n"/>
      <c r="L168" s="60" t="n"/>
      <c r="M168" s="61">
        <f>IF(NOT((COUNTA($B168:$D168)+COUNTA($G168:$L168)+COUNTA($Q168))&gt;0),"",IF(ISNUMBER($G168),1,IF(N($W168)&gt;0,AVERAGEIFS($X$5:$X$1000,$U$5:$U$1000,ROW(),$V$5:$V$1000,"Sub"),$X168)))</f>
        <v/>
      </c>
      <c r="N168" s="56">
        <f>IF($M168="","",IF($M168&gt;=1,"Completado",IF($M168&gt;0,"En curso","Pendiente")))</f>
        <v/>
      </c>
      <c r="O168" s="56">
        <f>IF(NOT((COUNTA($B168:$D168)+COUNTA($G168:$L168)+COUNTA($Q168))&gt;0),"",IF(ISNUMBER($G168),IF(AND(ISNUMBER($AN168),$G168&gt;$AN168),"Cumplida con "&amp;($G168-$AN168)&amp;IF($G168-$AN168=1," día"," días")&amp;" de retraso","Cumplida"),IF(N($M168)&gt;=1,"Cumplida",IF(NOT(ISNUMBER($AN168)),"Sin fecha límite",IF($AN168&lt;FechaRef,"Vencida hace "&amp;(FechaRef-$AN168)&amp;IF(FechaRef-$AN168=1," día"," días"),IF($AN168=FechaRef,"Vence hoy",IF($AN168-FechaRef&lt;=DiasAlerta,"Vence en "&amp;($AN168-FechaRef)&amp;IF($AN168-FechaRef=1," día"," días"),"En plazo")))))))</f>
        <v/>
      </c>
      <c r="P168" s="62" t="n"/>
      <c r="Q168" s="58" t="n"/>
      <c r="R168" s="63">
        <f>IF(NOT((COUNTA($B168:$D168)+COUNTA($G168:$L168)+COUNTA($Q168))&gt;0),"",IF((IF($C168="","Falta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",""))="","✔ OK","⚠ "&amp;LEFT(IF($C168="","Falta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",""),LEN(IF($C168="","Falta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",""))-3)))</f>
        <v/>
      </c>
      <c r="S168" s="64">
        <f>IF(NOT((COUNTA($B168:$D168)+COUNTA($G168:$L168)+COUNTA($Q168))&gt;0),"",IF(AND($V168="Sub",N($U168)&gt;0),IF(ISNUMBER(INDEX($AM$5:$AM$1000,$U168-4)),DATE(YEAR(INDEX($AM$5:$AM$1000,$U168-4)),MONTH(INDEX($AM$5:$AM$1000,$U168-4)),1),IF(ISNUMBER(INDEX($AN$5:$AN$1000,$U168-4)),DATE(YEAR(INDEX($AN$5:$AN$1000,$U168-4)),MONTH(INDEX($AN$5:$AN$1000,$U168-4)),1),MesCiclo)),IF(ISNUMBER($AM168),DATE(YEAR($AM168),MONTH($AM168),1),IF(ISNUMBER($AN168),DATE(YEAR($AN168),MONTH($AN168),1),MesCiclo))))</f>
        <v/>
      </c>
      <c r="T168" s="62">
        <f>IF(OR($S168="",$S168&lt;&gt;MesCiclo),"",COUNTIF($S$5:$S168,MesCiclo))</f>
        <v/>
      </c>
      <c r="U168" s="62">
        <f>IF($V168="","",IF($V168="Macro",ROW(),IFERROR(LOOKUP(2,1/($V$5:$V168="Macro"),ROW($V$5:$V168)),0)))</f>
        <v/>
      </c>
      <c r="V168" s="62">
        <f>IF(NOT((COUNTA($B168:$D168)+COUNTA($G168:$L168)+COUNTA($Q168))&gt;0),"",IF($B168="Subactividad","Sub","Macro"))</f>
        <v/>
      </c>
      <c r="W168" s="62">
        <f>IF($V168="Macro",COUNTIFS($U$5:$U$1000,ROW(),$V$5:$V$1000,"Sub"),"")</f>
        <v/>
      </c>
      <c r="X168" s="62">
        <f>IF($V168="","",IF(ISNUMBER($G168),1,IFERROR(LOOKUP(2,1/($I168:$L168&lt;&gt;""),$I168:$L168),0)))</f>
        <v/>
      </c>
      <c r="Y168" s="62">
        <f>IF($V168="","",IF(AND(ISNUMBER($G168),$G168&lt;=IF($S168=MesCiclo,InicioCiclo,$S168+MOD(2-WEEKDAY($S168),7))+6),1,IF(ISNUMBER($I168),$I168,0)))</f>
        <v/>
      </c>
      <c r="Z168" s="62">
        <f>IF($V168="","",IF(AND(ISNUMBER($G168),$G168&lt;=IF($S168=MesCiclo,InicioCiclo,$S168+MOD(2-WEEKDAY($S168),7))+13),1,IF(ISNUMBER($J168),$J168,$Y168)))</f>
        <v/>
      </c>
      <c r="AA168" s="62">
        <f>IF($V168="","",IF(AND(ISNUMBER($G168),$G168&lt;=IF($S168=MesCiclo,InicioCiclo,$S168+MOD(2-WEEKDAY($S168),7))+20),1,IF(ISNUMBER($K168),$K168,$Z168)))</f>
        <v/>
      </c>
      <c r="AB168" s="62">
        <f>IF($V168="","",IF(AND(ISNUMBER($G168),$G168&lt;=IF($S168=MesCiclo,InicioCiclo,$S168+MOD(2-WEEKDAY($S168),7))+27),1,IF(ISNUMBER($L168),$L168,$AA168)))</f>
        <v/>
      </c>
      <c r="AC168" s="62">
        <f>IF($V168="","",IF(AND(ISNUMBER($G168),$G168&lt;=IF($S168=MesCiclo,InicioCiclo,$S168+MOD(2-WEEKDAY($S168),7))+6),1,IF(N($W168)&gt;0,AVERAGEIFS($Y$5:$Y$1000,$U$5:$U$1000,ROW(),$V$5:$V$1000,"Sub"),$Y168)))</f>
        <v/>
      </c>
      <c r="AD168" s="62">
        <f>IF($V168="","",IF(AND(ISNUMBER($G168),$G168&lt;=IF($S168=MesCiclo,InicioCiclo,$S168+MOD(2-WEEKDAY($S168),7))+13),1,IF(N($W168)&gt;0,AVERAGEIFS($Z$5:$Z$1000,$U$5:$U$1000,ROW(),$V$5:$V$1000,"Sub"),$Z168)))</f>
        <v/>
      </c>
      <c r="AE168" s="62">
        <f>IF($V168="","",IF(AND(ISNUMBER($G168),$G168&lt;=IF($S168=MesCiclo,InicioCiclo,$S168+MOD(2-WEEKDAY($S168),7))+20),1,IF(N($W168)&gt;0,AVERAGEIFS($AA$5:$AA$1000,$U$5:$U$1000,ROW(),$V$5:$V$1000,"Sub"),$AA168)))</f>
        <v/>
      </c>
      <c r="AF168" s="62">
        <f>IF($V168="","",IF(AND(ISNUMBER($G168),$G168&lt;=IF($S168=MesCiclo,InicioCiclo,$S168+MOD(2-WEEKDAY($S168),7))+27),1,IF(N($W168)&gt;0,AVERAGEIFS($AB$5:$AB$1000,$U$5:$U$1000,ROW(),$V$5:$V$1000,"Sub"),$AB168)))</f>
        <v/>
      </c>
      <c r="AG168" s="62">
        <f>IF($V168&lt;&gt;"Macro","",IF(COUNTIFS($S$5:$S$1000,$S168,$V$5:$V$1000,"Macro",$H$5:$H$1000,"&gt;0")=0,1/COUNTIFS($S$5:$S$1000,$S168,$V$5:$V$1000,"Macro"),IF(AND(ISNUMBER($H168),N($H168)&gt;0),$H168,SUMIFS($H$5:$H$1000,$S$5:$S$1000,$S168,$V$5:$V$1000,"Macro")/COUNTIFS($S$5:$S$1000,$S168,$V$5:$V$1000,"Macro",$H$5:$H$1000,"&gt;0"))/(COUNTIFS($S$5:$S$1000,$S168,$V$5:$V$1000,"Macro")*SUMIFS($H$5:$H$1000,$S$5:$S$1000,$S168,$V$5:$V$1000,"Macro")/COUNTIFS($S$5:$S$1000,$S168,$V$5:$V$1000,"Macro",$H$5:$H$1000,"&gt;0"))))</f>
        <v/>
      </c>
      <c r="AH168" s="62" t="n"/>
      <c r="AI168" s="62" t="n"/>
      <c r="AJ168" s="62" t="n"/>
      <c r="AK168" s="62" t="n"/>
      <c r="AL168" s="62">
        <f>IF(LEFT($C168,11)="[Jefatura] ",IFERROR(MATCH("Riesgo Operacional|"&amp;MID($C168,12,500),rDname_ADM,0),0),"")</f>
        <v/>
      </c>
      <c r="AM168" s="62">
        <f>IF(N($AL168)&gt;0,INDEX(rIni_ADM,$AL168),IF(ISNUMBER($E168),$E168,""))</f>
        <v/>
      </c>
      <c r="AN168" s="62">
        <f>IF(N($AL168)&gt;0,INDEX(rLim_ADM,$AL168),IF(ISNUMBER($F168),$F168,""))</f>
        <v/>
      </c>
    </row>
    <row r="169">
      <c r="A169" s="56">
        <f>IF(NOT((COUNTA($B169:$D169)+COUNTA($G169:$L169)+COUNTA($Q169))&gt;0),"",IF($V169="Macro",COUNTIFS($V$5:$V169,"Macro",$S$5:$S169,$S169),IF(N($U169)=0,"?",COUNTIFS(INDEX($V$5:$V$1000,1):INDEX($V$5:$V$1000,$U169-4),"Macro",INDEX($S$5:$S$1000,1):INDEX($S$5:$S$1000,$U169-4),INDEX($S$5:$S$1000,$U169-4))&amp;"."&amp;COUNTIFS($U$5:$U169,$U169,$V$5:$V169,"Sub"))))</f>
        <v/>
      </c>
      <c r="B169" s="57" t="n"/>
      <c r="C169" s="58" t="n"/>
      <c r="D169" s="58" t="n"/>
      <c r="E169" s="59">
        <f>IF(N($AL169)&gt;0,INDEX(rIni_ADM,$AL169),"")</f>
        <v/>
      </c>
      <c r="F169" s="59">
        <f>IF(N($AL169)&gt;0,INDEX(rLim_ADM,$AL169),"")</f>
        <v/>
      </c>
      <c r="G169" s="59" t="n"/>
      <c r="H169" s="60" t="n"/>
      <c r="I169" s="60" t="n"/>
      <c r="J169" s="60" t="n"/>
      <c r="K169" s="60" t="n"/>
      <c r="L169" s="60" t="n"/>
      <c r="M169" s="61">
        <f>IF(NOT((COUNTA($B169:$D169)+COUNTA($G169:$L169)+COUNTA($Q169))&gt;0),"",IF(ISNUMBER($G169),1,IF(N($W169)&gt;0,AVERAGEIFS($X$5:$X$1000,$U$5:$U$1000,ROW(),$V$5:$V$1000,"Sub"),$X169)))</f>
        <v/>
      </c>
      <c r="N169" s="56">
        <f>IF($M169="","",IF($M169&gt;=1,"Completado",IF($M169&gt;0,"En curso","Pendiente")))</f>
        <v/>
      </c>
      <c r="O169" s="56">
        <f>IF(NOT((COUNTA($B169:$D169)+COUNTA($G169:$L169)+COUNTA($Q169))&gt;0),"",IF(ISNUMBER($G169),IF(AND(ISNUMBER($AN169),$G169&gt;$AN169),"Cumplida con "&amp;($G169-$AN169)&amp;IF($G169-$AN169=1," día"," días")&amp;" de retraso","Cumplida"),IF(N($M169)&gt;=1,"Cumplida",IF(NOT(ISNUMBER($AN169)),"Sin fecha límite",IF($AN169&lt;FechaRef,"Vencida hace "&amp;(FechaRef-$AN169)&amp;IF(FechaRef-$AN169=1," día"," días"),IF($AN169=FechaRef,"Vence hoy",IF($AN169-FechaRef&lt;=DiasAlerta,"Vence en "&amp;($AN169-FechaRef)&amp;IF($AN169-FechaRef=1," día"," días"),"En plazo")))))))</f>
        <v/>
      </c>
      <c r="P169" s="62" t="n"/>
      <c r="Q169" s="58" t="n"/>
      <c r="R169" s="63">
        <f>IF(NOT((COUNTA($B169:$D169)+COUNTA($G169:$L169)+COUNTA($Q169))&gt;0),"",IF((IF($C169="","Falta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",""))="","✔ OK","⚠ "&amp;LEFT(IF($C169="","Falta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",""),LEN(IF($C169="","Falta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",""))-3)))</f>
        <v/>
      </c>
      <c r="S169" s="64">
        <f>IF(NOT((COUNTA($B169:$D169)+COUNTA($G169:$L169)+COUNTA($Q169))&gt;0),"",IF(AND($V169="Sub",N($U169)&gt;0),IF(ISNUMBER(INDEX($AM$5:$AM$1000,$U169-4)),DATE(YEAR(INDEX($AM$5:$AM$1000,$U169-4)),MONTH(INDEX($AM$5:$AM$1000,$U169-4)),1),IF(ISNUMBER(INDEX($AN$5:$AN$1000,$U169-4)),DATE(YEAR(INDEX($AN$5:$AN$1000,$U169-4)),MONTH(INDEX($AN$5:$AN$1000,$U169-4)),1),MesCiclo)),IF(ISNUMBER($AM169),DATE(YEAR($AM169),MONTH($AM169),1),IF(ISNUMBER($AN169),DATE(YEAR($AN169),MONTH($AN169),1),MesCiclo))))</f>
        <v/>
      </c>
      <c r="T169" s="62">
        <f>IF(OR($S169="",$S169&lt;&gt;MesCiclo),"",COUNTIF($S$5:$S169,MesCiclo))</f>
        <v/>
      </c>
      <c r="U169" s="62">
        <f>IF($V169="","",IF($V169="Macro",ROW(),IFERROR(LOOKUP(2,1/($V$5:$V169="Macro"),ROW($V$5:$V169)),0)))</f>
        <v/>
      </c>
      <c r="V169" s="62">
        <f>IF(NOT((COUNTA($B169:$D169)+COUNTA($G169:$L169)+COUNTA($Q169))&gt;0),"",IF($B169="Subactividad","Sub","Macro"))</f>
        <v/>
      </c>
      <c r="W169" s="62">
        <f>IF($V169="Macro",COUNTIFS($U$5:$U$1000,ROW(),$V$5:$V$1000,"Sub"),"")</f>
        <v/>
      </c>
      <c r="X169" s="62">
        <f>IF($V169="","",IF(ISNUMBER($G169),1,IFERROR(LOOKUP(2,1/($I169:$L169&lt;&gt;""),$I169:$L169),0)))</f>
        <v/>
      </c>
      <c r="Y169" s="62">
        <f>IF($V169="","",IF(AND(ISNUMBER($G169),$G169&lt;=IF($S169=MesCiclo,InicioCiclo,$S169+MOD(2-WEEKDAY($S169),7))+6),1,IF(ISNUMBER($I169),$I169,0)))</f>
        <v/>
      </c>
      <c r="Z169" s="62">
        <f>IF($V169="","",IF(AND(ISNUMBER($G169),$G169&lt;=IF($S169=MesCiclo,InicioCiclo,$S169+MOD(2-WEEKDAY($S169),7))+13),1,IF(ISNUMBER($J169),$J169,$Y169)))</f>
        <v/>
      </c>
      <c r="AA169" s="62">
        <f>IF($V169="","",IF(AND(ISNUMBER($G169),$G169&lt;=IF($S169=MesCiclo,InicioCiclo,$S169+MOD(2-WEEKDAY($S169),7))+20),1,IF(ISNUMBER($K169),$K169,$Z169)))</f>
        <v/>
      </c>
      <c r="AB169" s="62">
        <f>IF($V169="","",IF(AND(ISNUMBER($G169),$G169&lt;=IF($S169=MesCiclo,InicioCiclo,$S169+MOD(2-WEEKDAY($S169),7))+27),1,IF(ISNUMBER($L169),$L169,$AA169)))</f>
        <v/>
      </c>
      <c r="AC169" s="62">
        <f>IF($V169="","",IF(AND(ISNUMBER($G169),$G169&lt;=IF($S169=MesCiclo,InicioCiclo,$S169+MOD(2-WEEKDAY($S169),7))+6),1,IF(N($W169)&gt;0,AVERAGEIFS($Y$5:$Y$1000,$U$5:$U$1000,ROW(),$V$5:$V$1000,"Sub"),$Y169)))</f>
        <v/>
      </c>
      <c r="AD169" s="62">
        <f>IF($V169="","",IF(AND(ISNUMBER($G169),$G169&lt;=IF($S169=MesCiclo,InicioCiclo,$S169+MOD(2-WEEKDAY($S169),7))+13),1,IF(N($W169)&gt;0,AVERAGEIFS($Z$5:$Z$1000,$U$5:$U$1000,ROW(),$V$5:$V$1000,"Sub"),$Z169)))</f>
        <v/>
      </c>
      <c r="AE169" s="62">
        <f>IF($V169="","",IF(AND(ISNUMBER($G169),$G169&lt;=IF($S169=MesCiclo,InicioCiclo,$S169+MOD(2-WEEKDAY($S169),7))+20),1,IF(N($W169)&gt;0,AVERAGEIFS($AA$5:$AA$1000,$U$5:$U$1000,ROW(),$V$5:$V$1000,"Sub"),$AA169)))</f>
        <v/>
      </c>
      <c r="AF169" s="62">
        <f>IF($V169="","",IF(AND(ISNUMBER($G169),$G169&lt;=IF($S169=MesCiclo,InicioCiclo,$S169+MOD(2-WEEKDAY($S169),7))+27),1,IF(N($W169)&gt;0,AVERAGEIFS($AB$5:$AB$1000,$U$5:$U$1000,ROW(),$V$5:$V$1000,"Sub"),$AB169)))</f>
        <v/>
      </c>
      <c r="AG169" s="62">
        <f>IF($V169&lt;&gt;"Macro","",IF(COUNTIFS($S$5:$S$1000,$S169,$V$5:$V$1000,"Macro",$H$5:$H$1000,"&gt;0")=0,1/COUNTIFS($S$5:$S$1000,$S169,$V$5:$V$1000,"Macro"),IF(AND(ISNUMBER($H169),N($H169)&gt;0),$H169,SUMIFS($H$5:$H$1000,$S$5:$S$1000,$S169,$V$5:$V$1000,"Macro")/COUNTIFS($S$5:$S$1000,$S169,$V$5:$V$1000,"Macro",$H$5:$H$1000,"&gt;0"))/(COUNTIFS($S$5:$S$1000,$S169,$V$5:$V$1000,"Macro")*SUMIFS($H$5:$H$1000,$S$5:$S$1000,$S169,$V$5:$V$1000,"Macro")/COUNTIFS($S$5:$S$1000,$S169,$V$5:$V$1000,"Macro",$H$5:$H$1000,"&gt;0"))))</f>
        <v/>
      </c>
      <c r="AH169" s="62" t="n"/>
      <c r="AI169" s="62" t="n"/>
      <c r="AJ169" s="62" t="n"/>
      <c r="AK169" s="62" t="n"/>
      <c r="AL169" s="62">
        <f>IF(LEFT($C169,11)="[Jefatura] ",IFERROR(MATCH("Riesgo Operacional|"&amp;MID($C169,12,500),rDname_ADM,0),0),"")</f>
        <v/>
      </c>
      <c r="AM169" s="62">
        <f>IF(N($AL169)&gt;0,INDEX(rIni_ADM,$AL169),IF(ISNUMBER($E169),$E169,""))</f>
        <v/>
      </c>
      <c r="AN169" s="62">
        <f>IF(N($AL169)&gt;0,INDEX(rLim_ADM,$AL169),IF(ISNUMBER($F169),$F169,""))</f>
        <v/>
      </c>
    </row>
    <row r="170">
      <c r="A170" s="56">
        <f>IF(NOT((COUNTA($B170:$D170)+COUNTA($G170:$L170)+COUNTA($Q170))&gt;0),"",IF($V170="Macro",COUNTIFS($V$5:$V170,"Macro",$S$5:$S170,$S170),IF(N($U170)=0,"?",COUNTIFS(INDEX($V$5:$V$1000,1):INDEX($V$5:$V$1000,$U170-4),"Macro",INDEX($S$5:$S$1000,1):INDEX($S$5:$S$1000,$U170-4),INDEX($S$5:$S$1000,$U170-4))&amp;"."&amp;COUNTIFS($U$5:$U170,$U170,$V$5:$V170,"Sub"))))</f>
        <v/>
      </c>
      <c r="B170" s="57" t="n"/>
      <c r="C170" s="58" t="n"/>
      <c r="D170" s="58" t="n"/>
      <c r="E170" s="59">
        <f>IF(N($AL170)&gt;0,INDEX(rIni_ADM,$AL170),"")</f>
        <v/>
      </c>
      <c r="F170" s="59">
        <f>IF(N($AL170)&gt;0,INDEX(rLim_ADM,$AL170),"")</f>
        <v/>
      </c>
      <c r="G170" s="59" t="n"/>
      <c r="H170" s="60" t="n"/>
      <c r="I170" s="60" t="n"/>
      <c r="J170" s="60" t="n"/>
      <c r="K170" s="60" t="n"/>
      <c r="L170" s="60" t="n"/>
      <c r="M170" s="61">
        <f>IF(NOT((COUNTA($B170:$D170)+COUNTA($G170:$L170)+COUNTA($Q170))&gt;0),"",IF(ISNUMBER($G170),1,IF(N($W170)&gt;0,AVERAGEIFS($X$5:$X$1000,$U$5:$U$1000,ROW(),$V$5:$V$1000,"Sub"),$X170)))</f>
        <v/>
      </c>
      <c r="N170" s="56">
        <f>IF($M170="","",IF($M170&gt;=1,"Completado",IF($M170&gt;0,"En curso","Pendiente")))</f>
        <v/>
      </c>
      <c r="O170" s="56">
        <f>IF(NOT((COUNTA($B170:$D170)+COUNTA($G170:$L170)+COUNTA($Q170))&gt;0),"",IF(ISNUMBER($G170),IF(AND(ISNUMBER($AN170),$G170&gt;$AN170),"Cumplida con "&amp;($G170-$AN170)&amp;IF($G170-$AN170=1," día"," días")&amp;" de retraso","Cumplida"),IF(N($M170)&gt;=1,"Cumplida",IF(NOT(ISNUMBER($AN170)),"Sin fecha límite",IF($AN170&lt;FechaRef,"Vencida hace "&amp;(FechaRef-$AN170)&amp;IF(FechaRef-$AN170=1," día"," días"),IF($AN170=FechaRef,"Vence hoy",IF($AN170-FechaRef&lt;=DiasAlerta,"Vence en "&amp;($AN170-FechaRef)&amp;IF($AN170-FechaRef=1," día"," días"),"En plazo")))))))</f>
        <v/>
      </c>
      <c r="P170" s="62" t="n"/>
      <c r="Q170" s="58" t="n"/>
      <c r="R170" s="63">
        <f>IF(NOT((COUNTA($B170:$D170)+COUNTA($G170:$L170)+COUNTA($Q170))&gt;0),"",IF((IF($C170="","Falta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",""))="","✔ OK","⚠ "&amp;LEFT(IF($C170="","Falta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",""),LEN(IF($C170="","Falta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",""))-3)))</f>
        <v/>
      </c>
      <c r="S170" s="64">
        <f>IF(NOT((COUNTA($B170:$D170)+COUNTA($G170:$L170)+COUNTA($Q170))&gt;0),"",IF(AND($V170="Sub",N($U170)&gt;0),IF(ISNUMBER(INDEX($AM$5:$AM$1000,$U170-4)),DATE(YEAR(INDEX($AM$5:$AM$1000,$U170-4)),MONTH(INDEX($AM$5:$AM$1000,$U170-4)),1),IF(ISNUMBER(INDEX($AN$5:$AN$1000,$U170-4)),DATE(YEAR(INDEX($AN$5:$AN$1000,$U170-4)),MONTH(INDEX($AN$5:$AN$1000,$U170-4)),1),MesCiclo)),IF(ISNUMBER($AM170),DATE(YEAR($AM170),MONTH($AM170),1),IF(ISNUMBER($AN170),DATE(YEAR($AN170),MONTH($AN170),1),MesCiclo))))</f>
        <v/>
      </c>
      <c r="T170" s="62">
        <f>IF(OR($S170="",$S170&lt;&gt;MesCiclo),"",COUNTIF($S$5:$S170,MesCiclo))</f>
        <v/>
      </c>
      <c r="U170" s="62">
        <f>IF($V170="","",IF($V170="Macro",ROW(),IFERROR(LOOKUP(2,1/($V$5:$V170="Macro"),ROW($V$5:$V170)),0)))</f>
        <v/>
      </c>
      <c r="V170" s="62">
        <f>IF(NOT((COUNTA($B170:$D170)+COUNTA($G170:$L170)+COUNTA($Q170))&gt;0),"",IF($B170="Subactividad","Sub","Macro"))</f>
        <v/>
      </c>
      <c r="W170" s="62">
        <f>IF($V170="Macro",COUNTIFS($U$5:$U$1000,ROW(),$V$5:$V$1000,"Sub"),"")</f>
        <v/>
      </c>
      <c r="X170" s="62">
        <f>IF($V170="","",IF(ISNUMBER($G170),1,IFERROR(LOOKUP(2,1/($I170:$L170&lt;&gt;""),$I170:$L170),0)))</f>
        <v/>
      </c>
      <c r="Y170" s="62">
        <f>IF($V170="","",IF(AND(ISNUMBER($G170),$G170&lt;=IF($S170=MesCiclo,InicioCiclo,$S170+MOD(2-WEEKDAY($S170),7))+6),1,IF(ISNUMBER($I170),$I170,0)))</f>
        <v/>
      </c>
      <c r="Z170" s="62">
        <f>IF($V170="","",IF(AND(ISNUMBER($G170),$G170&lt;=IF($S170=MesCiclo,InicioCiclo,$S170+MOD(2-WEEKDAY($S170),7))+13),1,IF(ISNUMBER($J170),$J170,$Y170)))</f>
        <v/>
      </c>
      <c r="AA170" s="62">
        <f>IF($V170="","",IF(AND(ISNUMBER($G170),$G170&lt;=IF($S170=MesCiclo,InicioCiclo,$S170+MOD(2-WEEKDAY($S170),7))+20),1,IF(ISNUMBER($K170),$K170,$Z170)))</f>
        <v/>
      </c>
      <c r="AB170" s="62">
        <f>IF($V170="","",IF(AND(ISNUMBER($G170),$G170&lt;=IF($S170=MesCiclo,InicioCiclo,$S170+MOD(2-WEEKDAY($S170),7))+27),1,IF(ISNUMBER($L170),$L170,$AA170)))</f>
        <v/>
      </c>
      <c r="AC170" s="62">
        <f>IF($V170="","",IF(AND(ISNUMBER($G170),$G170&lt;=IF($S170=MesCiclo,InicioCiclo,$S170+MOD(2-WEEKDAY($S170),7))+6),1,IF(N($W170)&gt;0,AVERAGEIFS($Y$5:$Y$1000,$U$5:$U$1000,ROW(),$V$5:$V$1000,"Sub"),$Y170)))</f>
        <v/>
      </c>
      <c r="AD170" s="62">
        <f>IF($V170="","",IF(AND(ISNUMBER($G170),$G170&lt;=IF($S170=MesCiclo,InicioCiclo,$S170+MOD(2-WEEKDAY($S170),7))+13),1,IF(N($W170)&gt;0,AVERAGEIFS($Z$5:$Z$1000,$U$5:$U$1000,ROW(),$V$5:$V$1000,"Sub"),$Z170)))</f>
        <v/>
      </c>
      <c r="AE170" s="62">
        <f>IF($V170="","",IF(AND(ISNUMBER($G170),$G170&lt;=IF($S170=MesCiclo,InicioCiclo,$S170+MOD(2-WEEKDAY($S170),7))+20),1,IF(N($W170)&gt;0,AVERAGEIFS($AA$5:$AA$1000,$U$5:$U$1000,ROW(),$V$5:$V$1000,"Sub"),$AA170)))</f>
        <v/>
      </c>
      <c r="AF170" s="62">
        <f>IF($V170="","",IF(AND(ISNUMBER($G170),$G170&lt;=IF($S170=MesCiclo,InicioCiclo,$S170+MOD(2-WEEKDAY($S170),7))+27),1,IF(N($W170)&gt;0,AVERAGEIFS($AB$5:$AB$1000,$U$5:$U$1000,ROW(),$V$5:$V$1000,"Sub"),$AB170)))</f>
        <v/>
      </c>
      <c r="AG170" s="62">
        <f>IF($V170&lt;&gt;"Macro","",IF(COUNTIFS($S$5:$S$1000,$S170,$V$5:$V$1000,"Macro",$H$5:$H$1000,"&gt;0")=0,1/COUNTIFS($S$5:$S$1000,$S170,$V$5:$V$1000,"Macro"),IF(AND(ISNUMBER($H170),N($H170)&gt;0),$H170,SUMIFS($H$5:$H$1000,$S$5:$S$1000,$S170,$V$5:$V$1000,"Macro")/COUNTIFS($S$5:$S$1000,$S170,$V$5:$V$1000,"Macro",$H$5:$H$1000,"&gt;0"))/(COUNTIFS($S$5:$S$1000,$S170,$V$5:$V$1000,"Macro")*SUMIFS($H$5:$H$1000,$S$5:$S$1000,$S170,$V$5:$V$1000,"Macro")/COUNTIFS($S$5:$S$1000,$S170,$V$5:$V$1000,"Macro",$H$5:$H$1000,"&gt;0"))))</f>
        <v/>
      </c>
      <c r="AH170" s="62" t="n"/>
      <c r="AI170" s="62" t="n"/>
      <c r="AJ170" s="62" t="n"/>
      <c r="AK170" s="62" t="n"/>
      <c r="AL170" s="62">
        <f>IF(LEFT($C170,11)="[Jefatura] ",IFERROR(MATCH("Riesgo Operacional|"&amp;MID($C170,12,500),rDname_ADM,0),0),"")</f>
        <v/>
      </c>
      <c r="AM170" s="62">
        <f>IF(N($AL170)&gt;0,INDEX(rIni_ADM,$AL170),IF(ISNUMBER($E170),$E170,""))</f>
        <v/>
      </c>
      <c r="AN170" s="62">
        <f>IF(N($AL170)&gt;0,INDEX(rLim_ADM,$AL170),IF(ISNUMBER($F170),$F170,""))</f>
        <v/>
      </c>
    </row>
    <row r="171">
      <c r="A171" s="56">
        <f>IF(NOT((COUNTA($B171:$D171)+COUNTA($G171:$L171)+COUNTA($Q171))&gt;0),"",IF($V171="Macro",COUNTIFS($V$5:$V171,"Macro",$S$5:$S171,$S171),IF(N($U171)=0,"?",COUNTIFS(INDEX($V$5:$V$1000,1):INDEX($V$5:$V$1000,$U171-4),"Macro",INDEX($S$5:$S$1000,1):INDEX($S$5:$S$1000,$U171-4),INDEX($S$5:$S$1000,$U171-4))&amp;"."&amp;COUNTIFS($U$5:$U171,$U171,$V$5:$V171,"Sub"))))</f>
        <v/>
      </c>
      <c r="B171" s="57" t="n"/>
      <c r="C171" s="58" t="n"/>
      <c r="D171" s="58" t="n"/>
      <c r="E171" s="59">
        <f>IF(N($AL171)&gt;0,INDEX(rIni_ADM,$AL171),"")</f>
        <v/>
      </c>
      <c r="F171" s="59">
        <f>IF(N($AL171)&gt;0,INDEX(rLim_ADM,$AL171),"")</f>
        <v/>
      </c>
      <c r="G171" s="59" t="n"/>
      <c r="H171" s="60" t="n"/>
      <c r="I171" s="60" t="n"/>
      <c r="J171" s="60" t="n"/>
      <c r="K171" s="60" t="n"/>
      <c r="L171" s="60" t="n"/>
      <c r="M171" s="61">
        <f>IF(NOT((COUNTA($B171:$D171)+COUNTA($G171:$L171)+COUNTA($Q171))&gt;0),"",IF(ISNUMBER($G171),1,IF(N($W171)&gt;0,AVERAGEIFS($X$5:$X$1000,$U$5:$U$1000,ROW(),$V$5:$V$1000,"Sub"),$X171)))</f>
        <v/>
      </c>
      <c r="N171" s="56">
        <f>IF($M171="","",IF($M171&gt;=1,"Completado",IF($M171&gt;0,"En curso","Pendiente")))</f>
        <v/>
      </c>
      <c r="O171" s="56">
        <f>IF(NOT((COUNTA($B171:$D171)+COUNTA($G171:$L171)+COUNTA($Q171))&gt;0),"",IF(ISNUMBER($G171),IF(AND(ISNUMBER($AN171),$G171&gt;$AN171),"Cumplida con "&amp;($G171-$AN171)&amp;IF($G171-$AN171=1," día"," días")&amp;" de retraso","Cumplida"),IF(N($M171)&gt;=1,"Cumplida",IF(NOT(ISNUMBER($AN171)),"Sin fecha límite",IF($AN171&lt;FechaRef,"Vencida hace "&amp;(FechaRef-$AN171)&amp;IF(FechaRef-$AN171=1," día"," días"),IF($AN171=FechaRef,"Vence hoy",IF($AN171-FechaRef&lt;=DiasAlerta,"Vence en "&amp;($AN171-FechaRef)&amp;IF($AN171-FechaRef=1," día"," días"),"En plazo")))))))</f>
        <v/>
      </c>
      <c r="P171" s="62" t="n"/>
      <c r="Q171" s="58" t="n"/>
      <c r="R171" s="63">
        <f>IF(NOT((COUNTA($B171:$D171)+COUNTA($G171:$L171)+COUNTA($Q171))&gt;0),"",IF((IF($C171="","Falta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",""))="","✔ OK","⚠ "&amp;LEFT(IF($C171="","Falta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",""),LEN(IF($C171="","Falta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",""))-3)))</f>
        <v/>
      </c>
      <c r="S171" s="64">
        <f>IF(NOT((COUNTA($B171:$D171)+COUNTA($G171:$L171)+COUNTA($Q171))&gt;0),"",IF(AND($V171="Sub",N($U171)&gt;0),IF(ISNUMBER(INDEX($AM$5:$AM$1000,$U171-4)),DATE(YEAR(INDEX($AM$5:$AM$1000,$U171-4)),MONTH(INDEX($AM$5:$AM$1000,$U171-4)),1),IF(ISNUMBER(INDEX($AN$5:$AN$1000,$U171-4)),DATE(YEAR(INDEX($AN$5:$AN$1000,$U171-4)),MONTH(INDEX($AN$5:$AN$1000,$U171-4)),1),MesCiclo)),IF(ISNUMBER($AM171),DATE(YEAR($AM171),MONTH($AM171),1),IF(ISNUMBER($AN171),DATE(YEAR($AN171),MONTH($AN171),1),MesCiclo))))</f>
        <v/>
      </c>
      <c r="T171" s="62">
        <f>IF(OR($S171="",$S171&lt;&gt;MesCiclo),"",COUNTIF($S$5:$S171,MesCiclo))</f>
        <v/>
      </c>
      <c r="U171" s="62">
        <f>IF($V171="","",IF($V171="Macro",ROW(),IFERROR(LOOKUP(2,1/($V$5:$V171="Macro"),ROW($V$5:$V171)),0)))</f>
        <v/>
      </c>
      <c r="V171" s="62">
        <f>IF(NOT((COUNTA($B171:$D171)+COUNTA($G171:$L171)+COUNTA($Q171))&gt;0),"",IF($B171="Subactividad","Sub","Macro"))</f>
        <v/>
      </c>
      <c r="W171" s="62">
        <f>IF($V171="Macro",COUNTIFS($U$5:$U$1000,ROW(),$V$5:$V$1000,"Sub"),"")</f>
        <v/>
      </c>
      <c r="X171" s="62">
        <f>IF($V171="","",IF(ISNUMBER($G171),1,IFERROR(LOOKUP(2,1/($I171:$L171&lt;&gt;""),$I171:$L171),0)))</f>
        <v/>
      </c>
      <c r="Y171" s="62">
        <f>IF($V171="","",IF(AND(ISNUMBER($G171),$G171&lt;=IF($S171=MesCiclo,InicioCiclo,$S171+MOD(2-WEEKDAY($S171),7))+6),1,IF(ISNUMBER($I171),$I171,0)))</f>
        <v/>
      </c>
      <c r="Z171" s="62">
        <f>IF($V171="","",IF(AND(ISNUMBER($G171),$G171&lt;=IF($S171=MesCiclo,InicioCiclo,$S171+MOD(2-WEEKDAY($S171),7))+13),1,IF(ISNUMBER($J171),$J171,$Y171)))</f>
        <v/>
      </c>
      <c r="AA171" s="62">
        <f>IF($V171="","",IF(AND(ISNUMBER($G171),$G171&lt;=IF($S171=MesCiclo,InicioCiclo,$S171+MOD(2-WEEKDAY($S171),7))+20),1,IF(ISNUMBER($K171),$K171,$Z171)))</f>
        <v/>
      </c>
      <c r="AB171" s="62">
        <f>IF($V171="","",IF(AND(ISNUMBER($G171),$G171&lt;=IF($S171=MesCiclo,InicioCiclo,$S171+MOD(2-WEEKDAY($S171),7))+27),1,IF(ISNUMBER($L171),$L171,$AA171)))</f>
        <v/>
      </c>
      <c r="AC171" s="62">
        <f>IF($V171="","",IF(AND(ISNUMBER($G171),$G171&lt;=IF($S171=MesCiclo,InicioCiclo,$S171+MOD(2-WEEKDAY($S171),7))+6),1,IF(N($W171)&gt;0,AVERAGEIFS($Y$5:$Y$1000,$U$5:$U$1000,ROW(),$V$5:$V$1000,"Sub"),$Y171)))</f>
        <v/>
      </c>
      <c r="AD171" s="62">
        <f>IF($V171="","",IF(AND(ISNUMBER($G171),$G171&lt;=IF($S171=MesCiclo,InicioCiclo,$S171+MOD(2-WEEKDAY($S171),7))+13),1,IF(N($W171)&gt;0,AVERAGEIFS($Z$5:$Z$1000,$U$5:$U$1000,ROW(),$V$5:$V$1000,"Sub"),$Z171)))</f>
        <v/>
      </c>
      <c r="AE171" s="62">
        <f>IF($V171="","",IF(AND(ISNUMBER($G171),$G171&lt;=IF($S171=MesCiclo,InicioCiclo,$S171+MOD(2-WEEKDAY($S171),7))+20),1,IF(N($W171)&gt;0,AVERAGEIFS($AA$5:$AA$1000,$U$5:$U$1000,ROW(),$V$5:$V$1000,"Sub"),$AA171)))</f>
        <v/>
      </c>
      <c r="AF171" s="62">
        <f>IF($V171="","",IF(AND(ISNUMBER($G171),$G171&lt;=IF($S171=MesCiclo,InicioCiclo,$S171+MOD(2-WEEKDAY($S171),7))+27),1,IF(N($W171)&gt;0,AVERAGEIFS($AB$5:$AB$1000,$U$5:$U$1000,ROW(),$V$5:$V$1000,"Sub"),$AB171)))</f>
        <v/>
      </c>
      <c r="AG171" s="62">
        <f>IF($V171&lt;&gt;"Macro","",IF(COUNTIFS($S$5:$S$1000,$S171,$V$5:$V$1000,"Macro",$H$5:$H$1000,"&gt;0")=0,1/COUNTIFS($S$5:$S$1000,$S171,$V$5:$V$1000,"Macro"),IF(AND(ISNUMBER($H171),N($H171)&gt;0),$H171,SUMIFS($H$5:$H$1000,$S$5:$S$1000,$S171,$V$5:$V$1000,"Macro")/COUNTIFS($S$5:$S$1000,$S171,$V$5:$V$1000,"Macro",$H$5:$H$1000,"&gt;0"))/(COUNTIFS($S$5:$S$1000,$S171,$V$5:$V$1000,"Macro")*SUMIFS($H$5:$H$1000,$S$5:$S$1000,$S171,$V$5:$V$1000,"Macro")/COUNTIFS($S$5:$S$1000,$S171,$V$5:$V$1000,"Macro",$H$5:$H$1000,"&gt;0"))))</f>
        <v/>
      </c>
      <c r="AH171" s="62" t="n"/>
      <c r="AI171" s="62" t="n"/>
      <c r="AJ171" s="62" t="n"/>
      <c r="AK171" s="62" t="n"/>
      <c r="AL171" s="62">
        <f>IF(LEFT($C171,11)="[Jefatura] ",IFERROR(MATCH("Riesgo Operacional|"&amp;MID($C171,12,500),rDname_ADM,0),0),"")</f>
        <v/>
      </c>
      <c r="AM171" s="62">
        <f>IF(N($AL171)&gt;0,INDEX(rIni_ADM,$AL171),IF(ISNUMBER($E171),$E171,""))</f>
        <v/>
      </c>
      <c r="AN171" s="62">
        <f>IF(N($AL171)&gt;0,INDEX(rLim_ADM,$AL171),IF(ISNUMBER($F171),$F171,""))</f>
        <v/>
      </c>
    </row>
    <row r="172">
      <c r="A172" s="56">
        <f>IF(NOT((COUNTA($B172:$D172)+COUNTA($G172:$L172)+COUNTA($Q172))&gt;0),"",IF($V172="Macro",COUNTIFS($V$5:$V172,"Macro",$S$5:$S172,$S172),IF(N($U172)=0,"?",COUNTIFS(INDEX($V$5:$V$1000,1):INDEX($V$5:$V$1000,$U172-4),"Macro",INDEX($S$5:$S$1000,1):INDEX($S$5:$S$1000,$U172-4),INDEX($S$5:$S$1000,$U172-4))&amp;"."&amp;COUNTIFS($U$5:$U172,$U172,$V$5:$V172,"Sub"))))</f>
        <v/>
      </c>
      <c r="B172" s="57" t="n"/>
      <c r="C172" s="58" t="n"/>
      <c r="D172" s="58" t="n"/>
      <c r="E172" s="59">
        <f>IF(N($AL172)&gt;0,INDEX(rIni_ADM,$AL172),"")</f>
        <v/>
      </c>
      <c r="F172" s="59">
        <f>IF(N($AL172)&gt;0,INDEX(rLim_ADM,$AL172),"")</f>
        <v/>
      </c>
      <c r="G172" s="59" t="n"/>
      <c r="H172" s="60" t="n"/>
      <c r="I172" s="60" t="n"/>
      <c r="J172" s="60" t="n"/>
      <c r="K172" s="60" t="n"/>
      <c r="L172" s="60" t="n"/>
      <c r="M172" s="61">
        <f>IF(NOT((COUNTA($B172:$D172)+COUNTA($G172:$L172)+COUNTA($Q172))&gt;0),"",IF(ISNUMBER($G172),1,IF(N($W172)&gt;0,AVERAGEIFS($X$5:$X$1000,$U$5:$U$1000,ROW(),$V$5:$V$1000,"Sub"),$X172)))</f>
        <v/>
      </c>
      <c r="N172" s="56">
        <f>IF($M172="","",IF($M172&gt;=1,"Completado",IF($M172&gt;0,"En curso","Pendiente")))</f>
        <v/>
      </c>
      <c r="O172" s="56">
        <f>IF(NOT((COUNTA($B172:$D172)+COUNTA($G172:$L172)+COUNTA($Q172))&gt;0),"",IF(ISNUMBER($G172),IF(AND(ISNUMBER($AN172),$G172&gt;$AN172),"Cumplida con "&amp;($G172-$AN172)&amp;IF($G172-$AN172=1," día"," días")&amp;" de retraso","Cumplida"),IF(N($M172)&gt;=1,"Cumplida",IF(NOT(ISNUMBER($AN172)),"Sin fecha límite",IF($AN172&lt;FechaRef,"Vencida hace "&amp;(FechaRef-$AN172)&amp;IF(FechaRef-$AN172=1," día"," días"),IF($AN172=FechaRef,"Vence hoy",IF($AN172-FechaRef&lt;=DiasAlerta,"Vence en "&amp;($AN172-FechaRef)&amp;IF($AN172-FechaRef=1," día"," días"),"En plazo")))))))</f>
        <v/>
      </c>
      <c r="P172" s="62" t="n"/>
      <c r="Q172" s="58" t="n"/>
      <c r="R172" s="63">
        <f>IF(NOT((COUNTA($B172:$D172)+COUNTA($G172:$L172)+COUNTA($Q172))&gt;0),"",IF((IF($C172="","Falta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",""))="","✔ OK","⚠ "&amp;LEFT(IF($C172="","Falta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",""),LEN(IF($C172="","Falta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",""))-3)))</f>
        <v/>
      </c>
      <c r="S172" s="64">
        <f>IF(NOT((COUNTA($B172:$D172)+COUNTA($G172:$L172)+COUNTA($Q172))&gt;0),"",IF(AND($V172="Sub",N($U172)&gt;0),IF(ISNUMBER(INDEX($AM$5:$AM$1000,$U172-4)),DATE(YEAR(INDEX($AM$5:$AM$1000,$U172-4)),MONTH(INDEX($AM$5:$AM$1000,$U172-4)),1),IF(ISNUMBER(INDEX($AN$5:$AN$1000,$U172-4)),DATE(YEAR(INDEX($AN$5:$AN$1000,$U172-4)),MONTH(INDEX($AN$5:$AN$1000,$U172-4)),1),MesCiclo)),IF(ISNUMBER($AM172),DATE(YEAR($AM172),MONTH($AM172),1),IF(ISNUMBER($AN172),DATE(YEAR($AN172),MONTH($AN172),1),MesCiclo))))</f>
        <v/>
      </c>
      <c r="T172" s="62">
        <f>IF(OR($S172="",$S172&lt;&gt;MesCiclo),"",COUNTIF($S$5:$S172,MesCiclo))</f>
        <v/>
      </c>
      <c r="U172" s="62">
        <f>IF($V172="","",IF($V172="Macro",ROW(),IFERROR(LOOKUP(2,1/($V$5:$V172="Macro"),ROW($V$5:$V172)),0)))</f>
        <v/>
      </c>
      <c r="V172" s="62">
        <f>IF(NOT((COUNTA($B172:$D172)+COUNTA($G172:$L172)+COUNTA($Q172))&gt;0),"",IF($B172="Subactividad","Sub","Macro"))</f>
        <v/>
      </c>
      <c r="W172" s="62">
        <f>IF($V172="Macro",COUNTIFS($U$5:$U$1000,ROW(),$V$5:$V$1000,"Sub"),"")</f>
        <v/>
      </c>
      <c r="X172" s="62">
        <f>IF($V172="","",IF(ISNUMBER($G172),1,IFERROR(LOOKUP(2,1/($I172:$L172&lt;&gt;""),$I172:$L172),0)))</f>
        <v/>
      </c>
      <c r="Y172" s="62">
        <f>IF($V172="","",IF(AND(ISNUMBER($G172),$G172&lt;=IF($S172=MesCiclo,InicioCiclo,$S172+MOD(2-WEEKDAY($S172),7))+6),1,IF(ISNUMBER($I172),$I172,0)))</f>
        <v/>
      </c>
      <c r="Z172" s="62">
        <f>IF($V172="","",IF(AND(ISNUMBER($G172),$G172&lt;=IF($S172=MesCiclo,InicioCiclo,$S172+MOD(2-WEEKDAY($S172),7))+13),1,IF(ISNUMBER($J172),$J172,$Y172)))</f>
        <v/>
      </c>
      <c r="AA172" s="62">
        <f>IF($V172="","",IF(AND(ISNUMBER($G172),$G172&lt;=IF($S172=MesCiclo,InicioCiclo,$S172+MOD(2-WEEKDAY($S172),7))+20),1,IF(ISNUMBER($K172),$K172,$Z172)))</f>
        <v/>
      </c>
      <c r="AB172" s="62">
        <f>IF($V172="","",IF(AND(ISNUMBER($G172),$G172&lt;=IF($S172=MesCiclo,InicioCiclo,$S172+MOD(2-WEEKDAY($S172),7))+27),1,IF(ISNUMBER($L172),$L172,$AA172)))</f>
        <v/>
      </c>
      <c r="AC172" s="62">
        <f>IF($V172="","",IF(AND(ISNUMBER($G172),$G172&lt;=IF($S172=MesCiclo,InicioCiclo,$S172+MOD(2-WEEKDAY($S172),7))+6),1,IF(N($W172)&gt;0,AVERAGEIFS($Y$5:$Y$1000,$U$5:$U$1000,ROW(),$V$5:$V$1000,"Sub"),$Y172)))</f>
        <v/>
      </c>
      <c r="AD172" s="62">
        <f>IF($V172="","",IF(AND(ISNUMBER($G172),$G172&lt;=IF($S172=MesCiclo,InicioCiclo,$S172+MOD(2-WEEKDAY($S172),7))+13),1,IF(N($W172)&gt;0,AVERAGEIFS($Z$5:$Z$1000,$U$5:$U$1000,ROW(),$V$5:$V$1000,"Sub"),$Z172)))</f>
        <v/>
      </c>
      <c r="AE172" s="62">
        <f>IF($V172="","",IF(AND(ISNUMBER($G172),$G172&lt;=IF($S172=MesCiclo,InicioCiclo,$S172+MOD(2-WEEKDAY($S172),7))+20),1,IF(N($W172)&gt;0,AVERAGEIFS($AA$5:$AA$1000,$U$5:$U$1000,ROW(),$V$5:$V$1000,"Sub"),$AA172)))</f>
        <v/>
      </c>
      <c r="AF172" s="62">
        <f>IF($V172="","",IF(AND(ISNUMBER($G172),$G172&lt;=IF($S172=MesCiclo,InicioCiclo,$S172+MOD(2-WEEKDAY($S172),7))+27),1,IF(N($W172)&gt;0,AVERAGEIFS($AB$5:$AB$1000,$U$5:$U$1000,ROW(),$V$5:$V$1000,"Sub"),$AB172)))</f>
        <v/>
      </c>
      <c r="AG172" s="62">
        <f>IF($V172&lt;&gt;"Macro","",IF(COUNTIFS($S$5:$S$1000,$S172,$V$5:$V$1000,"Macro",$H$5:$H$1000,"&gt;0")=0,1/COUNTIFS($S$5:$S$1000,$S172,$V$5:$V$1000,"Macro"),IF(AND(ISNUMBER($H172),N($H172)&gt;0),$H172,SUMIFS($H$5:$H$1000,$S$5:$S$1000,$S172,$V$5:$V$1000,"Macro")/COUNTIFS($S$5:$S$1000,$S172,$V$5:$V$1000,"Macro",$H$5:$H$1000,"&gt;0"))/(COUNTIFS($S$5:$S$1000,$S172,$V$5:$V$1000,"Macro")*SUMIFS($H$5:$H$1000,$S$5:$S$1000,$S172,$V$5:$V$1000,"Macro")/COUNTIFS($S$5:$S$1000,$S172,$V$5:$V$1000,"Macro",$H$5:$H$1000,"&gt;0"))))</f>
        <v/>
      </c>
      <c r="AH172" s="62" t="n"/>
      <c r="AI172" s="62" t="n"/>
      <c r="AJ172" s="62" t="n"/>
      <c r="AK172" s="62" t="n"/>
      <c r="AL172" s="62">
        <f>IF(LEFT($C172,11)="[Jefatura] ",IFERROR(MATCH("Riesgo Operacional|"&amp;MID($C172,12,500),rDname_ADM,0),0),"")</f>
        <v/>
      </c>
      <c r="AM172" s="62">
        <f>IF(N($AL172)&gt;0,INDEX(rIni_ADM,$AL172),IF(ISNUMBER($E172),$E172,""))</f>
        <v/>
      </c>
      <c r="AN172" s="62">
        <f>IF(N($AL172)&gt;0,INDEX(rLim_ADM,$AL172),IF(ISNUMBER($F172),$F172,""))</f>
        <v/>
      </c>
    </row>
    <row r="173">
      <c r="A173" s="56">
        <f>IF(NOT((COUNTA($B173:$D173)+COUNTA($G173:$L173)+COUNTA($Q173))&gt;0),"",IF($V173="Macro",COUNTIFS($V$5:$V173,"Macro",$S$5:$S173,$S173),IF(N($U173)=0,"?",COUNTIFS(INDEX($V$5:$V$1000,1):INDEX($V$5:$V$1000,$U173-4),"Macro",INDEX($S$5:$S$1000,1):INDEX($S$5:$S$1000,$U173-4),INDEX($S$5:$S$1000,$U173-4))&amp;"."&amp;COUNTIFS($U$5:$U173,$U173,$V$5:$V173,"Sub"))))</f>
        <v/>
      </c>
      <c r="B173" s="57" t="n"/>
      <c r="C173" s="58" t="n"/>
      <c r="D173" s="58" t="n"/>
      <c r="E173" s="59">
        <f>IF(N($AL173)&gt;0,INDEX(rIni_ADM,$AL173),"")</f>
        <v/>
      </c>
      <c r="F173" s="59">
        <f>IF(N($AL173)&gt;0,INDEX(rLim_ADM,$AL173),"")</f>
        <v/>
      </c>
      <c r="G173" s="59" t="n"/>
      <c r="H173" s="60" t="n"/>
      <c r="I173" s="60" t="n"/>
      <c r="J173" s="60" t="n"/>
      <c r="K173" s="60" t="n"/>
      <c r="L173" s="60" t="n"/>
      <c r="M173" s="61">
        <f>IF(NOT((COUNTA($B173:$D173)+COUNTA($G173:$L173)+COUNTA($Q173))&gt;0),"",IF(ISNUMBER($G173),1,IF(N($W173)&gt;0,AVERAGEIFS($X$5:$X$1000,$U$5:$U$1000,ROW(),$V$5:$V$1000,"Sub"),$X173)))</f>
        <v/>
      </c>
      <c r="N173" s="56">
        <f>IF($M173="","",IF($M173&gt;=1,"Completado",IF($M173&gt;0,"En curso","Pendiente")))</f>
        <v/>
      </c>
      <c r="O173" s="56">
        <f>IF(NOT((COUNTA($B173:$D173)+COUNTA($G173:$L173)+COUNTA($Q173))&gt;0),"",IF(ISNUMBER($G173),IF(AND(ISNUMBER($AN173),$G173&gt;$AN173),"Cumplida con "&amp;($G173-$AN173)&amp;IF($G173-$AN173=1," día"," días")&amp;" de retraso","Cumplida"),IF(N($M173)&gt;=1,"Cumplida",IF(NOT(ISNUMBER($AN173)),"Sin fecha límite",IF($AN173&lt;FechaRef,"Vencida hace "&amp;(FechaRef-$AN173)&amp;IF(FechaRef-$AN173=1," día"," días"),IF($AN173=FechaRef,"Vence hoy",IF($AN173-FechaRef&lt;=DiasAlerta,"Vence en "&amp;($AN173-FechaRef)&amp;IF($AN173-FechaRef=1," día"," días"),"En plazo")))))))</f>
        <v/>
      </c>
      <c r="P173" s="62" t="n"/>
      <c r="Q173" s="58" t="n"/>
      <c r="R173" s="63">
        <f>IF(NOT((COUNTA($B173:$D173)+COUNTA($G173:$L173)+COUNTA($Q173))&gt;0),"",IF((IF($C173="","Falta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",""))="","✔ OK","⚠ "&amp;LEFT(IF($C173="","Falta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",""),LEN(IF($C173="","Falta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",""))-3)))</f>
        <v/>
      </c>
      <c r="S173" s="64">
        <f>IF(NOT((COUNTA($B173:$D173)+COUNTA($G173:$L173)+COUNTA($Q173))&gt;0),"",IF(AND($V173="Sub",N($U173)&gt;0),IF(ISNUMBER(INDEX($AM$5:$AM$1000,$U173-4)),DATE(YEAR(INDEX($AM$5:$AM$1000,$U173-4)),MONTH(INDEX($AM$5:$AM$1000,$U173-4)),1),IF(ISNUMBER(INDEX($AN$5:$AN$1000,$U173-4)),DATE(YEAR(INDEX($AN$5:$AN$1000,$U173-4)),MONTH(INDEX($AN$5:$AN$1000,$U173-4)),1),MesCiclo)),IF(ISNUMBER($AM173),DATE(YEAR($AM173),MONTH($AM173),1),IF(ISNUMBER($AN173),DATE(YEAR($AN173),MONTH($AN173),1),MesCiclo))))</f>
        <v/>
      </c>
      <c r="T173" s="62">
        <f>IF(OR($S173="",$S173&lt;&gt;MesCiclo),"",COUNTIF($S$5:$S173,MesCiclo))</f>
        <v/>
      </c>
      <c r="U173" s="62">
        <f>IF($V173="","",IF($V173="Macro",ROW(),IFERROR(LOOKUP(2,1/($V$5:$V173="Macro"),ROW($V$5:$V173)),0)))</f>
        <v/>
      </c>
      <c r="V173" s="62">
        <f>IF(NOT((COUNTA($B173:$D173)+COUNTA($G173:$L173)+COUNTA($Q173))&gt;0),"",IF($B173="Subactividad","Sub","Macro"))</f>
        <v/>
      </c>
      <c r="W173" s="62">
        <f>IF($V173="Macro",COUNTIFS($U$5:$U$1000,ROW(),$V$5:$V$1000,"Sub"),"")</f>
        <v/>
      </c>
      <c r="X173" s="62">
        <f>IF($V173="","",IF(ISNUMBER($G173),1,IFERROR(LOOKUP(2,1/($I173:$L173&lt;&gt;""),$I173:$L173),0)))</f>
        <v/>
      </c>
      <c r="Y173" s="62">
        <f>IF($V173="","",IF(AND(ISNUMBER($G173),$G173&lt;=IF($S173=MesCiclo,InicioCiclo,$S173+MOD(2-WEEKDAY($S173),7))+6),1,IF(ISNUMBER($I173),$I173,0)))</f>
        <v/>
      </c>
      <c r="Z173" s="62">
        <f>IF($V173="","",IF(AND(ISNUMBER($G173),$G173&lt;=IF($S173=MesCiclo,InicioCiclo,$S173+MOD(2-WEEKDAY($S173),7))+13),1,IF(ISNUMBER($J173),$J173,$Y173)))</f>
        <v/>
      </c>
      <c r="AA173" s="62">
        <f>IF($V173="","",IF(AND(ISNUMBER($G173),$G173&lt;=IF($S173=MesCiclo,InicioCiclo,$S173+MOD(2-WEEKDAY($S173),7))+20),1,IF(ISNUMBER($K173),$K173,$Z173)))</f>
        <v/>
      </c>
      <c r="AB173" s="62">
        <f>IF($V173="","",IF(AND(ISNUMBER($G173),$G173&lt;=IF($S173=MesCiclo,InicioCiclo,$S173+MOD(2-WEEKDAY($S173),7))+27),1,IF(ISNUMBER($L173),$L173,$AA173)))</f>
        <v/>
      </c>
      <c r="AC173" s="62">
        <f>IF($V173="","",IF(AND(ISNUMBER($G173),$G173&lt;=IF($S173=MesCiclo,InicioCiclo,$S173+MOD(2-WEEKDAY($S173),7))+6),1,IF(N($W173)&gt;0,AVERAGEIFS($Y$5:$Y$1000,$U$5:$U$1000,ROW(),$V$5:$V$1000,"Sub"),$Y173)))</f>
        <v/>
      </c>
      <c r="AD173" s="62">
        <f>IF($V173="","",IF(AND(ISNUMBER($G173),$G173&lt;=IF($S173=MesCiclo,InicioCiclo,$S173+MOD(2-WEEKDAY($S173),7))+13),1,IF(N($W173)&gt;0,AVERAGEIFS($Z$5:$Z$1000,$U$5:$U$1000,ROW(),$V$5:$V$1000,"Sub"),$Z173)))</f>
        <v/>
      </c>
      <c r="AE173" s="62">
        <f>IF($V173="","",IF(AND(ISNUMBER($G173),$G173&lt;=IF($S173=MesCiclo,InicioCiclo,$S173+MOD(2-WEEKDAY($S173),7))+20),1,IF(N($W173)&gt;0,AVERAGEIFS($AA$5:$AA$1000,$U$5:$U$1000,ROW(),$V$5:$V$1000,"Sub"),$AA173)))</f>
        <v/>
      </c>
      <c r="AF173" s="62">
        <f>IF($V173="","",IF(AND(ISNUMBER($G173),$G173&lt;=IF($S173=MesCiclo,InicioCiclo,$S173+MOD(2-WEEKDAY($S173),7))+27),1,IF(N($W173)&gt;0,AVERAGEIFS($AB$5:$AB$1000,$U$5:$U$1000,ROW(),$V$5:$V$1000,"Sub"),$AB173)))</f>
        <v/>
      </c>
      <c r="AG173" s="62">
        <f>IF($V173&lt;&gt;"Macro","",IF(COUNTIFS($S$5:$S$1000,$S173,$V$5:$V$1000,"Macro",$H$5:$H$1000,"&gt;0")=0,1/COUNTIFS($S$5:$S$1000,$S173,$V$5:$V$1000,"Macro"),IF(AND(ISNUMBER($H173),N($H173)&gt;0),$H173,SUMIFS($H$5:$H$1000,$S$5:$S$1000,$S173,$V$5:$V$1000,"Macro")/COUNTIFS($S$5:$S$1000,$S173,$V$5:$V$1000,"Macro",$H$5:$H$1000,"&gt;0"))/(COUNTIFS($S$5:$S$1000,$S173,$V$5:$V$1000,"Macro")*SUMIFS($H$5:$H$1000,$S$5:$S$1000,$S173,$V$5:$V$1000,"Macro")/COUNTIFS($S$5:$S$1000,$S173,$V$5:$V$1000,"Macro",$H$5:$H$1000,"&gt;0"))))</f>
        <v/>
      </c>
      <c r="AH173" s="62" t="n"/>
      <c r="AI173" s="62" t="n"/>
      <c r="AJ173" s="62" t="n"/>
      <c r="AK173" s="62" t="n"/>
      <c r="AL173" s="62">
        <f>IF(LEFT($C173,11)="[Jefatura] ",IFERROR(MATCH("Riesgo Operacional|"&amp;MID($C173,12,500),rDname_ADM,0),0),"")</f>
        <v/>
      </c>
      <c r="AM173" s="62">
        <f>IF(N($AL173)&gt;0,INDEX(rIni_ADM,$AL173),IF(ISNUMBER($E173),$E173,""))</f>
        <v/>
      </c>
      <c r="AN173" s="62">
        <f>IF(N($AL173)&gt;0,INDEX(rLim_ADM,$AL173),IF(ISNUMBER($F173),$F173,""))</f>
        <v/>
      </c>
    </row>
    <row r="174">
      <c r="A174" s="56">
        <f>IF(NOT((COUNTA($B174:$D174)+COUNTA($G174:$L174)+COUNTA($Q174))&gt;0),"",IF($V174="Macro",COUNTIFS($V$5:$V174,"Macro",$S$5:$S174,$S174),IF(N($U174)=0,"?",COUNTIFS(INDEX($V$5:$V$1000,1):INDEX($V$5:$V$1000,$U174-4),"Macro",INDEX($S$5:$S$1000,1):INDEX($S$5:$S$1000,$U174-4),INDEX($S$5:$S$1000,$U174-4))&amp;"."&amp;COUNTIFS($U$5:$U174,$U174,$V$5:$V174,"Sub"))))</f>
        <v/>
      </c>
      <c r="B174" s="57" t="n"/>
      <c r="C174" s="58" t="n"/>
      <c r="D174" s="58" t="n"/>
      <c r="E174" s="59">
        <f>IF(N($AL174)&gt;0,INDEX(rIni_ADM,$AL174),"")</f>
        <v/>
      </c>
      <c r="F174" s="59">
        <f>IF(N($AL174)&gt;0,INDEX(rLim_ADM,$AL174),"")</f>
        <v/>
      </c>
      <c r="G174" s="59" t="n"/>
      <c r="H174" s="60" t="n"/>
      <c r="I174" s="60" t="n"/>
      <c r="J174" s="60" t="n"/>
      <c r="K174" s="60" t="n"/>
      <c r="L174" s="60" t="n"/>
      <c r="M174" s="61">
        <f>IF(NOT((COUNTA($B174:$D174)+COUNTA($G174:$L174)+COUNTA($Q174))&gt;0),"",IF(ISNUMBER($G174),1,IF(N($W174)&gt;0,AVERAGEIFS($X$5:$X$1000,$U$5:$U$1000,ROW(),$V$5:$V$1000,"Sub"),$X174)))</f>
        <v/>
      </c>
      <c r="N174" s="56">
        <f>IF($M174="","",IF($M174&gt;=1,"Completado",IF($M174&gt;0,"En curso","Pendiente")))</f>
        <v/>
      </c>
      <c r="O174" s="56">
        <f>IF(NOT((COUNTA($B174:$D174)+COUNTA($G174:$L174)+COUNTA($Q174))&gt;0),"",IF(ISNUMBER($G174),IF(AND(ISNUMBER($AN174),$G174&gt;$AN174),"Cumplida con "&amp;($G174-$AN174)&amp;IF($G174-$AN174=1," día"," días")&amp;" de retraso","Cumplida"),IF(N($M174)&gt;=1,"Cumplida",IF(NOT(ISNUMBER($AN174)),"Sin fecha límite",IF($AN174&lt;FechaRef,"Vencida hace "&amp;(FechaRef-$AN174)&amp;IF(FechaRef-$AN174=1," día"," días"),IF($AN174=FechaRef,"Vence hoy",IF($AN174-FechaRef&lt;=DiasAlerta,"Vence en "&amp;($AN174-FechaRef)&amp;IF($AN174-FechaRef=1," día"," días"),"En plazo")))))))</f>
        <v/>
      </c>
      <c r="P174" s="62" t="n"/>
      <c r="Q174" s="58" t="n"/>
      <c r="R174" s="63">
        <f>IF(NOT((COUNTA($B174:$D174)+COUNTA($G174:$L174)+COUNTA($Q174))&gt;0),"",IF((IF($C174="","Falta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",""))="","✔ OK","⚠ "&amp;LEFT(IF($C174="","Falta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",""),LEN(IF($C174="","Falta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",""))-3)))</f>
        <v/>
      </c>
      <c r="S174" s="64">
        <f>IF(NOT((COUNTA($B174:$D174)+COUNTA($G174:$L174)+COUNTA($Q174))&gt;0),"",IF(AND($V174="Sub",N($U174)&gt;0),IF(ISNUMBER(INDEX($AM$5:$AM$1000,$U174-4)),DATE(YEAR(INDEX($AM$5:$AM$1000,$U174-4)),MONTH(INDEX($AM$5:$AM$1000,$U174-4)),1),IF(ISNUMBER(INDEX($AN$5:$AN$1000,$U174-4)),DATE(YEAR(INDEX($AN$5:$AN$1000,$U174-4)),MONTH(INDEX($AN$5:$AN$1000,$U174-4)),1),MesCiclo)),IF(ISNUMBER($AM174),DATE(YEAR($AM174),MONTH($AM174),1),IF(ISNUMBER($AN174),DATE(YEAR($AN174),MONTH($AN174),1),MesCiclo))))</f>
        <v/>
      </c>
      <c r="T174" s="62">
        <f>IF(OR($S174="",$S174&lt;&gt;MesCiclo),"",COUNTIF($S$5:$S174,MesCiclo))</f>
        <v/>
      </c>
      <c r="U174" s="62">
        <f>IF($V174="","",IF($V174="Macro",ROW(),IFERROR(LOOKUP(2,1/($V$5:$V174="Macro"),ROW($V$5:$V174)),0)))</f>
        <v/>
      </c>
      <c r="V174" s="62">
        <f>IF(NOT((COUNTA($B174:$D174)+COUNTA($G174:$L174)+COUNTA($Q174))&gt;0),"",IF($B174="Subactividad","Sub","Macro"))</f>
        <v/>
      </c>
      <c r="W174" s="62">
        <f>IF($V174="Macro",COUNTIFS($U$5:$U$1000,ROW(),$V$5:$V$1000,"Sub"),"")</f>
        <v/>
      </c>
      <c r="X174" s="62">
        <f>IF($V174="","",IF(ISNUMBER($G174),1,IFERROR(LOOKUP(2,1/($I174:$L174&lt;&gt;""),$I174:$L174),0)))</f>
        <v/>
      </c>
      <c r="Y174" s="62">
        <f>IF($V174="","",IF(AND(ISNUMBER($G174),$G174&lt;=IF($S174=MesCiclo,InicioCiclo,$S174+MOD(2-WEEKDAY($S174),7))+6),1,IF(ISNUMBER($I174),$I174,0)))</f>
        <v/>
      </c>
      <c r="Z174" s="62">
        <f>IF($V174="","",IF(AND(ISNUMBER($G174),$G174&lt;=IF($S174=MesCiclo,InicioCiclo,$S174+MOD(2-WEEKDAY($S174),7))+13),1,IF(ISNUMBER($J174),$J174,$Y174)))</f>
        <v/>
      </c>
      <c r="AA174" s="62">
        <f>IF($V174="","",IF(AND(ISNUMBER($G174),$G174&lt;=IF($S174=MesCiclo,InicioCiclo,$S174+MOD(2-WEEKDAY($S174),7))+20),1,IF(ISNUMBER($K174),$K174,$Z174)))</f>
        <v/>
      </c>
      <c r="AB174" s="62">
        <f>IF($V174="","",IF(AND(ISNUMBER($G174),$G174&lt;=IF($S174=MesCiclo,InicioCiclo,$S174+MOD(2-WEEKDAY($S174),7))+27),1,IF(ISNUMBER($L174),$L174,$AA174)))</f>
        <v/>
      </c>
      <c r="AC174" s="62">
        <f>IF($V174="","",IF(AND(ISNUMBER($G174),$G174&lt;=IF($S174=MesCiclo,InicioCiclo,$S174+MOD(2-WEEKDAY($S174),7))+6),1,IF(N($W174)&gt;0,AVERAGEIFS($Y$5:$Y$1000,$U$5:$U$1000,ROW(),$V$5:$V$1000,"Sub"),$Y174)))</f>
        <v/>
      </c>
      <c r="AD174" s="62">
        <f>IF($V174="","",IF(AND(ISNUMBER($G174),$G174&lt;=IF($S174=MesCiclo,InicioCiclo,$S174+MOD(2-WEEKDAY($S174),7))+13),1,IF(N($W174)&gt;0,AVERAGEIFS($Z$5:$Z$1000,$U$5:$U$1000,ROW(),$V$5:$V$1000,"Sub"),$Z174)))</f>
        <v/>
      </c>
      <c r="AE174" s="62">
        <f>IF($V174="","",IF(AND(ISNUMBER($G174),$G174&lt;=IF($S174=MesCiclo,InicioCiclo,$S174+MOD(2-WEEKDAY($S174),7))+20),1,IF(N($W174)&gt;0,AVERAGEIFS($AA$5:$AA$1000,$U$5:$U$1000,ROW(),$V$5:$V$1000,"Sub"),$AA174)))</f>
        <v/>
      </c>
      <c r="AF174" s="62">
        <f>IF($V174="","",IF(AND(ISNUMBER($G174),$G174&lt;=IF($S174=MesCiclo,InicioCiclo,$S174+MOD(2-WEEKDAY($S174),7))+27),1,IF(N($W174)&gt;0,AVERAGEIFS($AB$5:$AB$1000,$U$5:$U$1000,ROW(),$V$5:$V$1000,"Sub"),$AB174)))</f>
        <v/>
      </c>
      <c r="AG174" s="62">
        <f>IF($V174&lt;&gt;"Macro","",IF(COUNTIFS($S$5:$S$1000,$S174,$V$5:$V$1000,"Macro",$H$5:$H$1000,"&gt;0")=0,1/COUNTIFS($S$5:$S$1000,$S174,$V$5:$V$1000,"Macro"),IF(AND(ISNUMBER($H174),N($H174)&gt;0),$H174,SUMIFS($H$5:$H$1000,$S$5:$S$1000,$S174,$V$5:$V$1000,"Macro")/COUNTIFS($S$5:$S$1000,$S174,$V$5:$V$1000,"Macro",$H$5:$H$1000,"&gt;0"))/(COUNTIFS($S$5:$S$1000,$S174,$V$5:$V$1000,"Macro")*SUMIFS($H$5:$H$1000,$S$5:$S$1000,$S174,$V$5:$V$1000,"Macro")/COUNTIFS($S$5:$S$1000,$S174,$V$5:$V$1000,"Macro",$H$5:$H$1000,"&gt;0"))))</f>
        <v/>
      </c>
      <c r="AH174" s="62" t="n"/>
      <c r="AI174" s="62" t="n"/>
      <c r="AJ174" s="62" t="n"/>
      <c r="AK174" s="62" t="n"/>
      <c r="AL174" s="62">
        <f>IF(LEFT($C174,11)="[Jefatura] ",IFERROR(MATCH("Riesgo Operacional|"&amp;MID($C174,12,500),rDname_ADM,0),0),"")</f>
        <v/>
      </c>
      <c r="AM174" s="62">
        <f>IF(N($AL174)&gt;0,INDEX(rIni_ADM,$AL174),IF(ISNUMBER($E174),$E174,""))</f>
        <v/>
      </c>
      <c r="AN174" s="62">
        <f>IF(N($AL174)&gt;0,INDEX(rLim_ADM,$AL174),IF(ISNUMBER($F174),$F174,""))</f>
        <v/>
      </c>
    </row>
    <row r="175">
      <c r="A175" s="56">
        <f>IF(NOT((COUNTA($B175:$D175)+COUNTA($G175:$L175)+COUNTA($Q175))&gt;0),"",IF($V175="Macro",COUNTIFS($V$5:$V175,"Macro",$S$5:$S175,$S175),IF(N($U175)=0,"?",COUNTIFS(INDEX($V$5:$V$1000,1):INDEX($V$5:$V$1000,$U175-4),"Macro",INDEX($S$5:$S$1000,1):INDEX($S$5:$S$1000,$U175-4),INDEX($S$5:$S$1000,$U175-4))&amp;"."&amp;COUNTIFS($U$5:$U175,$U175,$V$5:$V175,"Sub"))))</f>
        <v/>
      </c>
      <c r="B175" s="57" t="n"/>
      <c r="C175" s="58" t="n"/>
      <c r="D175" s="58" t="n"/>
      <c r="E175" s="59">
        <f>IF(N($AL175)&gt;0,INDEX(rIni_ADM,$AL175),"")</f>
        <v/>
      </c>
      <c r="F175" s="59">
        <f>IF(N($AL175)&gt;0,INDEX(rLim_ADM,$AL175),"")</f>
        <v/>
      </c>
      <c r="G175" s="59" t="n"/>
      <c r="H175" s="60" t="n"/>
      <c r="I175" s="60" t="n"/>
      <c r="J175" s="60" t="n"/>
      <c r="K175" s="60" t="n"/>
      <c r="L175" s="60" t="n"/>
      <c r="M175" s="61">
        <f>IF(NOT((COUNTA($B175:$D175)+COUNTA($G175:$L175)+COUNTA($Q175))&gt;0),"",IF(ISNUMBER($G175),1,IF(N($W175)&gt;0,AVERAGEIFS($X$5:$X$1000,$U$5:$U$1000,ROW(),$V$5:$V$1000,"Sub"),$X175)))</f>
        <v/>
      </c>
      <c r="N175" s="56">
        <f>IF($M175="","",IF($M175&gt;=1,"Completado",IF($M175&gt;0,"En curso","Pendiente")))</f>
        <v/>
      </c>
      <c r="O175" s="56">
        <f>IF(NOT((COUNTA($B175:$D175)+COUNTA($G175:$L175)+COUNTA($Q175))&gt;0),"",IF(ISNUMBER($G175),IF(AND(ISNUMBER($AN175),$G175&gt;$AN175),"Cumplida con "&amp;($G175-$AN175)&amp;IF($G175-$AN175=1," día"," días")&amp;" de retraso","Cumplida"),IF(N($M175)&gt;=1,"Cumplida",IF(NOT(ISNUMBER($AN175)),"Sin fecha límite",IF($AN175&lt;FechaRef,"Vencida hace "&amp;(FechaRef-$AN175)&amp;IF(FechaRef-$AN175=1," día"," días"),IF($AN175=FechaRef,"Vence hoy",IF($AN175-FechaRef&lt;=DiasAlerta,"Vence en "&amp;($AN175-FechaRef)&amp;IF($AN175-FechaRef=1," día"," días"),"En plazo")))))))</f>
        <v/>
      </c>
      <c r="P175" s="62" t="n"/>
      <c r="Q175" s="58" t="n"/>
      <c r="R175" s="63">
        <f>IF(NOT((COUNTA($B175:$D175)+COUNTA($G175:$L175)+COUNTA($Q175))&gt;0),"",IF((IF($C175="","Falta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",""))="","✔ OK","⚠ "&amp;LEFT(IF($C175="","Falta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",""),LEN(IF($C175="","Falta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",""))-3)))</f>
        <v/>
      </c>
      <c r="S175" s="64">
        <f>IF(NOT((COUNTA($B175:$D175)+COUNTA($G175:$L175)+COUNTA($Q175))&gt;0),"",IF(AND($V175="Sub",N($U175)&gt;0),IF(ISNUMBER(INDEX($AM$5:$AM$1000,$U175-4)),DATE(YEAR(INDEX($AM$5:$AM$1000,$U175-4)),MONTH(INDEX($AM$5:$AM$1000,$U175-4)),1),IF(ISNUMBER(INDEX($AN$5:$AN$1000,$U175-4)),DATE(YEAR(INDEX($AN$5:$AN$1000,$U175-4)),MONTH(INDEX($AN$5:$AN$1000,$U175-4)),1),MesCiclo)),IF(ISNUMBER($AM175),DATE(YEAR($AM175),MONTH($AM175),1),IF(ISNUMBER($AN175),DATE(YEAR($AN175),MONTH($AN175),1),MesCiclo))))</f>
        <v/>
      </c>
      <c r="T175" s="62">
        <f>IF(OR($S175="",$S175&lt;&gt;MesCiclo),"",COUNTIF($S$5:$S175,MesCiclo))</f>
        <v/>
      </c>
      <c r="U175" s="62">
        <f>IF($V175="","",IF($V175="Macro",ROW(),IFERROR(LOOKUP(2,1/($V$5:$V175="Macro"),ROW($V$5:$V175)),0)))</f>
        <v/>
      </c>
      <c r="V175" s="62">
        <f>IF(NOT((COUNTA($B175:$D175)+COUNTA($G175:$L175)+COUNTA($Q175))&gt;0),"",IF($B175="Subactividad","Sub","Macro"))</f>
        <v/>
      </c>
      <c r="W175" s="62">
        <f>IF($V175="Macro",COUNTIFS($U$5:$U$1000,ROW(),$V$5:$V$1000,"Sub"),"")</f>
        <v/>
      </c>
      <c r="X175" s="62">
        <f>IF($V175="","",IF(ISNUMBER($G175),1,IFERROR(LOOKUP(2,1/($I175:$L175&lt;&gt;""),$I175:$L175),0)))</f>
        <v/>
      </c>
      <c r="Y175" s="62">
        <f>IF($V175="","",IF(AND(ISNUMBER($G175),$G175&lt;=IF($S175=MesCiclo,InicioCiclo,$S175+MOD(2-WEEKDAY($S175),7))+6),1,IF(ISNUMBER($I175),$I175,0)))</f>
        <v/>
      </c>
      <c r="Z175" s="62">
        <f>IF($V175="","",IF(AND(ISNUMBER($G175),$G175&lt;=IF($S175=MesCiclo,InicioCiclo,$S175+MOD(2-WEEKDAY($S175),7))+13),1,IF(ISNUMBER($J175),$J175,$Y175)))</f>
        <v/>
      </c>
      <c r="AA175" s="62">
        <f>IF($V175="","",IF(AND(ISNUMBER($G175),$G175&lt;=IF($S175=MesCiclo,InicioCiclo,$S175+MOD(2-WEEKDAY($S175),7))+20),1,IF(ISNUMBER($K175),$K175,$Z175)))</f>
        <v/>
      </c>
      <c r="AB175" s="62">
        <f>IF($V175="","",IF(AND(ISNUMBER($G175),$G175&lt;=IF($S175=MesCiclo,InicioCiclo,$S175+MOD(2-WEEKDAY($S175),7))+27),1,IF(ISNUMBER($L175),$L175,$AA175)))</f>
        <v/>
      </c>
      <c r="AC175" s="62">
        <f>IF($V175="","",IF(AND(ISNUMBER($G175),$G175&lt;=IF($S175=MesCiclo,InicioCiclo,$S175+MOD(2-WEEKDAY($S175),7))+6),1,IF(N($W175)&gt;0,AVERAGEIFS($Y$5:$Y$1000,$U$5:$U$1000,ROW(),$V$5:$V$1000,"Sub"),$Y175)))</f>
        <v/>
      </c>
      <c r="AD175" s="62">
        <f>IF($V175="","",IF(AND(ISNUMBER($G175),$G175&lt;=IF($S175=MesCiclo,InicioCiclo,$S175+MOD(2-WEEKDAY($S175),7))+13),1,IF(N($W175)&gt;0,AVERAGEIFS($Z$5:$Z$1000,$U$5:$U$1000,ROW(),$V$5:$V$1000,"Sub"),$Z175)))</f>
        <v/>
      </c>
      <c r="AE175" s="62">
        <f>IF($V175="","",IF(AND(ISNUMBER($G175),$G175&lt;=IF($S175=MesCiclo,InicioCiclo,$S175+MOD(2-WEEKDAY($S175),7))+20),1,IF(N($W175)&gt;0,AVERAGEIFS($AA$5:$AA$1000,$U$5:$U$1000,ROW(),$V$5:$V$1000,"Sub"),$AA175)))</f>
        <v/>
      </c>
      <c r="AF175" s="62">
        <f>IF($V175="","",IF(AND(ISNUMBER($G175),$G175&lt;=IF($S175=MesCiclo,InicioCiclo,$S175+MOD(2-WEEKDAY($S175),7))+27),1,IF(N($W175)&gt;0,AVERAGEIFS($AB$5:$AB$1000,$U$5:$U$1000,ROW(),$V$5:$V$1000,"Sub"),$AB175)))</f>
        <v/>
      </c>
      <c r="AG175" s="62">
        <f>IF($V175&lt;&gt;"Macro","",IF(COUNTIFS($S$5:$S$1000,$S175,$V$5:$V$1000,"Macro",$H$5:$H$1000,"&gt;0")=0,1/COUNTIFS($S$5:$S$1000,$S175,$V$5:$V$1000,"Macro"),IF(AND(ISNUMBER($H175),N($H175)&gt;0),$H175,SUMIFS($H$5:$H$1000,$S$5:$S$1000,$S175,$V$5:$V$1000,"Macro")/COUNTIFS($S$5:$S$1000,$S175,$V$5:$V$1000,"Macro",$H$5:$H$1000,"&gt;0"))/(COUNTIFS($S$5:$S$1000,$S175,$V$5:$V$1000,"Macro")*SUMIFS($H$5:$H$1000,$S$5:$S$1000,$S175,$V$5:$V$1000,"Macro")/COUNTIFS($S$5:$S$1000,$S175,$V$5:$V$1000,"Macro",$H$5:$H$1000,"&gt;0"))))</f>
        <v/>
      </c>
      <c r="AH175" s="62" t="n"/>
      <c r="AI175" s="62" t="n"/>
      <c r="AJ175" s="62" t="n"/>
      <c r="AK175" s="62" t="n"/>
      <c r="AL175" s="62">
        <f>IF(LEFT($C175,11)="[Jefatura] ",IFERROR(MATCH("Riesgo Operacional|"&amp;MID($C175,12,500),rDname_ADM,0),0),"")</f>
        <v/>
      </c>
      <c r="AM175" s="62">
        <f>IF(N($AL175)&gt;0,INDEX(rIni_ADM,$AL175),IF(ISNUMBER($E175),$E175,""))</f>
        <v/>
      </c>
      <c r="AN175" s="62">
        <f>IF(N($AL175)&gt;0,INDEX(rLim_ADM,$AL175),IF(ISNUMBER($F175),$F175,""))</f>
        <v/>
      </c>
    </row>
    <row r="176">
      <c r="A176" s="56">
        <f>IF(NOT((COUNTA($B176:$D176)+COUNTA($G176:$L176)+COUNTA($Q176))&gt;0),"",IF($V176="Macro",COUNTIFS($V$5:$V176,"Macro",$S$5:$S176,$S176),IF(N($U176)=0,"?",COUNTIFS(INDEX($V$5:$V$1000,1):INDEX($V$5:$V$1000,$U176-4),"Macro",INDEX($S$5:$S$1000,1):INDEX($S$5:$S$1000,$U176-4),INDEX($S$5:$S$1000,$U176-4))&amp;"."&amp;COUNTIFS($U$5:$U176,$U176,$V$5:$V176,"Sub"))))</f>
        <v/>
      </c>
      <c r="B176" s="57" t="n"/>
      <c r="C176" s="58" t="n"/>
      <c r="D176" s="58" t="n"/>
      <c r="E176" s="59">
        <f>IF(N($AL176)&gt;0,INDEX(rIni_ADM,$AL176),"")</f>
        <v/>
      </c>
      <c r="F176" s="59">
        <f>IF(N($AL176)&gt;0,INDEX(rLim_ADM,$AL176),"")</f>
        <v/>
      </c>
      <c r="G176" s="59" t="n"/>
      <c r="H176" s="60" t="n"/>
      <c r="I176" s="60" t="n"/>
      <c r="J176" s="60" t="n"/>
      <c r="K176" s="60" t="n"/>
      <c r="L176" s="60" t="n"/>
      <c r="M176" s="61">
        <f>IF(NOT((COUNTA($B176:$D176)+COUNTA($G176:$L176)+COUNTA($Q176))&gt;0),"",IF(ISNUMBER($G176),1,IF(N($W176)&gt;0,AVERAGEIFS($X$5:$X$1000,$U$5:$U$1000,ROW(),$V$5:$V$1000,"Sub"),$X176)))</f>
        <v/>
      </c>
      <c r="N176" s="56">
        <f>IF($M176="","",IF($M176&gt;=1,"Completado",IF($M176&gt;0,"En curso","Pendiente")))</f>
        <v/>
      </c>
      <c r="O176" s="56">
        <f>IF(NOT((COUNTA($B176:$D176)+COUNTA($G176:$L176)+COUNTA($Q176))&gt;0),"",IF(ISNUMBER($G176),IF(AND(ISNUMBER($AN176),$G176&gt;$AN176),"Cumplida con "&amp;($G176-$AN176)&amp;IF($G176-$AN176=1," día"," días")&amp;" de retraso","Cumplida"),IF(N($M176)&gt;=1,"Cumplida",IF(NOT(ISNUMBER($AN176)),"Sin fecha límite",IF($AN176&lt;FechaRef,"Vencida hace "&amp;(FechaRef-$AN176)&amp;IF(FechaRef-$AN176=1," día"," días"),IF($AN176=FechaRef,"Vence hoy",IF($AN176-FechaRef&lt;=DiasAlerta,"Vence en "&amp;($AN176-FechaRef)&amp;IF($AN176-FechaRef=1," día"," días"),"En plazo")))))))</f>
        <v/>
      </c>
      <c r="P176" s="62" t="n"/>
      <c r="Q176" s="58" t="n"/>
      <c r="R176" s="63">
        <f>IF(NOT((COUNTA($B176:$D176)+COUNTA($G176:$L176)+COUNTA($Q176))&gt;0),"",IF((IF($C176="","Falta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",""))="","✔ OK","⚠ "&amp;LEFT(IF($C176="","Falta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",""),LEN(IF($C176="","Falta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",""))-3)))</f>
        <v/>
      </c>
      <c r="S176" s="64">
        <f>IF(NOT((COUNTA($B176:$D176)+COUNTA($G176:$L176)+COUNTA($Q176))&gt;0),"",IF(AND($V176="Sub",N($U176)&gt;0),IF(ISNUMBER(INDEX($AM$5:$AM$1000,$U176-4)),DATE(YEAR(INDEX($AM$5:$AM$1000,$U176-4)),MONTH(INDEX($AM$5:$AM$1000,$U176-4)),1),IF(ISNUMBER(INDEX($AN$5:$AN$1000,$U176-4)),DATE(YEAR(INDEX($AN$5:$AN$1000,$U176-4)),MONTH(INDEX($AN$5:$AN$1000,$U176-4)),1),MesCiclo)),IF(ISNUMBER($AM176),DATE(YEAR($AM176),MONTH($AM176),1),IF(ISNUMBER($AN176),DATE(YEAR($AN176),MONTH($AN176),1),MesCiclo))))</f>
        <v/>
      </c>
      <c r="T176" s="62">
        <f>IF(OR($S176="",$S176&lt;&gt;MesCiclo),"",COUNTIF($S$5:$S176,MesCiclo))</f>
        <v/>
      </c>
      <c r="U176" s="62">
        <f>IF($V176="","",IF($V176="Macro",ROW(),IFERROR(LOOKUP(2,1/($V$5:$V176="Macro"),ROW($V$5:$V176)),0)))</f>
        <v/>
      </c>
      <c r="V176" s="62">
        <f>IF(NOT((COUNTA($B176:$D176)+COUNTA($G176:$L176)+COUNTA($Q176))&gt;0),"",IF($B176="Subactividad","Sub","Macro"))</f>
        <v/>
      </c>
      <c r="W176" s="62">
        <f>IF($V176="Macro",COUNTIFS($U$5:$U$1000,ROW(),$V$5:$V$1000,"Sub"),"")</f>
        <v/>
      </c>
      <c r="X176" s="62">
        <f>IF($V176="","",IF(ISNUMBER($G176),1,IFERROR(LOOKUP(2,1/($I176:$L176&lt;&gt;""),$I176:$L176),0)))</f>
        <v/>
      </c>
      <c r="Y176" s="62">
        <f>IF($V176="","",IF(AND(ISNUMBER($G176),$G176&lt;=IF($S176=MesCiclo,InicioCiclo,$S176+MOD(2-WEEKDAY($S176),7))+6),1,IF(ISNUMBER($I176),$I176,0)))</f>
        <v/>
      </c>
      <c r="Z176" s="62">
        <f>IF($V176="","",IF(AND(ISNUMBER($G176),$G176&lt;=IF($S176=MesCiclo,InicioCiclo,$S176+MOD(2-WEEKDAY($S176),7))+13),1,IF(ISNUMBER($J176),$J176,$Y176)))</f>
        <v/>
      </c>
      <c r="AA176" s="62">
        <f>IF($V176="","",IF(AND(ISNUMBER($G176),$G176&lt;=IF($S176=MesCiclo,InicioCiclo,$S176+MOD(2-WEEKDAY($S176),7))+20),1,IF(ISNUMBER($K176),$K176,$Z176)))</f>
        <v/>
      </c>
      <c r="AB176" s="62">
        <f>IF($V176="","",IF(AND(ISNUMBER($G176),$G176&lt;=IF($S176=MesCiclo,InicioCiclo,$S176+MOD(2-WEEKDAY($S176),7))+27),1,IF(ISNUMBER($L176),$L176,$AA176)))</f>
        <v/>
      </c>
      <c r="AC176" s="62">
        <f>IF($V176="","",IF(AND(ISNUMBER($G176),$G176&lt;=IF($S176=MesCiclo,InicioCiclo,$S176+MOD(2-WEEKDAY($S176),7))+6),1,IF(N($W176)&gt;0,AVERAGEIFS($Y$5:$Y$1000,$U$5:$U$1000,ROW(),$V$5:$V$1000,"Sub"),$Y176)))</f>
        <v/>
      </c>
      <c r="AD176" s="62">
        <f>IF($V176="","",IF(AND(ISNUMBER($G176),$G176&lt;=IF($S176=MesCiclo,InicioCiclo,$S176+MOD(2-WEEKDAY($S176),7))+13),1,IF(N($W176)&gt;0,AVERAGEIFS($Z$5:$Z$1000,$U$5:$U$1000,ROW(),$V$5:$V$1000,"Sub"),$Z176)))</f>
        <v/>
      </c>
      <c r="AE176" s="62">
        <f>IF($V176="","",IF(AND(ISNUMBER($G176),$G176&lt;=IF($S176=MesCiclo,InicioCiclo,$S176+MOD(2-WEEKDAY($S176),7))+20),1,IF(N($W176)&gt;0,AVERAGEIFS($AA$5:$AA$1000,$U$5:$U$1000,ROW(),$V$5:$V$1000,"Sub"),$AA176)))</f>
        <v/>
      </c>
      <c r="AF176" s="62">
        <f>IF($V176="","",IF(AND(ISNUMBER($G176),$G176&lt;=IF($S176=MesCiclo,InicioCiclo,$S176+MOD(2-WEEKDAY($S176),7))+27),1,IF(N($W176)&gt;0,AVERAGEIFS($AB$5:$AB$1000,$U$5:$U$1000,ROW(),$V$5:$V$1000,"Sub"),$AB176)))</f>
        <v/>
      </c>
      <c r="AG176" s="62">
        <f>IF($V176&lt;&gt;"Macro","",IF(COUNTIFS($S$5:$S$1000,$S176,$V$5:$V$1000,"Macro",$H$5:$H$1000,"&gt;0")=0,1/COUNTIFS($S$5:$S$1000,$S176,$V$5:$V$1000,"Macro"),IF(AND(ISNUMBER($H176),N($H176)&gt;0),$H176,SUMIFS($H$5:$H$1000,$S$5:$S$1000,$S176,$V$5:$V$1000,"Macro")/COUNTIFS($S$5:$S$1000,$S176,$V$5:$V$1000,"Macro",$H$5:$H$1000,"&gt;0"))/(COUNTIFS($S$5:$S$1000,$S176,$V$5:$V$1000,"Macro")*SUMIFS($H$5:$H$1000,$S$5:$S$1000,$S176,$V$5:$V$1000,"Macro")/COUNTIFS($S$5:$S$1000,$S176,$V$5:$V$1000,"Macro",$H$5:$H$1000,"&gt;0"))))</f>
        <v/>
      </c>
      <c r="AH176" s="62" t="n"/>
      <c r="AI176" s="62" t="n"/>
      <c r="AJ176" s="62" t="n"/>
      <c r="AK176" s="62" t="n"/>
      <c r="AL176" s="62">
        <f>IF(LEFT($C176,11)="[Jefatura] ",IFERROR(MATCH("Riesgo Operacional|"&amp;MID($C176,12,500),rDname_ADM,0),0),"")</f>
        <v/>
      </c>
      <c r="AM176" s="62">
        <f>IF(N($AL176)&gt;0,INDEX(rIni_ADM,$AL176),IF(ISNUMBER($E176),$E176,""))</f>
        <v/>
      </c>
      <c r="AN176" s="62">
        <f>IF(N($AL176)&gt;0,INDEX(rLim_ADM,$AL176),IF(ISNUMBER($F176),$F176,""))</f>
        <v/>
      </c>
    </row>
    <row r="177">
      <c r="A177" s="56">
        <f>IF(NOT((COUNTA($B177:$D177)+COUNTA($G177:$L177)+COUNTA($Q177))&gt;0),"",IF($V177="Macro",COUNTIFS($V$5:$V177,"Macro",$S$5:$S177,$S177),IF(N($U177)=0,"?",COUNTIFS(INDEX($V$5:$V$1000,1):INDEX($V$5:$V$1000,$U177-4),"Macro",INDEX($S$5:$S$1000,1):INDEX($S$5:$S$1000,$U177-4),INDEX($S$5:$S$1000,$U177-4))&amp;"."&amp;COUNTIFS($U$5:$U177,$U177,$V$5:$V177,"Sub"))))</f>
        <v/>
      </c>
      <c r="B177" s="57" t="n"/>
      <c r="C177" s="58" t="n"/>
      <c r="D177" s="58" t="n"/>
      <c r="E177" s="59">
        <f>IF(N($AL177)&gt;0,INDEX(rIni_ADM,$AL177),"")</f>
        <v/>
      </c>
      <c r="F177" s="59">
        <f>IF(N($AL177)&gt;0,INDEX(rLim_ADM,$AL177),"")</f>
        <v/>
      </c>
      <c r="G177" s="59" t="n"/>
      <c r="H177" s="60" t="n"/>
      <c r="I177" s="60" t="n"/>
      <c r="J177" s="60" t="n"/>
      <c r="K177" s="60" t="n"/>
      <c r="L177" s="60" t="n"/>
      <c r="M177" s="61">
        <f>IF(NOT((COUNTA($B177:$D177)+COUNTA($G177:$L177)+COUNTA($Q177))&gt;0),"",IF(ISNUMBER($G177),1,IF(N($W177)&gt;0,AVERAGEIFS($X$5:$X$1000,$U$5:$U$1000,ROW(),$V$5:$V$1000,"Sub"),$X177)))</f>
        <v/>
      </c>
      <c r="N177" s="56">
        <f>IF($M177="","",IF($M177&gt;=1,"Completado",IF($M177&gt;0,"En curso","Pendiente")))</f>
        <v/>
      </c>
      <c r="O177" s="56">
        <f>IF(NOT((COUNTA($B177:$D177)+COUNTA($G177:$L177)+COUNTA($Q177))&gt;0),"",IF(ISNUMBER($G177),IF(AND(ISNUMBER($AN177),$G177&gt;$AN177),"Cumplida con "&amp;($G177-$AN177)&amp;IF($G177-$AN177=1," día"," días")&amp;" de retraso","Cumplida"),IF(N($M177)&gt;=1,"Cumplida",IF(NOT(ISNUMBER($AN177)),"Sin fecha límite",IF($AN177&lt;FechaRef,"Vencida hace "&amp;(FechaRef-$AN177)&amp;IF(FechaRef-$AN177=1," día"," días"),IF($AN177=FechaRef,"Vence hoy",IF($AN177-FechaRef&lt;=DiasAlerta,"Vence en "&amp;($AN177-FechaRef)&amp;IF($AN177-FechaRef=1," día"," días"),"En plazo")))))))</f>
        <v/>
      </c>
      <c r="P177" s="62" t="n"/>
      <c r="Q177" s="58" t="n"/>
      <c r="R177" s="63">
        <f>IF(NOT((COUNTA($B177:$D177)+COUNTA($G177:$L177)+COUNTA($Q177))&gt;0),"",IF((IF($C177="","Falta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",""))="","✔ OK","⚠ "&amp;LEFT(IF($C177="","Falta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",""),LEN(IF($C177="","Falta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",""))-3)))</f>
        <v/>
      </c>
      <c r="S177" s="64">
        <f>IF(NOT((COUNTA($B177:$D177)+COUNTA($G177:$L177)+COUNTA($Q177))&gt;0),"",IF(AND($V177="Sub",N($U177)&gt;0),IF(ISNUMBER(INDEX($AM$5:$AM$1000,$U177-4)),DATE(YEAR(INDEX($AM$5:$AM$1000,$U177-4)),MONTH(INDEX($AM$5:$AM$1000,$U177-4)),1),IF(ISNUMBER(INDEX($AN$5:$AN$1000,$U177-4)),DATE(YEAR(INDEX($AN$5:$AN$1000,$U177-4)),MONTH(INDEX($AN$5:$AN$1000,$U177-4)),1),MesCiclo)),IF(ISNUMBER($AM177),DATE(YEAR($AM177),MONTH($AM177),1),IF(ISNUMBER($AN177),DATE(YEAR($AN177),MONTH($AN177),1),MesCiclo))))</f>
        <v/>
      </c>
      <c r="T177" s="62">
        <f>IF(OR($S177="",$S177&lt;&gt;MesCiclo),"",COUNTIF($S$5:$S177,MesCiclo))</f>
        <v/>
      </c>
      <c r="U177" s="62">
        <f>IF($V177="","",IF($V177="Macro",ROW(),IFERROR(LOOKUP(2,1/($V$5:$V177="Macro"),ROW($V$5:$V177)),0)))</f>
        <v/>
      </c>
      <c r="V177" s="62">
        <f>IF(NOT((COUNTA($B177:$D177)+COUNTA($G177:$L177)+COUNTA($Q177))&gt;0),"",IF($B177="Subactividad","Sub","Macro"))</f>
        <v/>
      </c>
      <c r="W177" s="62">
        <f>IF($V177="Macro",COUNTIFS($U$5:$U$1000,ROW(),$V$5:$V$1000,"Sub"),"")</f>
        <v/>
      </c>
      <c r="X177" s="62">
        <f>IF($V177="","",IF(ISNUMBER($G177),1,IFERROR(LOOKUP(2,1/($I177:$L177&lt;&gt;""),$I177:$L177),0)))</f>
        <v/>
      </c>
      <c r="Y177" s="62">
        <f>IF($V177="","",IF(AND(ISNUMBER($G177),$G177&lt;=IF($S177=MesCiclo,InicioCiclo,$S177+MOD(2-WEEKDAY($S177),7))+6),1,IF(ISNUMBER($I177),$I177,0)))</f>
        <v/>
      </c>
      <c r="Z177" s="62">
        <f>IF($V177="","",IF(AND(ISNUMBER($G177),$G177&lt;=IF($S177=MesCiclo,InicioCiclo,$S177+MOD(2-WEEKDAY($S177),7))+13),1,IF(ISNUMBER($J177),$J177,$Y177)))</f>
        <v/>
      </c>
      <c r="AA177" s="62">
        <f>IF($V177="","",IF(AND(ISNUMBER($G177),$G177&lt;=IF($S177=MesCiclo,InicioCiclo,$S177+MOD(2-WEEKDAY($S177),7))+20),1,IF(ISNUMBER($K177),$K177,$Z177)))</f>
        <v/>
      </c>
      <c r="AB177" s="62">
        <f>IF($V177="","",IF(AND(ISNUMBER($G177),$G177&lt;=IF($S177=MesCiclo,InicioCiclo,$S177+MOD(2-WEEKDAY($S177),7))+27),1,IF(ISNUMBER($L177),$L177,$AA177)))</f>
        <v/>
      </c>
      <c r="AC177" s="62">
        <f>IF($V177="","",IF(AND(ISNUMBER($G177),$G177&lt;=IF($S177=MesCiclo,InicioCiclo,$S177+MOD(2-WEEKDAY($S177),7))+6),1,IF(N($W177)&gt;0,AVERAGEIFS($Y$5:$Y$1000,$U$5:$U$1000,ROW(),$V$5:$V$1000,"Sub"),$Y177)))</f>
        <v/>
      </c>
      <c r="AD177" s="62">
        <f>IF($V177="","",IF(AND(ISNUMBER($G177),$G177&lt;=IF($S177=MesCiclo,InicioCiclo,$S177+MOD(2-WEEKDAY($S177),7))+13),1,IF(N($W177)&gt;0,AVERAGEIFS($Z$5:$Z$1000,$U$5:$U$1000,ROW(),$V$5:$V$1000,"Sub"),$Z177)))</f>
        <v/>
      </c>
      <c r="AE177" s="62">
        <f>IF($V177="","",IF(AND(ISNUMBER($G177),$G177&lt;=IF($S177=MesCiclo,InicioCiclo,$S177+MOD(2-WEEKDAY($S177),7))+20),1,IF(N($W177)&gt;0,AVERAGEIFS($AA$5:$AA$1000,$U$5:$U$1000,ROW(),$V$5:$V$1000,"Sub"),$AA177)))</f>
        <v/>
      </c>
      <c r="AF177" s="62">
        <f>IF($V177="","",IF(AND(ISNUMBER($G177),$G177&lt;=IF($S177=MesCiclo,InicioCiclo,$S177+MOD(2-WEEKDAY($S177),7))+27),1,IF(N($W177)&gt;0,AVERAGEIFS($AB$5:$AB$1000,$U$5:$U$1000,ROW(),$V$5:$V$1000,"Sub"),$AB177)))</f>
        <v/>
      </c>
      <c r="AG177" s="62">
        <f>IF($V177&lt;&gt;"Macro","",IF(COUNTIFS($S$5:$S$1000,$S177,$V$5:$V$1000,"Macro",$H$5:$H$1000,"&gt;0")=0,1/COUNTIFS($S$5:$S$1000,$S177,$V$5:$V$1000,"Macro"),IF(AND(ISNUMBER($H177),N($H177)&gt;0),$H177,SUMIFS($H$5:$H$1000,$S$5:$S$1000,$S177,$V$5:$V$1000,"Macro")/COUNTIFS($S$5:$S$1000,$S177,$V$5:$V$1000,"Macro",$H$5:$H$1000,"&gt;0"))/(COUNTIFS($S$5:$S$1000,$S177,$V$5:$V$1000,"Macro")*SUMIFS($H$5:$H$1000,$S$5:$S$1000,$S177,$V$5:$V$1000,"Macro")/COUNTIFS($S$5:$S$1000,$S177,$V$5:$V$1000,"Macro",$H$5:$H$1000,"&gt;0"))))</f>
        <v/>
      </c>
      <c r="AH177" s="62" t="n"/>
      <c r="AI177" s="62" t="n"/>
      <c r="AJ177" s="62" t="n"/>
      <c r="AK177" s="62" t="n"/>
      <c r="AL177" s="62">
        <f>IF(LEFT($C177,11)="[Jefatura] ",IFERROR(MATCH("Riesgo Operacional|"&amp;MID($C177,12,500),rDname_ADM,0),0),"")</f>
        <v/>
      </c>
      <c r="AM177" s="62">
        <f>IF(N($AL177)&gt;0,INDEX(rIni_ADM,$AL177),IF(ISNUMBER($E177),$E177,""))</f>
        <v/>
      </c>
      <c r="AN177" s="62">
        <f>IF(N($AL177)&gt;0,INDEX(rLim_ADM,$AL177),IF(ISNUMBER($F177),$F177,""))</f>
        <v/>
      </c>
    </row>
    <row r="178">
      <c r="A178" s="56">
        <f>IF(NOT((COUNTA($B178:$D178)+COUNTA($G178:$L178)+COUNTA($Q178))&gt;0),"",IF($V178="Macro",COUNTIFS($V$5:$V178,"Macro",$S$5:$S178,$S178),IF(N($U178)=0,"?",COUNTIFS(INDEX($V$5:$V$1000,1):INDEX($V$5:$V$1000,$U178-4),"Macro",INDEX($S$5:$S$1000,1):INDEX($S$5:$S$1000,$U178-4),INDEX($S$5:$S$1000,$U178-4))&amp;"."&amp;COUNTIFS($U$5:$U178,$U178,$V$5:$V178,"Sub"))))</f>
        <v/>
      </c>
      <c r="B178" s="57" t="n"/>
      <c r="C178" s="58" t="n"/>
      <c r="D178" s="58" t="n"/>
      <c r="E178" s="59">
        <f>IF(N($AL178)&gt;0,INDEX(rIni_ADM,$AL178),"")</f>
        <v/>
      </c>
      <c r="F178" s="59">
        <f>IF(N($AL178)&gt;0,INDEX(rLim_ADM,$AL178),"")</f>
        <v/>
      </c>
      <c r="G178" s="59" t="n"/>
      <c r="H178" s="60" t="n"/>
      <c r="I178" s="60" t="n"/>
      <c r="J178" s="60" t="n"/>
      <c r="K178" s="60" t="n"/>
      <c r="L178" s="60" t="n"/>
      <c r="M178" s="61">
        <f>IF(NOT((COUNTA($B178:$D178)+COUNTA($G178:$L178)+COUNTA($Q178))&gt;0),"",IF(ISNUMBER($G178),1,IF(N($W178)&gt;0,AVERAGEIFS($X$5:$X$1000,$U$5:$U$1000,ROW(),$V$5:$V$1000,"Sub"),$X178)))</f>
        <v/>
      </c>
      <c r="N178" s="56">
        <f>IF($M178="","",IF($M178&gt;=1,"Completado",IF($M178&gt;0,"En curso","Pendiente")))</f>
        <v/>
      </c>
      <c r="O178" s="56">
        <f>IF(NOT((COUNTA($B178:$D178)+COUNTA($G178:$L178)+COUNTA($Q178))&gt;0),"",IF(ISNUMBER($G178),IF(AND(ISNUMBER($AN178),$G178&gt;$AN178),"Cumplida con "&amp;($G178-$AN178)&amp;IF($G178-$AN178=1," día"," días")&amp;" de retraso","Cumplida"),IF(N($M178)&gt;=1,"Cumplida",IF(NOT(ISNUMBER($AN178)),"Sin fecha límite",IF($AN178&lt;FechaRef,"Vencida hace "&amp;(FechaRef-$AN178)&amp;IF(FechaRef-$AN178=1," día"," días"),IF($AN178=FechaRef,"Vence hoy",IF($AN178-FechaRef&lt;=DiasAlerta,"Vence en "&amp;($AN178-FechaRef)&amp;IF($AN178-FechaRef=1," día"," días"),"En plazo")))))))</f>
        <v/>
      </c>
      <c r="P178" s="62" t="n"/>
      <c r="Q178" s="58" t="n"/>
      <c r="R178" s="63">
        <f>IF(NOT((COUNTA($B178:$D178)+COUNTA($G178:$L178)+COUNTA($Q178))&gt;0),"",IF((IF($C178="","Falta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",""))="","✔ OK","⚠ "&amp;LEFT(IF($C178="","Falta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",""),LEN(IF($C178="","Falta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",""))-3)))</f>
        <v/>
      </c>
      <c r="S178" s="64">
        <f>IF(NOT((COUNTA($B178:$D178)+COUNTA($G178:$L178)+COUNTA($Q178))&gt;0),"",IF(AND($V178="Sub",N($U178)&gt;0),IF(ISNUMBER(INDEX($AM$5:$AM$1000,$U178-4)),DATE(YEAR(INDEX($AM$5:$AM$1000,$U178-4)),MONTH(INDEX($AM$5:$AM$1000,$U178-4)),1),IF(ISNUMBER(INDEX($AN$5:$AN$1000,$U178-4)),DATE(YEAR(INDEX($AN$5:$AN$1000,$U178-4)),MONTH(INDEX($AN$5:$AN$1000,$U178-4)),1),MesCiclo)),IF(ISNUMBER($AM178),DATE(YEAR($AM178),MONTH($AM178),1),IF(ISNUMBER($AN178),DATE(YEAR($AN178),MONTH($AN178),1),MesCiclo))))</f>
        <v/>
      </c>
      <c r="T178" s="62">
        <f>IF(OR($S178="",$S178&lt;&gt;MesCiclo),"",COUNTIF($S$5:$S178,MesCiclo))</f>
        <v/>
      </c>
      <c r="U178" s="62">
        <f>IF($V178="","",IF($V178="Macro",ROW(),IFERROR(LOOKUP(2,1/($V$5:$V178="Macro"),ROW($V$5:$V178)),0)))</f>
        <v/>
      </c>
      <c r="V178" s="62">
        <f>IF(NOT((COUNTA($B178:$D178)+COUNTA($G178:$L178)+COUNTA($Q178))&gt;0),"",IF($B178="Subactividad","Sub","Macro"))</f>
        <v/>
      </c>
      <c r="W178" s="62">
        <f>IF($V178="Macro",COUNTIFS($U$5:$U$1000,ROW(),$V$5:$V$1000,"Sub"),"")</f>
        <v/>
      </c>
      <c r="X178" s="62">
        <f>IF($V178="","",IF(ISNUMBER($G178),1,IFERROR(LOOKUP(2,1/($I178:$L178&lt;&gt;""),$I178:$L178),0)))</f>
        <v/>
      </c>
      <c r="Y178" s="62">
        <f>IF($V178="","",IF(AND(ISNUMBER($G178),$G178&lt;=IF($S178=MesCiclo,InicioCiclo,$S178+MOD(2-WEEKDAY($S178),7))+6),1,IF(ISNUMBER($I178),$I178,0)))</f>
        <v/>
      </c>
      <c r="Z178" s="62">
        <f>IF($V178="","",IF(AND(ISNUMBER($G178),$G178&lt;=IF($S178=MesCiclo,InicioCiclo,$S178+MOD(2-WEEKDAY($S178),7))+13),1,IF(ISNUMBER($J178),$J178,$Y178)))</f>
        <v/>
      </c>
      <c r="AA178" s="62">
        <f>IF($V178="","",IF(AND(ISNUMBER($G178),$G178&lt;=IF($S178=MesCiclo,InicioCiclo,$S178+MOD(2-WEEKDAY($S178),7))+20),1,IF(ISNUMBER($K178),$K178,$Z178)))</f>
        <v/>
      </c>
      <c r="AB178" s="62">
        <f>IF($V178="","",IF(AND(ISNUMBER($G178),$G178&lt;=IF($S178=MesCiclo,InicioCiclo,$S178+MOD(2-WEEKDAY($S178),7))+27),1,IF(ISNUMBER($L178),$L178,$AA178)))</f>
        <v/>
      </c>
      <c r="AC178" s="62">
        <f>IF($V178="","",IF(AND(ISNUMBER($G178),$G178&lt;=IF($S178=MesCiclo,InicioCiclo,$S178+MOD(2-WEEKDAY($S178),7))+6),1,IF(N($W178)&gt;0,AVERAGEIFS($Y$5:$Y$1000,$U$5:$U$1000,ROW(),$V$5:$V$1000,"Sub"),$Y178)))</f>
        <v/>
      </c>
      <c r="AD178" s="62">
        <f>IF($V178="","",IF(AND(ISNUMBER($G178),$G178&lt;=IF($S178=MesCiclo,InicioCiclo,$S178+MOD(2-WEEKDAY($S178),7))+13),1,IF(N($W178)&gt;0,AVERAGEIFS($Z$5:$Z$1000,$U$5:$U$1000,ROW(),$V$5:$V$1000,"Sub"),$Z178)))</f>
        <v/>
      </c>
      <c r="AE178" s="62">
        <f>IF($V178="","",IF(AND(ISNUMBER($G178),$G178&lt;=IF($S178=MesCiclo,InicioCiclo,$S178+MOD(2-WEEKDAY($S178),7))+20),1,IF(N($W178)&gt;0,AVERAGEIFS($AA$5:$AA$1000,$U$5:$U$1000,ROW(),$V$5:$V$1000,"Sub"),$AA178)))</f>
        <v/>
      </c>
      <c r="AF178" s="62">
        <f>IF($V178="","",IF(AND(ISNUMBER($G178),$G178&lt;=IF($S178=MesCiclo,InicioCiclo,$S178+MOD(2-WEEKDAY($S178),7))+27),1,IF(N($W178)&gt;0,AVERAGEIFS($AB$5:$AB$1000,$U$5:$U$1000,ROW(),$V$5:$V$1000,"Sub"),$AB178)))</f>
        <v/>
      </c>
      <c r="AG178" s="62">
        <f>IF($V178&lt;&gt;"Macro","",IF(COUNTIFS($S$5:$S$1000,$S178,$V$5:$V$1000,"Macro",$H$5:$H$1000,"&gt;0")=0,1/COUNTIFS($S$5:$S$1000,$S178,$V$5:$V$1000,"Macro"),IF(AND(ISNUMBER($H178),N($H178)&gt;0),$H178,SUMIFS($H$5:$H$1000,$S$5:$S$1000,$S178,$V$5:$V$1000,"Macro")/COUNTIFS($S$5:$S$1000,$S178,$V$5:$V$1000,"Macro",$H$5:$H$1000,"&gt;0"))/(COUNTIFS($S$5:$S$1000,$S178,$V$5:$V$1000,"Macro")*SUMIFS($H$5:$H$1000,$S$5:$S$1000,$S178,$V$5:$V$1000,"Macro")/COUNTIFS($S$5:$S$1000,$S178,$V$5:$V$1000,"Macro",$H$5:$H$1000,"&gt;0"))))</f>
        <v/>
      </c>
      <c r="AH178" s="62" t="n"/>
      <c r="AI178" s="62" t="n"/>
      <c r="AJ178" s="62" t="n"/>
      <c r="AK178" s="62" t="n"/>
      <c r="AL178" s="62">
        <f>IF(LEFT($C178,11)="[Jefatura] ",IFERROR(MATCH("Riesgo Operacional|"&amp;MID($C178,12,500),rDname_ADM,0),0),"")</f>
        <v/>
      </c>
      <c r="AM178" s="62">
        <f>IF(N($AL178)&gt;0,INDEX(rIni_ADM,$AL178),IF(ISNUMBER($E178),$E178,""))</f>
        <v/>
      </c>
      <c r="AN178" s="62">
        <f>IF(N($AL178)&gt;0,INDEX(rLim_ADM,$AL178),IF(ISNUMBER($F178),$F178,""))</f>
        <v/>
      </c>
    </row>
    <row r="179">
      <c r="A179" s="56">
        <f>IF(NOT((COUNTA($B179:$D179)+COUNTA($G179:$L179)+COUNTA($Q179))&gt;0),"",IF($V179="Macro",COUNTIFS($V$5:$V179,"Macro",$S$5:$S179,$S179),IF(N($U179)=0,"?",COUNTIFS(INDEX($V$5:$V$1000,1):INDEX($V$5:$V$1000,$U179-4),"Macro",INDEX($S$5:$S$1000,1):INDEX($S$5:$S$1000,$U179-4),INDEX($S$5:$S$1000,$U179-4))&amp;"."&amp;COUNTIFS($U$5:$U179,$U179,$V$5:$V179,"Sub"))))</f>
        <v/>
      </c>
      <c r="B179" s="57" t="n"/>
      <c r="C179" s="58" t="n"/>
      <c r="D179" s="58" t="n"/>
      <c r="E179" s="59">
        <f>IF(N($AL179)&gt;0,INDEX(rIni_ADM,$AL179),"")</f>
        <v/>
      </c>
      <c r="F179" s="59">
        <f>IF(N($AL179)&gt;0,INDEX(rLim_ADM,$AL179),"")</f>
        <v/>
      </c>
      <c r="G179" s="59" t="n"/>
      <c r="H179" s="60" t="n"/>
      <c r="I179" s="60" t="n"/>
      <c r="J179" s="60" t="n"/>
      <c r="K179" s="60" t="n"/>
      <c r="L179" s="60" t="n"/>
      <c r="M179" s="61">
        <f>IF(NOT((COUNTA($B179:$D179)+COUNTA($G179:$L179)+COUNTA($Q179))&gt;0),"",IF(ISNUMBER($G179),1,IF(N($W179)&gt;0,AVERAGEIFS($X$5:$X$1000,$U$5:$U$1000,ROW(),$V$5:$V$1000,"Sub"),$X179)))</f>
        <v/>
      </c>
      <c r="N179" s="56">
        <f>IF($M179="","",IF($M179&gt;=1,"Completado",IF($M179&gt;0,"En curso","Pendiente")))</f>
        <v/>
      </c>
      <c r="O179" s="56">
        <f>IF(NOT((COUNTA($B179:$D179)+COUNTA($G179:$L179)+COUNTA($Q179))&gt;0),"",IF(ISNUMBER($G179),IF(AND(ISNUMBER($AN179),$G179&gt;$AN179),"Cumplida con "&amp;($G179-$AN179)&amp;IF($G179-$AN179=1," día"," días")&amp;" de retraso","Cumplida"),IF(N($M179)&gt;=1,"Cumplida",IF(NOT(ISNUMBER($AN179)),"Sin fecha límite",IF($AN179&lt;FechaRef,"Vencida hace "&amp;(FechaRef-$AN179)&amp;IF(FechaRef-$AN179=1," día"," días"),IF($AN179=FechaRef,"Vence hoy",IF($AN179-FechaRef&lt;=DiasAlerta,"Vence en "&amp;($AN179-FechaRef)&amp;IF($AN179-FechaRef=1," día"," días"),"En plazo")))))))</f>
        <v/>
      </c>
      <c r="P179" s="62" t="n"/>
      <c r="Q179" s="58" t="n"/>
      <c r="R179" s="63">
        <f>IF(NOT((COUNTA($B179:$D179)+COUNTA($G179:$L179)+COUNTA($Q179))&gt;0),"",IF((IF($C179="","Falta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",""))="","✔ OK","⚠ "&amp;LEFT(IF($C179="","Falta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",""),LEN(IF($C179="","Falta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",""))-3)))</f>
        <v/>
      </c>
      <c r="S179" s="64">
        <f>IF(NOT((COUNTA($B179:$D179)+COUNTA($G179:$L179)+COUNTA($Q179))&gt;0),"",IF(AND($V179="Sub",N($U179)&gt;0),IF(ISNUMBER(INDEX($AM$5:$AM$1000,$U179-4)),DATE(YEAR(INDEX($AM$5:$AM$1000,$U179-4)),MONTH(INDEX($AM$5:$AM$1000,$U179-4)),1),IF(ISNUMBER(INDEX($AN$5:$AN$1000,$U179-4)),DATE(YEAR(INDEX($AN$5:$AN$1000,$U179-4)),MONTH(INDEX($AN$5:$AN$1000,$U179-4)),1),MesCiclo)),IF(ISNUMBER($AM179),DATE(YEAR($AM179),MONTH($AM179),1),IF(ISNUMBER($AN179),DATE(YEAR($AN179),MONTH($AN179),1),MesCiclo))))</f>
        <v/>
      </c>
      <c r="T179" s="62">
        <f>IF(OR($S179="",$S179&lt;&gt;MesCiclo),"",COUNTIF($S$5:$S179,MesCiclo))</f>
        <v/>
      </c>
      <c r="U179" s="62">
        <f>IF($V179="","",IF($V179="Macro",ROW(),IFERROR(LOOKUP(2,1/($V$5:$V179="Macro"),ROW($V$5:$V179)),0)))</f>
        <v/>
      </c>
      <c r="V179" s="62">
        <f>IF(NOT((COUNTA($B179:$D179)+COUNTA($G179:$L179)+COUNTA($Q179))&gt;0),"",IF($B179="Subactividad","Sub","Macro"))</f>
        <v/>
      </c>
      <c r="W179" s="62">
        <f>IF($V179="Macro",COUNTIFS($U$5:$U$1000,ROW(),$V$5:$V$1000,"Sub"),"")</f>
        <v/>
      </c>
      <c r="X179" s="62">
        <f>IF($V179="","",IF(ISNUMBER($G179),1,IFERROR(LOOKUP(2,1/($I179:$L179&lt;&gt;""),$I179:$L179),0)))</f>
        <v/>
      </c>
      <c r="Y179" s="62">
        <f>IF($V179="","",IF(AND(ISNUMBER($G179),$G179&lt;=IF($S179=MesCiclo,InicioCiclo,$S179+MOD(2-WEEKDAY($S179),7))+6),1,IF(ISNUMBER($I179),$I179,0)))</f>
        <v/>
      </c>
      <c r="Z179" s="62">
        <f>IF($V179="","",IF(AND(ISNUMBER($G179),$G179&lt;=IF($S179=MesCiclo,InicioCiclo,$S179+MOD(2-WEEKDAY($S179),7))+13),1,IF(ISNUMBER($J179),$J179,$Y179)))</f>
        <v/>
      </c>
      <c r="AA179" s="62">
        <f>IF($V179="","",IF(AND(ISNUMBER($G179),$G179&lt;=IF($S179=MesCiclo,InicioCiclo,$S179+MOD(2-WEEKDAY($S179),7))+20),1,IF(ISNUMBER($K179),$K179,$Z179)))</f>
        <v/>
      </c>
      <c r="AB179" s="62">
        <f>IF($V179="","",IF(AND(ISNUMBER($G179),$G179&lt;=IF($S179=MesCiclo,InicioCiclo,$S179+MOD(2-WEEKDAY($S179),7))+27),1,IF(ISNUMBER($L179),$L179,$AA179)))</f>
        <v/>
      </c>
      <c r="AC179" s="62">
        <f>IF($V179="","",IF(AND(ISNUMBER($G179),$G179&lt;=IF($S179=MesCiclo,InicioCiclo,$S179+MOD(2-WEEKDAY($S179),7))+6),1,IF(N($W179)&gt;0,AVERAGEIFS($Y$5:$Y$1000,$U$5:$U$1000,ROW(),$V$5:$V$1000,"Sub"),$Y179)))</f>
        <v/>
      </c>
      <c r="AD179" s="62">
        <f>IF($V179="","",IF(AND(ISNUMBER($G179),$G179&lt;=IF($S179=MesCiclo,InicioCiclo,$S179+MOD(2-WEEKDAY($S179),7))+13),1,IF(N($W179)&gt;0,AVERAGEIFS($Z$5:$Z$1000,$U$5:$U$1000,ROW(),$V$5:$V$1000,"Sub"),$Z179)))</f>
        <v/>
      </c>
      <c r="AE179" s="62">
        <f>IF($V179="","",IF(AND(ISNUMBER($G179),$G179&lt;=IF($S179=MesCiclo,InicioCiclo,$S179+MOD(2-WEEKDAY($S179),7))+20),1,IF(N($W179)&gt;0,AVERAGEIFS($AA$5:$AA$1000,$U$5:$U$1000,ROW(),$V$5:$V$1000,"Sub"),$AA179)))</f>
        <v/>
      </c>
      <c r="AF179" s="62">
        <f>IF($V179="","",IF(AND(ISNUMBER($G179),$G179&lt;=IF($S179=MesCiclo,InicioCiclo,$S179+MOD(2-WEEKDAY($S179),7))+27),1,IF(N($W179)&gt;0,AVERAGEIFS($AB$5:$AB$1000,$U$5:$U$1000,ROW(),$V$5:$V$1000,"Sub"),$AB179)))</f>
        <v/>
      </c>
      <c r="AG179" s="62">
        <f>IF($V179&lt;&gt;"Macro","",IF(COUNTIFS($S$5:$S$1000,$S179,$V$5:$V$1000,"Macro",$H$5:$H$1000,"&gt;0")=0,1/COUNTIFS($S$5:$S$1000,$S179,$V$5:$V$1000,"Macro"),IF(AND(ISNUMBER($H179),N($H179)&gt;0),$H179,SUMIFS($H$5:$H$1000,$S$5:$S$1000,$S179,$V$5:$V$1000,"Macro")/COUNTIFS($S$5:$S$1000,$S179,$V$5:$V$1000,"Macro",$H$5:$H$1000,"&gt;0"))/(COUNTIFS($S$5:$S$1000,$S179,$V$5:$V$1000,"Macro")*SUMIFS($H$5:$H$1000,$S$5:$S$1000,$S179,$V$5:$V$1000,"Macro")/COUNTIFS($S$5:$S$1000,$S179,$V$5:$V$1000,"Macro",$H$5:$H$1000,"&gt;0"))))</f>
        <v/>
      </c>
      <c r="AH179" s="62" t="n"/>
      <c r="AI179" s="62" t="n"/>
      <c r="AJ179" s="62" t="n"/>
      <c r="AK179" s="62" t="n"/>
      <c r="AL179" s="62">
        <f>IF(LEFT($C179,11)="[Jefatura] ",IFERROR(MATCH("Riesgo Operacional|"&amp;MID($C179,12,500),rDname_ADM,0),0),"")</f>
        <v/>
      </c>
      <c r="AM179" s="62">
        <f>IF(N($AL179)&gt;0,INDEX(rIni_ADM,$AL179),IF(ISNUMBER($E179),$E179,""))</f>
        <v/>
      </c>
      <c r="AN179" s="62">
        <f>IF(N($AL179)&gt;0,INDEX(rLim_ADM,$AL179),IF(ISNUMBER($F179),$F179,""))</f>
        <v/>
      </c>
    </row>
    <row r="180">
      <c r="A180" s="56">
        <f>IF(NOT((COUNTA($B180:$D180)+COUNTA($G180:$L180)+COUNTA($Q180))&gt;0),"",IF($V180="Macro",COUNTIFS($V$5:$V180,"Macro",$S$5:$S180,$S180),IF(N($U180)=0,"?",COUNTIFS(INDEX($V$5:$V$1000,1):INDEX($V$5:$V$1000,$U180-4),"Macro",INDEX($S$5:$S$1000,1):INDEX($S$5:$S$1000,$U180-4),INDEX($S$5:$S$1000,$U180-4))&amp;"."&amp;COUNTIFS($U$5:$U180,$U180,$V$5:$V180,"Sub"))))</f>
        <v/>
      </c>
      <c r="B180" s="57" t="n"/>
      <c r="C180" s="58" t="n"/>
      <c r="D180" s="58" t="n"/>
      <c r="E180" s="59">
        <f>IF(N($AL180)&gt;0,INDEX(rIni_ADM,$AL180),"")</f>
        <v/>
      </c>
      <c r="F180" s="59">
        <f>IF(N($AL180)&gt;0,INDEX(rLim_ADM,$AL180),"")</f>
        <v/>
      </c>
      <c r="G180" s="59" t="n"/>
      <c r="H180" s="60" t="n"/>
      <c r="I180" s="60" t="n"/>
      <c r="J180" s="60" t="n"/>
      <c r="K180" s="60" t="n"/>
      <c r="L180" s="60" t="n"/>
      <c r="M180" s="61">
        <f>IF(NOT((COUNTA($B180:$D180)+COUNTA($G180:$L180)+COUNTA($Q180))&gt;0),"",IF(ISNUMBER($G180),1,IF(N($W180)&gt;0,AVERAGEIFS($X$5:$X$1000,$U$5:$U$1000,ROW(),$V$5:$V$1000,"Sub"),$X180)))</f>
        <v/>
      </c>
      <c r="N180" s="56">
        <f>IF($M180="","",IF($M180&gt;=1,"Completado",IF($M180&gt;0,"En curso","Pendiente")))</f>
        <v/>
      </c>
      <c r="O180" s="56">
        <f>IF(NOT((COUNTA($B180:$D180)+COUNTA($G180:$L180)+COUNTA($Q180))&gt;0),"",IF(ISNUMBER($G180),IF(AND(ISNUMBER($AN180),$G180&gt;$AN180),"Cumplida con "&amp;($G180-$AN180)&amp;IF($G180-$AN180=1," día"," días")&amp;" de retraso","Cumplida"),IF(N($M180)&gt;=1,"Cumplida",IF(NOT(ISNUMBER($AN180)),"Sin fecha límite",IF($AN180&lt;FechaRef,"Vencida hace "&amp;(FechaRef-$AN180)&amp;IF(FechaRef-$AN180=1," día"," días"),IF($AN180=FechaRef,"Vence hoy",IF($AN180-FechaRef&lt;=DiasAlerta,"Vence en "&amp;($AN180-FechaRef)&amp;IF($AN180-FechaRef=1," día"," días"),"En plazo")))))))</f>
        <v/>
      </c>
      <c r="P180" s="62" t="n"/>
      <c r="Q180" s="58" t="n"/>
      <c r="R180" s="63">
        <f>IF(NOT((COUNTA($B180:$D180)+COUNTA($G180:$L180)+COUNTA($Q180))&gt;0),"",IF((IF($C180="","Falta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",""))="","✔ OK","⚠ "&amp;LEFT(IF($C180="","Falta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",""),LEN(IF($C180="","Falta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",""))-3)))</f>
        <v/>
      </c>
      <c r="S180" s="64">
        <f>IF(NOT((COUNTA($B180:$D180)+COUNTA($G180:$L180)+COUNTA($Q180))&gt;0),"",IF(AND($V180="Sub",N($U180)&gt;0),IF(ISNUMBER(INDEX($AM$5:$AM$1000,$U180-4)),DATE(YEAR(INDEX($AM$5:$AM$1000,$U180-4)),MONTH(INDEX($AM$5:$AM$1000,$U180-4)),1),IF(ISNUMBER(INDEX($AN$5:$AN$1000,$U180-4)),DATE(YEAR(INDEX($AN$5:$AN$1000,$U180-4)),MONTH(INDEX($AN$5:$AN$1000,$U180-4)),1),MesCiclo)),IF(ISNUMBER($AM180),DATE(YEAR($AM180),MONTH($AM180),1),IF(ISNUMBER($AN180),DATE(YEAR($AN180),MONTH($AN180),1),MesCiclo))))</f>
        <v/>
      </c>
      <c r="T180" s="62">
        <f>IF(OR($S180="",$S180&lt;&gt;MesCiclo),"",COUNTIF($S$5:$S180,MesCiclo))</f>
        <v/>
      </c>
      <c r="U180" s="62">
        <f>IF($V180="","",IF($V180="Macro",ROW(),IFERROR(LOOKUP(2,1/($V$5:$V180="Macro"),ROW($V$5:$V180)),0)))</f>
        <v/>
      </c>
      <c r="V180" s="62">
        <f>IF(NOT((COUNTA($B180:$D180)+COUNTA($G180:$L180)+COUNTA($Q180))&gt;0),"",IF($B180="Subactividad","Sub","Macro"))</f>
        <v/>
      </c>
      <c r="W180" s="62">
        <f>IF($V180="Macro",COUNTIFS($U$5:$U$1000,ROW(),$V$5:$V$1000,"Sub"),"")</f>
        <v/>
      </c>
      <c r="X180" s="62">
        <f>IF($V180="","",IF(ISNUMBER($G180),1,IFERROR(LOOKUP(2,1/($I180:$L180&lt;&gt;""),$I180:$L180),0)))</f>
        <v/>
      </c>
      <c r="Y180" s="62">
        <f>IF($V180="","",IF(AND(ISNUMBER($G180),$G180&lt;=IF($S180=MesCiclo,InicioCiclo,$S180+MOD(2-WEEKDAY($S180),7))+6),1,IF(ISNUMBER($I180),$I180,0)))</f>
        <v/>
      </c>
      <c r="Z180" s="62">
        <f>IF($V180="","",IF(AND(ISNUMBER($G180),$G180&lt;=IF($S180=MesCiclo,InicioCiclo,$S180+MOD(2-WEEKDAY($S180),7))+13),1,IF(ISNUMBER($J180),$J180,$Y180)))</f>
        <v/>
      </c>
      <c r="AA180" s="62">
        <f>IF($V180="","",IF(AND(ISNUMBER($G180),$G180&lt;=IF($S180=MesCiclo,InicioCiclo,$S180+MOD(2-WEEKDAY($S180),7))+20),1,IF(ISNUMBER($K180),$K180,$Z180)))</f>
        <v/>
      </c>
      <c r="AB180" s="62">
        <f>IF($V180="","",IF(AND(ISNUMBER($G180),$G180&lt;=IF($S180=MesCiclo,InicioCiclo,$S180+MOD(2-WEEKDAY($S180),7))+27),1,IF(ISNUMBER($L180),$L180,$AA180)))</f>
        <v/>
      </c>
      <c r="AC180" s="62">
        <f>IF($V180="","",IF(AND(ISNUMBER($G180),$G180&lt;=IF($S180=MesCiclo,InicioCiclo,$S180+MOD(2-WEEKDAY($S180),7))+6),1,IF(N($W180)&gt;0,AVERAGEIFS($Y$5:$Y$1000,$U$5:$U$1000,ROW(),$V$5:$V$1000,"Sub"),$Y180)))</f>
        <v/>
      </c>
      <c r="AD180" s="62">
        <f>IF($V180="","",IF(AND(ISNUMBER($G180),$G180&lt;=IF($S180=MesCiclo,InicioCiclo,$S180+MOD(2-WEEKDAY($S180),7))+13),1,IF(N($W180)&gt;0,AVERAGEIFS($Z$5:$Z$1000,$U$5:$U$1000,ROW(),$V$5:$V$1000,"Sub"),$Z180)))</f>
        <v/>
      </c>
      <c r="AE180" s="62">
        <f>IF($V180="","",IF(AND(ISNUMBER($G180),$G180&lt;=IF($S180=MesCiclo,InicioCiclo,$S180+MOD(2-WEEKDAY($S180),7))+20),1,IF(N($W180)&gt;0,AVERAGEIFS($AA$5:$AA$1000,$U$5:$U$1000,ROW(),$V$5:$V$1000,"Sub"),$AA180)))</f>
        <v/>
      </c>
      <c r="AF180" s="62">
        <f>IF($V180="","",IF(AND(ISNUMBER($G180),$G180&lt;=IF($S180=MesCiclo,InicioCiclo,$S180+MOD(2-WEEKDAY($S180),7))+27),1,IF(N($W180)&gt;0,AVERAGEIFS($AB$5:$AB$1000,$U$5:$U$1000,ROW(),$V$5:$V$1000,"Sub"),$AB180)))</f>
        <v/>
      </c>
      <c r="AG180" s="62">
        <f>IF($V180&lt;&gt;"Macro","",IF(COUNTIFS($S$5:$S$1000,$S180,$V$5:$V$1000,"Macro",$H$5:$H$1000,"&gt;0")=0,1/COUNTIFS($S$5:$S$1000,$S180,$V$5:$V$1000,"Macro"),IF(AND(ISNUMBER($H180),N($H180)&gt;0),$H180,SUMIFS($H$5:$H$1000,$S$5:$S$1000,$S180,$V$5:$V$1000,"Macro")/COUNTIFS($S$5:$S$1000,$S180,$V$5:$V$1000,"Macro",$H$5:$H$1000,"&gt;0"))/(COUNTIFS($S$5:$S$1000,$S180,$V$5:$V$1000,"Macro")*SUMIFS($H$5:$H$1000,$S$5:$S$1000,$S180,$V$5:$V$1000,"Macro")/COUNTIFS($S$5:$S$1000,$S180,$V$5:$V$1000,"Macro",$H$5:$H$1000,"&gt;0"))))</f>
        <v/>
      </c>
      <c r="AH180" s="62" t="n"/>
      <c r="AI180" s="62" t="n"/>
      <c r="AJ180" s="62" t="n"/>
      <c r="AK180" s="62" t="n"/>
      <c r="AL180" s="62">
        <f>IF(LEFT($C180,11)="[Jefatura] ",IFERROR(MATCH("Riesgo Operacional|"&amp;MID($C180,12,500),rDname_ADM,0),0),"")</f>
        <v/>
      </c>
      <c r="AM180" s="62">
        <f>IF(N($AL180)&gt;0,INDEX(rIni_ADM,$AL180),IF(ISNUMBER($E180),$E180,""))</f>
        <v/>
      </c>
      <c r="AN180" s="62">
        <f>IF(N($AL180)&gt;0,INDEX(rLim_ADM,$AL180),IF(ISNUMBER($F180),$F180,""))</f>
        <v/>
      </c>
    </row>
    <row r="181">
      <c r="A181" s="56">
        <f>IF(NOT((COUNTA($B181:$D181)+COUNTA($G181:$L181)+COUNTA($Q181))&gt;0),"",IF($V181="Macro",COUNTIFS($V$5:$V181,"Macro",$S$5:$S181,$S181),IF(N($U181)=0,"?",COUNTIFS(INDEX($V$5:$V$1000,1):INDEX($V$5:$V$1000,$U181-4),"Macro",INDEX($S$5:$S$1000,1):INDEX($S$5:$S$1000,$U181-4),INDEX($S$5:$S$1000,$U181-4))&amp;"."&amp;COUNTIFS($U$5:$U181,$U181,$V$5:$V181,"Sub"))))</f>
        <v/>
      </c>
      <c r="B181" s="57" t="n"/>
      <c r="C181" s="58" t="n"/>
      <c r="D181" s="58" t="n"/>
      <c r="E181" s="59">
        <f>IF(N($AL181)&gt;0,INDEX(rIni_ADM,$AL181),"")</f>
        <v/>
      </c>
      <c r="F181" s="59">
        <f>IF(N($AL181)&gt;0,INDEX(rLim_ADM,$AL181),"")</f>
        <v/>
      </c>
      <c r="G181" s="59" t="n"/>
      <c r="H181" s="60" t="n"/>
      <c r="I181" s="60" t="n"/>
      <c r="J181" s="60" t="n"/>
      <c r="K181" s="60" t="n"/>
      <c r="L181" s="60" t="n"/>
      <c r="M181" s="61">
        <f>IF(NOT((COUNTA($B181:$D181)+COUNTA($G181:$L181)+COUNTA($Q181))&gt;0),"",IF(ISNUMBER($G181),1,IF(N($W181)&gt;0,AVERAGEIFS($X$5:$X$1000,$U$5:$U$1000,ROW(),$V$5:$V$1000,"Sub"),$X181)))</f>
        <v/>
      </c>
      <c r="N181" s="56">
        <f>IF($M181="","",IF($M181&gt;=1,"Completado",IF($M181&gt;0,"En curso","Pendiente")))</f>
        <v/>
      </c>
      <c r="O181" s="56">
        <f>IF(NOT((COUNTA($B181:$D181)+COUNTA($G181:$L181)+COUNTA($Q181))&gt;0),"",IF(ISNUMBER($G181),IF(AND(ISNUMBER($AN181),$G181&gt;$AN181),"Cumplida con "&amp;($G181-$AN181)&amp;IF($G181-$AN181=1," día"," días")&amp;" de retraso","Cumplida"),IF(N($M181)&gt;=1,"Cumplida",IF(NOT(ISNUMBER($AN181)),"Sin fecha límite",IF($AN181&lt;FechaRef,"Vencida hace "&amp;(FechaRef-$AN181)&amp;IF(FechaRef-$AN181=1," día"," días"),IF($AN181=FechaRef,"Vence hoy",IF($AN181-FechaRef&lt;=DiasAlerta,"Vence en "&amp;($AN181-FechaRef)&amp;IF($AN181-FechaRef=1," día"," días"),"En plazo")))))))</f>
        <v/>
      </c>
      <c r="P181" s="62" t="n"/>
      <c r="Q181" s="58" t="n"/>
      <c r="R181" s="63">
        <f>IF(NOT((COUNTA($B181:$D181)+COUNTA($G181:$L181)+COUNTA($Q181))&gt;0),"",IF((IF($C181="","Falta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",""))="","✔ OK","⚠ "&amp;LEFT(IF($C181="","Falta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",""),LEN(IF($C181="","Falta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",""))-3)))</f>
        <v/>
      </c>
      <c r="S181" s="64">
        <f>IF(NOT((COUNTA($B181:$D181)+COUNTA($G181:$L181)+COUNTA($Q181))&gt;0),"",IF(AND($V181="Sub",N($U181)&gt;0),IF(ISNUMBER(INDEX($AM$5:$AM$1000,$U181-4)),DATE(YEAR(INDEX($AM$5:$AM$1000,$U181-4)),MONTH(INDEX($AM$5:$AM$1000,$U181-4)),1),IF(ISNUMBER(INDEX($AN$5:$AN$1000,$U181-4)),DATE(YEAR(INDEX($AN$5:$AN$1000,$U181-4)),MONTH(INDEX($AN$5:$AN$1000,$U181-4)),1),MesCiclo)),IF(ISNUMBER($AM181),DATE(YEAR($AM181),MONTH($AM181),1),IF(ISNUMBER($AN181),DATE(YEAR($AN181),MONTH($AN181),1),MesCiclo))))</f>
        <v/>
      </c>
      <c r="T181" s="62">
        <f>IF(OR($S181="",$S181&lt;&gt;MesCiclo),"",COUNTIF($S$5:$S181,MesCiclo))</f>
        <v/>
      </c>
      <c r="U181" s="62">
        <f>IF($V181="","",IF($V181="Macro",ROW(),IFERROR(LOOKUP(2,1/($V$5:$V181="Macro"),ROW($V$5:$V181)),0)))</f>
        <v/>
      </c>
      <c r="V181" s="62">
        <f>IF(NOT((COUNTA($B181:$D181)+COUNTA($G181:$L181)+COUNTA($Q181))&gt;0),"",IF($B181="Subactividad","Sub","Macro"))</f>
        <v/>
      </c>
      <c r="W181" s="62">
        <f>IF($V181="Macro",COUNTIFS($U$5:$U$1000,ROW(),$V$5:$V$1000,"Sub"),"")</f>
        <v/>
      </c>
      <c r="X181" s="62">
        <f>IF($V181="","",IF(ISNUMBER($G181),1,IFERROR(LOOKUP(2,1/($I181:$L181&lt;&gt;""),$I181:$L181),0)))</f>
        <v/>
      </c>
      <c r="Y181" s="62">
        <f>IF($V181="","",IF(AND(ISNUMBER($G181),$G181&lt;=IF($S181=MesCiclo,InicioCiclo,$S181+MOD(2-WEEKDAY($S181),7))+6),1,IF(ISNUMBER($I181),$I181,0)))</f>
        <v/>
      </c>
      <c r="Z181" s="62">
        <f>IF($V181="","",IF(AND(ISNUMBER($G181),$G181&lt;=IF($S181=MesCiclo,InicioCiclo,$S181+MOD(2-WEEKDAY($S181),7))+13),1,IF(ISNUMBER($J181),$J181,$Y181)))</f>
        <v/>
      </c>
      <c r="AA181" s="62">
        <f>IF($V181="","",IF(AND(ISNUMBER($G181),$G181&lt;=IF($S181=MesCiclo,InicioCiclo,$S181+MOD(2-WEEKDAY($S181),7))+20),1,IF(ISNUMBER($K181),$K181,$Z181)))</f>
        <v/>
      </c>
      <c r="AB181" s="62">
        <f>IF($V181="","",IF(AND(ISNUMBER($G181),$G181&lt;=IF($S181=MesCiclo,InicioCiclo,$S181+MOD(2-WEEKDAY($S181),7))+27),1,IF(ISNUMBER($L181),$L181,$AA181)))</f>
        <v/>
      </c>
      <c r="AC181" s="62">
        <f>IF($V181="","",IF(AND(ISNUMBER($G181),$G181&lt;=IF($S181=MesCiclo,InicioCiclo,$S181+MOD(2-WEEKDAY($S181),7))+6),1,IF(N($W181)&gt;0,AVERAGEIFS($Y$5:$Y$1000,$U$5:$U$1000,ROW(),$V$5:$V$1000,"Sub"),$Y181)))</f>
        <v/>
      </c>
      <c r="AD181" s="62">
        <f>IF($V181="","",IF(AND(ISNUMBER($G181),$G181&lt;=IF($S181=MesCiclo,InicioCiclo,$S181+MOD(2-WEEKDAY($S181),7))+13),1,IF(N($W181)&gt;0,AVERAGEIFS($Z$5:$Z$1000,$U$5:$U$1000,ROW(),$V$5:$V$1000,"Sub"),$Z181)))</f>
        <v/>
      </c>
      <c r="AE181" s="62">
        <f>IF($V181="","",IF(AND(ISNUMBER($G181),$G181&lt;=IF($S181=MesCiclo,InicioCiclo,$S181+MOD(2-WEEKDAY($S181),7))+20),1,IF(N($W181)&gt;0,AVERAGEIFS($AA$5:$AA$1000,$U$5:$U$1000,ROW(),$V$5:$V$1000,"Sub"),$AA181)))</f>
        <v/>
      </c>
      <c r="AF181" s="62">
        <f>IF($V181="","",IF(AND(ISNUMBER($G181),$G181&lt;=IF($S181=MesCiclo,InicioCiclo,$S181+MOD(2-WEEKDAY($S181),7))+27),1,IF(N($W181)&gt;0,AVERAGEIFS($AB$5:$AB$1000,$U$5:$U$1000,ROW(),$V$5:$V$1000,"Sub"),$AB181)))</f>
        <v/>
      </c>
      <c r="AG181" s="62">
        <f>IF($V181&lt;&gt;"Macro","",IF(COUNTIFS($S$5:$S$1000,$S181,$V$5:$V$1000,"Macro",$H$5:$H$1000,"&gt;0")=0,1/COUNTIFS($S$5:$S$1000,$S181,$V$5:$V$1000,"Macro"),IF(AND(ISNUMBER($H181),N($H181)&gt;0),$H181,SUMIFS($H$5:$H$1000,$S$5:$S$1000,$S181,$V$5:$V$1000,"Macro")/COUNTIFS($S$5:$S$1000,$S181,$V$5:$V$1000,"Macro",$H$5:$H$1000,"&gt;0"))/(COUNTIFS($S$5:$S$1000,$S181,$V$5:$V$1000,"Macro")*SUMIFS($H$5:$H$1000,$S$5:$S$1000,$S181,$V$5:$V$1000,"Macro")/COUNTIFS($S$5:$S$1000,$S181,$V$5:$V$1000,"Macro",$H$5:$H$1000,"&gt;0"))))</f>
        <v/>
      </c>
      <c r="AH181" s="62" t="n"/>
      <c r="AI181" s="62" t="n"/>
      <c r="AJ181" s="62" t="n"/>
      <c r="AK181" s="62" t="n"/>
      <c r="AL181" s="62">
        <f>IF(LEFT($C181,11)="[Jefatura] ",IFERROR(MATCH("Riesgo Operacional|"&amp;MID($C181,12,500),rDname_ADM,0),0),"")</f>
        <v/>
      </c>
      <c r="AM181" s="62">
        <f>IF(N($AL181)&gt;0,INDEX(rIni_ADM,$AL181),IF(ISNUMBER($E181),$E181,""))</f>
        <v/>
      </c>
      <c r="AN181" s="62">
        <f>IF(N($AL181)&gt;0,INDEX(rLim_ADM,$AL181),IF(ISNUMBER($F181),$F181,""))</f>
        <v/>
      </c>
    </row>
    <row r="182">
      <c r="A182" s="56">
        <f>IF(NOT((COUNTA($B182:$D182)+COUNTA($G182:$L182)+COUNTA($Q182))&gt;0),"",IF($V182="Macro",COUNTIFS($V$5:$V182,"Macro",$S$5:$S182,$S182),IF(N($U182)=0,"?",COUNTIFS(INDEX($V$5:$V$1000,1):INDEX($V$5:$V$1000,$U182-4),"Macro",INDEX($S$5:$S$1000,1):INDEX($S$5:$S$1000,$U182-4),INDEX($S$5:$S$1000,$U182-4))&amp;"."&amp;COUNTIFS($U$5:$U182,$U182,$V$5:$V182,"Sub"))))</f>
        <v/>
      </c>
      <c r="B182" s="57" t="n"/>
      <c r="C182" s="58" t="n"/>
      <c r="D182" s="58" t="n"/>
      <c r="E182" s="59">
        <f>IF(N($AL182)&gt;0,INDEX(rIni_ADM,$AL182),"")</f>
        <v/>
      </c>
      <c r="F182" s="59">
        <f>IF(N($AL182)&gt;0,INDEX(rLim_ADM,$AL182),"")</f>
        <v/>
      </c>
      <c r="G182" s="59" t="n"/>
      <c r="H182" s="60" t="n"/>
      <c r="I182" s="60" t="n"/>
      <c r="J182" s="60" t="n"/>
      <c r="K182" s="60" t="n"/>
      <c r="L182" s="60" t="n"/>
      <c r="M182" s="61">
        <f>IF(NOT((COUNTA($B182:$D182)+COUNTA($G182:$L182)+COUNTA($Q182))&gt;0),"",IF(ISNUMBER($G182),1,IF(N($W182)&gt;0,AVERAGEIFS($X$5:$X$1000,$U$5:$U$1000,ROW(),$V$5:$V$1000,"Sub"),$X182)))</f>
        <v/>
      </c>
      <c r="N182" s="56">
        <f>IF($M182="","",IF($M182&gt;=1,"Completado",IF($M182&gt;0,"En curso","Pendiente")))</f>
        <v/>
      </c>
      <c r="O182" s="56">
        <f>IF(NOT((COUNTA($B182:$D182)+COUNTA($G182:$L182)+COUNTA($Q182))&gt;0),"",IF(ISNUMBER($G182),IF(AND(ISNUMBER($AN182),$G182&gt;$AN182),"Cumplida con "&amp;($G182-$AN182)&amp;IF($G182-$AN182=1," día"," días")&amp;" de retraso","Cumplida"),IF(N($M182)&gt;=1,"Cumplida",IF(NOT(ISNUMBER($AN182)),"Sin fecha límite",IF($AN182&lt;FechaRef,"Vencida hace "&amp;(FechaRef-$AN182)&amp;IF(FechaRef-$AN182=1," día"," días"),IF($AN182=FechaRef,"Vence hoy",IF($AN182-FechaRef&lt;=DiasAlerta,"Vence en "&amp;($AN182-FechaRef)&amp;IF($AN182-FechaRef=1," día"," días"),"En plazo")))))))</f>
        <v/>
      </c>
      <c r="P182" s="62" t="n"/>
      <c r="Q182" s="58" t="n"/>
      <c r="R182" s="63">
        <f>IF(NOT((COUNTA($B182:$D182)+COUNTA($G182:$L182)+COUNTA($Q182))&gt;0),"",IF((IF($C182="","Falta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",""))="","✔ OK","⚠ "&amp;LEFT(IF($C182="","Falta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",""),LEN(IF($C182="","Falta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",""))-3)))</f>
        <v/>
      </c>
      <c r="S182" s="64">
        <f>IF(NOT((COUNTA($B182:$D182)+COUNTA($G182:$L182)+COUNTA($Q182))&gt;0),"",IF(AND($V182="Sub",N($U182)&gt;0),IF(ISNUMBER(INDEX($AM$5:$AM$1000,$U182-4)),DATE(YEAR(INDEX($AM$5:$AM$1000,$U182-4)),MONTH(INDEX($AM$5:$AM$1000,$U182-4)),1),IF(ISNUMBER(INDEX($AN$5:$AN$1000,$U182-4)),DATE(YEAR(INDEX($AN$5:$AN$1000,$U182-4)),MONTH(INDEX($AN$5:$AN$1000,$U182-4)),1),MesCiclo)),IF(ISNUMBER($AM182),DATE(YEAR($AM182),MONTH($AM182),1),IF(ISNUMBER($AN182),DATE(YEAR($AN182),MONTH($AN182),1),MesCiclo))))</f>
        <v/>
      </c>
      <c r="T182" s="62">
        <f>IF(OR($S182="",$S182&lt;&gt;MesCiclo),"",COUNTIF($S$5:$S182,MesCiclo))</f>
        <v/>
      </c>
      <c r="U182" s="62">
        <f>IF($V182="","",IF($V182="Macro",ROW(),IFERROR(LOOKUP(2,1/($V$5:$V182="Macro"),ROW($V$5:$V182)),0)))</f>
        <v/>
      </c>
      <c r="V182" s="62">
        <f>IF(NOT((COUNTA($B182:$D182)+COUNTA($G182:$L182)+COUNTA($Q182))&gt;0),"",IF($B182="Subactividad","Sub","Macro"))</f>
        <v/>
      </c>
      <c r="W182" s="62">
        <f>IF($V182="Macro",COUNTIFS($U$5:$U$1000,ROW(),$V$5:$V$1000,"Sub"),"")</f>
        <v/>
      </c>
      <c r="X182" s="62">
        <f>IF($V182="","",IF(ISNUMBER($G182),1,IFERROR(LOOKUP(2,1/($I182:$L182&lt;&gt;""),$I182:$L182),0)))</f>
        <v/>
      </c>
      <c r="Y182" s="62">
        <f>IF($V182="","",IF(AND(ISNUMBER($G182),$G182&lt;=IF($S182=MesCiclo,InicioCiclo,$S182+MOD(2-WEEKDAY($S182),7))+6),1,IF(ISNUMBER($I182),$I182,0)))</f>
        <v/>
      </c>
      <c r="Z182" s="62">
        <f>IF($V182="","",IF(AND(ISNUMBER($G182),$G182&lt;=IF($S182=MesCiclo,InicioCiclo,$S182+MOD(2-WEEKDAY($S182),7))+13),1,IF(ISNUMBER($J182),$J182,$Y182)))</f>
        <v/>
      </c>
      <c r="AA182" s="62">
        <f>IF($V182="","",IF(AND(ISNUMBER($G182),$G182&lt;=IF($S182=MesCiclo,InicioCiclo,$S182+MOD(2-WEEKDAY($S182),7))+20),1,IF(ISNUMBER($K182),$K182,$Z182)))</f>
        <v/>
      </c>
      <c r="AB182" s="62">
        <f>IF($V182="","",IF(AND(ISNUMBER($G182),$G182&lt;=IF($S182=MesCiclo,InicioCiclo,$S182+MOD(2-WEEKDAY($S182),7))+27),1,IF(ISNUMBER($L182),$L182,$AA182)))</f>
        <v/>
      </c>
      <c r="AC182" s="62">
        <f>IF($V182="","",IF(AND(ISNUMBER($G182),$G182&lt;=IF($S182=MesCiclo,InicioCiclo,$S182+MOD(2-WEEKDAY($S182),7))+6),1,IF(N($W182)&gt;0,AVERAGEIFS($Y$5:$Y$1000,$U$5:$U$1000,ROW(),$V$5:$V$1000,"Sub"),$Y182)))</f>
        <v/>
      </c>
      <c r="AD182" s="62">
        <f>IF($V182="","",IF(AND(ISNUMBER($G182),$G182&lt;=IF($S182=MesCiclo,InicioCiclo,$S182+MOD(2-WEEKDAY($S182),7))+13),1,IF(N($W182)&gt;0,AVERAGEIFS($Z$5:$Z$1000,$U$5:$U$1000,ROW(),$V$5:$V$1000,"Sub"),$Z182)))</f>
        <v/>
      </c>
      <c r="AE182" s="62">
        <f>IF($V182="","",IF(AND(ISNUMBER($G182),$G182&lt;=IF($S182=MesCiclo,InicioCiclo,$S182+MOD(2-WEEKDAY($S182),7))+20),1,IF(N($W182)&gt;0,AVERAGEIFS($AA$5:$AA$1000,$U$5:$U$1000,ROW(),$V$5:$V$1000,"Sub"),$AA182)))</f>
        <v/>
      </c>
      <c r="AF182" s="62">
        <f>IF($V182="","",IF(AND(ISNUMBER($G182),$G182&lt;=IF($S182=MesCiclo,InicioCiclo,$S182+MOD(2-WEEKDAY($S182),7))+27),1,IF(N($W182)&gt;0,AVERAGEIFS($AB$5:$AB$1000,$U$5:$U$1000,ROW(),$V$5:$V$1000,"Sub"),$AB182)))</f>
        <v/>
      </c>
      <c r="AG182" s="62">
        <f>IF($V182&lt;&gt;"Macro","",IF(COUNTIFS($S$5:$S$1000,$S182,$V$5:$V$1000,"Macro",$H$5:$H$1000,"&gt;0")=0,1/COUNTIFS($S$5:$S$1000,$S182,$V$5:$V$1000,"Macro"),IF(AND(ISNUMBER($H182),N($H182)&gt;0),$H182,SUMIFS($H$5:$H$1000,$S$5:$S$1000,$S182,$V$5:$V$1000,"Macro")/COUNTIFS($S$5:$S$1000,$S182,$V$5:$V$1000,"Macro",$H$5:$H$1000,"&gt;0"))/(COUNTIFS($S$5:$S$1000,$S182,$V$5:$V$1000,"Macro")*SUMIFS($H$5:$H$1000,$S$5:$S$1000,$S182,$V$5:$V$1000,"Macro")/COUNTIFS($S$5:$S$1000,$S182,$V$5:$V$1000,"Macro",$H$5:$H$1000,"&gt;0"))))</f>
        <v/>
      </c>
      <c r="AH182" s="62" t="n"/>
      <c r="AI182" s="62" t="n"/>
      <c r="AJ182" s="62" t="n"/>
      <c r="AK182" s="62" t="n"/>
      <c r="AL182" s="62">
        <f>IF(LEFT($C182,11)="[Jefatura] ",IFERROR(MATCH("Riesgo Operacional|"&amp;MID($C182,12,500),rDname_ADM,0),0),"")</f>
        <v/>
      </c>
      <c r="AM182" s="62">
        <f>IF(N($AL182)&gt;0,INDEX(rIni_ADM,$AL182),IF(ISNUMBER($E182),$E182,""))</f>
        <v/>
      </c>
      <c r="AN182" s="62">
        <f>IF(N($AL182)&gt;0,INDEX(rLim_ADM,$AL182),IF(ISNUMBER($F182),$F182,""))</f>
        <v/>
      </c>
    </row>
    <row r="183">
      <c r="A183" s="56">
        <f>IF(NOT((COUNTA($B183:$D183)+COUNTA($G183:$L183)+COUNTA($Q183))&gt;0),"",IF($V183="Macro",COUNTIFS($V$5:$V183,"Macro",$S$5:$S183,$S183),IF(N($U183)=0,"?",COUNTIFS(INDEX($V$5:$V$1000,1):INDEX($V$5:$V$1000,$U183-4),"Macro",INDEX($S$5:$S$1000,1):INDEX($S$5:$S$1000,$U183-4),INDEX($S$5:$S$1000,$U183-4))&amp;"."&amp;COUNTIFS($U$5:$U183,$U183,$V$5:$V183,"Sub"))))</f>
        <v/>
      </c>
      <c r="B183" s="57" t="n"/>
      <c r="C183" s="58" t="n"/>
      <c r="D183" s="58" t="n"/>
      <c r="E183" s="59">
        <f>IF(N($AL183)&gt;0,INDEX(rIni_ADM,$AL183),"")</f>
        <v/>
      </c>
      <c r="F183" s="59">
        <f>IF(N($AL183)&gt;0,INDEX(rLim_ADM,$AL183),"")</f>
        <v/>
      </c>
      <c r="G183" s="59" t="n"/>
      <c r="H183" s="60" t="n"/>
      <c r="I183" s="60" t="n"/>
      <c r="J183" s="60" t="n"/>
      <c r="K183" s="60" t="n"/>
      <c r="L183" s="60" t="n"/>
      <c r="M183" s="61">
        <f>IF(NOT((COUNTA($B183:$D183)+COUNTA($G183:$L183)+COUNTA($Q183))&gt;0),"",IF(ISNUMBER($G183),1,IF(N($W183)&gt;0,AVERAGEIFS($X$5:$X$1000,$U$5:$U$1000,ROW(),$V$5:$V$1000,"Sub"),$X183)))</f>
        <v/>
      </c>
      <c r="N183" s="56">
        <f>IF($M183="","",IF($M183&gt;=1,"Completado",IF($M183&gt;0,"En curso","Pendiente")))</f>
        <v/>
      </c>
      <c r="O183" s="56">
        <f>IF(NOT((COUNTA($B183:$D183)+COUNTA($G183:$L183)+COUNTA($Q183))&gt;0),"",IF(ISNUMBER($G183),IF(AND(ISNUMBER($AN183),$G183&gt;$AN183),"Cumplida con "&amp;($G183-$AN183)&amp;IF($G183-$AN183=1," día"," días")&amp;" de retraso","Cumplida"),IF(N($M183)&gt;=1,"Cumplida",IF(NOT(ISNUMBER($AN183)),"Sin fecha límite",IF($AN183&lt;FechaRef,"Vencida hace "&amp;(FechaRef-$AN183)&amp;IF(FechaRef-$AN183=1," día"," días"),IF($AN183=FechaRef,"Vence hoy",IF($AN183-FechaRef&lt;=DiasAlerta,"Vence en "&amp;($AN183-FechaRef)&amp;IF($AN183-FechaRef=1," día"," días"),"En plazo")))))))</f>
        <v/>
      </c>
      <c r="P183" s="62" t="n"/>
      <c r="Q183" s="58" t="n"/>
      <c r="R183" s="63">
        <f>IF(NOT((COUNTA($B183:$D183)+COUNTA($G183:$L183)+COUNTA($Q183))&gt;0),"",IF((IF($C183="","Falta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",""))="","✔ OK","⚠ "&amp;LEFT(IF($C183="","Falta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",""),LEN(IF($C183="","Falta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",""))-3)))</f>
        <v/>
      </c>
      <c r="S183" s="64">
        <f>IF(NOT((COUNTA($B183:$D183)+COUNTA($G183:$L183)+COUNTA($Q183))&gt;0),"",IF(AND($V183="Sub",N($U183)&gt;0),IF(ISNUMBER(INDEX($AM$5:$AM$1000,$U183-4)),DATE(YEAR(INDEX($AM$5:$AM$1000,$U183-4)),MONTH(INDEX($AM$5:$AM$1000,$U183-4)),1),IF(ISNUMBER(INDEX($AN$5:$AN$1000,$U183-4)),DATE(YEAR(INDEX($AN$5:$AN$1000,$U183-4)),MONTH(INDEX($AN$5:$AN$1000,$U183-4)),1),MesCiclo)),IF(ISNUMBER($AM183),DATE(YEAR($AM183),MONTH($AM183),1),IF(ISNUMBER($AN183),DATE(YEAR($AN183),MONTH($AN183),1),MesCiclo))))</f>
        <v/>
      </c>
      <c r="T183" s="62">
        <f>IF(OR($S183="",$S183&lt;&gt;MesCiclo),"",COUNTIF($S$5:$S183,MesCiclo))</f>
        <v/>
      </c>
      <c r="U183" s="62">
        <f>IF($V183="","",IF($V183="Macro",ROW(),IFERROR(LOOKUP(2,1/($V$5:$V183="Macro"),ROW($V$5:$V183)),0)))</f>
        <v/>
      </c>
      <c r="V183" s="62">
        <f>IF(NOT((COUNTA($B183:$D183)+COUNTA($G183:$L183)+COUNTA($Q183))&gt;0),"",IF($B183="Subactividad","Sub","Macro"))</f>
        <v/>
      </c>
      <c r="W183" s="62">
        <f>IF($V183="Macro",COUNTIFS($U$5:$U$1000,ROW(),$V$5:$V$1000,"Sub"),"")</f>
        <v/>
      </c>
      <c r="X183" s="62">
        <f>IF($V183="","",IF(ISNUMBER($G183),1,IFERROR(LOOKUP(2,1/($I183:$L183&lt;&gt;""),$I183:$L183),0)))</f>
        <v/>
      </c>
      <c r="Y183" s="62">
        <f>IF($V183="","",IF(AND(ISNUMBER($G183),$G183&lt;=IF($S183=MesCiclo,InicioCiclo,$S183+MOD(2-WEEKDAY($S183),7))+6),1,IF(ISNUMBER($I183),$I183,0)))</f>
        <v/>
      </c>
      <c r="Z183" s="62">
        <f>IF($V183="","",IF(AND(ISNUMBER($G183),$G183&lt;=IF($S183=MesCiclo,InicioCiclo,$S183+MOD(2-WEEKDAY($S183),7))+13),1,IF(ISNUMBER($J183),$J183,$Y183)))</f>
        <v/>
      </c>
      <c r="AA183" s="62">
        <f>IF($V183="","",IF(AND(ISNUMBER($G183),$G183&lt;=IF($S183=MesCiclo,InicioCiclo,$S183+MOD(2-WEEKDAY($S183),7))+20),1,IF(ISNUMBER($K183),$K183,$Z183)))</f>
        <v/>
      </c>
      <c r="AB183" s="62">
        <f>IF($V183="","",IF(AND(ISNUMBER($G183),$G183&lt;=IF($S183=MesCiclo,InicioCiclo,$S183+MOD(2-WEEKDAY($S183),7))+27),1,IF(ISNUMBER($L183),$L183,$AA183)))</f>
        <v/>
      </c>
      <c r="AC183" s="62">
        <f>IF($V183="","",IF(AND(ISNUMBER($G183),$G183&lt;=IF($S183=MesCiclo,InicioCiclo,$S183+MOD(2-WEEKDAY($S183),7))+6),1,IF(N($W183)&gt;0,AVERAGEIFS($Y$5:$Y$1000,$U$5:$U$1000,ROW(),$V$5:$V$1000,"Sub"),$Y183)))</f>
        <v/>
      </c>
      <c r="AD183" s="62">
        <f>IF($V183="","",IF(AND(ISNUMBER($G183),$G183&lt;=IF($S183=MesCiclo,InicioCiclo,$S183+MOD(2-WEEKDAY($S183),7))+13),1,IF(N($W183)&gt;0,AVERAGEIFS($Z$5:$Z$1000,$U$5:$U$1000,ROW(),$V$5:$V$1000,"Sub"),$Z183)))</f>
        <v/>
      </c>
      <c r="AE183" s="62">
        <f>IF($V183="","",IF(AND(ISNUMBER($G183),$G183&lt;=IF($S183=MesCiclo,InicioCiclo,$S183+MOD(2-WEEKDAY($S183),7))+20),1,IF(N($W183)&gt;0,AVERAGEIFS($AA$5:$AA$1000,$U$5:$U$1000,ROW(),$V$5:$V$1000,"Sub"),$AA183)))</f>
        <v/>
      </c>
      <c r="AF183" s="62">
        <f>IF($V183="","",IF(AND(ISNUMBER($G183),$G183&lt;=IF($S183=MesCiclo,InicioCiclo,$S183+MOD(2-WEEKDAY($S183),7))+27),1,IF(N($W183)&gt;0,AVERAGEIFS($AB$5:$AB$1000,$U$5:$U$1000,ROW(),$V$5:$V$1000,"Sub"),$AB183)))</f>
        <v/>
      </c>
      <c r="AG183" s="62">
        <f>IF($V183&lt;&gt;"Macro","",IF(COUNTIFS($S$5:$S$1000,$S183,$V$5:$V$1000,"Macro",$H$5:$H$1000,"&gt;0")=0,1/COUNTIFS($S$5:$S$1000,$S183,$V$5:$V$1000,"Macro"),IF(AND(ISNUMBER($H183),N($H183)&gt;0),$H183,SUMIFS($H$5:$H$1000,$S$5:$S$1000,$S183,$V$5:$V$1000,"Macro")/COUNTIFS($S$5:$S$1000,$S183,$V$5:$V$1000,"Macro",$H$5:$H$1000,"&gt;0"))/(COUNTIFS($S$5:$S$1000,$S183,$V$5:$V$1000,"Macro")*SUMIFS($H$5:$H$1000,$S$5:$S$1000,$S183,$V$5:$V$1000,"Macro")/COUNTIFS($S$5:$S$1000,$S183,$V$5:$V$1000,"Macro",$H$5:$H$1000,"&gt;0"))))</f>
        <v/>
      </c>
      <c r="AH183" s="62" t="n"/>
      <c r="AI183" s="62" t="n"/>
      <c r="AJ183" s="62" t="n"/>
      <c r="AK183" s="62" t="n"/>
      <c r="AL183" s="62">
        <f>IF(LEFT($C183,11)="[Jefatura] ",IFERROR(MATCH("Riesgo Operacional|"&amp;MID($C183,12,500),rDname_ADM,0),0),"")</f>
        <v/>
      </c>
      <c r="AM183" s="62">
        <f>IF(N($AL183)&gt;0,INDEX(rIni_ADM,$AL183),IF(ISNUMBER($E183),$E183,""))</f>
        <v/>
      </c>
      <c r="AN183" s="62">
        <f>IF(N($AL183)&gt;0,INDEX(rLim_ADM,$AL183),IF(ISNUMBER($F183),$F183,""))</f>
        <v/>
      </c>
    </row>
    <row r="184">
      <c r="A184" s="56">
        <f>IF(NOT((COUNTA($B184:$D184)+COUNTA($G184:$L184)+COUNTA($Q184))&gt;0),"",IF($V184="Macro",COUNTIFS($V$5:$V184,"Macro",$S$5:$S184,$S184),IF(N($U184)=0,"?",COUNTIFS(INDEX($V$5:$V$1000,1):INDEX($V$5:$V$1000,$U184-4),"Macro",INDEX($S$5:$S$1000,1):INDEX($S$5:$S$1000,$U184-4),INDEX($S$5:$S$1000,$U184-4))&amp;"."&amp;COUNTIFS($U$5:$U184,$U184,$V$5:$V184,"Sub"))))</f>
        <v/>
      </c>
      <c r="B184" s="57" t="n"/>
      <c r="C184" s="58" t="n"/>
      <c r="D184" s="58" t="n"/>
      <c r="E184" s="59">
        <f>IF(N($AL184)&gt;0,INDEX(rIni_ADM,$AL184),"")</f>
        <v/>
      </c>
      <c r="F184" s="59">
        <f>IF(N($AL184)&gt;0,INDEX(rLim_ADM,$AL184),"")</f>
        <v/>
      </c>
      <c r="G184" s="59" t="n"/>
      <c r="H184" s="60" t="n"/>
      <c r="I184" s="60" t="n"/>
      <c r="J184" s="60" t="n"/>
      <c r="K184" s="60" t="n"/>
      <c r="L184" s="60" t="n"/>
      <c r="M184" s="61">
        <f>IF(NOT((COUNTA($B184:$D184)+COUNTA($G184:$L184)+COUNTA($Q184))&gt;0),"",IF(ISNUMBER($G184),1,IF(N($W184)&gt;0,AVERAGEIFS($X$5:$X$1000,$U$5:$U$1000,ROW(),$V$5:$V$1000,"Sub"),$X184)))</f>
        <v/>
      </c>
      <c r="N184" s="56">
        <f>IF($M184="","",IF($M184&gt;=1,"Completado",IF($M184&gt;0,"En curso","Pendiente")))</f>
        <v/>
      </c>
      <c r="O184" s="56">
        <f>IF(NOT((COUNTA($B184:$D184)+COUNTA($G184:$L184)+COUNTA($Q184))&gt;0),"",IF(ISNUMBER($G184),IF(AND(ISNUMBER($AN184),$G184&gt;$AN184),"Cumplida con "&amp;($G184-$AN184)&amp;IF($G184-$AN184=1," día"," días")&amp;" de retraso","Cumplida"),IF(N($M184)&gt;=1,"Cumplida",IF(NOT(ISNUMBER($AN184)),"Sin fecha límite",IF($AN184&lt;FechaRef,"Vencida hace "&amp;(FechaRef-$AN184)&amp;IF(FechaRef-$AN184=1," día"," días"),IF($AN184=FechaRef,"Vence hoy",IF($AN184-FechaRef&lt;=DiasAlerta,"Vence en "&amp;($AN184-FechaRef)&amp;IF($AN184-FechaRef=1," día"," días"),"En plazo")))))))</f>
        <v/>
      </c>
      <c r="P184" s="62" t="n"/>
      <c r="Q184" s="58" t="n"/>
      <c r="R184" s="63">
        <f>IF(NOT((COUNTA($B184:$D184)+COUNTA($G184:$L184)+COUNTA($Q184))&gt;0),"",IF((IF($C184="","Falta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",""))="","✔ OK","⚠ "&amp;LEFT(IF($C184="","Falta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",""),LEN(IF($C184="","Falta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",""))-3)))</f>
        <v/>
      </c>
      <c r="S184" s="64">
        <f>IF(NOT((COUNTA($B184:$D184)+COUNTA($G184:$L184)+COUNTA($Q184))&gt;0),"",IF(AND($V184="Sub",N($U184)&gt;0),IF(ISNUMBER(INDEX($AM$5:$AM$1000,$U184-4)),DATE(YEAR(INDEX($AM$5:$AM$1000,$U184-4)),MONTH(INDEX($AM$5:$AM$1000,$U184-4)),1),IF(ISNUMBER(INDEX($AN$5:$AN$1000,$U184-4)),DATE(YEAR(INDEX($AN$5:$AN$1000,$U184-4)),MONTH(INDEX($AN$5:$AN$1000,$U184-4)),1),MesCiclo)),IF(ISNUMBER($AM184),DATE(YEAR($AM184),MONTH($AM184),1),IF(ISNUMBER($AN184),DATE(YEAR($AN184),MONTH($AN184),1),MesCiclo))))</f>
        <v/>
      </c>
      <c r="T184" s="62">
        <f>IF(OR($S184="",$S184&lt;&gt;MesCiclo),"",COUNTIF($S$5:$S184,MesCiclo))</f>
        <v/>
      </c>
      <c r="U184" s="62">
        <f>IF($V184="","",IF($V184="Macro",ROW(),IFERROR(LOOKUP(2,1/($V$5:$V184="Macro"),ROW($V$5:$V184)),0)))</f>
        <v/>
      </c>
      <c r="V184" s="62">
        <f>IF(NOT((COUNTA($B184:$D184)+COUNTA($G184:$L184)+COUNTA($Q184))&gt;0),"",IF($B184="Subactividad","Sub","Macro"))</f>
        <v/>
      </c>
      <c r="W184" s="62">
        <f>IF($V184="Macro",COUNTIFS($U$5:$U$1000,ROW(),$V$5:$V$1000,"Sub"),"")</f>
        <v/>
      </c>
      <c r="X184" s="62">
        <f>IF($V184="","",IF(ISNUMBER($G184),1,IFERROR(LOOKUP(2,1/($I184:$L184&lt;&gt;""),$I184:$L184),0)))</f>
        <v/>
      </c>
      <c r="Y184" s="62">
        <f>IF($V184="","",IF(AND(ISNUMBER($G184),$G184&lt;=IF($S184=MesCiclo,InicioCiclo,$S184+MOD(2-WEEKDAY($S184),7))+6),1,IF(ISNUMBER($I184),$I184,0)))</f>
        <v/>
      </c>
      <c r="Z184" s="62">
        <f>IF($V184="","",IF(AND(ISNUMBER($G184),$G184&lt;=IF($S184=MesCiclo,InicioCiclo,$S184+MOD(2-WEEKDAY($S184),7))+13),1,IF(ISNUMBER($J184),$J184,$Y184)))</f>
        <v/>
      </c>
      <c r="AA184" s="62">
        <f>IF($V184="","",IF(AND(ISNUMBER($G184),$G184&lt;=IF($S184=MesCiclo,InicioCiclo,$S184+MOD(2-WEEKDAY($S184),7))+20),1,IF(ISNUMBER($K184),$K184,$Z184)))</f>
        <v/>
      </c>
      <c r="AB184" s="62">
        <f>IF($V184="","",IF(AND(ISNUMBER($G184),$G184&lt;=IF($S184=MesCiclo,InicioCiclo,$S184+MOD(2-WEEKDAY($S184),7))+27),1,IF(ISNUMBER($L184),$L184,$AA184)))</f>
        <v/>
      </c>
      <c r="AC184" s="62">
        <f>IF($V184="","",IF(AND(ISNUMBER($G184),$G184&lt;=IF($S184=MesCiclo,InicioCiclo,$S184+MOD(2-WEEKDAY($S184),7))+6),1,IF(N($W184)&gt;0,AVERAGEIFS($Y$5:$Y$1000,$U$5:$U$1000,ROW(),$V$5:$V$1000,"Sub"),$Y184)))</f>
        <v/>
      </c>
      <c r="AD184" s="62">
        <f>IF($V184="","",IF(AND(ISNUMBER($G184),$G184&lt;=IF($S184=MesCiclo,InicioCiclo,$S184+MOD(2-WEEKDAY($S184),7))+13),1,IF(N($W184)&gt;0,AVERAGEIFS($Z$5:$Z$1000,$U$5:$U$1000,ROW(),$V$5:$V$1000,"Sub"),$Z184)))</f>
        <v/>
      </c>
      <c r="AE184" s="62">
        <f>IF($V184="","",IF(AND(ISNUMBER($G184),$G184&lt;=IF($S184=MesCiclo,InicioCiclo,$S184+MOD(2-WEEKDAY($S184),7))+20),1,IF(N($W184)&gt;0,AVERAGEIFS($AA$5:$AA$1000,$U$5:$U$1000,ROW(),$V$5:$V$1000,"Sub"),$AA184)))</f>
        <v/>
      </c>
      <c r="AF184" s="62">
        <f>IF($V184="","",IF(AND(ISNUMBER($G184),$G184&lt;=IF($S184=MesCiclo,InicioCiclo,$S184+MOD(2-WEEKDAY($S184),7))+27),1,IF(N($W184)&gt;0,AVERAGEIFS($AB$5:$AB$1000,$U$5:$U$1000,ROW(),$V$5:$V$1000,"Sub"),$AB184)))</f>
        <v/>
      </c>
      <c r="AG184" s="62">
        <f>IF($V184&lt;&gt;"Macro","",IF(COUNTIFS($S$5:$S$1000,$S184,$V$5:$V$1000,"Macro",$H$5:$H$1000,"&gt;0")=0,1/COUNTIFS($S$5:$S$1000,$S184,$V$5:$V$1000,"Macro"),IF(AND(ISNUMBER($H184),N($H184)&gt;0),$H184,SUMIFS($H$5:$H$1000,$S$5:$S$1000,$S184,$V$5:$V$1000,"Macro")/COUNTIFS($S$5:$S$1000,$S184,$V$5:$V$1000,"Macro",$H$5:$H$1000,"&gt;0"))/(COUNTIFS($S$5:$S$1000,$S184,$V$5:$V$1000,"Macro")*SUMIFS($H$5:$H$1000,$S$5:$S$1000,$S184,$V$5:$V$1000,"Macro")/COUNTIFS($S$5:$S$1000,$S184,$V$5:$V$1000,"Macro",$H$5:$H$1000,"&gt;0"))))</f>
        <v/>
      </c>
      <c r="AH184" s="62" t="n"/>
      <c r="AI184" s="62" t="n"/>
      <c r="AJ184" s="62" t="n"/>
      <c r="AK184" s="62" t="n"/>
      <c r="AL184" s="62">
        <f>IF(LEFT($C184,11)="[Jefatura] ",IFERROR(MATCH("Riesgo Operacional|"&amp;MID($C184,12,500),rDname_ADM,0),0),"")</f>
        <v/>
      </c>
      <c r="AM184" s="62">
        <f>IF(N($AL184)&gt;0,INDEX(rIni_ADM,$AL184),IF(ISNUMBER($E184),$E184,""))</f>
        <v/>
      </c>
      <c r="AN184" s="62">
        <f>IF(N($AL184)&gt;0,INDEX(rLim_ADM,$AL184),IF(ISNUMBER($F184),$F184,""))</f>
        <v/>
      </c>
    </row>
    <row r="185">
      <c r="A185" s="56">
        <f>IF(NOT((COUNTA($B185:$D185)+COUNTA($G185:$L185)+COUNTA($Q185))&gt;0),"",IF($V185="Macro",COUNTIFS($V$5:$V185,"Macro",$S$5:$S185,$S185),IF(N($U185)=0,"?",COUNTIFS(INDEX($V$5:$V$1000,1):INDEX($V$5:$V$1000,$U185-4),"Macro",INDEX($S$5:$S$1000,1):INDEX($S$5:$S$1000,$U185-4),INDEX($S$5:$S$1000,$U185-4))&amp;"."&amp;COUNTIFS($U$5:$U185,$U185,$V$5:$V185,"Sub"))))</f>
        <v/>
      </c>
      <c r="B185" s="57" t="n"/>
      <c r="C185" s="58" t="n"/>
      <c r="D185" s="58" t="n"/>
      <c r="E185" s="59">
        <f>IF(N($AL185)&gt;0,INDEX(rIni_ADM,$AL185),"")</f>
        <v/>
      </c>
      <c r="F185" s="59">
        <f>IF(N($AL185)&gt;0,INDEX(rLim_ADM,$AL185),"")</f>
        <v/>
      </c>
      <c r="G185" s="59" t="n"/>
      <c r="H185" s="60" t="n"/>
      <c r="I185" s="60" t="n"/>
      <c r="J185" s="60" t="n"/>
      <c r="K185" s="60" t="n"/>
      <c r="L185" s="60" t="n"/>
      <c r="M185" s="61">
        <f>IF(NOT((COUNTA($B185:$D185)+COUNTA($G185:$L185)+COUNTA($Q185))&gt;0),"",IF(ISNUMBER($G185),1,IF(N($W185)&gt;0,AVERAGEIFS($X$5:$X$1000,$U$5:$U$1000,ROW(),$V$5:$V$1000,"Sub"),$X185)))</f>
        <v/>
      </c>
      <c r="N185" s="56">
        <f>IF($M185="","",IF($M185&gt;=1,"Completado",IF($M185&gt;0,"En curso","Pendiente")))</f>
        <v/>
      </c>
      <c r="O185" s="56">
        <f>IF(NOT((COUNTA($B185:$D185)+COUNTA($G185:$L185)+COUNTA($Q185))&gt;0),"",IF(ISNUMBER($G185),IF(AND(ISNUMBER($AN185),$G185&gt;$AN185),"Cumplida con "&amp;($G185-$AN185)&amp;IF($G185-$AN185=1," día"," días")&amp;" de retraso","Cumplida"),IF(N($M185)&gt;=1,"Cumplida",IF(NOT(ISNUMBER($AN185)),"Sin fecha límite",IF($AN185&lt;FechaRef,"Vencida hace "&amp;(FechaRef-$AN185)&amp;IF(FechaRef-$AN185=1," día"," días"),IF($AN185=FechaRef,"Vence hoy",IF($AN185-FechaRef&lt;=DiasAlerta,"Vence en "&amp;($AN185-FechaRef)&amp;IF($AN185-FechaRef=1," día"," días"),"En plazo")))))))</f>
        <v/>
      </c>
      <c r="P185" s="62" t="n"/>
      <c r="Q185" s="58" t="n"/>
      <c r="R185" s="63">
        <f>IF(NOT((COUNTA($B185:$D185)+COUNTA($G185:$L185)+COUNTA($Q185))&gt;0),"",IF((IF($C185="","Falta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",""))="","✔ OK","⚠ "&amp;LEFT(IF($C185="","Falta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",""),LEN(IF($C185="","Falta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",""))-3)))</f>
        <v/>
      </c>
      <c r="S185" s="64">
        <f>IF(NOT((COUNTA($B185:$D185)+COUNTA($G185:$L185)+COUNTA($Q185))&gt;0),"",IF(AND($V185="Sub",N($U185)&gt;0),IF(ISNUMBER(INDEX($AM$5:$AM$1000,$U185-4)),DATE(YEAR(INDEX($AM$5:$AM$1000,$U185-4)),MONTH(INDEX($AM$5:$AM$1000,$U185-4)),1),IF(ISNUMBER(INDEX($AN$5:$AN$1000,$U185-4)),DATE(YEAR(INDEX($AN$5:$AN$1000,$U185-4)),MONTH(INDEX($AN$5:$AN$1000,$U185-4)),1),MesCiclo)),IF(ISNUMBER($AM185),DATE(YEAR($AM185),MONTH($AM185),1),IF(ISNUMBER($AN185),DATE(YEAR($AN185),MONTH($AN185),1),MesCiclo))))</f>
        <v/>
      </c>
      <c r="T185" s="62">
        <f>IF(OR($S185="",$S185&lt;&gt;MesCiclo),"",COUNTIF($S$5:$S185,MesCiclo))</f>
        <v/>
      </c>
      <c r="U185" s="62">
        <f>IF($V185="","",IF($V185="Macro",ROW(),IFERROR(LOOKUP(2,1/($V$5:$V185="Macro"),ROW($V$5:$V185)),0)))</f>
        <v/>
      </c>
      <c r="V185" s="62">
        <f>IF(NOT((COUNTA($B185:$D185)+COUNTA($G185:$L185)+COUNTA($Q185))&gt;0),"",IF($B185="Subactividad","Sub","Macro"))</f>
        <v/>
      </c>
      <c r="W185" s="62">
        <f>IF($V185="Macro",COUNTIFS($U$5:$U$1000,ROW(),$V$5:$V$1000,"Sub"),"")</f>
        <v/>
      </c>
      <c r="X185" s="62">
        <f>IF($V185="","",IF(ISNUMBER($G185),1,IFERROR(LOOKUP(2,1/($I185:$L185&lt;&gt;""),$I185:$L185),0)))</f>
        <v/>
      </c>
      <c r="Y185" s="62">
        <f>IF($V185="","",IF(AND(ISNUMBER($G185),$G185&lt;=IF($S185=MesCiclo,InicioCiclo,$S185+MOD(2-WEEKDAY($S185),7))+6),1,IF(ISNUMBER($I185),$I185,0)))</f>
        <v/>
      </c>
      <c r="Z185" s="62">
        <f>IF($V185="","",IF(AND(ISNUMBER($G185),$G185&lt;=IF($S185=MesCiclo,InicioCiclo,$S185+MOD(2-WEEKDAY($S185),7))+13),1,IF(ISNUMBER($J185),$J185,$Y185)))</f>
        <v/>
      </c>
      <c r="AA185" s="62">
        <f>IF($V185="","",IF(AND(ISNUMBER($G185),$G185&lt;=IF($S185=MesCiclo,InicioCiclo,$S185+MOD(2-WEEKDAY($S185),7))+20),1,IF(ISNUMBER($K185),$K185,$Z185)))</f>
        <v/>
      </c>
      <c r="AB185" s="62">
        <f>IF($V185="","",IF(AND(ISNUMBER($G185),$G185&lt;=IF($S185=MesCiclo,InicioCiclo,$S185+MOD(2-WEEKDAY($S185),7))+27),1,IF(ISNUMBER($L185),$L185,$AA185)))</f>
        <v/>
      </c>
      <c r="AC185" s="62">
        <f>IF($V185="","",IF(AND(ISNUMBER($G185),$G185&lt;=IF($S185=MesCiclo,InicioCiclo,$S185+MOD(2-WEEKDAY($S185),7))+6),1,IF(N($W185)&gt;0,AVERAGEIFS($Y$5:$Y$1000,$U$5:$U$1000,ROW(),$V$5:$V$1000,"Sub"),$Y185)))</f>
        <v/>
      </c>
      <c r="AD185" s="62">
        <f>IF($V185="","",IF(AND(ISNUMBER($G185),$G185&lt;=IF($S185=MesCiclo,InicioCiclo,$S185+MOD(2-WEEKDAY($S185),7))+13),1,IF(N($W185)&gt;0,AVERAGEIFS($Z$5:$Z$1000,$U$5:$U$1000,ROW(),$V$5:$V$1000,"Sub"),$Z185)))</f>
        <v/>
      </c>
      <c r="AE185" s="62">
        <f>IF($V185="","",IF(AND(ISNUMBER($G185),$G185&lt;=IF($S185=MesCiclo,InicioCiclo,$S185+MOD(2-WEEKDAY($S185),7))+20),1,IF(N($W185)&gt;0,AVERAGEIFS($AA$5:$AA$1000,$U$5:$U$1000,ROW(),$V$5:$V$1000,"Sub"),$AA185)))</f>
        <v/>
      </c>
      <c r="AF185" s="62">
        <f>IF($V185="","",IF(AND(ISNUMBER($G185),$G185&lt;=IF($S185=MesCiclo,InicioCiclo,$S185+MOD(2-WEEKDAY($S185),7))+27),1,IF(N($W185)&gt;0,AVERAGEIFS($AB$5:$AB$1000,$U$5:$U$1000,ROW(),$V$5:$V$1000,"Sub"),$AB185)))</f>
        <v/>
      </c>
      <c r="AG185" s="62">
        <f>IF($V185&lt;&gt;"Macro","",IF(COUNTIFS($S$5:$S$1000,$S185,$V$5:$V$1000,"Macro",$H$5:$H$1000,"&gt;0")=0,1/COUNTIFS($S$5:$S$1000,$S185,$V$5:$V$1000,"Macro"),IF(AND(ISNUMBER($H185),N($H185)&gt;0),$H185,SUMIFS($H$5:$H$1000,$S$5:$S$1000,$S185,$V$5:$V$1000,"Macro")/COUNTIFS($S$5:$S$1000,$S185,$V$5:$V$1000,"Macro",$H$5:$H$1000,"&gt;0"))/(COUNTIFS($S$5:$S$1000,$S185,$V$5:$V$1000,"Macro")*SUMIFS($H$5:$H$1000,$S$5:$S$1000,$S185,$V$5:$V$1000,"Macro")/COUNTIFS($S$5:$S$1000,$S185,$V$5:$V$1000,"Macro",$H$5:$H$1000,"&gt;0"))))</f>
        <v/>
      </c>
      <c r="AH185" s="62" t="n"/>
      <c r="AI185" s="62" t="n"/>
      <c r="AJ185" s="62" t="n"/>
      <c r="AK185" s="62" t="n"/>
      <c r="AL185" s="62">
        <f>IF(LEFT($C185,11)="[Jefatura] ",IFERROR(MATCH("Riesgo Operacional|"&amp;MID($C185,12,500),rDname_ADM,0),0),"")</f>
        <v/>
      </c>
      <c r="AM185" s="62">
        <f>IF(N($AL185)&gt;0,INDEX(rIni_ADM,$AL185),IF(ISNUMBER($E185),$E185,""))</f>
        <v/>
      </c>
      <c r="AN185" s="62">
        <f>IF(N($AL185)&gt;0,INDEX(rLim_ADM,$AL185),IF(ISNUMBER($F185),$F185,""))</f>
        <v/>
      </c>
    </row>
    <row r="186">
      <c r="A186" s="56">
        <f>IF(NOT((COUNTA($B186:$D186)+COUNTA($G186:$L186)+COUNTA($Q186))&gt;0),"",IF($V186="Macro",COUNTIFS($V$5:$V186,"Macro",$S$5:$S186,$S186),IF(N($U186)=0,"?",COUNTIFS(INDEX($V$5:$V$1000,1):INDEX($V$5:$V$1000,$U186-4),"Macro",INDEX($S$5:$S$1000,1):INDEX($S$5:$S$1000,$U186-4),INDEX($S$5:$S$1000,$U186-4))&amp;"."&amp;COUNTIFS($U$5:$U186,$U186,$V$5:$V186,"Sub"))))</f>
        <v/>
      </c>
      <c r="B186" s="57" t="n"/>
      <c r="C186" s="58" t="n"/>
      <c r="D186" s="58" t="n"/>
      <c r="E186" s="59">
        <f>IF(N($AL186)&gt;0,INDEX(rIni_ADM,$AL186),"")</f>
        <v/>
      </c>
      <c r="F186" s="59">
        <f>IF(N($AL186)&gt;0,INDEX(rLim_ADM,$AL186),"")</f>
        <v/>
      </c>
      <c r="G186" s="59" t="n"/>
      <c r="H186" s="60" t="n"/>
      <c r="I186" s="60" t="n"/>
      <c r="J186" s="60" t="n"/>
      <c r="K186" s="60" t="n"/>
      <c r="L186" s="60" t="n"/>
      <c r="M186" s="61">
        <f>IF(NOT((COUNTA($B186:$D186)+COUNTA($G186:$L186)+COUNTA($Q186))&gt;0),"",IF(ISNUMBER($G186),1,IF(N($W186)&gt;0,AVERAGEIFS($X$5:$X$1000,$U$5:$U$1000,ROW(),$V$5:$V$1000,"Sub"),$X186)))</f>
        <v/>
      </c>
      <c r="N186" s="56">
        <f>IF($M186="","",IF($M186&gt;=1,"Completado",IF($M186&gt;0,"En curso","Pendiente")))</f>
        <v/>
      </c>
      <c r="O186" s="56">
        <f>IF(NOT((COUNTA($B186:$D186)+COUNTA($G186:$L186)+COUNTA($Q186))&gt;0),"",IF(ISNUMBER($G186),IF(AND(ISNUMBER($AN186),$G186&gt;$AN186),"Cumplida con "&amp;($G186-$AN186)&amp;IF($G186-$AN186=1," día"," días")&amp;" de retraso","Cumplida"),IF(N($M186)&gt;=1,"Cumplida",IF(NOT(ISNUMBER($AN186)),"Sin fecha límite",IF($AN186&lt;FechaRef,"Vencida hace "&amp;(FechaRef-$AN186)&amp;IF(FechaRef-$AN186=1," día"," días"),IF($AN186=FechaRef,"Vence hoy",IF($AN186-FechaRef&lt;=DiasAlerta,"Vence en "&amp;($AN186-FechaRef)&amp;IF($AN186-FechaRef=1," día"," días"),"En plazo")))))))</f>
        <v/>
      </c>
      <c r="P186" s="62" t="n"/>
      <c r="Q186" s="58" t="n"/>
      <c r="R186" s="63">
        <f>IF(NOT((COUNTA($B186:$D186)+COUNTA($G186:$L186)+COUNTA($Q186))&gt;0),"",IF((IF($C186="","Falta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",""))="","✔ OK","⚠ "&amp;LEFT(IF($C186="","Falta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",""),LEN(IF($C186="","Falta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",""))-3)))</f>
        <v/>
      </c>
      <c r="S186" s="64">
        <f>IF(NOT((COUNTA($B186:$D186)+COUNTA($G186:$L186)+COUNTA($Q186))&gt;0),"",IF(AND($V186="Sub",N($U186)&gt;0),IF(ISNUMBER(INDEX($AM$5:$AM$1000,$U186-4)),DATE(YEAR(INDEX($AM$5:$AM$1000,$U186-4)),MONTH(INDEX($AM$5:$AM$1000,$U186-4)),1),IF(ISNUMBER(INDEX($AN$5:$AN$1000,$U186-4)),DATE(YEAR(INDEX($AN$5:$AN$1000,$U186-4)),MONTH(INDEX($AN$5:$AN$1000,$U186-4)),1),MesCiclo)),IF(ISNUMBER($AM186),DATE(YEAR($AM186),MONTH($AM186),1),IF(ISNUMBER($AN186),DATE(YEAR($AN186),MONTH($AN186),1),MesCiclo))))</f>
        <v/>
      </c>
      <c r="T186" s="62">
        <f>IF(OR($S186="",$S186&lt;&gt;MesCiclo),"",COUNTIF($S$5:$S186,MesCiclo))</f>
        <v/>
      </c>
      <c r="U186" s="62">
        <f>IF($V186="","",IF($V186="Macro",ROW(),IFERROR(LOOKUP(2,1/($V$5:$V186="Macro"),ROW($V$5:$V186)),0)))</f>
        <v/>
      </c>
      <c r="V186" s="62">
        <f>IF(NOT((COUNTA($B186:$D186)+COUNTA($G186:$L186)+COUNTA($Q186))&gt;0),"",IF($B186="Subactividad","Sub","Macro"))</f>
        <v/>
      </c>
      <c r="W186" s="62">
        <f>IF($V186="Macro",COUNTIFS($U$5:$U$1000,ROW(),$V$5:$V$1000,"Sub"),"")</f>
        <v/>
      </c>
      <c r="X186" s="62">
        <f>IF($V186="","",IF(ISNUMBER($G186),1,IFERROR(LOOKUP(2,1/($I186:$L186&lt;&gt;""),$I186:$L186),0)))</f>
        <v/>
      </c>
      <c r="Y186" s="62">
        <f>IF($V186="","",IF(AND(ISNUMBER($G186),$G186&lt;=IF($S186=MesCiclo,InicioCiclo,$S186+MOD(2-WEEKDAY($S186),7))+6),1,IF(ISNUMBER($I186),$I186,0)))</f>
        <v/>
      </c>
      <c r="Z186" s="62">
        <f>IF($V186="","",IF(AND(ISNUMBER($G186),$G186&lt;=IF($S186=MesCiclo,InicioCiclo,$S186+MOD(2-WEEKDAY($S186),7))+13),1,IF(ISNUMBER($J186),$J186,$Y186)))</f>
        <v/>
      </c>
      <c r="AA186" s="62">
        <f>IF($V186="","",IF(AND(ISNUMBER($G186),$G186&lt;=IF($S186=MesCiclo,InicioCiclo,$S186+MOD(2-WEEKDAY($S186),7))+20),1,IF(ISNUMBER($K186),$K186,$Z186)))</f>
        <v/>
      </c>
      <c r="AB186" s="62">
        <f>IF($V186="","",IF(AND(ISNUMBER($G186),$G186&lt;=IF($S186=MesCiclo,InicioCiclo,$S186+MOD(2-WEEKDAY($S186),7))+27),1,IF(ISNUMBER($L186),$L186,$AA186)))</f>
        <v/>
      </c>
      <c r="AC186" s="62">
        <f>IF($V186="","",IF(AND(ISNUMBER($G186),$G186&lt;=IF($S186=MesCiclo,InicioCiclo,$S186+MOD(2-WEEKDAY($S186),7))+6),1,IF(N($W186)&gt;0,AVERAGEIFS($Y$5:$Y$1000,$U$5:$U$1000,ROW(),$V$5:$V$1000,"Sub"),$Y186)))</f>
        <v/>
      </c>
      <c r="AD186" s="62">
        <f>IF($V186="","",IF(AND(ISNUMBER($G186),$G186&lt;=IF($S186=MesCiclo,InicioCiclo,$S186+MOD(2-WEEKDAY($S186),7))+13),1,IF(N($W186)&gt;0,AVERAGEIFS($Z$5:$Z$1000,$U$5:$U$1000,ROW(),$V$5:$V$1000,"Sub"),$Z186)))</f>
        <v/>
      </c>
      <c r="AE186" s="62">
        <f>IF($V186="","",IF(AND(ISNUMBER($G186),$G186&lt;=IF($S186=MesCiclo,InicioCiclo,$S186+MOD(2-WEEKDAY($S186),7))+20),1,IF(N($W186)&gt;0,AVERAGEIFS($AA$5:$AA$1000,$U$5:$U$1000,ROW(),$V$5:$V$1000,"Sub"),$AA186)))</f>
        <v/>
      </c>
      <c r="AF186" s="62">
        <f>IF($V186="","",IF(AND(ISNUMBER($G186),$G186&lt;=IF($S186=MesCiclo,InicioCiclo,$S186+MOD(2-WEEKDAY($S186),7))+27),1,IF(N($W186)&gt;0,AVERAGEIFS($AB$5:$AB$1000,$U$5:$U$1000,ROW(),$V$5:$V$1000,"Sub"),$AB186)))</f>
        <v/>
      </c>
      <c r="AG186" s="62">
        <f>IF($V186&lt;&gt;"Macro","",IF(COUNTIFS($S$5:$S$1000,$S186,$V$5:$V$1000,"Macro",$H$5:$H$1000,"&gt;0")=0,1/COUNTIFS($S$5:$S$1000,$S186,$V$5:$V$1000,"Macro"),IF(AND(ISNUMBER($H186),N($H186)&gt;0),$H186,SUMIFS($H$5:$H$1000,$S$5:$S$1000,$S186,$V$5:$V$1000,"Macro")/COUNTIFS($S$5:$S$1000,$S186,$V$5:$V$1000,"Macro",$H$5:$H$1000,"&gt;0"))/(COUNTIFS($S$5:$S$1000,$S186,$V$5:$V$1000,"Macro")*SUMIFS($H$5:$H$1000,$S$5:$S$1000,$S186,$V$5:$V$1000,"Macro")/COUNTIFS($S$5:$S$1000,$S186,$V$5:$V$1000,"Macro",$H$5:$H$1000,"&gt;0"))))</f>
        <v/>
      </c>
      <c r="AH186" s="62" t="n"/>
      <c r="AI186" s="62" t="n"/>
      <c r="AJ186" s="62" t="n"/>
      <c r="AK186" s="62" t="n"/>
      <c r="AL186" s="62">
        <f>IF(LEFT($C186,11)="[Jefatura] ",IFERROR(MATCH("Riesgo Operacional|"&amp;MID($C186,12,500),rDname_ADM,0),0),"")</f>
        <v/>
      </c>
      <c r="AM186" s="62">
        <f>IF(N($AL186)&gt;0,INDEX(rIni_ADM,$AL186),IF(ISNUMBER($E186),$E186,""))</f>
        <v/>
      </c>
      <c r="AN186" s="62">
        <f>IF(N($AL186)&gt;0,INDEX(rLim_ADM,$AL186),IF(ISNUMBER($F186),$F186,""))</f>
        <v/>
      </c>
    </row>
    <row r="187">
      <c r="A187" s="56">
        <f>IF(NOT((COUNTA($B187:$D187)+COUNTA($G187:$L187)+COUNTA($Q187))&gt;0),"",IF($V187="Macro",COUNTIFS($V$5:$V187,"Macro",$S$5:$S187,$S187),IF(N($U187)=0,"?",COUNTIFS(INDEX($V$5:$V$1000,1):INDEX($V$5:$V$1000,$U187-4),"Macro",INDEX($S$5:$S$1000,1):INDEX($S$5:$S$1000,$U187-4),INDEX($S$5:$S$1000,$U187-4))&amp;"."&amp;COUNTIFS($U$5:$U187,$U187,$V$5:$V187,"Sub"))))</f>
        <v/>
      </c>
      <c r="B187" s="57" t="n"/>
      <c r="C187" s="58" t="n"/>
      <c r="D187" s="58" t="n"/>
      <c r="E187" s="59">
        <f>IF(N($AL187)&gt;0,INDEX(rIni_ADM,$AL187),"")</f>
        <v/>
      </c>
      <c r="F187" s="59">
        <f>IF(N($AL187)&gt;0,INDEX(rLim_ADM,$AL187),"")</f>
        <v/>
      </c>
      <c r="G187" s="59" t="n"/>
      <c r="H187" s="60" t="n"/>
      <c r="I187" s="60" t="n"/>
      <c r="J187" s="60" t="n"/>
      <c r="K187" s="60" t="n"/>
      <c r="L187" s="60" t="n"/>
      <c r="M187" s="61">
        <f>IF(NOT((COUNTA($B187:$D187)+COUNTA($G187:$L187)+COUNTA($Q187))&gt;0),"",IF(ISNUMBER($G187),1,IF(N($W187)&gt;0,AVERAGEIFS($X$5:$X$1000,$U$5:$U$1000,ROW(),$V$5:$V$1000,"Sub"),$X187)))</f>
        <v/>
      </c>
      <c r="N187" s="56">
        <f>IF($M187="","",IF($M187&gt;=1,"Completado",IF($M187&gt;0,"En curso","Pendiente")))</f>
        <v/>
      </c>
      <c r="O187" s="56">
        <f>IF(NOT((COUNTA($B187:$D187)+COUNTA($G187:$L187)+COUNTA($Q187))&gt;0),"",IF(ISNUMBER($G187),IF(AND(ISNUMBER($AN187),$G187&gt;$AN187),"Cumplida con "&amp;($G187-$AN187)&amp;IF($G187-$AN187=1," día"," días")&amp;" de retraso","Cumplida"),IF(N($M187)&gt;=1,"Cumplida",IF(NOT(ISNUMBER($AN187)),"Sin fecha límite",IF($AN187&lt;FechaRef,"Vencida hace "&amp;(FechaRef-$AN187)&amp;IF(FechaRef-$AN187=1," día"," días"),IF($AN187=FechaRef,"Vence hoy",IF($AN187-FechaRef&lt;=DiasAlerta,"Vence en "&amp;($AN187-FechaRef)&amp;IF($AN187-FechaRef=1," día"," días"),"En plazo")))))))</f>
        <v/>
      </c>
      <c r="P187" s="62" t="n"/>
      <c r="Q187" s="58" t="n"/>
      <c r="R187" s="63">
        <f>IF(NOT((COUNTA($B187:$D187)+COUNTA($G187:$L187)+COUNTA($Q187))&gt;0),"",IF((IF($C187="","Falta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",""))="","✔ OK","⚠ "&amp;LEFT(IF($C187="","Falta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",""),LEN(IF($C187="","Falta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",""))-3)))</f>
        <v/>
      </c>
      <c r="S187" s="64">
        <f>IF(NOT((COUNTA($B187:$D187)+COUNTA($G187:$L187)+COUNTA($Q187))&gt;0),"",IF(AND($V187="Sub",N($U187)&gt;0),IF(ISNUMBER(INDEX($AM$5:$AM$1000,$U187-4)),DATE(YEAR(INDEX($AM$5:$AM$1000,$U187-4)),MONTH(INDEX($AM$5:$AM$1000,$U187-4)),1),IF(ISNUMBER(INDEX($AN$5:$AN$1000,$U187-4)),DATE(YEAR(INDEX($AN$5:$AN$1000,$U187-4)),MONTH(INDEX($AN$5:$AN$1000,$U187-4)),1),MesCiclo)),IF(ISNUMBER($AM187),DATE(YEAR($AM187),MONTH($AM187),1),IF(ISNUMBER($AN187),DATE(YEAR($AN187),MONTH($AN187),1),MesCiclo))))</f>
        <v/>
      </c>
      <c r="T187" s="62">
        <f>IF(OR($S187="",$S187&lt;&gt;MesCiclo),"",COUNTIF($S$5:$S187,MesCiclo))</f>
        <v/>
      </c>
      <c r="U187" s="62">
        <f>IF($V187="","",IF($V187="Macro",ROW(),IFERROR(LOOKUP(2,1/($V$5:$V187="Macro"),ROW($V$5:$V187)),0)))</f>
        <v/>
      </c>
      <c r="V187" s="62">
        <f>IF(NOT((COUNTA($B187:$D187)+COUNTA($G187:$L187)+COUNTA($Q187))&gt;0),"",IF($B187="Subactividad","Sub","Macro"))</f>
        <v/>
      </c>
      <c r="W187" s="62">
        <f>IF($V187="Macro",COUNTIFS($U$5:$U$1000,ROW(),$V$5:$V$1000,"Sub"),"")</f>
        <v/>
      </c>
      <c r="X187" s="62">
        <f>IF($V187="","",IF(ISNUMBER($G187),1,IFERROR(LOOKUP(2,1/($I187:$L187&lt;&gt;""),$I187:$L187),0)))</f>
        <v/>
      </c>
      <c r="Y187" s="62">
        <f>IF($V187="","",IF(AND(ISNUMBER($G187),$G187&lt;=IF($S187=MesCiclo,InicioCiclo,$S187+MOD(2-WEEKDAY($S187),7))+6),1,IF(ISNUMBER($I187),$I187,0)))</f>
        <v/>
      </c>
      <c r="Z187" s="62">
        <f>IF($V187="","",IF(AND(ISNUMBER($G187),$G187&lt;=IF($S187=MesCiclo,InicioCiclo,$S187+MOD(2-WEEKDAY($S187),7))+13),1,IF(ISNUMBER($J187),$J187,$Y187)))</f>
        <v/>
      </c>
      <c r="AA187" s="62">
        <f>IF($V187="","",IF(AND(ISNUMBER($G187),$G187&lt;=IF($S187=MesCiclo,InicioCiclo,$S187+MOD(2-WEEKDAY($S187),7))+20),1,IF(ISNUMBER($K187),$K187,$Z187)))</f>
        <v/>
      </c>
      <c r="AB187" s="62">
        <f>IF($V187="","",IF(AND(ISNUMBER($G187),$G187&lt;=IF($S187=MesCiclo,InicioCiclo,$S187+MOD(2-WEEKDAY($S187),7))+27),1,IF(ISNUMBER($L187),$L187,$AA187)))</f>
        <v/>
      </c>
      <c r="AC187" s="62">
        <f>IF($V187="","",IF(AND(ISNUMBER($G187),$G187&lt;=IF($S187=MesCiclo,InicioCiclo,$S187+MOD(2-WEEKDAY($S187),7))+6),1,IF(N($W187)&gt;0,AVERAGEIFS($Y$5:$Y$1000,$U$5:$U$1000,ROW(),$V$5:$V$1000,"Sub"),$Y187)))</f>
        <v/>
      </c>
      <c r="AD187" s="62">
        <f>IF($V187="","",IF(AND(ISNUMBER($G187),$G187&lt;=IF($S187=MesCiclo,InicioCiclo,$S187+MOD(2-WEEKDAY($S187),7))+13),1,IF(N($W187)&gt;0,AVERAGEIFS($Z$5:$Z$1000,$U$5:$U$1000,ROW(),$V$5:$V$1000,"Sub"),$Z187)))</f>
        <v/>
      </c>
      <c r="AE187" s="62">
        <f>IF($V187="","",IF(AND(ISNUMBER($G187),$G187&lt;=IF($S187=MesCiclo,InicioCiclo,$S187+MOD(2-WEEKDAY($S187),7))+20),1,IF(N($W187)&gt;0,AVERAGEIFS($AA$5:$AA$1000,$U$5:$U$1000,ROW(),$V$5:$V$1000,"Sub"),$AA187)))</f>
        <v/>
      </c>
      <c r="AF187" s="62">
        <f>IF($V187="","",IF(AND(ISNUMBER($G187),$G187&lt;=IF($S187=MesCiclo,InicioCiclo,$S187+MOD(2-WEEKDAY($S187),7))+27),1,IF(N($W187)&gt;0,AVERAGEIFS($AB$5:$AB$1000,$U$5:$U$1000,ROW(),$V$5:$V$1000,"Sub"),$AB187)))</f>
        <v/>
      </c>
      <c r="AG187" s="62">
        <f>IF($V187&lt;&gt;"Macro","",IF(COUNTIFS($S$5:$S$1000,$S187,$V$5:$V$1000,"Macro",$H$5:$H$1000,"&gt;0")=0,1/COUNTIFS($S$5:$S$1000,$S187,$V$5:$V$1000,"Macro"),IF(AND(ISNUMBER($H187),N($H187)&gt;0),$H187,SUMIFS($H$5:$H$1000,$S$5:$S$1000,$S187,$V$5:$V$1000,"Macro")/COUNTIFS($S$5:$S$1000,$S187,$V$5:$V$1000,"Macro",$H$5:$H$1000,"&gt;0"))/(COUNTIFS($S$5:$S$1000,$S187,$V$5:$V$1000,"Macro")*SUMIFS($H$5:$H$1000,$S$5:$S$1000,$S187,$V$5:$V$1000,"Macro")/COUNTIFS($S$5:$S$1000,$S187,$V$5:$V$1000,"Macro",$H$5:$H$1000,"&gt;0"))))</f>
        <v/>
      </c>
      <c r="AH187" s="62" t="n"/>
      <c r="AI187" s="62" t="n"/>
      <c r="AJ187" s="62" t="n"/>
      <c r="AK187" s="62" t="n"/>
      <c r="AL187" s="62">
        <f>IF(LEFT($C187,11)="[Jefatura] ",IFERROR(MATCH("Riesgo Operacional|"&amp;MID($C187,12,500),rDname_ADM,0),0),"")</f>
        <v/>
      </c>
      <c r="AM187" s="62">
        <f>IF(N($AL187)&gt;0,INDEX(rIni_ADM,$AL187),IF(ISNUMBER($E187),$E187,""))</f>
        <v/>
      </c>
      <c r="AN187" s="62">
        <f>IF(N($AL187)&gt;0,INDEX(rLim_ADM,$AL187),IF(ISNUMBER($F187),$F187,""))</f>
        <v/>
      </c>
    </row>
    <row r="188">
      <c r="A188" s="56">
        <f>IF(NOT((COUNTA($B188:$D188)+COUNTA($G188:$L188)+COUNTA($Q188))&gt;0),"",IF($V188="Macro",COUNTIFS($V$5:$V188,"Macro",$S$5:$S188,$S188),IF(N($U188)=0,"?",COUNTIFS(INDEX($V$5:$V$1000,1):INDEX($V$5:$V$1000,$U188-4),"Macro",INDEX($S$5:$S$1000,1):INDEX($S$5:$S$1000,$U188-4),INDEX($S$5:$S$1000,$U188-4))&amp;"."&amp;COUNTIFS($U$5:$U188,$U188,$V$5:$V188,"Sub"))))</f>
        <v/>
      </c>
      <c r="B188" s="57" t="n"/>
      <c r="C188" s="58" t="n"/>
      <c r="D188" s="58" t="n"/>
      <c r="E188" s="59">
        <f>IF(N($AL188)&gt;0,INDEX(rIni_ADM,$AL188),"")</f>
        <v/>
      </c>
      <c r="F188" s="59">
        <f>IF(N($AL188)&gt;0,INDEX(rLim_ADM,$AL188),"")</f>
        <v/>
      </c>
      <c r="G188" s="59" t="n"/>
      <c r="H188" s="60" t="n"/>
      <c r="I188" s="60" t="n"/>
      <c r="J188" s="60" t="n"/>
      <c r="K188" s="60" t="n"/>
      <c r="L188" s="60" t="n"/>
      <c r="M188" s="61">
        <f>IF(NOT((COUNTA($B188:$D188)+COUNTA($G188:$L188)+COUNTA($Q188))&gt;0),"",IF(ISNUMBER($G188),1,IF(N($W188)&gt;0,AVERAGEIFS($X$5:$X$1000,$U$5:$U$1000,ROW(),$V$5:$V$1000,"Sub"),$X188)))</f>
        <v/>
      </c>
      <c r="N188" s="56">
        <f>IF($M188="","",IF($M188&gt;=1,"Completado",IF($M188&gt;0,"En curso","Pendiente")))</f>
        <v/>
      </c>
      <c r="O188" s="56">
        <f>IF(NOT((COUNTA($B188:$D188)+COUNTA($G188:$L188)+COUNTA($Q188))&gt;0),"",IF(ISNUMBER($G188),IF(AND(ISNUMBER($AN188),$G188&gt;$AN188),"Cumplida con "&amp;($G188-$AN188)&amp;IF($G188-$AN188=1," día"," días")&amp;" de retraso","Cumplida"),IF(N($M188)&gt;=1,"Cumplida",IF(NOT(ISNUMBER($AN188)),"Sin fecha límite",IF($AN188&lt;FechaRef,"Vencida hace "&amp;(FechaRef-$AN188)&amp;IF(FechaRef-$AN188=1," día"," días"),IF($AN188=FechaRef,"Vence hoy",IF($AN188-FechaRef&lt;=DiasAlerta,"Vence en "&amp;($AN188-FechaRef)&amp;IF($AN188-FechaRef=1," día"," días"),"En plazo")))))))</f>
        <v/>
      </c>
      <c r="P188" s="62" t="n"/>
      <c r="Q188" s="58" t="n"/>
      <c r="R188" s="63">
        <f>IF(NOT((COUNTA($B188:$D188)+COUNTA($G188:$L188)+COUNTA($Q188))&gt;0),"",IF((IF($C188="","Falta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",""))="","✔ OK","⚠ "&amp;LEFT(IF($C188="","Falta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",""),LEN(IF($C188="","Falta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",""))-3)))</f>
        <v/>
      </c>
      <c r="S188" s="64">
        <f>IF(NOT((COUNTA($B188:$D188)+COUNTA($G188:$L188)+COUNTA($Q188))&gt;0),"",IF(AND($V188="Sub",N($U188)&gt;0),IF(ISNUMBER(INDEX($AM$5:$AM$1000,$U188-4)),DATE(YEAR(INDEX($AM$5:$AM$1000,$U188-4)),MONTH(INDEX($AM$5:$AM$1000,$U188-4)),1),IF(ISNUMBER(INDEX($AN$5:$AN$1000,$U188-4)),DATE(YEAR(INDEX($AN$5:$AN$1000,$U188-4)),MONTH(INDEX($AN$5:$AN$1000,$U188-4)),1),MesCiclo)),IF(ISNUMBER($AM188),DATE(YEAR($AM188),MONTH($AM188),1),IF(ISNUMBER($AN188),DATE(YEAR($AN188),MONTH($AN188),1),MesCiclo))))</f>
        <v/>
      </c>
      <c r="T188" s="62">
        <f>IF(OR($S188="",$S188&lt;&gt;MesCiclo),"",COUNTIF($S$5:$S188,MesCiclo))</f>
        <v/>
      </c>
      <c r="U188" s="62">
        <f>IF($V188="","",IF($V188="Macro",ROW(),IFERROR(LOOKUP(2,1/($V$5:$V188="Macro"),ROW($V$5:$V188)),0)))</f>
        <v/>
      </c>
      <c r="V188" s="62">
        <f>IF(NOT((COUNTA($B188:$D188)+COUNTA($G188:$L188)+COUNTA($Q188))&gt;0),"",IF($B188="Subactividad","Sub","Macro"))</f>
        <v/>
      </c>
      <c r="W188" s="62">
        <f>IF($V188="Macro",COUNTIFS($U$5:$U$1000,ROW(),$V$5:$V$1000,"Sub"),"")</f>
        <v/>
      </c>
      <c r="X188" s="62">
        <f>IF($V188="","",IF(ISNUMBER($G188),1,IFERROR(LOOKUP(2,1/($I188:$L188&lt;&gt;""),$I188:$L188),0)))</f>
        <v/>
      </c>
      <c r="Y188" s="62">
        <f>IF($V188="","",IF(AND(ISNUMBER($G188),$G188&lt;=IF($S188=MesCiclo,InicioCiclo,$S188+MOD(2-WEEKDAY($S188),7))+6),1,IF(ISNUMBER($I188),$I188,0)))</f>
        <v/>
      </c>
      <c r="Z188" s="62">
        <f>IF($V188="","",IF(AND(ISNUMBER($G188),$G188&lt;=IF($S188=MesCiclo,InicioCiclo,$S188+MOD(2-WEEKDAY($S188),7))+13),1,IF(ISNUMBER($J188),$J188,$Y188)))</f>
        <v/>
      </c>
      <c r="AA188" s="62">
        <f>IF($V188="","",IF(AND(ISNUMBER($G188),$G188&lt;=IF($S188=MesCiclo,InicioCiclo,$S188+MOD(2-WEEKDAY($S188),7))+20),1,IF(ISNUMBER($K188),$K188,$Z188)))</f>
        <v/>
      </c>
      <c r="AB188" s="62">
        <f>IF($V188="","",IF(AND(ISNUMBER($G188),$G188&lt;=IF($S188=MesCiclo,InicioCiclo,$S188+MOD(2-WEEKDAY($S188),7))+27),1,IF(ISNUMBER($L188),$L188,$AA188)))</f>
        <v/>
      </c>
      <c r="AC188" s="62">
        <f>IF($V188="","",IF(AND(ISNUMBER($G188),$G188&lt;=IF($S188=MesCiclo,InicioCiclo,$S188+MOD(2-WEEKDAY($S188),7))+6),1,IF(N($W188)&gt;0,AVERAGEIFS($Y$5:$Y$1000,$U$5:$U$1000,ROW(),$V$5:$V$1000,"Sub"),$Y188)))</f>
        <v/>
      </c>
      <c r="AD188" s="62">
        <f>IF($V188="","",IF(AND(ISNUMBER($G188),$G188&lt;=IF($S188=MesCiclo,InicioCiclo,$S188+MOD(2-WEEKDAY($S188),7))+13),1,IF(N($W188)&gt;0,AVERAGEIFS($Z$5:$Z$1000,$U$5:$U$1000,ROW(),$V$5:$V$1000,"Sub"),$Z188)))</f>
        <v/>
      </c>
      <c r="AE188" s="62">
        <f>IF($V188="","",IF(AND(ISNUMBER($G188),$G188&lt;=IF($S188=MesCiclo,InicioCiclo,$S188+MOD(2-WEEKDAY($S188),7))+20),1,IF(N($W188)&gt;0,AVERAGEIFS($AA$5:$AA$1000,$U$5:$U$1000,ROW(),$V$5:$V$1000,"Sub"),$AA188)))</f>
        <v/>
      </c>
      <c r="AF188" s="62">
        <f>IF($V188="","",IF(AND(ISNUMBER($G188),$G188&lt;=IF($S188=MesCiclo,InicioCiclo,$S188+MOD(2-WEEKDAY($S188),7))+27),1,IF(N($W188)&gt;0,AVERAGEIFS($AB$5:$AB$1000,$U$5:$U$1000,ROW(),$V$5:$V$1000,"Sub"),$AB188)))</f>
        <v/>
      </c>
      <c r="AG188" s="62">
        <f>IF($V188&lt;&gt;"Macro","",IF(COUNTIFS($S$5:$S$1000,$S188,$V$5:$V$1000,"Macro",$H$5:$H$1000,"&gt;0")=0,1/COUNTIFS($S$5:$S$1000,$S188,$V$5:$V$1000,"Macro"),IF(AND(ISNUMBER($H188),N($H188)&gt;0),$H188,SUMIFS($H$5:$H$1000,$S$5:$S$1000,$S188,$V$5:$V$1000,"Macro")/COUNTIFS($S$5:$S$1000,$S188,$V$5:$V$1000,"Macro",$H$5:$H$1000,"&gt;0"))/(COUNTIFS($S$5:$S$1000,$S188,$V$5:$V$1000,"Macro")*SUMIFS($H$5:$H$1000,$S$5:$S$1000,$S188,$V$5:$V$1000,"Macro")/COUNTIFS($S$5:$S$1000,$S188,$V$5:$V$1000,"Macro",$H$5:$H$1000,"&gt;0"))))</f>
        <v/>
      </c>
      <c r="AH188" s="62" t="n"/>
      <c r="AI188" s="62" t="n"/>
      <c r="AJ188" s="62" t="n"/>
      <c r="AK188" s="62" t="n"/>
      <c r="AL188" s="62">
        <f>IF(LEFT($C188,11)="[Jefatura] ",IFERROR(MATCH("Riesgo Operacional|"&amp;MID($C188,12,500),rDname_ADM,0),0),"")</f>
        <v/>
      </c>
      <c r="AM188" s="62">
        <f>IF(N($AL188)&gt;0,INDEX(rIni_ADM,$AL188),IF(ISNUMBER($E188),$E188,""))</f>
        <v/>
      </c>
      <c r="AN188" s="62">
        <f>IF(N($AL188)&gt;0,INDEX(rLim_ADM,$AL188),IF(ISNUMBER($F188),$F188,""))</f>
        <v/>
      </c>
    </row>
    <row r="189">
      <c r="A189" s="56">
        <f>IF(NOT((COUNTA($B189:$D189)+COUNTA($G189:$L189)+COUNTA($Q189))&gt;0),"",IF($V189="Macro",COUNTIFS($V$5:$V189,"Macro",$S$5:$S189,$S189),IF(N($U189)=0,"?",COUNTIFS(INDEX($V$5:$V$1000,1):INDEX($V$5:$V$1000,$U189-4),"Macro",INDEX($S$5:$S$1000,1):INDEX($S$5:$S$1000,$U189-4),INDEX($S$5:$S$1000,$U189-4))&amp;"."&amp;COUNTIFS($U$5:$U189,$U189,$V$5:$V189,"Sub"))))</f>
        <v/>
      </c>
      <c r="B189" s="57" t="n"/>
      <c r="C189" s="58" t="n"/>
      <c r="D189" s="58" t="n"/>
      <c r="E189" s="59">
        <f>IF(N($AL189)&gt;0,INDEX(rIni_ADM,$AL189),"")</f>
        <v/>
      </c>
      <c r="F189" s="59">
        <f>IF(N($AL189)&gt;0,INDEX(rLim_ADM,$AL189),"")</f>
        <v/>
      </c>
      <c r="G189" s="59" t="n"/>
      <c r="H189" s="60" t="n"/>
      <c r="I189" s="60" t="n"/>
      <c r="J189" s="60" t="n"/>
      <c r="K189" s="60" t="n"/>
      <c r="L189" s="60" t="n"/>
      <c r="M189" s="61">
        <f>IF(NOT((COUNTA($B189:$D189)+COUNTA($G189:$L189)+COUNTA($Q189))&gt;0),"",IF(ISNUMBER($G189),1,IF(N($W189)&gt;0,AVERAGEIFS($X$5:$X$1000,$U$5:$U$1000,ROW(),$V$5:$V$1000,"Sub"),$X189)))</f>
        <v/>
      </c>
      <c r="N189" s="56">
        <f>IF($M189="","",IF($M189&gt;=1,"Completado",IF($M189&gt;0,"En curso","Pendiente")))</f>
        <v/>
      </c>
      <c r="O189" s="56">
        <f>IF(NOT((COUNTA($B189:$D189)+COUNTA($G189:$L189)+COUNTA($Q189))&gt;0),"",IF(ISNUMBER($G189),IF(AND(ISNUMBER($AN189),$G189&gt;$AN189),"Cumplida con "&amp;($G189-$AN189)&amp;IF($G189-$AN189=1," día"," días")&amp;" de retraso","Cumplida"),IF(N($M189)&gt;=1,"Cumplida",IF(NOT(ISNUMBER($AN189)),"Sin fecha límite",IF($AN189&lt;FechaRef,"Vencida hace "&amp;(FechaRef-$AN189)&amp;IF(FechaRef-$AN189=1," día"," días"),IF($AN189=FechaRef,"Vence hoy",IF($AN189-FechaRef&lt;=DiasAlerta,"Vence en "&amp;($AN189-FechaRef)&amp;IF($AN189-FechaRef=1," día"," días"),"En plazo")))))))</f>
        <v/>
      </c>
      <c r="P189" s="62" t="n"/>
      <c r="Q189" s="58" t="n"/>
      <c r="R189" s="63">
        <f>IF(NOT((COUNTA($B189:$D189)+COUNTA($G189:$L189)+COUNTA($Q189))&gt;0),"",IF((IF($C189="","Falta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",""))="","✔ OK","⚠ "&amp;LEFT(IF($C189="","Falta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",""),LEN(IF($C189="","Falta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",""))-3)))</f>
        <v/>
      </c>
      <c r="S189" s="64">
        <f>IF(NOT((COUNTA($B189:$D189)+COUNTA($G189:$L189)+COUNTA($Q189))&gt;0),"",IF(AND($V189="Sub",N($U189)&gt;0),IF(ISNUMBER(INDEX($AM$5:$AM$1000,$U189-4)),DATE(YEAR(INDEX($AM$5:$AM$1000,$U189-4)),MONTH(INDEX($AM$5:$AM$1000,$U189-4)),1),IF(ISNUMBER(INDEX($AN$5:$AN$1000,$U189-4)),DATE(YEAR(INDEX($AN$5:$AN$1000,$U189-4)),MONTH(INDEX($AN$5:$AN$1000,$U189-4)),1),MesCiclo)),IF(ISNUMBER($AM189),DATE(YEAR($AM189),MONTH($AM189),1),IF(ISNUMBER($AN189),DATE(YEAR($AN189),MONTH($AN189),1),MesCiclo))))</f>
        <v/>
      </c>
      <c r="T189" s="62">
        <f>IF(OR($S189="",$S189&lt;&gt;MesCiclo),"",COUNTIF($S$5:$S189,MesCiclo))</f>
        <v/>
      </c>
      <c r="U189" s="62">
        <f>IF($V189="","",IF($V189="Macro",ROW(),IFERROR(LOOKUP(2,1/($V$5:$V189="Macro"),ROW($V$5:$V189)),0)))</f>
        <v/>
      </c>
      <c r="V189" s="62">
        <f>IF(NOT((COUNTA($B189:$D189)+COUNTA($G189:$L189)+COUNTA($Q189))&gt;0),"",IF($B189="Subactividad","Sub","Macro"))</f>
        <v/>
      </c>
      <c r="W189" s="62">
        <f>IF($V189="Macro",COUNTIFS($U$5:$U$1000,ROW(),$V$5:$V$1000,"Sub"),"")</f>
        <v/>
      </c>
      <c r="X189" s="62">
        <f>IF($V189="","",IF(ISNUMBER($G189),1,IFERROR(LOOKUP(2,1/($I189:$L189&lt;&gt;""),$I189:$L189),0)))</f>
        <v/>
      </c>
      <c r="Y189" s="62">
        <f>IF($V189="","",IF(AND(ISNUMBER($G189),$G189&lt;=IF($S189=MesCiclo,InicioCiclo,$S189+MOD(2-WEEKDAY($S189),7))+6),1,IF(ISNUMBER($I189),$I189,0)))</f>
        <v/>
      </c>
      <c r="Z189" s="62">
        <f>IF($V189="","",IF(AND(ISNUMBER($G189),$G189&lt;=IF($S189=MesCiclo,InicioCiclo,$S189+MOD(2-WEEKDAY($S189),7))+13),1,IF(ISNUMBER($J189),$J189,$Y189)))</f>
        <v/>
      </c>
      <c r="AA189" s="62">
        <f>IF($V189="","",IF(AND(ISNUMBER($G189),$G189&lt;=IF($S189=MesCiclo,InicioCiclo,$S189+MOD(2-WEEKDAY($S189),7))+20),1,IF(ISNUMBER($K189),$K189,$Z189)))</f>
        <v/>
      </c>
      <c r="AB189" s="62">
        <f>IF($V189="","",IF(AND(ISNUMBER($G189),$G189&lt;=IF($S189=MesCiclo,InicioCiclo,$S189+MOD(2-WEEKDAY($S189),7))+27),1,IF(ISNUMBER($L189),$L189,$AA189)))</f>
        <v/>
      </c>
      <c r="AC189" s="62">
        <f>IF($V189="","",IF(AND(ISNUMBER($G189),$G189&lt;=IF($S189=MesCiclo,InicioCiclo,$S189+MOD(2-WEEKDAY($S189),7))+6),1,IF(N($W189)&gt;0,AVERAGEIFS($Y$5:$Y$1000,$U$5:$U$1000,ROW(),$V$5:$V$1000,"Sub"),$Y189)))</f>
        <v/>
      </c>
      <c r="AD189" s="62">
        <f>IF($V189="","",IF(AND(ISNUMBER($G189),$G189&lt;=IF($S189=MesCiclo,InicioCiclo,$S189+MOD(2-WEEKDAY($S189),7))+13),1,IF(N($W189)&gt;0,AVERAGEIFS($Z$5:$Z$1000,$U$5:$U$1000,ROW(),$V$5:$V$1000,"Sub"),$Z189)))</f>
        <v/>
      </c>
      <c r="AE189" s="62">
        <f>IF($V189="","",IF(AND(ISNUMBER($G189),$G189&lt;=IF($S189=MesCiclo,InicioCiclo,$S189+MOD(2-WEEKDAY($S189),7))+20),1,IF(N($W189)&gt;0,AVERAGEIFS($AA$5:$AA$1000,$U$5:$U$1000,ROW(),$V$5:$V$1000,"Sub"),$AA189)))</f>
        <v/>
      </c>
      <c r="AF189" s="62">
        <f>IF($V189="","",IF(AND(ISNUMBER($G189),$G189&lt;=IF($S189=MesCiclo,InicioCiclo,$S189+MOD(2-WEEKDAY($S189),7))+27),1,IF(N($W189)&gt;0,AVERAGEIFS($AB$5:$AB$1000,$U$5:$U$1000,ROW(),$V$5:$V$1000,"Sub"),$AB189)))</f>
        <v/>
      </c>
      <c r="AG189" s="62">
        <f>IF($V189&lt;&gt;"Macro","",IF(COUNTIFS($S$5:$S$1000,$S189,$V$5:$V$1000,"Macro",$H$5:$H$1000,"&gt;0")=0,1/COUNTIFS($S$5:$S$1000,$S189,$V$5:$V$1000,"Macro"),IF(AND(ISNUMBER($H189),N($H189)&gt;0),$H189,SUMIFS($H$5:$H$1000,$S$5:$S$1000,$S189,$V$5:$V$1000,"Macro")/COUNTIFS($S$5:$S$1000,$S189,$V$5:$V$1000,"Macro",$H$5:$H$1000,"&gt;0"))/(COUNTIFS($S$5:$S$1000,$S189,$V$5:$V$1000,"Macro")*SUMIFS($H$5:$H$1000,$S$5:$S$1000,$S189,$V$5:$V$1000,"Macro")/COUNTIFS($S$5:$S$1000,$S189,$V$5:$V$1000,"Macro",$H$5:$H$1000,"&gt;0"))))</f>
        <v/>
      </c>
      <c r="AH189" s="62" t="n"/>
      <c r="AI189" s="62" t="n"/>
      <c r="AJ189" s="62" t="n"/>
      <c r="AK189" s="62" t="n"/>
      <c r="AL189" s="62">
        <f>IF(LEFT($C189,11)="[Jefatura] ",IFERROR(MATCH("Riesgo Operacional|"&amp;MID($C189,12,500),rDname_ADM,0),0),"")</f>
        <v/>
      </c>
      <c r="AM189" s="62">
        <f>IF(N($AL189)&gt;0,INDEX(rIni_ADM,$AL189),IF(ISNUMBER($E189),$E189,""))</f>
        <v/>
      </c>
      <c r="AN189" s="62">
        <f>IF(N($AL189)&gt;0,INDEX(rLim_ADM,$AL189),IF(ISNUMBER($F189),$F189,""))</f>
        <v/>
      </c>
    </row>
    <row r="190">
      <c r="A190" s="56">
        <f>IF(NOT((COUNTA($B190:$D190)+COUNTA($G190:$L190)+COUNTA($Q190))&gt;0),"",IF($V190="Macro",COUNTIFS($V$5:$V190,"Macro",$S$5:$S190,$S190),IF(N($U190)=0,"?",COUNTIFS(INDEX($V$5:$V$1000,1):INDEX($V$5:$V$1000,$U190-4),"Macro",INDEX($S$5:$S$1000,1):INDEX($S$5:$S$1000,$U190-4),INDEX($S$5:$S$1000,$U190-4))&amp;"."&amp;COUNTIFS($U$5:$U190,$U190,$V$5:$V190,"Sub"))))</f>
        <v/>
      </c>
      <c r="B190" s="57" t="n"/>
      <c r="C190" s="58" t="n"/>
      <c r="D190" s="58" t="n"/>
      <c r="E190" s="59">
        <f>IF(N($AL190)&gt;0,INDEX(rIni_ADM,$AL190),"")</f>
        <v/>
      </c>
      <c r="F190" s="59">
        <f>IF(N($AL190)&gt;0,INDEX(rLim_ADM,$AL190),"")</f>
        <v/>
      </c>
      <c r="G190" s="59" t="n"/>
      <c r="H190" s="60" t="n"/>
      <c r="I190" s="60" t="n"/>
      <c r="J190" s="60" t="n"/>
      <c r="K190" s="60" t="n"/>
      <c r="L190" s="60" t="n"/>
      <c r="M190" s="61">
        <f>IF(NOT((COUNTA($B190:$D190)+COUNTA($G190:$L190)+COUNTA($Q190))&gt;0),"",IF(ISNUMBER($G190),1,IF(N($W190)&gt;0,AVERAGEIFS($X$5:$X$1000,$U$5:$U$1000,ROW(),$V$5:$V$1000,"Sub"),$X190)))</f>
        <v/>
      </c>
      <c r="N190" s="56">
        <f>IF($M190="","",IF($M190&gt;=1,"Completado",IF($M190&gt;0,"En curso","Pendiente")))</f>
        <v/>
      </c>
      <c r="O190" s="56">
        <f>IF(NOT((COUNTA($B190:$D190)+COUNTA($G190:$L190)+COUNTA($Q190))&gt;0),"",IF(ISNUMBER($G190),IF(AND(ISNUMBER($AN190),$G190&gt;$AN190),"Cumplida con "&amp;($G190-$AN190)&amp;IF($G190-$AN190=1," día"," días")&amp;" de retraso","Cumplida"),IF(N($M190)&gt;=1,"Cumplida",IF(NOT(ISNUMBER($AN190)),"Sin fecha límite",IF($AN190&lt;FechaRef,"Vencida hace "&amp;(FechaRef-$AN190)&amp;IF(FechaRef-$AN190=1," día"," días"),IF($AN190=FechaRef,"Vence hoy",IF($AN190-FechaRef&lt;=DiasAlerta,"Vence en "&amp;($AN190-FechaRef)&amp;IF($AN190-FechaRef=1," día"," días"),"En plazo")))))))</f>
        <v/>
      </c>
      <c r="P190" s="62" t="n"/>
      <c r="Q190" s="58" t="n"/>
      <c r="R190" s="63">
        <f>IF(NOT((COUNTA($B190:$D190)+COUNTA($G190:$L190)+COUNTA($Q190))&gt;0),"",IF((IF($C190="","Falta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",""))="","✔ OK","⚠ "&amp;LEFT(IF($C190="","Falta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",""),LEN(IF($C190="","Falta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",""))-3)))</f>
        <v/>
      </c>
      <c r="S190" s="64">
        <f>IF(NOT((COUNTA($B190:$D190)+COUNTA($G190:$L190)+COUNTA($Q190))&gt;0),"",IF(AND($V190="Sub",N($U190)&gt;0),IF(ISNUMBER(INDEX($AM$5:$AM$1000,$U190-4)),DATE(YEAR(INDEX($AM$5:$AM$1000,$U190-4)),MONTH(INDEX($AM$5:$AM$1000,$U190-4)),1),IF(ISNUMBER(INDEX($AN$5:$AN$1000,$U190-4)),DATE(YEAR(INDEX($AN$5:$AN$1000,$U190-4)),MONTH(INDEX($AN$5:$AN$1000,$U190-4)),1),MesCiclo)),IF(ISNUMBER($AM190),DATE(YEAR($AM190),MONTH($AM190),1),IF(ISNUMBER($AN190),DATE(YEAR($AN190),MONTH($AN190),1),MesCiclo))))</f>
        <v/>
      </c>
      <c r="T190" s="62">
        <f>IF(OR($S190="",$S190&lt;&gt;MesCiclo),"",COUNTIF($S$5:$S190,MesCiclo))</f>
        <v/>
      </c>
      <c r="U190" s="62">
        <f>IF($V190="","",IF($V190="Macro",ROW(),IFERROR(LOOKUP(2,1/($V$5:$V190="Macro"),ROW($V$5:$V190)),0)))</f>
        <v/>
      </c>
      <c r="V190" s="62">
        <f>IF(NOT((COUNTA($B190:$D190)+COUNTA($G190:$L190)+COUNTA($Q190))&gt;0),"",IF($B190="Subactividad","Sub","Macro"))</f>
        <v/>
      </c>
      <c r="W190" s="62">
        <f>IF($V190="Macro",COUNTIFS($U$5:$U$1000,ROW(),$V$5:$V$1000,"Sub"),"")</f>
        <v/>
      </c>
      <c r="X190" s="62">
        <f>IF($V190="","",IF(ISNUMBER($G190),1,IFERROR(LOOKUP(2,1/($I190:$L190&lt;&gt;""),$I190:$L190),0)))</f>
        <v/>
      </c>
      <c r="Y190" s="62">
        <f>IF($V190="","",IF(AND(ISNUMBER($G190),$G190&lt;=IF($S190=MesCiclo,InicioCiclo,$S190+MOD(2-WEEKDAY($S190),7))+6),1,IF(ISNUMBER($I190),$I190,0)))</f>
        <v/>
      </c>
      <c r="Z190" s="62">
        <f>IF($V190="","",IF(AND(ISNUMBER($G190),$G190&lt;=IF($S190=MesCiclo,InicioCiclo,$S190+MOD(2-WEEKDAY($S190),7))+13),1,IF(ISNUMBER($J190),$J190,$Y190)))</f>
        <v/>
      </c>
      <c r="AA190" s="62">
        <f>IF($V190="","",IF(AND(ISNUMBER($G190),$G190&lt;=IF($S190=MesCiclo,InicioCiclo,$S190+MOD(2-WEEKDAY($S190),7))+20),1,IF(ISNUMBER($K190),$K190,$Z190)))</f>
        <v/>
      </c>
      <c r="AB190" s="62">
        <f>IF($V190="","",IF(AND(ISNUMBER($G190),$G190&lt;=IF($S190=MesCiclo,InicioCiclo,$S190+MOD(2-WEEKDAY($S190),7))+27),1,IF(ISNUMBER($L190),$L190,$AA190)))</f>
        <v/>
      </c>
      <c r="AC190" s="62">
        <f>IF($V190="","",IF(AND(ISNUMBER($G190),$G190&lt;=IF($S190=MesCiclo,InicioCiclo,$S190+MOD(2-WEEKDAY($S190),7))+6),1,IF(N($W190)&gt;0,AVERAGEIFS($Y$5:$Y$1000,$U$5:$U$1000,ROW(),$V$5:$V$1000,"Sub"),$Y190)))</f>
        <v/>
      </c>
      <c r="AD190" s="62">
        <f>IF($V190="","",IF(AND(ISNUMBER($G190),$G190&lt;=IF($S190=MesCiclo,InicioCiclo,$S190+MOD(2-WEEKDAY($S190),7))+13),1,IF(N($W190)&gt;0,AVERAGEIFS($Z$5:$Z$1000,$U$5:$U$1000,ROW(),$V$5:$V$1000,"Sub"),$Z190)))</f>
        <v/>
      </c>
      <c r="AE190" s="62">
        <f>IF($V190="","",IF(AND(ISNUMBER($G190),$G190&lt;=IF($S190=MesCiclo,InicioCiclo,$S190+MOD(2-WEEKDAY($S190),7))+20),1,IF(N($W190)&gt;0,AVERAGEIFS($AA$5:$AA$1000,$U$5:$U$1000,ROW(),$V$5:$V$1000,"Sub"),$AA190)))</f>
        <v/>
      </c>
      <c r="AF190" s="62">
        <f>IF($V190="","",IF(AND(ISNUMBER($G190),$G190&lt;=IF($S190=MesCiclo,InicioCiclo,$S190+MOD(2-WEEKDAY($S190),7))+27),1,IF(N($W190)&gt;0,AVERAGEIFS($AB$5:$AB$1000,$U$5:$U$1000,ROW(),$V$5:$V$1000,"Sub"),$AB190)))</f>
        <v/>
      </c>
      <c r="AG190" s="62">
        <f>IF($V190&lt;&gt;"Macro","",IF(COUNTIFS($S$5:$S$1000,$S190,$V$5:$V$1000,"Macro",$H$5:$H$1000,"&gt;0")=0,1/COUNTIFS($S$5:$S$1000,$S190,$V$5:$V$1000,"Macro"),IF(AND(ISNUMBER($H190),N($H190)&gt;0),$H190,SUMIFS($H$5:$H$1000,$S$5:$S$1000,$S190,$V$5:$V$1000,"Macro")/COUNTIFS($S$5:$S$1000,$S190,$V$5:$V$1000,"Macro",$H$5:$H$1000,"&gt;0"))/(COUNTIFS($S$5:$S$1000,$S190,$V$5:$V$1000,"Macro")*SUMIFS($H$5:$H$1000,$S$5:$S$1000,$S190,$V$5:$V$1000,"Macro")/COUNTIFS($S$5:$S$1000,$S190,$V$5:$V$1000,"Macro",$H$5:$H$1000,"&gt;0"))))</f>
        <v/>
      </c>
      <c r="AH190" s="62" t="n"/>
      <c r="AI190" s="62" t="n"/>
      <c r="AJ190" s="62" t="n"/>
      <c r="AK190" s="62" t="n"/>
      <c r="AL190" s="62">
        <f>IF(LEFT($C190,11)="[Jefatura] ",IFERROR(MATCH("Riesgo Operacional|"&amp;MID($C190,12,500),rDname_ADM,0),0),"")</f>
        <v/>
      </c>
      <c r="AM190" s="62">
        <f>IF(N($AL190)&gt;0,INDEX(rIni_ADM,$AL190),IF(ISNUMBER($E190),$E190,""))</f>
        <v/>
      </c>
      <c r="AN190" s="62">
        <f>IF(N($AL190)&gt;0,INDEX(rLim_ADM,$AL190),IF(ISNUMBER($F190),$F190,""))</f>
        <v/>
      </c>
    </row>
    <row r="191">
      <c r="A191" s="56">
        <f>IF(NOT((COUNTA($B191:$D191)+COUNTA($G191:$L191)+COUNTA($Q191))&gt;0),"",IF($V191="Macro",COUNTIFS($V$5:$V191,"Macro",$S$5:$S191,$S191),IF(N($U191)=0,"?",COUNTIFS(INDEX($V$5:$V$1000,1):INDEX($V$5:$V$1000,$U191-4),"Macro",INDEX($S$5:$S$1000,1):INDEX($S$5:$S$1000,$U191-4),INDEX($S$5:$S$1000,$U191-4))&amp;"."&amp;COUNTIFS($U$5:$U191,$U191,$V$5:$V191,"Sub"))))</f>
        <v/>
      </c>
      <c r="B191" s="57" t="n"/>
      <c r="C191" s="58" t="n"/>
      <c r="D191" s="58" t="n"/>
      <c r="E191" s="59">
        <f>IF(N($AL191)&gt;0,INDEX(rIni_ADM,$AL191),"")</f>
        <v/>
      </c>
      <c r="F191" s="59">
        <f>IF(N($AL191)&gt;0,INDEX(rLim_ADM,$AL191),"")</f>
        <v/>
      </c>
      <c r="G191" s="59" t="n"/>
      <c r="H191" s="60" t="n"/>
      <c r="I191" s="60" t="n"/>
      <c r="J191" s="60" t="n"/>
      <c r="K191" s="60" t="n"/>
      <c r="L191" s="60" t="n"/>
      <c r="M191" s="61">
        <f>IF(NOT((COUNTA($B191:$D191)+COUNTA($G191:$L191)+COUNTA($Q191))&gt;0),"",IF(ISNUMBER($G191),1,IF(N($W191)&gt;0,AVERAGEIFS($X$5:$X$1000,$U$5:$U$1000,ROW(),$V$5:$V$1000,"Sub"),$X191)))</f>
        <v/>
      </c>
      <c r="N191" s="56">
        <f>IF($M191="","",IF($M191&gt;=1,"Completado",IF($M191&gt;0,"En curso","Pendiente")))</f>
        <v/>
      </c>
      <c r="O191" s="56">
        <f>IF(NOT((COUNTA($B191:$D191)+COUNTA($G191:$L191)+COUNTA($Q191))&gt;0),"",IF(ISNUMBER($G191),IF(AND(ISNUMBER($AN191),$G191&gt;$AN191),"Cumplida con "&amp;($G191-$AN191)&amp;IF($G191-$AN191=1," día"," días")&amp;" de retraso","Cumplida"),IF(N($M191)&gt;=1,"Cumplida",IF(NOT(ISNUMBER($AN191)),"Sin fecha límite",IF($AN191&lt;FechaRef,"Vencida hace "&amp;(FechaRef-$AN191)&amp;IF(FechaRef-$AN191=1," día"," días"),IF($AN191=FechaRef,"Vence hoy",IF($AN191-FechaRef&lt;=DiasAlerta,"Vence en "&amp;($AN191-FechaRef)&amp;IF($AN191-FechaRef=1," día"," días"),"En plazo")))))))</f>
        <v/>
      </c>
      <c r="P191" s="62" t="n"/>
      <c r="Q191" s="58" t="n"/>
      <c r="R191" s="63">
        <f>IF(NOT((COUNTA($B191:$D191)+COUNTA($G191:$L191)+COUNTA($Q191))&gt;0),"",IF((IF($C191="","Falta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",""))="","✔ OK","⚠ "&amp;LEFT(IF($C191="","Falta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",""),LEN(IF($C191="","Falta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",""))-3)))</f>
        <v/>
      </c>
      <c r="S191" s="64">
        <f>IF(NOT((COUNTA($B191:$D191)+COUNTA($G191:$L191)+COUNTA($Q191))&gt;0),"",IF(AND($V191="Sub",N($U191)&gt;0),IF(ISNUMBER(INDEX($AM$5:$AM$1000,$U191-4)),DATE(YEAR(INDEX($AM$5:$AM$1000,$U191-4)),MONTH(INDEX($AM$5:$AM$1000,$U191-4)),1),IF(ISNUMBER(INDEX($AN$5:$AN$1000,$U191-4)),DATE(YEAR(INDEX($AN$5:$AN$1000,$U191-4)),MONTH(INDEX($AN$5:$AN$1000,$U191-4)),1),MesCiclo)),IF(ISNUMBER($AM191),DATE(YEAR($AM191),MONTH($AM191),1),IF(ISNUMBER($AN191),DATE(YEAR($AN191),MONTH($AN191),1),MesCiclo))))</f>
        <v/>
      </c>
      <c r="T191" s="62">
        <f>IF(OR($S191="",$S191&lt;&gt;MesCiclo),"",COUNTIF($S$5:$S191,MesCiclo))</f>
        <v/>
      </c>
      <c r="U191" s="62">
        <f>IF($V191="","",IF($V191="Macro",ROW(),IFERROR(LOOKUP(2,1/($V$5:$V191="Macro"),ROW($V$5:$V191)),0)))</f>
        <v/>
      </c>
      <c r="V191" s="62">
        <f>IF(NOT((COUNTA($B191:$D191)+COUNTA($G191:$L191)+COUNTA($Q191))&gt;0),"",IF($B191="Subactividad","Sub","Macro"))</f>
        <v/>
      </c>
      <c r="W191" s="62">
        <f>IF($V191="Macro",COUNTIFS($U$5:$U$1000,ROW(),$V$5:$V$1000,"Sub"),"")</f>
        <v/>
      </c>
      <c r="X191" s="62">
        <f>IF($V191="","",IF(ISNUMBER($G191),1,IFERROR(LOOKUP(2,1/($I191:$L191&lt;&gt;""),$I191:$L191),0)))</f>
        <v/>
      </c>
      <c r="Y191" s="62">
        <f>IF($V191="","",IF(AND(ISNUMBER($G191),$G191&lt;=IF($S191=MesCiclo,InicioCiclo,$S191+MOD(2-WEEKDAY($S191),7))+6),1,IF(ISNUMBER($I191),$I191,0)))</f>
        <v/>
      </c>
      <c r="Z191" s="62">
        <f>IF($V191="","",IF(AND(ISNUMBER($G191),$G191&lt;=IF($S191=MesCiclo,InicioCiclo,$S191+MOD(2-WEEKDAY($S191),7))+13),1,IF(ISNUMBER($J191),$J191,$Y191)))</f>
        <v/>
      </c>
      <c r="AA191" s="62">
        <f>IF($V191="","",IF(AND(ISNUMBER($G191),$G191&lt;=IF($S191=MesCiclo,InicioCiclo,$S191+MOD(2-WEEKDAY($S191),7))+20),1,IF(ISNUMBER($K191),$K191,$Z191)))</f>
        <v/>
      </c>
      <c r="AB191" s="62">
        <f>IF($V191="","",IF(AND(ISNUMBER($G191),$G191&lt;=IF($S191=MesCiclo,InicioCiclo,$S191+MOD(2-WEEKDAY($S191),7))+27),1,IF(ISNUMBER($L191),$L191,$AA191)))</f>
        <v/>
      </c>
      <c r="AC191" s="62">
        <f>IF($V191="","",IF(AND(ISNUMBER($G191),$G191&lt;=IF($S191=MesCiclo,InicioCiclo,$S191+MOD(2-WEEKDAY($S191),7))+6),1,IF(N($W191)&gt;0,AVERAGEIFS($Y$5:$Y$1000,$U$5:$U$1000,ROW(),$V$5:$V$1000,"Sub"),$Y191)))</f>
        <v/>
      </c>
      <c r="AD191" s="62">
        <f>IF($V191="","",IF(AND(ISNUMBER($G191),$G191&lt;=IF($S191=MesCiclo,InicioCiclo,$S191+MOD(2-WEEKDAY($S191),7))+13),1,IF(N($W191)&gt;0,AVERAGEIFS($Z$5:$Z$1000,$U$5:$U$1000,ROW(),$V$5:$V$1000,"Sub"),$Z191)))</f>
        <v/>
      </c>
      <c r="AE191" s="62">
        <f>IF($V191="","",IF(AND(ISNUMBER($G191),$G191&lt;=IF($S191=MesCiclo,InicioCiclo,$S191+MOD(2-WEEKDAY($S191),7))+20),1,IF(N($W191)&gt;0,AVERAGEIFS($AA$5:$AA$1000,$U$5:$U$1000,ROW(),$V$5:$V$1000,"Sub"),$AA191)))</f>
        <v/>
      </c>
      <c r="AF191" s="62">
        <f>IF($V191="","",IF(AND(ISNUMBER($G191),$G191&lt;=IF($S191=MesCiclo,InicioCiclo,$S191+MOD(2-WEEKDAY($S191),7))+27),1,IF(N($W191)&gt;0,AVERAGEIFS($AB$5:$AB$1000,$U$5:$U$1000,ROW(),$V$5:$V$1000,"Sub"),$AB191)))</f>
        <v/>
      </c>
      <c r="AG191" s="62">
        <f>IF($V191&lt;&gt;"Macro","",IF(COUNTIFS($S$5:$S$1000,$S191,$V$5:$V$1000,"Macro",$H$5:$H$1000,"&gt;0")=0,1/COUNTIFS($S$5:$S$1000,$S191,$V$5:$V$1000,"Macro"),IF(AND(ISNUMBER($H191),N($H191)&gt;0),$H191,SUMIFS($H$5:$H$1000,$S$5:$S$1000,$S191,$V$5:$V$1000,"Macro")/COUNTIFS($S$5:$S$1000,$S191,$V$5:$V$1000,"Macro",$H$5:$H$1000,"&gt;0"))/(COUNTIFS($S$5:$S$1000,$S191,$V$5:$V$1000,"Macro")*SUMIFS($H$5:$H$1000,$S$5:$S$1000,$S191,$V$5:$V$1000,"Macro")/COUNTIFS($S$5:$S$1000,$S191,$V$5:$V$1000,"Macro",$H$5:$H$1000,"&gt;0"))))</f>
        <v/>
      </c>
      <c r="AH191" s="62" t="n"/>
      <c r="AI191" s="62" t="n"/>
      <c r="AJ191" s="62" t="n"/>
      <c r="AK191" s="62" t="n"/>
      <c r="AL191" s="62">
        <f>IF(LEFT($C191,11)="[Jefatura] ",IFERROR(MATCH("Riesgo Operacional|"&amp;MID($C191,12,500),rDname_ADM,0),0),"")</f>
        <v/>
      </c>
      <c r="AM191" s="62">
        <f>IF(N($AL191)&gt;0,INDEX(rIni_ADM,$AL191),IF(ISNUMBER($E191),$E191,""))</f>
        <v/>
      </c>
      <c r="AN191" s="62">
        <f>IF(N($AL191)&gt;0,INDEX(rLim_ADM,$AL191),IF(ISNUMBER($F191),$F191,""))</f>
        <v/>
      </c>
    </row>
    <row r="192">
      <c r="A192" s="56">
        <f>IF(NOT((COUNTA($B192:$D192)+COUNTA($G192:$L192)+COUNTA($Q192))&gt;0),"",IF($V192="Macro",COUNTIFS($V$5:$V192,"Macro",$S$5:$S192,$S192),IF(N($U192)=0,"?",COUNTIFS(INDEX($V$5:$V$1000,1):INDEX($V$5:$V$1000,$U192-4),"Macro",INDEX($S$5:$S$1000,1):INDEX($S$5:$S$1000,$U192-4),INDEX($S$5:$S$1000,$U192-4))&amp;"."&amp;COUNTIFS($U$5:$U192,$U192,$V$5:$V192,"Sub"))))</f>
        <v/>
      </c>
      <c r="B192" s="57" t="n"/>
      <c r="C192" s="58" t="n"/>
      <c r="D192" s="58" t="n"/>
      <c r="E192" s="59">
        <f>IF(N($AL192)&gt;0,INDEX(rIni_ADM,$AL192),"")</f>
        <v/>
      </c>
      <c r="F192" s="59">
        <f>IF(N($AL192)&gt;0,INDEX(rLim_ADM,$AL192),"")</f>
        <v/>
      </c>
      <c r="G192" s="59" t="n"/>
      <c r="H192" s="60" t="n"/>
      <c r="I192" s="60" t="n"/>
      <c r="J192" s="60" t="n"/>
      <c r="K192" s="60" t="n"/>
      <c r="L192" s="60" t="n"/>
      <c r="M192" s="61">
        <f>IF(NOT((COUNTA($B192:$D192)+COUNTA($G192:$L192)+COUNTA($Q192))&gt;0),"",IF(ISNUMBER($G192),1,IF(N($W192)&gt;0,AVERAGEIFS($X$5:$X$1000,$U$5:$U$1000,ROW(),$V$5:$V$1000,"Sub"),$X192)))</f>
        <v/>
      </c>
      <c r="N192" s="56">
        <f>IF($M192="","",IF($M192&gt;=1,"Completado",IF($M192&gt;0,"En curso","Pendiente")))</f>
        <v/>
      </c>
      <c r="O192" s="56">
        <f>IF(NOT((COUNTA($B192:$D192)+COUNTA($G192:$L192)+COUNTA($Q192))&gt;0),"",IF(ISNUMBER($G192),IF(AND(ISNUMBER($AN192),$G192&gt;$AN192),"Cumplida con "&amp;($G192-$AN192)&amp;IF($G192-$AN192=1," día"," días")&amp;" de retraso","Cumplida"),IF(N($M192)&gt;=1,"Cumplida",IF(NOT(ISNUMBER($AN192)),"Sin fecha límite",IF($AN192&lt;FechaRef,"Vencida hace "&amp;(FechaRef-$AN192)&amp;IF(FechaRef-$AN192=1," día"," días"),IF($AN192=FechaRef,"Vence hoy",IF($AN192-FechaRef&lt;=DiasAlerta,"Vence en "&amp;($AN192-FechaRef)&amp;IF($AN192-FechaRef=1," día"," días"),"En plazo")))))))</f>
        <v/>
      </c>
      <c r="P192" s="62" t="n"/>
      <c r="Q192" s="58" t="n"/>
      <c r="R192" s="63">
        <f>IF(NOT((COUNTA($B192:$D192)+COUNTA($G192:$L192)+COUNTA($Q192))&gt;0),"",IF((IF($C192="","Falta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",""))="","✔ OK","⚠ "&amp;LEFT(IF($C192="","Falta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",""),LEN(IF($C192="","Falta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",""))-3)))</f>
        <v/>
      </c>
      <c r="S192" s="64">
        <f>IF(NOT((COUNTA($B192:$D192)+COUNTA($G192:$L192)+COUNTA($Q192))&gt;0),"",IF(AND($V192="Sub",N($U192)&gt;0),IF(ISNUMBER(INDEX($AM$5:$AM$1000,$U192-4)),DATE(YEAR(INDEX($AM$5:$AM$1000,$U192-4)),MONTH(INDEX($AM$5:$AM$1000,$U192-4)),1),IF(ISNUMBER(INDEX($AN$5:$AN$1000,$U192-4)),DATE(YEAR(INDEX($AN$5:$AN$1000,$U192-4)),MONTH(INDEX($AN$5:$AN$1000,$U192-4)),1),MesCiclo)),IF(ISNUMBER($AM192),DATE(YEAR($AM192),MONTH($AM192),1),IF(ISNUMBER($AN192),DATE(YEAR($AN192),MONTH($AN192),1),MesCiclo))))</f>
        <v/>
      </c>
      <c r="T192" s="62">
        <f>IF(OR($S192="",$S192&lt;&gt;MesCiclo),"",COUNTIF($S$5:$S192,MesCiclo))</f>
        <v/>
      </c>
      <c r="U192" s="62">
        <f>IF($V192="","",IF($V192="Macro",ROW(),IFERROR(LOOKUP(2,1/($V$5:$V192="Macro"),ROW($V$5:$V192)),0)))</f>
        <v/>
      </c>
      <c r="V192" s="62">
        <f>IF(NOT((COUNTA($B192:$D192)+COUNTA($G192:$L192)+COUNTA($Q192))&gt;0),"",IF($B192="Subactividad","Sub","Macro"))</f>
        <v/>
      </c>
      <c r="W192" s="62">
        <f>IF($V192="Macro",COUNTIFS($U$5:$U$1000,ROW(),$V$5:$V$1000,"Sub"),"")</f>
        <v/>
      </c>
      <c r="X192" s="62">
        <f>IF($V192="","",IF(ISNUMBER($G192),1,IFERROR(LOOKUP(2,1/($I192:$L192&lt;&gt;""),$I192:$L192),0)))</f>
        <v/>
      </c>
      <c r="Y192" s="62">
        <f>IF($V192="","",IF(AND(ISNUMBER($G192),$G192&lt;=IF($S192=MesCiclo,InicioCiclo,$S192+MOD(2-WEEKDAY($S192),7))+6),1,IF(ISNUMBER($I192),$I192,0)))</f>
        <v/>
      </c>
      <c r="Z192" s="62">
        <f>IF($V192="","",IF(AND(ISNUMBER($G192),$G192&lt;=IF($S192=MesCiclo,InicioCiclo,$S192+MOD(2-WEEKDAY($S192),7))+13),1,IF(ISNUMBER($J192),$J192,$Y192)))</f>
        <v/>
      </c>
      <c r="AA192" s="62">
        <f>IF($V192="","",IF(AND(ISNUMBER($G192),$G192&lt;=IF($S192=MesCiclo,InicioCiclo,$S192+MOD(2-WEEKDAY($S192),7))+20),1,IF(ISNUMBER($K192),$K192,$Z192)))</f>
        <v/>
      </c>
      <c r="AB192" s="62">
        <f>IF($V192="","",IF(AND(ISNUMBER($G192),$G192&lt;=IF($S192=MesCiclo,InicioCiclo,$S192+MOD(2-WEEKDAY($S192),7))+27),1,IF(ISNUMBER($L192),$L192,$AA192)))</f>
        <v/>
      </c>
      <c r="AC192" s="62">
        <f>IF($V192="","",IF(AND(ISNUMBER($G192),$G192&lt;=IF($S192=MesCiclo,InicioCiclo,$S192+MOD(2-WEEKDAY($S192),7))+6),1,IF(N($W192)&gt;0,AVERAGEIFS($Y$5:$Y$1000,$U$5:$U$1000,ROW(),$V$5:$V$1000,"Sub"),$Y192)))</f>
        <v/>
      </c>
      <c r="AD192" s="62">
        <f>IF($V192="","",IF(AND(ISNUMBER($G192),$G192&lt;=IF($S192=MesCiclo,InicioCiclo,$S192+MOD(2-WEEKDAY($S192),7))+13),1,IF(N($W192)&gt;0,AVERAGEIFS($Z$5:$Z$1000,$U$5:$U$1000,ROW(),$V$5:$V$1000,"Sub"),$Z192)))</f>
        <v/>
      </c>
      <c r="AE192" s="62">
        <f>IF($V192="","",IF(AND(ISNUMBER($G192),$G192&lt;=IF($S192=MesCiclo,InicioCiclo,$S192+MOD(2-WEEKDAY($S192),7))+20),1,IF(N($W192)&gt;0,AVERAGEIFS($AA$5:$AA$1000,$U$5:$U$1000,ROW(),$V$5:$V$1000,"Sub"),$AA192)))</f>
        <v/>
      </c>
      <c r="AF192" s="62">
        <f>IF($V192="","",IF(AND(ISNUMBER($G192),$G192&lt;=IF($S192=MesCiclo,InicioCiclo,$S192+MOD(2-WEEKDAY($S192),7))+27),1,IF(N($W192)&gt;0,AVERAGEIFS($AB$5:$AB$1000,$U$5:$U$1000,ROW(),$V$5:$V$1000,"Sub"),$AB192)))</f>
        <v/>
      </c>
      <c r="AG192" s="62">
        <f>IF($V192&lt;&gt;"Macro","",IF(COUNTIFS($S$5:$S$1000,$S192,$V$5:$V$1000,"Macro",$H$5:$H$1000,"&gt;0")=0,1/COUNTIFS($S$5:$S$1000,$S192,$V$5:$V$1000,"Macro"),IF(AND(ISNUMBER($H192),N($H192)&gt;0),$H192,SUMIFS($H$5:$H$1000,$S$5:$S$1000,$S192,$V$5:$V$1000,"Macro")/COUNTIFS($S$5:$S$1000,$S192,$V$5:$V$1000,"Macro",$H$5:$H$1000,"&gt;0"))/(COUNTIFS($S$5:$S$1000,$S192,$V$5:$V$1000,"Macro")*SUMIFS($H$5:$H$1000,$S$5:$S$1000,$S192,$V$5:$V$1000,"Macro")/COUNTIFS($S$5:$S$1000,$S192,$V$5:$V$1000,"Macro",$H$5:$H$1000,"&gt;0"))))</f>
        <v/>
      </c>
      <c r="AH192" s="62" t="n"/>
      <c r="AI192" s="62" t="n"/>
      <c r="AJ192" s="62" t="n"/>
      <c r="AK192" s="62" t="n"/>
      <c r="AL192" s="62">
        <f>IF(LEFT($C192,11)="[Jefatura] ",IFERROR(MATCH("Riesgo Operacional|"&amp;MID($C192,12,500),rDname_ADM,0),0),"")</f>
        <v/>
      </c>
      <c r="AM192" s="62">
        <f>IF(N($AL192)&gt;0,INDEX(rIni_ADM,$AL192),IF(ISNUMBER($E192),$E192,""))</f>
        <v/>
      </c>
      <c r="AN192" s="62">
        <f>IF(N($AL192)&gt;0,INDEX(rLim_ADM,$AL192),IF(ISNUMBER($F192),$F192,""))</f>
        <v/>
      </c>
    </row>
    <row r="193">
      <c r="A193" s="56">
        <f>IF(NOT((COUNTA($B193:$D193)+COUNTA($G193:$L193)+COUNTA($Q193))&gt;0),"",IF($V193="Macro",COUNTIFS($V$5:$V193,"Macro",$S$5:$S193,$S193),IF(N($U193)=0,"?",COUNTIFS(INDEX($V$5:$V$1000,1):INDEX($V$5:$V$1000,$U193-4),"Macro",INDEX($S$5:$S$1000,1):INDEX($S$5:$S$1000,$U193-4),INDEX($S$5:$S$1000,$U193-4))&amp;"."&amp;COUNTIFS($U$5:$U193,$U193,$V$5:$V193,"Sub"))))</f>
        <v/>
      </c>
      <c r="B193" s="57" t="n"/>
      <c r="C193" s="58" t="n"/>
      <c r="D193" s="58" t="n"/>
      <c r="E193" s="59">
        <f>IF(N($AL193)&gt;0,INDEX(rIni_ADM,$AL193),"")</f>
        <v/>
      </c>
      <c r="F193" s="59">
        <f>IF(N($AL193)&gt;0,INDEX(rLim_ADM,$AL193),"")</f>
        <v/>
      </c>
      <c r="G193" s="59" t="n"/>
      <c r="H193" s="60" t="n"/>
      <c r="I193" s="60" t="n"/>
      <c r="J193" s="60" t="n"/>
      <c r="K193" s="60" t="n"/>
      <c r="L193" s="60" t="n"/>
      <c r="M193" s="61">
        <f>IF(NOT((COUNTA($B193:$D193)+COUNTA($G193:$L193)+COUNTA($Q193))&gt;0),"",IF(ISNUMBER($G193),1,IF(N($W193)&gt;0,AVERAGEIFS($X$5:$X$1000,$U$5:$U$1000,ROW(),$V$5:$V$1000,"Sub"),$X193)))</f>
        <v/>
      </c>
      <c r="N193" s="56">
        <f>IF($M193="","",IF($M193&gt;=1,"Completado",IF($M193&gt;0,"En curso","Pendiente")))</f>
        <v/>
      </c>
      <c r="O193" s="56">
        <f>IF(NOT((COUNTA($B193:$D193)+COUNTA($G193:$L193)+COUNTA($Q193))&gt;0),"",IF(ISNUMBER($G193),IF(AND(ISNUMBER($AN193),$G193&gt;$AN193),"Cumplida con "&amp;($G193-$AN193)&amp;IF($G193-$AN193=1," día"," días")&amp;" de retraso","Cumplida"),IF(N($M193)&gt;=1,"Cumplida",IF(NOT(ISNUMBER($AN193)),"Sin fecha límite",IF($AN193&lt;FechaRef,"Vencida hace "&amp;(FechaRef-$AN193)&amp;IF(FechaRef-$AN193=1," día"," días"),IF($AN193=FechaRef,"Vence hoy",IF($AN193-FechaRef&lt;=DiasAlerta,"Vence en "&amp;($AN193-FechaRef)&amp;IF($AN193-FechaRef=1," día"," días"),"En plazo")))))))</f>
        <v/>
      </c>
      <c r="P193" s="62" t="n"/>
      <c r="Q193" s="58" t="n"/>
      <c r="R193" s="63">
        <f>IF(NOT((COUNTA($B193:$D193)+COUNTA($G193:$L193)+COUNTA($Q193))&gt;0),"",IF((IF($C193="","Falta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",""))="","✔ OK","⚠ "&amp;LEFT(IF($C193="","Falta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",""),LEN(IF($C193="","Falta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",""))-3)))</f>
        <v/>
      </c>
      <c r="S193" s="64">
        <f>IF(NOT((COUNTA($B193:$D193)+COUNTA($G193:$L193)+COUNTA($Q193))&gt;0),"",IF(AND($V193="Sub",N($U193)&gt;0),IF(ISNUMBER(INDEX($AM$5:$AM$1000,$U193-4)),DATE(YEAR(INDEX($AM$5:$AM$1000,$U193-4)),MONTH(INDEX($AM$5:$AM$1000,$U193-4)),1),IF(ISNUMBER(INDEX($AN$5:$AN$1000,$U193-4)),DATE(YEAR(INDEX($AN$5:$AN$1000,$U193-4)),MONTH(INDEX($AN$5:$AN$1000,$U193-4)),1),MesCiclo)),IF(ISNUMBER($AM193),DATE(YEAR($AM193),MONTH($AM193),1),IF(ISNUMBER($AN193),DATE(YEAR($AN193),MONTH($AN193),1),MesCiclo))))</f>
        <v/>
      </c>
      <c r="T193" s="62">
        <f>IF(OR($S193="",$S193&lt;&gt;MesCiclo),"",COUNTIF($S$5:$S193,MesCiclo))</f>
        <v/>
      </c>
      <c r="U193" s="62">
        <f>IF($V193="","",IF($V193="Macro",ROW(),IFERROR(LOOKUP(2,1/($V$5:$V193="Macro"),ROW($V$5:$V193)),0)))</f>
        <v/>
      </c>
      <c r="V193" s="62">
        <f>IF(NOT((COUNTA($B193:$D193)+COUNTA($G193:$L193)+COUNTA($Q193))&gt;0),"",IF($B193="Subactividad","Sub","Macro"))</f>
        <v/>
      </c>
      <c r="W193" s="62">
        <f>IF($V193="Macro",COUNTIFS($U$5:$U$1000,ROW(),$V$5:$V$1000,"Sub"),"")</f>
        <v/>
      </c>
      <c r="X193" s="62">
        <f>IF($V193="","",IF(ISNUMBER($G193),1,IFERROR(LOOKUP(2,1/($I193:$L193&lt;&gt;""),$I193:$L193),0)))</f>
        <v/>
      </c>
      <c r="Y193" s="62">
        <f>IF($V193="","",IF(AND(ISNUMBER($G193),$G193&lt;=IF($S193=MesCiclo,InicioCiclo,$S193+MOD(2-WEEKDAY($S193),7))+6),1,IF(ISNUMBER($I193),$I193,0)))</f>
        <v/>
      </c>
      <c r="Z193" s="62">
        <f>IF($V193="","",IF(AND(ISNUMBER($G193),$G193&lt;=IF($S193=MesCiclo,InicioCiclo,$S193+MOD(2-WEEKDAY($S193),7))+13),1,IF(ISNUMBER($J193),$J193,$Y193)))</f>
        <v/>
      </c>
      <c r="AA193" s="62">
        <f>IF($V193="","",IF(AND(ISNUMBER($G193),$G193&lt;=IF($S193=MesCiclo,InicioCiclo,$S193+MOD(2-WEEKDAY($S193),7))+20),1,IF(ISNUMBER($K193),$K193,$Z193)))</f>
        <v/>
      </c>
      <c r="AB193" s="62">
        <f>IF($V193="","",IF(AND(ISNUMBER($G193),$G193&lt;=IF($S193=MesCiclo,InicioCiclo,$S193+MOD(2-WEEKDAY($S193),7))+27),1,IF(ISNUMBER($L193),$L193,$AA193)))</f>
        <v/>
      </c>
      <c r="AC193" s="62">
        <f>IF($V193="","",IF(AND(ISNUMBER($G193),$G193&lt;=IF($S193=MesCiclo,InicioCiclo,$S193+MOD(2-WEEKDAY($S193),7))+6),1,IF(N($W193)&gt;0,AVERAGEIFS($Y$5:$Y$1000,$U$5:$U$1000,ROW(),$V$5:$V$1000,"Sub"),$Y193)))</f>
        <v/>
      </c>
      <c r="AD193" s="62">
        <f>IF($V193="","",IF(AND(ISNUMBER($G193),$G193&lt;=IF($S193=MesCiclo,InicioCiclo,$S193+MOD(2-WEEKDAY($S193),7))+13),1,IF(N($W193)&gt;0,AVERAGEIFS($Z$5:$Z$1000,$U$5:$U$1000,ROW(),$V$5:$V$1000,"Sub"),$Z193)))</f>
        <v/>
      </c>
      <c r="AE193" s="62">
        <f>IF($V193="","",IF(AND(ISNUMBER($G193),$G193&lt;=IF($S193=MesCiclo,InicioCiclo,$S193+MOD(2-WEEKDAY($S193),7))+20),1,IF(N($W193)&gt;0,AVERAGEIFS($AA$5:$AA$1000,$U$5:$U$1000,ROW(),$V$5:$V$1000,"Sub"),$AA193)))</f>
        <v/>
      </c>
      <c r="AF193" s="62">
        <f>IF($V193="","",IF(AND(ISNUMBER($G193),$G193&lt;=IF($S193=MesCiclo,InicioCiclo,$S193+MOD(2-WEEKDAY($S193),7))+27),1,IF(N($W193)&gt;0,AVERAGEIFS($AB$5:$AB$1000,$U$5:$U$1000,ROW(),$V$5:$V$1000,"Sub"),$AB193)))</f>
        <v/>
      </c>
      <c r="AG193" s="62">
        <f>IF($V193&lt;&gt;"Macro","",IF(COUNTIFS($S$5:$S$1000,$S193,$V$5:$V$1000,"Macro",$H$5:$H$1000,"&gt;0")=0,1/COUNTIFS($S$5:$S$1000,$S193,$V$5:$V$1000,"Macro"),IF(AND(ISNUMBER($H193),N($H193)&gt;0),$H193,SUMIFS($H$5:$H$1000,$S$5:$S$1000,$S193,$V$5:$V$1000,"Macro")/COUNTIFS($S$5:$S$1000,$S193,$V$5:$V$1000,"Macro",$H$5:$H$1000,"&gt;0"))/(COUNTIFS($S$5:$S$1000,$S193,$V$5:$V$1000,"Macro")*SUMIFS($H$5:$H$1000,$S$5:$S$1000,$S193,$V$5:$V$1000,"Macro")/COUNTIFS($S$5:$S$1000,$S193,$V$5:$V$1000,"Macro",$H$5:$H$1000,"&gt;0"))))</f>
        <v/>
      </c>
      <c r="AH193" s="62" t="n"/>
      <c r="AI193" s="62" t="n"/>
      <c r="AJ193" s="62" t="n"/>
      <c r="AK193" s="62" t="n"/>
      <c r="AL193" s="62">
        <f>IF(LEFT($C193,11)="[Jefatura] ",IFERROR(MATCH("Riesgo Operacional|"&amp;MID($C193,12,500),rDname_ADM,0),0),"")</f>
        <v/>
      </c>
      <c r="AM193" s="62">
        <f>IF(N($AL193)&gt;0,INDEX(rIni_ADM,$AL193),IF(ISNUMBER($E193),$E193,""))</f>
        <v/>
      </c>
      <c r="AN193" s="62">
        <f>IF(N($AL193)&gt;0,INDEX(rLim_ADM,$AL193),IF(ISNUMBER($F193),$F193,""))</f>
        <v/>
      </c>
    </row>
    <row r="194">
      <c r="A194" s="56">
        <f>IF(NOT((COUNTA($B194:$D194)+COUNTA($G194:$L194)+COUNTA($Q194))&gt;0),"",IF($V194="Macro",COUNTIFS($V$5:$V194,"Macro",$S$5:$S194,$S194),IF(N($U194)=0,"?",COUNTIFS(INDEX($V$5:$V$1000,1):INDEX($V$5:$V$1000,$U194-4),"Macro",INDEX($S$5:$S$1000,1):INDEX($S$5:$S$1000,$U194-4),INDEX($S$5:$S$1000,$U194-4))&amp;"."&amp;COUNTIFS($U$5:$U194,$U194,$V$5:$V194,"Sub"))))</f>
        <v/>
      </c>
      <c r="B194" s="57" t="n"/>
      <c r="C194" s="58" t="n"/>
      <c r="D194" s="58" t="n"/>
      <c r="E194" s="59">
        <f>IF(N($AL194)&gt;0,INDEX(rIni_ADM,$AL194),"")</f>
        <v/>
      </c>
      <c r="F194" s="59">
        <f>IF(N($AL194)&gt;0,INDEX(rLim_ADM,$AL194),"")</f>
        <v/>
      </c>
      <c r="G194" s="59" t="n"/>
      <c r="H194" s="60" t="n"/>
      <c r="I194" s="60" t="n"/>
      <c r="J194" s="60" t="n"/>
      <c r="K194" s="60" t="n"/>
      <c r="L194" s="60" t="n"/>
      <c r="M194" s="61">
        <f>IF(NOT((COUNTA($B194:$D194)+COUNTA($G194:$L194)+COUNTA($Q194))&gt;0),"",IF(ISNUMBER($G194),1,IF(N($W194)&gt;0,AVERAGEIFS($X$5:$X$1000,$U$5:$U$1000,ROW(),$V$5:$V$1000,"Sub"),$X194)))</f>
        <v/>
      </c>
      <c r="N194" s="56">
        <f>IF($M194="","",IF($M194&gt;=1,"Completado",IF($M194&gt;0,"En curso","Pendiente")))</f>
        <v/>
      </c>
      <c r="O194" s="56">
        <f>IF(NOT((COUNTA($B194:$D194)+COUNTA($G194:$L194)+COUNTA($Q194))&gt;0),"",IF(ISNUMBER($G194),IF(AND(ISNUMBER($AN194),$G194&gt;$AN194),"Cumplida con "&amp;($G194-$AN194)&amp;IF($G194-$AN194=1," día"," días")&amp;" de retraso","Cumplida"),IF(N($M194)&gt;=1,"Cumplida",IF(NOT(ISNUMBER($AN194)),"Sin fecha límite",IF($AN194&lt;FechaRef,"Vencida hace "&amp;(FechaRef-$AN194)&amp;IF(FechaRef-$AN194=1," día"," días"),IF($AN194=FechaRef,"Vence hoy",IF($AN194-FechaRef&lt;=DiasAlerta,"Vence en "&amp;($AN194-FechaRef)&amp;IF($AN194-FechaRef=1," día"," días"),"En plazo")))))))</f>
        <v/>
      </c>
      <c r="P194" s="62" t="n"/>
      <c r="Q194" s="58" t="n"/>
      <c r="R194" s="63">
        <f>IF(NOT((COUNTA($B194:$D194)+COUNTA($G194:$L194)+COUNTA($Q194))&gt;0),"",IF((IF($C194="","Falta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",""))="","✔ OK","⚠ "&amp;LEFT(IF($C194="","Falta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",""),LEN(IF($C194="","Falta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",""))-3)))</f>
        <v/>
      </c>
      <c r="S194" s="64">
        <f>IF(NOT((COUNTA($B194:$D194)+COUNTA($G194:$L194)+COUNTA($Q194))&gt;0),"",IF(AND($V194="Sub",N($U194)&gt;0),IF(ISNUMBER(INDEX($AM$5:$AM$1000,$U194-4)),DATE(YEAR(INDEX($AM$5:$AM$1000,$U194-4)),MONTH(INDEX($AM$5:$AM$1000,$U194-4)),1),IF(ISNUMBER(INDEX($AN$5:$AN$1000,$U194-4)),DATE(YEAR(INDEX($AN$5:$AN$1000,$U194-4)),MONTH(INDEX($AN$5:$AN$1000,$U194-4)),1),MesCiclo)),IF(ISNUMBER($AM194),DATE(YEAR($AM194),MONTH($AM194),1),IF(ISNUMBER($AN194),DATE(YEAR($AN194),MONTH($AN194),1),MesCiclo))))</f>
        <v/>
      </c>
      <c r="T194" s="62">
        <f>IF(OR($S194="",$S194&lt;&gt;MesCiclo),"",COUNTIF($S$5:$S194,MesCiclo))</f>
        <v/>
      </c>
      <c r="U194" s="62">
        <f>IF($V194="","",IF($V194="Macro",ROW(),IFERROR(LOOKUP(2,1/($V$5:$V194="Macro"),ROW($V$5:$V194)),0)))</f>
        <v/>
      </c>
      <c r="V194" s="62">
        <f>IF(NOT((COUNTA($B194:$D194)+COUNTA($G194:$L194)+COUNTA($Q194))&gt;0),"",IF($B194="Subactividad","Sub","Macro"))</f>
        <v/>
      </c>
      <c r="W194" s="62">
        <f>IF($V194="Macro",COUNTIFS($U$5:$U$1000,ROW(),$V$5:$V$1000,"Sub"),"")</f>
        <v/>
      </c>
      <c r="X194" s="62">
        <f>IF($V194="","",IF(ISNUMBER($G194),1,IFERROR(LOOKUP(2,1/($I194:$L194&lt;&gt;""),$I194:$L194),0)))</f>
        <v/>
      </c>
      <c r="Y194" s="62">
        <f>IF($V194="","",IF(AND(ISNUMBER($G194),$G194&lt;=IF($S194=MesCiclo,InicioCiclo,$S194+MOD(2-WEEKDAY($S194),7))+6),1,IF(ISNUMBER($I194),$I194,0)))</f>
        <v/>
      </c>
      <c r="Z194" s="62">
        <f>IF($V194="","",IF(AND(ISNUMBER($G194),$G194&lt;=IF($S194=MesCiclo,InicioCiclo,$S194+MOD(2-WEEKDAY($S194),7))+13),1,IF(ISNUMBER($J194),$J194,$Y194)))</f>
        <v/>
      </c>
      <c r="AA194" s="62">
        <f>IF($V194="","",IF(AND(ISNUMBER($G194),$G194&lt;=IF($S194=MesCiclo,InicioCiclo,$S194+MOD(2-WEEKDAY($S194),7))+20),1,IF(ISNUMBER($K194),$K194,$Z194)))</f>
        <v/>
      </c>
      <c r="AB194" s="62">
        <f>IF($V194="","",IF(AND(ISNUMBER($G194),$G194&lt;=IF($S194=MesCiclo,InicioCiclo,$S194+MOD(2-WEEKDAY($S194),7))+27),1,IF(ISNUMBER($L194),$L194,$AA194)))</f>
        <v/>
      </c>
      <c r="AC194" s="62">
        <f>IF($V194="","",IF(AND(ISNUMBER($G194),$G194&lt;=IF($S194=MesCiclo,InicioCiclo,$S194+MOD(2-WEEKDAY($S194),7))+6),1,IF(N($W194)&gt;0,AVERAGEIFS($Y$5:$Y$1000,$U$5:$U$1000,ROW(),$V$5:$V$1000,"Sub"),$Y194)))</f>
        <v/>
      </c>
      <c r="AD194" s="62">
        <f>IF($V194="","",IF(AND(ISNUMBER($G194),$G194&lt;=IF($S194=MesCiclo,InicioCiclo,$S194+MOD(2-WEEKDAY($S194),7))+13),1,IF(N($W194)&gt;0,AVERAGEIFS($Z$5:$Z$1000,$U$5:$U$1000,ROW(),$V$5:$V$1000,"Sub"),$Z194)))</f>
        <v/>
      </c>
      <c r="AE194" s="62">
        <f>IF($V194="","",IF(AND(ISNUMBER($G194),$G194&lt;=IF($S194=MesCiclo,InicioCiclo,$S194+MOD(2-WEEKDAY($S194),7))+20),1,IF(N($W194)&gt;0,AVERAGEIFS($AA$5:$AA$1000,$U$5:$U$1000,ROW(),$V$5:$V$1000,"Sub"),$AA194)))</f>
        <v/>
      </c>
      <c r="AF194" s="62">
        <f>IF($V194="","",IF(AND(ISNUMBER($G194),$G194&lt;=IF($S194=MesCiclo,InicioCiclo,$S194+MOD(2-WEEKDAY($S194),7))+27),1,IF(N($W194)&gt;0,AVERAGEIFS($AB$5:$AB$1000,$U$5:$U$1000,ROW(),$V$5:$V$1000,"Sub"),$AB194)))</f>
        <v/>
      </c>
      <c r="AG194" s="62">
        <f>IF($V194&lt;&gt;"Macro","",IF(COUNTIFS($S$5:$S$1000,$S194,$V$5:$V$1000,"Macro",$H$5:$H$1000,"&gt;0")=0,1/COUNTIFS($S$5:$S$1000,$S194,$V$5:$V$1000,"Macro"),IF(AND(ISNUMBER($H194),N($H194)&gt;0),$H194,SUMIFS($H$5:$H$1000,$S$5:$S$1000,$S194,$V$5:$V$1000,"Macro")/COUNTIFS($S$5:$S$1000,$S194,$V$5:$V$1000,"Macro",$H$5:$H$1000,"&gt;0"))/(COUNTIFS($S$5:$S$1000,$S194,$V$5:$V$1000,"Macro")*SUMIFS($H$5:$H$1000,$S$5:$S$1000,$S194,$V$5:$V$1000,"Macro")/COUNTIFS($S$5:$S$1000,$S194,$V$5:$V$1000,"Macro",$H$5:$H$1000,"&gt;0"))))</f>
        <v/>
      </c>
      <c r="AH194" s="62" t="n"/>
      <c r="AI194" s="62" t="n"/>
      <c r="AJ194" s="62" t="n"/>
      <c r="AK194" s="62" t="n"/>
      <c r="AL194" s="62">
        <f>IF(LEFT($C194,11)="[Jefatura] ",IFERROR(MATCH("Riesgo Operacional|"&amp;MID($C194,12,500),rDname_ADM,0),0),"")</f>
        <v/>
      </c>
      <c r="AM194" s="62">
        <f>IF(N($AL194)&gt;0,INDEX(rIni_ADM,$AL194),IF(ISNUMBER($E194),$E194,""))</f>
        <v/>
      </c>
      <c r="AN194" s="62">
        <f>IF(N($AL194)&gt;0,INDEX(rLim_ADM,$AL194),IF(ISNUMBER($F194),$F194,""))</f>
        <v/>
      </c>
    </row>
    <row r="195">
      <c r="A195" s="56">
        <f>IF(NOT((COUNTA($B195:$D195)+COUNTA($G195:$L195)+COUNTA($Q195))&gt;0),"",IF($V195="Macro",COUNTIFS($V$5:$V195,"Macro",$S$5:$S195,$S195),IF(N($U195)=0,"?",COUNTIFS(INDEX($V$5:$V$1000,1):INDEX($V$5:$V$1000,$U195-4),"Macro",INDEX($S$5:$S$1000,1):INDEX($S$5:$S$1000,$U195-4),INDEX($S$5:$S$1000,$U195-4))&amp;"."&amp;COUNTIFS($U$5:$U195,$U195,$V$5:$V195,"Sub"))))</f>
        <v/>
      </c>
      <c r="B195" s="57" t="n"/>
      <c r="C195" s="58" t="n"/>
      <c r="D195" s="58" t="n"/>
      <c r="E195" s="59">
        <f>IF(N($AL195)&gt;0,INDEX(rIni_ADM,$AL195),"")</f>
        <v/>
      </c>
      <c r="F195" s="59">
        <f>IF(N($AL195)&gt;0,INDEX(rLim_ADM,$AL195),"")</f>
        <v/>
      </c>
      <c r="G195" s="59" t="n"/>
      <c r="H195" s="60" t="n"/>
      <c r="I195" s="60" t="n"/>
      <c r="J195" s="60" t="n"/>
      <c r="K195" s="60" t="n"/>
      <c r="L195" s="60" t="n"/>
      <c r="M195" s="61">
        <f>IF(NOT((COUNTA($B195:$D195)+COUNTA($G195:$L195)+COUNTA($Q195))&gt;0),"",IF(ISNUMBER($G195),1,IF(N($W195)&gt;0,AVERAGEIFS($X$5:$X$1000,$U$5:$U$1000,ROW(),$V$5:$V$1000,"Sub"),$X195)))</f>
        <v/>
      </c>
      <c r="N195" s="56">
        <f>IF($M195="","",IF($M195&gt;=1,"Completado",IF($M195&gt;0,"En curso","Pendiente")))</f>
        <v/>
      </c>
      <c r="O195" s="56">
        <f>IF(NOT((COUNTA($B195:$D195)+COUNTA($G195:$L195)+COUNTA($Q195))&gt;0),"",IF(ISNUMBER($G195),IF(AND(ISNUMBER($AN195),$G195&gt;$AN195),"Cumplida con "&amp;($G195-$AN195)&amp;IF($G195-$AN195=1," día"," días")&amp;" de retraso","Cumplida"),IF(N($M195)&gt;=1,"Cumplida",IF(NOT(ISNUMBER($AN195)),"Sin fecha límite",IF($AN195&lt;FechaRef,"Vencida hace "&amp;(FechaRef-$AN195)&amp;IF(FechaRef-$AN195=1," día"," días"),IF($AN195=FechaRef,"Vence hoy",IF($AN195-FechaRef&lt;=DiasAlerta,"Vence en "&amp;($AN195-FechaRef)&amp;IF($AN195-FechaRef=1," día"," días"),"En plazo")))))))</f>
        <v/>
      </c>
      <c r="P195" s="62" t="n"/>
      <c r="Q195" s="58" t="n"/>
      <c r="R195" s="63">
        <f>IF(NOT((COUNTA($B195:$D195)+COUNTA($G195:$L195)+COUNTA($Q195))&gt;0),"",IF((IF($C195="","Falta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",""))="","✔ OK","⚠ "&amp;LEFT(IF($C195="","Falta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",""),LEN(IF($C195="","Falta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",""))-3)))</f>
        <v/>
      </c>
      <c r="S195" s="64">
        <f>IF(NOT((COUNTA($B195:$D195)+COUNTA($G195:$L195)+COUNTA($Q195))&gt;0),"",IF(AND($V195="Sub",N($U195)&gt;0),IF(ISNUMBER(INDEX($AM$5:$AM$1000,$U195-4)),DATE(YEAR(INDEX($AM$5:$AM$1000,$U195-4)),MONTH(INDEX($AM$5:$AM$1000,$U195-4)),1),IF(ISNUMBER(INDEX($AN$5:$AN$1000,$U195-4)),DATE(YEAR(INDEX($AN$5:$AN$1000,$U195-4)),MONTH(INDEX($AN$5:$AN$1000,$U195-4)),1),MesCiclo)),IF(ISNUMBER($AM195),DATE(YEAR($AM195),MONTH($AM195),1),IF(ISNUMBER($AN195),DATE(YEAR($AN195),MONTH($AN195),1),MesCiclo))))</f>
        <v/>
      </c>
      <c r="T195" s="62">
        <f>IF(OR($S195="",$S195&lt;&gt;MesCiclo),"",COUNTIF($S$5:$S195,MesCiclo))</f>
        <v/>
      </c>
      <c r="U195" s="62">
        <f>IF($V195="","",IF($V195="Macro",ROW(),IFERROR(LOOKUP(2,1/($V$5:$V195="Macro"),ROW($V$5:$V195)),0)))</f>
        <v/>
      </c>
      <c r="V195" s="62">
        <f>IF(NOT((COUNTA($B195:$D195)+COUNTA($G195:$L195)+COUNTA($Q195))&gt;0),"",IF($B195="Subactividad","Sub","Macro"))</f>
        <v/>
      </c>
      <c r="W195" s="62">
        <f>IF($V195="Macro",COUNTIFS($U$5:$U$1000,ROW(),$V$5:$V$1000,"Sub"),"")</f>
        <v/>
      </c>
      <c r="X195" s="62">
        <f>IF($V195="","",IF(ISNUMBER($G195),1,IFERROR(LOOKUP(2,1/($I195:$L195&lt;&gt;""),$I195:$L195),0)))</f>
        <v/>
      </c>
      <c r="Y195" s="62">
        <f>IF($V195="","",IF(AND(ISNUMBER($G195),$G195&lt;=IF($S195=MesCiclo,InicioCiclo,$S195+MOD(2-WEEKDAY($S195),7))+6),1,IF(ISNUMBER($I195),$I195,0)))</f>
        <v/>
      </c>
      <c r="Z195" s="62">
        <f>IF($V195="","",IF(AND(ISNUMBER($G195),$G195&lt;=IF($S195=MesCiclo,InicioCiclo,$S195+MOD(2-WEEKDAY($S195),7))+13),1,IF(ISNUMBER($J195),$J195,$Y195)))</f>
        <v/>
      </c>
      <c r="AA195" s="62">
        <f>IF($V195="","",IF(AND(ISNUMBER($G195),$G195&lt;=IF($S195=MesCiclo,InicioCiclo,$S195+MOD(2-WEEKDAY($S195),7))+20),1,IF(ISNUMBER($K195),$K195,$Z195)))</f>
        <v/>
      </c>
      <c r="AB195" s="62">
        <f>IF($V195="","",IF(AND(ISNUMBER($G195),$G195&lt;=IF($S195=MesCiclo,InicioCiclo,$S195+MOD(2-WEEKDAY($S195),7))+27),1,IF(ISNUMBER($L195),$L195,$AA195)))</f>
        <v/>
      </c>
      <c r="AC195" s="62">
        <f>IF($V195="","",IF(AND(ISNUMBER($G195),$G195&lt;=IF($S195=MesCiclo,InicioCiclo,$S195+MOD(2-WEEKDAY($S195),7))+6),1,IF(N($W195)&gt;0,AVERAGEIFS($Y$5:$Y$1000,$U$5:$U$1000,ROW(),$V$5:$V$1000,"Sub"),$Y195)))</f>
        <v/>
      </c>
      <c r="AD195" s="62">
        <f>IF($V195="","",IF(AND(ISNUMBER($G195),$G195&lt;=IF($S195=MesCiclo,InicioCiclo,$S195+MOD(2-WEEKDAY($S195),7))+13),1,IF(N($W195)&gt;0,AVERAGEIFS($Z$5:$Z$1000,$U$5:$U$1000,ROW(),$V$5:$V$1000,"Sub"),$Z195)))</f>
        <v/>
      </c>
      <c r="AE195" s="62">
        <f>IF($V195="","",IF(AND(ISNUMBER($G195),$G195&lt;=IF($S195=MesCiclo,InicioCiclo,$S195+MOD(2-WEEKDAY($S195),7))+20),1,IF(N($W195)&gt;0,AVERAGEIFS($AA$5:$AA$1000,$U$5:$U$1000,ROW(),$V$5:$V$1000,"Sub"),$AA195)))</f>
        <v/>
      </c>
      <c r="AF195" s="62">
        <f>IF($V195="","",IF(AND(ISNUMBER($G195),$G195&lt;=IF($S195=MesCiclo,InicioCiclo,$S195+MOD(2-WEEKDAY($S195),7))+27),1,IF(N($W195)&gt;0,AVERAGEIFS($AB$5:$AB$1000,$U$5:$U$1000,ROW(),$V$5:$V$1000,"Sub"),$AB195)))</f>
        <v/>
      </c>
      <c r="AG195" s="62">
        <f>IF($V195&lt;&gt;"Macro","",IF(COUNTIFS($S$5:$S$1000,$S195,$V$5:$V$1000,"Macro",$H$5:$H$1000,"&gt;0")=0,1/COUNTIFS($S$5:$S$1000,$S195,$V$5:$V$1000,"Macro"),IF(AND(ISNUMBER($H195),N($H195)&gt;0),$H195,SUMIFS($H$5:$H$1000,$S$5:$S$1000,$S195,$V$5:$V$1000,"Macro")/COUNTIFS($S$5:$S$1000,$S195,$V$5:$V$1000,"Macro",$H$5:$H$1000,"&gt;0"))/(COUNTIFS($S$5:$S$1000,$S195,$V$5:$V$1000,"Macro")*SUMIFS($H$5:$H$1000,$S$5:$S$1000,$S195,$V$5:$V$1000,"Macro")/COUNTIFS($S$5:$S$1000,$S195,$V$5:$V$1000,"Macro",$H$5:$H$1000,"&gt;0"))))</f>
        <v/>
      </c>
      <c r="AH195" s="62" t="n"/>
      <c r="AI195" s="62" t="n"/>
      <c r="AJ195" s="62" t="n"/>
      <c r="AK195" s="62" t="n"/>
      <c r="AL195" s="62">
        <f>IF(LEFT($C195,11)="[Jefatura] ",IFERROR(MATCH("Riesgo Operacional|"&amp;MID($C195,12,500),rDname_ADM,0),0),"")</f>
        <v/>
      </c>
      <c r="AM195" s="62">
        <f>IF(N($AL195)&gt;0,INDEX(rIni_ADM,$AL195),IF(ISNUMBER($E195),$E195,""))</f>
        <v/>
      </c>
      <c r="AN195" s="62">
        <f>IF(N($AL195)&gt;0,INDEX(rLim_ADM,$AL195),IF(ISNUMBER($F195),$F195,""))</f>
        <v/>
      </c>
    </row>
    <row r="196">
      <c r="A196" s="56">
        <f>IF(NOT((COUNTA($B196:$D196)+COUNTA($G196:$L196)+COUNTA($Q196))&gt;0),"",IF($V196="Macro",COUNTIFS($V$5:$V196,"Macro",$S$5:$S196,$S196),IF(N($U196)=0,"?",COUNTIFS(INDEX($V$5:$V$1000,1):INDEX($V$5:$V$1000,$U196-4),"Macro",INDEX($S$5:$S$1000,1):INDEX($S$5:$S$1000,$U196-4),INDEX($S$5:$S$1000,$U196-4))&amp;"."&amp;COUNTIFS($U$5:$U196,$U196,$V$5:$V196,"Sub"))))</f>
        <v/>
      </c>
      <c r="B196" s="57" t="n"/>
      <c r="C196" s="58" t="n"/>
      <c r="D196" s="58" t="n"/>
      <c r="E196" s="59">
        <f>IF(N($AL196)&gt;0,INDEX(rIni_ADM,$AL196),"")</f>
        <v/>
      </c>
      <c r="F196" s="59">
        <f>IF(N($AL196)&gt;0,INDEX(rLim_ADM,$AL196),"")</f>
        <v/>
      </c>
      <c r="G196" s="59" t="n"/>
      <c r="H196" s="60" t="n"/>
      <c r="I196" s="60" t="n"/>
      <c r="J196" s="60" t="n"/>
      <c r="K196" s="60" t="n"/>
      <c r="L196" s="60" t="n"/>
      <c r="M196" s="61">
        <f>IF(NOT((COUNTA($B196:$D196)+COUNTA($G196:$L196)+COUNTA($Q196))&gt;0),"",IF(ISNUMBER($G196),1,IF(N($W196)&gt;0,AVERAGEIFS($X$5:$X$1000,$U$5:$U$1000,ROW(),$V$5:$V$1000,"Sub"),$X196)))</f>
        <v/>
      </c>
      <c r="N196" s="56">
        <f>IF($M196="","",IF($M196&gt;=1,"Completado",IF($M196&gt;0,"En curso","Pendiente")))</f>
        <v/>
      </c>
      <c r="O196" s="56">
        <f>IF(NOT((COUNTA($B196:$D196)+COUNTA($G196:$L196)+COUNTA($Q196))&gt;0),"",IF(ISNUMBER($G196),IF(AND(ISNUMBER($AN196),$G196&gt;$AN196),"Cumplida con "&amp;($G196-$AN196)&amp;IF($G196-$AN196=1," día"," días")&amp;" de retraso","Cumplida"),IF(N($M196)&gt;=1,"Cumplida",IF(NOT(ISNUMBER($AN196)),"Sin fecha límite",IF($AN196&lt;FechaRef,"Vencida hace "&amp;(FechaRef-$AN196)&amp;IF(FechaRef-$AN196=1," día"," días"),IF($AN196=FechaRef,"Vence hoy",IF($AN196-FechaRef&lt;=DiasAlerta,"Vence en "&amp;($AN196-FechaRef)&amp;IF($AN196-FechaRef=1," día"," días"),"En plazo")))))))</f>
        <v/>
      </c>
      <c r="P196" s="62" t="n"/>
      <c r="Q196" s="58" t="n"/>
      <c r="R196" s="63">
        <f>IF(NOT((COUNTA($B196:$D196)+COUNTA($G196:$L196)+COUNTA($Q196))&gt;0),"",IF((IF($C196="","Falta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",""))="","✔ OK","⚠ "&amp;LEFT(IF($C196="","Falta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",""),LEN(IF($C196="","Falta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",""))-3)))</f>
        <v/>
      </c>
      <c r="S196" s="64">
        <f>IF(NOT((COUNTA($B196:$D196)+COUNTA($G196:$L196)+COUNTA($Q196))&gt;0),"",IF(AND($V196="Sub",N($U196)&gt;0),IF(ISNUMBER(INDEX($AM$5:$AM$1000,$U196-4)),DATE(YEAR(INDEX($AM$5:$AM$1000,$U196-4)),MONTH(INDEX($AM$5:$AM$1000,$U196-4)),1),IF(ISNUMBER(INDEX($AN$5:$AN$1000,$U196-4)),DATE(YEAR(INDEX($AN$5:$AN$1000,$U196-4)),MONTH(INDEX($AN$5:$AN$1000,$U196-4)),1),MesCiclo)),IF(ISNUMBER($AM196),DATE(YEAR($AM196),MONTH($AM196),1),IF(ISNUMBER($AN196),DATE(YEAR($AN196),MONTH($AN196),1),MesCiclo))))</f>
        <v/>
      </c>
      <c r="T196" s="62">
        <f>IF(OR($S196="",$S196&lt;&gt;MesCiclo),"",COUNTIF($S$5:$S196,MesCiclo))</f>
        <v/>
      </c>
      <c r="U196" s="62">
        <f>IF($V196="","",IF($V196="Macro",ROW(),IFERROR(LOOKUP(2,1/($V$5:$V196="Macro"),ROW($V$5:$V196)),0)))</f>
        <v/>
      </c>
      <c r="V196" s="62">
        <f>IF(NOT((COUNTA($B196:$D196)+COUNTA($G196:$L196)+COUNTA($Q196))&gt;0),"",IF($B196="Subactividad","Sub","Macro"))</f>
        <v/>
      </c>
      <c r="W196" s="62">
        <f>IF($V196="Macro",COUNTIFS($U$5:$U$1000,ROW(),$V$5:$V$1000,"Sub"),"")</f>
        <v/>
      </c>
      <c r="X196" s="62">
        <f>IF($V196="","",IF(ISNUMBER($G196),1,IFERROR(LOOKUP(2,1/($I196:$L196&lt;&gt;""),$I196:$L196),0)))</f>
        <v/>
      </c>
      <c r="Y196" s="62">
        <f>IF($V196="","",IF(AND(ISNUMBER($G196),$G196&lt;=IF($S196=MesCiclo,InicioCiclo,$S196+MOD(2-WEEKDAY($S196),7))+6),1,IF(ISNUMBER($I196),$I196,0)))</f>
        <v/>
      </c>
      <c r="Z196" s="62">
        <f>IF($V196="","",IF(AND(ISNUMBER($G196),$G196&lt;=IF($S196=MesCiclo,InicioCiclo,$S196+MOD(2-WEEKDAY($S196),7))+13),1,IF(ISNUMBER($J196),$J196,$Y196)))</f>
        <v/>
      </c>
      <c r="AA196" s="62">
        <f>IF($V196="","",IF(AND(ISNUMBER($G196),$G196&lt;=IF($S196=MesCiclo,InicioCiclo,$S196+MOD(2-WEEKDAY($S196),7))+20),1,IF(ISNUMBER($K196),$K196,$Z196)))</f>
        <v/>
      </c>
      <c r="AB196" s="62">
        <f>IF($V196="","",IF(AND(ISNUMBER($G196),$G196&lt;=IF($S196=MesCiclo,InicioCiclo,$S196+MOD(2-WEEKDAY($S196),7))+27),1,IF(ISNUMBER($L196),$L196,$AA196)))</f>
        <v/>
      </c>
      <c r="AC196" s="62">
        <f>IF($V196="","",IF(AND(ISNUMBER($G196),$G196&lt;=IF($S196=MesCiclo,InicioCiclo,$S196+MOD(2-WEEKDAY($S196),7))+6),1,IF(N($W196)&gt;0,AVERAGEIFS($Y$5:$Y$1000,$U$5:$U$1000,ROW(),$V$5:$V$1000,"Sub"),$Y196)))</f>
        <v/>
      </c>
      <c r="AD196" s="62">
        <f>IF($V196="","",IF(AND(ISNUMBER($G196),$G196&lt;=IF($S196=MesCiclo,InicioCiclo,$S196+MOD(2-WEEKDAY($S196),7))+13),1,IF(N($W196)&gt;0,AVERAGEIFS($Z$5:$Z$1000,$U$5:$U$1000,ROW(),$V$5:$V$1000,"Sub"),$Z196)))</f>
        <v/>
      </c>
      <c r="AE196" s="62">
        <f>IF($V196="","",IF(AND(ISNUMBER($G196),$G196&lt;=IF($S196=MesCiclo,InicioCiclo,$S196+MOD(2-WEEKDAY($S196),7))+20),1,IF(N($W196)&gt;0,AVERAGEIFS($AA$5:$AA$1000,$U$5:$U$1000,ROW(),$V$5:$V$1000,"Sub"),$AA196)))</f>
        <v/>
      </c>
      <c r="AF196" s="62">
        <f>IF($V196="","",IF(AND(ISNUMBER($G196),$G196&lt;=IF($S196=MesCiclo,InicioCiclo,$S196+MOD(2-WEEKDAY($S196),7))+27),1,IF(N($W196)&gt;0,AVERAGEIFS($AB$5:$AB$1000,$U$5:$U$1000,ROW(),$V$5:$V$1000,"Sub"),$AB196)))</f>
        <v/>
      </c>
      <c r="AG196" s="62">
        <f>IF($V196&lt;&gt;"Macro","",IF(COUNTIFS($S$5:$S$1000,$S196,$V$5:$V$1000,"Macro",$H$5:$H$1000,"&gt;0")=0,1/COUNTIFS($S$5:$S$1000,$S196,$V$5:$V$1000,"Macro"),IF(AND(ISNUMBER($H196),N($H196)&gt;0),$H196,SUMIFS($H$5:$H$1000,$S$5:$S$1000,$S196,$V$5:$V$1000,"Macro")/COUNTIFS($S$5:$S$1000,$S196,$V$5:$V$1000,"Macro",$H$5:$H$1000,"&gt;0"))/(COUNTIFS($S$5:$S$1000,$S196,$V$5:$V$1000,"Macro")*SUMIFS($H$5:$H$1000,$S$5:$S$1000,$S196,$V$5:$V$1000,"Macro")/COUNTIFS($S$5:$S$1000,$S196,$V$5:$V$1000,"Macro",$H$5:$H$1000,"&gt;0"))))</f>
        <v/>
      </c>
      <c r="AH196" s="62" t="n"/>
      <c r="AI196" s="62" t="n"/>
      <c r="AJ196" s="62" t="n"/>
      <c r="AK196" s="62" t="n"/>
      <c r="AL196" s="62">
        <f>IF(LEFT($C196,11)="[Jefatura] ",IFERROR(MATCH("Riesgo Operacional|"&amp;MID($C196,12,500),rDname_ADM,0),0),"")</f>
        <v/>
      </c>
      <c r="AM196" s="62">
        <f>IF(N($AL196)&gt;0,INDEX(rIni_ADM,$AL196),IF(ISNUMBER($E196),$E196,""))</f>
        <v/>
      </c>
      <c r="AN196" s="62">
        <f>IF(N($AL196)&gt;0,INDEX(rLim_ADM,$AL196),IF(ISNUMBER($F196),$F196,""))</f>
        <v/>
      </c>
    </row>
    <row r="197">
      <c r="A197" s="56">
        <f>IF(NOT((COUNTA($B197:$D197)+COUNTA($G197:$L197)+COUNTA($Q197))&gt;0),"",IF($V197="Macro",COUNTIFS($V$5:$V197,"Macro",$S$5:$S197,$S197),IF(N($U197)=0,"?",COUNTIFS(INDEX($V$5:$V$1000,1):INDEX($V$5:$V$1000,$U197-4),"Macro",INDEX($S$5:$S$1000,1):INDEX($S$5:$S$1000,$U197-4),INDEX($S$5:$S$1000,$U197-4))&amp;"."&amp;COUNTIFS($U$5:$U197,$U197,$V$5:$V197,"Sub"))))</f>
        <v/>
      </c>
      <c r="B197" s="57" t="n"/>
      <c r="C197" s="58" t="n"/>
      <c r="D197" s="58" t="n"/>
      <c r="E197" s="59">
        <f>IF(N($AL197)&gt;0,INDEX(rIni_ADM,$AL197),"")</f>
        <v/>
      </c>
      <c r="F197" s="59">
        <f>IF(N($AL197)&gt;0,INDEX(rLim_ADM,$AL197),"")</f>
        <v/>
      </c>
      <c r="G197" s="59" t="n"/>
      <c r="H197" s="60" t="n"/>
      <c r="I197" s="60" t="n"/>
      <c r="J197" s="60" t="n"/>
      <c r="K197" s="60" t="n"/>
      <c r="L197" s="60" t="n"/>
      <c r="M197" s="61">
        <f>IF(NOT((COUNTA($B197:$D197)+COUNTA($G197:$L197)+COUNTA($Q197))&gt;0),"",IF(ISNUMBER($G197),1,IF(N($W197)&gt;0,AVERAGEIFS($X$5:$X$1000,$U$5:$U$1000,ROW(),$V$5:$V$1000,"Sub"),$X197)))</f>
        <v/>
      </c>
      <c r="N197" s="56">
        <f>IF($M197="","",IF($M197&gt;=1,"Completado",IF($M197&gt;0,"En curso","Pendiente")))</f>
        <v/>
      </c>
      <c r="O197" s="56">
        <f>IF(NOT((COUNTA($B197:$D197)+COUNTA($G197:$L197)+COUNTA($Q197))&gt;0),"",IF(ISNUMBER($G197),IF(AND(ISNUMBER($AN197),$G197&gt;$AN197),"Cumplida con "&amp;($G197-$AN197)&amp;IF($G197-$AN197=1," día"," días")&amp;" de retraso","Cumplida"),IF(N($M197)&gt;=1,"Cumplida",IF(NOT(ISNUMBER($AN197)),"Sin fecha límite",IF($AN197&lt;FechaRef,"Vencida hace "&amp;(FechaRef-$AN197)&amp;IF(FechaRef-$AN197=1," día"," días"),IF($AN197=FechaRef,"Vence hoy",IF($AN197-FechaRef&lt;=DiasAlerta,"Vence en "&amp;($AN197-FechaRef)&amp;IF($AN197-FechaRef=1," día"," días"),"En plazo")))))))</f>
        <v/>
      </c>
      <c r="P197" s="62" t="n"/>
      <c r="Q197" s="58" t="n"/>
      <c r="R197" s="63">
        <f>IF(NOT((COUNTA($B197:$D197)+COUNTA($G197:$L197)+COUNTA($Q197))&gt;0),"",IF((IF($C197="","Falta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",""))="","✔ OK","⚠ "&amp;LEFT(IF($C197="","Falta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",""),LEN(IF($C197="","Falta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",""))-3)))</f>
        <v/>
      </c>
      <c r="S197" s="64">
        <f>IF(NOT((COUNTA($B197:$D197)+COUNTA($G197:$L197)+COUNTA($Q197))&gt;0),"",IF(AND($V197="Sub",N($U197)&gt;0),IF(ISNUMBER(INDEX($AM$5:$AM$1000,$U197-4)),DATE(YEAR(INDEX($AM$5:$AM$1000,$U197-4)),MONTH(INDEX($AM$5:$AM$1000,$U197-4)),1),IF(ISNUMBER(INDEX($AN$5:$AN$1000,$U197-4)),DATE(YEAR(INDEX($AN$5:$AN$1000,$U197-4)),MONTH(INDEX($AN$5:$AN$1000,$U197-4)),1),MesCiclo)),IF(ISNUMBER($AM197),DATE(YEAR($AM197),MONTH($AM197),1),IF(ISNUMBER($AN197),DATE(YEAR($AN197),MONTH($AN197),1),MesCiclo))))</f>
        <v/>
      </c>
      <c r="T197" s="62">
        <f>IF(OR($S197="",$S197&lt;&gt;MesCiclo),"",COUNTIF($S$5:$S197,MesCiclo))</f>
        <v/>
      </c>
      <c r="U197" s="62">
        <f>IF($V197="","",IF($V197="Macro",ROW(),IFERROR(LOOKUP(2,1/($V$5:$V197="Macro"),ROW($V$5:$V197)),0)))</f>
        <v/>
      </c>
      <c r="V197" s="62">
        <f>IF(NOT((COUNTA($B197:$D197)+COUNTA($G197:$L197)+COUNTA($Q197))&gt;0),"",IF($B197="Subactividad","Sub","Macro"))</f>
        <v/>
      </c>
      <c r="W197" s="62">
        <f>IF($V197="Macro",COUNTIFS($U$5:$U$1000,ROW(),$V$5:$V$1000,"Sub"),"")</f>
        <v/>
      </c>
      <c r="X197" s="62">
        <f>IF($V197="","",IF(ISNUMBER($G197),1,IFERROR(LOOKUP(2,1/($I197:$L197&lt;&gt;""),$I197:$L197),0)))</f>
        <v/>
      </c>
      <c r="Y197" s="62">
        <f>IF($V197="","",IF(AND(ISNUMBER($G197),$G197&lt;=IF($S197=MesCiclo,InicioCiclo,$S197+MOD(2-WEEKDAY($S197),7))+6),1,IF(ISNUMBER($I197),$I197,0)))</f>
        <v/>
      </c>
      <c r="Z197" s="62">
        <f>IF($V197="","",IF(AND(ISNUMBER($G197),$G197&lt;=IF($S197=MesCiclo,InicioCiclo,$S197+MOD(2-WEEKDAY($S197),7))+13),1,IF(ISNUMBER($J197),$J197,$Y197)))</f>
        <v/>
      </c>
      <c r="AA197" s="62">
        <f>IF($V197="","",IF(AND(ISNUMBER($G197),$G197&lt;=IF($S197=MesCiclo,InicioCiclo,$S197+MOD(2-WEEKDAY($S197),7))+20),1,IF(ISNUMBER($K197),$K197,$Z197)))</f>
        <v/>
      </c>
      <c r="AB197" s="62">
        <f>IF($V197="","",IF(AND(ISNUMBER($G197),$G197&lt;=IF($S197=MesCiclo,InicioCiclo,$S197+MOD(2-WEEKDAY($S197),7))+27),1,IF(ISNUMBER($L197),$L197,$AA197)))</f>
        <v/>
      </c>
      <c r="AC197" s="62">
        <f>IF($V197="","",IF(AND(ISNUMBER($G197),$G197&lt;=IF($S197=MesCiclo,InicioCiclo,$S197+MOD(2-WEEKDAY($S197),7))+6),1,IF(N($W197)&gt;0,AVERAGEIFS($Y$5:$Y$1000,$U$5:$U$1000,ROW(),$V$5:$V$1000,"Sub"),$Y197)))</f>
        <v/>
      </c>
      <c r="AD197" s="62">
        <f>IF($V197="","",IF(AND(ISNUMBER($G197),$G197&lt;=IF($S197=MesCiclo,InicioCiclo,$S197+MOD(2-WEEKDAY($S197),7))+13),1,IF(N($W197)&gt;0,AVERAGEIFS($Z$5:$Z$1000,$U$5:$U$1000,ROW(),$V$5:$V$1000,"Sub"),$Z197)))</f>
        <v/>
      </c>
      <c r="AE197" s="62">
        <f>IF($V197="","",IF(AND(ISNUMBER($G197),$G197&lt;=IF($S197=MesCiclo,InicioCiclo,$S197+MOD(2-WEEKDAY($S197),7))+20),1,IF(N($W197)&gt;0,AVERAGEIFS($AA$5:$AA$1000,$U$5:$U$1000,ROW(),$V$5:$V$1000,"Sub"),$AA197)))</f>
        <v/>
      </c>
      <c r="AF197" s="62">
        <f>IF($V197="","",IF(AND(ISNUMBER($G197),$G197&lt;=IF($S197=MesCiclo,InicioCiclo,$S197+MOD(2-WEEKDAY($S197),7))+27),1,IF(N($W197)&gt;0,AVERAGEIFS($AB$5:$AB$1000,$U$5:$U$1000,ROW(),$V$5:$V$1000,"Sub"),$AB197)))</f>
        <v/>
      </c>
      <c r="AG197" s="62">
        <f>IF($V197&lt;&gt;"Macro","",IF(COUNTIFS($S$5:$S$1000,$S197,$V$5:$V$1000,"Macro",$H$5:$H$1000,"&gt;0")=0,1/COUNTIFS($S$5:$S$1000,$S197,$V$5:$V$1000,"Macro"),IF(AND(ISNUMBER($H197),N($H197)&gt;0),$H197,SUMIFS($H$5:$H$1000,$S$5:$S$1000,$S197,$V$5:$V$1000,"Macro")/COUNTIFS($S$5:$S$1000,$S197,$V$5:$V$1000,"Macro",$H$5:$H$1000,"&gt;0"))/(COUNTIFS($S$5:$S$1000,$S197,$V$5:$V$1000,"Macro")*SUMIFS($H$5:$H$1000,$S$5:$S$1000,$S197,$V$5:$V$1000,"Macro")/COUNTIFS($S$5:$S$1000,$S197,$V$5:$V$1000,"Macro",$H$5:$H$1000,"&gt;0"))))</f>
        <v/>
      </c>
      <c r="AH197" s="62" t="n"/>
      <c r="AI197" s="62" t="n"/>
      <c r="AJ197" s="62" t="n"/>
      <c r="AK197" s="62" t="n"/>
      <c r="AL197" s="62">
        <f>IF(LEFT($C197,11)="[Jefatura] ",IFERROR(MATCH("Riesgo Operacional|"&amp;MID($C197,12,500),rDname_ADM,0),0),"")</f>
        <v/>
      </c>
      <c r="AM197" s="62">
        <f>IF(N($AL197)&gt;0,INDEX(rIni_ADM,$AL197),IF(ISNUMBER($E197),$E197,""))</f>
        <v/>
      </c>
      <c r="AN197" s="62">
        <f>IF(N($AL197)&gt;0,INDEX(rLim_ADM,$AL197),IF(ISNUMBER($F197),$F197,""))</f>
        <v/>
      </c>
    </row>
    <row r="198">
      <c r="A198" s="56">
        <f>IF(NOT((COUNTA($B198:$D198)+COUNTA($G198:$L198)+COUNTA($Q198))&gt;0),"",IF($V198="Macro",COUNTIFS($V$5:$V198,"Macro",$S$5:$S198,$S198),IF(N($U198)=0,"?",COUNTIFS(INDEX($V$5:$V$1000,1):INDEX($V$5:$V$1000,$U198-4),"Macro",INDEX($S$5:$S$1000,1):INDEX($S$5:$S$1000,$U198-4),INDEX($S$5:$S$1000,$U198-4))&amp;"."&amp;COUNTIFS($U$5:$U198,$U198,$V$5:$V198,"Sub"))))</f>
        <v/>
      </c>
      <c r="B198" s="57" t="n"/>
      <c r="C198" s="58" t="n"/>
      <c r="D198" s="58" t="n"/>
      <c r="E198" s="59">
        <f>IF(N($AL198)&gt;0,INDEX(rIni_ADM,$AL198),"")</f>
        <v/>
      </c>
      <c r="F198" s="59">
        <f>IF(N($AL198)&gt;0,INDEX(rLim_ADM,$AL198),"")</f>
        <v/>
      </c>
      <c r="G198" s="59" t="n"/>
      <c r="H198" s="60" t="n"/>
      <c r="I198" s="60" t="n"/>
      <c r="J198" s="60" t="n"/>
      <c r="K198" s="60" t="n"/>
      <c r="L198" s="60" t="n"/>
      <c r="M198" s="61">
        <f>IF(NOT((COUNTA($B198:$D198)+COUNTA($G198:$L198)+COUNTA($Q198))&gt;0),"",IF(ISNUMBER($G198),1,IF(N($W198)&gt;0,AVERAGEIFS($X$5:$X$1000,$U$5:$U$1000,ROW(),$V$5:$V$1000,"Sub"),$X198)))</f>
        <v/>
      </c>
      <c r="N198" s="56">
        <f>IF($M198="","",IF($M198&gt;=1,"Completado",IF($M198&gt;0,"En curso","Pendiente")))</f>
        <v/>
      </c>
      <c r="O198" s="56">
        <f>IF(NOT((COUNTA($B198:$D198)+COUNTA($G198:$L198)+COUNTA($Q198))&gt;0),"",IF(ISNUMBER($G198),IF(AND(ISNUMBER($AN198),$G198&gt;$AN198),"Cumplida con "&amp;($G198-$AN198)&amp;IF($G198-$AN198=1," día"," días")&amp;" de retraso","Cumplida"),IF(N($M198)&gt;=1,"Cumplida",IF(NOT(ISNUMBER($AN198)),"Sin fecha límite",IF($AN198&lt;FechaRef,"Vencida hace "&amp;(FechaRef-$AN198)&amp;IF(FechaRef-$AN198=1," día"," días"),IF($AN198=FechaRef,"Vence hoy",IF($AN198-FechaRef&lt;=DiasAlerta,"Vence en "&amp;($AN198-FechaRef)&amp;IF($AN198-FechaRef=1," día"," días"),"En plazo")))))))</f>
        <v/>
      </c>
      <c r="P198" s="62" t="n"/>
      <c r="Q198" s="58" t="n"/>
      <c r="R198" s="63">
        <f>IF(NOT((COUNTA($B198:$D198)+COUNTA($G198:$L198)+COUNTA($Q198))&gt;0),"",IF((IF($C198="","Falta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",""))="","✔ OK","⚠ "&amp;LEFT(IF($C198="","Falta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",""),LEN(IF($C198="","Falta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",""))-3)))</f>
        <v/>
      </c>
      <c r="S198" s="64">
        <f>IF(NOT((COUNTA($B198:$D198)+COUNTA($G198:$L198)+COUNTA($Q198))&gt;0),"",IF(AND($V198="Sub",N($U198)&gt;0),IF(ISNUMBER(INDEX($AM$5:$AM$1000,$U198-4)),DATE(YEAR(INDEX($AM$5:$AM$1000,$U198-4)),MONTH(INDEX($AM$5:$AM$1000,$U198-4)),1),IF(ISNUMBER(INDEX($AN$5:$AN$1000,$U198-4)),DATE(YEAR(INDEX($AN$5:$AN$1000,$U198-4)),MONTH(INDEX($AN$5:$AN$1000,$U198-4)),1),MesCiclo)),IF(ISNUMBER($AM198),DATE(YEAR($AM198),MONTH($AM198),1),IF(ISNUMBER($AN198),DATE(YEAR($AN198),MONTH($AN198),1),MesCiclo))))</f>
        <v/>
      </c>
      <c r="T198" s="62">
        <f>IF(OR($S198="",$S198&lt;&gt;MesCiclo),"",COUNTIF($S$5:$S198,MesCiclo))</f>
        <v/>
      </c>
      <c r="U198" s="62">
        <f>IF($V198="","",IF($V198="Macro",ROW(),IFERROR(LOOKUP(2,1/($V$5:$V198="Macro"),ROW($V$5:$V198)),0)))</f>
        <v/>
      </c>
      <c r="V198" s="62">
        <f>IF(NOT((COUNTA($B198:$D198)+COUNTA($G198:$L198)+COUNTA($Q198))&gt;0),"",IF($B198="Subactividad","Sub","Macro"))</f>
        <v/>
      </c>
      <c r="W198" s="62">
        <f>IF($V198="Macro",COUNTIFS($U$5:$U$1000,ROW(),$V$5:$V$1000,"Sub"),"")</f>
        <v/>
      </c>
      <c r="X198" s="62">
        <f>IF($V198="","",IF(ISNUMBER($G198),1,IFERROR(LOOKUP(2,1/($I198:$L198&lt;&gt;""),$I198:$L198),0)))</f>
        <v/>
      </c>
      <c r="Y198" s="62">
        <f>IF($V198="","",IF(AND(ISNUMBER($G198),$G198&lt;=IF($S198=MesCiclo,InicioCiclo,$S198+MOD(2-WEEKDAY($S198),7))+6),1,IF(ISNUMBER($I198),$I198,0)))</f>
        <v/>
      </c>
      <c r="Z198" s="62">
        <f>IF($V198="","",IF(AND(ISNUMBER($G198),$G198&lt;=IF($S198=MesCiclo,InicioCiclo,$S198+MOD(2-WEEKDAY($S198),7))+13),1,IF(ISNUMBER($J198),$J198,$Y198)))</f>
        <v/>
      </c>
      <c r="AA198" s="62">
        <f>IF($V198="","",IF(AND(ISNUMBER($G198),$G198&lt;=IF($S198=MesCiclo,InicioCiclo,$S198+MOD(2-WEEKDAY($S198),7))+20),1,IF(ISNUMBER($K198),$K198,$Z198)))</f>
        <v/>
      </c>
      <c r="AB198" s="62">
        <f>IF($V198="","",IF(AND(ISNUMBER($G198),$G198&lt;=IF($S198=MesCiclo,InicioCiclo,$S198+MOD(2-WEEKDAY($S198),7))+27),1,IF(ISNUMBER($L198),$L198,$AA198)))</f>
        <v/>
      </c>
      <c r="AC198" s="62">
        <f>IF($V198="","",IF(AND(ISNUMBER($G198),$G198&lt;=IF($S198=MesCiclo,InicioCiclo,$S198+MOD(2-WEEKDAY($S198),7))+6),1,IF(N($W198)&gt;0,AVERAGEIFS($Y$5:$Y$1000,$U$5:$U$1000,ROW(),$V$5:$V$1000,"Sub"),$Y198)))</f>
        <v/>
      </c>
      <c r="AD198" s="62">
        <f>IF($V198="","",IF(AND(ISNUMBER($G198),$G198&lt;=IF($S198=MesCiclo,InicioCiclo,$S198+MOD(2-WEEKDAY($S198),7))+13),1,IF(N($W198)&gt;0,AVERAGEIFS($Z$5:$Z$1000,$U$5:$U$1000,ROW(),$V$5:$V$1000,"Sub"),$Z198)))</f>
        <v/>
      </c>
      <c r="AE198" s="62">
        <f>IF($V198="","",IF(AND(ISNUMBER($G198),$G198&lt;=IF($S198=MesCiclo,InicioCiclo,$S198+MOD(2-WEEKDAY($S198),7))+20),1,IF(N($W198)&gt;0,AVERAGEIFS($AA$5:$AA$1000,$U$5:$U$1000,ROW(),$V$5:$V$1000,"Sub"),$AA198)))</f>
        <v/>
      </c>
      <c r="AF198" s="62">
        <f>IF($V198="","",IF(AND(ISNUMBER($G198),$G198&lt;=IF($S198=MesCiclo,InicioCiclo,$S198+MOD(2-WEEKDAY($S198),7))+27),1,IF(N($W198)&gt;0,AVERAGEIFS($AB$5:$AB$1000,$U$5:$U$1000,ROW(),$V$5:$V$1000,"Sub"),$AB198)))</f>
        <v/>
      </c>
      <c r="AG198" s="62">
        <f>IF($V198&lt;&gt;"Macro","",IF(COUNTIFS($S$5:$S$1000,$S198,$V$5:$V$1000,"Macro",$H$5:$H$1000,"&gt;0")=0,1/COUNTIFS($S$5:$S$1000,$S198,$V$5:$V$1000,"Macro"),IF(AND(ISNUMBER($H198),N($H198)&gt;0),$H198,SUMIFS($H$5:$H$1000,$S$5:$S$1000,$S198,$V$5:$V$1000,"Macro")/COUNTIFS($S$5:$S$1000,$S198,$V$5:$V$1000,"Macro",$H$5:$H$1000,"&gt;0"))/(COUNTIFS($S$5:$S$1000,$S198,$V$5:$V$1000,"Macro")*SUMIFS($H$5:$H$1000,$S$5:$S$1000,$S198,$V$5:$V$1000,"Macro")/COUNTIFS($S$5:$S$1000,$S198,$V$5:$V$1000,"Macro",$H$5:$H$1000,"&gt;0"))))</f>
        <v/>
      </c>
      <c r="AH198" s="62" t="n"/>
      <c r="AI198" s="62" t="n"/>
      <c r="AJ198" s="62" t="n"/>
      <c r="AK198" s="62" t="n"/>
      <c r="AL198" s="62">
        <f>IF(LEFT($C198,11)="[Jefatura] ",IFERROR(MATCH("Riesgo Operacional|"&amp;MID($C198,12,500),rDname_ADM,0),0),"")</f>
        <v/>
      </c>
      <c r="AM198" s="62">
        <f>IF(N($AL198)&gt;0,INDEX(rIni_ADM,$AL198),IF(ISNUMBER($E198),$E198,""))</f>
        <v/>
      </c>
      <c r="AN198" s="62">
        <f>IF(N($AL198)&gt;0,INDEX(rLim_ADM,$AL198),IF(ISNUMBER($F198),$F198,""))</f>
        <v/>
      </c>
    </row>
    <row r="199">
      <c r="A199" s="56">
        <f>IF(NOT((COUNTA($B199:$D199)+COUNTA($G199:$L199)+COUNTA($Q199))&gt;0),"",IF($V199="Macro",COUNTIFS($V$5:$V199,"Macro",$S$5:$S199,$S199),IF(N($U199)=0,"?",COUNTIFS(INDEX($V$5:$V$1000,1):INDEX($V$5:$V$1000,$U199-4),"Macro",INDEX($S$5:$S$1000,1):INDEX($S$5:$S$1000,$U199-4),INDEX($S$5:$S$1000,$U199-4))&amp;"."&amp;COUNTIFS($U$5:$U199,$U199,$V$5:$V199,"Sub"))))</f>
        <v/>
      </c>
      <c r="B199" s="57" t="n"/>
      <c r="C199" s="58" t="n"/>
      <c r="D199" s="58" t="n"/>
      <c r="E199" s="59">
        <f>IF(N($AL199)&gt;0,INDEX(rIni_ADM,$AL199),"")</f>
        <v/>
      </c>
      <c r="F199" s="59">
        <f>IF(N($AL199)&gt;0,INDEX(rLim_ADM,$AL199),"")</f>
        <v/>
      </c>
      <c r="G199" s="59" t="n"/>
      <c r="H199" s="60" t="n"/>
      <c r="I199" s="60" t="n"/>
      <c r="J199" s="60" t="n"/>
      <c r="K199" s="60" t="n"/>
      <c r="L199" s="60" t="n"/>
      <c r="M199" s="61">
        <f>IF(NOT((COUNTA($B199:$D199)+COUNTA($G199:$L199)+COUNTA($Q199))&gt;0),"",IF(ISNUMBER($G199),1,IF(N($W199)&gt;0,AVERAGEIFS($X$5:$X$1000,$U$5:$U$1000,ROW(),$V$5:$V$1000,"Sub"),$X199)))</f>
        <v/>
      </c>
      <c r="N199" s="56">
        <f>IF($M199="","",IF($M199&gt;=1,"Completado",IF($M199&gt;0,"En curso","Pendiente")))</f>
        <v/>
      </c>
      <c r="O199" s="56">
        <f>IF(NOT((COUNTA($B199:$D199)+COUNTA($G199:$L199)+COUNTA($Q199))&gt;0),"",IF(ISNUMBER($G199),IF(AND(ISNUMBER($AN199),$G199&gt;$AN199),"Cumplida con "&amp;($G199-$AN199)&amp;IF($G199-$AN199=1," día"," días")&amp;" de retraso","Cumplida"),IF(N($M199)&gt;=1,"Cumplida",IF(NOT(ISNUMBER($AN199)),"Sin fecha límite",IF($AN199&lt;FechaRef,"Vencida hace "&amp;(FechaRef-$AN199)&amp;IF(FechaRef-$AN199=1," día"," días"),IF($AN199=FechaRef,"Vence hoy",IF($AN199-FechaRef&lt;=DiasAlerta,"Vence en "&amp;($AN199-FechaRef)&amp;IF($AN199-FechaRef=1," día"," días"),"En plazo")))))))</f>
        <v/>
      </c>
      <c r="P199" s="62" t="n"/>
      <c r="Q199" s="58" t="n"/>
      <c r="R199" s="63">
        <f>IF(NOT((COUNTA($B199:$D199)+COUNTA($G199:$L199)+COUNTA($Q199))&gt;0),"",IF((IF($C199="","Falta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",""))="","✔ OK","⚠ "&amp;LEFT(IF($C199="","Falta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",""),LEN(IF($C199="","Falta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",""))-3)))</f>
        <v/>
      </c>
      <c r="S199" s="64">
        <f>IF(NOT((COUNTA($B199:$D199)+COUNTA($G199:$L199)+COUNTA($Q199))&gt;0),"",IF(AND($V199="Sub",N($U199)&gt;0),IF(ISNUMBER(INDEX($AM$5:$AM$1000,$U199-4)),DATE(YEAR(INDEX($AM$5:$AM$1000,$U199-4)),MONTH(INDEX($AM$5:$AM$1000,$U199-4)),1),IF(ISNUMBER(INDEX($AN$5:$AN$1000,$U199-4)),DATE(YEAR(INDEX($AN$5:$AN$1000,$U199-4)),MONTH(INDEX($AN$5:$AN$1000,$U199-4)),1),MesCiclo)),IF(ISNUMBER($AM199),DATE(YEAR($AM199),MONTH($AM199),1),IF(ISNUMBER($AN199),DATE(YEAR($AN199),MONTH($AN199),1),MesCiclo))))</f>
        <v/>
      </c>
      <c r="T199" s="62">
        <f>IF(OR($S199="",$S199&lt;&gt;MesCiclo),"",COUNTIF($S$5:$S199,MesCiclo))</f>
        <v/>
      </c>
      <c r="U199" s="62">
        <f>IF($V199="","",IF($V199="Macro",ROW(),IFERROR(LOOKUP(2,1/($V$5:$V199="Macro"),ROW($V$5:$V199)),0)))</f>
        <v/>
      </c>
      <c r="V199" s="62">
        <f>IF(NOT((COUNTA($B199:$D199)+COUNTA($G199:$L199)+COUNTA($Q199))&gt;0),"",IF($B199="Subactividad","Sub","Macro"))</f>
        <v/>
      </c>
      <c r="W199" s="62">
        <f>IF($V199="Macro",COUNTIFS($U$5:$U$1000,ROW(),$V$5:$V$1000,"Sub"),"")</f>
        <v/>
      </c>
      <c r="X199" s="62">
        <f>IF($V199="","",IF(ISNUMBER($G199),1,IFERROR(LOOKUP(2,1/($I199:$L199&lt;&gt;""),$I199:$L199),0)))</f>
        <v/>
      </c>
      <c r="Y199" s="62">
        <f>IF($V199="","",IF(AND(ISNUMBER($G199),$G199&lt;=IF($S199=MesCiclo,InicioCiclo,$S199+MOD(2-WEEKDAY($S199),7))+6),1,IF(ISNUMBER($I199),$I199,0)))</f>
        <v/>
      </c>
      <c r="Z199" s="62">
        <f>IF($V199="","",IF(AND(ISNUMBER($G199),$G199&lt;=IF($S199=MesCiclo,InicioCiclo,$S199+MOD(2-WEEKDAY($S199),7))+13),1,IF(ISNUMBER($J199),$J199,$Y199)))</f>
        <v/>
      </c>
      <c r="AA199" s="62">
        <f>IF($V199="","",IF(AND(ISNUMBER($G199),$G199&lt;=IF($S199=MesCiclo,InicioCiclo,$S199+MOD(2-WEEKDAY($S199),7))+20),1,IF(ISNUMBER($K199),$K199,$Z199)))</f>
        <v/>
      </c>
      <c r="AB199" s="62">
        <f>IF($V199="","",IF(AND(ISNUMBER($G199),$G199&lt;=IF($S199=MesCiclo,InicioCiclo,$S199+MOD(2-WEEKDAY($S199),7))+27),1,IF(ISNUMBER($L199),$L199,$AA199)))</f>
        <v/>
      </c>
      <c r="AC199" s="62">
        <f>IF($V199="","",IF(AND(ISNUMBER($G199),$G199&lt;=IF($S199=MesCiclo,InicioCiclo,$S199+MOD(2-WEEKDAY($S199),7))+6),1,IF(N($W199)&gt;0,AVERAGEIFS($Y$5:$Y$1000,$U$5:$U$1000,ROW(),$V$5:$V$1000,"Sub"),$Y199)))</f>
        <v/>
      </c>
      <c r="AD199" s="62">
        <f>IF($V199="","",IF(AND(ISNUMBER($G199),$G199&lt;=IF($S199=MesCiclo,InicioCiclo,$S199+MOD(2-WEEKDAY($S199),7))+13),1,IF(N($W199)&gt;0,AVERAGEIFS($Z$5:$Z$1000,$U$5:$U$1000,ROW(),$V$5:$V$1000,"Sub"),$Z199)))</f>
        <v/>
      </c>
      <c r="AE199" s="62">
        <f>IF($V199="","",IF(AND(ISNUMBER($G199),$G199&lt;=IF($S199=MesCiclo,InicioCiclo,$S199+MOD(2-WEEKDAY($S199),7))+20),1,IF(N($W199)&gt;0,AVERAGEIFS($AA$5:$AA$1000,$U$5:$U$1000,ROW(),$V$5:$V$1000,"Sub"),$AA199)))</f>
        <v/>
      </c>
      <c r="AF199" s="62">
        <f>IF($V199="","",IF(AND(ISNUMBER($G199),$G199&lt;=IF($S199=MesCiclo,InicioCiclo,$S199+MOD(2-WEEKDAY($S199),7))+27),1,IF(N($W199)&gt;0,AVERAGEIFS($AB$5:$AB$1000,$U$5:$U$1000,ROW(),$V$5:$V$1000,"Sub"),$AB199)))</f>
        <v/>
      </c>
      <c r="AG199" s="62">
        <f>IF($V199&lt;&gt;"Macro","",IF(COUNTIFS($S$5:$S$1000,$S199,$V$5:$V$1000,"Macro",$H$5:$H$1000,"&gt;0")=0,1/COUNTIFS($S$5:$S$1000,$S199,$V$5:$V$1000,"Macro"),IF(AND(ISNUMBER($H199),N($H199)&gt;0),$H199,SUMIFS($H$5:$H$1000,$S$5:$S$1000,$S199,$V$5:$V$1000,"Macro")/COUNTIFS($S$5:$S$1000,$S199,$V$5:$V$1000,"Macro",$H$5:$H$1000,"&gt;0"))/(COUNTIFS($S$5:$S$1000,$S199,$V$5:$V$1000,"Macro")*SUMIFS($H$5:$H$1000,$S$5:$S$1000,$S199,$V$5:$V$1000,"Macro")/COUNTIFS($S$5:$S$1000,$S199,$V$5:$V$1000,"Macro",$H$5:$H$1000,"&gt;0"))))</f>
        <v/>
      </c>
      <c r="AH199" s="62" t="n"/>
      <c r="AI199" s="62" t="n"/>
      <c r="AJ199" s="62" t="n"/>
      <c r="AK199" s="62" t="n"/>
      <c r="AL199" s="62">
        <f>IF(LEFT($C199,11)="[Jefatura] ",IFERROR(MATCH("Riesgo Operacional|"&amp;MID($C199,12,500),rDname_ADM,0),0),"")</f>
        <v/>
      </c>
      <c r="AM199" s="62">
        <f>IF(N($AL199)&gt;0,INDEX(rIni_ADM,$AL199),IF(ISNUMBER($E199),$E199,""))</f>
        <v/>
      </c>
      <c r="AN199" s="62">
        <f>IF(N($AL199)&gt;0,INDEX(rLim_ADM,$AL199),IF(ISNUMBER($F199),$F199,""))</f>
        <v/>
      </c>
    </row>
    <row r="200">
      <c r="A200" s="56">
        <f>IF(NOT((COUNTA($B200:$D200)+COUNTA($G200:$L200)+COUNTA($Q200))&gt;0),"",IF($V200="Macro",COUNTIFS($V$5:$V200,"Macro",$S$5:$S200,$S200),IF(N($U200)=0,"?",COUNTIFS(INDEX($V$5:$V$1000,1):INDEX($V$5:$V$1000,$U200-4),"Macro",INDEX($S$5:$S$1000,1):INDEX($S$5:$S$1000,$U200-4),INDEX($S$5:$S$1000,$U200-4))&amp;"."&amp;COUNTIFS($U$5:$U200,$U200,$V$5:$V200,"Sub"))))</f>
        <v/>
      </c>
      <c r="B200" s="57" t="n"/>
      <c r="C200" s="58" t="n"/>
      <c r="D200" s="58" t="n"/>
      <c r="E200" s="59">
        <f>IF(N($AL200)&gt;0,INDEX(rIni_ADM,$AL200),"")</f>
        <v/>
      </c>
      <c r="F200" s="59">
        <f>IF(N($AL200)&gt;0,INDEX(rLim_ADM,$AL200),"")</f>
        <v/>
      </c>
      <c r="G200" s="59" t="n"/>
      <c r="H200" s="60" t="n"/>
      <c r="I200" s="60" t="n"/>
      <c r="J200" s="60" t="n"/>
      <c r="K200" s="60" t="n"/>
      <c r="L200" s="60" t="n"/>
      <c r="M200" s="61">
        <f>IF(NOT((COUNTA($B200:$D200)+COUNTA($G200:$L200)+COUNTA($Q200))&gt;0),"",IF(ISNUMBER($G200),1,IF(N($W200)&gt;0,AVERAGEIFS($X$5:$X$1000,$U$5:$U$1000,ROW(),$V$5:$V$1000,"Sub"),$X200)))</f>
        <v/>
      </c>
      <c r="N200" s="56">
        <f>IF($M200="","",IF($M200&gt;=1,"Completado",IF($M200&gt;0,"En curso","Pendiente")))</f>
        <v/>
      </c>
      <c r="O200" s="56">
        <f>IF(NOT((COUNTA($B200:$D200)+COUNTA($G200:$L200)+COUNTA($Q200))&gt;0),"",IF(ISNUMBER($G200),IF(AND(ISNUMBER($AN200),$G200&gt;$AN200),"Cumplida con "&amp;($G200-$AN200)&amp;IF($G200-$AN200=1," día"," días")&amp;" de retraso","Cumplida"),IF(N($M200)&gt;=1,"Cumplida",IF(NOT(ISNUMBER($AN200)),"Sin fecha límite",IF($AN200&lt;FechaRef,"Vencida hace "&amp;(FechaRef-$AN200)&amp;IF(FechaRef-$AN200=1," día"," días"),IF($AN200=FechaRef,"Vence hoy",IF($AN200-FechaRef&lt;=DiasAlerta,"Vence en "&amp;($AN200-FechaRef)&amp;IF($AN200-FechaRef=1," día"," días"),"En plazo")))))))</f>
        <v/>
      </c>
      <c r="P200" s="62" t="n"/>
      <c r="Q200" s="58" t="n"/>
      <c r="R200" s="63">
        <f>IF(NOT((COUNTA($B200:$D200)+COUNTA($G200:$L200)+COUNTA($Q200))&gt;0),"",IF((IF($C200="","Falta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",""))="","✔ OK","⚠ "&amp;LEFT(IF($C200="","Falta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",""),LEN(IF($C200="","Falta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",""))-3)))</f>
        <v/>
      </c>
      <c r="S200" s="64">
        <f>IF(NOT((COUNTA($B200:$D200)+COUNTA($G200:$L200)+COUNTA($Q200))&gt;0),"",IF(AND($V200="Sub",N($U200)&gt;0),IF(ISNUMBER(INDEX($AM$5:$AM$1000,$U200-4)),DATE(YEAR(INDEX($AM$5:$AM$1000,$U200-4)),MONTH(INDEX($AM$5:$AM$1000,$U200-4)),1),IF(ISNUMBER(INDEX($AN$5:$AN$1000,$U200-4)),DATE(YEAR(INDEX($AN$5:$AN$1000,$U200-4)),MONTH(INDEX($AN$5:$AN$1000,$U200-4)),1),MesCiclo)),IF(ISNUMBER($AM200),DATE(YEAR($AM200),MONTH($AM200),1),IF(ISNUMBER($AN200),DATE(YEAR($AN200),MONTH($AN200),1),MesCiclo))))</f>
        <v/>
      </c>
      <c r="T200" s="62">
        <f>IF(OR($S200="",$S200&lt;&gt;MesCiclo),"",COUNTIF($S$5:$S200,MesCiclo))</f>
        <v/>
      </c>
      <c r="U200" s="62">
        <f>IF($V200="","",IF($V200="Macro",ROW(),IFERROR(LOOKUP(2,1/($V$5:$V200="Macro"),ROW($V$5:$V200)),0)))</f>
        <v/>
      </c>
      <c r="V200" s="62">
        <f>IF(NOT((COUNTA($B200:$D200)+COUNTA($G200:$L200)+COUNTA($Q200))&gt;0),"",IF($B200="Subactividad","Sub","Macro"))</f>
        <v/>
      </c>
      <c r="W200" s="62">
        <f>IF($V200="Macro",COUNTIFS($U$5:$U$1000,ROW(),$V$5:$V$1000,"Sub"),"")</f>
        <v/>
      </c>
      <c r="X200" s="62">
        <f>IF($V200="","",IF(ISNUMBER($G200),1,IFERROR(LOOKUP(2,1/($I200:$L200&lt;&gt;""),$I200:$L200),0)))</f>
        <v/>
      </c>
      <c r="Y200" s="62">
        <f>IF($V200="","",IF(AND(ISNUMBER($G200),$G200&lt;=IF($S200=MesCiclo,InicioCiclo,$S200+MOD(2-WEEKDAY($S200),7))+6),1,IF(ISNUMBER($I200),$I200,0)))</f>
        <v/>
      </c>
      <c r="Z200" s="62">
        <f>IF($V200="","",IF(AND(ISNUMBER($G200),$G200&lt;=IF($S200=MesCiclo,InicioCiclo,$S200+MOD(2-WEEKDAY($S200),7))+13),1,IF(ISNUMBER($J200),$J200,$Y200)))</f>
        <v/>
      </c>
      <c r="AA200" s="62">
        <f>IF($V200="","",IF(AND(ISNUMBER($G200),$G200&lt;=IF($S200=MesCiclo,InicioCiclo,$S200+MOD(2-WEEKDAY($S200),7))+20),1,IF(ISNUMBER($K200),$K200,$Z200)))</f>
        <v/>
      </c>
      <c r="AB200" s="62">
        <f>IF($V200="","",IF(AND(ISNUMBER($G200),$G200&lt;=IF($S200=MesCiclo,InicioCiclo,$S200+MOD(2-WEEKDAY($S200),7))+27),1,IF(ISNUMBER($L200),$L200,$AA200)))</f>
        <v/>
      </c>
      <c r="AC200" s="62">
        <f>IF($V200="","",IF(AND(ISNUMBER($G200),$G200&lt;=IF($S200=MesCiclo,InicioCiclo,$S200+MOD(2-WEEKDAY($S200),7))+6),1,IF(N($W200)&gt;0,AVERAGEIFS($Y$5:$Y$1000,$U$5:$U$1000,ROW(),$V$5:$V$1000,"Sub"),$Y200)))</f>
        <v/>
      </c>
      <c r="AD200" s="62">
        <f>IF($V200="","",IF(AND(ISNUMBER($G200),$G200&lt;=IF($S200=MesCiclo,InicioCiclo,$S200+MOD(2-WEEKDAY($S200),7))+13),1,IF(N($W200)&gt;0,AVERAGEIFS($Z$5:$Z$1000,$U$5:$U$1000,ROW(),$V$5:$V$1000,"Sub"),$Z200)))</f>
        <v/>
      </c>
      <c r="AE200" s="62">
        <f>IF($V200="","",IF(AND(ISNUMBER($G200),$G200&lt;=IF($S200=MesCiclo,InicioCiclo,$S200+MOD(2-WEEKDAY($S200),7))+20),1,IF(N($W200)&gt;0,AVERAGEIFS($AA$5:$AA$1000,$U$5:$U$1000,ROW(),$V$5:$V$1000,"Sub"),$AA200)))</f>
        <v/>
      </c>
      <c r="AF200" s="62">
        <f>IF($V200="","",IF(AND(ISNUMBER($G200),$G200&lt;=IF($S200=MesCiclo,InicioCiclo,$S200+MOD(2-WEEKDAY($S200),7))+27),1,IF(N($W200)&gt;0,AVERAGEIFS($AB$5:$AB$1000,$U$5:$U$1000,ROW(),$V$5:$V$1000,"Sub"),$AB200)))</f>
        <v/>
      </c>
      <c r="AG200" s="62">
        <f>IF($V200&lt;&gt;"Macro","",IF(COUNTIFS($S$5:$S$1000,$S200,$V$5:$V$1000,"Macro",$H$5:$H$1000,"&gt;0")=0,1/COUNTIFS($S$5:$S$1000,$S200,$V$5:$V$1000,"Macro"),IF(AND(ISNUMBER($H200),N($H200)&gt;0),$H200,SUMIFS($H$5:$H$1000,$S$5:$S$1000,$S200,$V$5:$V$1000,"Macro")/COUNTIFS($S$5:$S$1000,$S200,$V$5:$V$1000,"Macro",$H$5:$H$1000,"&gt;0"))/(COUNTIFS($S$5:$S$1000,$S200,$V$5:$V$1000,"Macro")*SUMIFS($H$5:$H$1000,$S$5:$S$1000,$S200,$V$5:$V$1000,"Macro")/COUNTIFS($S$5:$S$1000,$S200,$V$5:$V$1000,"Macro",$H$5:$H$1000,"&gt;0"))))</f>
        <v/>
      </c>
      <c r="AH200" s="62" t="n"/>
      <c r="AI200" s="62" t="n"/>
      <c r="AJ200" s="62" t="n"/>
      <c r="AK200" s="62" t="n"/>
      <c r="AL200" s="62">
        <f>IF(LEFT($C200,11)="[Jefatura] ",IFERROR(MATCH("Riesgo Operacional|"&amp;MID($C200,12,500),rDname_ADM,0),0),"")</f>
        <v/>
      </c>
      <c r="AM200" s="62">
        <f>IF(N($AL200)&gt;0,INDEX(rIni_ADM,$AL200),IF(ISNUMBER($E200),$E200,""))</f>
        <v/>
      </c>
      <c r="AN200" s="62">
        <f>IF(N($AL200)&gt;0,INDEX(rLim_ADM,$AL200),IF(ISNUMBER($F200),$F200,""))</f>
        <v/>
      </c>
    </row>
    <row r="201">
      <c r="A201" s="56">
        <f>IF(NOT((COUNTA($B201:$D201)+COUNTA($G201:$L201)+COUNTA($Q201))&gt;0),"",IF($V201="Macro",COUNTIFS($V$5:$V201,"Macro",$S$5:$S201,$S201),IF(N($U201)=0,"?",COUNTIFS(INDEX($V$5:$V$1000,1):INDEX($V$5:$V$1000,$U201-4),"Macro",INDEX($S$5:$S$1000,1):INDEX($S$5:$S$1000,$U201-4),INDEX($S$5:$S$1000,$U201-4))&amp;"."&amp;COUNTIFS($U$5:$U201,$U201,$V$5:$V201,"Sub"))))</f>
        <v/>
      </c>
      <c r="B201" s="57" t="n"/>
      <c r="C201" s="58" t="n"/>
      <c r="D201" s="58" t="n"/>
      <c r="E201" s="59">
        <f>IF(N($AL201)&gt;0,INDEX(rIni_ADM,$AL201),"")</f>
        <v/>
      </c>
      <c r="F201" s="59">
        <f>IF(N($AL201)&gt;0,INDEX(rLim_ADM,$AL201),"")</f>
        <v/>
      </c>
      <c r="G201" s="59" t="n"/>
      <c r="H201" s="60" t="n"/>
      <c r="I201" s="60" t="n"/>
      <c r="J201" s="60" t="n"/>
      <c r="K201" s="60" t="n"/>
      <c r="L201" s="60" t="n"/>
      <c r="M201" s="61">
        <f>IF(NOT((COUNTA($B201:$D201)+COUNTA($G201:$L201)+COUNTA($Q201))&gt;0),"",IF(ISNUMBER($G201),1,IF(N($W201)&gt;0,AVERAGEIFS($X$5:$X$1000,$U$5:$U$1000,ROW(),$V$5:$V$1000,"Sub"),$X201)))</f>
        <v/>
      </c>
      <c r="N201" s="56">
        <f>IF($M201="","",IF($M201&gt;=1,"Completado",IF($M201&gt;0,"En curso","Pendiente")))</f>
        <v/>
      </c>
      <c r="O201" s="56">
        <f>IF(NOT((COUNTA($B201:$D201)+COUNTA($G201:$L201)+COUNTA($Q201))&gt;0),"",IF(ISNUMBER($G201),IF(AND(ISNUMBER($AN201),$G201&gt;$AN201),"Cumplida con "&amp;($G201-$AN201)&amp;IF($G201-$AN201=1," día"," días")&amp;" de retraso","Cumplida"),IF(N($M201)&gt;=1,"Cumplida",IF(NOT(ISNUMBER($AN201)),"Sin fecha límite",IF($AN201&lt;FechaRef,"Vencida hace "&amp;(FechaRef-$AN201)&amp;IF(FechaRef-$AN201=1," día"," días"),IF($AN201=FechaRef,"Vence hoy",IF($AN201-FechaRef&lt;=DiasAlerta,"Vence en "&amp;($AN201-FechaRef)&amp;IF($AN201-FechaRef=1," día"," días"),"En plazo")))))))</f>
        <v/>
      </c>
      <c r="P201" s="62" t="n"/>
      <c r="Q201" s="58" t="n"/>
      <c r="R201" s="63">
        <f>IF(NOT((COUNTA($B201:$D201)+COUNTA($G201:$L201)+COUNTA($Q201))&gt;0),"",IF((IF($C201="","Falta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",""))="","✔ OK","⚠ "&amp;LEFT(IF($C201="","Falta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",""),LEN(IF($C201="","Falta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",""))-3)))</f>
        <v/>
      </c>
      <c r="S201" s="64">
        <f>IF(NOT((COUNTA($B201:$D201)+COUNTA($G201:$L201)+COUNTA($Q201))&gt;0),"",IF(AND($V201="Sub",N($U201)&gt;0),IF(ISNUMBER(INDEX($AM$5:$AM$1000,$U201-4)),DATE(YEAR(INDEX($AM$5:$AM$1000,$U201-4)),MONTH(INDEX($AM$5:$AM$1000,$U201-4)),1),IF(ISNUMBER(INDEX($AN$5:$AN$1000,$U201-4)),DATE(YEAR(INDEX($AN$5:$AN$1000,$U201-4)),MONTH(INDEX($AN$5:$AN$1000,$U201-4)),1),MesCiclo)),IF(ISNUMBER($AM201),DATE(YEAR($AM201),MONTH($AM201),1),IF(ISNUMBER($AN201),DATE(YEAR($AN201),MONTH($AN201),1),MesCiclo))))</f>
        <v/>
      </c>
      <c r="T201" s="62">
        <f>IF(OR($S201="",$S201&lt;&gt;MesCiclo),"",COUNTIF($S$5:$S201,MesCiclo))</f>
        <v/>
      </c>
      <c r="U201" s="62">
        <f>IF($V201="","",IF($V201="Macro",ROW(),IFERROR(LOOKUP(2,1/($V$5:$V201="Macro"),ROW($V$5:$V201)),0)))</f>
        <v/>
      </c>
      <c r="V201" s="62">
        <f>IF(NOT((COUNTA($B201:$D201)+COUNTA($G201:$L201)+COUNTA($Q201))&gt;0),"",IF($B201="Subactividad","Sub","Macro"))</f>
        <v/>
      </c>
      <c r="W201" s="62">
        <f>IF($V201="Macro",COUNTIFS($U$5:$U$1000,ROW(),$V$5:$V$1000,"Sub"),"")</f>
        <v/>
      </c>
      <c r="X201" s="62">
        <f>IF($V201="","",IF(ISNUMBER($G201),1,IFERROR(LOOKUP(2,1/($I201:$L201&lt;&gt;""),$I201:$L201),0)))</f>
        <v/>
      </c>
      <c r="Y201" s="62">
        <f>IF($V201="","",IF(AND(ISNUMBER($G201),$G201&lt;=IF($S201=MesCiclo,InicioCiclo,$S201+MOD(2-WEEKDAY($S201),7))+6),1,IF(ISNUMBER($I201),$I201,0)))</f>
        <v/>
      </c>
      <c r="Z201" s="62">
        <f>IF($V201="","",IF(AND(ISNUMBER($G201),$G201&lt;=IF($S201=MesCiclo,InicioCiclo,$S201+MOD(2-WEEKDAY($S201),7))+13),1,IF(ISNUMBER($J201),$J201,$Y201)))</f>
        <v/>
      </c>
      <c r="AA201" s="62">
        <f>IF($V201="","",IF(AND(ISNUMBER($G201),$G201&lt;=IF($S201=MesCiclo,InicioCiclo,$S201+MOD(2-WEEKDAY($S201),7))+20),1,IF(ISNUMBER($K201),$K201,$Z201)))</f>
        <v/>
      </c>
      <c r="AB201" s="62">
        <f>IF($V201="","",IF(AND(ISNUMBER($G201),$G201&lt;=IF($S201=MesCiclo,InicioCiclo,$S201+MOD(2-WEEKDAY($S201),7))+27),1,IF(ISNUMBER($L201),$L201,$AA201)))</f>
        <v/>
      </c>
      <c r="AC201" s="62">
        <f>IF($V201="","",IF(AND(ISNUMBER($G201),$G201&lt;=IF($S201=MesCiclo,InicioCiclo,$S201+MOD(2-WEEKDAY($S201),7))+6),1,IF(N($W201)&gt;0,AVERAGEIFS($Y$5:$Y$1000,$U$5:$U$1000,ROW(),$V$5:$V$1000,"Sub"),$Y201)))</f>
        <v/>
      </c>
      <c r="AD201" s="62">
        <f>IF($V201="","",IF(AND(ISNUMBER($G201),$G201&lt;=IF($S201=MesCiclo,InicioCiclo,$S201+MOD(2-WEEKDAY($S201),7))+13),1,IF(N($W201)&gt;0,AVERAGEIFS($Z$5:$Z$1000,$U$5:$U$1000,ROW(),$V$5:$V$1000,"Sub"),$Z201)))</f>
        <v/>
      </c>
      <c r="AE201" s="62">
        <f>IF($V201="","",IF(AND(ISNUMBER($G201),$G201&lt;=IF($S201=MesCiclo,InicioCiclo,$S201+MOD(2-WEEKDAY($S201),7))+20),1,IF(N($W201)&gt;0,AVERAGEIFS($AA$5:$AA$1000,$U$5:$U$1000,ROW(),$V$5:$V$1000,"Sub"),$AA201)))</f>
        <v/>
      </c>
      <c r="AF201" s="62">
        <f>IF($V201="","",IF(AND(ISNUMBER($G201),$G201&lt;=IF($S201=MesCiclo,InicioCiclo,$S201+MOD(2-WEEKDAY($S201),7))+27),1,IF(N($W201)&gt;0,AVERAGEIFS($AB$5:$AB$1000,$U$5:$U$1000,ROW(),$V$5:$V$1000,"Sub"),$AB201)))</f>
        <v/>
      </c>
      <c r="AG201" s="62">
        <f>IF($V201&lt;&gt;"Macro","",IF(COUNTIFS($S$5:$S$1000,$S201,$V$5:$V$1000,"Macro",$H$5:$H$1000,"&gt;0")=0,1/COUNTIFS($S$5:$S$1000,$S201,$V$5:$V$1000,"Macro"),IF(AND(ISNUMBER($H201),N($H201)&gt;0),$H201,SUMIFS($H$5:$H$1000,$S$5:$S$1000,$S201,$V$5:$V$1000,"Macro")/COUNTIFS($S$5:$S$1000,$S201,$V$5:$V$1000,"Macro",$H$5:$H$1000,"&gt;0"))/(COUNTIFS($S$5:$S$1000,$S201,$V$5:$V$1000,"Macro")*SUMIFS($H$5:$H$1000,$S$5:$S$1000,$S201,$V$5:$V$1000,"Macro")/COUNTIFS($S$5:$S$1000,$S201,$V$5:$V$1000,"Macro",$H$5:$H$1000,"&gt;0"))))</f>
        <v/>
      </c>
      <c r="AH201" s="62" t="n"/>
      <c r="AI201" s="62" t="n"/>
      <c r="AJ201" s="62" t="n"/>
      <c r="AK201" s="62" t="n"/>
      <c r="AL201" s="62">
        <f>IF(LEFT($C201,11)="[Jefatura] ",IFERROR(MATCH("Riesgo Operacional|"&amp;MID($C201,12,500),rDname_ADM,0),0),"")</f>
        <v/>
      </c>
      <c r="AM201" s="62">
        <f>IF(N($AL201)&gt;0,INDEX(rIni_ADM,$AL201),IF(ISNUMBER($E201),$E201,""))</f>
        <v/>
      </c>
      <c r="AN201" s="62">
        <f>IF(N($AL201)&gt;0,INDEX(rLim_ADM,$AL201),IF(ISNUMBER($F201),$F201,""))</f>
        <v/>
      </c>
    </row>
    <row r="202">
      <c r="A202" s="56">
        <f>IF(NOT((COUNTA($B202:$D202)+COUNTA($G202:$L202)+COUNTA($Q202))&gt;0),"",IF($V202="Macro",COUNTIFS($V$5:$V202,"Macro",$S$5:$S202,$S202),IF(N($U202)=0,"?",COUNTIFS(INDEX($V$5:$V$1000,1):INDEX($V$5:$V$1000,$U202-4),"Macro",INDEX($S$5:$S$1000,1):INDEX($S$5:$S$1000,$U202-4),INDEX($S$5:$S$1000,$U202-4))&amp;"."&amp;COUNTIFS($U$5:$U202,$U202,$V$5:$V202,"Sub"))))</f>
        <v/>
      </c>
      <c r="B202" s="57" t="n"/>
      <c r="C202" s="58" t="n"/>
      <c r="D202" s="58" t="n"/>
      <c r="E202" s="59">
        <f>IF(N($AL202)&gt;0,INDEX(rIni_ADM,$AL202),"")</f>
        <v/>
      </c>
      <c r="F202" s="59">
        <f>IF(N($AL202)&gt;0,INDEX(rLim_ADM,$AL202),"")</f>
        <v/>
      </c>
      <c r="G202" s="59" t="n"/>
      <c r="H202" s="60" t="n"/>
      <c r="I202" s="60" t="n"/>
      <c r="J202" s="60" t="n"/>
      <c r="K202" s="60" t="n"/>
      <c r="L202" s="60" t="n"/>
      <c r="M202" s="61">
        <f>IF(NOT((COUNTA($B202:$D202)+COUNTA($G202:$L202)+COUNTA($Q202))&gt;0),"",IF(ISNUMBER($G202),1,IF(N($W202)&gt;0,AVERAGEIFS($X$5:$X$1000,$U$5:$U$1000,ROW(),$V$5:$V$1000,"Sub"),$X202)))</f>
        <v/>
      </c>
      <c r="N202" s="56">
        <f>IF($M202="","",IF($M202&gt;=1,"Completado",IF($M202&gt;0,"En curso","Pendiente")))</f>
        <v/>
      </c>
      <c r="O202" s="56">
        <f>IF(NOT((COUNTA($B202:$D202)+COUNTA($G202:$L202)+COUNTA($Q202))&gt;0),"",IF(ISNUMBER($G202),IF(AND(ISNUMBER($AN202),$G202&gt;$AN202),"Cumplida con "&amp;($G202-$AN202)&amp;IF($G202-$AN202=1," día"," días")&amp;" de retraso","Cumplida"),IF(N($M202)&gt;=1,"Cumplida",IF(NOT(ISNUMBER($AN202)),"Sin fecha límite",IF($AN202&lt;FechaRef,"Vencida hace "&amp;(FechaRef-$AN202)&amp;IF(FechaRef-$AN202=1," día"," días"),IF($AN202=FechaRef,"Vence hoy",IF($AN202-FechaRef&lt;=DiasAlerta,"Vence en "&amp;($AN202-FechaRef)&amp;IF($AN202-FechaRef=1," día"," días"),"En plazo")))))))</f>
        <v/>
      </c>
      <c r="P202" s="62" t="n"/>
      <c r="Q202" s="58" t="n"/>
      <c r="R202" s="63">
        <f>IF(NOT((COUNTA($B202:$D202)+COUNTA($G202:$L202)+COUNTA($Q202))&gt;0),"",IF((IF($C202="","Falta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",""))="","✔ OK","⚠ "&amp;LEFT(IF($C202="","Falta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",""),LEN(IF($C202="","Falta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",""))-3)))</f>
        <v/>
      </c>
      <c r="S202" s="64">
        <f>IF(NOT((COUNTA($B202:$D202)+COUNTA($G202:$L202)+COUNTA($Q202))&gt;0),"",IF(AND($V202="Sub",N($U202)&gt;0),IF(ISNUMBER(INDEX($AM$5:$AM$1000,$U202-4)),DATE(YEAR(INDEX($AM$5:$AM$1000,$U202-4)),MONTH(INDEX($AM$5:$AM$1000,$U202-4)),1),IF(ISNUMBER(INDEX($AN$5:$AN$1000,$U202-4)),DATE(YEAR(INDEX($AN$5:$AN$1000,$U202-4)),MONTH(INDEX($AN$5:$AN$1000,$U202-4)),1),MesCiclo)),IF(ISNUMBER($AM202),DATE(YEAR($AM202),MONTH($AM202),1),IF(ISNUMBER($AN202),DATE(YEAR($AN202),MONTH($AN202),1),MesCiclo))))</f>
        <v/>
      </c>
      <c r="T202" s="62">
        <f>IF(OR($S202="",$S202&lt;&gt;MesCiclo),"",COUNTIF($S$5:$S202,MesCiclo))</f>
        <v/>
      </c>
      <c r="U202" s="62">
        <f>IF($V202="","",IF($V202="Macro",ROW(),IFERROR(LOOKUP(2,1/($V$5:$V202="Macro"),ROW($V$5:$V202)),0)))</f>
        <v/>
      </c>
      <c r="V202" s="62">
        <f>IF(NOT((COUNTA($B202:$D202)+COUNTA($G202:$L202)+COUNTA($Q202))&gt;0),"",IF($B202="Subactividad","Sub","Macro"))</f>
        <v/>
      </c>
      <c r="W202" s="62">
        <f>IF($V202="Macro",COUNTIFS($U$5:$U$1000,ROW(),$V$5:$V$1000,"Sub"),"")</f>
        <v/>
      </c>
      <c r="X202" s="62">
        <f>IF($V202="","",IF(ISNUMBER($G202),1,IFERROR(LOOKUP(2,1/($I202:$L202&lt;&gt;""),$I202:$L202),0)))</f>
        <v/>
      </c>
      <c r="Y202" s="62">
        <f>IF($V202="","",IF(AND(ISNUMBER($G202),$G202&lt;=IF($S202=MesCiclo,InicioCiclo,$S202+MOD(2-WEEKDAY($S202),7))+6),1,IF(ISNUMBER($I202),$I202,0)))</f>
        <v/>
      </c>
      <c r="Z202" s="62">
        <f>IF($V202="","",IF(AND(ISNUMBER($G202),$G202&lt;=IF($S202=MesCiclo,InicioCiclo,$S202+MOD(2-WEEKDAY($S202),7))+13),1,IF(ISNUMBER($J202),$J202,$Y202)))</f>
        <v/>
      </c>
      <c r="AA202" s="62">
        <f>IF($V202="","",IF(AND(ISNUMBER($G202),$G202&lt;=IF($S202=MesCiclo,InicioCiclo,$S202+MOD(2-WEEKDAY($S202),7))+20),1,IF(ISNUMBER($K202),$K202,$Z202)))</f>
        <v/>
      </c>
      <c r="AB202" s="62">
        <f>IF($V202="","",IF(AND(ISNUMBER($G202),$G202&lt;=IF($S202=MesCiclo,InicioCiclo,$S202+MOD(2-WEEKDAY($S202),7))+27),1,IF(ISNUMBER($L202),$L202,$AA202)))</f>
        <v/>
      </c>
      <c r="AC202" s="62">
        <f>IF($V202="","",IF(AND(ISNUMBER($G202),$G202&lt;=IF($S202=MesCiclo,InicioCiclo,$S202+MOD(2-WEEKDAY($S202),7))+6),1,IF(N($W202)&gt;0,AVERAGEIFS($Y$5:$Y$1000,$U$5:$U$1000,ROW(),$V$5:$V$1000,"Sub"),$Y202)))</f>
        <v/>
      </c>
      <c r="AD202" s="62">
        <f>IF($V202="","",IF(AND(ISNUMBER($G202),$G202&lt;=IF($S202=MesCiclo,InicioCiclo,$S202+MOD(2-WEEKDAY($S202),7))+13),1,IF(N($W202)&gt;0,AVERAGEIFS($Z$5:$Z$1000,$U$5:$U$1000,ROW(),$V$5:$V$1000,"Sub"),$Z202)))</f>
        <v/>
      </c>
      <c r="AE202" s="62">
        <f>IF($V202="","",IF(AND(ISNUMBER($G202),$G202&lt;=IF($S202=MesCiclo,InicioCiclo,$S202+MOD(2-WEEKDAY($S202),7))+20),1,IF(N($W202)&gt;0,AVERAGEIFS($AA$5:$AA$1000,$U$5:$U$1000,ROW(),$V$5:$V$1000,"Sub"),$AA202)))</f>
        <v/>
      </c>
      <c r="AF202" s="62">
        <f>IF($V202="","",IF(AND(ISNUMBER($G202),$G202&lt;=IF($S202=MesCiclo,InicioCiclo,$S202+MOD(2-WEEKDAY($S202),7))+27),1,IF(N($W202)&gt;0,AVERAGEIFS($AB$5:$AB$1000,$U$5:$U$1000,ROW(),$V$5:$V$1000,"Sub"),$AB202)))</f>
        <v/>
      </c>
      <c r="AG202" s="62">
        <f>IF($V202&lt;&gt;"Macro","",IF(COUNTIFS($S$5:$S$1000,$S202,$V$5:$V$1000,"Macro",$H$5:$H$1000,"&gt;0")=0,1/COUNTIFS($S$5:$S$1000,$S202,$V$5:$V$1000,"Macro"),IF(AND(ISNUMBER($H202),N($H202)&gt;0),$H202,SUMIFS($H$5:$H$1000,$S$5:$S$1000,$S202,$V$5:$V$1000,"Macro")/COUNTIFS($S$5:$S$1000,$S202,$V$5:$V$1000,"Macro",$H$5:$H$1000,"&gt;0"))/(COUNTIFS($S$5:$S$1000,$S202,$V$5:$V$1000,"Macro")*SUMIFS($H$5:$H$1000,$S$5:$S$1000,$S202,$V$5:$V$1000,"Macro")/COUNTIFS($S$5:$S$1000,$S202,$V$5:$V$1000,"Macro",$H$5:$H$1000,"&gt;0"))))</f>
        <v/>
      </c>
      <c r="AH202" s="62" t="n"/>
      <c r="AI202" s="62" t="n"/>
      <c r="AJ202" s="62" t="n"/>
      <c r="AK202" s="62" t="n"/>
      <c r="AL202" s="62">
        <f>IF(LEFT($C202,11)="[Jefatura] ",IFERROR(MATCH("Riesgo Operacional|"&amp;MID($C202,12,500),rDname_ADM,0),0),"")</f>
        <v/>
      </c>
      <c r="AM202" s="62">
        <f>IF(N($AL202)&gt;0,INDEX(rIni_ADM,$AL202),IF(ISNUMBER($E202),$E202,""))</f>
        <v/>
      </c>
      <c r="AN202" s="62">
        <f>IF(N($AL202)&gt;0,INDEX(rLim_ADM,$AL202),IF(ISNUMBER($F202),$F202,""))</f>
        <v/>
      </c>
    </row>
    <row r="203">
      <c r="A203" s="56">
        <f>IF(NOT((COUNTA($B203:$D203)+COUNTA($G203:$L203)+COUNTA($Q203))&gt;0),"",IF($V203="Macro",COUNTIFS($V$5:$V203,"Macro",$S$5:$S203,$S203),IF(N($U203)=0,"?",COUNTIFS(INDEX($V$5:$V$1000,1):INDEX($V$5:$V$1000,$U203-4),"Macro",INDEX($S$5:$S$1000,1):INDEX($S$5:$S$1000,$U203-4),INDEX($S$5:$S$1000,$U203-4))&amp;"."&amp;COUNTIFS($U$5:$U203,$U203,$V$5:$V203,"Sub"))))</f>
        <v/>
      </c>
      <c r="B203" s="57" t="n"/>
      <c r="C203" s="58" t="n"/>
      <c r="D203" s="58" t="n"/>
      <c r="E203" s="59">
        <f>IF(N($AL203)&gt;0,INDEX(rIni_ADM,$AL203),"")</f>
        <v/>
      </c>
      <c r="F203" s="59">
        <f>IF(N($AL203)&gt;0,INDEX(rLim_ADM,$AL203),"")</f>
        <v/>
      </c>
      <c r="G203" s="59" t="n"/>
      <c r="H203" s="60" t="n"/>
      <c r="I203" s="60" t="n"/>
      <c r="J203" s="60" t="n"/>
      <c r="K203" s="60" t="n"/>
      <c r="L203" s="60" t="n"/>
      <c r="M203" s="61">
        <f>IF(NOT((COUNTA($B203:$D203)+COUNTA($G203:$L203)+COUNTA($Q203))&gt;0),"",IF(ISNUMBER($G203),1,IF(N($W203)&gt;0,AVERAGEIFS($X$5:$X$1000,$U$5:$U$1000,ROW(),$V$5:$V$1000,"Sub"),$X203)))</f>
        <v/>
      </c>
      <c r="N203" s="56">
        <f>IF($M203="","",IF($M203&gt;=1,"Completado",IF($M203&gt;0,"En curso","Pendiente")))</f>
        <v/>
      </c>
      <c r="O203" s="56">
        <f>IF(NOT((COUNTA($B203:$D203)+COUNTA($G203:$L203)+COUNTA($Q203))&gt;0),"",IF(ISNUMBER($G203),IF(AND(ISNUMBER($AN203),$G203&gt;$AN203),"Cumplida con "&amp;($G203-$AN203)&amp;IF($G203-$AN203=1," día"," días")&amp;" de retraso","Cumplida"),IF(N($M203)&gt;=1,"Cumplida",IF(NOT(ISNUMBER($AN203)),"Sin fecha límite",IF($AN203&lt;FechaRef,"Vencida hace "&amp;(FechaRef-$AN203)&amp;IF(FechaRef-$AN203=1," día"," días"),IF($AN203=FechaRef,"Vence hoy",IF($AN203-FechaRef&lt;=DiasAlerta,"Vence en "&amp;($AN203-FechaRef)&amp;IF($AN203-FechaRef=1," día"," días"),"En plazo")))))))</f>
        <v/>
      </c>
      <c r="P203" s="62" t="n"/>
      <c r="Q203" s="58" t="n"/>
      <c r="R203" s="63">
        <f>IF(NOT((COUNTA($B203:$D203)+COUNTA($G203:$L203)+COUNTA($Q203))&gt;0),"",IF((IF($C203="","Falta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",""))="","✔ OK","⚠ "&amp;LEFT(IF($C203="","Falta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",""),LEN(IF($C203="","Falta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",""))-3)))</f>
        <v/>
      </c>
      <c r="S203" s="64">
        <f>IF(NOT((COUNTA($B203:$D203)+COUNTA($G203:$L203)+COUNTA($Q203))&gt;0),"",IF(AND($V203="Sub",N($U203)&gt;0),IF(ISNUMBER(INDEX($AM$5:$AM$1000,$U203-4)),DATE(YEAR(INDEX($AM$5:$AM$1000,$U203-4)),MONTH(INDEX($AM$5:$AM$1000,$U203-4)),1),IF(ISNUMBER(INDEX($AN$5:$AN$1000,$U203-4)),DATE(YEAR(INDEX($AN$5:$AN$1000,$U203-4)),MONTH(INDEX($AN$5:$AN$1000,$U203-4)),1),MesCiclo)),IF(ISNUMBER($AM203),DATE(YEAR($AM203),MONTH($AM203),1),IF(ISNUMBER($AN203),DATE(YEAR($AN203),MONTH($AN203),1),MesCiclo))))</f>
        <v/>
      </c>
      <c r="T203" s="62">
        <f>IF(OR($S203="",$S203&lt;&gt;MesCiclo),"",COUNTIF($S$5:$S203,MesCiclo))</f>
        <v/>
      </c>
      <c r="U203" s="62">
        <f>IF($V203="","",IF($V203="Macro",ROW(),IFERROR(LOOKUP(2,1/($V$5:$V203="Macro"),ROW($V$5:$V203)),0)))</f>
        <v/>
      </c>
      <c r="V203" s="62">
        <f>IF(NOT((COUNTA($B203:$D203)+COUNTA($G203:$L203)+COUNTA($Q203))&gt;0),"",IF($B203="Subactividad","Sub","Macro"))</f>
        <v/>
      </c>
      <c r="W203" s="62">
        <f>IF($V203="Macro",COUNTIFS($U$5:$U$1000,ROW(),$V$5:$V$1000,"Sub"),"")</f>
        <v/>
      </c>
      <c r="X203" s="62">
        <f>IF($V203="","",IF(ISNUMBER($G203),1,IFERROR(LOOKUP(2,1/($I203:$L203&lt;&gt;""),$I203:$L203),0)))</f>
        <v/>
      </c>
      <c r="Y203" s="62">
        <f>IF($V203="","",IF(AND(ISNUMBER($G203),$G203&lt;=IF($S203=MesCiclo,InicioCiclo,$S203+MOD(2-WEEKDAY($S203),7))+6),1,IF(ISNUMBER($I203),$I203,0)))</f>
        <v/>
      </c>
      <c r="Z203" s="62">
        <f>IF($V203="","",IF(AND(ISNUMBER($G203),$G203&lt;=IF($S203=MesCiclo,InicioCiclo,$S203+MOD(2-WEEKDAY($S203),7))+13),1,IF(ISNUMBER($J203),$J203,$Y203)))</f>
        <v/>
      </c>
      <c r="AA203" s="62">
        <f>IF($V203="","",IF(AND(ISNUMBER($G203),$G203&lt;=IF($S203=MesCiclo,InicioCiclo,$S203+MOD(2-WEEKDAY($S203),7))+20),1,IF(ISNUMBER($K203),$K203,$Z203)))</f>
        <v/>
      </c>
      <c r="AB203" s="62">
        <f>IF($V203="","",IF(AND(ISNUMBER($G203),$G203&lt;=IF($S203=MesCiclo,InicioCiclo,$S203+MOD(2-WEEKDAY($S203),7))+27),1,IF(ISNUMBER($L203),$L203,$AA203)))</f>
        <v/>
      </c>
      <c r="AC203" s="62">
        <f>IF($V203="","",IF(AND(ISNUMBER($G203),$G203&lt;=IF($S203=MesCiclo,InicioCiclo,$S203+MOD(2-WEEKDAY($S203),7))+6),1,IF(N($W203)&gt;0,AVERAGEIFS($Y$5:$Y$1000,$U$5:$U$1000,ROW(),$V$5:$V$1000,"Sub"),$Y203)))</f>
        <v/>
      </c>
      <c r="AD203" s="62">
        <f>IF($V203="","",IF(AND(ISNUMBER($G203),$G203&lt;=IF($S203=MesCiclo,InicioCiclo,$S203+MOD(2-WEEKDAY($S203),7))+13),1,IF(N($W203)&gt;0,AVERAGEIFS($Z$5:$Z$1000,$U$5:$U$1000,ROW(),$V$5:$V$1000,"Sub"),$Z203)))</f>
        <v/>
      </c>
      <c r="AE203" s="62">
        <f>IF($V203="","",IF(AND(ISNUMBER($G203),$G203&lt;=IF($S203=MesCiclo,InicioCiclo,$S203+MOD(2-WEEKDAY($S203),7))+20),1,IF(N($W203)&gt;0,AVERAGEIFS($AA$5:$AA$1000,$U$5:$U$1000,ROW(),$V$5:$V$1000,"Sub"),$AA203)))</f>
        <v/>
      </c>
      <c r="AF203" s="62">
        <f>IF($V203="","",IF(AND(ISNUMBER($G203),$G203&lt;=IF($S203=MesCiclo,InicioCiclo,$S203+MOD(2-WEEKDAY($S203),7))+27),1,IF(N($W203)&gt;0,AVERAGEIFS($AB$5:$AB$1000,$U$5:$U$1000,ROW(),$V$5:$V$1000,"Sub"),$AB203)))</f>
        <v/>
      </c>
      <c r="AG203" s="62">
        <f>IF($V203&lt;&gt;"Macro","",IF(COUNTIFS($S$5:$S$1000,$S203,$V$5:$V$1000,"Macro",$H$5:$H$1000,"&gt;0")=0,1/COUNTIFS($S$5:$S$1000,$S203,$V$5:$V$1000,"Macro"),IF(AND(ISNUMBER($H203),N($H203)&gt;0),$H203,SUMIFS($H$5:$H$1000,$S$5:$S$1000,$S203,$V$5:$V$1000,"Macro")/COUNTIFS($S$5:$S$1000,$S203,$V$5:$V$1000,"Macro",$H$5:$H$1000,"&gt;0"))/(COUNTIFS($S$5:$S$1000,$S203,$V$5:$V$1000,"Macro")*SUMIFS($H$5:$H$1000,$S$5:$S$1000,$S203,$V$5:$V$1000,"Macro")/COUNTIFS($S$5:$S$1000,$S203,$V$5:$V$1000,"Macro",$H$5:$H$1000,"&gt;0"))))</f>
        <v/>
      </c>
      <c r="AH203" s="62" t="n"/>
      <c r="AI203" s="62" t="n"/>
      <c r="AJ203" s="62" t="n"/>
      <c r="AK203" s="62" t="n"/>
      <c r="AL203" s="62">
        <f>IF(LEFT($C203,11)="[Jefatura] ",IFERROR(MATCH("Riesgo Operacional|"&amp;MID($C203,12,500),rDname_ADM,0),0),"")</f>
        <v/>
      </c>
      <c r="AM203" s="62">
        <f>IF(N($AL203)&gt;0,INDEX(rIni_ADM,$AL203),IF(ISNUMBER($E203),$E203,""))</f>
        <v/>
      </c>
      <c r="AN203" s="62">
        <f>IF(N($AL203)&gt;0,INDEX(rLim_ADM,$AL203),IF(ISNUMBER($F203),$F203,""))</f>
        <v/>
      </c>
    </row>
    <row r="204">
      <c r="A204" s="56">
        <f>IF(NOT((COUNTA($B204:$D204)+COUNTA($G204:$L204)+COUNTA($Q204))&gt;0),"",IF($V204="Macro",COUNTIFS($V$5:$V204,"Macro",$S$5:$S204,$S204),IF(N($U204)=0,"?",COUNTIFS(INDEX($V$5:$V$1000,1):INDEX($V$5:$V$1000,$U204-4),"Macro",INDEX($S$5:$S$1000,1):INDEX($S$5:$S$1000,$U204-4),INDEX($S$5:$S$1000,$U204-4))&amp;"."&amp;COUNTIFS($U$5:$U204,$U204,$V$5:$V204,"Sub"))))</f>
        <v/>
      </c>
      <c r="B204" s="57" t="n"/>
      <c r="C204" s="58" t="n"/>
      <c r="D204" s="58" t="n"/>
      <c r="E204" s="59">
        <f>IF(N($AL204)&gt;0,INDEX(rIni_ADM,$AL204),"")</f>
        <v/>
      </c>
      <c r="F204" s="59">
        <f>IF(N($AL204)&gt;0,INDEX(rLim_ADM,$AL204),"")</f>
        <v/>
      </c>
      <c r="G204" s="59" t="n"/>
      <c r="H204" s="60" t="n"/>
      <c r="I204" s="60" t="n"/>
      <c r="J204" s="60" t="n"/>
      <c r="K204" s="60" t="n"/>
      <c r="L204" s="60" t="n"/>
      <c r="M204" s="61">
        <f>IF(NOT((COUNTA($B204:$D204)+COUNTA($G204:$L204)+COUNTA($Q204))&gt;0),"",IF(ISNUMBER($G204),1,IF(N($W204)&gt;0,AVERAGEIFS($X$5:$X$1000,$U$5:$U$1000,ROW(),$V$5:$V$1000,"Sub"),$X204)))</f>
        <v/>
      </c>
      <c r="N204" s="56">
        <f>IF($M204="","",IF($M204&gt;=1,"Completado",IF($M204&gt;0,"En curso","Pendiente")))</f>
        <v/>
      </c>
      <c r="O204" s="56">
        <f>IF(NOT((COUNTA($B204:$D204)+COUNTA($G204:$L204)+COUNTA($Q204))&gt;0),"",IF(ISNUMBER($G204),IF(AND(ISNUMBER($AN204),$G204&gt;$AN204),"Cumplida con "&amp;($G204-$AN204)&amp;IF($G204-$AN204=1," día"," días")&amp;" de retraso","Cumplida"),IF(N($M204)&gt;=1,"Cumplida",IF(NOT(ISNUMBER($AN204)),"Sin fecha límite",IF($AN204&lt;FechaRef,"Vencida hace "&amp;(FechaRef-$AN204)&amp;IF(FechaRef-$AN204=1," día"," días"),IF($AN204=FechaRef,"Vence hoy",IF($AN204-FechaRef&lt;=DiasAlerta,"Vence en "&amp;($AN204-FechaRef)&amp;IF($AN204-FechaRef=1," día"," días"),"En plazo")))))))</f>
        <v/>
      </c>
      <c r="P204" s="62" t="n"/>
      <c r="Q204" s="58" t="n"/>
      <c r="R204" s="63">
        <f>IF(NOT((COUNTA($B204:$D204)+COUNTA($G204:$L204)+COUNTA($Q204))&gt;0),"",IF((IF($C204="","Falta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",""))="","✔ OK","⚠ "&amp;LEFT(IF($C204="","Falta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",""),LEN(IF($C204="","Falta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",""))-3)))</f>
        <v/>
      </c>
      <c r="S204" s="64">
        <f>IF(NOT((COUNTA($B204:$D204)+COUNTA($G204:$L204)+COUNTA($Q204))&gt;0),"",IF(AND($V204="Sub",N($U204)&gt;0),IF(ISNUMBER(INDEX($AM$5:$AM$1000,$U204-4)),DATE(YEAR(INDEX($AM$5:$AM$1000,$U204-4)),MONTH(INDEX($AM$5:$AM$1000,$U204-4)),1),IF(ISNUMBER(INDEX($AN$5:$AN$1000,$U204-4)),DATE(YEAR(INDEX($AN$5:$AN$1000,$U204-4)),MONTH(INDEX($AN$5:$AN$1000,$U204-4)),1),MesCiclo)),IF(ISNUMBER($AM204),DATE(YEAR($AM204),MONTH($AM204),1),IF(ISNUMBER($AN204),DATE(YEAR($AN204),MONTH($AN204),1),MesCiclo))))</f>
        <v/>
      </c>
      <c r="T204" s="62">
        <f>IF(OR($S204="",$S204&lt;&gt;MesCiclo),"",COUNTIF($S$5:$S204,MesCiclo))</f>
        <v/>
      </c>
      <c r="U204" s="62">
        <f>IF($V204="","",IF($V204="Macro",ROW(),IFERROR(LOOKUP(2,1/($V$5:$V204="Macro"),ROW($V$5:$V204)),0)))</f>
        <v/>
      </c>
      <c r="V204" s="62">
        <f>IF(NOT((COUNTA($B204:$D204)+COUNTA($G204:$L204)+COUNTA($Q204))&gt;0),"",IF($B204="Subactividad","Sub","Macro"))</f>
        <v/>
      </c>
      <c r="W204" s="62">
        <f>IF($V204="Macro",COUNTIFS($U$5:$U$1000,ROW(),$V$5:$V$1000,"Sub"),"")</f>
        <v/>
      </c>
      <c r="X204" s="62">
        <f>IF($V204="","",IF(ISNUMBER($G204),1,IFERROR(LOOKUP(2,1/($I204:$L204&lt;&gt;""),$I204:$L204),0)))</f>
        <v/>
      </c>
      <c r="Y204" s="62">
        <f>IF($V204="","",IF(AND(ISNUMBER($G204),$G204&lt;=IF($S204=MesCiclo,InicioCiclo,$S204+MOD(2-WEEKDAY($S204),7))+6),1,IF(ISNUMBER($I204),$I204,0)))</f>
        <v/>
      </c>
      <c r="Z204" s="62">
        <f>IF($V204="","",IF(AND(ISNUMBER($G204),$G204&lt;=IF($S204=MesCiclo,InicioCiclo,$S204+MOD(2-WEEKDAY($S204),7))+13),1,IF(ISNUMBER($J204),$J204,$Y204)))</f>
        <v/>
      </c>
      <c r="AA204" s="62">
        <f>IF($V204="","",IF(AND(ISNUMBER($G204),$G204&lt;=IF($S204=MesCiclo,InicioCiclo,$S204+MOD(2-WEEKDAY($S204),7))+20),1,IF(ISNUMBER($K204),$K204,$Z204)))</f>
        <v/>
      </c>
      <c r="AB204" s="62">
        <f>IF($V204="","",IF(AND(ISNUMBER($G204),$G204&lt;=IF($S204=MesCiclo,InicioCiclo,$S204+MOD(2-WEEKDAY($S204),7))+27),1,IF(ISNUMBER($L204),$L204,$AA204)))</f>
        <v/>
      </c>
      <c r="AC204" s="62">
        <f>IF($V204="","",IF(AND(ISNUMBER($G204),$G204&lt;=IF($S204=MesCiclo,InicioCiclo,$S204+MOD(2-WEEKDAY($S204),7))+6),1,IF(N($W204)&gt;0,AVERAGEIFS($Y$5:$Y$1000,$U$5:$U$1000,ROW(),$V$5:$V$1000,"Sub"),$Y204)))</f>
        <v/>
      </c>
      <c r="AD204" s="62">
        <f>IF($V204="","",IF(AND(ISNUMBER($G204),$G204&lt;=IF($S204=MesCiclo,InicioCiclo,$S204+MOD(2-WEEKDAY($S204),7))+13),1,IF(N($W204)&gt;0,AVERAGEIFS($Z$5:$Z$1000,$U$5:$U$1000,ROW(),$V$5:$V$1000,"Sub"),$Z204)))</f>
        <v/>
      </c>
      <c r="AE204" s="62">
        <f>IF($V204="","",IF(AND(ISNUMBER($G204),$G204&lt;=IF($S204=MesCiclo,InicioCiclo,$S204+MOD(2-WEEKDAY($S204),7))+20),1,IF(N($W204)&gt;0,AVERAGEIFS($AA$5:$AA$1000,$U$5:$U$1000,ROW(),$V$5:$V$1000,"Sub"),$AA204)))</f>
        <v/>
      </c>
      <c r="AF204" s="62">
        <f>IF($V204="","",IF(AND(ISNUMBER($G204),$G204&lt;=IF($S204=MesCiclo,InicioCiclo,$S204+MOD(2-WEEKDAY($S204),7))+27),1,IF(N($W204)&gt;0,AVERAGEIFS($AB$5:$AB$1000,$U$5:$U$1000,ROW(),$V$5:$V$1000,"Sub"),$AB204)))</f>
        <v/>
      </c>
      <c r="AG204" s="62">
        <f>IF($V204&lt;&gt;"Macro","",IF(COUNTIFS($S$5:$S$1000,$S204,$V$5:$V$1000,"Macro",$H$5:$H$1000,"&gt;0")=0,1/COUNTIFS($S$5:$S$1000,$S204,$V$5:$V$1000,"Macro"),IF(AND(ISNUMBER($H204),N($H204)&gt;0),$H204,SUMIFS($H$5:$H$1000,$S$5:$S$1000,$S204,$V$5:$V$1000,"Macro")/COUNTIFS($S$5:$S$1000,$S204,$V$5:$V$1000,"Macro",$H$5:$H$1000,"&gt;0"))/(COUNTIFS($S$5:$S$1000,$S204,$V$5:$V$1000,"Macro")*SUMIFS($H$5:$H$1000,$S$5:$S$1000,$S204,$V$5:$V$1000,"Macro")/COUNTIFS($S$5:$S$1000,$S204,$V$5:$V$1000,"Macro",$H$5:$H$1000,"&gt;0"))))</f>
        <v/>
      </c>
      <c r="AH204" s="62" t="n"/>
      <c r="AI204" s="62" t="n"/>
      <c r="AJ204" s="62" t="n"/>
      <c r="AK204" s="62" t="n"/>
      <c r="AL204" s="62">
        <f>IF(LEFT($C204,11)="[Jefatura] ",IFERROR(MATCH("Riesgo Operacional|"&amp;MID($C204,12,500),rDname_ADM,0),0),"")</f>
        <v/>
      </c>
      <c r="AM204" s="62">
        <f>IF(N($AL204)&gt;0,INDEX(rIni_ADM,$AL204),IF(ISNUMBER($E204),$E204,""))</f>
        <v/>
      </c>
      <c r="AN204" s="62">
        <f>IF(N($AL204)&gt;0,INDEX(rLim_ADM,$AL204),IF(ISNUMBER($F204),$F204,""))</f>
        <v/>
      </c>
    </row>
    <row r="205">
      <c r="A205" s="56">
        <f>IF(NOT((COUNTA($B205:$D205)+COUNTA($G205:$L205)+COUNTA($Q205))&gt;0),"",IF($V205="Macro",COUNTIFS($V$5:$V205,"Macro",$S$5:$S205,$S205),IF(N($U205)=0,"?",COUNTIFS(INDEX($V$5:$V$1000,1):INDEX($V$5:$V$1000,$U205-4),"Macro",INDEX($S$5:$S$1000,1):INDEX($S$5:$S$1000,$U205-4),INDEX($S$5:$S$1000,$U205-4))&amp;"."&amp;COUNTIFS($U$5:$U205,$U205,$V$5:$V205,"Sub"))))</f>
        <v/>
      </c>
      <c r="B205" s="57" t="n"/>
      <c r="C205" s="58" t="n"/>
      <c r="D205" s="58" t="n"/>
      <c r="E205" s="59">
        <f>IF(N($AL205)&gt;0,INDEX(rIni_ADM,$AL205),"")</f>
        <v/>
      </c>
      <c r="F205" s="59">
        <f>IF(N($AL205)&gt;0,INDEX(rLim_ADM,$AL205),"")</f>
        <v/>
      </c>
      <c r="G205" s="59" t="n"/>
      <c r="H205" s="60" t="n"/>
      <c r="I205" s="60" t="n"/>
      <c r="J205" s="60" t="n"/>
      <c r="K205" s="60" t="n"/>
      <c r="L205" s="60" t="n"/>
      <c r="M205" s="61">
        <f>IF(NOT((COUNTA($B205:$D205)+COUNTA($G205:$L205)+COUNTA($Q205))&gt;0),"",IF(ISNUMBER($G205),1,IF(N($W205)&gt;0,AVERAGEIFS($X$5:$X$1000,$U$5:$U$1000,ROW(),$V$5:$V$1000,"Sub"),$X205)))</f>
        <v/>
      </c>
      <c r="N205" s="56">
        <f>IF($M205="","",IF($M205&gt;=1,"Completado",IF($M205&gt;0,"En curso","Pendiente")))</f>
        <v/>
      </c>
      <c r="O205" s="56">
        <f>IF(NOT((COUNTA($B205:$D205)+COUNTA($G205:$L205)+COUNTA($Q205))&gt;0),"",IF(ISNUMBER($G205),IF(AND(ISNUMBER($AN205),$G205&gt;$AN205),"Cumplida con "&amp;($G205-$AN205)&amp;IF($G205-$AN205=1," día"," días")&amp;" de retraso","Cumplida"),IF(N($M205)&gt;=1,"Cumplida",IF(NOT(ISNUMBER($AN205)),"Sin fecha límite",IF($AN205&lt;FechaRef,"Vencida hace "&amp;(FechaRef-$AN205)&amp;IF(FechaRef-$AN205=1," día"," días"),IF($AN205=FechaRef,"Vence hoy",IF($AN205-FechaRef&lt;=DiasAlerta,"Vence en "&amp;($AN205-FechaRef)&amp;IF($AN205-FechaRef=1," día"," días"),"En plazo")))))))</f>
        <v/>
      </c>
      <c r="P205" s="62" t="n"/>
      <c r="Q205" s="58" t="n"/>
      <c r="R205" s="63">
        <f>IF(NOT((COUNTA($B205:$D205)+COUNTA($G205:$L205)+COUNTA($Q205))&gt;0),"",IF((IF($C205="","Falta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",""))="","✔ OK","⚠ "&amp;LEFT(IF($C205="","Falta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",""),LEN(IF($C205="","Falta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",""))-3)))</f>
        <v/>
      </c>
      <c r="S205" s="64">
        <f>IF(NOT((COUNTA($B205:$D205)+COUNTA($G205:$L205)+COUNTA($Q205))&gt;0),"",IF(AND($V205="Sub",N($U205)&gt;0),IF(ISNUMBER(INDEX($AM$5:$AM$1000,$U205-4)),DATE(YEAR(INDEX($AM$5:$AM$1000,$U205-4)),MONTH(INDEX($AM$5:$AM$1000,$U205-4)),1),IF(ISNUMBER(INDEX($AN$5:$AN$1000,$U205-4)),DATE(YEAR(INDEX($AN$5:$AN$1000,$U205-4)),MONTH(INDEX($AN$5:$AN$1000,$U205-4)),1),MesCiclo)),IF(ISNUMBER($AM205),DATE(YEAR($AM205),MONTH($AM205),1),IF(ISNUMBER($AN205),DATE(YEAR($AN205),MONTH($AN205),1),MesCiclo))))</f>
        <v/>
      </c>
      <c r="T205" s="62">
        <f>IF(OR($S205="",$S205&lt;&gt;MesCiclo),"",COUNTIF($S$5:$S205,MesCiclo))</f>
        <v/>
      </c>
      <c r="U205" s="62">
        <f>IF($V205="","",IF($V205="Macro",ROW(),IFERROR(LOOKUP(2,1/($V$5:$V205="Macro"),ROW($V$5:$V205)),0)))</f>
        <v/>
      </c>
      <c r="V205" s="62">
        <f>IF(NOT((COUNTA($B205:$D205)+COUNTA($G205:$L205)+COUNTA($Q205))&gt;0),"",IF($B205="Subactividad","Sub","Macro"))</f>
        <v/>
      </c>
      <c r="W205" s="62">
        <f>IF($V205="Macro",COUNTIFS($U$5:$U$1000,ROW(),$V$5:$V$1000,"Sub"),"")</f>
        <v/>
      </c>
      <c r="X205" s="62">
        <f>IF($V205="","",IF(ISNUMBER($G205),1,IFERROR(LOOKUP(2,1/($I205:$L205&lt;&gt;""),$I205:$L205),0)))</f>
        <v/>
      </c>
      <c r="Y205" s="62">
        <f>IF($V205="","",IF(AND(ISNUMBER($G205),$G205&lt;=IF($S205=MesCiclo,InicioCiclo,$S205+MOD(2-WEEKDAY($S205),7))+6),1,IF(ISNUMBER($I205),$I205,0)))</f>
        <v/>
      </c>
      <c r="Z205" s="62">
        <f>IF($V205="","",IF(AND(ISNUMBER($G205),$G205&lt;=IF($S205=MesCiclo,InicioCiclo,$S205+MOD(2-WEEKDAY($S205),7))+13),1,IF(ISNUMBER($J205),$J205,$Y205)))</f>
        <v/>
      </c>
      <c r="AA205" s="62">
        <f>IF($V205="","",IF(AND(ISNUMBER($G205),$G205&lt;=IF($S205=MesCiclo,InicioCiclo,$S205+MOD(2-WEEKDAY($S205),7))+20),1,IF(ISNUMBER($K205),$K205,$Z205)))</f>
        <v/>
      </c>
      <c r="AB205" s="62">
        <f>IF($V205="","",IF(AND(ISNUMBER($G205),$G205&lt;=IF($S205=MesCiclo,InicioCiclo,$S205+MOD(2-WEEKDAY($S205),7))+27),1,IF(ISNUMBER($L205),$L205,$AA205)))</f>
        <v/>
      </c>
      <c r="AC205" s="62">
        <f>IF($V205="","",IF(AND(ISNUMBER($G205),$G205&lt;=IF($S205=MesCiclo,InicioCiclo,$S205+MOD(2-WEEKDAY($S205),7))+6),1,IF(N($W205)&gt;0,AVERAGEIFS($Y$5:$Y$1000,$U$5:$U$1000,ROW(),$V$5:$V$1000,"Sub"),$Y205)))</f>
        <v/>
      </c>
      <c r="AD205" s="62">
        <f>IF($V205="","",IF(AND(ISNUMBER($G205),$G205&lt;=IF($S205=MesCiclo,InicioCiclo,$S205+MOD(2-WEEKDAY($S205),7))+13),1,IF(N($W205)&gt;0,AVERAGEIFS($Z$5:$Z$1000,$U$5:$U$1000,ROW(),$V$5:$V$1000,"Sub"),$Z205)))</f>
        <v/>
      </c>
      <c r="AE205" s="62">
        <f>IF($V205="","",IF(AND(ISNUMBER($G205),$G205&lt;=IF($S205=MesCiclo,InicioCiclo,$S205+MOD(2-WEEKDAY($S205),7))+20),1,IF(N($W205)&gt;0,AVERAGEIFS($AA$5:$AA$1000,$U$5:$U$1000,ROW(),$V$5:$V$1000,"Sub"),$AA205)))</f>
        <v/>
      </c>
      <c r="AF205" s="62">
        <f>IF($V205="","",IF(AND(ISNUMBER($G205),$G205&lt;=IF($S205=MesCiclo,InicioCiclo,$S205+MOD(2-WEEKDAY($S205),7))+27),1,IF(N($W205)&gt;0,AVERAGEIFS($AB$5:$AB$1000,$U$5:$U$1000,ROW(),$V$5:$V$1000,"Sub"),$AB205)))</f>
        <v/>
      </c>
      <c r="AG205" s="62">
        <f>IF($V205&lt;&gt;"Macro","",IF(COUNTIFS($S$5:$S$1000,$S205,$V$5:$V$1000,"Macro",$H$5:$H$1000,"&gt;0")=0,1/COUNTIFS($S$5:$S$1000,$S205,$V$5:$V$1000,"Macro"),IF(AND(ISNUMBER($H205),N($H205)&gt;0),$H205,SUMIFS($H$5:$H$1000,$S$5:$S$1000,$S205,$V$5:$V$1000,"Macro")/COUNTIFS($S$5:$S$1000,$S205,$V$5:$V$1000,"Macro",$H$5:$H$1000,"&gt;0"))/(COUNTIFS($S$5:$S$1000,$S205,$V$5:$V$1000,"Macro")*SUMIFS($H$5:$H$1000,$S$5:$S$1000,$S205,$V$5:$V$1000,"Macro")/COUNTIFS($S$5:$S$1000,$S205,$V$5:$V$1000,"Macro",$H$5:$H$1000,"&gt;0"))))</f>
        <v/>
      </c>
      <c r="AH205" s="62" t="n"/>
      <c r="AI205" s="62" t="n"/>
      <c r="AJ205" s="62" t="n"/>
      <c r="AK205" s="62" t="n"/>
      <c r="AL205" s="62">
        <f>IF(LEFT($C205,11)="[Jefatura] ",IFERROR(MATCH("Riesgo Operacional|"&amp;MID($C205,12,500),rDname_ADM,0),0),"")</f>
        <v/>
      </c>
      <c r="AM205" s="62">
        <f>IF(N($AL205)&gt;0,INDEX(rIni_ADM,$AL205),IF(ISNUMBER($E205),$E205,""))</f>
        <v/>
      </c>
      <c r="AN205" s="62">
        <f>IF(N($AL205)&gt;0,INDEX(rLim_ADM,$AL205),IF(ISNUMBER($F205),$F205,""))</f>
        <v/>
      </c>
    </row>
    <row r="206">
      <c r="A206" s="56">
        <f>IF(NOT((COUNTA($B206:$D206)+COUNTA($G206:$L206)+COUNTA($Q206))&gt;0),"",IF($V206="Macro",COUNTIFS($V$5:$V206,"Macro",$S$5:$S206,$S206),IF(N($U206)=0,"?",COUNTIFS(INDEX($V$5:$V$1000,1):INDEX($V$5:$V$1000,$U206-4),"Macro",INDEX($S$5:$S$1000,1):INDEX($S$5:$S$1000,$U206-4),INDEX($S$5:$S$1000,$U206-4))&amp;"."&amp;COUNTIFS($U$5:$U206,$U206,$V$5:$V206,"Sub"))))</f>
        <v/>
      </c>
      <c r="B206" s="57" t="n"/>
      <c r="C206" s="58" t="n"/>
      <c r="D206" s="58" t="n"/>
      <c r="E206" s="59">
        <f>IF(N($AL206)&gt;0,INDEX(rIni_ADM,$AL206),"")</f>
        <v/>
      </c>
      <c r="F206" s="59">
        <f>IF(N($AL206)&gt;0,INDEX(rLim_ADM,$AL206),"")</f>
        <v/>
      </c>
      <c r="G206" s="59" t="n"/>
      <c r="H206" s="60" t="n"/>
      <c r="I206" s="60" t="n"/>
      <c r="J206" s="60" t="n"/>
      <c r="K206" s="60" t="n"/>
      <c r="L206" s="60" t="n"/>
      <c r="M206" s="61">
        <f>IF(NOT((COUNTA($B206:$D206)+COUNTA($G206:$L206)+COUNTA($Q206))&gt;0),"",IF(ISNUMBER($G206),1,IF(N($W206)&gt;0,AVERAGEIFS($X$5:$X$1000,$U$5:$U$1000,ROW(),$V$5:$V$1000,"Sub"),$X206)))</f>
        <v/>
      </c>
      <c r="N206" s="56">
        <f>IF($M206="","",IF($M206&gt;=1,"Completado",IF($M206&gt;0,"En curso","Pendiente")))</f>
        <v/>
      </c>
      <c r="O206" s="56">
        <f>IF(NOT((COUNTA($B206:$D206)+COUNTA($G206:$L206)+COUNTA($Q206))&gt;0),"",IF(ISNUMBER($G206),IF(AND(ISNUMBER($AN206),$G206&gt;$AN206),"Cumplida con "&amp;($G206-$AN206)&amp;IF($G206-$AN206=1," día"," días")&amp;" de retraso","Cumplida"),IF(N($M206)&gt;=1,"Cumplida",IF(NOT(ISNUMBER($AN206)),"Sin fecha límite",IF($AN206&lt;FechaRef,"Vencida hace "&amp;(FechaRef-$AN206)&amp;IF(FechaRef-$AN206=1," día"," días"),IF($AN206=FechaRef,"Vence hoy",IF($AN206-FechaRef&lt;=DiasAlerta,"Vence en "&amp;($AN206-FechaRef)&amp;IF($AN206-FechaRef=1," día"," días"),"En plazo")))))))</f>
        <v/>
      </c>
      <c r="P206" s="62" t="n"/>
      <c r="Q206" s="58" t="n"/>
      <c r="R206" s="63">
        <f>IF(NOT((COUNTA($B206:$D206)+COUNTA($G206:$L206)+COUNTA($Q206))&gt;0),"",IF((IF($C206="","Falta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",""))="","✔ OK","⚠ "&amp;LEFT(IF($C206="","Falta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",""),LEN(IF($C206="","Falta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",""))-3)))</f>
        <v/>
      </c>
      <c r="S206" s="64">
        <f>IF(NOT((COUNTA($B206:$D206)+COUNTA($G206:$L206)+COUNTA($Q206))&gt;0),"",IF(AND($V206="Sub",N($U206)&gt;0),IF(ISNUMBER(INDEX($AM$5:$AM$1000,$U206-4)),DATE(YEAR(INDEX($AM$5:$AM$1000,$U206-4)),MONTH(INDEX($AM$5:$AM$1000,$U206-4)),1),IF(ISNUMBER(INDEX($AN$5:$AN$1000,$U206-4)),DATE(YEAR(INDEX($AN$5:$AN$1000,$U206-4)),MONTH(INDEX($AN$5:$AN$1000,$U206-4)),1),MesCiclo)),IF(ISNUMBER($AM206),DATE(YEAR($AM206),MONTH($AM206),1),IF(ISNUMBER($AN206),DATE(YEAR($AN206),MONTH($AN206),1),MesCiclo))))</f>
        <v/>
      </c>
      <c r="T206" s="62">
        <f>IF(OR($S206="",$S206&lt;&gt;MesCiclo),"",COUNTIF($S$5:$S206,MesCiclo))</f>
        <v/>
      </c>
      <c r="U206" s="62">
        <f>IF($V206="","",IF($V206="Macro",ROW(),IFERROR(LOOKUP(2,1/($V$5:$V206="Macro"),ROW($V$5:$V206)),0)))</f>
        <v/>
      </c>
      <c r="V206" s="62">
        <f>IF(NOT((COUNTA($B206:$D206)+COUNTA($G206:$L206)+COUNTA($Q206))&gt;0),"",IF($B206="Subactividad","Sub","Macro"))</f>
        <v/>
      </c>
      <c r="W206" s="62">
        <f>IF($V206="Macro",COUNTIFS($U$5:$U$1000,ROW(),$V$5:$V$1000,"Sub"),"")</f>
        <v/>
      </c>
      <c r="X206" s="62">
        <f>IF($V206="","",IF(ISNUMBER($G206),1,IFERROR(LOOKUP(2,1/($I206:$L206&lt;&gt;""),$I206:$L206),0)))</f>
        <v/>
      </c>
      <c r="Y206" s="62">
        <f>IF($V206="","",IF(AND(ISNUMBER($G206),$G206&lt;=IF($S206=MesCiclo,InicioCiclo,$S206+MOD(2-WEEKDAY($S206),7))+6),1,IF(ISNUMBER($I206),$I206,0)))</f>
        <v/>
      </c>
      <c r="Z206" s="62">
        <f>IF($V206="","",IF(AND(ISNUMBER($G206),$G206&lt;=IF($S206=MesCiclo,InicioCiclo,$S206+MOD(2-WEEKDAY($S206),7))+13),1,IF(ISNUMBER($J206),$J206,$Y206)))</f>
        <v/>
      </c>
      <c r="AA206" s="62">
        <f>IF($V206="","",IF(AND(ISNUMBER($G206),$G206&lt;=IF($S206=MesCiclo,InicioCiclo,$S206+MOD(2-WEEKDAY($S206),7))+20),1,IF(ISNUMBER($K206),$K206,$Z206)))</f>
        <v/>
      </c>
      <c r="AB206" s="62">
        <f>IF($V206="","",IF(AND(ISNUMBER($G206),$G206&lt;=IF($S206=MesCiclo,InicioCiclo,$S206+MOD(2-WEEKDAY($S206),7))+27),1,IF(ISNUMBER($L206),$L206,$AA206)))</f>
        <v/>
      </c>
      <c r="AC206" s="62">
        <f>IF($V206="","",IF(AND(ISNUMBER($G206),$G206&lt;=IF($S206=MesCiclo,InicioCiclo,$S206+MOD(2-WEEKDAY($S206),7))+6),1,IF(N($W206)&gt;0,AVERAGEIFS($Y$5:$Y$1000,$U$5:$U$1000,ROW(),$V$5:$V$1000,"Sub"),$Y206)))</f>
        <v/>
      </c>
      <c r="AD206" s="62">
        <f>IF($V206="","",IF(AND(ISNUMBER($G206),$G206&lt;=IF($S206=MesCiclo,InicioCiclo,$S206+MOD(2-WEEKDAY($S206),7))+13),1,IF(N($W206)&gt;0,AVERAGEIFS($Z$5:$Z$1000,$U$5:$U$1000,ROW(),$V$5:$V$1000,"Sub"),$Z206)))</f>
        <v/>
      </c>
      <c r="AE206" s="62">
        <f>IF($V206="","",IF(AND(ISNUMBER($G206),$G206&lt;=IF($S206=MesCiclo,InicioCiclo,$S206+MOD(2-WEEKDAY($S206),7))+20),1,IF(N($W206)&gt;0,AVERAGEIFS($AA$5:$AA$1000,$U$5:$U$1000,ROW(),$V$5:$V$1000,"Sub"),$AA206)))</f>
        <v/>
      </c>
      <c r="AF206" s="62">
        <f>IF($V206="","",IF(AND(ISNUMBER($G206),$G206&lt;=IF($S206=MesCiclo,InicioCiclo,$S206+MOD(2-WEEKDAY($S206),7))+27),1,IF(N($W206)&gt;0,AVERAGEIFS($AB$5:$AB$1000,$U$5:$U$1000,ROW(),$V$5:$V$1000,"Sub"),$AB206)))</f>
        <v/>
      </c>
      <c r="AG206" s="62">
        <f>IF($V206&lt;&gt;"Macro","",IF(COUNTIFS($S$5:$S$1000,$S206,$V$5:$V$1000,"Macro",$H$5:$H$1000,"&gt;0")=0,1/COUNTIFS($S$5:$S$1000,$S206,$V$5:$V$1000,"Macro"),IF(AND(ISNUMBER($H206),N($H206)&gt;0),$H206,SUMIFS($H$5:$H$1000,$S$5:$S$1000,$S206,$V$5:$V$1000,"Macro")/COUNTIFS($S$5:$S$1000,$S206,$V$5:$V$1000,"Macro",$H$5:$H$1000,"&gt;0"))/(COUNTIFS($S$5:$S$1000,$S206,$V$5:$V$1000,"Macro")*SUMIFS($H$5:$H$1000,$S$5:$S$1000,$S206,$V$5:$V$1000,"Macro")/COUNTIFS($S$5:$S$1000,$S206,$V$5:$V$1000,"Macro",$H$5:$H$1000,"&gt;0"))))</f>
        <v/>
      </c>
      <c r="AH206" s="62" t="n"/>
      <c r="AI206" s="62" t="n"/>
      <c r="AJ206" s="62" t="n"/>
      <c r="AK206" s="62" t="n"/>
      <c r="AL206" s="62">
        <f>IF(LEFT($C206,11)="[Jefatura] ",IFERROR(MATCH("Riesgo Operacional|"&amp;MID($C206,12,500),rDname_ADM,0),0),"")</f>
        <v/>
      </c>
      <c r="AM206" s="62">
        <f>IF(N($AL206)&gt;0,INDEX(rIni_ADM,$AL206),IF(ISNUMBER($E206),$E206,""))</f>
        <v/>
      </c>
      <c r="AN206" s="62">
        <f>IF(N($AL206)&gt;0,INDEX(rLim_ADM,$AL206),IF(ISNUMBER($F206),$F206,""))</f>
        <v/>
      </c>
    </row>
    <row r="207">
      <c r="A207" s="56">
        <f>IF(NOT((COUNTA($B207:$D207)+COUNTA($G207:$L207)+COUNTA($Q207))&gt;0),"",IF($V207="Macro",COUNTIFS($V$5:$V207,"Macro",$S$5:$S207,$S207),IF(N($U207)=0,"?",COUNTIFS(INDEX($V$5:$V$1000,1):INDEX($V$5:$V$1000,$U207-4),"Macro",INDEX($S$5:$S$1000,1):INDEX($S$5:$S$1000,$U207-4),INDEX($S$5:$S$1000,$U207-4))&amp;"."&amp;COUNTIFS($U$5:$U207,$U207,$V$5:$V207,"Sub"))))</f>
        <v/>
      </c>
      <c r="B207" s="57" t="n"/>
      <c r="C207" s="58" t="n"/>
      <c r="D207" s="58" t="n"/>
      <c r="E207" s="59">
        <f>IF(N($AL207)&gt;0,INDEX(rIni_ADM,$AL207),"")</f>
        <v/>
      </c>
      <c r="F207" s="59">
        <f>IF(N($AL207)&gt;0,INDEX(rLim_ADM,$AL207),"")</f>
        <v/>
      </c>
      <c r="G207" s="59" t="n"/>
      <c r="H207" s="60" t="n"/>
      <c r="I207" s="60" t="n"/>
      <c r="J207" s="60" t="n"/>
      <c r="K207" s="60" t="n"/>
      <c r="L207" s="60" t="n"/>
      <c r="M207" s="61">
        <f>IF(NOT((COUNTA($B207:$D207)+COUNTA($G207:$L207)+COUNTA($Q207))&gt;0),"",IF(ISNUMBER($G207),1,IF(N($W207)&gt;0,AVERAGEIFS($X$5:$X$1000,$U$5:$U$1000,ROW(),$V$5:$V$1000,"Sub"),$X207)))</f>
        <v/>
      </c>
      <c r="N207" s="56">
        <f>IF($M207="","",IF($M207&gt;=1,"Completado",IF($M207&gt;0,"En curso","Pendiente")))</f>
        <v/>
      </c>
      <c r="O207" s="56">
        <f>IF(NOT((COUNTA($B207:$D207)+COUNTA($G207:$L207)+COUNTA($Q207))&gt;0),"",IF(ISNUMBER($G207),IF(AND(ISNUMBER($AN207),$G207&gt;$AN207),"Cumplida con "&amp;($G207-$AN207)&amp;IF($G207-$AN207=1," día"," días")&amp;" de retraso","Cumplida"),IF(N($M207)&gt;=1,"Cumplida",IF(NOT(ISNUMBER($AN207)),"Sin fecha límite",IF($AN207&lt;FechaRef,"Vencida hace "&amp;(FechaRef-$AN207)&amp;IF(FechaRef-$AN207=1," día"," días"),IF($AN207=FechaRef,"Vence hoy",IF($AN207-FechaRef&lt;=DiasAlerta,"Vence en "&amp;($AN207-FechaRef)&amp;IF($AN207-FechaRef=1," día"," días"),"En plazo")))))))</f>
        <v/>
      </c>
      <c r="P207" s="62" t="n"/>
      <c r="Q207" s="58" t="n"/>
      <c r="R207" s="63">
        <f>IF(NOT((COUNTA($B207:$D207)+COUNTA($G207:$L207)+COUNTA($Q207))&gt;0),"",IF((IF($C207="","Falta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",""))="","✔ OK","⚠ "&amp;LEFT(IF($C207="","Falta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",""),LEN(IF($C207="","Falta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",""))-3)))</f>
        <v/>
      </c>
      <c r="S207" s="64">
        <f>IF(NOT((COUNTA($B207:$D207)+COUNTA($G207:$L207)+COUNTA($Q207))&gt;0),"",IF(AND($V207="Sub",N($U207)&gt;0),IF(ISNUMBER(INDEX($AM$5:$AM$1000,$U207-4)),DATE(YEAR(INDEX($AM$5:$AM$1000,$U207-4)),MONTH(INDEX($AM$5:$AM$1000,$U207-4)),1),IF(ISNUMBER(INDEX($AN$5:$AN$1000,$U207-4)),DATE(YEAR(INDEX($AN$5:$AN$1000,$U207-4)),MONTH(INDEX($AN$5:$AN$1000,$U207-4)),1),MesCiclo)),IF(ISNUMBER($AM207),DATE(YEAR($AM207),MONTH($AM207),1),IF(ISNUMBER($AN207),DATE(YEAR($AN207),MONTH($AN207),1),MesCiclo))))</f>
        <v/>
      </c>
      <c r="T207" s="62">
        <f>IF(OR($S207="",$S207&lt;&gt;MesCiclo),"",COUNTIF($S$5:$S207,MesCiclo))</f>
        <v/>
      </c>
      <c r="U207" s="62">
        <f>IF($V207="","",IF($V207="Macro",ROW(),IFERROR(LOOKUP(2,1/($V$5:$V207="Macro"),ROW($V$5:$V207)),0)))</f>
        <v/>
      </c>
      <c r="V207" s="62">
        <f>IF(NOT((COUNTA($B207:$D207)+COUNTA($G207:$L207)+COUNTA($Q207))&gt;0),"",IF($B207="Subactividad","Sub","Macro"))</f>
        <v/>
      </c>
      <c r="W207" s="62">
        <f>IF($V207="Macro",COUNTIFS($U$5:$U$1000,ROW(),$V$5:$V$1000,"Sub"),"")</f>
        <v/>
      </c>
      <c r="X207" s="62">
        <f>IF($V207="","",IF(ISNUMBER($G207),1,IFERROR(LOOKUP(2,1/($I207:$L207&lt;&gt;""),$I207:$L207),0)))</f>
        <v/>
      </c>
      <c r="Y207" s="62">
        <f>IF($V207="","",IF(AND(ISNUMBER($G207),$G207&lt;=IF($S207=MesCiclo,InicioCiclo,$S207+MOD(2-WEEKDAY($S207),7))+6),1,IF(ISNUMBER($I207),$I207,0)))</f>
        <v/>
      </c>
      <c r="Z207" s="62">
        <f>IF($V207="","",IF(AND(ISNUMBER($G207),$G207&lt;=IF($S207=MesCiclo,InicioCiclo,$S207+MOD(2-WEEKDAY($S207),7))+13),1,IF(ISNUMBER($J207),$J207,$Y207)))</f>
        <v/>
      </c>
      <c r="AA207" s="62">
        <f>IF($V207="","",IF(AND(ISNUMBER($G207),$G207&lt;=IF($S207=MesCiclo,InicioCiclo,$S207+MOD(2-WEEKDAY($S207),7))+20),1,IF(ISNUMBER($K207),$K207,$Z207)))</f>
        <v/>
      </c>
      <c r="AB207" s="62">
        <f>IF($V207="","",IF(AND(ISNUMBER($G207),$G207&lt;=IF($S207=MesCiclo,InicioCiclo,$S207+MOD(2-WEEKDAY($S207),7))+27),1,IF(ISNUMBER($L207),$L207,$AA207)))</f>
        <v/>
      </c>
      <c r="AC207" s="62">
        <f>IF($V207="","",IF(AND(ISNUMBER($G207),$G207&lt;=IF($S207=MesCiclo,InicioCiclo,$S207+MOD(2-WEEKDAY($S207),7))+6),1,IF(N($W207)&gt;0,AVERAGEIFS($Y$5:$Y$1000,$U$5:$U$1000,ROW(),$V$5:$V$1000,"Sub"),$Y207)))</f>
        <v/>
      </c>
      <c r="AD207" s="62">
        <f>IF($V207="","",IF(AND(ISNUMBER($G207),$G207&lt;=IF($S207=MesCiclo,InicioCiclo,$S207+MOD(2-WEEKDAY($S207),7))+13),1,IF(N($W207)&gt;0,AVERAGEIFS($Z$5:$Z$1000,$U$5:$U$1000,ROW(),$V$5:$V$1000,"Sub"),$Z207)))</f>
        <v/>
      </c>
      <c r="AE207" s="62">
        <f>IF($V207="","",IF(AND(ISNUMBER($G207),$G207&lt;=IF($S207=MesCiclo,InicioCiclo,$S207+MOD(2-WEEKDAY($S207),7))+20),1,IF(N($W207)&gt;0,AVERAGEIFS($AA$5:$AA$1000,$U$5:$U$1000,ROW(),$V$5:$V$1000,"Sub"),$AA207)))</f>
        <v/>
      </c>
      <c r="AF207" s="62">
        <f>IF($V207="","",IF(AND(ISNUMBER($G207),$G207&lt;=IF($S207=MesCiclo,InicioCiclo,$S207+MOD(2-WEEKDAY($S207),7))+27),1,IF(N($W207)&gt;0,AVERAGEIFS($AB$5:$AB$1000,$U$5:$U$1000,ROW(),$V$5:$V$1000,"Sub"),$AB207)))</f>
        <v/>
      </c>
      <c r="AG207" s="62">
        <f>IF($V207&lt;&gt;"Macro","",IF(COUNTIFS($S$5:$S$1000,$S207,$V$5:$V$1000,"Macro",$H$5:$H$1000,"&gt;0")=0,1/COUNTIFS($S$5:$S$1000,$S207,$V$5:$V$1000,"Macro"),IF(AND(ISNUMBER($H207),N($H207)&gt;0),$H207,SUMIFS($H$5:$H$1000,$S$5:$S$1000,$S207,$V$5:$V$1000,"Macro")/COUNTIFS($S$5:$S$1000,$S207,$V$5:$V$1000,"Macro",$H$5:$H$1000,"&gt;0"))/(COUNTIFS($S$5:$S$1000,$S207,$V$5:$V$1000,"Macro")*SUMIFS($H$5:$H$1000,$S$5:$S$1000,$S207,$V$5:$V$1000,"Macro")/COUNTIFS($S$5:$S$1000,$S207,$V$5:$V$1000,"Macro",$H$5:$H$1000,"&gt;0"))))</f>
        <v/>
      </c>
      <c r="AH207" s="62" t="n"/>
      <c r="AI207" s="62" t="n"/>
      <c r="AJ207" s="62" t="n"/>
      <c r="AK207" s="62" t="n"/>
      <c r="AL207" s="62">
        <f>IF(LEFT($C207,11)="[Jefatura] ",IFERROR(MATCH("Riesgo Operacional|"&amp;MID($C207,12,500),rDname_ADM,0),0),"")</f>
        <v/>
      </c>
      <c r="AM207" s="62">
        <f>IF(N($AL207)&gt;0,INDEX(rIni_ADM,$AL207),IF(ISNUMBER($E207),$E207,""))</f>
        <v/>
      </c>
      <c r="AN207" s="62">
        <f>IF(N($AL207)&gt;0,INDEX(rLim_ADM,$AL207),IF(ISNUMBER($F207),$F207,""))</f>
        <v/>
      </c>
    </row>
    <row r="208">
      <c r="A208" s="56">
        <f>IF(NOT((COUNTA($B208:$D208)+COUNTA($G208:$L208)+COUNTA($Q208))&gt;0),"",IF($V208="Macro",COUNTIFS($V$5:$V208,"Macro",$S$5:$S208,$S208),IF(N($U208)=0,"?",COUNTIFS(INDEX($V$5:$V$1000,1):INDEX($V$5:$V$1000,$U208-4),"Macro",INDEX($S$5:$S$1000,1):INDEX($S$5:$S$1000,$U208-4),INDEX($S$5:$S$1000,$U208-4))&amp;"."&amp;COUNTIFS($U$5:$U208,$U208,$V$5:$V208,"Sub"))))</f>
        <v/>
      </c>
      <c r="B208" s="57" t="n"/>
      <c r="C208" s="58" t="n"/>
      <c r="D208" s="58" t="n"/>
      <c r="E208" s="59">
        <f>IF(N($AL208)&gt;0,INDEX(rIni_ADM,$AL208),"")</f>
        <v/>
      </c>
      <c r="F208" s="59">
        <f>IF(N($AL208)&gt;0,INDEX(rLim_ADM,$AL208),"")</f>
        <v/>
      </c>
      <c r="G208" s="59" t="n"/>
      <c r="H208" s="60" t="n"/>
      <c r="I208" s="60" t="n"/>
      <c r="J208" s="60" t="n"/>
      <c r="K208" s="60" t="n"/>
      <c r="L208" s="60" t="n"/>
      <c r="M208" s="61">
        <f>IF(NOT((COUNTA($B208:$D208)+COUNTA($G208:$L208)+COUNTA($Q208))&gt;0),"",IF(ISNUMBER($G208),1,IF(N($W208)&gt;0,AVERAGEIFS($X$5:$X$1000,$U$5:$U$1000,ROW(),$V$5:$V$1000,"Sub"),$X208)))</f>
        <v/>
      </c>
      <c r="N208" s="56">
        <f>IF($M208="","",IF($M208&gt;=1,"Completado",IF($M208&gt;0,"En curso","Pendiente")))</f>
        <v/>
      </c>
      <c r="O208" s="56">
        <f>IF(NOT((COUNTA($B208:$D208)+COUNTA($G208:$L208)+COUNTA($Q208))&gt;0),"",IF(ISNUMBER($G208),IF(AND(ISNUMBER($AN208),$G208&gt;$AN208),"Cumplida con "&amp;($G208-$AN208)&amp;IF($G208-$AN208=1," día"," días")&amp;" de retraso","Cumplida"),IF(N($M208)&gt;=1,"Cumplida",IF(NOT(ISNUMBER($AN208)),"Sin fecha límite",IF($AN208&lt;FechaRef,"Vencida hace "&amp;(FechaRef-$AN208)&amp;IF(FechaRef-$AN208=1," día"," días"),IF($AN208=FechaRef,"Vence hoy",IF($AN208-FechaRef&lt;=DiasAlerta,"Vence en "&amp;($AN208-FechaRef)&amp;IF($AN208-FechaRef=1," día"," días"),"En plazo")))))))</f>
        <v/>
      </c>
      <c r="P208" s="62" t="n"/>
      <c r="Q208" s="58" t="n"/>
      <c r="R208" s="63">
        <f>IF(NOT((COUNTA($B208:$D208)+COUNTA($G208:$L208)+COUNTA($Q208))&gt;0),"",IF((IF($C208="","Falta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",""))="","✔ OK","⚠ "&amp;LEFT(IF($C208="","Falta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",""),LEN(IF($C208="","Falta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",""))-3)))</f>
        <v/>
      </c>
      <c r="S208" s="64">
        <f>IF(NOT((COUNTA($B208:$D208)+COUNTA($G208:$L208)+COUNTA($Q208))&gt;0),"",IF(AND($V208="Sub",N($U208)&gt;0),IF(ISNUMBER(INDEX($AM$5:$AM$1000,$U208-4)),DATE(YEAR(INDEX($AM$5:$AM$1000,$U208-4)),MONTH(INDEX($AM$5:$AM$1000,$U208-4)),1),IF(ISNUMBER(INDEX($AN$5:$AN$1000,$U208-4)),DATE(YEAR(INDEX($AN$5:$AN$1000,$U208-4)),MONTH(INDEX($AN$5:$AN$1000,$U208-4)),1),MesCiclo)),IF(ISNUMBER($AM208),DATE(YEAR($AM208),MONTH($AM208),1),IF(ISNUMBER($AN208),DATE(YEAR($AN208),MONTH($AN208),1),MesCiclo))))</f>
        <v/>
      </c>
      <c r="T208" s="62">
        <f>IF(OR($S208="",$S208&lt;&gt;MesCiclo),"",COUNTIF($S$5:$S208,MesCiclo))</f>
        <v/>
      </c>
      <c r="U208" s="62">
        <f>IF($V208="","",IF($V208="Macro",ROW(),IFERROR(LOOKUP(2,1/($V$5:$V208="Macro"),ROW($V$5:$V208)),0)))</f>
        <v/>
      </c>
      <c r="V208" s="62">
        <f>IF(NOT((COUNTA($B208:$D208)+COUNTA($G208:$L208)+COUNTA($Q208))&gt;0),"",IF($B208="Subactividad","Sub","Macro"))</f>
        <v/>
      </c>
      <c r="W208" s="62">
        <f>IF($V208="Macro",COUNTIFS($U$5:$U$1000,ROW(),$V$5:$V$1000,"Sub"),"")</f>
        <v/>
      </c>
      <c r="X208" s="62">
        <f>IF($V208="","",IF(ISNUMBER($G208),1,IFERROR(LOOKUP(2,1/($I208:$L208&lt;&gt;""),$I208:$L208),0)))</f>
        <v/>
      </c>
      <c r="Y208" s="62">
        <f>IF($V208="","",IF(AND(ISNUMBER($G208),$G208&lt;=IF($S208=MesCiclo,InicioCiclo,$S208+MOD(2-WEEKDAY($S208),7))+6),1,IF(ISNUMBER($I208),$I208,0)))</f>
        <v/>
      </c>
      <c r="Z208" s="62">
        <f>IF($V208="","",IF(AND(ISNUMBER($G208),$G208&lt;=IF($S208=MesCiclo,InicioCiclo,$S208+MOD(2-WEEKDAY($S208),7))+13),1,IF(ISNUMBER($J208),$J208,$Y208)))</f>
        <v/>
      </c>
      <c r="AA208" s="62">
        <f>IF($V208="","",IF(AND(ISNUMBER($G208),$G208&lt;=IF($S208=MesCiclo,InicioCiclo,$S208+MOD(2-WEEKDAY($S208),7))+20),1,IF(ISNUMBER($K208),$K208,$Z208)))</f>
        <v/>
      </c>
      <c r="AB208" s="62">
        <f>IF($V208="","",IF(AND(ISNUMBER($G208),$G208&lt;=IF($S208=MesCiclo,InicioCiclo,$S208+MOD(2-WEEKDAY($S208),7))+27),1,IF(ISNUMBER($L208),$L208,$AA208)))</f>
        <v/>
      </c>
      <c r="AC208" s="62">
        <f>IF($V208="","",IF(AND(ISNUMBER($G208),$G208&lt;=IF($S208=MesCiclo,InicioCiclo,$S208+MOD(2-WEEKDAY($S208),7))+6),1,IF(N($W208)&gt;0,AVERAGEIFS($Y$5:$Y$1000,$U$5:$U$1000,ROW(),$V$5:$V$1000,"Sub"),$Y208)))</f>
        <v/>
      </c>
      <c r="AD208" s="62">
        <f>IF($V208="","",IF(AND(ISNUMBER($G208),$G208&lt;=IF($S208=MesCiclo,InicioCiclo,$S208+MOD(2-WEEKDAY($S208),7))+13),1,IF(N($W208)&gt;0,AVERAGEIFS($Z$5:$Z$1000,$U$5:$U$1000,ROW(),$V$5:$V$1000,"Sub"),$Z208)))</f>
        <v/>
      </c>
      <c r="AE208" s="62">
        <f>IF($V208="","",IF(AND(ISNUMBER($G208),$G208&lt;=IF($S208=MesCiclo,InicioCiclo,$S208+MOD(2-WEEKDAY($S208),7))+20),1,IF(N($W208)&gt;0,AVERAGEIFS($AA$5:$AA$1000,$U$5:$U$1000,ROW(),$V$5:$V$1000,"Sub"),$AA208)))</f>
        <v/>
      </c>
      <c r="AF208" s="62">
        <f>IF($V208="","",IF(AND(ISNUMBER($G208),$G208&lt;=IF($S208=MesCiclo,InicioCiclo,$S208+MOD(2-WEEKDAY($S208),7))+27),1,IF(N($W208)&gt;0,AVERAGEIFS($AB$5:$AB$1000,$U$5:$U$1000,ROW(),$V$5:$V$1000,"Sub"),$AB208)))</f>
        <v/>
      </c>
      <c r="AG208" s="62">
        <f>IF($V208&lt;&gt;"Macro","",IF(COUNTIFS($S$5:$S$1000,$S208,$V$5:$V$1000,"Macro",$H$5:$H$1000,"&gt;0")=0,1/COUNTIFS($S$5:$S$1000,$S208,$V$5:$V$1000,"Macro"),IF(AND(ISNUMBER($H208),N($H208)&gt;0),$H208,SUMIFS($H$5:$H$1000,$S$5:$S$1000,$S208,$V$5:$V$1000,"Macro")/COUNTIFS($S$5:$S$1000,$S208,$V$5:$V$1000,"Macro",$H$5:$H$1000,"&gt;0"))/(COUNTIFS($S$5:$S$1000,$S208,$V$5:$V$1000,"Macro")*SUMIFS($H$5:$H$1000,$S$5:$S$1000,$S208,$V$5:$V$1000,"Macro")/COUNTIFS($S$5:$S$1000,$S208,$V$5:$V$1000,"Macro",$H$5:$H$1000,"&gt;0"))))</f>
        <v/>
      </c>
      <c r="AH208" s="62" t="n"/>
      <c r="AI208" s="62" t="n"/>
      <c r="AJ208" s="62" t="n"/>
      <c r="AK208" s="62" t="n"/>
      <c r="AL208" s="62">
        <f>IF(LEFT($C208,11)="[Jefatura] ",IFERROR(MATCH("Riesgo Operacional|"&amp;MID($C208,12,500),rDname_ADM,0),0),"")</f>
        <v/>
      </c>
      <c r="AM208" s="62">
        <f>IF(N($AL208)&gt;0,INDEX(rIni_ADM,$AL208),IF(ISNUMBER($E208),$E208,""))</f>
        <v/>
      </c>
      <c r="AN208" s="62">
        <f>IF(N($AL208)&gt;0,INDEX(rLim_ADM,$AL208),IF(ISNUMBER($F208),$F208,""))</f>
        <v/>
      </c>
    </row>
    <row r="209">
      <c r="A209" s="56">
        <f>IF(NOT((COUNTA($B209:$D209)+COUNTA($G209:$L209)+COUNTA($Q209))&gt;0),"",IF($V209="Macro",COUNTIFS($V$5:$V209,"Macro",$S$5:$S209,$S209),IF(N($U209)=0,"?",COUNTIFS(INDEX($V$5:$V$1000,1):INDEX($V$5:$V$1000,$U209-4),"Macro",INDEX($S$5:$S$1000,1):INDEX($S$5:$S$1000,$U209-4),INDEX($S$5:$S$1000,$U209-4))&amp;"."&amp;COUNTIFS($U$5:$U209,$U209,$V$5:$V209,"Sub"))))</f>
        <v/>
      </c>
      <c r="B209" s="57" t="n"/>
      <c r="C209" s="58" t="n"/>
      <c r="D209" s="58" t="n"/>
      <c r="E209" s="59">
        <f>IF(N($AL209)&gt;0,INDEX(rIni_ADM,$AL209),"")</f>
        <v/>
      </c>
      <c r="F209" s="59">
        <f>IF(N($AL209)&gt;0,INDEX(rLim_ADM,$AL209),"")</f>
        <v/>
      </c>
      <c r="G209" s="59" t="n"/>
      <c r="H209" s="60" t="n"/>
      <c r="I209" s="60" t="n"/>
      <c r="J209" s="60" t="n"/>
      <c r="K209" s="60" t="n"/>
      <c r="L209" s="60" t="n"/>
      <c r="M209" s="61">
        <f>IF(NOT((COUNTA($B209:$D209)+COUNTA($G209:$L209)+COUNTA($Q209))&gt;0),"",IF(ISNUMBER($G209),1,IF(N($W209)&gt;0,AVERAGEIFS($X$5:$X$1000,$U$5:$U$1000,ROW(),$V$5:$V$1000,"Sub"),$X209)))</f>
        <v/>
      </c>
      <c r="N209" s="56">
        <f>IF($M209="","",IF($M209&gt;=1,"Completado",IF($M209&gt;0,"En curso","Pendiente")))</f>
        <v/>
      </c>
      <c r="O209" s="56">
        <f>IF(NOT((COUNTA($B209:$D209)+COUNTA($G209:$L209)+COUNTA($Q209))&gt;0),"",IF(ISNUMBER($G209),IF(AND(ISNUMBER($AN209),$G209&gt;$AN209),"Cumplida con "&amp;($G209-$AN209)&amp;IF($G209-$AN209=1," día"," días")&amp;" de retraso","Cumplida"),IF(N($M209)&gt;=1,"Cumplida",IF(NOT(ISNUMBER($AN209)),"Sin fecha límite",IF($AN209&lt;FechaRef,"Vencida hace "&amp;(FechaRef-$AN209)&amp;IF(FechaRef-$AN209=1," día"," días"),IF($AN209=FechaRef,"Vence hoy",IF($AN209-FechaRef&lt;=DiasAlerta,"Vence en "&amp;($AN209-FechaRef)&amp;IF($AN209-FechaRef=1," día"," días"),"En plazo")))))))</f>
        <v/>
      </c>
      <c r="P209" s="62" t="n"/>
      <c r="Q209" s="58" t="n"/>
      <c r="R209" s="63">
        <f>IF(NOT((COUNTA($B209:$D209)+COUNTA($G209:$L209)+COUNTA($Q209))&gt;0),"",IF((IF($C209="","Falta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",""))="","✔ OK","⚠ "&amp;LEFT(IF($C209="","Falta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",""),LEN(IF($C209="","Falta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",""))-3)))</f>
        <v/>
      </c>
      <c r="S209" s="64">
        <f>IF(NOT((COUNTA($B209:$D209)+COUNTA($G209:$L209)+COUNTA($Q209))&gt;0),"",IF(AND($V209="Sub",N($U209)&gt;0),IF(ISNUMBER(INDEX($AM$5:$AM$1000,$U209-4)),DATE(YEAR(INDEX($AM$5:$AM$1000,$U209-4)),MONTH(INDEX($AM$5:$AM$1000,$U209-4)),1),IF(ISNUMBER(INDEX($AN$5:$AN$1000,$U209-4)),DATE(YEAR(INDEX($AN$5:$AN$1000,$U209-4)),MONTH(INDEX($AN$5:$AN$1000,$U209-4)),1),MesCiclo)),IF(ISNUMBER($AM209),DATE(YEAR($AM209),MONTH($AM209),1),IF(ISNUMBER($AN209),DATE(YEAR($AN209),MONTH($AN209),1),MesCiclo))))</f>
        <v/>
      </c>
      <c r="T209" s="62">
        <f>IF(OR($S209="",$S209&lt;&gt;MesCiclo),"",COUNTIF($S$5:$S209,MesCiclo))</f>
        <v/>
      </c>
      <c r="U209" s="62">
        <f>IF($V209="","",IF($V209="Macro",ROW(),IFERROR(LOOKUP(2,1/($V$5:$V209="Macro"),ROW($V$5:$V209)),0)))</f>
        <v/>
      </c>
      <c r="V209" s="62">
        <f>IF(NOT((COUNTA($B209:$D209)+COUNTA($G209:$L209)+COUNTA($Q209))&gt;0),"",IF($B209="Subactividad","Sub","Macro"))</f>
        <v/>
      </c>
      <c r="W209" s="62">
        <f>IF($V209="Macro",COUNTIFS($U$5:$U$1000,ROW(),$V$5:$V$1000,"Sub"),"")</f>
        <v/>
      </c>
      <c r="X209" s="62">
        <f>IF($V209="","",IF(ISNUMBER($G209),1,IFERROR(LOOKUP(2,1/($I209:$L209&lt;&gt;""),$I209:$L209),0)))</f>
        <v/>
      </c>
      <c r="Y209" s="62">
        <f>IF($V209="","",IF(AND(ISNUMBER($G209),$G209&lt;=IF($S209=MesCiclo,InicioCiclo,$S209+MOD(2-WEEKDAY($S209),7))+6),1,IF(ISNUMBER($I209),$I209,0)))</f>
        <v/>
      </c>
      <c r="Z209" s="62">
        <f>IF($V209="","",IF(AND(ISNUMBER($G209),$G209&lt;=IF($S209=MesCiclo,InicioCiclo,$S209+MOD(2-WEEKDAY($S209),7))+13),1,IF(ISNUMBER($J209),$J209,$Y209)))</f>
        <v/>
      </c>
      <c r="AA209" s="62">
        <f>IF($V209="","",IF(AND(ISNUMBER($G209),$G209&lt;=IF($S209=MesCiclo,InicioCiclo,$S209+MOD(2-WEEKDAY($S209),7))+20),1,IF(ISNUMBER($K209),$K209,$Z209)))</f>
        <v/>
      </c>
      <c r="AB209" s="62">
        <f>IF($V209="","",IF(AND(ISNUMBER($G209),$G209&lt;=IF($S209=MesCiclo,InicioCiclo,$S209+MOD(2-WEEKDAY($S209),7))+27),1,IF(ISNUMBER($L209),$L209,$AA209)))</f>
        <v/>
      </c>
      <c r="AC209" s="62">
        <f>IF($V209="","",IF(AND(ISNUMBER($G209),$G209&lt;=IF($S209=MesCiclo,InicioCiclo,$S209+MOD(2-WEEKDAY($S209),7))+6),1,IF(N($W209)&gt;0,AVERAGEIFS($Y$5:$Y$1000,$U$5:$U$1000,ROW(),$V$5:$V$1000,"Sub"),$Y209)))</f>
        <v/>
      </c>
      <c r="AD209" s="62">
        <f>IF($V209="","",IF(AND(ISNUMBER($G209),$G209&lt;=IF($S209=MesCiclo,InicioCiclo,$S209+MOD(2-WEEKDAY($S209),7))+13),1,IF(N($W209)&gt;0,AVERAGEIFS($Z$5:$Z$1000,$U$5:$U$1000,ROW(),$V$5:$V$1000,"Sub"),$Z209)))</f>
        <v/>
      </c>
      <c r="AE209" s="62">
        <f>IF($V209="","",IF(AND(ISNUMBER($G209),$G209&lt;=IF($S209=MesCiclo,InicioCiclo,$S209+MOD(2-WEEKDAY($S209),7))+20),1,IF(N($W209)&gt;0,AVERAGEIFS($AA$5:$AA$1000,$U$5:$U$1000,ROW(),$V$5:$V$1000,"Sub"),$AA209)))</f>
        <v/>
      </c>
      <c r="AF209" s="62">
        <f>IF($V209="","",IF(AND(ISNUMBER($G209),$G209&lt;=IF($S209=MesCiclo,InicioCiclo,$S209+MOD(2-WEEKDAY($S209),7))+27),1,IF(N($W209)&gt;0,AVERAGEIFS($AB$5:$AB$1000,$U$5:$U$1000,ROW(),$V$5:$V$1000,"Sub"),$AB209)))</f>
        <v/>
      </c>
      <c r="AG209" s="62">
        <f>IF($V209&lt;&gt;"Macro","",IF(COUNTIFS($S$5:$S$1000,$S209,$V$5:$V$1000,"Macro",$H$5:$H$1000,"&gt;0")=0,1/COUNTIFS($S$5:$S$1000,$S209,$V$5:$V$1000,"Macro"),IF(AND(ISNUMBER($H209),N($H209)&gt;0),$H209,SUMIFS($H$5:$H$1000,$S$5:$S$1000,$S209,$V$5:$V$1000,"Macro")/COUNTIFS($S$5:$S$1000,$S209,$V$5:$V$1000,"Macro",$H$5:$H$1000,"&gt;0"))/(COUNTIFS($S$5:$S$1000,$S209,$V$5:$V$1000,"Macro")*SUMIFS($H$5:$H$1000,$S$5:$S$1000,$S209,$V$5:$V$1000,"Macro")/COUNTIFS($S$5:$S$1000,$S209,$V$5:$V$1000,"Macro",$H$5:$H$1000,"&gt;0"))))</f>
        <v/>
      </c>
      <c r="AH209" s="62" t="n"/>
      <c r="AI209" s="62" t="n"/>
      <c r="AJ209" s="62" t="n"/>
      <c r="AK209" s="62" t="n"/>
      <c r="AL209" s="62">
        <f>IF(LEFT($C209,11)="[Jefatura] ",IFERROR(MATCH("Riesgo Operacional|"&amp;MID($C209,12,500),rDname_ADM,0),0),"")</f>
        <v/>
      </c>
      <c r="AM209" s="62">
        <f>IF(N($AL209)&gt;0,INDEX(rIni_ADM,$AL209),IF(ISNUMBER($E209),$E209,""))</f>
        <v/>
      </c>
      <c r="AN209" s="62">
        <f>IF(N($AL209)&gt;0,INDEX(rLim_ADM,$AL209),IF(ISNUMBER($F209),$F209,""))</f>
        <v/>
      </c>
    </row>
    <row r="210">
      <c r="A210" s="56">
        <f>IF(NOT((COUNTA($B210:$D210)+COUNTA($G210:$L210)+COUNTA($Q210))&gt;0),"",IF($V210="Macro",COUNTIFS($V$5:$V210,"Macro",$S$5:$S210,$S210),IF(N($U210)=0,"?",COUNTIFS(INDEX($V$5:$V$1000,1):INDEX($V$5:$V$1000,$U210-4),"Macro",INDEX($S$5:$S$1000,1):INDEX($S$5:$S$1000,$U210-4),INDEX($S$5:$S$1000,$U210-4))&amp;"."&amp;COUNTIFS($U$5:$U210,$U210,$V$5:$V210,"Sub"))))</f>
        <v/>
      </c>
      <c r="B210" s="57" t="n"/>
      <c r="C210" s="58" t="n"/>
      <c r="D210" s="58" t="n"/>
      <c r="E210" s="59">
        <f>IF(N($AL210)&gt;0,INDEX(rIni_ADM,$AL210),"")</f>
        <v/>
      </c>
      <c r="F210" s="59">
        <f>IF(N($AL210)&gt;0,INDEX(rLim_ADM,$AL210),"")</f>
        <v/>
      </c>
      <c r="G210" s="59" t="n"/>
      <c r="H210" s="60" t="n"/>
      <c r="I210" s="60" t="n"/>
      <c r="J210" s="60" t="n"/>
      <c r="K210" s="60" t="n"/>
      <c r="L210" s="60" t="n"/>
      <c r="M210" s="61">
        <f>IF(NOT((COUNTA($B210:$D210)+COUNTA($G210:$L210)+COUNTA($Q210))&gt;0),"",IF(ISNUMBER($G210),1,IF(N($W210)&gt;0,AVERAGEIFS($X$5:$X$1000,$U$5:$U$1000,ROW(),$V$5:$V$1000,"Sub"),$X210)))</f>
        <v/>
      </c>
      <c r="N210" s="56">
        <f>IF($M210="","",IF($M210&gt;=1,"Completado",IF($M210&gt;0,"En curso","Pendiente")))</f>
        <v/>
      </c>
      <c r="O210" s="56">
        <f>IF(NOT((COUNTA($B210:$D210)+COUNTA($G210:$L210)+COUNTA($Q210))&gt;0),"",IF(ISNUMBER($G210),IF(AND(ISNUMBER($AN210),$G210&gt;$AN210),"Cumplida con "&amp;($G210-$AN210)&amp;IF($G210-$AN210=1," día"," días")&amp;" de retraso","Cumplida"),IF(N($M210)&gt;=1,"Cumplida",IF(NOT(ISNUMBER($AN210)),"Sin fecha límite",IF($AN210&lt;FechaRef,"Vencida hace "&amp;(FechaRef-$AN210)&amp;IF(FechaRef-$AN210=1," día"," días"),IF($AN210=FechaRef,"Vence hoy",IF($AN210-FechaRef&lt;=DiasAlerta,"Vence en "&amp;($AN210-FechaRef)&amp;IF($AN210-FechaRef=1," día"," días"),"En plazo")))))))</f>
        <v/>
      </c>
      <c r="P210" s="62" t="n"/>
      <c r="Q210" s="58" t="n"/>
      <c r="R210" s="63">
        <f>IF(NOT((COUNTA($B210:$D210)+COUNTA($G210:$L210)+COUNTA($Q210))&gt;0),"",IF((IF($C210="","Falta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",""))="","✔ OK","⚠ "&amp;LEFT(IF($C210="","Falta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",""),LEN(IF($C210="","Falta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",""))-3)))</f>
        <v/>
      </c>
      <c r="S210" s="64">
        <f>IF(NOT((COUNTA($B210:$D210)+COUNTA($G210:$L210)+COUNTA($Q210))&gt;0),"",IF(AND($V210="Sub",N($U210)&gt;0),IF(ISNUMBER(INDEX($AM$5:$AM$1000,$U210-4)),DATE(YEAR(INDEX($AM$5:$AM$1000,$U210-4)),MONTH(INDEX($AM$5:$AM$1000,$U210-4)),1),IF(ISNUMBER(INDEX($AN$5:$AN$1000,$U210-4)),DATE(YEAR(INDEX($AN$5:$AN$1000,$U210-4)),MONTH(INDEX($AN$5:$AN$1000,$U210-4)),1),MesCiclo)),IF(ISNUMBER($AM210),DATE(YEAR($AM210),MONTH($AM210),1),IF(ISNUMBER($AN210),DATE(YEAR($AN210),MONTH($AN210),1),MesCiclo))))</f>
        <v/>
      </c>
      <c r="T210" s="62">
        <f>IF(OR($S210="",$S210&lt;&gt;MesCiclo),"",COUNTIF($S$5:$S210,MesCiclo))</f>
        <v/>
      </c>
      <c r="U210" s="62">
        <f>IF($V210="","",IF($V210="Macro",ROW(),IFERROR(LOOKUP(2,1/($V$5:$V210="Macro"),ROW($V$5:$V210)),0)))</f>
        <v/>
      </c>
      <c r="V210" s="62">
        <f>IF(NOT((COUNTA($B210:$D210)+COUNTA($G210:$L210)+COUNTA($Q210))&gt;0),"",IF($B210="Subactividad","Sub","Macro"))</f>
        <v/>
      </c>
      <c r="W210" s="62">
        <f>IF($V210="Macro",COUNTIFS($U$5:$U$1000,ROW(),$V$5:$V$1000,"Sub"),"")</f>
        <v/>
      </c>
      <c r="X210" s="62">
        <f>IF($V210="","",IF(ISNUMBER($G210),1,IFERROR(LOOKUP(2,1/($I210:$L210&lt;&gt;""),$I210:$L210),0)))</f>
        <v/>
      </c>
      <c r="Y210" s="62">
        <f>IF($V210="","",IF(AND(ISNUMBER($G210),$G210&lt;=IF($S210=MesCiclo,InicioCiclo,$S210+MOD(2-WEEKDAY($S210),7))+6),1,IF(ISNUMBER($I210),$I210,0)))</f>
        <v/>
      </c>
      <c r="Z210" s="62">
        <f>IF($V210="","",IF(AND(ISNUMBER($G210),$G210&lt;=IF($S210=MesCiclo,InicioCiclo,$S210+MOD(2-WEEKDAY($S210),7))+13),1,IF(ISNUMBER($J210),$J210,$Y210)))</f>
        <v/>
      </c>
      <c r="AA210" s="62">
        <f>IF($V210="","",IF(AND(ISNUMBER($G210),$G210&lt;=IF($S210=MesCiclo,InicioCiclo,$S210+MOD(2-WEEKDAY($S210),7))+20),1,IF(ISNUMBER($K210),$K210,$Z210)))</f>
        <v/>
      </c>
      <c r="AB210" s="62">
        <f>IF($V210="","",IF(AND(ISNUMBER($G210),$G210&lt;=IF($S210=MesCiclo,InicioCiclo,$S210+MOD(2-WEEKDAY($S210),7))+27),1,IF(ISNUMBER($L210),$L210,$AA210)))</f>
        <v/>
      </c>
      <c r="AC210" s="62">
        <f>IF($V210="","",IF(AND(ISNUMBER($G210),$G210&lt;=IF($S210=MesCiclo,InicioCiclo,$S210+MOD(2-WEEKDAY($S210),7))+6),1,IF(N($W210)&gt;0,AVERAGEIFS($Y$5:$Y$1000,$U$5:$U$1000,ROW(),$V$5:$V$1000,"Sub"),$Y210)))</f>
        <v/>
      </c>
      <c r="AD210" s="62">
        <f>IF($V210="","",IF(AND(ISNUMBER($G210),$G210&lt;=IF($S210=MesCiclo,InicioCiclo,$S210+MOD(2-WEEKDAY($S210),7))+13),1,IF(N($W210)&gt;0,AVERAGEIFS($Z$5:$Z$1000,$U$5:$U$1000,ROW(),$V$5:$V$1000,"Sub"),$Z210)))</f>
        <v/>
      </c>
      <c r="AE210" s="62">
        <f>IF($V210="","",IF(AND(ISNUMBER($G210),$G210&lt;=IF($S210=MesCiclo,InicioCiclo,$S210+MOD(2-WEEKDAY($S210),7))+20),1,IF(N($W210)&gt;0,AVERAGEIFS($AA$5:$AA$1000,$U$5:$U$1000,ROW(),$V$5:$V$1000,"Sub"),$AA210)))</f>
        <v/>
      </c>
      <c r="AF210" s="62">
        <f>IF($V210="","",IF(AND(ISNUMBER($G210),$G210&lt;=IF($S210=MesCiclo,InicioCiclo,$S210+MOD(2-WEEKDAY($S210),7))+27),1,IF(N($W210)&gt;0,AVERAGEIFS($AB$5:$AB$1000,$U$5:$U$1000,ROW(),$V$5:$V$1000,"Sub"),$AB210)))</f>
        <v/>
      </c>
      <c r="AG210" s="62">
        <f>IF($V210&lt;&gt;"Macro","",IF(COUNTIFS($S$5:$S$1000,$S210,$V$5:$V$1000,"Macro",$H$5:$H$1000,"&gt;0")=0,1/COUNTIFS($S$5:$S$1000,$S210,$V$5:$V$1000,"Macro"),IF(AND(ISNUMBER($H210),N($H210)&gt;0),$H210,SUMIFS($H$5:$H$1000,$S$5:$S$1000,$S210,$V$5:$V$1000,"Macro")/COUNTIFS($S$5:$S$1000,$S210,$V$5:$V$1000,"Macro",$H$5:$H$1000,"&gt;0"))/(COUNTIFS($S$5:$S$1000,$S210,$V$5:$V$1000,"Macro")*SUMIFS($H$5:$H$1000,$S$5:$S$1000,$S210,$V$5:$V$1000,"Macro")/COUNTIFS($S$5:$S$1000,$S210,$V$5:$V$1000,"Macro",$H$5:$H$1000,"&gt;0"))))</f>
        <v/>
      </c>
      <c r="AH210" s="62" t="n"/>
      <c r="AI210" s="62" t="n"/>
      <c r="AJ210" s="62" t="n"/>
      <c r="AK210" s="62" t="n"/>
      <c r="AL210" s="62">
        <f>IF(LEFT($C210,11)="[Jefatura] ",IFERROR(MATCH("Riesgo Operacional|"&amp;MID($C210,12,500),rDname_ADM,0),0),"")</f>
        <v/>
      </c>
      <c r="AM210" s="62">
        <f>IF(N($AL210)&gt;0,INDEX(rIni_ADM,$AL210),IF(ISNUMBER($E210),$E210,""))</f>
        <v/>
      </c>
      <c r="AN210" s="62">
        <f>IF(N($AL210)&gt;0,INDEX(rLim_ADM,$AL210),IF(ISNUMBER($F210),$F210,""))</f>
        <v/>
      </c>
    </row>
    <row r="211">
      <c r="A211" s="56">
        <f>IF(NOT((COUNTA($B211:$D211)+COUNTA($G211:$L211)+COUNTA($Q211))&gt;0),"",IF($V211="Macro",COUNTIFS($V$5:$V211,"Macro",$S$5:$S211,$S211),IF(N($U211)=0,"?",COUNTIFS(INDEX($V$5:$V$1000,1):INDEX($V$5:$V$1000,$U211-4),"Macro",INDEX($S$5:$S$1000,1):INDEX($S$5:$S$1000,$U211-4),INDEX($S$5:$S$1000,$U211-4))&amp;"."&amp;COUNTIFS($U$5:$U211,$U211,$V$5:$V211,"Sub"))))</f>
        <v/>
      </c>
      <c r="B211" s="57" t="n"/>
      <c r="C211" s="58" t="n"/>
      <c r="D211" s="58" t="n"/>
      <c r="E211" s="59">
        <f>IF(N($AL211)&gt;0,INDEX(rIni_ADM,$AL211),"")</f>
        <v/>
      </c>
      <c r="F211" s="59">
        <f>IF(N($AL211)&gt;0,INDEX(rLim_ADM,$AL211),"")</f>
        <v/>
      </c>
      <c r="G211" s="59" t="n"/>
      <c r="H211" s="60" t="n"/>
      <c r="I211" s="60" t="n"/>
      <c r="J211" s="60" t="n"/>
      <c r="K211" s="60" t="n"/>
      <c r="L211" s="60" t="n"/>
      <c r="M211" s="61">
        <f>IF(NOT((COUNTA($B211:$D211)+COUNTA($G211:$L211)+COUNTA($Q211))&gt;0),"",IF(ISNUMBER($G211),1,IF(N($W211)&gt;0,AVERAGEIFS($X$5:$X$1000,$U$5:$U$1000,ROW(),$V$5:$V$1000,"Sub"),$X211)))</f>
        <v/>
      </c>
      <c r="N211" s="56">
        <f>IF($M211="","",IF($M211&gt;=1,"Completado",IF($M211&gt;0,"En curso","Pendiente")))</f>
        <v/>
      </c>
      <c r="O211" s="56">
        <f>IF(NOT((COUNTA($B211:$D211)+COUNTA($G211:$L211)+COUNTA($Q211))&gt;0),"",IF(ISNUMBER($G211),IF(AND(ISNUMBER($AN211),$G211&gt;$AN211),"Cumplida con "&amp;($G211-$AN211)&amp;IF($G211-$AN211=1," día"," días")&amp;" de retraso","Cumplida"),IF(N($M211)&gt;=1,"Cumplida",IF(NOT(ISNUMBER($AN211)),"Sin fecha límite",IF($AN211&lt;FechaRef,"Vencida hace "&amp;(FechaRef-$AN211)&amp;IF(FechaRef-$AN211=1," día"," días"),IF($AN211=FechaRef,"Vence hoy",IF($AN211-FechaRef&lt;=DiasAlerta,"Vence en "&amp;($AN211-FechaRef)&amp;IF($AN211-FechaRef=1," día"," días"),"En plazo")))))))</f>
        <v/>
      </c>
      <c r="P211" s="62" t="n"/>
      <c r="Q211" s="58" t="n"/>
      <c r="R211" s="63">
        <f>IF(NOT((COUNTA($B211:$D211)+COUNTA($G211:$L211)+COUNTA($Q211))&gt;0),"",IF((IF($C211="","Falta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",""))="","✔ OK","⚠ "&amp;LEFT(IF($C211="","Falta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",""),LEN(IF($C211="","Falta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",""))-3)))</f>
        <v/>
      </c>
      <c r="S211" s="64">
        <f>IF(NOT((COUNTA($B211:$D211)+COUNTA($G211:$L211)+COUNTA($Q211))&gt;0),"",IF(AND($V211="Sub",N($U211)&gt;0),IF(ISNUMBER(INDEX($AM$5:$AM$1000,$U211-4)),DATE(YEAR(INDEX($AM$5:$AM$1000,$U211-4)),MONTH(INDEX($AM$5:$AM$1000,$U211-4)),1),IF(ISNUMBER(INDEX($AN$5:$AN$1000,$U211-4)),DATE(YEAR(INDEX($AN$5:$AN$1000,$U211-4)),MONTH(INDEX($AN$5:$AN$1000,$U211-4)),1),MesCiclo)),IF(ISNUMBER($AM211),DATE(YEAR($AM211),MONTH($AM211),1),IF(ISNUMBER($AN211),DATE(YEAR($AN211),MONTH($AN211),1),MesCiclo))))</f>
        <v/>
      </c>
      <c r="T211" s="62">
        <f>IF(OR($S211="",$S211&lt;&gt;MesCiclo),"",COUNTIF($S$5:$S211,MesCiclo))</f>
        <v/>
      </c>
      <c r="U211" s="62">
        <f>IF($V211="","",IF($V211="Macro",ROW(),IFERROR(LOOKUP(2,1/($V$5:$V211="Macro"),ROW($V$5:$V211)),0)))</f>
        <v/>
      </c>
      <c r="V211" s="62">
        <f>IF(NOT((COUNTA($B211:$D211)+COUNTA($G211:$L211)+COUNTA($Q211))&gt;0),"",IF($B211="Subactividad","Sub","Macro"))</f>
        <v/>
      </c>
      <c r="W211" s="62">
        <f>IF($V211="Macro",COUNTIFS($U$5:$U$1000,ROW(),$V$5:$V$1000,"Sub"),"")</f>
        <v/>
      </c>
      <c r="X211" s="62">
        <f>IF($V211="","",IF(ISNUMBER($G211),1,IFERROR(LOOKUP(2,1/($I211:$L211&lt;&gt;""),$I211:$L211),0)))</f>
        <v/>
      </c>
      <c r="Y211" s="62">
        <f>IF($V211="","",IF(AND(ISNUMBER($G211),$G211&lt;=IF($S211=MesCiclo,InicioCiclo,$S211+MOD(2-WEEKDAY($S211),7))+6),1,IF(ISNUMBER($I211),$I211,0)))</f>
        <v/>
      </c>
      <c r="Z211" s="62">
        <f>IF($V211="","",IF(AND(ISNUMBER($G211),$G211&lt;=IF($S211=MesCiclo,InicioCiclo,$S211+MOD(2-WEEKDAY($S211),7))+13),1,IF(ISNUMBER($J211),$J211,$Y211)))</f>
        <v/>
      </c>
      <c r="AA211" s="62">
        <f>IF($V211="","",IF(AND(ISNUMBER($G211),$G211&lt;=IF($S211=MesCiclo,InicioCiclo,$S211+MOD(2-WEEKDAY($S211),7))+20),1,IF(ISNUMBER($K211),$K211,$Z211)))</f>
        <v/>
      </c>
      <c r="AB211" s="62">
        <f>IF($V211="","",IF(AND(ISNUMBER($G211),$G211&lt;=IF($S211=MesCiclo,InicioCiclo,$S211+MOD(2-WEEKDAY($S211),7))+27),1,IF(ISNUMBER($L211),$L211,$AA211)))</f>
        <v/>
      </c>
      <c r="AC211" s="62">
        <f>IF($V211="","",IF(AND(ISNUMBER($G211),$G211&lt;=IF($S211=MesCiclo,InicioCiclo,$S211+MOD(2-WEEKDAY($S211),7))+6),1,IF(N($W211)&gt;0,AVERAGEIFS($Y$5:$Y$1000,$U$5:$U$1000,ROW(),$V$5:$V$1000,"Sub"),$Y211)))</f>
        <v/>
      </c>
      <c r="AD211" s="62">
        <f>IF($V211="","",IF(AND(ISNUMBER($G211),$G211&lt;=IF($S211=MesCiclo,InicioCiclo,$S211+MOD(2-WEEKDAY($S211),7))+13),1,IF(N($W211)&gt;0,AVERAGEIFS($Z$5:$Z$1000,$U$5:$U$1000,ROW(),$V$5:$V$1000,"Sub"),$Z211)))</f>
        <v/>
      </c>
      <c r="AE211" s="62">
        <f>IF($V211="","",IF(AND(ISNUMBER($G211),$G211&lt;=IF($S211=MesCiclo,InicioCiclo,$S211+MOD(2-WEEKDAY($S211),7))+20),1,IF(N($W211)&gt;0,AVERAGEIFS($AA$5:$AA$1000,$U$5:$U$1000,ROW(),$V$5:$V$1000,"Sub"),$AA211)))</f>
        <v/>
      </c>
      <c r="AF211" s="62">
        <f>IF($V211="","",IF(AND(ISNUMBER($G211),$G211&lt;=IF($S211=MesCiclo,InicioCiclo,$S211+MOD(2-WEEKDAY($S211),7))+27),1,IF(N($W211)&gt;0,AVERAGEIFS($AB$5:$AB$1000,$U$5:$U$1000,ROW(),$V$5:$V$1000,"Sub"),$AB211)))</f>
        <v/>
      </c>
      <c r="AG211" s="62">
        <f>IF($V211&lt;&gt;"Macro","",IF(COUNTIFS($S$5:$S$1000,$S211,$V$5:$V$1000,"Macro",$H$5:$H$1000,"&gt;0")=0,1/COUNTIFS($S$5:$S$1000,$S211,$V$5:$V$1000,"Macro"),IF(AND(ISNUMBER($H211),N($H211)&gt;0),$H211,SUMIFS($H$5:$H$1000,$S$5:$S$1000,$S211,$V$5:$V$1000,"Macro")/COUNTIFS($S$5:$S$1000,$S211,$V$5:$V$1000,"Macro",$H$5:$H$1000,"&gt;0"))/(COUNTIFS($S$5:$S$1000,$S211,$V$5:$V$1000,"Macro")*SUMIFS($H$5:$H$1000,$S$5:$S$1000,$S211,$V$5:$V$1000,"Macro")/COUNTIFS($S$5:$S$1000,$S211,$V$5:$V$1000,"Macro",$H$5:$H$1000,"&gt;0"))))</f>
        <v/>
      </c>
      <c r="AH211" s="62" t="n"/>
      <c r="AI211" s="62" t="n"/>
      <c r="AJ211" s="62" t="n"/>
      <c r="AK211" s="62" t="n"/>
      <c r="AL211" s="62">
        <f>IF(LEFT($C211,11)="[Jefatura] ",IFERROR(MATCH("Riesgo Operacional|"&amp;MID($C211,12,500),rDname_ADM,0),0),"")</f>
        <v/>
      </c>
      <c r="AM211" s="62">
        <f>IF(N($AL211)&gt;0,INDEX(rIni_ADM,$AL211),IF(ISNUMBER($E211),$E211,""))</f>
        <v/>
      </c>
      <c r="AN211" s="62">
        <f>IF(N($AL211)&gt;0,INDEX(rLim_ADM,$AL211),IF(ISNUMBER($F211),$F211,""))</f>
        <v/>
      </c>
    </row>
    <row r="212">
      <c r="A212" s="56">
        <f>IF(NOT((COUNTA($B212:$D212)+COUNTA($G212:$L212)+COUNTA($Q212))&gt;0),"",IF($V212="Macro",COUNTIFS($V$5:$V212,"Macro",$S$5:$S212,$S212),IF(N($U212)=0,"?",COUNTIFS(INDEX($V$5:$V$1000,1):INDEX($V$5:$V$1000,$U212-4),"Macro",INDEX($S$5:$S$1000,1):INDEX($S$5:$S$1000,$U212-4),INDEX($S$5:$S$1000,$U212-4))&amp;"."&amp;COUNTIFS($U$5:$U212,$U212,$V$5:$V212,"Sub"))))</f>
        <v/>
      </c>
      <c r="B212" s="57" t="n"/>
      <c r="C212" s="58" t="n"/>
      <c r="D212" s="58" t="n"/>
      <c r="E212" s="59">
        <f>IF(N($AL212)&gt;0,INDEX(rIni_ADM,$AL212),"")</f>
        <v/>
      </c>
      <c r="F212" s="59">
        <f>IF(N($AL212)&gt;0,INDEX(rLim_ADM,$AL212),"")</f>
        <v/>
      </c>
      <c r="G212" s="59" t="n"/>
      <c r="H212" s="60" t="n"/>
      <c r="I212" s="60" t="n"/>
      <c r="J212" s="60" t="n"/>
      <c r="K212" s="60" t="n"/>
      <c r="L212" s="60" t="n"/>
      <c r="M212" s="61">
        <f>IF(NOT((COUNTA($B212:$D212)+COUNTA($G212:$L212)+COUNTA($Q212))&gt;0),"",IF(ISNUMBER($G212),1,IF(N($W212)&gt;0,AVERAGEIFS($X$5:$X$1000,$U$5:$U$1000,ROW(),$V$5:$V$1000,"Sub"),$X212)))</f>
        <v/>
      </c>
      <c r="N212" s="56">
        <f>IF($M212="","",IF($M212&gt;=1,"Completado",IF($M212&gt;0,"En curso","Pendiente")))</f>
        <v/>
      </c>
      <c r="O212" s="56">
        <f>IF(NOT((COUNTA($B212:$D212)+COUNTA($G212:$L212)+COUNTA($Q212))&gt;0),"",IF(ISNUMBER($G212),IF(AND(ISNUMBER($AN212),$G212&gt;$AN212),"Cumplida con "&amp;($G212-$AN212)&amp;IF($G212-$AN212=1," día"," días")&amp;" de retraso","Cumplida"),IF(N($M212)&gt;=1,"Cumplida",IF(NOT(ISNUMBER($AN212)),"Sin fecha límite",IF($AN212&lt;FechaRef,"Vencida hace "&amp;(FechaRef-$AN212)&amp;IF(FechaRef-$AN212=1," día"," días"),IF($AN212=FechaRef,"Vence hoy",IF($AN212-FechaRef&lt;=DiasAlerta,"Vence en "&amp;($AN212-FechaRef)&amp;IF($AN212-FechaRef=1," día"," días"),"En plazo")))))))</f>
        <v/>
      </c>
      <c r="P212" s="62" t="n"/>
      <c r="Q212" s="58" t="n"/>
      <c r="R212" s="63">
        <f>IF(NOT((COUNTA($B212:$D212)+COUNTA($G212:$L212)+COUNTA($Q212))&gt;0),"",IF((IF($C212="","Falta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",""))="","✔ OK","⚠ "&amp;LEFT(IF($C212="","Falta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",""),LEN(IF($C212="","Falta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",""))-3)))</f>
        <v/>
      </c>
      <c r="S212" s="64">
        <f>IF(NOT((COUNTA($B212:$D212)+COUNTA($G212:$L212)+COUNTA($Q212))&gt;0),"",IF(AND($V212="Sub",N($U212)&gt;0),IF(ISNUMBER(INDEX($AM$5:$AM$1000,$U212-4)),DATE(YEAR(INDEX($AM$5:$AM$1000,$U212-4)),MONTH(INDEX($AM$5:$AM$1000,$U212-4)),1),IF(ISNUMBER(INDEX($AN$5:$AN$1000,$U212-4)),DATE(YEAR(INDEX($AN$5:$AN$1000,$U212-4)),MONTH(INDEX($AN$5:$AN$1000,$U212-4)),1),MesCiclo)),IF(ISNUMBER($AM212),DATE(YEAR($AM212),MONTH($AM212),1),IF(ISNUMBER($AN212),DATE(YEAR($AN212),MONTH($AN212),1),MesCiclo))))</f>
        <v/>
      </c>
      <c r="T212" s="62">
        <f>IF(OR($S212="",$S212&lt;&gt;MesCiclo),"",COUNTIF($S$5:$S212,MesCiclo))</f>
        <v/>
      </c>
      <c r="U212" s="62">
        <f>IF($V212="","",IF($V212="Macro",ROW(),IFERROR(LOOKUP(2,1/($V$5:$V212="Macro"),ROW($V$5:$V212)),0)))</f>
        <v/>
      </c>
      <c r="V212" s="62">
        <f>IF(NOT((COUNTA($B212:$D212)+COUNTA($G212:$L212)+COUNTA($Q212))&gt;0),"",IF($B212="Subactividad","Sub","Macro"))</f>
        <v/>
      </c>
      <c r="W212" s="62">
        <f>IF($V212="Macro",COUNTIFS($U$5:$U$1000,ROW(),$V$5:$V$1000,"Sub"),"")</f>
        <v/>
      </c>
      <c r="X212" s="62">
        <f>IF($V212="","",IF(ISNUMBER($G212),1,IFERROR(LOOKUP(2,1/($I212:$L212&lt;&gt;""),$I212:$L212),0)))</f>
        <v/>
      </c>
      <c r="Y212" s="62">
        <f>IF($V212="","",IF(AND(ISNUMBER($G212),$G212&lt;=IF($S212=MesCiclo,InicioCiclo,$S212+MOD(2-WEEKDAY($S212),7))+6),1,IF(ISNUMBER($I212),$I212,0)))</f>
        <v/>
      </c>
      <c r="Z212" s="62">
        <f>IF($V212="","",IF(AND(ISNUMBER($G212),$G212&lt;=IF($S212=MesCiclo,InicioCiclo,$S212+MOD(2-WEEKDAY($S212),7))+13),1,IF(ISNUMBER($J212),$J212,$Y212)))</f>
        <v/>
      </c>
      <c r="AA212" s="62">
        <f>IF($V212="","",IF(AND(ISNUMBER($G212),$G212&lt;=IF($S212=MesCiclo,InicioCiclo,$S212+MOD(2-WEEKDAY($S212),7))+20),1,IF(ISNUMBER($K212),$K212,$Z212)))</f>
        <v/>
      </c>
      <c r="AB212" s="62">
        <f>IF($V212="","",IF(AND(ISNUMBER($G212),$G212&lt;=IF($S212=MesCiclo,InicioCiclo,$S212+MOD(2-WEEKDAY($S212),7))+27),1,IF(ISNUMBER($L212),$L212,$AA212)))</f>
        <v/>
      </c>
      <c r="AC212" s="62">
        <f>IF($V212="","",IF(AND(ISNUMBER($G212),$G212&lt;=IF($S212=MesCiclo,InicioCiclo,$S212+MOD(2-WEEKDAY($S212),7))+6),1,IF(N($W212)&gt;0,AVERAGEIFS($Y$5:$Y$1000,$U$5:$U$1000,ROW(),$V$5:$V$1000,"Sub"),$Y212)))</f>
        <v/>
      </c>
      <c r="AD212" s="62">
        <f>IF($V212="","",IF(AND(ISNUMBER($G212),$G212&lt;=IF($S212=MesCiclo,InicioCiclo,$S212+MOD(2-WEEKDAY($S212),7))+13),1,IF(N($W212)&gt;0,AVERAGEIFS($Z$5:$Z$1000,$U$5:$U$1000,ROW(),$V$5:$V$1000,"Sub"),$Z212)))</f>
        <v/>
      </c>
      <c r="AE212" s="62">
        <f>IF($V212="","",IF(AND(ISNUMBER($G212),$G212&lt;=IF($S212=MesCiclo,InicioCiclo,$S212+MOD(2-WEEKDAY($S212),7))+20),1,IF(N($W212)&gt;0,AVERAGEIFS($AA$5:$AA$1000,$U$5:$U$1000,ROW(),$V$5:$V$1000,"Sub"),$AA212)))</f>
        <v/>
      </c>
      <c r="AF212" s="62">
        <f>IF($V212="","",IF(AND(ISNUMBER($G212),$G212&lt;=IF($S212=MesCiclo,InicioCiclo,$S212+MOD(2-WEEKDAY($S212),7))+27),1,IF(N($W212)&gt;0,AVERAGEIFS($AB$5:$AB$1000,$U$5:$U$1000,ROW(),$V$5:$V$1000,"Sub"),$AB212)))</f>
        <v/>
      </c>
      <c r="AG212" s="62">
        <f>IF($V212&lt;&gt;"Macro","",IF(COUNTIFS($S$5:$S$1000,$S212,$V$5:$V$1000,"Macro",$H$5:$H$1000,"&gt;0")=0,1/COUNTIFS($S$5:$S$1000,$S212,$V$5:$V$1000,"Macro"),IF(AND(ISNUMBER($H212),N($H212)&gt;0),$H212,SUMIFS($H$5:$H$1000,$S$5:$S$1000,$S212,$V$5:$V$1000,"Macro")/COUNTIFS($S$5:$S$1000,$S212,$V$5:$V$1000,"Macro",$H$5:$H$1000,"&gt;0"))/(COUNTIFS($S$5:$S$1000,$S212,$V$5:$V$1000,"Macro")*SUMIFS($H$5:$H$1000,$S$5:$S$1000,$S212,$V$5:$V$1000,"Macro")/COUNTIFS($S$5:$S$1000,$S212,$V$5:$V$1000,"Macro",$H$5:$H$1000,"&gt;0"))))</f>
        <v/>
      </c>
      <c r="AH212" s="62" t="n"/>
      <c r="AI212" s="62" t="n"/>
      <c r="AJ212" s="62" t="n"/>
      <c r="AK212" s="62" t="n"/>
      <c r="AL212" s="62">
        <f>IF(LEFT($C212,11)="[Jefatura] ",IFERROR(MATCH("Riesgo Operacional|"&amp;MID($C212,12,500),rDname_ADM,0),0),"")</f>
        <v/>
      </c>
      <c r="AM212" s="62">
        <f>IF(N($AL212)&gt;0,INDEX(rIni_ADM,$AL212),IF(ISNUMBER($E212),$E212,""))</f>
        <v/>
      </c>
      <c r="AN212" s="62">
        <f>IF(N($AL212)&gt;0,INDEX(rLim_ADM,$AL212),IF(ISNUMBER($F212),$F212,""))</f>
        <v/>
      </c>
    </row>
    <row r="213">
      <c r="A213" s="56">
        <f>IF(NOT((COUNTA($B213:$D213)+COUNTA($G213:$L213)+COUNTA($Q213))&gt;0),"",IF($V213="Macro",COUNTIFS($V$5:$V213,"Macro",$S$5:$S213,$S213),IF(N($U213)=0,"?",COUNTIFS(INDEX($V$5:$V$1000,1):INDEX($V$5:$V$1000,$U213-4),"Macro",INDEX($S$5:$S$1000,1):INDEX($S$5:$S$1000,$U213-4),INDEX($S$5:$S$1000,$U213-4))&amp;"."&amp;COUNTIFS($U$5:$U213,$U213,$V$5:$V213,"Sub"))))</f>
        <v/>
      </c>
      <c r="B213" s="57" t="n"/>
      <c r="C213" s="58" t="n"/>
      <c r="D213" s="58" t="n"/>
      <c r="E213" s="59">
        <f>IF(N($AL213)&gt;0,INDEX(rIni_ADM,$AL213),"")</f>
        <v/>
      </c>
      <c r="F213" s="59">
        <f>IF(N($AL213)&gt;0,INDEX(rLim_ADM,$AL213),"")</f>
        <v/>
      </c>
      <c r="G213" s="59" t="n"/>
      <c r="H213" s="60" t="n"/>
      <c r="I213" s="60" t="n"/>
      <c r="J213" s="60" t="n"/>
      <c r="K213" s="60" t="n"/>
      <c r="L213" s="60" t="n"/>
      <c r="M213" s="61">
        <f>IF(NOT((COUNTA($B213:$D213)+COUNTA($G213:$L213)+COUNTA($Q213))&gt;0),"",IF(ISNUMBER($G213),1,IF(N($W213)&gt;0,AVERAGEIFS($X$5:$X$1000,$U$5:$U$1000,ROW(),$V$5:$V$1000,"Sub"),$X213)))</f>
        <v/>
      </c>
      <c r="N213" s="56">
        <f>IF($M213="","",IF($M213&gt;=1,"Completado",IF($M213&gt;0,"En curso","Pendiente")))</f>
        <v/>
      </c>
      <c r="O213" s="56">
        <f>IF(NOT((COUNTA($B213:$D213)+COUNTA($G213:$L213)+COUNTA($Q213))&gt;0),"",IF(ISNUMBER($G213),IF(AND(ISNUMBER($AN213),$G213&gt;$AN213),"Cumplida con "&amp;($G213-$AN213)&amp;IF($G213-$AN213=1," día"," días")&amp;" de retraso","Cumplida"),IF(N($M213)&gt;=1,"Cumplida",IF(NOT(ISNUMBER($AN213)),"Sin fecha límite",IF($AN213&lt;FechaRef,"Vencida hace "&amp;(FechaRef-$AN213)&amp;IF(FechaRef-$AN213=1," día"," días"),IF($AN213=FechaRef,"Vence hoy",IF($AN213-FechaRef&lt;=DiasAlerta,"Vence en "&amp;($AN213-FechaRef)&amp;IF($AN213-FechaRef=1," día"," días"),"En plazo")))))))</f>
        <v/>
      </c>
      <c r="P213" s="62" t="n"/>
      <c r="Q213" s="58" t="n"/>
      <c r="R213" s="63">
        <f>IF(NOT((COUNTA($B213:$D213)+COUNTA($G213:$L213)+COUNTA($Q213))&gt;0),"",IF((IF($C213="","Falta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",""))="","✔ OK","⚠ "&amp;LEFT(IF($C213="","Falta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",""),LEN(IF($C213="","Falta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",""))-3)))</f>
        <v/>
      </c>
      <c r="S213" s="64">
        <f>IF(NOT((COUNTA($B213:$D213)+COUNTA($G213:$L213)+COUNTA($Q213))&gt;0),"",IF(AND($V213="Sub",N($U213)&gt;0),IF(ISNUMBER(INDEX($AM$5:$AM$1000,$U213-4)),DATE(YEAR(INDEX($AM$5:$AM$1000,$U213-4)),MONTH(INDEX($AM$5:$AM$1000,$U213-4)),1),IF(ISNUMBER(INDEX($AN$5:$AN$1000,$U213-4)),DATE(YEAR(INDEX($AN$5:$AN$1000,$U213-4)),MONTH(INDEX($AN$5:$AN$1000,$U213-4)),1),MesCiclo)),IF(ISNUMBER($AM213),DATE(YEAR($AM213),MONTH($AM213),1),IF(ISNUMBER($AN213),DATE(YEAR($AN213),MONTH($AN213),1),MesCiclo))))</f>
        <v/>
      </c>
      <c r="T213" s="62">
        <f>IF(OR($S213="",$S213&lt;&gt;MesCiclo),"",COUNTIF($S$5:$S213,MesCiclo))</f>
        <v/>
      </c>
      <c r="U213" s="62">
        <f>IF($V213="","",IF($V213="Macro",ROW(),IFERROR(LOOKUP(2,1/($V$5:$V213="Macro"),ROW($V$5:$V213)),0)))</f>
        <v/>
      </c>
      <c r="V213" s="62">
        <f>IF(NOT((COUNTA($B213:$D213)+COUNTA($G213:$L213)+COUNTA($Q213))&gt;0),"",IF($B213="Subactividad","Sub","Macro"))</f>
        <v/>
      </c>
      <c r="W213" s="62">
        <f>IF($V213="Macro",COUNTIFS($U$5:$U$1000,ROW(),$V$5:$V$1000,"Sub"),"")</f>
        <v/>
      </c>
      <c r="X213" s="62">
        <f>IF($V213="","",IF(ISNUMBER($G213),1,IFERROR(LOOKUP(2,1/($I213:$L213&lt;&gt;""),$I213:$L213),0)))</f>
        <v/>
      </c>
      <c r="Y213" s="62">
        <f>IF($V213="","",IF(AND(ISNUMBER($G213),$G213&lt;=IF($S213=MesCiclo,InicioCiclo,$S213+MOD(2-WEEKDAY($S213),7))+6),1,IF(ISNUMBER($I213),$I213,0)))</f>
        <v/>
      </c>
      <c r="Z213" s="62">
        <f>IF($V213="","",IF(AND(ISNUMBER($G213),$G213&lt;=IF($S213=MesCiclo,InicioCiclo,$S213+MOD(2-WEEKDAY($S213),7))+13),1,IF(ISNUMBER($J213),$J213,$Y213)))</f>
        <v/>
      </c>
      <c r="AA213" s="62">
        <f>IF($V213="","",IF(AND(ISNUMBER($G213),$G213&lt;=IF($S213=MesCiclo,InicioCiclo,$S213+MOD(2-WEEKDAY($S213),7))+20),1,IF(ISNUMBER($K213),$K213,$Z213)))</f>
        <v/>
      </c>
      <c r="AB213" s="62">
        <f>IF($V213="","",IF(AND(ISNUMBER($G213),$G213&lt;=IF($S213=MesCiclo,InicioCiclo,$S213+MOD(2-WEEKDAY($S213),7))+27),1,IF(ISNUMBER($L213),$L213,$AA213)))</f>
        <v/>
      </c>
      <c r="AC213" s="62">
        <f>IF($V213="","",IF(AND(ISNUMBER($G213),$G213&lt;=IF($S213=MesCiclo,InicioCiclo,$S213+MOD(2-WEEKDAY($S213),7))+6),1,IF(N($W213)&gt;0,AVERAGEIFS($Y$5:$Y$1000,$U$5:$U$1000,ROW(),$V$5:$V$1000,"Sub"),$Y213)))</f>
        <v/>
      </c>
      <c r="AD213" s="62">
        <f>IF($V213="","",IF(AND(ISNUMBER($G213),$G213&lt;=IF($S213=MesCiclo,InicioCiclo,$S213+MOD(2-WEEKDAY($S213),7))+13),1,IF(N($W213)&gt;0,AVERAGEIFS($Z$5:$Z$1000,$U$5:$U$1000,ROW(),$V$5:$V$1000,"Sub"),$Z213)))</f>
        <v/>
      </c>
      <c r="AE213" s="62">
        <f>IF($V213="","",IF(AND(ISNUMBER($G213),$G213&lt;=IF($S213=MesCiclo,InicioCiclo,$S213+MOD(2-WEEKDAY($S213),7))+20),1,IF(N($W213)&gt;0,AVERAGEIFS($AA$5:$AA$1000,$U$5:$U$1000,ROW(),$V$5:$V$1000,"Sub"),$AA213)))</f>
        <v/>
      </c>
      <c r="AF213" s="62">
        <f>IF($V213="","",IF(AND(ISNUMBER($G213),$G213&lt;=IF($S213=MesCiclo,InicioCiclo,$S213+MOD(2-WEEKDAY($S213),7))+27),1,IF(N($W213)&gt;0,AVERAGEIFS($AB$5:$AB$1000,$U$5:$U$1000,ROW(),$V$5:$V$1000,"Sub"),$AB213)))</f>
        <v/>
      </c>
      <c r="AG213" s="62">
        <f>IF($V213&lt;&gt;"Macro","",IF(COUNTIFS($S$5:$S$1000,$S213,$V$5:$V$1000,"Macro",$H$5:$H$1000,"&gt;0")=0,1/COUNTIFS($S$5:$S$1000,$S213,$V$5:$V$1000,"Macro"),IF(AND(ISNUMBER($H213),N($H213)&gt;0),$H213,SUMIFS($H$5:$H$1000,$S$5:$S$1000,$S213,$V$5:$V$1000,"Macro")/COUNTIFS($S$5:$S$1000,$S213,$V$5:$V$1000,"Macro",$H$5:$H$1000,"&gt;0"))/(COUNTIFS($S$5:$S$1000,$S213,$V$5:$V$1000,"Macro")*SUMIFS($H$5:$H$1000,$S$5:$S$1000,$S213,$V$5:$V$1000,"Macro")/COUNTIFS($S$5:$S$1000,$S213,$V$5:$V$1000,"Macro",$H$5:$H$1000,"&gt;0"))))</f>
        <v/>
      </c>
      <c r="AH213" s="62" t="n"/>
      <c r="AI213" s="62" t="n"/>
      <c r="AJ213" s="62" t="n"/>
      <c r="AK213" s="62" t="n"/>
      <c r="AL213" s="62">
        <f>IF(LEFT($C213,11)="[Jefatura] ",IFERROR(MATCH("Riesgo Operacional|"&amp;MID($C213,12,500),rDname_ADM,0),0),"")</f>
        <v/>
      </c>
      <c r="AM213" s="62">
        <f>IF(N($AL213)&gt;0,INDEX(rIni_ADM,$AL213),IF(ISNUMBER($E213),$E213,""))</f>
        <v/>
      </c>
      <c r="AN213" s="62">
        <f>IF(N($AL213)&gt;0,INDEX(rLim_ADM,$AL213),IF(ISNUMBER($F213),$F213,""))</f>
        <v/>
      </c>
    </row>
    <row r="214">
      <c r="A214" s="56">
        <f>IF(NOT((COUNTA($B214:$D214)+COUNTA($G214:$L214)+COUNTA($Q214))&gt;0),"",IF($V214="Macro",COUNTIFS($V$5:$V214,"Macro",$S$5:$S214,$S214),IF(N($U214)=0,"?",COUNTIFS(INDEX($V$5:$V$1000,1):INDEX($V$5:$V$1000,$U214-4),"Macro",INDEX($S$5:$S$1000,1):INDEX($S$5:$S$1000,$U214-4),INDEX($S$5:$S$1000,$U214-4))&amp;"."&amp;COUNTIFS($U$5:$U214,$U214,$V$5:$V214,"Sub"))))</f>
        <v/>
      </c>
      <c r="B214" s="57" t="n"/>
      <c r="C214" s="58" t="n"/>
      <c r="D214" s="58" t="n"/>
      <c r="E214" s="59">
        <f>IF(N($AL214)&gt;0,INDEX(rIni_ADM,$AL214),"")</f>
        <v/>
      </c>
      <c r="F214" s="59">
        <f>IF(N($AL214)&gt;0,INDEX(rLim_ADM,$AL214),"")</f>
        <v/>
      </c>
      <c r="G214" s="59" t="n"/>
      <c r="H214" s="60" t="n"/>
      <c r="I214" s="60" t="n"/>
      <c r="J214" s="60" t="n"/>
      <c r="K214" s="60" t="n"/>
      <c r="L214" s="60" t="n"/>
      <c r="M214" s="61">
        <f>IF(NOT((COUNTA($B214:$D214)+COUNTA($G214:$L214)+COUNTA($Q214))&gt;0),"",IF(ISNUMBER($G214),1,IF(N($W214)&gt;0,AVERAGEIFS($X$5:$X$1000,$U$5:$U$1000,ROW(),$V$5:$V$1000,"Sub"),$X214)))</f>
        <v/>
      </c>
      <c r="N214" s="56">
        <f>IF($M214="","",IF($M214&gt;=1,"Completado",IF($M214&gt;0,"En curso","Pendiente")))</f>
        <v/>
      </c>
      <c r="O214" s="56">
        <f>IF(NOT((COUNTA($B214:$D214)+COUNTA($G214:$L214)+COUNTA($Q214))&gt;0),"",IF(ISNUMBER($G214),IF(AND(ISNUMBER($AN214),$G214&gt;$AN214),"Cumplida con "&amp;($G214-$AN214)&amp;IF($G214-$AN214=1," día"," días")&amp;" de retraso","Cumplida"),IF(N($M214)&gt;=1,"Cumplida",IF(NOT(ISNUMBER($AN214)),"Sin fecha límite",IF($AN214&lt;FechaRef,"Vencida hace "&amp;(FechaRef-$AN214)&amp;IF(FechaRef-$AN214=1," día"," días"),IF($AN214=FechaRef,"Vence hoy",IF($AN214-FechaRef&lt;=DiasAlerta,"Vence en "&amp;($AN214-FechaRef)&amp;IF($AN214-FechaRef=1," día"," días"),"En plazo")))))))</f>
        <v/>
      </c>
      <c r="P214" s="62" t="n"/>
      <c r="Q214" s="58" t="n"/>
      <c r="R214" s="63">
        <f>IF(NOT((COUNTA($B214:$D214)+COUNTA($G214:$L214)+COUNTA($Q214))&gt;0),"",IF((IF($C214="","Falta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",""))="","✔ OK","⚠ "&amp;LEFT(IF($C214="","Falta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",""),LEN(IF($C214="","Falta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",""))-3)))</f>
        <v/>
      </c>
      <c r="S214" s="64">
        <f>IF(NOT((COUNTA($B214:$D214)+COUNTA($G214:$L214)+COUNTA($Q214))&gt;0),"",IF(AND($V214="Sub",N($U214)&gt;0),IF(ISNUMBER(INDEX($AM$5:$AM$1000,$U214-4)),DATE(YEAR(INDEX($AM$5:$AM$1000,$U214-4)),MONTH(INDEX($AM$5:$AM$1000,$U214-4)),1),IF(ISNUMBER(INDEX($AN$5:$AN$1000,$U214-4)),DATE(YEAR(INDEX($AN$5:$AN$1000,$U214-4)),MONTH(INDEX($AN$5:$AN$1000,$U214-4)),1),MesCiclo)),IF(ISNUMBER($AM214),DATE(YEAR($AM214),MONTH($AM214),1),IF(ISNUMBER($AN214),DATE(YEAR($AN214),MONTH($AN214),1),MesCiclo))))</f>
        <v/>
      </c>
      <c r="T214" s="62">
        <f>IF(OR($S214="",$S214&lt;&gt;MesCiclo),"",COUNTIF($S$5:$S214,MesCiclo))</f>
        <v/>
      </c>
      <c r="U214" s="62">
        <f>IF($V214="","",IF($V214="Macro",ROW(),IFERROR(LOOKUP(2,1/($V$5:$V214="Macro"),ROW($V$5:$V214)),0)))</f>
        <v/>
      </c>
      <c r="V214" s="62">
        <f>IF(NOT((COUNTA($B214:$D214)+COUNTA($G214:$L214)+COUNTA($Q214))&gt;0),"",IF($B214="Subactividad","Sub","Macro"))</f>
        <v/>
      </c>
      <c r="W214" s="62">
        <f>IF($V214="Macro",COUNTIFS($U$5:$U$1000,ROW(),$V$5:$V$1000,"Sub"),"")</f>
        <v/>
      </c>
      <c r="X214" s="62">
        <f>IF($V214="","",IF(ISNUMBER($G214),1,IFERROR(LOOKUP(2,1/($I214:$L214&lt;&gt;""),$I214:$L214),0)))</f>
        <v/>
      </c>
      <c r="Y214" s="62">
        <f>IF($V214="","",IF(AND(ISNUMBER($G214),$G214&lt;=IF($S214=MesCiclo,InicioCiclo,$S214+MOD(2-WEEKDAY($S214),7))+6),1,IF(ISNUMBER($I214),$I214,0)))</f>
        <v/>
      </c>
      <c r="Z214" s="62">
        <f>IF($V214="","",IF(AND(ISNUMBER($G214),$G214&lt;=IF($S214=MesCiclo,InicioCiclo,$S214+MOD(2-WEEKDAY($S214),7))+13),1,IF(ISNUMBER($J214),$J214,$Y214)))</f>
        <v/>
      </c>
      <c r="AA214" s="62">
        <f>IF($V214="","",IF(AND(ISNUMBER($G214),$G214&lt;=IF($S214=MesCiclo,InicioCiclo,$S214+MOD(2-WEEKDAY($S214),7))+20),1,IF(ISNUMBER($K214),$K214,$Z214)))</f>
        <v/>
      </c>
      <c r="AB214" s="62">
        <f>IF($V214="","",IF(AND(ISNUMBER($G214),$G214&lt;=IF($S214=MesCiclo,InicioCiclo,$S214+MOD(2-WEEKDAY($S214),7))+27),1,IF(ISNUMBER($L214),$L214,$AA214)))</f>
        <v/>
      </c>
      <c r="AC214" s="62">
        <f>IF($V214="","",IF(AND(ISNUMBER($G214),$G214&lt;=IF($S214=MesCiclo,InicioCiclo,$S214+MOD(2-WEEKDAY($S214),7))+6),1,IF(N($W214)&gt;0,AVERAGEIFS($Y$5:$Y$1000,$U$5:$U$1000,ROW(),$V$5:$V$1000,"Sub"),$Y214)))</f>
        <v/>
      </c>
      <c r="AD214" s="62">
        <f>IF($V214="","",IF(AND(ISNUMBER($G214),$G214&lt;=IF($S214=MesCiclo,InicioCiclo,$S214+MOD(2-WEEKDAY($S214),7))+13),1,IF(N($W214)&gt;0,AVERAGEIFS($Z$5:$Z$1000,$U$5:$U$1000,ROW(),$V$5:$V$1000,"Sub"),$Z214)))</f>
        <v/>
      </c>
      <c r="AE214" s="62">
        <f>IF($V214="","",IF(AND(ISNUMBER($G214),$G214&lt;=IF($S214=MesCiclo,InicioCiclo,$S214+MOD(2-WEEKDAY($S214),7))+20),1,IF(N($W214)&gt;0,AVERAGEIFS($AA$5:$AA$1000,$U$5:$U$1000,ROW(),$V$5:$V$1000,"Sub"),$AA214)))</f>
        <v/>
      </c>
      <c r="AF214" s="62">
        <f>IF($V214="","",IF(AND(ISNUMBER($G214),$G214&lt;=IF($S214=MesCiclo,InicioCiclo,$S214+MOD(2-WEEKDAY($S214),7))+27),1,IF(N($W214)&gt;0,AVERAGEIFS($AB$5:$AB$1000,$U$5:$U$1000,ROW(),$V$5:$V$1000,"Sub"),$AB214)))</f>
        <v/>
      </c>
      <c r="AG214" s="62">
        <f>IF($V214&lt;&gt;"Macro","",IF(COUNTIFS($S$5:$S$1000,$S214,$V$5:$V$1000,"Macro",$H$5:$H$1000,"&gt;0")=0,1/COUNTIFS($S$5:$S$1000,$S214,$V$5:$V$1000,"Macro"),IF(AND(ISNUMBER($H214),N($H214)&gt;0),$H214,SUMIFS($H$5:$H$1000,$S$5:$S$1000,$S214,$V$5:$V$1000,"Macro")/COUNTIFS($S$5:$S$1000,$S214,$V$5:$V$1000,"Macro",$H$5:$H$1000,"&gt;0"))/(COUNTIFS($S$5:$S$1000,$S214,$V$5:$V$1000,"Macro")*SUMIFS($H$5:$H$1000,$S$5:$S$1000,$S214,$V$5:$V$1000,"Macro")/COUNTIFS($S$5:$S$1000,$S214,$V$5:$V$1000,"Macro",$H$5:$H$1000,"&gt;0"))))</f>
        <v/>
      </c>
      <c r="AH214" s="62" t="n"/>
      <c r="AI214" s="62" t="n"/>
      <c r="AJ214" s="62" t="n"/>
      <c r="AK214" s="62" t="n"/>
      <c r="AL214" s="62">
        <f>IF(LEFT($C214,11)="[Jefatura] ",IFERROR(MATCH("Riesgo Operacional|"&amp;MID($C214,12,500),rDname_ADM,0),0),"")</f>
        <v/>
      </c>
      <c r="AM214" s="62">
        <f>IF(N($AL214)&gt;0,INDEX(rIni_ADM,$AL214),IF(ISNUMBER($E214),$E214,""))</f>
        <v/>
      </c>
      <c r="AN214" s="62">
        <f>IF(N($AL214)&gt;0,INDEX(rLim_ADM,$AL214),IF(ISNUMBER($F214),$F214,""))</f>
        <v/>
      </c>
    </row>
    <row r="215">
      <c r="A215" s="56">
        <f>IF(NOT((COUNTA($B215:$D215)+COUNTA($G215:$L215)+COUNTA($Q215))&gt;0),"",IF($V215="Macro",COUNTIFS($V$5:$V215,"Macro",$S$5:$S215,$S215),IF(N($U215)=0,"?",COUNTIFS(INDEX($V$5:$V$1000,1):INDEX($V$5:$V$1000,$U215-4),"Macro",INDEX($S$5:$S$1000,1):INDEX($S$5:$S$1000,$U215-4),INDEX($S$5:$S$1000,$U215-4))&amp;"."&amp;COUNTIFS($U$5:$U215,$U215,$V$5:$V215,"Sub"))))</f>
        <v/>
      </c>
      <c r="B215" s="57" t="n"/>
      <c r="C215" s="58" t="n"/>
      <c r="D215" s="58" t="n"/>
      <c r="E215" s="59">
        <f>IF(N($AL215)&gt;0,INDEX(rIni_ADM,$AL215),"")</f>
        <v/>
      </c>
      <c r="F215" s="59">
        <f>IF(N($AL215)&gt;0,INDEX(rLim_ADM,$AL215),"")</f>
        <v/>
      </c>
      <c r="G215" s="59" t="n"/>
      <c r="H215" s="60" t="n"/>
      <c r="I215" s="60" t="n"/>
      <c r="J215" s="60" t="n"/>
      <c r="K215" s="60" t="n"/>
      <c r="L215" s="60" t="n"/>
      <c r="M215" s="61">
        <f>IF(NOT((COUNTA($B215:$D215)+COUNTA($G215:$L215)+COUNTA($Q215))&gt;0),"",IF(ISNUMBER($G215),1,IF(N($W215)&gt;0,AVERAGEIFS($X$5:$X$1000,$U$5:$U$1000,ROW(),$V$5:$V$1000,"Sub"),$X215)))</f>
        <v/>
      </c>
      <c r="N215" s="56">
        <f>IF($M215="","",IF($M215&gt;=1,"Completado",IF($M215&gt;0,"En curso","Pendiente")))</f>
        <v/>
      </c>
      <c r="O215" s="56">
        <f>IF(NOT((COUNTA($B215:$D215)+COUNTA($G215:$L215)+COUNTA($Q215))&gt;0),"",IF(ISNUMBER($G215),IF(AND(ISNUMBER($AN215),$G215&gt;$AN215),"Cumplida con "&amp;($G215-$AN215)&amp;IF($G215-$AN215=1," día"," días")&amp;" de retraso","Cumplida"),IF(N($M215)&gt;=1,"Cumplida",IF(NOT(ISNUMBER($AN215)),"Sin fecha límite",IF($AN215&lt;FechaRef,"Vencida hace "&amp;(FechaRef-$AN215)&amp;IF(FechaRef-$AN215=1," día"," días"),IF($AN215=FechaRef,"Vence hoy",IF($AN215-FechaRef&lt;=DiasAlerta,"Vence en "&amp;($AN215-FechaRef)&amp;IF($AN215-FechaRef=1," día"," días"),"En plazo")))))))</f>
        <v/>
      </c>
      <c r="P215" s="62" t="n"/>
      <c r="Q215" s="58" t="n"/>
      <c r="R215" s="63">
        <f>IF(NOT((COUNTA($B215:$D215)+COUNTA($G215:$L215)+COUNTA($Q215))&gt;0),"",IF((IF($C215="","Falta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",""))="","✔ OK","⚠ "&amp;LEFT(IF($C215="","Falta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",""),LEN(IF($C215="","Falta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",""))-3)))</f>
        <v/>
      </c>
      <c r="S215" s="64">
        <f>IF(NOT((COUNTA($B215:$D215)+COUNTA($G215:$L215)+COUNTA($Q215))&gt;0),"",IF(AND($V215="Sub",N($U215)&gt;0),IF(ISNUMBER(INDEX($AM$5:$AM$1000,$U215-4)),DATE(YEAR(INDEX($AM$5:$AM$1000,$U215-4)),MONTH(INDEX($AM$5:$AM$1000,$U215-4)),1),IF(ISNUMBER(INDEX($AN$5:$AN$1000,$U215-4)),DATE(YEAR(INDEX($AN$5:$AN$1000,$U215-4)),MONTH(INDEX($AN$5:$AN$1000,$U215-4)),1),MesCiclo)),IF(ISNUMBER($AM215),DATE(YEAR($AM215),MONTH($AM215),1),IF(ISNUMBER($AN215),DATE(YEAR($AN215),MONTH($AN215),1),MesCiclo))))</f>
        <v/>
      </c>
      <c r="T215" s="62">
        <f>IF(OR($S215="",$S215&lt;&gt;MesCiclo),"",COUNTIF($S$5:$S215,MesCiclo))</f>
        <v/>
      </c>
      <c r="U215" s="62">
        <f>IF($V215="","",IF($V215="Macro",ROW(),IFERROR(LOOKUP(2,1/($V$5:$V215="Macro"),ROW($V$5:$V215)),0)))</f>
        <v/>
      </c>
      <c r="V215" s="62">
        <f>IF(NOT((COUNTA($B215:$D215)+COUNTA($G215:$L215)+COUNTA($Q215))&gt;0),"",IF($B215="Subactividad","Sub","Macro"))</f>
        <v/>
      </c>
      <c r="W215" s="62">
        <f>IF($V215="Macro",COUNTIFS($U$5:$U$1000,ROW(),$V$5:$V$1000,"Sub"),"")</f>
        <v/>
      </c>
      <c r="X215" s="62">
        <f>IF($V215="","",IF(ISNUMBER($G215),1,IFERROR(LOOKUP(2,1/($I215:$L215&lt;&gt;""),$I215:$L215),0)))</f>
        <v/>
      </c>
      <c r="Y215" s="62">
        <f>IF($V215="","",IF(AND(ISNUMBER($G215),$G215&lt;=IF($S215=MesCiclo,InicioCiclo,$S215+MOD(2-WEEKDAY($S215),7))+6),1,IF(ISNUMBER($I215),$I215,0)))</f>
        <v/>
      </c>
      <c r="Z215" s="62">
        <f>IF($V215="","",IF(AND(ISNUMBER($G215),$G215&lt;=IF($S215=MesCiclo,InicioCiclo,$S215+MOD(2-WEEKDAY($S215),7))+13),1,IF(ISNUMBER($J215),$J215,$Y215)))</f>
        <v/>
      </c>
      <c r="AA215" s="62">
        <f>IF($V215="","",IF(AND(ISNUMBER($G215),$G215&lt;=IF($S215=MesCiclo,InicioCiclo,$S215+MOD(2-WEEKDAY($S215),7))+20),1,IF(ISNUMBER($K215),$K215,$Z215)))</f>
        <v/>
      </c>
      <c r="AB215" s="62">
        <f>IF($V215="","",IF(AND(ISNUMBER($G215),$G215&lt;=IF($S215=MesCiclo,InicioCiclo,$S215+MOD(2-WEEKDAY($S215),7))+27),1,IF(ISNUMBER($L215),$L215,$AA215)))</f>
        <v/>
      </c>
      <c r="AC215" s="62">
        <f>IF($V215="","",IF(AND(ISNUMBER($G215),$G215&lt;=IF($S215=MesCiclo,InicioCiclo,$S215+MOD(2-WEEKDAY($S215),7))+6),1,IF(N($W215)&gt;0,AVERAGEIFS($Y$5:$Y$1000,$U$5:$U$1000,ROW(),$V$5:$V$1000,"Sub"),$Y215)))</f>
        <v/>
      </c>
      <c r="AD215" s="62">
        <f>IF($V215="","",IF(AND(ISNUMBER($G215),$G215&lt;=IF($S215=MesCiclo,InicioCiclo,$S215+MOD(2-WEEKDAY($S215),7))+13),1,IF(N($W215)&gt;0,AVERAGEIFS($Z$5:$Z$1000,$U$5:$U$1000,ROW(),$V$5:$V$1000,"Sub"),$Z215)))</f>
        <v/>
      </c>
      <c r="AE215" s="62">
        <f>IF($V215="","",IF(AND(ISNUMBER($G215),$G215&lt;=IF($S215=MesCiclo,InicioCiclo,$S215+MOD(2-WEEKDAY($S215),7))+20),1,IF(N($W215)&gt;0,AVERAGEIFS($AA$5:$AA$1000,$U$5:$U$1000,ROW(),$V$5:$V$1000,"Sub"),$AA215)))</f>
        <v/>
      </c>
      <c r="AF215" s="62">
        <f>IF($V215="","",IF(AND(ISNUMBER($G215),$G215&lt;=IF($S215=MesCiclo,InicioCiclo,$S215+MOD(2-WEEKDAY($S215),7))+27),1,IF(N($W215)&gt;0,AVERAGEIFS($AB$5:$AB$1000,$U$5:$U$1000,ROW(),$V$5:$V$1000,"Sub"),$AB215)))</f>
        <v/>
      </c>
      <c r="AG215" s="62">
        <f>IF($V215&lt;&gt;"Macro","",IF(COUNTIFS($S$5:$S$1000,$S215,$V$5:$V$1000,"Macro",$H$5:$H$1000,"&gt;0")=0,1/COUNTIFS($S$5:$S$1000,$S215,$V$5:$V$1000,"Macro"),IF(AND(ISNUMBER($H215),N($H215)&gt;0),$H215,SUMIFS($H$5:$H$1000,$S$5:$S$1000,$S215,$V$5:$V$1000,"Macro")/COUNTIFS($S$5:$S$1000,$S215,$V$5:$V$1000,"Macro",$H$5:$H$1000,"&gt;0"))/(COUNTIFS($S$5:$S$1000,$S215,$V$5:$V$1000,"Macro")*SUMIFS($H$5:$H$1000,$S$5:$S$1000,$S215,$V$5:$V$1000,"Macro")/COUNTIFS($S$5:$S$1000,$S215,$V$5:$V$1000,"Macro",$H$5:$H$1000,"&gt;0"))))</f>
        <v/>
      </c>
      <c r="AH215" s="62" t="n"/>
      <c r="AI215" s="62" t="n"/>
      <c r="AJ215" s="62" t="n"/>
      <c r="AK215" s="62" t="n"/>
      <c r="AL215" s="62">
        <f>IF(LEFT($C215,11)="[Jefatura] ",IFERROR(MATCH("Riesgo Operacional|"&amp;MID($C215,12,500),rDname_ADM,0),0),"")</f>
        <v/>
      </c>
      <c r="AM215" s="62">
        <f>IF(N($AL215)&gt;0,INDEX(rIni_ADM,$AL215),IF(ISNUMBER($E215),$E215,""))</f>
        <v/>
      </c>
      <c r="AN215" s="62">
        <f>IF(N($AL215)&gt;0,INDEX(rLim_ADM,$AL215),IF(ISNUMBER($F215),$F215,""))</f>
        <v/>
      </c>
    </row>
    <row r="216">
      <c r="A216" s="56">
        <f>IF(NOT((COUNTA($B216:$D216)+COUNTA($G216:$L216)+COUNTA($Q216))&gt;0),"",IF($V216="Macro",COUNTIFS($V$5:$V216,"Macro",$S$5:$S216,$S216),IF(N($U216)=0,"?",COUNTIFS(INDEX($V$5:$V$1000,1):INDEX($V$5:$V$1000,$U216-4),"Macro",INDEX($S$5:$S$1000,1):INDEX($S$5:$S$1000,$U216-4),INDEX($S$5:$S$1000,$U216-4))&amp;"."&amp;COUNTIFS($U$5:$U216,$U216,$V$5:$V216,"Sub"))))</f>
        <v/>
      </c>
      <c r="B216" s="57" t="n"/>
      <c r="C216" s="58" t="n"/>
      <c r="D216" s="58" t="n"/>
      <c r="E216" s="59">
        <f>IF(N($AL216)&gt;0,INDEX(rIni_ADM,$AL216),"")</f>
        <v/>
      </c>
      <c r="F216" s="59">
        <f>IF(N($AL216)&gt;0,INDEX(rLim_ADM,$AL216),"")</f>
        <v/>
      </c>
      <c r="G216" s="59" t="n"/>
      <c r="H216" s="60" t="n"/>
      <c r="I216" s="60" t="n"/>
      <c r="J216" s="60" t="n"/>
      <c r="K216" s="60" t="n"/>
      <c r="L216" s="60" t="n"/>
      <c r="M216" s="61">
        <f>IF(NOT((COUNTA($B216:$D216)+COUNTA($G216:$L216)+COUNTA($Q216))&gt;0),"",IF(ISNUMBER($G216),1,IF(N($W216)&gt;0,AVERAGEIFS($X$5:$X$1000,$U$5:$U$1000,ROW(),$V$5:$V$1000,"Sub"),$X216)))</f>
        <v/>
      </c>
      <c r="N216" s="56">
        <f>IF($M216="","",IF($M216&gt;=1,"Completado",IF($M216&gt;0,"En curso","Pendiente")))</f>
        <v/>
      </c>
      <c r="O216" s="56">
        <f>IF(NOT((COUNTA($B216:$D216)+COUNTA($G216:$L216)+COUNTA($Q216))&gt;0),"",IF(ISNUMBER($G216),IF(AND(ISNUMBER($AN216),$G216&gt;$AN216),"Cumplida con "&amp;($G216-$AN216)&amp;IF($G216-$AN216=1," día"," días")&amp;" de retraso","Cumplida"),IF(N($M216)&gt;=1,"Cumplida",IF(NOT(ISNUMBER($AN216)),"Sin fecha límite",IF($AN216&lt;FechaRef,"Vencida hace "&amp;(FechaRef-$AN216)&amp;IF(FechaRef-$AN216=1," día"," días"),IF($AN216=FechaRef,"Vence hoy",IF($AN216-FechaRef&lt;=DiasAlerta,"Vence en "&amp;($AN216-FechaRef)&amp;IF($AN216-FechaRef=1," día"," días"),"En plazo")))))))</f>
        <v/>
      </c>
      <c r="P216" s="62" t="n"/>
      <c r="Q216" s="58" t="n"/>
      <c r="R216" s="63">
        <f>IF(NOT((COUNTA($B216:$D216)+COUNTA($G216:$L216)+COUNTA($Q216))&gt;0),"",IF((IF($C216="","Falta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",""))="","✔ OK","⚠ "&amp;LEFT(IF($C216="","Falta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",""),LEN(IF($C216="","Falta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",""))-3)))</f>
        <v/>
      </c>
      <c r="S216" s="64">
        <f>IF(NOT((COUNTA($B216:$D216)+COUNTA($G216:$L216)+COUNTA($Q216))&gt;0),"",IF(AND($V216="Sub",N($U216)&gt;0),IF(ISNUMBER(INDEX($AM$5:$AM$1000,$U216-4)),DATE(YEAR(INDEX($AM$5:$AM$1000,$U216-4)),MONTH(INDEX($AM$5:$AM$1000,$U216-4)),1),IF(ISNUMBER(INDEX($AN$5:$AN$1000,$U216-4)),DATE(YEAR(INDEX($AN$5:$AN$1000,$U216-4)),MONTH(INDEX($AN$5:$AN$1000,$U216-4)),1),MesCiclo)),IF(ISNUMBER($AM216),DATE(YEAR($AM216),MONTH($AM216),1),IF(ISNUMBER($AN216),DATE(YEAR($AN216),MONTH($AN216),1),MesCiclo))))</f>
        <v/>
      </c>
      <c r="T216" s="62">
        <f>IF(OR($S216="",$S216&lt;&gt;MesCiclo),"",COUNTIF($S$5:$S216,MesCiclo))</f>
        <v/>
      </c>
      <c r="U216" s="62">
        <f>IF($V216="","",IF($V216="Macro",ROW(),IFERROR(LOOKUP(2,1/($V$5:$V216="Macro"),ROW($V$5:$V216)),0)))</f>
        <v/>
      </c>
      <c r="V216" s="62">
        <f>IF(NOT((COUNTA($B216:$D216)+COUNTA($G216:$L216)+COUNTA($Q216))&gt;0),"",IF($B216="Subactividad","Sub","Macro"))</f>
        <v/>
      </c>
      <c r="W216" s="62">
        <f>IF($V216="Macro",COUNTIFS($U$5:$U$1000,ROW(),$V$5:$V$1000,"Sub"),"")</f>
        <v/>
      </c>
      <c r="X216" s="62">
        <f>IF($V216="","",IF(ISNUMBER($G216),1,IFERROR(LOOKUP(2,1/($I216:$L216&lt;&gt;""),$I216:$L216),0)))</f>
        <v/>
      </c>
      <c r="Y216" s="62">
        <f>IF($V216="","",IF(AND(ISNUMBER($G216),$G216&lt;=IF($S216=MesCiclo,InicioCiclo,$S216+MOD(2-WEEKDAY($S216),7))+6),1,IF(ISNUMBER($I216),$I216,0)))</f>
        <v/>
      </c>
      <c r="Z216" s="62">
        <f>IF($V216="","",IF(AND(ISNUMBER($G216),$G216&lt;=IF($S216=MesCiclo,InicioCiclo,$S216+MOD(2-WEEKDAY($S216),7))+13),1,IF(ISNUMBER($J216),$J216,$Y216)))</f>
        <v/>
      </c>
      <c r="AA216" s="62">
        <f>IF($V216="","",IF(AND(ISNUMBER($G216),$G216&lt;=IF($S216=MesCiclo,InicioCiclo,$S216+MOD(2-WEEKDAY($S216),7))+20),1,IF(ISNUMBER($K216),$K216,$Z216)))</f>
        <v/>
      </c>
      <c r="AB216" s="62">
        <f>IF($V216="","",IF(AND(ISNUMBER($G216),$G216&lt;=IF($S216=MesCiclo,InicioCiclo,$S216+MOD(2-WEEKDAY($S216),7))+27),1,IF(ISNUMBER($L216),$L216,$AA216)))</f>
        <v/>
      </c>
      <c r="AC216" s="62">
        <f>IF($V216="","",IF(AND(ISNUMBER($G216),$G216&lt;=IF($S216=MesCiclo,InicioCiclo,$S216+MOD(2-WEEKDAY($S216),7))+6),1,IF(N($W216)&gt;0,AVERAGEIFS($Y$5:$Y$1000,$U$5:$U$1000,ROW(),$V$5:$V$1000,"Sub"),$Y216)))</f>
        <v/>
      </c>
      <c r="AD216" s="62">
        <f>IF($V216="","",IF(AND(ISNUMBER($G216),$G216&lt;=IF($S216=MesCiclo,InicioCiclo,$S216+MOD(2-WEEKDAY($S216),7))+13),1,IF(N($W216)&gt;0,AVERAGEIFS($Z$5:$Z$1000,$U$5:$U$1000,ROW(),$V$5:$V$1000,"Sub"),$Z216)))</f>
        <v/>
      </c>
      <c r="AE216" s="62">
        <f>IF($V216="","",IF(AND(ISNUMBER($G216),$G216&lt;=IF($S216=MesCiclo,InicioCiclo,$S216+MOD(2-WEEKDAY($S216),7))+20),1,IF(N($W216)&gt;0,AVERAGEIFS($AA$5:$AA$1000,$U$5:$U$1000,ROW(),$V$5:$V$1000,"Sub"),$AA216)))</f>
        <v/>
      </c>
      <c r="AF216" s="62">
        <f>IF($V216="","",IF(AND(ISNUMBER($G216),$G216&lt;=IF($S216=MesCiclo,InicioCiclo,$S216+MOD(2-WEEKDAY($S216),7))+27),1,IF(N($W216)&gt;0,AVERAGEIFS($AB$5:$AB$1000,$U$5:$U$1000,ROW(),$V$5:$V$1000,"Sub"),$AB216)))</f>
        <v/>
      </c>
      <c r="AG216" s="62">
        <f>IF($V216&lt;&gt;"Macro","",IF(COUNTIFS($S$5:$S$1000,$S216,$V$5:$V$1000,"Macro",$H$5:$H$1000,"&gt;0")=0,1/COUNTIFS($S$5:$S$1000,$S216,$V$5:$V$1000,"Macro"),IF(AND(ISNUMBER($H216),N($H216)&gt;0),$H216,SUMIFS($H$5:$H$1000,$S$5:$S$1000,$S216,$V$5:$V$1000,"Macro")/COUNTIFS($S$5:$S$1000,$S216,$V$5:$V$1000,"Macro",$H$5:$H$1000,"&gt;0"))/(COUNTIFS($S$5:$S$1000,$S216,$V$5:$V$1000,"Macro")*SUMIFS($H$5:$H$1000,$S$5:$S$1000,$S216,$V$5:$V$1000,"Macro")/COUNTIFS($S$5:$S$1000,$S216,$V$5:$V$1000,"Macro",$H$5:$H$1000,"&gt;0"))))</f>
        <v/>
      </c>
      <c r="AH216" s="62" t="n"/>
      <c r="AI216" s="62" t="n"/>
      <c r="AJ216" s="62" t="n"/>
      <c r="AK216" s="62" t="n"/>
      <c r="AL216" s="62">
        <f>IF(LEFT($C216,11)="[Jefatura] ",IFERROR(MATCH("Riesgo Operacional|"&amp;MID($C216,12,500),rDname_ADM,0),0),"")</f>
        <v/>
      </c>
      <c r="AM216" s="62">
        <f>IF(N($AL216)&gt;0,INDEX(rIni_ADM,$AL216),IF(ISNUMBER($E216),$E216,""))</f>
        <v/>
      </c>
      <c r="AN216" s="62">
        <f>IF(N($AL216)&gt;0,INDEX(rLim_ADM,$AL216),IF(ISNUMBER($F216),$F216,""))</f>
        <v/>
      </c>
    </row>
    <row r="217">
      <c r="A217" s="56">
        <f>IF(NOT((COUNTA($B217:$D217)+COUNTA($G217:$L217)+COUNTA($Q217))&gt;0),"",IF($V217="Macro",COUNTIFS($V$5:$V217,"Macro",$S$5:$S217,$S217),IF(N($U217)=0,"?",COUNTIFS(INDEX($V$5:$V$1000,1):INDEX($V$5:$V$1000,$U217-4),"Macro",INDEX($S$5:$S$1000,1):INDEX($S$5:$S$1000,$U217-4),INDEX($S$5:$S$1000,$U217-4))&amp;"."&amp;COUNTIFS($U$5:$U217,$U217,$V$5:$V217,"Sub"))))</f>
        <v/>
      </c>
      <c r="B217" s="57" t="n"/>
      <c r="C217" s="58" t="n"/>
      <c r="D217" s="58" t="n"/>
      <c r="E217" s="59">
        <f>IF(N($AL217)&gt;0,INDEX(rIni_ADM,$AL217),"")</f>
        <v/>
      </c>
      <c r="F217" s="59">
        <f>IF(N($AL217)&gt;0,INDEX(rLim_ADM,$AL217),"")</f>
        <v/>
      </c>
      <c r="G217" s="59" t="n"/>
      <c r="H217" s="60" t="n"/>
      <c r="I217" s="60" t="n"/>
      <c r="J217" s="60" t="n"/>
      <c r="K217" s="60" t="n"/>
      <c r="L217" s="60" t="n"/>
      <c r="M217" s="61">
        <f>IF(NOT((COUNTA($B217:$D217)+COUNTA($G217:$L217)+COUNTA($Q217))&gt;0),"",IF(ISNUMBER($G217),1,IF(N($W217)&gt;0,AVERAGEIFS($X$5:$X$1000,$U$5:$U$1000,ROW(),$V$5:$V$1000,"Sub"),$X217)))</f>
        <v/>
      </c>
      <c r="N217" s="56">
        <f>IF($M217="","",IF($M217&gt;=1,"Completado",IF($M217&gt;0,"En curso","Pendiente")))</f>
        <v/>
      </c>
      <c r="O217" s="56">
        <f>IF(NOT((COUNTA($B217:$D217)+COUNTA($G217:$L217)+COUNTA($Q217))&gt;0),"",IF(ISNUMBER($G217),IF(AND(ISNUMBER($AN217),$G217&gt;$AN217),"Cumplida con "&amp;($G217-$AN217)&amp;IF($G217-$AN217=1," día"," días")&amp;" de retraso","Cumplida"),IF(N($M217)&gt;=1,"Cumplida",IF(NOT(ISNUMBER($AN217)),"Sin fecha límite",IF($AN217&lt;FechaRef,"Vencida hace "&amp;(FechaRef-$AN217)&amp;IF(FechaRef-$AN217=1," día"," días"),IF($AN217=FechaRef,"Vence hoy",IF($AN217-FechaRef&lt;=DiasAlerta,"Vence en "&amp;($AN217-FechaRef)&amp;IF($AN217-FechaRef=1," día"," días"),"En plazo")))))))</f>
        <v/>
      </c>
      <c r="P217" s="62" t="n"/>
      <c r="Q217" s="58" t="n"/>
      <c r="R217" s="63">
        <f>IF(NOT((COUNTA($B217:$D217)+COUNTA($G217:$L217)+COUNTA($Q217))&gt;0),"",IF((IF($C217="","Falta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",""))="","✔ OK","⚠ "&amp;LEFT(IF($C217="","Falta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",""),LEN(IF($C217="","Falta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",""))-3)))</f>
        <v/>
      </c>
      <c r="S217" s="64">
        <f>IF(NOT((COUNTA($B217:$D217)+COUNTA($G217:$L217)+COUNTA($Q217))&gt;0),"",IF(AND($V217="Sub",N($U217)&gt;0),IF(ISNUMBER(INDEX($AM$5:$AM$1000,$U217-4)),DATE(YEAR(INDEX($AM$5:$AM$1000,$U217-4)),MONTH(INDEX($AM$5:$AM$1000,$U217-4)),1),IF(ISNUMBER(INDEX($AN$5:$AN$1000,$U217-4)),DATE(YEAR(INDEX($AN$5:$AN$1000,$U217-4)),MONTH(INDEX($AN$5:$AN$1000,$U217-4)),1),MesCiclo)),IF(ISNUMBER($AM217),DATE(YEAR($AM217),MONTH($AM217),1),IF(ISNUMBER($AN217),DATE(YEAR($AN217),MONTH($AN217),1),MesCiclo))))</f>
        <v/>
      </c>
      <c r="T217" s="62">
        <f>IF(OR($S217="",$S217&lt;&gt;MesCiclo),"",COUNTIF($S$5:$S217,MesCiclo))</f>
        <v/>
      </c>
      <c r="U217" s="62">
        <f>IF($V217="","",IF($V217="Macro",ROW(),IFERROR(LOOKUP(2,1/($V$5:$V217="Macro"),ROW($V$5:$V217)),0)))</f>
        <v/>
      </c>
      <c r="V217" s="62">
        <f>IF(NOT((COUNTA($B217:$D217)+COUNTA($G217:$L217)+COUNTA($Q217))&gt;0),"",IF($B217="Subactividad","Sub","Macro"))</f>
        <v/>
      </c>
      <c r="W217" s="62">
        <f>IF($V217="Macro",COUNTIFS($U$5:$U$1000,ROW(),$V$5:$V$1000,"Sub"),"")</f>
        <v/>
      </c>
      <c r="X217" s="62">
        <f>IF($V217="","",IF(ISNUMBER($G217),1,IFERROR(LOOKUP(2,1/($I217:$L217&lt;&gt;""),$I217:$L217),0)))</f>
        <v/>
      </c>
      <c r="Y217" s="62">
        <f>IF($V217="","",IF(AND(ISNUMBER($G217),$G217&lt;=IF($S217=MesCiclo,InicioCiclo,$S217+MOD(2-WEEKDAY($S217),7))+6),1,IF(ISNUMBER($I217),$I217,0)))</f>
        <v/>
      </c>
      <c r="Z217" s="62">
        <f>IF($V217="","",IF(AND(ISNUMBER($G217),$G217&lt;=IF($S217=MesCiclo,InicioCiclo,$S217+MOD(2-WEEKDAY($S217),7))+13),1,IF(ISNUMBER($J217),$J217,$Y217)))</f>
        <v/>
      </c>
      <c r="AA217" s="62">
        <f>IF($V217="","",IF(AND(ISNUMBER($G217),$G217&lt;=IF($S217=MesCiclo,InicioCiclo,$S217+MOD(2-WEEKDAY($S217),7))+20),1,IF(ISNUMBER($K217),$K217,$Z217)))</f>
        <v/>
      </c>
      <c r="AB217" s="62">
        <f>IF($V217="","",IF(AND(ISNUMBER($G217),$G217&lt;=IF($S217=MesCiclo,InicioCiclo,$S217+MOD(2-WEEKDAY($S217),7))+27),1,IF(ISNUMBER($L217),$L217,$AA217)))</f>
        <v/>
      </c>
      <c r="AC217" s="62">
        <f>IF($V217="","",IF(AND(ISNUMBER($G217),$G217&lt;=IF($S217=MesCiclo,InicioCiclo,$S217+MOD(2-WEEKDAY($S217),7))+6),1,IF(N($W217)&gt;0,AVERAGEIFS($Y$5:$Y$1000,$U$5:$U$1000,ROW(),$V$5:$V$1000,"Sub"),$Y217)))</f>
        <v/>
      </c>
      <c r="AD217" s="62">
        <f>IF($V217="","",IF(AND(ISNUMBER($G217),$G217&lt;=IF($S217=MesCiclo,InicioCiclo,$S217+MOD(2-WEEKDAY($S217),7))+13),1,IF(N($W217)&gt;0,AVERAGEIFS($Z$5:$Z$1000,$U$5:$U$1000,ROW(),$V$5:$V$1000,"Sub"),$Z217)))</f>
        <v/>
      </c>
      <c r="AE217" s="62">
        <f>IF($V217="","",IF(AND(ISNUMBER($G217),$G217&lt;=IF($S217=MesCiclo,InicioCiclo,$S217+MOD(2-WEEKDAY($S217),7))+20),1,IF(N($W217)&gt;0,AVERAGEIFS($AA$5:$AA$1000,$U$5:$U$1000,ROW(),$V$5:$V$1000,"Sub"),$AA217)))</f>
        <v/>
      </c>
      <c r="AF217" s="62">
        <f>IF($V217="","",IF(AND(ISNUMBER($G217),$G217&lt;=IF($S217=MesCiclo,InicioCiclo,$S217+MOD(2-WEEKDAY($S217),7))+27),1,IF(N($W217)&gt;0,AVERAGEIFS($AB$5:$AB$1000,$U$5:$U$1000,ROW(),$V$5:$V$1000,"Sub"),$AB217)))</f>
        <v/>
      </c>
      <c r="AG217" s="62">
        <f>IF($V217&lt;&gt;"Macro","",IF(COUNTIFS($S$5:$S$1000,$S217,$V$5:$V$1000,"Macro",$H$5:$H$1000,"&gt;0")=0,1/COUNTIFS($S$5:$S$1000,$S217,$V$5:$V$1000,"Macro"),IF(AND(ISNUMBER($H217),N($H217)&gt;0),$H217,SUMIFS($H$5:$H$1000,$S$5:$S$1000,$S217,$V$5:$V$1000,"Macro")/COUNTIFS($S$5:$S$1000,$S217,$V$5:$V$1000,"Macro",$H$5:$H$1000,"&gt;0"))/(COUNTIFS($S$5:$S$1000,$S217,$V$5:$V$1000,"Macro")*SUMIFS($H$5:$H$1000,$S$5:$S$1000,$S217,$V$5:$V$1000,"Macro")/COUNTIFS($S$5:$S$1000,$S217,$V$5:$V$1000,"Macro",$H$5:$H$1000,"&gt;0"))))</f>
        <v/>
      </c>
      <c r="AH217" s="62" t="n"/>
      <c r="AI217" s="62" t="n"/>
      <c r="AJ217" s="62" t="n"/>
      <c r="AK217" s="62" t="n"/>
      <c r="AL217" s="62">
        <f>IF(LEFT($C217,11)="[Jefatura] ",IFERROR(MATCH("Riesgo Operacional|"&amp;MID($C217,12,500),rDname_ADM,0),0),"")</f>
        <v/>
      </c>
      <c r="AM217" s="62">
        <f>IF(N($AL217)&gt;0,INDEX(rIni_ADM,$AL217),IF(ISNUMBER($E217),$E217,""))</f>
        <v/>
      </c>
      <c r="AN217" s="62">
        <f>IF(N($AL217)&gt;0,INDEX(rLim_ADM,$AL217),IF(ISNUMBER($F217),$F217,""))</f>
        <v/>
      </c>
    </row>
    <row r="218">
      <c r="A218" s="56">
        <f>IF(NOT((COUNTA($B218:$D218)+COUNTA($G218:$L218)+COUNTA($Q218))&gt;0),"",IF($V218="Macro",COUNTIFS($V$5:$V218,"Macro",$S$5:$S218,$S218),IF(N($U218)=0,"?",COUNTIFS(INDEX($V$5:$V$1000,1):INDEX($V$5:$V$1000,$U218-4),"Macro",INDEX($S$5:$S$1000,1):INDEX($S$5:$S$1000,$U218-4),INDEX($S$5:$S$1000,$U218-4))&amp;"."&amp;COUNTIFS($U$5:$U218,$U218,$V$5:$V218,"Sub"))))</f>
        <v/>
      </c>
      <c r="B218" s="57" t="n"/>
      <c r="C218" s="58" t="n"/>
      <c r="D218" s="58" t="n"/>
      <c r="E218" s="59">
        <f>IF(N($AL218)&gt;0,INDEX(rIni_ADM,$AL218),"")</f>
        <v/>
      </c>
      <c r="F218" s="59">
        <f>IF(N($AL218)&gt;0,INDEX(rLim_ADM,$AL218),"")</f>
        <v/>
      </c>
      <c r="G218" s="59" t="n"/>
      <c r="H218" s="60" t="n"/>
      <c r="I218" s="60" t="n"/>
      <c r="J218" s="60" t="n"/>
      <c r="K218" s="60" t="n"/>
      <c r="L218" s="60" t="n"/>
      <c r="M218" s="61">
        <f>IF(NOT((COUNTA($B218:$D218)+COUNTA($G218:$L218)+COUNTA($Q218))&gt;0),"",IF(ISNUMBER($G218),1,IF(N($W218)&gt;0,AVERAGEIFS($X$5:$X$1000,$U$5:$U$1000,ROW(),$V$5:$V$1000,"Sub"),$X218)))</f>
        <v/>
      </c>
      <c r="N218" s="56">
        <f>IF($M218="","",IF($M218&gt;=1,"Completado",IF($M218&gt;0,"En curso","Pendiente")))</f>
        <v/>
      </c>
      <c r="O218" s="56">
        <f>IF(NOT((COUNTA($B218:$D218)+COUNTA($G218:$L218)+COUNTA($Q218))&gt;0),"",IF(ISNUMBER($G218),IF(AND(ISNUMBER($AN218),$G218&gt;$AN218),"Cumplida con "&amp;($G218-$AN218)&amp;IF($G218-$AN218=1," día"," días")&amp;" de retraso","Cumplida"),IF(N($M218)&gt;=1,"Cumplida",IF(NOT(ISNUMBER($AN218)),"Sin fecha límite",IF($AN218&lt;FechaRef,"Vencida hace "&amp;(FechaRef-$AN218)&amp;IF(FechaRef-$AN218=1," día"," días"),IF($AN218=FechaRef,"Vence hoy",IF($AN218-FechaRef&lt;=DiasAlerta,"Vence en "&amp;($AN218-FechaRef)&amp;IF($AN218-FechaRef=1," día"," días"),"En plazo")))))))</f>
        <v/>
      </c>
      <c r="P218" s="62" t="n"/>
      <c r="Q218" s="58" t="n"/>
      <c r="R218" s="63">
        <f>IF(NOT((COUNTA($B218:$D218)+COUNTA($G218:$L218)+COUNTA($Q218))&gt;0),"",IF((IF($C218="","Falta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",""))="","✔ OK","⚠ "&amp;LEFT(IF($C218="","Falta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",""),LEN(IF($C218="","Falta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",""))-3)))</f>
        <v/>
      </c>
      <c r="S218" s="64">
        <f>IF(NOT((COUNTA($B218:$D218)+COUNTA($G218:$L218)+COUNTA($Q218))&gt;0),"",IF(AND($V218="Sub",N($U218)&gt;0),IF(ISNUMBER(INDEX($AM$5:$AM$1000,$U218-4)),DATE(YEAR(INDEX($AM$5:$AM$1000,$U218-4)),MONTH(INDEX($AM$5:$AM$1000,$U218-4)),1),IF(ISNUMBER(INDEX($AN$5:$AN$1000,$U218-4)),DATE(YEAR(INDEX($AN$5:$AN$1000,$U218-4)),MONTH(INDEX($AN$5:$AN$1000,$U218-4)),1),MesCiclo)),IF(ISNUMBER($AM218),DATE(YEAR($AM218),MONTH($AM218),1),IF(ISNUMBER($AN218),DATE(YEAR($AN218),MONTH($AN218),1),MesCiclo))))</f>
        <v/>
      </c>
      <c r="T218" s="62">
        <f>IF(OR($S218="",$S218&lt;&gt;MesCiclo),"",COUNTIF($S$5:$S218,MesCiclo))</f>
        <v/>
      </c>
      <c r="U218" s="62">
        <f>IF($V218="","",IF($V218="Macro",ROW(),IFERROR(LOOKUP(2,1/($V$5:$V218="Macro"),ROW($V$5:$V218)),0)))</f>
        <v/>
      </c>
      <c r="V218" s="62">
        <f>IF(NOT((COUNTA($B218:$D218)+COUNTA($G218:$L218)+COUNTA($Q218))&gt;0),"",IF($B218="Subactividad","Sub","Macro"))</f>
        <v/>
      </c>
      <c r="W218" s="62">
        <f>IF($V218="Macro",COUNTIFS($U$5:$U$1000,ROW(),$V$5:$V$1000,"Sub"),"")</f>
        <v/>
      </c>
      <c r="X218" s="62">
        <f>IF($V218="","",IF(ISNUMBER($G218),1,IFERROR(LOOKUP(2,1/($I218:$L218&lt;&gt;""),$I218:$L218),0)))</f>
        <v/>
      </c>
      <c r="Y218" s="62">
        <f>IF($V218="","",IF(AND(ISNUMBER($G218),$G218&lt;=IF($S218=MesCiclo,InicioCiclo,$S218+MOD(2-WEEKDAY($S218),7))+6),1,IF(ISNUMBER($I218),$I218,0)))</f>
        <v/>
      </c>
      <c r="Z218" s="62">
        <f>IF($V218="","",IF(AND(ISNUMBER($G218),$G218&lt;=IF($S218=MesCiclo,InicioCiclo,$S218+MOD(2-WEEKDAY($S218),7))+13),1,IF(ISNUMBER($J218),$J218,$Y218)))</f>
        <v/>
      </c>
      <c r="AA218" s="62">
        <f>IF($V218="","",IF(AND(ISNUMBER($G218),$G218&lt;=IF($S218=MesCiclo,InicioCiclo,$S218+MOD(2-WEEKDAY($S218),7))+20),1,IF(ISNUMBER($K218),$K218,$Z218)))</f>
        <v/>
      </c>
      <c r="AB218" s="62">
        <f>IF($V218="","",IF(AND(ISNUMBER($G218),$G218&lt;=IF($S218=MesCiclo,InicioCiclo,$S218+MOD(2-WEEKDAY($S218),7))+27),1,IF(ISNUMBER($L218),$L218,$AA218)))</f>
        <v/>
      </c>
      <c r="AC218" s="62">
        <f>IF($V218="","",IF(AND(ISNUMBER($G218),$G218&lt;=IF($S218=MesCiclo,InicioCiclo,$S218+MOD(2-WEEKDAY($S218),7))+6),1,IF(N($W218)&gt;0,AVERAGEIFS($Y$5:$Y$1000,$U$5:$U$1000,ROW(),$V$5:$V$1000,"Sub"),$Y218)))</f>
        <v/>
      </c>
      <c r="AD218" s="62">
        <f>IF($V218="","",IF(AND(ISNUMBER($G218),$G218&lt;=IF($S218=MesCiclo,InicioCiclo,$S218+MOD(2-WEEKDAY($S218),7))+13),1,IF(N($W218)&gt;0,AVERAGEIFS($Z$5:$Z$1000,$U$5:$U$1000,ROW(),$V$5:$V$1000,"Sub"),$Z218)))</f>
        <v/>
      </c>
      <c r="AE218" s="62">
        <f>IF($V218="","",IF(AND(ISNUMBER($G218),$G218&lt;=IF($S218=MesCiclo,InicioCiclo,$S218+MOD(2-WEEKDAY($S218),7))+20),1,IF(N($W218)&gt;0,AVERAGEIFS($AA$5:$AA$1000,$U$5:$U$1000,ROW(),$V$5:$V$1000,"Sub"),$AA218)))</f>
        <v/>
      </c>
      <c r="AF218" s="62">
        <f>IF($V218="","",IF(AND(ISNUMBER($G218),$G218&lt;=IF($S218=MesCiclo,InicioCiclo,$S218+MOD(2-WEEKDAY($S218),7))+27),1,IF(N($W218)&gt;0,AVERAGEIFS($AB$5:$AB$1000,$U$5:$U$1000,ROW(),$V$5:$V$1000,"Sub"),$AB218)))</f>
        <v/>
      </c>
      <c r="AG218" s="62">
        <f>IF($V218&lt;&gt;"Macro","",IF(COUNTIFS($S$5:$S$1000,$S218,$V$5:$V$1000,"Macro",$H$5:$H$1000,"&gt;0")=0,1/COUNTIFS($S$5:$S$1000,$S218,$V$5:$V$1000,"Macro"),IF(AND(ISNUMBER($H218),N($H218)&gt;0),$H218,SUMIFS($H$5:$H$1000,$S$5:$S$1000,$S218,$V$5:$V$1000,"Macro")/COUNTIFS($S$5:$S$1000,$S218,$V$5:$V$1000,"Macro",$H$5:$H$1000,"&gt;0"))/(COUNTIFS($S$5:$S$1000,$S218,$V$5:$V$1000,"Macro")*SUMIFS($H$5:$H$1000,$S$5:$S$1000,$S218,$V$5:$V$1000,"Macro")/COUNTIFS($S$5:$S$1000,$S218,$V$5:$V$1000,"Macro",$H$5:$H$1000,"&gt;0"))))</f>
        <v/>
      </c>
      <c r="AH218" s="62" t="n"/>
      <c r="AI218" s="62" t="n"/>
      <c r="AJ218" s="62" t="n"/>
      <c r="AK218" s="62" t="n"/>
      <c r="AL218" s="62">
        <f>IF(LEFT($C218,11)="[Jefatura] ",IFERROR(MATCH("Riesgo Operacional|"&amp;MID($C218,12,500),rDname_ADM,0),0),"")</f>
        <v/>
      </c>
      <c r="AM218" s="62">
        <f>IF(N($AL218)&gt;0,INDEX(rIni_ADM,$AL218),IF(ISNUMBER($E218),$E218,""))</f>
        <v/>
      </c>
      <c r="AN218" s="62">
        <f>IF(N($AL218)&gt;0,INDEX(rLim_ADM,$AL218),IF(ISNUMBER($F218),$F218,""))</f>
        <v/>
      </c>
    </row>
    <row r="219">
      <c r="A219" s="56">
        <f>IF(NOT((COUNTA($B219:$D219)+COUNTA($G219:$L219)+COUNTA($Q219))&gt;0),"",IF($V219="Macro",COUNTIFS($V$5:$V219,"Macro",$S$5:$S219,$S219),IF(N($U219)=0,"?",COUNTIFS(INDEX($V$5:$V$1000,1):INDEX($V$5:$V$1000,$U219-4),"Macro",INDEX($S$5:$S$1000,1):INDEX($S$5:$S$1000,$U219-4),INDEX($S$5:$S$1000,$U219-4))&amp;"."&amp;COUNTIFS($U$5:$U219,$U219,$V$5:$V219,"Sub"))))</f>
        <v/>
      </c>
      <c r="B219" s="57" t="n"/>
      <c r="C219" s="58" t="n"/>
      <c r="D219" s="58" t="n"/>
      <c r="E219" s="59">
        <f>IF(N($AL219)&gt;0,INDEX(rIni_ADM,$AL219),"")</f>
        <v/>
      </c>
      <c r="F219" s="59">
        <f>IF(N($AL219)&gt;0,INDEX(rLim_ADM,$AL219),"")</f>
        <v/>
      </c>
      <c r="G219" s="59" t="n"/>
      <c r="H219" s="60" t="n"/>
      <c r="I219" s="60" t="n"/>
      <c r="J219" s="60" t="n"/>
      <c r="K219" s="60" t="n"/>
      <c r="L219" s="60" t="n"/>
      <c r="M219" s="61">
        <f>IF(NOT((COUNTA($B219:$D219)+COUNTA($G219:$L219)+COUNTA($Q219))&gt;0),"",IF(ISNUMBER($G219),1,IF(N($W219)&gt;0,AVERAGEIFS($X$5:$X$1000,$U$5:$U$1000,ROW(),$V$5:$V$1000,"Sub"),$X219)))</f>
        <v/>
      </c>
      <c r="N219" s="56">
        <f>IF($M219="","",IF($M219&gt;=1,"Completado",IF($M219&gt;0,"En curso","Pendiente")))</f>
        <v/>
      </c>
      <c r="O219" s="56">
        <f>IF(NOT((COUNTA($B219:$D219)+COUNTA($G219:$L219)+COUNTA($Q219))&gt;0),"",IF(ISNUMBER($G219),IF(AND(ISNUMBER($AN219),$G219&gt;$AN219),"Cumplida con "&amp;($G219-$AN219)&amp;IF($G219-$AN219=1," día"," días")&amp;" de retraso","Cumplida"),IF(N($M219)&gt;=1,"Cumplida",IF(NOT(ISNUMBER($AN219)),"Sin fecha límite",IF($AN219&lt;FechaRef,"Vencida hace "&amp;(FechaRef-$AN219)&amp;IF(FechaRef-$AN219=1," día"," días"),IF($AN219=FechaRef,"Vence hoy",IF($AN219-FechaRef&lt;=DiasAlerta,"Vence en "&amp;($AN219-FechaRef)&amp;IF($AN219-FechaRef=1," día"," días"),"En plazo")))))))</f>
        <v/>
      </c>
      <c r="P219" s="62" t="n"/>
      <c r="Q219" s="58" t="n"/>
      <c r="R219" s="63">
        <f>IF(NOT((COUNTA($B219:$D219)+COUNTA($G219:$L219)+COUNTA($Q219))&gt;0),"",IF((IF($C219="","Falta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",""))="","✔ OK","⚠ "&amp;LEFT(IF($C219="","Falta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",""),LEN(IF($C219="","Falta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",""))-3)))</f>
        <v/>
      </c>
      <c r="S219" s="64">
        <f>IF(NOT((COUNTA($B219:$D219)+COUNTA($G219:$L219)+COUNTA($Q219))&gt;0),"",IF(AND($V219="Sub",N($U219)&gt;0),IF(ISNUMBER(INDEX($AM$5:$AM$1000,$U219-4)),DATE(YEAR(INDEX($AM$5:$AM$1000,$U219-4)),MONTH(INDEX($AM$5:$AM$1000,$U219-4)),1),IF(ISNUMBER(INDEX($AN$5:$AN$1000,$U219-4)),DATE(YEAR(INDEX($AN$5:$AN$1000,$U219-4)),MONTH(INDEX($AN$5:$AN$1000,$U219-4)),1),MesCiclo)),IF(ISNUMBER($AM219),DATE(YEAR($AM219),MONTH($AM219),1),IF(ISNUMBER($AN219),DATE(YEAR($AN219),MONTH($AN219),1),MesCiclo))))</f>
        <v/>
      </c>
      <c r="T219" s="62">
        <f>IF(OR($S219="",$S219&lt;&gt;MesCiclo),"",COUNTIF($S$5:$S219,MesCiclo))</f>
        <v/>
      </c>
      <c r="U219" s="62">
        <f>IF($V219="","",IF($V219="Macro",ROW(),IFERROR(LOOKUP(2,1/($V$5:$V219="Macro"),ROW($V$5:$V219)),0)))</f>
        <v/>
      </c>
      <c r="V219" s="62">
        <f>IF(NOT((COUNTA($B219:$D219)+COUNTA($G219:$L219)+COUNTA($Q219))&gt;0),"",IF($B219="Subactividad","Sub","Macro"))</f>
        <v/>
      </c>
      <c r="W219" s="62">
        <f>IF($V219="Macro",COUNTIFS($U$5:$U$1000,ROW(),$V$5:$V$1000,"Sub"),"")</f>
        <v/>
      </c>
      <c r="X219" s="62">
        <f>IF($V219="","",IF(ISNUMBER($G219),1,IFERROR(LOOKUP(2,1/($I219:$L219&lt;&gt;""),$I219:$L219),0)))</f>
        <v/>
      </c>
      <c r="Y219" s="62">
        <f>IF($V219="","",IF(AND(ISNUMBER($G219),$G219&lt;=IF($S219=MesCiclo,InicioCiclo,$S219+MOD(2-WEEKDAY($S219),7))+6),1,IF(ISNUMBER($I219),$I219,0)))</f>
        <v/>
      </c>
      <c r="Z219" s="62">
        <f>IF($V219="","",IF(AND(ISNUMBER($G219),$G219&lt;=IF($S219=MesCiclo,InicioCiclo,$S219+MOD(2-WEEKDAY($S219),7))+13),1,IF(ISNUMBER($J219),$J219,$Y219)))</f>
        <v/>
      </c>
      <c r="AA219" s="62">
        <f>IF($V219="","",IF(AND(ISNUMBER($G219),$G219&lt;=IF($S219=MesCiclo,InicioCiclo,$S219+MOD(2-WEEKDAY($S219),7))+20),1,IF(ISNUMBER($K219),$K219,$Z219)))</f>
        <v/>
      </c>
      <c r="AB219" s="62">
        <f>IF($V219="","",IF(AND(ISNUMBER($G219),$G219&lt;=IF($S219=MesCiclo,InicioCiclo,$S219+MOD(2-WEEKDAY($S219),7))+27),1,IF(ISNUMBER($L219),$L219,$AA219)))</f>
        <v/>
      </c>
      <c r="AC219" s="62">
        <f>IF($V219="","",IF(AND(ISNUMBER($G219),$G219&lt;=IF($S219=MesCiclo,InicioCiclo,$S219+MOD(2-WEEKDAY($S219),7))+6),1,IF(N($W219)&gt;0,AVERAGEIFS($Y$5:$Y$1000,$U$5:$U$1000,ROW(),$V$5:$V$1000,"Sub"),$Y219)))</f>
        <v/>
      </c>
      <c r="AD219" s="62">
        <f>IF($V219="","",IF(AND(ISNUMBER($G219),$G219&lt;=IF($S219=MesCiclo,InicioCiclo,$S219+MOD(2-WEEKDAY($S219),7))+13),1,IF(N($W219)&gt;0,AVERAGEIFS($Z$5:$Z$1000,$U$5:$U$1000,ROW(),$V$5:$V$1000,"Sub"),$Z219)))</f>
        <v/>
      </c>
      <c r="AE219" s="62">
        <f>IF($V219="","",IF(AND(ISNUMBER($G219),$G219&lt;=IF($S219=MesCiclo,InicioCiclo,$S219+MOD(2-WEEKDAY($S219),7))+20),1,IF(N($W219)&gt;0,AVERAGEIFS($AA$5:$AA$1000,$U$5:$U$1000,ROW(),$V$5:$V$1000,"Sub"),$AA219)))</f>
        <v/>
      </c>
      <c r="AF219" s="62">
        <f>IF($V219="","",IF(AND(ISNUMBER($G219),$G219&lt;=IF($S219=MesCiclo,InicioCiclo,$S219+MOD(2-WEEKDAY($S219),7))+27),1,IF(N($W219)&gt;0,AVERAGEIFS($AB$5:$AB$1000,$U$5:$U$1000,ROW(),$V$5:$V$1000,"Sub"),$AB219)))</f>
        <v/>
      </c>
      <c r="AG219" s="62">
        <f>IF($V219&lt;&gt;"Macro","",IF(COUNTIFS($S$5:$S$1000,$S219,$V$5:$V$1000,"Macro",$H$5:$H$1000,"&gt;0")=0,1/COUNTIFS($S$5:$S$1000,$S219,$V$5:$V$1000,"Macro"),IF(AND(ISNUMBER($H219),N($H219)&gt;0),$H219,SUMIFS($H$5:$H$1000,$S$5:$S$1000,$S219,$V$5:$V$1000,"Macro")/COUNTIFS($S$5:$S$1000,$S219,$V$5:$V$1000,"Macro",$H$5:$H$1000,"&gt;0"))/(COUNTIFS($S$5:$S$1000,$S219,$V$5:$V$1000,"Macro")*SUMIFS($H$5:$H$1000,$S$5:$S$1000,$S219,$V$5:$V$1000,"Macro")/COUNTIFS($S$5:$S$1000,$S219,$V$5:$V$1000,"Macro",$H$5:$H$1000,"&gt;0"))))</f>
        <v/>
      </c>
      <c r="AH219" s="62" t="n"/>
      <c r="AI219" s="62" t="n"/>
      <c r="AJ219" s="62" t="n"/>
      <c r="AK219" s="62" t="n"/>
      <c r="AL219" s="62">
        <f>IF(LEFT($C219,11)="[Jefatura] ",IFERROR(MATCH("Riesgo Operacional|"&amp;MID($C219,12,500),rDname_ADM,0),0),"")</f>
        <v/>
      </c>
      <c r="AM219" s="62">
        <f>IF(N($AL219)&gt;0,INDEX(rIni_ADM,$AL219),IF(ISNUMBER($E219),$E219,""))</f>
        <v/>
      </c>
      <c r="AN219" s="62">
        <f>IF(N($AL219)&gt;0,INDEX(rLim_ADM,$AL219),IF(ISNUMBER($F219),$F219,""))</f>
        <v/>
      </c>
    </row>
    <row r="220">
      <c r="A220" s="56">
        <f>IF(NOT((COUNTA($B220:$D220)+COUNTA($G220:$L220)+COUNTA($Q220))&gt;0),"",IF($V220="Macro",COUNTIFS($V$5:$V220,"Macro",$S$5:$S220,$S220),IF(N($U220)=0,"?",COUNTIFS(INDEX($V$5:$V$1000,1):INDEX($V$5:$V$1000,$U220-4),"Macro",INDEX($S$5:$S$1000,1):INDEX($S$5:$S$1000,$U220-4),INDEX($S$5:$S$1000,$U220-4))&amp;"."&amp;COUNTIFS($U$5:$U220,$U220,$V$5:$V220,"Sub"))))</f>
        <v/>
      </c>
      <c r="B220" s="57" t="n"/>
      <c r="C220" s="58" t="n"/>
      <c r="D220" s="58" t="n"/>
      <c r="E220" s="59">
        <f>IF(N($AL220)&gt;0,INDEX(rIni_ADM,$AL220),"")</f>
        <v/>
      </c>
      <c r="F220" s="59">
        <f>IF(N($AL220)&gt;0,INDEX(rLim_ADM,$AL220),"")</f>
        <v/>
      </c>
      <c r="G220" s="59" t="n"/>
      <c r="H220" s="60" t="n"/>
      <c r="I220" s="60" t="n"/>
      <c r="J220" s="60" t="n"/>
      <c r="K220" s="60" t="n"/>
      <c r="L220" s="60" t="n"/>
      <c r="M220" s="61">
        <f>IF(NOT((COUNTA($B220:$D220)+COUNTA($G220:$L220)+COUNTA($Q220))&gt;0),"",IF(ISNUMBER($G220),1,IF(N($W220)&gt;0,AVERAGEIFS($X$5:$X$1000,$U$5:$U$1000,ROW(),$V$5:$V$1000,"Sub"),$X220)))</f>
        <v/>
      </c>
      <c r="N220" s="56">
        <f>IF($M220="","",IF($M220&gt;=1,"Completado",IF($M220&gt;0,"En curso","Pendiente")))</f>
        <v/>
      </c>
      <c r="O220" s="56">
        <f>IF(NOT((COUNTA($B220:$D220)+COUNTA($G220:$L220)+COUNTA($Q220))&gt;0),"",IF(ISNUMBER($G220),IF(AND(ISNUMBER($AN220),$G220&gt;$AN220),"Cumplida con "&amp;($G220-$AN220)&amp;IF($G220-$AN220=1," día"," días")&amp;" de retraso","Cumplida"),IF(N($M220)&gt;=1,"Cumplida",IF(NOT(ISNUMBER($AN220)),"Sin fecha límite",IF($AN220&lt;FechaRef,"Vencida hace "&amp;(FechaRef-$AN220)&amp;IF(FechaRef-$AN220=1," día"," días"),IF($AN220=FechaRef,"Vence hoy",IF($AN220-FechaRef&lt;=DiasAlerta,"Vence en "&amp;($AN220-FechaRef)&amp;IF($AN220-FechaRef=1," día"," días"),"En plazo")))))))</f>
        <v/>
      </c>
      <c r="P220" s="62" t="n"/>
      <c r="Q220" s="58" t="n"/>
      <c r="R220" s="63">
        <f>IF(NOT((COUNTA($B220:$D220)+COUNTA($G220:$L220)+COUNTA($Q220))&gt;0),"",IF((IF($C220="","Falta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",""))="","✔ OK","⚠ "&amp;LEFT(IF($C220="","Falta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",""),LEN(IF($C220="","Falta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",""))-3)))</f>
        <v/>
      </c>
      <c r="S220" s="64">
        <f>IF(NOT((COUNTA($B220:$D220)+COUNTA($G220:$L220)+COUNTA($Q220))&gt;0),"",IF(AND($V220="Sub",N($U220)&gt;0),IF(ISNUMBER(INDEX($AM$5:$AM$1000,$U220-4)),DATE(YEAR(INDEX($AM$5:$AM$1000,$U220-4)),MONTH(INDEX($AM$5:$AM$1000,$U220-4)),1),IF(ISNUMBER(INDEX($AN$5:$AN$1000,$U220-4)),DATE(YEAR(INDEX($AN$5:$AN$1000,$U220-4)),MONTH(INDEX($AN$5:$AN$1000,$U220-4)),1),MesCiclo)),IF(ISNUMBER($AM220),DATE(YEAR($AM220),MONTH($AM220),1),IF(ISNUMBER($AN220),DATE(YEAR($AN220),MONTH($AN220),1),MesCiclo))))</f>
        <v/>
      </c>
      <c r="T220" s="62">
        <f>IF(OR($S220="",$S220&lt;&gt;MesCiclo),"",COUNTIF($S$5:$S220,MesCiclo))</f>
        <v/>
      </c>
      <c r="U220" s="62">
        <f>IF($V220="","",IF($V220="Macro",ROW(),IFERROR(LOOKUP(2,1/($V$5:$V220="Macro"),ROW($V$5:$V220)),0)))</f>
        <v/>
      </c>
      <c r="V220" s="62">
        <f>IF(NOT((COUNTA($B220:$D220)+COUNTA($G220:$L220)+COUNTA($Q220))&gt;0),"",IF($B220="Subactividad","Sub","Macro"))</f>
        <v/>
      </c>
      <c r="W220" s="62">
        <f>IF($V220="Macro",COUNTIFS($U$5:$U$1000,ROW(),$V$5:$V$1000,"Sub"),"")</f>
        <v/>
      </c>
      <c r="X220" s="62">
        <f>IF($V220="","",IF(ISNUMBER($G220),1,IFERROR(LOOKUP(2,1/($I220:$L220&lt;&gt;""),$I220:$L220),0)))</f>
        <v/>
      </c>
      <c r="Y220" s="62">
        <f>IF($V220="","",IF(AND(ISNUMBER($G220),$G220&lt;=IF($S220=MesCiclo,InicioCiclo,$S220+MOD(2-WEEKDAY($S220),7))+6),1,IF(ISNUMBER($I220),$I220,0)))</f>
        <v/>
      </c>
      <c r="Z220" s="62">
        <f>IF($V220="","",IF(AND(ISNUMBER($G220),$G220&lt;=IF($S220=MesCiclo,InicioCiclo,$S220+MOD(2-WEEKDAY($S220),7))+13),1,IF(ISNUMBER($J220),$J220,$Y220)))</f>
        <v/>
      </c>
      <c r="AA220" s="62">
        <f>IF($V220="","",IF(AND(ISNUMBER($G220),$G220&lt;=IF($S220=MesCiclo,InicioCiclo,$S220+MOD(2-WEEKDAY($S220),7))+20),1,IF(ISNUMBER($K220),$K220,$Z220)))</f>
        <v/>
      </c>
      <c r="AB220" s="62">
        <f>IF($V220="","",IF(AND(ISNUMBER($G220),$G220&lt;=IF($S220=MesCiclo,InicioCiclo,$S220+MOD(2-WEEKDAY($S220),7))+27),1,IF(ISNUMBER($L220),$L220,$AA220)))</f>
        <v/>
      </c>
      <c r="AC220" s="62">
        <f>IF($V220="","",IF(AND(ISNUMBER($G220),$G220&lt;=IF($S220=MesCiclo,InicioCiclo,$S220+MOD(2-WEEKDAY($S220),7))+6),1,IF(N($W220)&gt;0,AVERAGEIFS($Y$5:$Y$1000,$U$5:$U$1000,ROW(),$V$5:$V$1000,"Sub"),$Y220)))</f>
        <v/>
      </c>
      <c r="AD220" s="62">
        <f>IF($V220="","",IF(AND(ISNUMBER($G220),$G220&lt;=IF($S220=MesCiclo,InicioCiclo,$S220+MOD(2-WEEKDAY($S220),7))+13),1,IF(N($W220)&gt;0,AVERAGEIFS($Z$5:$Z$1000,$U$5:$U$1000,ROW(),$V$5:$V$1000,"Sub"),$Z220)))</f>
        <v/>
      </c>
      <c r="AE220" s="62">
        <f>IF($V220="","",IF(AND(ISNUMBER($G220),$G220&lt;=IF($S220=MesCiclo,InicioCiclo,$S220+MOD(2-WEEKDAY($S220),7))+20),1,IF(N($W220)&gt;0,AVERAGEIFS($AA$5:$AA$1000,$U$5:$U$1000,ROW(),$V$5:$V$1000,"Sub"),$AA220)))</f>
        <v/>
      </c>
      <c r="AF220" s="62">
        <f>IF($V220="","",IF(AND(ISNUMBER($G220),$G220&lt;=IF($S220=MesCiclo,InicioCiclo,$S220+MOD(2-WEEKDAY($S220),7))+27),1,IF(N($W220)&gt;0,AVERAGEIFS($AB$5:$AB$1000,$U$5:$U$1000,ROW(),$V$5:$V$1000,"Sub"),$AB220)))</f>
        <v/>
      </c>
      <c r="AG220" s="62">
        <f>IF($V220&lt;&gt;"Macro","",IF(COUNTIFS($S$5:$S$1000,$S220,$V$5:$V$1000,"Macro",$H$5:$H$1000,"&gt;0")=0,1/COUNTIFS($S$5:$S$1000,$S220,$V$5:$V$1000,"Macro"),IF(AND(ISNUMBER($H220),N($H220)&gt;0),$H220,SUMIFS($H$5:$H$1000,$S$5:$S$1000,$S220,$V$5:$V$1000,"Macro")/COUNTIFS($S$5:$S$1000,$S220,$V$5:$V$1000,"Macro",$H$5:$H$1000,"&gt;0"))/(COUNTIFS($S$5:$S$1000,$S220,$V$5:$V$1000,"Macro")*SUMIFS($H$5:$H$1000,$S$5:$S$1000,$S220,$V$5:$V$1000,"Macro")/COUNTIFS($S$5:$S$1000,$S220,$V$5:$V$1000,"Macro",$H$5:$H$1000,"&gt;0"))))</f>
        <v/>
      </c>
      <c r="AH220" s="62" t="n"/>
      <c r="AI220" s="62" t="n"/>
      <c r="AJ220" s="62" t="n"/>
      <c r="AK220" s="62" t="n"/>
      <c r="AL220" s="62">
        <f>IF(LEFT($C220,11)="[Jefatura] ",IFERROR(MATCH("Riesgo Operacional|"&amp;MID($C220,12,500),rDname_ADM,0),0),"")</f>
        <v/>
      </c>
      <c r="AM220" s="62">
        <f>IF(N($AL220)&gt;0,INDEX(rIni_ADM,$AL220),IF(ISNUMBER($E220),$E220,""))</f>
        <v/>
      </c>
      <c r="AN220" s="62">
        <f>IF(N($AL220)&gt;0,INDEX(rLim_ADM,$AL220),IF(ISNUMBER($F220),$F220,""))</f>
        <v/>
      </c>
    </row>
    <row r="221">
      <c r="A221" s="56">
        <f>IF(NOT((COUNTA($B221:$D221)+COUNTA($G221:$L221)+COUNTA($Q221))&gt;0),"",IF($V221="Macro",COUNTIFS($V$5:$V221,"Macro",$S$5:$S221,$S221),IF(N($U221)=0,"?",COUNTIFS(INDEX($V$5:$V$1000,1):INDEX($V$5:$V$1000,$U221-4),"Macro",INDEX($S$5:$S$1000,1):INDEX($S$5:$S$1000,$U221-4),INDEX($S$5:$S$1000,$U221-4))&amp;"."&amp;COUNTIFS($U$5:$U221,$U221,$V$5:$V221,"Sub"))))</f>
        <v/>
      </c>
      <c r="B221" s="57" t="n"/>
      <c r="C221" s="58" t="n"/>
      <c r="D221" s="58" t="n"/>
      <c r="E221" s="59">
        <f>IF(N($AL221)&gt;0,INDEX(rIni_ADM,$AL221),"")</f>
        <v/>
      </c>
      <c r="F221" s="59">
        <f>IF(N($AL221)&gt;0,INDEX(rLim_ADM,$AL221),"")</f>
        <v/>
      </c>
      <c r="G221" s="59" t="n"/>
      <c r="H221" s="60" t="n"/>
      <c r="I221" s="60" t="n"/>
      <c r="J221" s="60" t="n"/>
      <c r="K221" s="60" t="n"/>
      <c r="L221" s="60" t="n"/>
      <c r="M221" s="61">
        <f>IF(NOT((COUNTA($B221:$D221)+COUNTA($G221:$L221)+COUNTA($Q221))&gt;0),"",IF(ISNUMBER($G221),1,IF(N($W221)&gt;0,AVERAGEIFS($X$5:$X$1000,$U$5:$U$1000,ROW(),$V$5:$V$1000,"Sub"),$X221)))</f>
        <v/>
      </c>
      <c r="N221" s="56">
        <f>IF($M221="","",IF($M221&gt;=1,"Completado",IF($M221&gt;0,"En curso","Pendiente")))</f>
        <v/>
      </c>
      <c r="O221" s="56">
        <f>IF(NOT((COUNTA($B221:$D221)+COUNTA($G221:$L221)+COUNTA($Q221))&gt;0),"",IF(ISNUMBER($G221),IF(AND(ISNUMBER($AN221),$G221&gt;$AN221),"Cumplida con "&amp;($G221-$AN221)&amp;IF($G221-$AN221=1," día"," días")&amp;" de retraso","Cumplida"),IF(N($M221)&gt;=1,"Cumplida",IF(NOT(ISNUMBER($AN221)),"Sin fecha límite",IF($AN221&lt;FechaRef,"Vencida hace "&amp;(FechaRef-$AN221)&amp;IF(FechaRef-$AN221=1," día"," días"),IF($AN221=FechaRef,"Vence hoy",IF($AN221-FechaRef&lt;=DiasAlerta,"Vence en "&amp;($AN221-FechaRef)&amp;IF($AN221-FechaRef=1," día"," días"),"En plazo")))))))</f>
        <v/>
      </c>
      <c r="P221" s="62" t="n"/>
      <c r="Q221" s="58" t="n"/>
      <c r="R221" s="63">
        <f>IF(NOT((COUNTA($B221:$D221)+COUNTA($G221:$L221)+COUNTA($Q221))&gt;0),"",IF((IF($C221="","Falta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",""))="","✔ OK","⚠ "&amp;LEFT(IF($C221="","Falta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",""),LEN(IF($C221="","Falta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",""))-3)))</f>
        <v/>
      </c>
      <c r="S221" s="64">
        <f>IF(NOT((COUNTA($B221:$D221)+COUNTA($G221:$L221)+COUNTA($Q221))&gt;0),"",IF(AND($V221="Sub",N($U221)&gt;0),IF(ISNUMBER(INDEX($AM$5:$AM$1000,$U221-4)),DATE(YEAR(INDEX($AM$5:$AM$1000,$U221-4)),MONTH(INDEX($AM$5:$AM$1000,$U221-4)),1),IF(ISNUMBER(INDEX($AN$5:$AN$1000,$U221-4)),DATE(YEAR(INDEX($AN$5:$AN$1000,$U221-4)),MONTH(INDEX($AN$5:$AN$1000,$U221-4)),1),MesCiclo)),IF(ISNUMBER($AM221),DATE(YEAR($AM221),MONTH($AM221),1),IF(ISNUMBER($AN221),DATE(YEAR($AN221),MONTH($AN221),1),MesCiclo))))</f>
        <v/>
      </c>
      <c r="T221" s="62">
        <f>IF(OR($S221="",$S221&lt;&gt;MesCiclo),"",COUNTIF($S$5:$S221,MesCiclo))</f>
        <v/>
      </c>
      <c r="U221" s="62">
        <f>IF($V221="","",IF($V221="Macro",ROW(),IFERROR(LOOKUP(2,1/($V$5:$V221="Macro"),ROW($V$5:$V221)),0)))</f>
        <v/>
      </c>
      <c r="V221" s="62">
        <f>IF(NOT((COUNTA($B221:$D221)+COUNTA($G221:$L221)+COUNTA($Q221))&gt;0),"",IF($B221="Subactividad","Sub","Macro"))</f>
        <v/>
      </c>
      <c r="W221" s="62">
        <f>IF($V221="Macro",COUNTIFS($U$5:$U$1000,ROW(),$V$5:$V$1000,"Sub"),"")</f>
        <v/>
      </c>
      <c r="X221" s="62">
        <f>IF($V221="","",IF(ISNUMBER($G221),1,IFERROR(LOOKUP(2,1/($I221:$L221&lt;&gt;""),$I221:$L221),0)))</f>
        <v/>
      </c>
      <c r="Y221" s="62">
        <f>IF($V221="","",IF(AND(ISNUMBER($G221),$G221&lt;=IF($S221=MesCiclo,InicioCiclo,$S221+MOD(2-WEEKDAY($S221),7))+6),1,IF(ISNUMBER($I221),$I221,0)))</f>
        <v/>
      </c>
      <c r="Z221" s="62">
        <f>IF($V221="","",IF(AND(ISNUMBER($G221),$G221&lt;=IF($S221=MesCiclo,InicioCiclo,$S221+MOD(2-WEEKDAY($S221),7))+13),1,IF(ISNUMBER($J221),$J221,$Y221)))</f>
        <v/>
      </c>
      <c r="AA221" s="62">
        <f>IF($V221="","",IF(AND(ISNUMBER($G221),$G221&lt;=IF($S221=MesCiclo,InicioCiclo,$S221+MOD(2-WEEKDAY($S221),7))+20),1,IF(ISNUMBER($K221),$K221,$Z221)))</f>
        <v/>
      </c>
      <c r="AB221" s="62">
        <f>IF($V221="","",IF(AND(ISNUMBER($G221),$G221&lt;=IF($S221=MesCiclo,InicioCiclo,$S221+MOD(2-WEEKDAY($S221),7))+27),1,IF(ISNUMBER($L221),$L221,$AA221)))</f>
        <v/>
      </c>
      <c r="AC221" s="62">
        <f>IF($V221="","",IF(AND(ISNUMBER($G221),$G221&lt;=IF($S221=MesCiclo,InicioCiclo,$S221+MOD(2-WEEKDAY($S221),7))+6),1,IF(N($W221)&gt;0,AVERAGEIFS($Y$5:$Y$1000,$U$5:$U$1000,ROW(),$V$5:$V$1000,"Sub"),$Y221)))</f>
        <v/>
      </c>
      <c r="AD221" s="62">
        <f>IF($V221="","",IF(AND(ISNUMBER($G221),$G221&lt;=IF($S221=MesCiclo,InicioCiclo,$S221+MOD(2-WEEKDAY($S221),7))+13),1,IF(N($W221)&gt;0,AVERAGEIFS($Z$5:$Z$1000,$U$5:$U$1000,ROW(),$V$5:$V$1000,"Sub"),$Z221)))</f>
        <v/>
      </c>
      <c r="AE221" s="62">
        <f>IF($V221="","",IF(AND(ISNUMBER($G221),$G221&lt;=IF($S221=MesCiclo,InicioCiclo,$S221+MOD(2-WEEKDAY($S221),7))+20),1,IF(N($W221)&gt;0,AVERAGEIFS($AA$5:$AA$1000,$U$5:$U$1000,ROW(),$V$5:$V$1000,"Sub"),$AA221)))</f>
        <v/>
      </c>
      <c r="AF221" s="62">
        <f>IF($V221="","",IF(AND(ISNUMBER($G221),$G221&lt;=IF($S221=MesCiclo,InicioCiclo,$S221+MOD(2-WEEKDAY($S221),7))+27),1,IF(N($W221)&gt;0,AVERAGEIFS($AB$5:$AB$1000,$U$5:$U$1000,ROW(),$V$5:$V$1000,"Sub"),$AB221)))</f>
        <v/>
      </c>
      <c r="AG221" s="62">
        <f>IF($V221&lt;&gt;"Macro","",IF(COUNTIFS($S$5:$S$1000,$S221,$V$5:$V$1000,"Macro",$H$5:$H$1000,"&gt;0")=0,1/COUNTIFS($S$5:$S$1000,$S221,$V$5:$V$1000,"Macro"),IF(AND(ISNUMBER($H221),N($H221)&gt;0),$H221,SUMIFS($H$5:$H$1000,$S$5:$S$1000,$S221,$V$5:$V$1000,"Macro")/COUNTIFS($S$5:$S$1000,$S221,$V$5:$V$1000,"Macro",$H$5:$H$1000,"&gt;0"))/(COUNTIFS($S$5:$S$1000,$S221,$V$5:$V$1000,"Macro")*SUMIFS($H$5:$H$1000,$S$5:$S$1000,$S221,$V$5:$V$1000,"Macro")/COUNTIFS($S$5:$S$1000,$S221,$V$5:$V$1000,"Macro",$H$5:$H$1000,"&gt;0"))))</f>
        <v/>
      </c>
      <c r="AH221" s="62" t="n"/>
      <c r="AI221" s="62" t="n"/>
      <c r="AJ221" s="62" t="n"/>
      <c r="AK221" s="62" t="n"/>
      <c r="AL221" s="62">
        <f>IF(LEFT($C221,11)="[Jefatura] ",IFERROR(MATCH("Riesgo Operacional|"&amp;MID($C221,12,500),rDname_ADM,0),0),"")</f>
        <v/>
      </c>
      <c r="AM221" s="62">
        <f>IF(N($AL221)&gt;0,INDEX(rIni_ADM,$AL221),IF(ISNUMBER($E221),$E221,""))</f>
        <v/>
      </c>
      <c r="AN221" s="62">
        <f>IF(N($AL221)&gt;0,INDEX(rLim_ADM,$AL221),IF(ISNUMBER($F221),$F221,""))</f>
        <v/>
      </c>
    </row>
    <row r="222">
      <c r="A222" s="56">
        <f>IF(NOT((COUNTA($B222:$D222)+COUNTA($G222:$L222)+COUNTA($Q222))&gt;0),"",IF($V222="Macro",COUNTIFS($V$5:$V222,"Macro",$S$5:$S222,$S222),IF(N($U222)=0,"?",COUNTIFS(INDEX($V$5:$V$1000,1):INDEX($V$5:$V$1000,$U222-4),"Macro",INDEX($S$5:$S$1000,1):INDEX($S$5:$S$1000,$U222-4),INDEX($S$5:$S$1000,$U222-4))&amp;"."&amp;COUNTIFS($U$5:$U222,$U222,$V$5:$V222,"Sub"))))</f>
        <v/>
      </c>
      <c r="B222" s="57" t="n"/>
      <c r="C222" s="58" t="n"/>
      <c r="D222" s="58" t="n"/>
      <c r="E222" s="59">
        <f>IF(N($AL222)&gt;0,INDEX(rIni_ADM,$AL222),"")</f>
        <v/>
      </c>
      <c r="F222" s="59">
        <f>IF(N($AL222)&gt;0,INDEX(rLim_ADM,$AL222),"")</f>
        <v/>
      </c>
      <c r="G222" s="59" t="n"/>
      <c r="H222" s="60" t="n"/>
      <c r="I222" s="60" t="n"/>
      <c r="J222" s="60" t="n"/>
      <c r="K222" s="60" t="n"/>
      <c r="L222" s="60" t="n"/>
      <c r="M222" s="61">
        <f>IF(NOT((COUNTA($B222:$D222)+COUNTA($G222:$L222)+COUNTA($Q222))&gt;0),"",IF(ISNUMBER($G222),1,IF(N($W222)&gt;0,AVERAGEIFS($X$5:$X$1000,$U$5:$U$1000,ROW(),$V$5:$V$1000,"Sub"),$X222)))</f>
        <v/>
      </c>
      <c r="N222" s="56">
        <f>IF($M222="","",IF($M222&gt;=1,"Completado",IF($M222&gt;0,"En curso","Pendiente")))</f>
        <v/>
      </c>
      <c r="O222" s="56">
        <f>IF(NOT((COUNTA($B222:$D222)+COUNTA($G222:$L222)+COUNTA($Q222))&gt;0),"",IF(ISNUMBER($G222),IF(AND(ISNUMBER($AN222),$G222&gt;$AN222),"Cumplida con "&amp;($G222-$AN222)&amp;IF($G222-$AN222=1," día"," días")&amp;" de retraso","Cumplida"),IF(N($M222)&gt;=1,"Cumplida",IF(NOT(ISNUMBER($AN222)),"Sin fecha límite",IF($AN222&lt;FechaRef,"Vencida hace "&amp;(FechaRef-$AN222)&amp;IF(FechaRef-$AN222=1," día"," días"),IF($AN222=FechaRef,"Vence hoy",IF($AN222-FechaRef&lt;=DiasAlerta,"Vence en "&amp;($AN222-FechaRef)&amp;IF($AN222-FechaRef=1," día"," días"),"En plazo")))))))</f>
        <v/>
      </c>
      <c r="P222" s="62" t="n"/>
      <c r="Q222" s="58" t="n"/>
      <c r="R222" s="63">
        <f>IF(NOT((COUNTA($B222:$D222)+COUNTA($G222:$L222)+COUNTA($Q222))&gt;0),"",IF((IF($C222="","Falta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",""))="","✔ OK","⚠ "&amp;LEFT(IF($C222="","Falta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",""),LEN(IF($C222="","Falta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",""))-3)))</f>
        <v/>
      </c>
      <c r="S222" s="64">
        <f>IF(NOT((COUNTA($B222:$D222)+COUNTA($G222:$L222)+COUNTA($Q222))&gt;0),"",IF(AND($V222="Sub",N($U222)&gt;0),IF(ISNUMBER(INDEX($AM$5:$AM$1000,$U222-4)),DATE(YEAR(INDEX($AM$5:$AM$1000,$U222-4)),MONTH(INDEX($AM$5:$AM$1000,$U222-4)),1),IF(ISNUMBER(INDEX($AN$5:$AN$1000,$U222-4)),DATE(YEAR(INDEX($AN$5:$AN$1000,$U222-4)),MONTH(INDEX($AN$5:$AN$1000,$U222-4)),1),MesCiclo)),IF(ISNUMBER($AM222),DATE(YEAR($AM222),MONTH($AM222),1),IF(ISNUMBER($AN222),DATE(YEAR($AN222),MONTH($AN222),1),MesCiclo))))</f>
        <v/>
      </c>
      <c r="T222" s="62">
        <f>IF(OR($S222="",$S222&lt;&gt;MesCiclo),"",COUNTIF($S$5:$S222,MesCiclo))</f>
        <v/>
      </c>
      <c r="U222" s="62">
        <f>IF($V222="","",IF($V222="Macro",ROW(),IFERROR(LOOKUP(2,1/($V$5:$V222="Macro"),ROW($V$5:$V222)),0)))</f>
        <v/>
      </c>
      <c r="V222" s="62">
        <f>IF(NOT((COUNTA($B222:$D222)+COUNTA($G222:$L222)+COUNTA($Q222))&gt;0),"",IF($B222="Subactividad","Sub","Macro"))</f>
        <v/>
      </c>
      <c r="W222" s="62">
        <f>IF($V222="Macro",COUNTIFS($U$5:$U$1000,ROW(),$V$5:$V$1000,"Sub"),"")</f>
        <v/>
      </c>
      <c r="X222" s="62">
        <f>IF($V222="","",IF(ISNUMBER($G222),1,IFERROR(LOOKUP(2,1/($I222:$L222&lt;&gt;""),$I222:$L222),0)))</f>
        <v/>
      </c>
      <c r="Y222" s="62">
        <f>IF($V222="","",IF(AND(ISNUMBER($G222),$G222&lt;=IF($S222=MesCiclo,InicioCiclo,$S222+MOD(2-WEEKDAY($S222),7))+6),1,IF(ISNUMBER($I222),$I222,0)))</f>
        <v/>
      </c>
      <c r="Z222" s="62">
        <f>IF($V222="","",IF(AND(ISNUMBER($G222),$G222&lt;=IF($S222=MesCiclo,InicioCiclo,$S222+MOD(2-WEEKDAY($S222),7))+13),1,IF(ISNUMBER($J222),$J222,$Y222)))</f>
        <v/>
      </c>
      <c r="AA222" s="62">
        <f>IF($V222="","",IF(AND(ISNUMBER($G222),$G222&lt;=IF($S222=MesCiclo,InicioCiclo,$S222+MOD(2-WEEKDAY($S222),7))+20),1,IF(ISNUMBER($K222),$K222,$Z222)))</f>
        <v/>
      </c>
      <c r="AB222" s="62">
        <f>IF($V222="","",IF(AND(ISNUMBER($G222),$G222&lt;=IF($S222=MesCiclo,InicioCiclo,$S222+MOD(2-WEEKDAY($S222),7))+27),1,IF(ISNUMBER($L222),$L222,$AA222)))</f>
        <v/>
      </c>
      <c r="AC222" s="62">
        <f>IF($V222="","",IF(AND(ISNUMBER($G222),$G222&lt;=IF($S222=MesCiclo,InicioCiclo,$S222+MOD(2-WEEKDAY($S222),7))+6),1,IF(N($W222)&gt;0,AVERAGEIFS($Y$5:$Y$1000,$U$5:$U$1000,ROW(),$V$5:$V$1000,"Sub"),$Y222)))</f>
        <v/>
      </c>
      <c r="AD222" s="62">
        <f>IF($V222="","",IF(AND(ISNUMBER($G222),$G222&lt;=IF($S222=MesCiclo,InicioCiclo,$S222+MOD(2-WEEKDAY($S222),7))+13),1,IF(N($W222)&gt;0,AVERAGEIFS($Z$5:$Z$1000,$U$5:$U$1000,ROW(),$V$5:$V$1000,"Sub"),$Z222)))</f>
        <v/>
      </c>
      <c r="AE222" s="62">
        <f>IF($V222="","",IF(AND(ISNUMBER($G222),$G222&lt;=IF($S222=MesCiclo,InicioCiclo,$S222+MOD(2-WEEKDAY($S222),7))+20),1,IF(N($W222)&gt;0,AVERAGEIFS($AA$5:$AA$1000,$U$5:$U$1000,ROW(),$V$5:$V$1000,"Sub"),$AA222)))</f>
        <v/>
      </c>
      <c r="AF222" s="62">
        <f>IF($V222="","",IF(AND(ISNUMBER($G222),$G222&lt;=IF($S222=MesCiclo,InicioCiclo,$S222+MOD(2-WEEKDAY($S222),7))+27),1,IF(N($W222)&gt;0,AVERAGEIFS($AB$5:$AB$1000,$U$5:$U$1000,ROW(),$V$5:$V$1000,"Sub"),$AB222)))</f>
        <v/>
      </c>
      <c r="AG222" s="62">
        <f>IF($V222&lt;&gt;"Macro","",IF(COUNTIFS($S$5:$S$1000,$S222,$V$5:$V$1000,"Macro",$H$5:$H$1000,"&gt;0")=0,1/COUNTIFS($S$5:$S$1000,$S222,$V$5:$V$1000,"Macro"),IF(AND(ISNUMBER($H222),N($H222)&gt;0),$H222,SUMIFS($H$5:$H$1000,$S$5:$S$1000,$S222,$V$5:$V$1000,"Macro")/COUNTIFS($S$5:$S$1000,$S222,$V$5:$V$1000,"Macro",$H$5:$H$1000,"&gt;0"))/(COUNTIFS($S$5:$S$1000,$S222,$V$5:$V$1000,"Macro")*SUMIFS($H$5:$H$1000,$S$5:$S$1000,$S222,$V$5:$V$1000,"Macro")/COUNTIFS($S$5:$S$1000,$S222,$V$5:$V$1000,"Macro",$H$5:$H$1000,"&gt;0"))))</f>
        <v/>
      </c>
      <c r="AH222" s="62" t="n"/>
      <c r="AI222" s="62" t="n"/>
      <c r="AJ222" s="62" t="n"/>
      <c r="AK222" s="62" t="n"/>
      <c r="AL222" s="62">
        <f>IF(LEFT($C222,11)="[Jefatura] ",IFERROR(MATCH("Riesgo Operacional|"&amp;MID($C222,12,500),rDname_ADM,0),0),"")</f>
        <v/>
      </c>
      <c r="AM222" s="62">
        <f>IF(N($AL222)&gt;0,INDEX(rIni_ADM,$AL222),IF(ISNUMBER($E222),$E222,""))</f>
        <v/>
      </c>
      <c r="AN222" s="62">
        <f>IF(N($AL222)&gt;0,INDEX(rLim_ADM,$AL222),IF(ISNUMBER($F222),$F222,""))</f>
        <v/>
      </c>
    </row>
    <row r="223">
      <c r="A223" s="56">
        <f>IF(NOT((COUNTA($B223:$D223)+COUNTA($G223:$L223)+COUNTA($Q223))&gt;0),"",IF($V223="Macro",COUNTIFS($V$5:$V223,"Macro",$S$5:$S223,$S223),IF(N($U223)=0,"?",COUNTIFS(INDEX($V$5:$V$1000,1):INDEX($V$5:$V$1000,$U223-4),"Macro",INDEX($S$5:$S$1000,1):INDEX($S$5:$S$1000,$U223-4),INDEX($S$5:$S$1000,$U223-4))&amp;"."&amp;COUNTIFS($U$5:$U223,$U223,$V$5:$V223,"Sub"))))</f>
        <v/>
      </c>
      <c r="B223" s="57" t="n"/>
      <c r="C223" s="58" t="n"/>
      <c r="D223" s="58" t="n"/>
      <c r="E223" s="59">
        <f>IF(N($AL223)&gt;0,INDEX(rIni_ADM,$AL223),"")</f>
        <v/>
      </c>
      <c r="F223" s="59">
        <f>IF(N($AL223)&gt;0,INDEX(rLim_ADM,$AL223),"")</f>
        <v/>
      </c>
      <c r="G223" s="59" t="n"/>
      <c r="H223" s="60" t="n"/>
      <c r="I223" s="60" t="n"/>
      <c r="J223" s="60" t="n"/>
      <c r="K223" s="60" t="n"/>
      <c r="L223" s="60" t="n"/>
      <c r="M223" s="61">
        <f>IF(NOT((COUNTA($B223:$D223)+COUNTA($G223:$L223)+COUNTA($Q223))&gt;0),"",IF(ISNUMBER($G223),1,IF(N($W223)&gt;0,AVERAGEIFS($X$5:$X$1000,$U$5:$U$1000,ROW(),$V$5:$V$1000,"Sub"),$X223)))</f>
        <v/>
      </c>
      <c r="N223" s="56">
        <f>IF($M223="","",IF($M223&gt;=1,"Completado",IF($M223&gt;0,"En curso","Pendiente")))</f>
        <v/>
      </c>
      <c r="O223" s="56">
        <f>IF(NOT((COUNTA($B223:$D223)+COUNTA($G223:$L223)+COUNTA($Q223))&gt;0),"",IF(ISNUMBER($G223),IF(AND(ISNUMBER($AN223),$G223&gt;$AN223),"Cumplida con "&amp;($G223-$AN223)&amp;IF($G223-$AN223=1," día"," días")&amp;" de retraso","Cumplida"),IF(N($M223)&gt;=1,"Cumplida",IF(NOT(ISNUMBER($AN223)),"Sin fecha límite",IF($AN223&lt;FechaRef,"Vencida hace "&amp;(FechaRef-$AN223)&amp;IF(FechaRef-$AN223=1," día"," días"),IF($AN223=FechaRef,"Vence hoy",IF($AN223-FechaRef&lt;=DiasAlerta,"Vence en "&amp;($AN223-FechaRef)&amp;IF($AN223-FechaRef=1," día"," días"),"En plazo")))))))</f>
        <v/>
      </c>
      <c r="P223" s="62" t="n"/>
      <c r="Q223" s="58" t="n"/>
      <c r="R223" s="63">
        <f>IF(NOT((COUNTA($B223:$D223)+COUNTA($G223:$L223)+COUNTA($Q223))&gt;0),"",IF((IF($C223="","Falta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",""))="","✔ OK","⚠ "&amp;LEFT(IF($C223="","Falta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",""),LEN(IF($C223="","Falta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",""))-3)))</f>
        <v/>
      </c>
      <c r="S223" s="64">
        <f>IF(NOT((COUNTA($B223:$D223)+COUNTA($G223:$L223)+COUNTA($Q223))&gt;0),"",IF(AND($V223="Sub",N($U223)&gt;0),IF(ISNUMBER(INDEX($AM$5:$AM$1000,$U223-4)),DATE(YEAR(INDEX($AM$5:$AM$1000,$U223-4)),MONTH(INDEX($AM$5:$AM$1000,$U223-4)),1),IF(ISNUMBER(INDEX($AN$5:$AN$1000,$U223-4)),DATE(YEAR(INDEX($AN$5:$AN$1000,$U223-4)),MONTH(INDEX($AN$5:$AN$1000,$U223-4)),1),MesCiclo)),IF(ISNUMBER($AM223),DATE(YEAR($AM223),MONTH($AM223),1),IF(ISNUMBER($AN223),DATE(YEAR($AN223),MONTH($AN223),1),MesCiclo))))</f>
        <v/>
      </c>
      <c r="T223" s="62">
        <f>IF(OR($S223="",$S223&lt;&gt;MesCiclo),"",COUNTIF($S$5:$S223,MesCiclo))</f>
        <v/>
      </c>
      <c r="U223" s="62">
        <f>IF($V223="","",IF($V223="Macro",ROW(),IFERROR(LOOKUP(2,1/($V$5:$V223="Macro"),ROW($V$5:$V223)),0)))</f>
        <v/>
      </c>
      <c r="V223" s="62">
        <f>IF(NOT((COUNTA($B223:$D223)+COUNTA($G223:$L223)+COUNTA($Q223))&gt;0),"",IF($B223="Subactividad","Sub","Macro"))</f>
        <v/>
      </c>
      <c r="W223" s="62">
        <f>IF($V223="Macro",COUNTIFS($U$5:$U$1000,ROW(),$V$5:$V$1000,"Sub"),"")</f>
        <v/>
      </c>
      <c r="X223" s="62">
        <f>IF($V223="","",IF(ISNUMBER($G223),1,IFERROR(LOOKUP(2,1/($I223:$L223&lt;&gt;""),$I223:$L223),0)))</f>
        <v/>
      </c>
      <c r="Y223" s="62">
        <f>IF($V223="","",IF(AND(ISNUMBER($G223),$G223&lt;=IF($S223=MesCiclo,InicioCiclo,$S223+MOD(2-WEEKDAY($S223),7))+6),1,IF(ISNUMBER($I223),$I223,0)))</f>
        <v/>
      </c>
      <c r="Z223" s="62">
        <f>IF($V223="","",IF(AND(ISNUMBER($G223),$G223&lt;=IF($S223=MesCiclo,InicioCiclo,$S223+MOD(2-WEEKDAY($S223),7))+13),1,IF(ISNUMBER($J223),$J223,$Y223)))</f>
        <v/>
      </c>
      <c r="AA223" s="62">
        <f>IF($V223="","",IF(AND(ISNUMBER($G223),$G223&lt;=IF($S223=MesCiclo,InicioCiclo,$S223+MOD(2-WEEKDAY($S223),7))+20),1,IF(ISNUMBER($K223),$K223,$Z223)))</f>
        <v/>
      </c>
      <c r="AB223" s="62">
        <f>IF($V223="","",IF(AND(ISNUMBER($G223),$G223&lt;=IF($S223=MesCiclo,InicioCiclo,$S223+MOD(2-WEEKDAY($S223),7))+27),1,IF(ISNUMBER($L223),$L223,$AA223)))</f>
        <v/>
      </c>
      <c r="AC223" s="62">
        <f>IF($V223="","",IF(AND(ISNUMBER($G223),$G223&lt;=IF($S223=MesCiclo,InicioCiclo,$S223+MOD(2-WEEKDAY($S223),7))+6),1,IF(N($W223)&gt;0,AVERAGEIFS($Y$5:$Y$1000,$U$5:$U$1000,ROW(),$V$5:$V$1000,"Sub"),$Y223)))</f>
        <v/>
      </c>
      <c r="AD223" s="62">
        <f>IF($V223="","",IF(AND(ISNUMBER($G223),$G223&lt;=IF($S223=MesCiclo,InicioCiclo,$S223+MOD(2-WEEKDAY($S223),7))+13),1,IF(N($W223)&gt;0,AVERAGEIFS($Z$5:$Z$1000,$U$5:$U$1000,ROW(),$V$5:$V$1000,"Sub"),$Z223)))</f>
        <v/>
      </c>
      <c r="AE223" s="62">
        <f>IF($V223="","",IF(AND(ISNUMBER($G223),$G223&lt;=IF($S223=MesCiclo,InicioCiclo,$S223+MOD(2-WEEKDAY($S223),7))+20),1,IF(N($W223)&gt;0,AVERAGEIFS($AA$5:$AA$1000,$U$5:$U$1000,ROW(),$V$5:$V$1000,"Sub"),$AA223)))</f>
        <v/>
      </c>
      <c r="AF223" s="62">
        <f>IF($V223="","",IF(AND(ISNUMBER($G223),$G223&lt;=IF($S223=MesCiclo,InicioCiclo,$S223+MOD(2-WEEKDAY($S223),7))+27),1,IF(N($W223)&gt;0,AVERAGEIFS($AB$5:$AB$1000,$U$5:$U$1000,ROW(),$V$5:$V$1000,"Sub"),$AB223)))</f>
        <v/>
      </c>
      <c r="AG223" s="62">
        <f>IF($V223&lt;&gt;"Macro","",IF(COUNTIFS($S$5:$S$1000,$S223,$V$5:$V$1000,"Macro",$H$5:$H$1000,"&gt;0")=0,1/COUNTIFS($S$5:$S$1000,$S223,$V$5:$V$1000,"Macro"),IF(AND(ISNUMBER($H223),N($H223)&gt;0),$H223,SUMIFS($H$5:$H$1000,$S$5:$S$1000,$S223,$V$5:$V$1000,"Macro")/COUNTIFS($S$5:$S$1000,$S223,$V$5:$V$1000,"Macro",$H$5:$H$1000,"&gt;0"))/(COUNTIFS($S$5:$S$1000,$S223,$V$5:$V$1000,"Macro")*SUMIFS($H$5:$H$1000,$S$5:$S$1000,$S223,$V$5:$V$1000,"Macro")/COUNTIFS($S$5:$S$1000,$S223,$V$5:$V$1000,"Macro",$H$5:$H$1000,"&gt;0"))))</f>
        <v/>
      </c>
      <c r="AH223" s="62" t="n"/>
      <c r="AI223" s="62" t="n"/>
      <c r="AJ223" s="62" t="n"/>
      <c r="AK223" s="62" t="n"/>
      <c r="AL223" s="62">
        <f>IF(LEFT($C223,11)="[Jefatura] ",IFERROR(MATCH("Riesgo Operacional|"&amp;MID($C223,12,500),rDname_ADM,0),0),"")</f>
        <v/>
      </c>
      <c r="AM223" s="62">
        <f>IF(N($AL223)&gt;0,INDEX(rIni_ADM,$AL223),IF(ISNUMBER($E223),$E223,""))</f>
        <v/>
      </c>
      <c r="AN223" s="62">
        <f>IF(N($AL223)&gt;0,INDEX(rLim_ADM,$AL223),IF(ISNUMBER($F223),$F223,""))</f>
        <v/>
      </c>
    </row>
    <row r="224">
      <c r="A224" s="56">
        <f>IF(NOT((COUNTA($B224:$D224)+COUNTA($G224:$L224)+COUNTA($Q224))&gt;0),"",IF($V224="Macro",COUNTIFS($V$5:$V224,"Macro",$S$5:$S224,$S224),IF(N($U224)=0,"?",COUNTIFS(INDEX($V$5:$V$1000,1):INDEX($V$5:$V$1000,$U224-4),"Macro",INDEX($S$5:$S$1000,1):INDEX($S$5:$S$1000,$U224-4),INDEX($S$5:$S$1000,$U224-4))&amp;"."&amp;COUNTIFS($U$5:$U224,$U224,$V$5:$V224,"Sub"))))</f>
        <v/>
      </c>
      <c r="B224" s="57" t="n"/>
      <c r="C224" s="58" t="n"/>
      <c r="D224" s="58" t="n"/>
      <c r="E224" s="59">
        <f>IF(N($AL224)&gt;0,INDEX(rIni_ADM,$AL224),"")</f>
        <v/>
      </c>
      <c r="F224" s="59">
        <f>IF(N($AL224)&gt;0,INDEX(rLim_ADM,$AL224),"")</f>
        <v/>
      </c>
      <c r="G224" s="59" t="n"/>
      <c r="H224" s="60" t="n"/>
      <c r="I224" s="60" t="n"/>
      <c r="J224" s="60" t="n"/>
      <c r="K224" s="60" t="n"/>
      <c r="L224" s="60" t="n"/>
      <c r="M224" s="61">
        <f>IF(NOT((COUNTA($B224:$D224)+COUNTA($G224:$L224)+COUNTA($Q224))&gt;0),"",IF(ISNUMBER($G224),1,IF(N($W224)&gt;0,AVERAGEIFS($X$5:$X$1000,$U$5:$U$1000,ROW(),$V$5:$V$1000,"Sub"),$X224)))</f>
        <v/>
      </c>
      <c r="N224" s="56">
        <f>IF($M224="","",IF($M224&gt;=1,"Completado",IF($M224&gt;0,"En curso","Pendiente")))</f>
        <v/>
      </c>
      <c r="O224" s="56">
        <f>IF(NOT((COUNTA($B224:$D224)+COUNTA($G224:$L224)+COUNTA($Q224))&gt;0),"",IF(ISNUMBER($G224),IF(AND(ISNUMBER($AN224),$G224&gt;$AN224),"Cumplida con "&amp;($G224-$AN224)&amp;IF($G224-$AN224=1," día"," días")&amp;" de retraso","Cumplida"),IF(N($M224)&gt;=1,"Cumplida",IF(NOT(ISNUMBER($AN224)),"Sin fecha límite",IF($AN224&lt;FechaRef,"Vencida hace "&amp;(FechaRef-$AN224)&amp;IF(FechaRef-$AN224=1," día"," días"),IF($AN224=FechaRef,"Vence hoy",IF($AN224-FechaRef&lt;=DiasAlerta,"Vence en "&amp;($AN224-FechaRef)&amp;IF($AN224-FechaRef=1," día"," días"),"En plazo")))))))</f>
        <v/>
      </c>
      <c r="P224" s="62" t="n"/>
      <c r="Q224" s="58" t="n"/>
      <c r="R224" s="63">
        <f>IF(NOT((COUNTA($B224:$D224)+COUNTA($G224:$L224)+COUNTA($Q224))&gt;0),"",IF((IF($C224="","Falta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",""))="","✔ OK","⚠ "&amp;LEFT(IF($C224="","Falta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",""),LEN(IF($C224="","Falta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",""))-3)))</f>
        <v/>
      </c>
      <c r="S224" s="64">
        <f>IF(NOT((COUNTA($B224:$D224)+COUNTA($G224:$L224)+COUNTA($Q224))&gt;0),"",IF(AND($V224="Sub",N($U224)&gt;0),IF(ISNUMBER(INDEX($AM$5:$AM$1000,$U224-4)),DATE(YEAR(INDEX($AM$5:$AM$1000,$U224-4)),MONTH(INDEX($AM$5:$AM$1000,$U224-4)),1),IF(ISNUMBER(INDEX($AN$5:$AN$1000,$U224-4)),DATE(YEAR(INDEX($AN$5:$AN$1000,$U224-4)),MONTH(INDEX($AN$5:$AN$1000,$U224-4)),1),MesCiclo)),IF(ISNUMBER($AM224),DATE(YEAR($AM224),MONTH($AM224),1),IF(ISNUMBER($AN224),DATE(YEAR($AN224),MONTH($AN224),1),MesCiclo))))</f>
        <v/>
      </c>
      <c r="T224" s="62">
        <f>IF(OR($S224="",$S224&lt;&gt;MesCiclo),"",COUNTIF($S$5:$S224,MesCiclo))</f>
        <v/>
      </c>
      <c r="U224" s="62">
        <f>IF($V224="","",IF($V224="Macro",ROW(),IFERROR(LOOKUP(2,1/($V$5:$V224="Macro"),ROW($V$5:$V224)),0)))</f>
        <v/>
      </c>
      <c r="V224" s="62">
        <f>IF(NOT((COUNTA($B224:$D224)+COUNTA($G224:$L224)+COUNTA($Q224))&gt;0),"",IF($B224="Subactividad","Sub","Macro"))</f>
        <v/>
      </c>
      <c r="W224" s="62">
        <f>IF($V224="Macro",COUNTIFS($U$5:$U$1000,ROW(),$V$5:$V$1000,"Sub"),"")</f>
        <v/>
      </c>
      <c r="X224" s="62">
        <f>IF($V224="","",IF(ISNUMBER($G224),1,IFERROR(LOOKUP(2,1/($I224:$L224&lt;&gt;""),$I224:$L224),0)))</f>
        <v/>
      </c>
      <c r="Y224" s="62">
        <f>IF($V224="","",IF(AND(ISNUMBER($G224),$G224&lt;=IF($S224=MesCiclo,InicioCiclo,$S224+MOD(2-WEEKDAY($S224),7))+6),1,IF(ISNUMBER($I224),$I224,0)))</f>
        <v/>
      </c>
      <c r="Z224" s="62">
        <f>IF($V224="","",IF(AND(ISNUMBER($G224),$G224&lt;=IF($S224=MesCiclo,InicioCiclo,$S224+MOD(2-WEEKDAY($S224),7))+13),1,IF(ISNUMBER($J224),$J224,$Y224)))</f>
        <v/>
      </c>
      <c r="AA224" s="62">
        <f>IF($V224="","",IF(AND(ISNUMBER($G224),$G224&lt;=IF($S224=MesCiclo,InicioCiclo,$S224+MOD(2-WEEKDAY($S224),7))+20),1,IF(ISNUMBER($K224),$K224,$Z224)))</f>
        <v/>
      </c>
      <c r="AB224" s="62">
        <f>IF($V224="","",IF(AND(ISNUMBER($G224),$G224&lt;=IF($S224=MesCiclo,InicioCiclo,$S224+MOD(2-WEEKDAY($S224),7))+27),1,IF(ISNUMBER($L224),$L224,$AA224)))</f>
        <v/>
      </c>
      <c r="AC224" s="62">
        <f>IF($V224="","",IF(AND(ISNUMBER($G224),$G224&lt;=IF($S224=MesCiclo,InicioCiclo,$S224+MOD(2-WEEKDAY($S224),7))+6),1,IF(N($W224)&gt;0,AVERAGEIFS($Y$5:$Y$1000,$U$5:$U$1000,ROW(),$V$5:$V$1000,"Sub"),$Y224)))</f>
        <v/>
      </c>
      <c r="AD224" s="62">
        <f>IF($V224="","",IF(AND(ISNUMBER($G224),$G224&lt;=IF($S224=MesCiclo,InicioCiclo,$S224+MOD(2-WEEKDAY($S224),7))+13),1,IF(N($W224)&gt;0,AVERAGEIFS($Z$5:$Z$1000,$U$5:$U$1000,ROW(),$V$5:$V$1000,"Sub"),$Z224)))</f>
        <v/>
      </c>
      <c r="AE224" s="62">
        <f>IF($V224="","",IF(AND(ISNUMBER($G224),$G224&lt;=IF($S224=MesCiclo,InicioCiclo,$S224+MOD(2-WEEKDAY($S224),7))+20),1,IF(N($W224)&gt;0,AVERAGEIFS($AA$5:$AA$1000,$U$5:$U$1000,ROW(),$V$5:$V$1000,"Sub"),$AA224)))</f>
        <v/>
      </c>
      <c r="AF224" s="62">
        <f>IF($V224="","",IF(AND(ISNUMBER($G224),$G224&lt;=IF($S224=MesCiclo,InicioCiclo,$S224+MOD(2-WEEKDAY($S224),7))+27),1,IF(N($W224)&gt;0,AVERAGEIFS($AB$5:$AB$1000,$U$5:$U$1000,ROW(),$V$5:$V$1000,"Sub"),$AB224)))</f>
        <v/>
      </c>
      <c r="AG224" s="62">
        <f>IF($V224&lt;&gt;"Macro","",IF(COUNTIFS($S$5:$S$1000,$S224,$V$5:$V$1000,"Macro",$H$5:$H$1000,"&gt;0")=0,1/COUNTIFS($S$5:$S$1000,$S224,$V$5:$V$1000,"Macro"),IF(AND(ISNUMBER($H224),N($H224)&gt;0),$H224,SUMIFS($H$5:$H$1000,$S$5:$S$1000,$S224,$V$5:$V$1000,"Macro")/COUNTIFS($S$5:$S$1000,$S224,$V$5:$V$1000,"Macro",$H$5:$H$1000,"&gt;0"))/(COUNTIFS($S$5:$S$1000,$S224,$V$5:$V$1000,"Macro")*SUMIFS($H$5:$H$1000,$S$5:$S$1000,$S224,$V$5:$V$1000,"Macro")/COUNTIFS($S$5:$S$1000,$S224,$V$5:$V$1000,"Macro",$H$5:$H$1000,"&gt;0"))))</f>
        <v/>
      </c>
      <c r="AH224" s="62" t="n"/>
      <c r="AI224" s="62" t="n"/>
      <c r="AJ224" s="62" t="n"/>
      <c r="AK224" s="62" t="n"/>
      <c r="AL224" s="62">
        <f>IF(LEFT($C224,11)="[Jefatura] ",IFERROR(MATCH("Riesgo Operacional|"&amp;MID($C224,12,500),rDname_ADM,0),0),"")</f>
        <v/>
      </c>
      <c r="AM224" s="62">
        <f>IF(N($AL224)&gt;0,INDEX(rIni_ADM,$AL224),IF(ISNUMBER($E224),$E224,""))</f>
        <v/>
      </c>
      <c r="AN224" s="62">
        <f>IF(N($AL224)&gt;0,INDEX(rLim_ADM,$AL224),IF(ISNUMBER($F224),$F224,""))</f>
        <v/>
      </c>
    </row>
    <row r="225">
      <c r="A225" s="56">
        <f>IF(NOT((COUNTA($B225:$D225)+COUNTA($G225:$L225)+COUNTA($Q225))&gt;0),"",IF($V225="Macro",COUNTIFS($V$5:$V225,"Macro",$S$5:$S225,$S225),IF(N($U225)=0,"?",COUNTIFS(INDEX($V$5:$V$1000,1):INDEX($V$5:$V$1000,$U225-4),"Macro",INDEX($S$5:$S$1000,1):INDEX($S$5:$S$1000,$U225-4),INDEX($S$5:$S$1000,$U225-4))&amp;"."&amp;COUNTIFS($U$5:$U225,$U225,$V$5:$V225,"Sub"))))</f>
        <v/>
      </c>
      <c r="B225" s="57" t="n"/>
      <c r="C225" s="58" t="n"/>
      <c r="D225" s="58" t="n"/>
      <c r="E225" s="59">
        <f>IF(N($AL225)&gt;0,INDEX(rIni_ADM,$AL225),"")</f>
        <v/>
      </c>
      <c r="F225" s="59">
        <f>IF(N($AL225)&gt;0,INDEX(rLim_ADM,$AL225),"")</f>
        <v/>
      </c>
      <c r="G225" s="59" t="n"/>
      <c r="H225" s="60" t="n"/>
      <c r="I225" s="60" t="n"/>
      <c r="J225" s="60" t="n"/>
      <c r="K225" s="60" t="n"/>
      <c r="L225" s="60" t="n"/>
      <c r="M225" s="61">
        <f>IF(NOT((COUNTA($B225:$D225)+COUNTA($G225:$L225)+COUNTA($Q225))&gt;0),"",IF(ISNUMBER($G225),1,IF(N($W225)&gt;0,AVERAGEIFS($X$5:$X$1000,$U$5:$U$1000,ROW(),$V$5:$V$1000,"Sub"),$X225)))</f>
        <v/>
      </c>
      <c r="N225" s="56">
        <f>IF($M225="","",IF($M225&gt;=1,"Completado",IF($M225&gt;0,"En curso","Pendiente")))</f>
        <v/>
      </c>
      <c r="O225" s="56">
        <f>IF(NOT((COUNTA($B225:$D225)+COUNTA($G225:$L225)+COUNTA($Q225))&gt;0),"",IF(ISNUMBER($G225),IF(AND(ISNUMBER($AN225),$G225&gt;$AN225),"Cumplida con "&amp;($G225-$AN225)&amp;IF($G225-$AN225=1," día"," días")&amp;" de retraso","Cumplida"),IF(N($M225)&gt;=1,"Cumplida",IF(NOT(ISNUMBER($AN225)),"Sin fecha límite",IF($AN225&lt;FechaRef,"Vencida hace "&amp;(FechaRef-$AN225)&amp;IF(FechaRef-$AN225=1," día"," días"),IF($AN225=FechaRef,"Vence hoy",IF($AN225-FechaRef&lt;=DiasAlerta,"Vence en "&amp;($AN225-FechaRef)&amp;IF($AN225-FechaRef=1," día"," días"),"En plazo")))))))</f>
        <v/>
      </c>
      <c r="P225" s="62" t="n"/>
      <c r="Q225" s="58" t="n"/>
      <c r="R225" s="63">
        <f>IF(NOT((COUNTA($B225:$D225)+COUNTA($G225:$L225)+COUNTA($Q225))&gt;0),"",IF((IF($C225="","Falta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",""))="","✔ OK","⚠ "&amp;LEFT(IF($C225="","Falta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",""),LEN(IF($C225="","Falta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",""))-3)))</f>
        <v/>
      </c>
      <c r="S225" s="64">
        <f>IF(NOT((COUNTA($B225:$D225)+COUNTA($G225:$L225)+COUNTA($Q225))&gt;0),"",IF(AND($V225="Sub",N($U225)&gt;0),IF(ISNUMBER(INDEX($AM$5:$AM$1000,$U225-4)),DATE(YEAR(INDEX($AM$5:$AM$1000,$U225-4)),MONTH(INDEX($AM$5:$AM$1000,$U225-4)),1),IF(ISNUMBER(INDEX($AN$5:$AN$1000,$U225-4)),DATE(YEAR(INDEX($AN$5:$AN$1000,$U225-4)),MONTH(INDEX($AN$5:$AN$1000,$U225-4)),1),MesCiclo)),IF(ISNUMBER($AM225),DATE(YEAR($AM225),MONTH($AM225),1),IF(ISNUMBER($AN225),DATE(YEAR($AN225),MONTH($AN225),1),MesCiclo))))</f>
        <v/>
      </c>
      <c r="T225" s="62">
        <f>IF(OR($S225="",$S225&lt;&gt;MesCiclo),"",COUNTIF($S$5:$S225,MesCiclo))</f>
        <v/>
      </c>
      <c r="U225" s="62">
        <f>IF($V225="","",IF($V225="Macro",ROW(),IFERROR(LOOKUP(2,1/($V$5:$V225="Macro"),ROW($V$5:$V225)),0)))</f>
        <v/>
      </c>
      <c r="V225" s="62">
        <f>IF(NOT((COUNTA($B225:$D225)+COUNTA($G225:$L225)+COUNTA($Q225))&gt;0),"",IF($B225="Subactividad","Sub","Macro"))</f>
        <v/>
      </c>
      <c r="W225" s="62">
        <f>IF($V225="Macro",COUNTIFS($U$5:$U$1000,ROW(),$V$5:$V$1000,"Sub"),"")</f>
        <v/>
      </c>
      <c r="X225" s="62">
        <f>IF($V225="","",IF(ISNUMBER($G225),1,IFERROR(LOOKUP(2,1/($I225:$L225&lt;&gt;""),$I225:$L225),0)))</f>
        <v/>
      </c>
      <c r="Y225" s="62">
        <f>IF($V225="","",IF(AND(ISNUMBER($G225),$G225&lt;=IF($S225=MesCiclo,InicioCiclo,$S225+MOD(2-WEEKDAY($S225),7))+6),1,IF(ISNUMBER($I225),$I225,0)))</f>
        <v/>
      </c>
      <c r="Z225" s="62">
        <f>IF($V225="","",IF(AND(ISNUMBER($G225),$G225&lt;=IF($S225=MesCiclo,InicioCiclo,$S225+MOD(2-WEEKDAY($S225),7))+13),1,IF(ISNUMBER($J225),$J225,$Y225)))</f>
        <v/>
      </c>
      <c r="AA225" s="62">
        <f>IF($V225="","",IF(AND(ISNUMBER($G225),$G225&lt;=IF($S225=MesCiclo,InicioCiclo,$S225+MOD(2-WEEKDAY($S225),7))+20),1,IF(ISNUMBER($K225),$K225,$Z225)))</f>
        <v/>
      </c>
      <c r="AB225" s="62">
        <f>IF($V225="","",IF(AND(ISNUMBER($G225),$G225&lt;=IF($S225=MesCiclo,InicioCiclo,$S225+MOD(2-WEEKDAY($S225),7))+27),1,IF(ISNUMBER($L225),$L225,$AA225)))</f>
        <v/>
      </c>
      <c r="AC225" s="62">
        <f>IF($V225="","",IF(AND(ISNUMBER($G225),$G225&lt;=IF($S225=MesCiclo,InicioCiclo,$S225+MOD(2-WEEKDAY($S225),7))+6),1,IF(N($W225)&gt;0,AVERAGEIFS($Y$5:$Y$1000,$U$5:$U$1000,ROW(),$V$5:$V$1000,"Sub"),$Y225)))</f>
        <v/>
      </c>
      <c r="AD225" s="62">
        <f>IF($V225="","",IF(AND(ISNUMBER($G225),$G225&lt;=IF($S225=MesCiclo,InicioCiclo,$S225+MOD(2-WEEKDAY($S225),7))+13),1,IF(N($W225)&gt;0,AVERAGEIFS($Z$5:$Z$1000,$U$5:$U$1000,ROW(),$V$5:$V$1000,"Sub"),$Z225)))</f>
        <v/>
      </c>
      <c r="AE225" s="62">
        <f>IF($V225="","",IF(AND(ISNUMBER($G225),$G225&lt;=IF($S225=MesCiclo,InicioCiclo,$S225+MOD(2-WEEKDAY($S225),7))+20),1,IF(N($W225)&gt;0,AVERAGEIFS($AA$5:$AA$1000,$U$5:$U$1000,ROW(),$V$5:$V$1000,"Sub"),$AA225)))</f>
        <v/>
      </c>
      <c r="AF225" s="62">
        <f>IF($V225="","",IF(AND(ISNUMBER($G225),$G225&lt;=IF($S225=MesCiclo,InicioCiclo,$S225+MOD(2-WEEKDAY($S225),7))+27),1,IF(N($W225)&gt;0,AVERAGEIFS($AB$5:$AB$1000,$U$5:$U$1000,ROW(),$V$5:$V$1000,"Sub"),$AB225)))</f>
        <v/>
      </c>
      <c r="AG225" s="62">
        <f>IF($V225&lt;&gt;"Macro","",IF(COUNTIFS($S$5:$S$1000,$S225,$V$5:$V$1000,"Macro",$H$5:$H$1000,"&gt;0")=0,1/COUNTIFS($S$5:$S$1000,$S225,$V$5:$V$1000,"Macro"),IF(AND(ISNUMBER($H225),N($H225)&gt;0),$H225,SUMIFS($H$5:$H$1000,$S$5:$S$1000,$S225,$V$5:$V$1000,"Macro")/COUNTIFS($S$5:$S$1000,$S225,$V$5:$V$1000,"Macro",$H$5:$H$1000,"&gt;0"))/(COUNTIFS($S$5:$S$1000,$S225,$V$5:$V$1000,"Macro")*SUMIFS($H$5:$H$1000,$S$5:$S$1000,$S225,$V$5:$V$1000,"Macro")/COUNTIFS($S$5:$S$1000,$S225,$V$5:$V$1000,"Macro",$H$5:$H$1000,"&gt;0"))))</f>
        <v/>
      </c>
      <c r="AH225" s="62" t="n"/>
      <c r="AI225" s="62" t="n"/>
      <c r="AJ225" s="62" t="n"/>
      <c r="AK225" s="62" t="n"/>
      <c r="AL225" s="62">
        <f>IF(LEFT($C225,11)="[Jefatura] ",IFERROR(MATCH("Riesgo Operacional|"&amp;MID($C225,12,500),rDname_ADM,0),0),"")</f>
        <v/>
      </c>
      <c r="AM225" s="62">
        <f>IF(N($AL225)&gt;0,INDEX(rIni_ADM,$AL225),IF(ISNUMBER($E225),$E225,""))</f>
        <v/>
      </c>
      <c r="AN225" s="62">
        <f>IF(N($AL225)&gt;0,INDEX(rLim_ADM,$AL225),IF(ISNUMBER($F225),$F225,""))</f>
        <v/>
      </c>
    </row>
    <row r="226">
      <c r="A226" s="56">
        <f>IF(NOT((COUNTA($B226:$D226)+COUNTA($G226:$L226)+COUNTA($Q226))&gt;0),"",IF($V226="Macro",COUNTIFS($V$5:$V226,"Macro",$S$5:$S226,$S226),IF(N($U226)=0,"?",COUNTIFS(INDEX($V$5:$V$1000,1):INDEX($V$5:$V$1000,$U226-4),"Macro",INDEX($S$5:$S$1000,1):INDEX($S$5:$S$1000,$U226-4),INDEX($S$5:$S$1000,$U226-4))&amp;"."&amp;COUNTIFS($U$5:$U226,$U226,$V$5:$V226,"Sub"))))</f>
        <v/>
      </c>
      <c r="B226" s="57" t="n"/>
      <c r="C226" s="58" t="n"/>
      <c r="D226" s="58" t="n"/>
      <c r="E226" s="59">
        <f>IF(N($AL226)&gt;0,INDEX(rIni_ADM,$AL226),"")</f>
        <v/>
      </c>
      <c r="F226" s="59">
        <f>IF(N($AL226)&gt;0,INDEX(rLim_ADM,$AL226),"")</f>
        <v/>
      </c>
      <c r="G226" s="59" t="n"/>
      <c r="H226" s="60" t="n"/>
      <c r="I226" s="60" t="n"/>
      <c r="J226" s="60" t="n"/>
      <c r="K226" s="60" t="n"/>
      <c r="L226" s="60" t="n"/>
      <c r="M226" s="61">
        <f>IF(NOT((COUNTA($B226:$D226)+COUNTA($G226:$L226)+COUNTA($Q226))&gt;0),"",IF(ISNUMBER($G226),1,IF(N($W226)&gt;0,AVERAGEIFS($X$5:$X$1000,$U$5:$U$1000,ROW(),$V$5:$V$1000,"Sub"),$X226)))</f>
        <v/>
      </c>
      <c r="N226" s="56">
        <f>IF($M226="","",IF($M226&gt;=1,"Completado",IF($M226&gt;0,"En curso","Pendiente")))</f>
        <v/>
      </c>
      <c r="O226" s="56">
        <f>IF(NOT((COUNTA($B226:$D226)+COUNTA($G226:$L226)+COUNTA($Q226))&gt;0),"",IF(ISNUMBER($G226),IF(AND(ISNUMBER($AN226),$G226&gt;$AN226),"Cumplida con "&amp;($G226-$AN226)&amp;IF($G226-$AN226=1," día"," días")&amp;" de retraso","Cumplida"),IF(N($M226)&gt;=1,"Cumplida",IF(NOT(ISNUMBER($AN226)),"Sin fecha límite",IF($AN226&lt;FechaRef,"Vencida hace "&amp;(FechaRef-$AN226)&amp;IF(FechaRef-$AN226=1," día"," días"),IF($AN226=FechaRef,"Vence hoy",IF($AN226-FechaRef&lt;=DiasAlerta,"Vence en "&amp;($AN226-FechaRef)&amp;IF($AN226-FechaRef=1," día"," días"),"En plazo")))))))</f>
        <v/>
      </c>
      <c r="P226" s="62" t="n"/>
      <c r="Q226" s="58" t="n"/>
      <c r="R226" s="63">
        <f>IF(NOT((COUNTA($B226:$D226)+COUNTA($G226:$L226)+COUNTA($Q226))&gt;0),"",IF((IF($C226="","Falta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",""))="","✔ OK","⚠ "&amp;LEFT(IF($C226="","Falta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",""),LEN(IF($C226="","Falta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",""))-3)))</f>
        <v/>
      </c>
      <c r="S226" s="64">
        <f>IF(NOT((COUNTA($B226:$D226)+COUNTA($G226:$L226)+COUNTA($Q226))&gt;0),"",IF(AND($V226="Sub",N($U226)&gt;0),IF(ISNUMBER(INDEX($AM$5:$AM$1000,$U226-4)),DATE(YEAR(INDEX($AM$5:$AM$1000,$U226-4)),MONTH(INDEX($AM$5:$AM$1000,$U226-4)),1),IF(ISNUMBER(INDEX($AN$5:$AN$1000,$U226-4)),DATE(YEAR(INDEX($AN$5:$AN$1000,$U226-4)),MONTH(INDEX($AN$5:$AN$1000,$U226-4)),1),MesCiclo)),IF(ISNUMBER($AM226),DATE(YEAR($AM226),MONTH($AM226),1),IF(ISNUMBER($AN226),DATE(YEAR($AN226),MONTH($AN226),1),MesCiclo))))</f>
        <v/>
      </c>
      <c r="T226" s="62">
        <f>IF(OR($S226="",$S226&lt;&gt;MesCiclo),"",COUNTIF($S$5:$S226,MesCiclo))</f>
        <v/>
      </c>
      <c r="U226" s="62">
        <f>IF($V226="","",IF($V226="Macro",ROW(),IFERROR(LOOKUP(2,1/($V$5:$V226="Macro"),ROW($V$5:$V226)),0)))</f>
        <v/>
      </c>
      <c r="V226" s="62">
        <f>IF(NOT((COUNTA($B226:$D226)+COUNTA($G226:$L226)+COUNTA($Q226))&gt;0),"",IF($B226="Subactividad","Sub","Macro"))</f>
        <v/>
      </c>
      <c r="W226" s="62">
        <f>IF($V226="Macro",COUNTIFS($U$5:$U$1000,ROW(),$V$5:$V$1000,"Sub"),"")</f>
        <v/>
      </c>
      <c r="X226" s="62">
        <f>IF($V226="","",IF(ISNUMBER($G226),1,IFERROR(LOOKUP(2,1/($I226:$L226&lt;&gt;""),$I226:$L226),0)))</f>
        <v/>
      </c>
      <c r="Y226" s="62">
        <f>IF($V226="","",IF(AND(ISNUMBER($G226),$G226&lt;=IF($S226=MesCiclo,InicioCiclo,$S226+MOD(2-WEEKDAY($S226),7))+6),1,IF(ISNUMBER($I226),$I226,0)))</f>
        <v/>
      </c>
      <c r="Z226" s="62">
        <f>IF($V226="","",IF(AND(ISNUMBER($G226),$G226&lt;=IF($S226=MesCiclo,InicioCiclo,$S226+MOD(2-WEEKDAY($S226),7))+13),1,IF(ISNUMBER($J226),$J226,$Y226)))</f>
        <v/>
      </c>
      <c r="AA226" s="62">
        <f>IF($V226="","",IF(AND(ISNUMBER($G226),$G226&lt;=IF($S226=MesCiclo,InicioCiclo,$S226+MOD(2-WEEKDAY($S226),7))+20),1,IF(ISNUMBER($K226),$K226,$Z226)))</f>
        <v/>
      </c>
      <c r="AB226" s="62">
        <f>IF($V226="","",IF(AND(ISNUMBER($G226),$G226&lt;=IF($S226=MesCiclo,InicioCiclo,$S226+MOD(2-WEEKDAY($S226),7))+27),1,IF(ISNUMBER($L226),$L226,$AA226)))</f>
        <v/>
      </c>
      <c r="AC226" s="62">
        <f>IF($V226="","",IF(AND(ISNUMBER($G226),$G226&lt;=IF($S226=MesCiclo,InicioCiclo,$S226+MOD(2-WEEKDAY($S226),7))+6),1,IF(N($W226)&gt;0,AVERAGEIFS($Y$5:$Y$1000,$U$5:$U$1000,ROW(),$V$5:$V$1000,"Sub"),$Y226)))</f>
        <v/>
      </c>
      <c r="AD226" s="62">
        <f>IF($V226="","",IF(AND(ISNUMBER($G226),$G226&lt;=IF($S226=MesCiclo,InicioCiclo,$S226+MOD(2-WEEKDAY($S226),7))+13),1,IF(N($W226)&gt;0,AVERAGEIFS($Z$5:$Z$1000,$U$5:$U$1000,ROW(),$V$5:$V$1000,"Sub"),$Z226)))</f>
        <v/>
      </c>
      <c r="AE226" s="62">
        <f>IF($V226="","",IF(AND(ISNUMBER($G226),$G226&lt;=IF($S226=MesCiclo,InicioCiclo,$S226+MOD(2-WEEKDAY($S226),7))+20),1,IF(N($W226)&gt;0,AVERAGEIFS($AA$5:$AA$1000,$U$5:$U$1000,ROW(),$V$5:$V$1000,"Sub"),$AA226)))</f>
        <v/>
      </c>
      <c r="AF226" s="62">
        <f>IF($V226="","",IF(AND(ISNUMBER($G226),$G226&lt;=IF($S226=MesCiclo,InicioCiclo,$S226+MOD(2-WEEKDAY($S226),7))+27),1,IF(N($W226)&gt;0,AVERAGEIFS($AB$5:$AB$1000,$U$5:$U$1000,ROW(),$V$5:$V$1000,"Sub"),$AB226)))</f>
        <v/>
      </c>
      <c r="AG226" s="62">
        <f>IF($V226&lt;&gt;"Macro","",IF(COUNTIFS($S$5:$S$1000,$S226,$V$5:$V$1000,"Macro",$H$5:$H$1000,"&gt;0")=0,1/COUNTIFS($S$5:$S$1000,$S226,$V$5:$V$1000,"Macro"),IF(AND(ISNUMBER($H226),N($H226)&gt;0),$H226,SUMIFS($H$5:$H$1000,$S$5:$S$1000,$S226,$V$5:$V$1000,"Macro")/COUNTIFS($S$5:$S$1000,$S226,$V$5:$V$1000,"Macro",$H$5:$H$1000,"&gt;0"))/(COUNTIFS($S$5:$S$1000,$S226,$V$5:$V$1000,"Macro")*SUMIFS($H$5:$H$1000,$S$5:$S$1000,$S226,$V$5:$V$1000,"Macro")/COUNTIFS($S$5:$S$1000,$S226,$V$5:$V$1000,"Macro",$H$5:$H$1000,"&gt;0"))))</f>
        <v/>
      </c>
      <c r="AH226" s="62" t="n"/>
      <c r="AI226" s="62" t="n"/>
      <c r="AJ226" s="62" t="n"/>
      <c r="AK226" s="62" t="n"/>
      <c r="AL226" s="62">
        <f>IF(LEFT($C226,11)="[Jefatura] ",IFERROR(MATCH("Riesgo Operacional|"&amp;MID($C226,12,500),rDname_ADM,0),0),"")</f>
        <v/>
      </c>
      <c r="AM226" s="62">
        <f>IF(N($AL226)&gt;0,INDEX(rIni_ADM,$AL226),IF(ISNUMBER($E226),$E226,""))</f>
        <v/>
      </c>
      <c r="AN226" s="62">
        <f>IF(N($AL226)&gt;0,INDEX(rLim_ADM,$AL226),IF(ISNUMBER($F226),$F226,""))</f>
        <v/>
      </c>
    </row>
    <row r="227">
      <c r="A227" s="56">
        <f>IF(NOT((COUNTA($B227:$D227)+COUNTA($G227:$L227)+COUNTA($Q227))&gt;0),"",IF($V227="Macro",COUNTIFS($V$5:$V227,"Macro",$S$5:$S227,$S227),IF(N($U227)=0,"?",COUNTIFS(INDEX($V$5:$V$1000,1):INDEX($V$5:$V$1000,$U227-4),"Macro",INDEX($S$5:$S$1000,1):INDEX($S$5:$S$1000,$U227-4),INDEX($S$5:$S$1000,$U227-4))&amp;"."&amp;COUNTIFS($U$5:$U227,$U227,$V$5:$V227,"Sub"))))</f>
        <v/>
      </c>
      <c r="B227" s="57" t="n"/>
      <c r="C227" s="58" t="n"/>
      <c r="D227" s="58" t="n"/>
      <c r="E227" s="59">
        <f>IF(N($AL227)&gt;0,INDEX(rIni_ADM,$AL227),"")</f>
        <v/>
      </c>
      <c r="F227" s="59">
        <f>IF(N($AL227)&gt;0,INDEX(rLim_ADM,$AL227),"")</f>
        <v/>
      </c>
      <c r="G227" s="59" t="n"/>
      <c r="H227" s="60" t="n"/>
      <c r="I227" s="60" t="n"/>
      <c r="J227" s="60" t="n"/>
      <c r="K227" s="60" t="n"/>
      <c r="L227" s="60" t="n"/>
      <c r="M227" s="61">
        <f>IF(NOT((COUNTA($B227:$D227)+COUNTA($G227:$L227)+COUNTA($Q227))&gt;0),"",IF(ISNUMBER($G227),1,IF(N($W227)&gt;0,AVERAGEIFS($X$5:$X$1000,$U$5:$U$1000,ROW(),$V$5:$V$1000,"Sub"),$X227)))</f>
        <v/>
      </c>
      <c r="N227" s="56">
        <f>IF($M227="","",IF($M227&gt;=1,"Completado",IF($M227&gt;0,"En curso","Pendiente")))</f>
        <v/>
      </c>
      <c r="O227" s="56">
        <f>IF(NOT((COUNTA($B227:$D227)+COUNTA($G227:$L227)+COUNTA($Q227))&gt;0),"",IF(ISNUMBER($G227),IF(AND(ISNUMBER($AN227),$G227&gt;$AN227),"Cumplida con "&amp;($G227-$AN227)&amp;IF($G227-$AN227=1," día"," días")&amp;" de retraso","Cumplida"),IF(N($M227)&gt;=1,"Cumplida",IF(NOT(ISNUMBER($AN227)),"Sin fecha límite",IF($AN227&lt;FechaRef,"Vencida hace "&amp;(FechaRef-$AN227)&amp;IF(FechaRef-$AN227=1," día"," días"),IF($AN227=FechaRef,"Vence hoy",IF($AN227-FechaRef&lt;=DiasAlerta,"Vence en "&amp;($AN227-FechaRef)&amp;IF($AN227-FechaRef=1," día"," días"),"En plazo")))))))</f>
        <v/>
      </c>
      <c r="P227" s="62" t="n"/>
      <c r="Q227" s="58" t="n"/>
      <c r="R227" s="63">
        <f>IF(NOT((COUNTA($B227:$D227)+COUNTA($G227:$L227)+COUNTA($Q227))&gt;0),"",IF((IF($C227="","Falta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",""))="","✔ OK","⚠ "&amp;LEFT(IF($C227="","Falta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",""),LEN(IF($C227="","Falta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",""))-3)))</f>
        <v/>
      </c>
      <c r="S227" s="64">
        <f>IF(NOT((COUNTA($B227:$D227)+COUNTA($G227:$L227)+COUNTA($Q227))&gt;0),"",IF(AND($V227="Sub",N($U227)&gt;0),IF(ISNUMBER(INDEX($AM$5:$AM$1000,$U227-4)),DATE(YEAR(INDEX($AM$5:$AM$1000,$U227-4)),MONTH(INDEX($AM$5:$AM$1000,$U227-4)),1),IF(ISNUMBER(INDEX($AN$5:$AN$1000,$U227-4)),DATE(YEAR(INDEX($AN$5:$AN$1000,$U227-4)),MONTH(INDEX($AN$5:$AN$1000,$U227-4)),1),MesCiclo)),IF(ISNUMBER($AM227),DATE(YEAR($AM227),MONTH($AM227),1),IF(ISNUMBER($AN227),DATE(YEAR($AN227),MONTH($AN227),1),MesCiclo))))</f>
        <v/>
      </c>
      <c r="T227" s="62">
        <f>IF(OR($S227="",$S227&lt;&gt;MesCiclo),"",COUNTIF($S$5:$S227,MesCiclo))</f>
        <v/>
      </c>
      <c r="U227" s="62">
        <f>IF($V227="","",IF($V227="Macro",ROW(),IFERROR(LOOKUP(2,1/($V$5:$V227="Macro"),ROW($V$5:$V227)),0)))</f>
        <v/>
      </c>
      <c r="V227" s="62">
        <f>IF(NOT((COUNTA($B227:$D227)+COUNTA($G227:$L227)+COUNTA($Q227))&gt;0),"",IF($B227="Subactividad","Sub","Macro"))</f>
        <v/>
      </c>
      <c r="W227" s="62">
        <f>IF($V227="Macro",COUNTIFS($U$5:$U$1000,ROW(),$V$5:$V$1000,"Sub"),"")</f>
        <v/>
      </c>
      <c r="X227" s="62">
        <f>IF($V227="","",IF(ISNUMBER($G227),1,IFERROR(LOOKUP(2,1/($I227:$L227&lt;&gt;""),$I227:$L227),0)))</f>
        <v/>
      </c>
      <c r="Y227" s="62">
        <f>IF($V227="","",IF(AND(ISNUMBER($G227),$G227&lt;=IF($S227=MesCiclo,InicioCiclo,$S227+MOD(2-WEEKDAY($S227),7))+6),1,IF(ISNUMBER($I227),$I227,0)))</f>
        <v/>
      </c>
      <c r="Z227" s="62">
        <f>IF($V227="","",IF(AND(ISNUMBER($G227),$G227&lt;=IF($S227=MesCiclo,InicioCiclo,$S227+MOD(2-WEEKDAY($S227),7))+13),1,IF(ISNUMBER($J227),$J227,$Y227)))</f>
        <v/>
      </c>
      <c r="AA227" s="62">
        <f>IF($V227="","",IF(AND(ISNUMBER($G227),$G227&lt;=IF($S227=MesCiclo,InicioCiclo,$S227+MOD(2-WEEKDAY($S227),7))+20),1,IF(ISNUMBER($K227),$K227,$Z227)))</f>
        <v/>
      </c>
      <c r="AB227" s="62">
        <f>IF($V227="","",IF(AND(ISNUMBER($G227),$G227&lt;=IF($S227=MesCiclo,InicioCiclo,$S227+MOD(2-WEEKDAY($S227),7))+27),1,IF(ISNUMBER($L227),$L227,$AA227)))</f>
        <v/>
      </c>
      <c r="AC227" s="62">
        <f>IF($V227="","",IF(AND(ISNUMBER($G227),$G227&lt;=IF($S227=MesCiclo,InicioCiclo,$S227+MOD(2-WEEKDAY($S227),7))+6),1,IF(N($W227)&gt;0,AVERAGEIFS($Y$5:$Y$1000,$U$5:$U$1000,ROW(),$V$5:$V$1000,"Sub"),$Y227)))</f>
        <v/>
      </c>
      <c r="AD227" s="62">
        <f>IF($V227="","",IF(AND(ISNUMBER($G227),$G227&lt;=IF($S227=MesCiclo,InicioCiclo,$S227+MOD(2-WEEKDAY($S227),7))+13),1,IF(N($W227)&gt;0,AVERAGEIFS($Z$5:$Z$1000,$U$5:$U$1000,ROW(),$V$5:$V$1000,"Sub"),$Z227)))</f>
        <v/>
      </c>
      <c r="AE227" s="62">
        <f>IF($V227="","",IF(AND(ISNUMBER($G227),$G227&lt;=IF($S227=MesCiclo,InicioCiclo,$S227+MOD(2-WEEKDAY($S227),7))+20),1,IF(N($W227)&gt;0,AVERAGEIFS($AA$5:$AA$1000,$U$5:$U$1000,ROW(),$V$5:$V$1000,"Sub"),$AA227)))</f>
        <v/>
      </c>
      <c r="AF227" s="62">
        <f>IF($V227="","",IF(AND(ISNUMBER($G227),$G227&lt;=IF($S227=MesCiclo,InicioCiclo,$S227+MOD(2-WEEKDAY($S227),7))+27),1,IF(N($W227)&gt;0,AVERAGEIFS($AB$5:$AB$1000,$U$5:$U$1000,ROW(),$V$5:$V$1000,"Sub"),$AB227)))</f>
        <v/>
      </c>
      <c r="AG227" s="62">
        <f>IF($V227&lt;&gt;"Macro","",IF(COUNTIFS($S$5:$S$1000,$S227,$V$5:$V$1000,"Macro",$H$5:$H$1000,"&gt;0")=0,1/COUNTIFS($S$5:$S$1000,$S227,$V$5:$V$1000,"Macro"),IF(AND(ISNUMBER($H227),N($H227)&gt;0),$H227,SUMIFS($H$5:$H$1000,$S$5:$S$1000,$S227,$V$5:$V$1000,"Macro")/COUNTIFS($S$5:$S$1000,$S227,$V$5:$V$1000,"Macro",$H$5:$H$1000,"&gt;0"))/(COUNTIFS($S$5:$S$1000,$S227,$V$5:$V$1000,"Macro")*SUMIFS($H$5:$H$1000,$S$5:$S$1000,$S227,$V$5:$V$1000,"Macro")/COUNTIFS($S$5:$S$1000,$S227,$V$5:$V$1000,"Macro",$H$5:$H$1000,"&gt;0"))))</f>
        <v/>
      </c>
      <c r="AH227" s="62" t="n"/>
      <c r="AI227" s="62" t="n"/>
      <c r="AJ227" s="62" t="n"/>
      <c r="AK227" s="62" t="n"/>
      <c r="AL227" s="62">
        <f>IF(LEFT($C227,11)="[Jefatura] ",IFERROR(MATCH("Riesgo Operacional|"&amp;MID($C227,12,500),rDname_ADM,0),0),"")</f>
        <v/>
      </c>
      <c r="AM227" s="62">
        <f>IF(N($AL227)&gt;0,INDEX(rIni_ADM,$AL227),IF(ISNUMBER($E227),$E227,""))</f>
        <v/>
      </c>
      <c r="AN227" s="62">
        <f>IF(N($AL227)&gt;0,INDEX(rLim_ADM,$AL227),IF(ISNUMBER($F227),$F227,""))</f>
        <v/>
      </c>
    </row>
    <row r="228">
      <c r="A228" s="56">
        <f>IF(NOT((COUNTA($B228:$D228)+COUNTA($G228:$L228)+COUNTA($Q228))&gt;0),"",IF($V228="Macro",COUNTIFS($V$5:$V228,"Macro",$S$5:$S228,$S228),IF(N($U228)=0,"?",COUNTIFS(INDEX($V$5:$V$1000,1):INDEX($V$5:$V$1000,$U228-4),"Macro",INDEX($S$5:$S$1000,1):INDEX($S$5:$S$1000,$U228-4),INDEX($S$5:$S$1000,$U228-4))&amp;"."&amp;COUNTIFS($U$5:$U228,$U228,$V$5:$V228,"Sub"))))</f>
        <v/>
      </c>
      <c r="B228" s="57" t="n"/>
      <c r="C228" s="58" t="n"/>
      <c r="D228" s="58" t="n"/>
      <c r="E228" s="59">
        <f>IF(N($AL228)&gt;0,INDEX(rIni_ADM,$AL228),"")</f>
        <v/>
      </c>
      <c r="F228" s="59">
        <f>IF(N($AL228)&gt;0,INDEX(rLim_ADM,$AL228),"")</f>
        <v/>
      </c>
      <c r="G228" s="59" t="n"/>
      <c r="H228" s="60" t="n"/>
      <c r="I228" s="60" t="n"/>
      <c r="J228" s="60" t="n"/>
      <c r="K228" s="60" t="n"/>
      <c r="L228" s="60" t="n"/>
      <c r="M228" s="61">
        <f>IF(NOT((COUNTA($B228:$D228)+COUNTA($G228:$L228)+COUNTA($Q228))&gt;0),"",IF(ISNUMBER($G228),1,IF(N($W228)&gt;0,AVERAGEIFS($X$5:$X$1000,$U$5:$U$1000,ROW(),$V$5:$V$1000,"Sub"),$X228)))</f>
        <v/>
      </c>
      <c r="N228" s="56">
        <f>IF($M228="","",IF($M228&gt;=1,"Completado",IF($M228&gt;0,"En curso","Pendiente")))</f>
        <v/>
      </c>
      <c r="O228" s="56">
        <f>IF(NOT((COUNTA($B228:$D228)+COUNTA($G228:$L228)+COUNTA($Q228))&gt;0),"",IF(ISNUMBER($G228),IF(AND(ISNUMBER($AN228),$G228&gt;$AN228),"Cumplida con "&amp;($G228-$AN228)&amp;IF($G228-$AN228=1," día"," días")&amp;" de retraso","Cumplida"),IF(N($M228)&gt;=1,"Cumplida",IF(NOT(ISNUMBER($AN228)),"Sin fecha límite",IF($AN228&lt;FechaRef,"Vencida hace "&amp;(FechaRef-$AN228)&amp;IF(FechaRef-$AN228=1," día"," días"),IF($AN228=FechaRef,"Vence hoy",IF($AN228-FechaRef&lt;=DiasAlerta,"Vence en "&amp;($AN228-FechaRef)&amp;IF($AN228-FechaRef=1," día"," días"),"En plazo")))))))</f>
        <v/>
      </c>
      <c r="P228" s="62" t="n"/>
      <c r="Q228" s="58" t="n"/>
      <c r="R228" s="63">
        <f>IF(NOT((COUNTA($B228:$D228)+COUNTA($G228:$L228)+COUNTA($Q228))&gt;0),"",IF((IF($C228="","Falta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",""))="","✔ OK","⚠ "&amp;LEFT(IF($C228="","Falta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",""),LEN(IF($C228="","Falta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",""))-3)))</f>
        <v/>
      </c>
      <c r="S228" s="64">
        <f>IF(NOT((COUNTA($B228:$D228)+COUNTA($G228:$L228)+COUNTA($Q228))&gt;0),"",IF(AND($V228="Sub",N($U228)&gt;0),IF(ISNUMBER(INDEX($AM$5:$AM$1000,$U228-4)),DATE(YEAR(INDEX($AM$5:$AM$1000,$U228-4)),MONTH(INDEX($AM$5:$AM$1000,$U228-4)),1),IF(ISNUMBER(INDEX($AN$5:$AN$1000,$U228-4)),DATE(YEAR(INDEX($AN$5:$AN$1000,$U228-4)),MONTH(INDEX($AN$5:$AN$1000,$U228-4)),1),MesCiclo)),IF(ISNUMBER($AM228),DATE(YEAR($AM228),MONTH($AM228),1),IF(ISNUMBER($AN228),DATE(YEAR($AN228),MONTH($AN228),1),MesCiclo))))</f>
        <v/>
      </c>
      <c r="T228" s="62">
        <f>IF(OR($S228="",$S228&lt;&gt;MesCiclo),"",COUNTIF($S$5:$S228,MesCiclo))</f>
        <v/>
      </c>
      <c r="U228" s="62">
        <f>IF($V228="","",IF($V228="Macro",ROW(),IFERROR(LOOKUP(2,1/($V$5:$V228="Macro"),ROW($V$5:$V228)),0)))</f>
        <v/>
      </c>
      <c r="V228" s="62">
        <f>IF(NOT((COUNTA($B228:$D228)+COUNTA($G228:$L228)+COUNTA($Q228))&gt;0),"",IF($B228="Subactividad","Sub","Macro"))</f>
        <v/>
      </c>
      <c r="W228" s="62">
        <f>IF($V228="Macro",COUNTIFS($U$5:$U$1000,ROW(),$V$5:$V$1000,"Sub"),"")</f>
        <v/>
      </c>
      <c r="X228" s="62">
        <f>IF($V228="","",IF(ISNUMBER($G228),1,IFERROR(LOOKUP(2,1/($I228:$L228&lt;&gt;""),$I228:$L228),0)))</f>
        <v/>
      </c>
      <c r="Y228" s="62">
        <f>IF($V228="","",IF(AND(ISNUMBER($G228),$G228&lt;=IF($S228=MesCiclo,InicioCiclo,$S228+MOD(2-WEEKDAY($S228),7))+6),1,IF(ISNUMBER($I228),$I228,0)))</f>
        <v/>
      </c>
      <c r="Z228" s="62">
        <f>IF($V228="","",IF(AND(ISNUMBER($G228),$G228&lt;=IF($S228=MesCiclo,InicioCiclo,$S228+MOD(2-WEEKDAY($S228),7))+13),1,IF(ISNUMBER($J228),$J228,$Y228)))</f>
        <v/>
      </c>
      <c r="AA228" s="62">
        <f>IF($V228="","",IF(AND(ISNUMBER($G228),$G228&lt;=IF($S228=MesCiclo,InicioCiclo,$S228+MOD(2-WEEKDAY($S228),7))+20),1,IF(ISNUMBER($K228),$K228,$Z228)))</f>
        <v/>
      </c>
      <c r="AB228" s="62">
        <f>IF($V228="","",IF(AND(ISNUMBER($G228),$G228&lt;=IF($S228=MesCiclo,InicioCiclo,$S228+MOD(2-WEEKDAY($S228),7))+27),1,IF(ISNUMBER($L228),$L228,$AA228)))</f>
        <v/>
      </c>
      <c r="AC228" s="62">
        <f>IF($V228="","",IF(AND(ISNUMBER($G228),$G228&lt;=IF($S228=MesCiclo,InicioCiclo,$S228+MOD(2-WEEKDAY($S228),7))+6),1,IF(N($W228)&gt;0,AVERAGEIFS($Y$5:$Y$1000,$U$5:$U$1000,ROW(),$V$5:$V$1000,"Sub"),$Y228)))</f>
        <v/>
      </c>
      <c r="AD228" s="62">
        <f>IF($V228="","",IF(AND(ISNUMBER($G228),$G228&lt;=IF($S228=MesCiclo,InicioCiclo,$S228+MOD(2-WEEKDAY($S228),7))+13),1,IF(N($W228)&gt;0,AVERAGEIFS($Z$5:$Z$1000,$U$5:$U$1000,ROW(),$V$5:$V$1000,"Sub"),$Z228)))</f>
        <v/>
      </c>
      <c r="AE228" s="62">
        <f>IF($V228="","",IF(AND(ISNUMBER($G228),$G228&lt;=IF($S228=MesCiclo,InicioCiclo,$S228+MOD(2-WEEKDAY($S228),7))+20),1,IF(N($W228)&gt;0,AVERAGEIFS($AA$5:$AA$1000,$U$5:$U$1000,ROW(),$V$5:$V$1000,"Sub"),$AA228)))</f>
        <v/>
      </c>
      <c r="AF228" s="62">
        <f>IF($V228="","",IF(AND(ISNUMBER($G228),$G228&lt;=IF($S228=MesCiclo,InicioCiclo,$S228+MOD(2-WEEKDAY($S228),7))+27),1,IF(N($W228)&gt;0,AVERAGEIFS($AB$5:$AB$1000,$U$5:$U$1000,ROW(),$V$5:$V$1000,"Sub"),$AB228)))</f>
        <v/>
      </c>
      <c r="AG228" s="62">
        <f>IF($V228&lt;&gt;"Macro","",IF(COUNTIFS($S$5:$S$1000,$S228,$V$5:$V$1000,"Macro",$H$5:$H$1000,"&gt;0")=0,1/COUNTIFS($S$5:$S$1000,$S228,$V$5:$V$1000,"Macro"),IF(AND(ISNUMBER($H228),N($H228)&gt;0),$H228,SUMIFS($H$5:$H$1000,$S$5:$S$1000,$S228,$V$5:$V$1000,"Macro")/COUNTIFS($S$5:$S$1000,$S228,$V$5:$V$1000,"Macro",$H$5:$H$1000,"&gt;0"))/(COUNTIFS($S$5:$S$1000,$S228,$V$5:$V$1000,"Macro")*SUMIFS($H$5:$H$1000,$S$5:$S$1000,$S228,$V$5:$V$1000,"Macro")/COUNTIFS($S$5:$S$1000,$S228,$V$5:$V$1000,"Macro",$H$5:$H$1000,"&gt;0"))))</f>
        <v/>
      </c>
      <c r="AH228" s="62" t="n"/>
      <c r="AI228" s="62" t="n"/>
      <c r="AJ228" s="62" t="n"/>
      <c r="AK228" s="62" t="n"/>
      <c r="AL228" s="62">
        <f>IF(LEFT($C228,11)="[Jefatura] ",IFERROR(MATCH("Riesgo Operacional|"&amp;MID($C228,12,500),rDname_ADM,0),0),"")</f>
        <v/>
      </c>
      <c r="AM228" s="62">
        <f>IF(N($AL228)&gt;0,INDEX(rIni_ADM,$AL228),IF(ISNUMBER($E228),$E228,""))</f>
        <v/>
      </c>
      <c r="AN228" s="62">
        <f>IF(N($AL228)&gt;0,INDEX(rLim_ADM,$AL228),IF(ISNUMBER($F228),$F228,""))</f>
        <v/>
      </c>
    </row>
    <row r="229">
      <c r="A229" s="56">
        <f>IF(NOT((COUNTA($B229:$D229)+COUNTA($G229:$L229)+COUNTA($Q229))&gt;0),"",IF($V229="Macro",COUNTIFS($V$5:$V229,"Macro",$S$5:$S229,$S229),IF(N($U229)=0,"?",COUNTIFS(INDEX($V$5:$V$1000,1):INDEX($V$5:$V$1000,$U229-4),"Macro",INDEX($S$5:$S$1000,1):INDEX($S$5:$S$1000,$U229-4),INDEX($S$5:$S$1000,$U229-4))&amp;"."&amp;COUNTIFS($U$5:$U229,$U229,$V$5:$V229,"Sub"))))</f>
        <v/>
      </c>
      <c r="B229" s="57" t="n"/>
      <c r="C229" s="58" t="n"/>
      <c r="D229" s="58" t="n"/>
      <c r="E229" s="59">
        <f>IF(N($AL229)&gt;0,INDEX(rIni_ADM,$AL229),"")</f>
        <v/>
      </c>
      <c r="F229" s="59">
        <f>IF(N($AL229)&gt;0,INDEX(rLim_ADM,$AL229),"")</f>
        <v/>
      </c>
      <c r="G229" s="59" t="n"/>
      <c r="H229" s="60" t="n"/>
      <c r="I229" s="60" t="n"/>
      <c r="J229" s="60" t="n"/>
      <c r="K229" s="60" t="n"/>
      <c r="L229" s="60" t="n"/>
      <c r="M229" s="61">
        <f>IF(NOT((COUNTA($B229:$D229)+COUNTA($G229:$L229)+COUNTA($Q229))&gt;0),"",IF(ISNUMBER($G229),1,IF(N($W229)&gt;0,AVERAGEIFS($X$5:$X$1000,$U$5:$U$1000,ROW(),$V$5:$V$1000,"Sub"),$X229)))</f>
        <v/>
      </c>
      <c r="N229" s="56">
        <f>IF($M229="","",IF($M229&gt;=1,"Completado",IF($M229&gt;0,"En curso","Pendiente")))</f>
        <v/>
      </c>
      <c r="O229" s="56">
        <f>IF(NOT((COUNTA($B229:$D229)+COUNTA($G229:$L229)+COUNTA($Q229))&gt;0),"",IF(ISNUMBER($G229),IF(AND(ISNUMBER($AN229),$G229&gt;$AN229),"Cumplida con "&amp;($G229-$AN229)&amp;IF($G229-$AN229=1," día"," días")&amp;" de retraso","Cumplida"),IF(N($M229)&gt;=1,"Cumplida",IF(NOT(ISNUMBER($AN229)),"Sin fecha límite",IF($AN229&lt;FechaRef,"Vencida hace "&amp;(FechaRef-$AN229)&amp;IF(FechaRef-$AN229=1," día"," días"),IF($AN229=FechaRef,"Vence hoy",IF($AN229-FechaRef&lt;=DiasAlerta,"Vence en "&amp;($AN229-FechaRef)&amp;IF($AN229-FechaRef=1," día"," días"),"En plazo")))))))</f>
        <v/>
      </c>
      <c r="P229" s="62" t="n"/>
      <c r="Q229" s="58" t="n"/>
      <c r="R229" s="63">
        <f>IF(NOT((COUNTA($B229:$D229)+COUNTA($G229:$L229)+COUNTA($Q229))&gt;0),"",IF((IF($C229="","Falta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",""))="","✔ OK","⚠ "&amp;LEFT(IF($C229="","Falta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",""),LEN(IF($C229="","Falta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",""))-3)))</f>
        <v/>
      </c>
      <c r="S229" s="64">
        <f>IF(NOT((COUNTA($B229:$D229)+COUNTA($G229:$L229)+COUNTA($Q229))&gt;0),"",IF(AND($V229="Sub",N($U229)&gt;0),IF(ISNUMBER(INDEX($AM$5:$AM$1000,$U229-4)),DATE(YEAR(INDEX($AM$5:$AM$1000,$U229-4)),MONTH(INDEX($AM$5:$AM$1000,$U229-4)),1),IF(ISNUMBER(INDEX($AN$5:$AN$1000,$U229-4)),DATE(YEAR(INDEX($AN$5:$AN$1000,$U229-4)),MONTH(INDEX($AN$5:$AN$1000,$U229-4)),1),MesCiclo)),IF(ISNUMBER($AM229),DATE(YEAR($AM229),MONTH($AM229),1),IF(ISNUMBER($AN229),DATE(YEAR($AN229),MONTH($AN229),1),MesCiclo))))</f>
        <v/>
      </c>
      <c r="T229" s="62">
        <f>IF(OR($S229="",$S229&lt;&gt;MesCiclo),"",COUNTIF($S$5:$S229,MesCiclo))</f>
        <v/>
      </c>
      <c r="U229" s="62">
        <f>IF($V229="","",IF($V229="Macro",ROW(),IFERROR(LOOKUP(2,1/($V$5:$V229="Macro"),ROW($V$5:$V229)),0)))</f>
        <v/>
      </c>
      <c r="V229" s="62">
        <f>IF(NOT((COUNTA($B229:$D229)+COUNTA($G229:$L229)+COUNTA($Q229))&gt;0),"",IF($B229="Subactividad","Sub","Macro"))</f>
        <v/>
      </c>
      <c r="W229" s="62">
        <f>IF($V229="Macro",COUNTIFS($U$5:$U$1000,ROW(),$V$5:$V$1000,"Sub"),"")</f>
        <v/>
      </c>
      <c r="X229" s="62">
        <f>IF($V229="","",IF(ISNUMBER($G229),1,IFERROR(LOOKUP(2,1/($I229:$L229&lt;&gt;""),$I229:$L229),0)))</f>
        <v/>
      </c>
      <c r="Y229" s="62">
        <f>IF($V229="","",IF(AND(ISNUMBER($G229),$G229&lt;=IF($S229=MesCiclo,InicioCiclo,$S229+MOD(2-WEEKDAY($S229),7))+6),1,IF(ISNUMBER($I229),$I229,0)))</f>
        <v/>
      </c>
      <c r="Z229" s="62">
        <f>IF($V229="","",IF(AND(ISNUMBER($G229),$G229&lt;=IF($S229=MesCiclo,InicioCiclo,$S229+MOD(2-WEEKDAY($S229),7))+13),1,IF(ISNUMBER($J229),$J229,$Y229)))</f>
        <v/>
      </c>
      <c r="AA229" s="62">
        <f>IF($V229="","",IF(AND(ISNUMBER($G229),$G229&lt;=IF($S229=MesCiclo,InicioCiclo,$S229+MOD(2-WEEKDAY($S229),7))+20),1,IF(ISNUMBER($K229),$K229,$Z229)))</f>
        <v/>
      </c>
      <c r="AB229" s="62">
        <f>IF($V229="","",IF(AND(ISNUMBER($G229),$G229&lt;=IF($S229=MesCiclo,InicioCiclo,$S229+MOD(2-WEEKDAY($S229),7))+27),1,IF(ISNUMBER($L229),$L229,$AA229)))</f>
        <v/>
      </c>
      <c r="AC229" s="62">
        <f>IF($V229="","",IF(AND(ISNUMBER($G229),$G229&lt;=IF($S229=MesCiclo,InicioCiclo,$S229+MOD(2-WEEKDAY($S229),7))+6),1,IF(N($W229)&gt;0,AVERAGEIFS($Y$5:$Y$1000,$U$5:$U$1000,ROW(),$V$5:$V$1000,"Sub"),$Y229)))</f>
        <v/>
      </c>
      <c r="AD229" s="62">
        <f>IF($V229="","",IF(AND(ISNUMBER($G229),$G229&lt;=IF($S229=MesCiclo,InicioCiclo,$S229+MOD(2-WEEKDAY($S229),7))+13),1,IF(N($W229)&gt;0,AVERAGEIFS($Z$5:$Z$1000,$U$5:$U$1000,ROW(),$V$5:$V$1000,"Sub"),$Z229)))</f>
        <v/>
      </c>
      <c r="AE229" s="62">
        <f>IF($V229="","",IF(AND(ISNUMBER($G229),$G229&lt;=IF($S229=MesCiclo,InicioCiclo,$S229+MOD(2-WEEKDAY($S229),7))+20),1,IF(N($W229)&gt;0,AVERAGEIFS($AA$5:$AA$1000,$U$5:$U$1000,ROW(),$V$5:$V$1000,"Sub"),$AA229)))</f>
        <v/>
      </c>
      <c r="AF229" s="62">
        <f>IF($V229="","",IF(AND(ISNUMBER($G229),$G229&lt;=IF($S229=MesCiclo,InicioCiclo,$S229+MOD(2-WEEKDAY($S229),7))+27),1,IF(N($W229)&gt;0,AVERAGEIFS($AB$5:$AB$1000,$U$5:$U$1000,ROW(),$V$5:$V$1000,"Sub"),$AB229)))</f>
        <v/>
      </c>
      <c r="AG229" s="62">
        <f>IF($V229&lt;&gt;"Macro","",IF(COUNTIFS($S$5:$S$1000,$S229,$V$5:$V$1000,"Macro",$H$5:$H$1000,"&gt;0")=0,1/COUNTIFS($S$5:$S$1000,$S229,$V$5:$V$1000,"Macro"),IF(AND(ISNUMBER($H229),N($H229)&gt;0),$H229,SUMIFS($H$5:$H$1000,$S$5:$S$1000,$S229,$V$5:$V$1000,"Macro")/COUNTIFS($S$5:$S$1000,$S229,$V$5:$V$1000,"Macro",$H$5:$H$1000,"&gt;0"))/(COUNTIFS($S$5:$S$1000,$S229,$V$5:$V$1000,"Macro")*SUMIFS($H$5:$H$1000,$S$5:$S$1000,$S229,$V$5:$V$1000,"Macro")/COUNTIFS($S$5:$S$1000,$S229,$V$5:$V$1000,"Macro",$H$5:$H$1000,"&gt;0"))))</f>
        <v/>
      </c>
      <c r="AH229" s="62" t="n"/>
      <c r="AI229" s="62" t="n"/>
      <c r="AJ229" s="62" t="n"/>
      <c r="AK229" s="62" t="n"/>
      <c r="AL229" s="62">
        <f>IF(LEFT($C229,11)="[Jefatura] ",IFERROR(MATCH("Riesgo Operacional|"&amp;MID($C229,12,500),rDname_ADM,0),0),"")</f>
        <v/>
      </c>
      <c r="AM229" s="62">
        <f>IF(N($AL229)&gt;0,INDEX(rIni_ADM,$AL229),IF(ISNUMBER($E229),$E229,""))</f>
        <v/>
      </c>
      <c r="AN229" s="62">
        <f>IF(N($AL229)&gt;0,INDEX(rLim_ADM,$AL229),IF(ISNUMBER($F229),$F229,""))</f>
        <v/>
      </c>
    </row>
    <row r="230">
      <c r="A230" s="56">
        <f>IF(NOT((COUNTA($B230:$D230)+COUNTA($G230:$L230)+COUNTA($Q230))&gt;0),"",IF($V230="Macro",COUNTIFS($V$5:$V230,"Macro",$S$5:$S230,$S230),IF(N($U230)=0,"?",COUNTIFS(INDEX($V$5:$V$1000,1):INDEX($V$5:$V$1000,$U230-4),"Macro",INDEX($S$5:$S$1000,1):INDEX($S$5:$S$1000,$U230-4),INDEX($S$5:$S$1000,$U230-4))&amp;"."&amp;COUNTIFS($U$5:$U230,$U230,$V$5:$V230,"Sub"))))</f>
        <v/>
      </c>
      <c r="B230" s="57" t="n"/>
      <c r="C230" s="58" t="n"/>
      <c r="D230" s="58" t="n"/>
      <c r="E230" s="59">
        <f>IF(N($AL230)&gt;0,INDEX(rIni_ADM,$AL230),"")</f>
        <v/>
      </c>
      <c r="F230" s="59">
        <f>IF(N($AL230)&gt;0,INDEX(rLim_ADM,$AL230),"")</f>
        <v/>
      </c>
      <c r="G230" s="59" t="n"/>
      <c r="H230" s="60" t="n"/>
      <c r="I230" s="60" t="n"/>
      <c r="J230" s="60" t="n"/>
      <c r="K230" s="60" t="n"/>
      <c r="L230" s="60" t="n"/>
      <c r="M230" s="61">
        <f>IF(NOT((COUNTA($B230:$D230)+COUNTA($G230:$L230)+COUNTA($Q230))&gt;0),"",IF(ISNUMBER($G230),1,IF(N($W230)&gt;0,AVERAGEIFS($X$5:$X$1000,$U$5:$U$1000,ROW(),$V$5:$V$1000,"Sub"),$X230)))</f>
        <v/>
      </c>
      <c r="N230" s="56">
        <f>IF($M230="","",IF($M230&gt;=1,"Completado",IF($M230&gt;0,"En curso","Pendiente")))</f>
        <v/>
      </c>
      <c r="O230" s="56">
        <f>IF(NOT((COUNTA($B230:$D230)+COUNTA($G230:$L230)+COUNTA($Q230))&gt;0),"",IF(ISNUMBER($G230),IF(AND(ISNUMBER($AN230),$G230&gt;$AN230),"Cumplida con "&amp;($G230-$AN230)&amp;IF($G230-$AN230=1," día"," días")&amp;" de retraso","Cumplida"),IF(N($M230)&gt;=1,"Cumplida",IF(NOT(ISNUMBER($AN230)),"Sin fecha límite",IF($AN230&lt;FechaRef,"Vencida hace "&amp;(FechaRef-$AN230)&amp;IF(FechaRef-$AN230=1," día"," días"),IF($AN230=FechaRef,"Vence hoy",IF($AN230-FechaRef&lt;=DiasAlerta,"Vence en "&amp;($AN230-FechaRef)&amp;IF($AN230-FechaRef=1," día"," días"),"En plazo")))))))</f>
        <v/>
      </c>
      <c r="P230" s="62" t="n"/>
      <c r="Q230" s="58" t="n"/>
      <c r="R230" s="63">
        <f>IF(NOT((COUNTA($B230:$D230)+COUNTA($G230:$L230)+COUNTA($Q230))&gt;0),"",IF((IF($C230="","Falta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",""))="","✔ OK","⚠ "&amp;LEFT(IF($C230="","Falta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",""),LEN(IF($C230="","Falta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",""))-3)))</f>
        <v/>
      </c>
      <c r="S230" s="64">
        <f>IF(NOT((COUNTA($B230:$D230)+COUNTA($G230:$L230)+COUNTA($Q230))&gt;0),"",IF(AND($V230="Sub",N($U230)&gt;0),IF(ISNUMBER(INDEX($AM$5:$AM$1000,$U230-4)),DATE(YEAR(INDEX($AM$5:$AM$1000,$U230-4)),MONTH(INDEX($AM$5:$AM$1000,$U230-4)),1),IF(ISNUMBER(INDEX($AN$5:$AN$1000,$U230-4)),DATE(YEAR(INDEX($AN$5:$AN$1000,$U230-4)),MONTH(INDEX($AN$5:$AN$1000,$U230-4)),1),MesCiclo)),IF(ISNUMBER($AM230),DATE(YEAR($AM230),MONTH($AM230),1),IF(ISNUMBER($AN230),DATE(YEAR($AN230),MONTH($AN230),1),MesCiclo))))</f>
        <v/>
      </c>
      <c r="T230" s="62">
        <f>IF(OR($S230="",$S230&lt;&gt;MesCiclo),"",COUNTIF($S$5:$S230,MesCiclo))</f>
        <v/>
      </c>
      <c r="U230" s="62">
        <f>IF($V230="","",IF($V230="Macro",ROW(),IFERROR(LOOKUP(2,1/($V$5:$V230="Macro"),ROW($V$5:$V230)),0)))</f>
        <v/>
      </c>
      <c r="V230" s="62">
        <f>IF(NOT((COUNTA($B230:$D230)+COUNTA($G230:$L230)+COUNTA($Q230))&gt;0),"",IF($B230="Subactividad","Sub","Macro"))</f>
        <v/>
      </c>
      <c r="W230" s="62">
        <f>IF($V230="Macro",COUNTIFS($U$5:$U$1000,ROW(),$V$5:$V$1000,"Sub"),"")</f>
        <v/>
      </c>
      <c r="X230" s="62">
        <f>IF($V230="","",IF(ISNUMBER($G230),1,IFERROR(LOOKUP(2,1/($I230:$L230&lt;&gt;""),$I230:$L230),0)))</f>
        <v/>
      </c>
      <c r="Y230" s="62">
        <f>IF($V230="","",IF(AND(ISNUMBER($G230),$G230&lt;=IF($S230=MesCiclo,InicioCiclo,$S230+MOD(2-WEEKDAY($S230),7))+6),1,IF(ISNUMBER($I230),$I230,0)))</f>
        <v/>
      </c>
      <c r="Z230" s="62">
        <f>IF($V230="","",IF(AND(ISNUMBER($G230),$G230&lt;=IF($S230=MesCiclo,InicioCiclo,$S230+MOD(2-WEEKDAY($S230),7))+13),1,IF(ISNUMBER($J230),$J230,$Y230)))</f>
        <v/>
      </c>
      <c r="AA230" s="62">
        <f>IF($V230="","",IF(AND(ISNUMBER($G230),$G230&lt;=IF($S230=MesCiclo,InicioCiclo,$S230+MOD(2-WEEKDAY($S230),7))+20),1,IF(ISNUMBER($K230),$K230,$Z230)))</f>
        <v/>
      </c>
      <c r="AB230" s="62">
        <f>IF($V230="","",IF(AND(ISNUMBER($G230),$G230&lt;=IF($S230=MesCiclo,InicioCiclo,$S230+MOD(2-WEEKDAY($S230),7))+27),1,IF(ISNUMBER($L230),$L230,$AA230)))</f>
        <v/>
      </c>
      <c r="AC230" s="62">
        <f>IF($V230="","",IF(AND(ISNUMBER($G230),$G230&lt;=IF($S230=MesCiclo,InicioCiclo,$S230+MOD(2-WEEKDAY($S230),7))+6),1,IF(N($W230)&gt;0,AVERAGEIFS($Y$5:$Y$1000,$U$5:$U$1000,ROW(),$V$5:$V$1000,"Sub"),$Y230)))</f>
        <v/>
      </c>
      <c r="AD230" s="62">
        <f>IF($V230="","",IF(AND(ISNUMBER($G230),$G230&lt;=IF($S230=MesCiclo,InicioCiclo,$S230+MOD(2-WEEKDAY($S230),7))+13),1,IF(N($W230)&gt;0,AVERAGEIFS($Z$5:$Z$1000,$U$5:$U$1000,ROW(),$V$5:$V$1000,"Sub"),$Z230)))</f>
        <v/>
      </c>
      <c r="AE230" s="62">
        <f>IF($V230="","",IF(AND(ISNUMBER($G230),$G230&lt;=IF($S230=MesCiclo,InicioCiclo,$S230+MOD(2-WEEKDAY($S230),7))+20),1,IF(N($W230)&gt;0,AVERAGEIFS($AA$5:$AA$1000,$U$5:$U$1000,ROW(),$V$5:$V$1000,"Sub"),$AA230)))</f>
        <v/>
      </c>
      <c r="AF230" s="62">
        <f>IF($V230="","",IF(AND(ISNUMBER($G230),$G230&lt;=IF($S230=MesCiclo,InicioCiclo,$S230+MOD(2-WEEKDAY($S230),7))+27),1,IF(N($W230)&gt;0,AVERAGEIFS($AB$5:$AB$1000,$U$5:$U$1000,ROW(),$V$5:$V$1000,"Sub"),$AB230)))</f>
        <v/>
      </c>
      <c r="AG230" s="62">
        <f>IF($V230&lt;&gt;"Macro","",IF(COUNTIFS($S$5:$S$1000,$S230,$V$5:$V$1000,"Macro",$H$5:$H$1000,"&gt;0")=0,1/COUNTIFS($S$5:$S$1000,$S230,$V$5:$V$1000,"Macro"),IF(AND(ISNUMBER($H230),N($H230)&gt;0),$H230,SUMIFS($H$5:$H$1000,$S$5:$S$1000,$S230,$V$5:$V$1000,"Macro")/COUNTIFS($S$5:$S$1000,$S230,$V$5:$V$1000,"Macro",$H$5:$H$1000,"&gt;0"))/(COUNTIFS($S$5:$S$1000,$S230,$V$5:$V$1000,"Macro")*SUMIFS($H$5:$H$1000,$S$5:$S$1000,$S230,$V$5:$V$1000,"Macro")/COUNTIFS($S$5:$S$1000,$S230,$V$5:$V$1000,"Macro",$H$5:$H$1000,"&gt;0"))))</f>
        <v/>
      </c>
      <c r="AH230" s="62" t="n"/>
      <c r="AI230" s="62" t="n"/>
      <c r="AJ230" s="62" t="n"/>
      <c r="AK230" s="62" t="n"/>
      <c r="AL230" s="62">
        <f>IF(LEFT($C230,11)="[Jefatura] ",IFERROR(MATCH("Riesgo Operacional|"&amp;MID($C230,12,500),rDname_ADM,0),0),"")</f>
        <v/>
      </c>
      <c r="AM230" s="62">
        <f>IF(N($AL230)&gt;0,INDEX(rIni_ADM,$AL230),IF(ISNUMBER($E230),$E230,""))</f>
        <v/>
      </c>
      <c r="AN230" s="62">
        <f>IF(N($AL230)&gt;0,INDEX(rLim_ADM,$AL230),IF(ISNUMBER($F230),$F230,""))</f>
        <v/>
      </c>
    </row>
    <row r="231">
      <c r="A231" s="56">
        <f>IF(NOT((COUNTA($B231:$D231)+COUNTA($G231:$L231)+COUNTA($Q231))&gt;0),"",IF($V231="Macro",COUNTIFS($V$5:$V231,"Macro",$S$5:$S231,$S231),IF(N($U231)=0,"?",COUNTIFS(INDEX($V$5:$V$1000,1):INDEX($V$5:$V$1000,$U231-4),"Macro",INDEX($S$5:$S$1000,1):INDEX($S$5:$S$1000,$U231-4),INDEX($S$5:$S$1000,$U231-4))&amp;"."&amp;COUNTIFS($U$5:$U231,$U231,$V$5:$V231,"Sub"))))</f>
        <v/>
      </c>
      <c r="B231" s="57" t="n"/>
      <c r="C231" s="58" t="n"/>
      <c r="D231" s="58" t="n"/>
      <c r="E231" s="59">
        <f>IF(N($AL231)&gt;0,INDEX(rIni_ADM,$AL231),"")</f>
        <v/>
      </c>
      <c r="F231" s="59">
        <f>IF(N($AL231)&gt;0,INDEX(rLim_ADM,$AL231),"")</f>
        <v/>
      </c>
      <c r="G231" s="59" t="n"/>
      <c r="H231" s="60" t="n"/>
      <c r="I231" s="60" t="n"/>
      <c r="J231" s="60" t="n"/>
      <c r="K231" s="60" t="n"/>
      <c r="L231" s="60" t="n"/>
      <c r="M231" s="61">
        <f>IF(NOT((COUNTA($B231:$D231)+COUNTA($G231:$L231)+COUNTA($Q231))&gt;0),"",IF(ISNUMBER($G231),1,IF(N($W231)&gt;0,AVERAGEIFS($X$5:$X$1000,$U$5:$U$1000,ROW(),$V$5:$V$1000,"Sub"),$X231)))</f>
        <v/>
      </c>
      <c r="N231" s="56">
        <f>IF($M231="","",IF($M231&gt;=1,"Completado",IF($M231&gt;0,"En curso","Pendiente")))</f>
        <v/>
      </c>
      <c r="O231" s="56">
        <f>IF(NOT((COUNTA($B231:$D231)+COUNTA($G231:$L231)+COUNTA($Q231))&gt;0),"",IF(ISNUMBER($G231),IF(AND(ISNUMBER($AN231),$G231&gt;$AN231),"Cumplida con "&amp;($G231-$AN231)&amp;IF($G231-$AN231=1," día"," días")&amp;" de retraso","Cumplida"),IF(N($M231)&gt;=1,"Cumplida",IF(NOT(ISNUMBER($AN231)),"Sin fecha límite",IF($AN231&lt;FechaRef,"Vencida hace "&amp;(FechaRef-$AN231)&amp;IF(FechaRef-$AN231=1," día"," días"),IF($AN231=FechaRef,"Vence hoy",IF($AN231-FechaRef&lt;=DiasAlerta,"Vence en "&amp;($AN231-FechaRef)&amp;IF($AN231-FechaRef=1," día"," días"),"En plazo")))))))</f>
        <v/>
      </c>
      <c r="P231" s="62" t="n"/>
      <c r="Q231" s="58" t="n"/>
      <c r="R231" s="63">
        <f>IF(NOT((COUNTA($B231:$D231)+COUNTA($G231:$L231)+COUNTA($Q231))&gt;0),"",IF((IF($C231="","Falta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",""))="","✔ OK","⚠ "&amp;LEFT(IF($C231="","Falta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",""),LEN(IF($C231="","Falta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",""))-3)))</f>
        <v/>
      </c>
      <c r="S231" s="64">
        <f>IF(NOT((COUNTA($B231:$D231)+COUNTA($G231:$L231)+COUNTA($Q231))&gt;0),"",IF(AND($V231="Sub",N($U231)&gt;0),IF(ISNUMBER(INDEX($AM$5:$AM$1000,$U231-4)),DATE(YEAR(INDEX($AM$5:$AM$1000,$U231-4)),MONTH(INDEX($AM$5:$AM$1000,$U231-4)),1),IF(ISNUMBER(INDEX($AN$5:$AN$1000,$U231-4)),DATE(YEAR(INDEX($AN$5:$AN$1000,$U231-4)),MONTH(INDEX($AN$5:$AN$1000,$U231-4)),1),MesCiclo)),IF(ISNUMBER($AM231),DATE(YEAR($AM231),MONTH($AM231),1),IF(ISNUMBER($AN231),DATE(YEAR($AN231),MONTH($AN231),1),MesCiclo))))</f>
        <v/>
      </c>
      <c r="T231" s="62">
        <f>IF(OR($S231="",$S231&lt;&gt;MesCiclo),"",COUNTIF($S$5:$S231,MesCiclo))</f>
        <v/>
      </c>
      <c r="U231" s="62">
        <f>IF($V231="","",IF($V231="Macro",ROW(),IFERROR(LOOKUP(2,1/($V$5:$V231="Macro"),ROW($V$5:$V231)),0)))</f>
        <v/>
      </c>
      <c r="V231" s="62">
        <f>IF(NOT((COUNTA($B231:$D231)+COUNTA($G231:$L231)+COUNTA($Q231))&gt;0),"",IF($B231="Subactividad","Sub","Macro"))</f>
        <v/>
      </c>
      <c r="W231" s="62">
        <f>IF($V231="Macro",COUNTIFS($U$5:$U$1000,ROW(),$V$5:$V$1000,"Sub"),"")</f>
        <v/>
      </c>
      <c r="X231" s="62">
        <f>IF($V231="","",IF(ISNUMBER($G231),1,IFERROR(LOOKUP(2,1/($I231:$L231&lt;&gt;""),$I231:$L231),0)))</f>
        <v/>
      </c>
      <c r="Y231" s="62">
        <f>IF($V231="","",IF(AND(ISNUMBER($G231),$G231&lt;=IF($S231=MesCiclo,InicioCiclo,$S231+MOD(2-WEEKDAY($S231),7))+6),1,IF(ISNUMBER($I231),$I231,0)))</f>
        <v/>
      </c>
      <c r="Z231" s="62">
        <f>IF($V231="","",IF(AND(ISNUMBER($G231),$G231&lt;=IF($S231=MesCiclo,InicioCiclo,$S231+MOD(2-WEEKDAY($S231),7))+13),1,IF(ISNUMBER($J231),$J231,$Y231)))</f>
        <v/>
      </c>
      <c r="AA231" s="62">
        <f>IF($V231="","",IF(AND(ISNUMBER($G231),$G231&lt;=IF($S231=MesCiclo,InicioCiclo,$S231+MOD(2-WEEKDAY($S231),7))+20),1,IF(ISNUMBER($K231),$K231,$Z231)))</f>
        <v/>
      </c>
      <c r="AB231" s="62">
        <f>IF($V231="","",IF(AND(ISNUMBER($G231),$G231&lt;=IF($S231=MesCiclo,InicioCiclo,$S231+MOD(2-WEEKDAY($S231),7))+27),1,IF(ISNUMBER($L231),$L231,$AA231)))</f>
        <v/>
      </c>
      <c r="AC231" s="62">
        <f>IF($V231="","",IF(AND(ISNUMBER($G231),$G231&lt;=IF($S231=MesCiclo,InicioCiclo,$S231+MOD(2-WEEKDAY($S231),7))+6),1,IF(N($W231)&gt;0,AVERAGEIFS($Y$5:$Y$1000,$U$5:$U$1000,ROW(),$V$5:$V$1000,"Sub"),$Y231)))</f>
        <v/>
      </c>
      <c r="AD231" s="62">
        <f>IF($V231="","",IF(AND(ISNUMBER($G231),$G231&lt;=IF($S231=MesCiclo,InicioCiclo,$S231+MOD(2-WEEKDAY($S231),7))+13),1,IF(N($W231)&gt;0,AVERAGEIFS($Z$5:$Z$1000,$U$5:$U$1000,ROW(),$V$5:$V$1000,"Sub"),$Z231)))</f>
        <v/>
      </c>
      <c r="AE231" s="62">
        <f>IF($V231="","",IF(AND(ISNUMBER($G231),$G231&lt;=IF($S231=MesCiclo,InicioCiclo,$S231+MOD(2-WEEKDAY($S231),7))+20),1,IF(N($W231)&gt;0,AVERAGEIFS($AA$5:$AA$1000,$U$5:$U$1000,ROW(),$V$5:$V$1000,"Sub"),$AA231)))</f>
        <v/>
      </c>
      <c r="AF231" s="62">
        <f>IF($V231="","",IF(AND(ISNUMBER($G231),$G231&lt;=IF($S231=MesCiclo,InicioCiclo,$S231+MOD(2-WEEKDAY($S231),7))+27),1,IF(N($W231)&gt;0,AVERAGEIFS($AB$5:$AB$1000,$U$5:$U$1000,ROW(),$V$5:$V$1000,"Sub"),$AB231)))</f>
        <v/>
      </c>
      <c r="AG231" s="62">
        <f>IF($V231&lt;&gt;"Macro","",IF(COUNTIFS($S$5:$S$1000,$S231,$V$5:$V$1000,"Macro",$H$5:$H$1000,"&gt;0")=0,1/COUNTIFS($S$5:$S$1000,$S231,$V$5:$V$1000,"Macro"),IF(AND(ISNUMBER($H231),N($H231)&gt;0),$H231,SUMIFS($H$5:$H$1000,$S$5:$S$1000,$S231,$V$5:$V$1000,"Macro")/COUNTIFS($S$5:$S$1000,$S231,$V$5:$V$1000,"Macro",$H$5:$H$1000,"&gt;0"))/(COUNTIFS($S$5:$S$1000,$S231,$V$5:$V$1000,"Macro")*SUMIFS($H$5:$H$1000,$S$5:$S$1000,$S231,$V$5:$V$1000,"Macro")/COUNTIFS($S$5:$S$1000,$S231,$V$5:$V$1000,"Macro",$H$5:$H$1000,"&gt;0"))))</f>
        <v/>
      </c>
      <c r="AH231" s="62" t="n"/>
      <c r="AI231" s="62" t="n"/>
      <c r="AJ231" s="62" t="n"/>
      <c r="AK231" s="62" t="n"/>
      <c r="AL231" s="62">
        <f>IF(LEFT($C231,11)="[Jefatura] ",IFERROR(MATCH("Riesgo Operacional|"&amp;MID($C231,12,500),rDname_ADM,0),0),"")</f>
        <v/>
      </c>
      <c r="AM231" s="62">
        <f>IF(N($AL231)&gt;0,INDEX(rIni_ADM,$AL231),IF(ISNUMBER($E231),$E231,""))</f>
        <v/>
      </c>
      <c r="AN231" s="62">
        <f>IF(N($AL231)&gt;0,INDEX(rLim_ADM,$AL231),IF(ISNUMBER($F231),$F231,""))</f>
        <v/>
      </c>
    </row>
    <row r="232">
      <c r="A232" s="56">
        <f>IF(NOT((COUNTA($B232:$D232)+COUNTA($G232:$L232)+COUNTA($Q232))&gt;0),"",IF($V232="Macro",COUNTIFS($V$5:$V232,"Macro",$S$5:$S232,$S232),IF(N($U232)=0,"?",COUNTIFS(INDEX($V$5:$V$1000,1):INDEX($V$5:$V$1000,$U232-4),"Macro",INDEX($S$5:$S$1000,1):INDEX($S$5:$S$1000,$U232-4),INDEX($S$5:$S$1000,$U232-4))&amp;"."&amp;COUNTIFS($U$5:$U232,$U232,$V$5:$V232,"Sub"))))</f>
        <v/>
      </c>
      <c r="B232" s="57" t="n"/>
      <c r="C232" s="58" t="n"/>
      <c r="D232" s="58" t="n"/>
      <c r="E232" s="59">
        <f>IF(N($AL232)&gt;0,INDEX(rIni_ADM,$AL232),"")</f>
        <v/>
      </c>
      <c r="F232" s="59">
        <f>IF(N($AL232)&gt;0,INDEX(rLim_ADM,$AL232),"")</f>
        <v/>
      </c>
      <c r="G232" s="59" t="n"/>
      <c r="H232" s="60" t="n"/>
      <c r="I232" s="60" t="n"/>
      <c r="J232" s="60" t="n"/>
      <c r="K232" s="60" t="n"/>
      <c r="L232" s="60" t="n"/>
      <c r="M232" s="61">
        <f>IF(NOT((COUNTA($B232:$D232)+COUNTA($G232:$L232)+COUNTA($Q232))&gt;0),"",IF(ISNUMBER($G232),1,IF(N($W232)&gt;0,AVERAGEIFS($X$5:$X$1000,$U$5:$U$1000,ROW(),$V$5:$V$1000,"Sub"),$X232)))</f>
        <v/>
      </c>
      <c r="N232" s="56">
        <f>IF($M232="","",IF($M232&gt;=1,"Completado",IF($M232&gt;0,"En curso","Pendiente")))</f>
        <v/>
      </c>
      <c r="O232" s="56">
        <f>IF(NOT((COUNTA($B232:$D232)+COUNTA($G232:$L232)+COUNTA($Q232))&gt;0),"",IF(ISNUMBER($G232),IF(AND(ISNUMBER($AN232),$G232&gt;$AN232),"Cumplida con "&amp;($G232-$AN232)&amp;IF($G232-$AN232=1," día"," días")&amp;" de retraso","Cumplida"),IF(N($M232)&gt;=1,"Cumplida",IF(NOT(ISNUMBER($AN232)),"Sin fecha límite",IF($AN232&lt;FechaRef,"Vencida hace "&amp;(FechaRef-$AN232)&amp;IF(FechaRef-$AN232=1," día"," días"),IF($AN232=FechaRef,"Vence hoy",IF($AN232-FechaRef&lt;=DiasAlerta,"Vence en "&amp;($AN232-FechaRef)&amp;IF($AN232-FechaRef=1," día"," días"),"En plazo")))))))</f>
        <v/>
      </c>
      <c r="P232" s="62" t="n"/>
      <c r="Q232" s="58" t="n"/>
      <c r="R232" s="63">
        <f>IF(NOT((COUNTA($B232:$D232)+COUNTA($G232:$L232)+COUNTA($Q232))&gt;0),"",IF((IF($C232="","Falta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",""))="","✔ OK","⚠ "&amp;LEFT(IF($C232="","Falta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",""),LEN(IF($C232="","Falta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",""))-3)))</f>
        <v/>
      </c>
      <c r="S232" s="64">
        <f>IF(NOT((COUNTA($B232:$D232)+COUNTA($G232:$L232)+COUNTA($Q232))&gt;0),"",IF(AND($V232="Sub",N($U232)&gt;0),IF(ISNUMBER(INDEX($AM$5:$AM$1000,$U232-4)),DATE(YEAR(INDEX($AM$5:$AM$1000,$U232-4)),MONTH(INDEX($AM$5:$AM$1000,$U232-4)),1),IF(ISNUMBER(INDEX($AN$5:$AN$1000,$U232-4)),DATE(YEAR(INDEX($AN$5:$AN$1000,$U232-4)),MONTH(INDEX($AN$5:$AN$1000,$U232-4)),1),MesCiclo)),IF(ISNUMBER($AM232),DATE(YEAR($AM232),MONTH($AM232),1),IF(ISNUMBER($AN232),DATE(YEAR($AN232),MONTH($AN232),1),MesCiclo))))</f>
        <v/>
      </c>
      <c r="T232" s="62">
        <f>IF(OR($S232="",$S232&lt;&gt;MesCiclo),"",COUNTIF($S$5:$S232,MesCiclo))</f>
        <v/>
      </c>
      <c r="U232" s="62">
        <f>IF($V232="","",IF($V232="Macro",ROW(),IFERROR(LOOKUP(2,1/($V$5:$V232="Macro"),ROW($V$5:$V232)),0)))</f>
        <v/>
      </c>
      <c r="V232" s="62">
        <f>IF(NOT((COUNTA($B232:$D232)+COUNTA($G232:$L232)+COUNTA($Q232))&gt;0),"",IF($B232="Subactividad","Sub","Macro"))</f>
        <v/>
      </c>
      <c r="W232" s="62">
        <f>IF($V232="Macro",COUNTIFS($U$5:$U$1000,ROW(),$V$5:$V$1000,"Sub"),"")</f>
        <v/>
      </c>
      <c r="X232" s="62">
        <f>IF($V232="","",IF(ISNUMBER($G232),1,IFERROR(LOOKUP(2,1/($I232:$L232&lt;&gt;""),$I232:$L232),0)))</f>
        <v/>
      </c>
      <c r="Y232" s="62">
        <f>IF($V232="","",IF(AND(ISNUMBER($G232),$G232&lt;=IF($S232=MesCiclo,InicioCiclo,$S232+MOD(2-WEEKDAY($S232),7))+6),1,IF(ISNUMBER($I232),$I232,0)))</f>
        <v/>
      </c>
      <c r="Z232" s="62">
        <f>IF($V232="","",IF(AND(ISNUMBER($G232),$G232&lt;=IF($S232=MesCiclo,InicioCiclo,$S232+MOD(2-WEEKDAY($S232),7))+13),1,IF(ISNUMBER($J232),$J232,$Y232)))</f>
        <v/>
      </c>
      <c r="AA232" s="62">
        <f>IF($V232="","",IF(AND(ISNUMBER($G232),$G232&lt;=IF($S232=MesCiclo,InicioCiclo,$S232+MOD(2-WEEKDAY($S232),7))+20),1,IF(ISNUMBER($K232),$K232,$Z232)))</f>
        <v/>
      </c>
      <c r="AB232" s="62">
        <f>IF($V232="","",IF(AND(ISNUMBER($G232),$G232&lt;=IF($S232=MesCiclo,InicioCiclo,$S232+MOD(2-WEEKDAY($S232),7))+27),1,IF(ISNUMBER($L232),$L232,$AA232)))</f>
        <v/>
      </c>
      <c r="AC232" s="62">
        <f>IF($V232="","",IF(AND(ISNUMBER($G232),$G232&lt;=IF($S232=MesCiclo,InicioCiclo,$S232+MOD(2-WEEKDAY($S232),7))+6),1,IF(N($W232)&gt;0,AVERAGEIFS($Y$5:$Y$1000,$U$5:$U$1000,ROW(),$V$5:$V$1000,"Sub"),$Y232)))</f>
        <v/>
      </c>
      <c r="AD232" s="62">
        <f>IF($V232="","",IF(AND(ISNUMBER($G232),$G232&lt;=IF($S232=MesCiclo,InicioCiclo,$S232+MOD(2-WEEKDAY($S232),7))+13),1,IF(N($W232)&gt;0,AVERAGEIFS($Z$5:$Z$1000,$U$5:$U$1000,ROW(),$V$5:$V$1000,"Sub"),$Z232)))</f>
        <v/>
      </c>
      <c r="AE232" s="62">
        <f>IF($V232="","",IF(AND(ISNUMBER($G232),$G232&lt;=IF($S232=MesCiclo,InicioCiclo,$S232+MOD(2-WEEKDAY($S232),7))+20),1,IF(N($W232)&gt;0,AVERAGEIFS($AA$5:$AA$1000,$U$5:$U$1000,ROW(),$V$5:$V$1000,"Sub"),$AA232)))</f>
        <v/>
      </c>
      <c r="AF232" s="62">
        <f>IF($V232="","",IF(AND(ISNUMBER($G232),$G232&lt;=IF($S232=MesCiclo,InicioCiclo,$S232+MOD(2-WEEKDAY($S232),7))+27),1,IF(N($W232)&gt;0,AVERAGEIFS($AB$5:$AB$1000,$U$5:$U$1000,ROW(),$V$5:$V$1000,"Sub"),$AB232)))</f>
        <v/>
      </c>
      <c r="AG232" s="62">
        <f>IF($V232&lt;&gt;"Macro","",IF(COUNTIFS($S$5:$S$1000,$S232,$V$5:$V$1000,"Macro",$H$5:$H$1000,"&gt;0")=0,1/COUNTIFS($S$5:$S$1000,$S232,$V$5:$V$1000,"Macro"),IF(AND(ISNUMBER($H232),N($H232)&gt;0),$H232,SUMIFS($H$5:$H$1000,$S$5:$S$1000,$S232,$V$5:$V$1000,"Macro")/COUNTIFS($S$5:$S$1000,$S232,$V$5:$V$1000,"Macro",$H$5:$H$1000,"&gt;0"))/(COUNTIFS($S$5:$S$1000,$S232,$V$5:$V$1000,"Macro")*SUMIFS($H$5:$H$1000,$S$5:$S$1000,$S232,$V$5:$V$1000,"Macro")/COUNTIFS($S$5:$S$1000,$S232,$V$5:$V$1000,"Macro",$H$5:$H$1000,"&gt;0"))))</f>
        <v/>
      </c>
      <c r="AH232" s="62" t="n"/>
      <c r="AI232" s="62" t="n"/>
      <c r="AJ232" s="62" t="n"/>
      <c r="AK232" s="62" t="n"/>
      <c r="AL232" s="62">
        <f>IF(LEFT($C232,11)="[Jefatura] ",IFERROR(MATCH("Riesgo Operacional|"&amp;MID($C232,12,500),rDname_ADM,0),0),"")</f>
        <v/>
      </c>
      <c r="AM232" s="62">
        <f>IF(N($AL232)&gt;0,INDEX(rIni_ADM,$AL232),IF(ISNUMBER($E232),$E232,""))</f>
        <v/>
      </c>
      <c r="AN232" s="62">
        <f>IF(N($AL232)&gt;0,INDEX(rLim_ADM,$AL232),IF(ISNUMBER($F232),$F232,""))</f>
        <v/>
      </c>
    </row>
    <row r="233">
      <c r="A233" s="56">
        <f>IF(NOT((COUNTA($B233:$D233)+COUNTA($G233:$L233)+COUNTA($Q233))&gt;0),"",IF($V233="Macro",COUNTIFS($V$5:$V233,"Macro",$S$5:$S233,$S233),IF(N($U233)=0,"?",COUNTIFS(INDEX($V$5:$V$1000,1):INDEX($V$5:$V$1000,$U233-4),"Macro",INDEX($S$5:$S$1000,1):INDEX($S$5:$S$1000,$U233-4),INDEX($S$5:$S$1000,$U233-4))&amp;"."&amp;COUNTIFS($U$5:$U233,$U233,$V$5:$V233,"Sub"))))</f>
        <v/>
      </c>
      <c r="B233" s="57" t="n"/>
      <c r="C233" s="58" t="n"/>
      <c r="D233" s="58" t="n"/>
      <c r="E233" s="59">
        <f>IF(N($AL233)&gt;0,INDEX(rIni_ADM,$AL233),"")</f>
        <v/>
      </c>
      <c r="F233" s="59">
        <f>IF(N($AL233)&gt;0,INDEX(rLim_ADM,$AL233),"")</f>
        <v/>
      </c>
      <c r="G233" s="59" t="n"/>
      <c r="H233" s="60" t="n"/>
      <c r="I233" s="60" t="n"/>
      <c r="J233" s="60" t="n"/>
      <c r="K233" s="60" t="n"/>
      <c r="L233" s="60" t="n"/>
      <c r="M233" s="61">
        <f>IF(NOT((COUNTA($B233:$D233)+COUNTA($G233:$L233)+COUNTA($Q233))&gt;0),"",IF(ISNUMBER($G233),1,IF(N($W233)&gt;0,AVERAGEIFS($X$5:$X$1000,$U$5:$U$1000,ROW(),$V$5:$V$1000,"Sub"),$X233)))</f>
        <v/>
      </c>
      <c r="N233" s="56">
        <f>IF($M233="","",IF($M233&gt;=1,"Completado",IF($M233&gt;0,"En curso","Pendiente")))</f>
        <v/>
      </c>
      <c r="O233" s="56">
        <f>IF(NOT((COUNTA($B233:$D233)+COUNTA($G233:$L233)+COUNTA($Q233))&gt;0),"",IF(ISNUMBER($G233),IF(AND(ISNUMBER($AN233),$G233&gt;$AN233),"Cumplida con "&amp;($G233-$AN233)&amp;IF($G233-$AN233=1," día"," días")&amp;" de retraso","Cumplida"),IF(N($M233)&gt;=1,"Cumplida",IF(NOT(ISNUMBER($AN233)),"Sin fecha límite",IF($AN233&lt;FechaRef,"Vencida hace "&amp;(FechaRef-$AN233)&amp;IF(FechaRef-$AN233=1," día"," días"),IF($AN233=FechaRef,"Vence hoy",IF($AN233-FechaRef&lt;=DiasAlerta,"Vence en "&amp;($AN233-FechaRef)&amp;IF($AN233-FechaRef=1," día"," días"),"En plazo")))))))</f>
        <v/>
      </c>
      <c r="P233" s="62" t="n"/>
      <c r="Q233" s="58" t="n"/>
      <c r="R233" s="63">
        <f>IF(NOT((COUNTA($B233:$D233)+COUNTA($G233:$L233)+COUNTA($Q233))&gt;0),"",IF((IF($C233="","Falta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",""))="","✔ OK","⚠ "&amp;LEFT(IF($C233="","Falta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",""),LEN(IF($C233="","Falta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",""))-3)))</f>
        <v/>
      </c>
      <c r="S233" s="64">
        <f>IF(NOT((COUNTA($B233:$D233)+COUNTA($G233:$L233)+COUNTA($Q233))&gt;0),"",IF(AND($V233="Sub",N($U233)&gt;0),IF(ISNUMBER(INDEX($AM$5:$AM$1000,$U233-4)),DATE(YEAR(INDEX($AM$5:$AM$1000,$U233-4)),MONTH(INDEX($AM$5:$AM$1000,$U233-4)),1),IF(ISNUMBER(INDEX($AN$5:$AN$1000,$U233-4)),DATE(YEAR(INDEX($AN$5:$AN$1000,$U233-4)),MONTH(INDEX($AN$5:$AN$1000,$U233-4)),1),MesCiclo)),IF(ISNUMBER($AM233),DATE(YEAR($AM233),MONTH($AM233),1),IF(ISNUMBER($AN233),DATE(YEAR($AN233),MONTH($AN233),1),MesCiclo))))</f>
        <v/>
      </c>
      <c r="T233" s="62">
        <f>IF(OR($S233="",$S233&lt;&gt;MesCiclo),"",COUNTIF($S$5:$S233,MesCiclo))</f>
        <v/>
      </c>
      <c r="U233" s="62">
        <f>IF($V233="","",IF($V233="Macro",ROW(),IFERROR(LOOKUP(2,1/($V$5:$V233="Macro"),ROW($V$5:$V233)),0)))</f>
        <v/>
      </c>
      <c r="V233" s="62">
        <f>IF(NOT((COUNTA($B233:$D233)+COUNTA($G233:$L233)+COUNTA($Q233))&gt;0),"",IF($B233="Subactividad","Sub","Macro"))</f>
        <v/>
      </c>
      <c r="W233" s="62">
        <f>IF($V233="Macro",COUNTIFS($U$5:$U$1000,ROW(),$V$5:$V$1000,"Sub"),"")</f>
        <v/>
      </c>
      <c r="X233" s="62">
        <f>IF($V233="","",IF(ISNUMBER($G233),1,IFERROR(LOOKUP(2,1/($I233:$L233&lt;&gt;""),$I233:$L233),0)))</f>
        <v/>
      </c>
      <c r="Y233" s="62">
        <f>IF($V233="","",IF(AND(ISNUMBER($G233),$G233&lt;=IF($S233=MesCiclo,InicioCiclo,$S233+MOD(2-WEEKDAY($S233),7))+6),1,IF(ISNUMBER($I233),$I233,0)))</f>
        <v/>
      </c>
      <c r="Z233" s="62">
        <f>IF($V233="","",IF(AND(ISNUMBER($G233),$G233&lt;=IF($S233=MesCiclo,InicioCiclo,$S233+MOD(2-WEEKDAY($S233),7))+13),1,IF(ISNUMBER($J233),$J233,$Y233)))</f>
        <v/>
      </c>
      <c r="AA233" s="62">
        <f>IF($V233="","",IF(AND(ISNUMBER($G233),$G233&lt;=IF($S233=MesCiclo,InicioCiclo,$S233+MOD(2-WEEKDAY($S233),7))+20),1,IF(ISNUMBER($K233),$K233,$Z233)))</f>
        <v/>
      </c>
      <c r="AB233" s="62">
        <f>IF($V233="","",IF(AND(ISNUMBER($G233),$G233&lt;=IF($S233=MesCiclo,InicioCiclo,$S233+MOD(2-WEEKDAY($S233),7))+27),1,IF(ISNUMBER($L233),$L233,$AA233)))</f>
        <v/>
      </c>
      <c r="AC233" s="62">
        <f>IF($V233="","",IF(AND(ISNUMBER($G233),$G233&lt;=IF($S233=MesCiclo,InicioCiclo,$S233+MOD(2-WEEKDAY($S233),7))+6),1,IF(N($W233)&gt;0,AVERAGEIFS($Y$5:$Y$1000,$U$5:$U$1000,ROW(),$V$5:$V$1000,"Sub"),$Y233)))</f>
        <v/>
      </c>
      <c r="AD233" s="62">
        <f>IF($V233="","",IF(AND(ISNUMBER($G233),$G233&lt;=IF($S233=MesCiclo,InicioCiclo,$S233+MOD(2-WEEKDAY($S233),7))+13),1,IF(N($W233)&gt;0,AVERAGEIFS($Z$5:$Z$1000,$U$5:$U$1000,ROW(),$V$5:$V$1000,"Sub"),$Z233)))</f>
        <v/>
      </c>
      <c r="AE233" s="62">
        <f>IF($V233="","",IF(AND(ISNUMBER($G233),$G233&lt;=IF($S233=MesCiclo,InicioCiclo,$S233+MOD(2-WEEKDAY($S233),7))+20),1,IF(N($W233)&gt;0,AVERAGEIFS($AA$5:$AA$1000,$U$5:$U$1000,ROW(),$V$5:$V$1000,"Sub"),$AA233)))</f>
        <v/>
      </c>
      <c r="AF233" s="62">
        <f>IF($V233="","",IF(AND(ISNUMBER($G233),$G233&lt;=IF($S233=MesCiclo,InicioCiclo,$S233+MOD(2-WEEKDAY($S233),7))+27),1,IF(N($W233)&gt;0,AVERAGEIFS($AB$5:$AB$1000,$U$5:$U$1000,ROW(),$V$5:$V$1000,"Sub"),$AB233)))</f>
        <v/>
      </c>
      <c r="AG233" s="62">
        <f>IF($V233&lt;&gt;"Macro","",IF(COUNTIFS($S$5:$S$1000,$S233,$V$5:$V$1000,"Macro",$H$5:$H$1000,"&gt;0")=0,1/COUNTIFS($S$5:$S$1000,$S233,$V$5:$V$1000,"Macro"),IF(AND(ISNUMBER($H233),N($H233)&gt;0),$H233,SUMIFS($H$5:$H$1000,$S$5:$S$1000,$S233,$V$5:$V$1000,"Macro")/COUNTIFS($S$5:$S$1000,$S233,$V$5:$V$1000,"Macro",$H$5:$H$1000,"&gt;0"))/(COUNTIFS($S$5:$S$1000,$S233,$V$5:$V$1000,"Macro")*SUMIFS($H$5:$H$1000,$S$5:$S$1000,$S233,$V$5:$V$1000,"Macro")/COUNTIFS($S$5:$S$1000,$S233,$V$5:$V$1000,"Macro",$H$5:$H$1000,"&gt;0"))))</f>
        <v/>
      </c>
      <c r="AH233" s="62" t="n"/>
      <c r="AI233" s="62" t="n"/>
      <c r="AJ233" s="62" t="n"/>
      <c r="AK233" s="62" t="n"/>
      <c r="AL233" s="62">
        <f>IF(LEFT($C233,11)="[Jefatura] ",IFERROR(MATCH("Riesgo Operacional|"&amp;MID($C233,12,500),rDname_ADM,0),0),"")</f>
        <v/>
      </c>
      <c r="AM233" s="62">
        <f>IF(N($AL233)&gt;0,INDEX(rIni_ADM,$AL233),IF(ISNUMBER($E233),$E233,""))</f>
        <v/>
      </c>
      <c r="AN233" s="62">
        <f>IF(N($AL233)&gt;0,INDEX(rLim_ADM,$AL233),IF(ISNUMBER($F233),$F233,""))</f>
        <v/>
      </c>
    </row>
    <row r="234">
      <c r="A234" s="56">
        <f>IF(NOT((COUNTA($B234:$D234)+COUNTA($G234:$L234)+COUNTA($Q234))&gt;0),"",IF($V234="Macro",COUNTIFS($V$5:$V234,"Macro",$S$5:$S234,$S234),IF(N($U234)=0,"?",COUNTIFS(INDEX($V$5:$V$1000,1):INDEX($V$5:$V$1000,$U234-4),"Macro",INDEX($S$5:$S$1000,1):INDEX($S$5:$S$1000,$U234-4),INDEX($S$5:$S$1000,$U234-4))&amp;"."&amp;COUNTIFS($U$5:$U234,$U234,$V$5:$V234,"Sub"))))</f>
        <v/>
      </c>
      <c r="B234" s="57" t="n"/>
      <c r="C234" s="58" t="n"/>
      <c r="D234" s="58" t="n"/>
      <c r="E234" s="59">
        <f>IF(N($AL234)&gt;0,INDEX(rIni_ADM,$AL234),"")</f>
        <v/>
      </c>
      <c r="F234" s="59">
        <f>IF(N($AL234)&gt;0,INDEX(rLim_ADM,$AL234),"")</f>
        <v/>
      </c>
      <c r="G234" s="59" t="n"/>
      <c r="H234" s="60" t="n"/>
      <c r="I234" s="60" t="n"/>
      <c r="J234" s="60" t="n"/>
      <c r="K234" s="60" t="n"/>
      <c r="L234" s="60" t="n"/>
      <c r="M234" s="61">
        <f>IF(NOT((COUNTA($B234:$D234)+COUNTA($G234:$L234)+COUNTA($Q234))&gt;0),"",IF(ISNUMBER($G234),1,IF(N($W234)&gt;0,AVERAGEIFS($X$5:$X$1000,$U$5:$U$1000,ROW(),$V$5:$V$1000,"Sub"),$X234)))</f>
        <v/>
      </c>
      <c r="N234" s="56">
        <f>IF($M234="","",IF($M234&gt;=1,"Completado",IF($M234&gt;0,"En curso","Pendiente")))</f>
        <v/>
      </c>
      <c r="O234" s="56">
        <f>IF(NOT((COUNTA($B234:$D234)+COUNTA($G234:$L234)+COUNTA($Q234))&gt;0),"",IF(ISNUMBER($G234),IF(AND(ISNUMBER($AN234),$G234&gt;$AN234),"Cumplida con "&amp;($G234-$AN234)&amp;IF($G234-$AN234=1," día"," días")&amp;" de retraso","Cumplida"),IF(N($M234)&gt;=1,"Cumplida",IF(NOT(ISNUMBER($AN234)),"Sin fecha límite",IF($AN234&lt;FechaRef,"Vencida hace "&amp;(FechaRef-$AN234)&amp;IF(FechaRef-$AN234=1," día"," días"),IF($AN234=FechaRef,"Vence hoy",IF($AN234-FechaRef&lt;=DiasAlerta,"Vence en "&amp;($AN234-FechaRef)&amp;IF($AN234-FechaRef=1," día"," días"),"En plazo")))))))</f>
        <v/>
      </c>
      <c r="P234" s="62" t="n"/>
      <c r="Q234" s="58" t="n"/>
      <c r="R234" s="63">
        <f>IF(NOT((COUNTA($B234:$D234)+COUNTA($G234:$L234)+COUNTA($Q234))&gt;0),"",IF((IF($C234="","Falta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",""))="","✔ OK","⚠ "&amp;LEFT(IF($C234="","Falta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",""),LEN(IF($C234="","Falta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",""))-3)))</f>
        <v/>
      </c>
      <c r="S234" s="64">
        <f>IF(NOT((COUNTA($B234:$D234)+COUNTA($G234:$L234)+COUNTA($Q234))&gt;0),"",IF(AND($V234="Sub",N($U234)&gt;0),IF(ISNUMBER(INDEX($AM$5:$AM$1000,$U234-4)),DATE(YEAR(INDEX($AM$5:$AM$1000,$U234-4)),MONTH(INDEX($AM$5:$AM$1000,$U234-4)),1),IF(ISNUMBER(INDEX($AN$5:$AN$1000,$U234-4)),DATE(YEAR(INDEX($AN$5:$AN$1000,$U234-4)),MONTH(INDEX($AN$5:$AN$1000,$U234-4)),1),MesCiclo)),IF(ISNUMBER($AM234),DATE(YEAR($AM234),MONTH($AM234),1),IF(ISNUMBER($AN234),DATE(YEAR($AN234),MONTH($AN234),1),MesCiclo))))</f>
        <v/>
      </c>
      <c r="T234" s="62">
        <f>IF(OR($S234="",$S234&lt;&gt;MesCiclo),"",COUNTIF($S$5:$S234,MesCiclo))</f>
        <v/>
      </c>
      <c r="U234" s="62">
        <f>IF($V234="","",IF($V234="Macro",ROW(),IFERROR(LOOKUP(2,1/($V$5:$V234="Macro"),ROW($V$5:$V234)),0)))</f>
        <v/>
      </c>
      <c r="V234" s="62">
        <f>IF(NOT((COUNTA($B234:$D234)+COUNTA($G234:$L234)+COUNTA($Q234))&gt;0),"",IF($B234="Subactividad","Sub","Macro"))</f>
        <v/>
      </c>
      <c r="W234" s="62">
        <f>IF($V234="Macro",COUNTIFS($U$5:$U$1000,ROW(),$V$5:$V$1000,"Sub"),"")</f>
        <v/>
      </c>
      <c r="X234" s="62">
        <f>IF($V234="","",IF(ISNUMBER($G234),1,IFERROR(LOOKUP(2,1/($I234:$L234&lt;&gt;""),$I234:$L234),0)))</f>
        <v/>
      </c>
      <c r="Y234" s="62">
        <f>IF($V234="","",IF(AND(ISNUMBER($G234),$G234&lt;=IF($S234=MesCiclo,InicioCiclo,$S234+MOD(2-WEEKDAY($S234),7))+6),1,IF(ISNUMBER($I234),$I234,0)))</f>
        <v/>
      </c>
      <c r="Z234" s="62">
        <f>IF($V234="","",IF(AND(ISNUMBER($G234),$G234&lt;=IF($S234=MesCiclo,InicioCiclo,$S234+MOD(2-WEEKDAY($S234),7))+13),1,IF(ISNUMBER($J234),$J234,$Y234)))</f>
        <v/>
      </c>
      <c r="AA234" s="62">
        <f>IF($V234="","",IF(AND(ISNUMBER($G234),$G234&lt;=IF($S234=MesCiclo,InicioCiclo,$S234+MOD(2-WEEKDAY($S234),7))+20),1,IF(ISNUMBER($K234),$K234,$Z234)))</f>
        <v/>
      </c>
      <c r="AB234" s="62">
        <f>IF($V234="","",IF(AND(ISNUMBER($G234),$G234&lt;=IF($S234=MesCiclo,InicioCiclo,$S234+MOD(2-WEEKDAY($S234),7))+27),1,IF(ISNUMBER($L234),$L234,$AA234)))</f>
        <v/>
      </c>
      <c r="AC234" s="62">
        <f>IF($V234="","",IF(AND(ISNUMBER($G234),$G234&lt;=IF($S234=MesCiclo,InicioCiclo,$S234+MOD(2-WEEKDAY($S234),7))+6),1,IF(N($W234)&gt;0,AVERAGEIFS($Y$5:$Y$1000,$U$5:$U$1000,ROW(),$V$5:$V$1000,"Sub"),$Y234)))</f>
        <v/>
      </c>
      <c r="AD234" s="62">
        <f>IF($V234="","",IF(AND(ISNUMBER($G234),$G234&lt;=IF($S234=MesCiclo,InicioCiclo,$S234+MOD(2-WEEKDAY($S234),7))+13),1,IF(N($W234)&gt;0,AVERAGEIFS($Z$5:$Z$1000,$U$5:$U$1000,ROW(),$V$5:$V$1000,"Sub"),$Z234)))</f>
        <v/>
      </c>
      <c r="AE234" s="62">
        <f>IF($V234="","",IF(AND(ISNUMBER($G234),$G234&lt;=IF($S234=MesCiclo,InicioCiclo,$S234+MOD(2-WEEKDAY($S234),7))+20),1,IF(N($W234)&gt;0,AVERAGEIFS($AA$5:$AA$1000,$U$5:$U$1000,ROW(),$V$5:$V$1000,"Sub"),$AA234)))</f>
        <v/>
      </c>
      <c r="AF234" s="62">
        <f>IF($V234="","",IF(AND(ISNUMBER($G234),$G234&lt;=IF($S234=MesCiclo,InicioCiclo,$S234+MOD(2-WEEKDAY($S234),7))+27),1,IF(N($W234)&gt;0,AVERAGEIFS($AB$5:$AB$1000,$U$5:$U$1000,ROW(),$V$5:$V$1000,"Sub"),$AB234)))</f>
        <v/>
      </c>
      <c r="AG234" s="62">
        <f>IF($V234&lt;&gt;"Macro","",IF(COUNTIFS($S$5:$S$1000,$S234,$V$5:$V$1000,"Macro",$H$5:$H$1000,"&gt;0")=0,1/COUNTIFS($S$5:$S$1000,$S234,$V$5:$V$1000,"Macro"),IF(AND(ISNUMBER($H234),N($H234)&gt;0),$H234,SUMIFS($H$5:$H$1000,$S$5:$S$1000,$S234,$V$5:$V$1000,"Macro")/COUNTIFS($S$5:$S$1000,$S234,$V$5:$V$1000,"Macro",$H$5:$H$1000,"&gt;0"))/(COUNTIFS($S$5:$S$1000,$S234,$V$5:$V$1000,"Macro")*SUMIFS($H$5:$H$1000,$S$5:$S$1000,$S234,$V$5:$V$1000,"Macro")/COUNTIFS($S$5:$S$1000,$S234,$V$5:$V$1000,"Macro",$H$5:$H$1000,"&gt;0"))))</f>
        <v/>
      </c>
      <c r="AH234" s="62" t="n"/>
      <c r="AI234" s="62" t="n"/>
      <c r="AJ234" s="62" t="n"/>
      <c r="AK234" s="62" t="n"/>
      <c r="AL234" s="62">
        <f>IF(LEFT($C234,11)="[Jefatura] ",IFERROR(MATCH("Riesgo Operacional|"&amp;MID($C234,12,500),rDname_ADM,0),0),"")</f>
        <v/>
      </c>
      <c r="AM234" s="62">
        <f>IF(N($AL234)&gt;0,INDEX(rIni_ADM,$AL234),IF(ISNUMBER($E234),$E234,""))</f>
        <v/>
      </c>
      <c r="AN234" s="62">
        <f>IF(N($AL234)&gt;0,INDEX(rLim_ADM,$AL234),IF(ISNUMBER($F234),$F234,""))</f>
        <v/>
      </c>
    </row>
    <row r="235">
      <c r="A235" s="56">
        <f>IF(NOT((COUNTA($B235:$D235)+COUNTA($G235:$L235)+COUNTA($Q235))&gt;0),"",IF($V235="Macro",COUNTIFS($V$5:$V235,"Macro",$S$5:$S235,$S235),IF(N($U235)=0,"?",COUNTIFS(INDEX($V$5:$V$1000,1):INDEX($V$5:$V$1000,$U235-4),"Macro",INDEX($S$5:$S$1000,1):INDEX($S$5:$S$1000,$U235-4),INDEX($S$5:$S$1000,$U235-4))&amp;"."&amp;COUNTIFS($U$5:$U235,$U235,$V$5:$V235,"Sub"))))</f>
        <v/>
      </c>
      <c r="B235" s="57" t="n"/>
      <c r="C235" s="58" t="n"/>
      <c r="D235" s="58" t="n"/>
      <c r="E235" s="59">
        <f>IF(N($AL235)&gt;0,INDEX(rIni_ADM,$AL235),"")</f>
        <v/>
      </c>
      <c r="F235" s="59">
        <f>IF(N($AL235)&gt;0,INDEX(rLim_ADM,$AL235),"")</f>
        <v/>
      </c>
      <c r="G235" s="59" t="n"/>
      <c r="H235" s="60" t="n"/>
      <c r="I235" s="60" t="n"/>
      <c r="J235" s="60" t="n"/>
      <c r="K235" s="60" t="n"/>
      <c r="L235" s="60" t="n"/>
      <c r="M235" s="61">
        <f>IF(NOT((COUNTA($B235:$D235)+COUNTA($G235:$L235)+COUNTA($Q235))&gt;0),"",IF(ISNUMBER($G235),1,IF(N($W235)&gt;0,AVERAGEIFS($X$5:$X$1000,$U$5:$U$1000,ROW(),$V$5:$V$1000,"Sub"),$X235)))</f>
        <v/>
      </c>
      <c r="N235" s="56">
        <f>IF($M235="","",IF($M235&gt;=1,"Completado",IF($M235&gt;0,"En curso","Pendiente")))</f>
        <v/>
      </c>
      <c r="O235" s="56">
        <f>IF(NOT((COUNTA($B235:$D235)+COUNTA($G235:$L235)+COUNTA($Q235))&gt;0),"",IF(ISNUMBER($G235),IF(AND(ISNUMBER($AN235),$G235&gt;$AN235),"Cumplida con "&amp;($G235-$AN235)&amp;IF($G235-$AN235=1," día"," días")&amp;" de retraso","Cumplida"),IF(N($M235)&gt;=1,"Cumplida",IF(NOT(ISNUMBER($AN235)),"Sin fecha límite",IF($AN235&lt;FechaRef,"Vencida hace "&amp;(FechaRef-$AN235)&amp;IF(FechaRef-$AN235=1," día"," días"),IF($AN235=FechaRef,"Vence hoy",IF($AN235-FechaRef&lt;=DiasAlerta,"Vence en "&amp;($AN235-FechaRef)&amp;IF($AN235-FechaRef=1," día"," días"),"En plazo")))))))</f>
        <v/>
      </c>
      <c r="P235" s="62" t="n"/>
      <c r="Q235" s="58" t="n"/>
      <c r="R235" s="63">
        <f>IF(NOT((COUNTA($B235:$D235)+COUNTA($G235:$L235)+COUNTA($Q235))&gt;0),"",IF((IF($C235="","Falta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",""))="","✔ OK","⚠ "&amp;LEFT(IF($C235="","Falta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",""),LEN(IF($C235="","Falta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",""))-3)))</f>
        <v/>
      </c>
      <c r="S235" s="64">
        <f>IF(NOT((COUNTA($B235:$D235)+COUNTA($G235:$L235)+COUNTA($Q235))&gt;0),"",IF(AND($V235="Sub",N($U235)&gt;0),IF(ISNUMBER(INDEX($AM$5:$AM$1000,$U235-4)),DATE(YEAR(INDEX($AM$5:$AM$1000,$U235-4)),MONTH(INDEX($AM$5:$AM$1000,$U235-4)),1),IF(ISNUMBER(INDEX($AN$5:$AN$1000,$U235-4)),DATE(YEAR(INDEX($AN$5:$AN$1000,$U235-4)),MONTH(INDEX($AN$5:$AN$1000,$U235-4)),1),MesCiclo)),IF(ISNUMBER($AM235),DATE(YEAR($AM235),MONTH($AM235),1),IF(ISNUMBER($AN235),DATE(YEAR($AN235),MONTH($AN235),1),MesCiclo))))</f>
        <v/>
      </c>
      <c r="T235" s="62">
        <f>IF(OR($S235="",$S235&lt;&gt;MesCiclo),"",COUNTIF($S$5:$S235,MesCiclo))</f>
        <v/>
      </c>
      <c r="U235" s="62">
        <f>IF($V235="","",IF($V235="Macro",ROW(),IFERROR(LOOKUP(2,1/($V$5:$V235="Macro"),ROW($V$5:$V235)),0)))</f>
        <v/>
      </c>
      <c r="V235" s="62">
        <f>IF(NOT((COUNTA($B235:$D235)+COUNTA($G235:$L235)+COUNTA($Q235))&gt;0),"",IF($B235="Subactividad","Sub","Macro"))</f>
        <v/>
      </c>
      <c r="W235" s="62">
        <f>IF($V235="Macro",COUNTIFS($U$5:$U$1000,ROW(),$V$5:$V$1000,"Sub"),"")</f>
        <v/>
      </c>
      <c r="X235" s="62">
        <f>IF($V235="","",IF(ISNUMBER($G235),1,IFERROR(LOOKUP(2,1/($I235:$L235&lt;&gt;""),$I235:$L235),0)))</f>
        <v/>
      </c>
      <c r="Y235" s="62">
        <f>IF($V235="","",IF(AND(ISNUMBER($G235),$G235&lt;=IF($S235=MesCiclo,InicioCiclo,$S235+MOD(2-WEEKDAY($S235),7))+6),1,IF(ISNUMBER($I235),$I235,0)))</f>
        <v/>
      </c>
      <c r="Z235" s="62">
        <f>IF($V235="","",IF(AND(ISNUMBER($G235),$G235&lt;=IF($S235=MesCiclo,InicioCiclo,$S235+MOD(2-WEEKDAY($S235),7))+13),1,IF(ISNUMBER($J235),$J235,$Y235)))</f>
        <v/>
      </c>
      <c r="AA235" s="62">
        <f>IF($V235="","",IF(AND(ISNUMBER($G235),$G235&lt;=IF($S235=MesCiclo,InicioCiclo,$S235+MOD(2-WEEKDAY($S235),7))+20),1,IF(ISNUMBER($K235),$K235,$Z235)))</f>
        <v/>
      </c>
      <c r="AB235" s="62">
        <f>IF($V235="","",IF(AND(ISNUMBER($G235),$G235&lt;=IF($S235=MesCiclo,InicioCiclo,$S235+MOD(2-WEEKDAY($S235),7))+27),1,IF(ISNUMBER($L235),$L235,$AA235)))</f>
        <v/>
      </c>
      <c r="AC235" s="62">
        <f>IF($V235="","",IF(AND(ISNUMBER($G235),$G235&lt;=IF($S235=MesCiclo,InicioCiclo,$S235+MOD(2-WEEKDAY($S235),7))+6),1,IF(N($W235)&gt;0,AVERAGEIFS($Y$5:$Y$1000,$U$5:$U$1000,ROW(),$V$5:$V$1000,"Sub"),$Y235)))</f>
        <v/>
      </c>
      <c r="AD235" s="62">
        <f>IF($V235="","",IF(AND(ISNUMBER($G235),$G235&lt;=IF($S235=MesCiclo,InicioCiclo,$S235+MOD(2-WEEKDAY($S235),7))+13),1,IF(N($W235)&gt;0,AVERAGEIFS($Z$5:$Z$1000,$U$5:$U$1000,ROW(),$V$5:$V$1000,"Sub"),$Z235)))</f>
        <v/>
      </c>
      <c r="AE235" s="62">
        <f>IF($V235="","",IF(AND(ISNUMBER($G235),$G235&lt;=IF($S235=MesCiclo,InicioCiclo,$S235+MOD(2-WEEKDAY($S235),7))+20),1,IF(N($W235)&gt;0,AVERAGEIFS($AA$5:$AA$1000,$U$5:$U$1000,ROW(),$V$5:$V$1000,"Sub"),$AA235)))</f>
        <v/>
      </c>
      <c r="AF235" s="62">
        <f>IF($V235="","",IF(AND(ISNUMBER($G235),$G235&lt;=IF($S235=MesCiclo,InicioCiclo,$S235+MOD(2-WEEKDAY($S235),7))+27),1,IF(N($W235)&gt;0,AVERAGEIFS($AB$5:$AB$1000,$U$5:$U$1000,ROW(),$V$5:$V$1000,"Sub"),$AB235)))</f>
        <v/>
      </c>
      <c r="AG235" s="62">
        <f>IF($V235&lt;&gt;"Macro","",IF(COUNTIFS($S$5:$S$1000,$S235,$V$5:$V$1000,"Macro",$H$5:$H$1000,"&gt;0")=0,1/COUNTIFS($S$5:$S$1000,$S235,$V$5:$V$1000,"Macro"),IF(AND(ISNUMBER($H235),N($H235)&gt;0),$H235,SUMIFS($H$5:$H$1000,$S$5:$S$1000,$S235,$V$5:$V$1000,"Macro")/COUNTIFS($S$5:$S$1000,$S235,$V$5:$V$1000,"Macro",$H$5:$H$1000,"&gt;0"))/(COUNTIFS($S$5:$S$1000,$S235,$V$5:$V$1000,"Macro")*SUMIFS($H$5:$H$1000,$S$5:$S$1000,$S235,$V$5:$V$1000,"Macro")/COUNTIFS($S$5:$S$1000,$S235,$V$5:$V$1000,"Macro",$H$5:$H$1000,"&gt;0"))))</f>
        <v/>
      </c>
      <c r="AH235" s="62" t="n"/>
      <c r="AI235" s="62" t="n"/>
      <c r="AJ235" s="62" t="n"/>
      <c r="AK235" s="62" t="n"/>
      <c r="AL235" s="62">
        <f>IF(LEFT($C235,11)="[Jefatura] ",IFERROR(MATCH("Riesgo Operacional|"&amp;MID($C235,12,500),rDname_ADM,0),0),"")</f>
        <v/>
      </c>
      <c r="AM235" s="62">
        <f>IF(N($AL235)&gt;0,INDEX(rIni_ADM,$AL235),IF(ISNUMBER($E235),$E235,""))</f>
        <v/>
      </c>
      <c r="AN235" s="62">
        <f>IF(N($AL235)&gt;0,INDEX(rLim_ADM,$AL235),IF(ISNUMBER($F235),$F235,""))</f>
        <v/>
      </c>
    </row>
    <row r="236">
      <c r="A236" s="56">
        <f>IF(NOT((COUNTA($B236:$D236)+COUNTA($G236:$L236)+COUNTA($Q236))&gt;0),"",IF($V236="Macro",COUNTIFS($V$5:$V236,"Macro",$S$5:$S236,$S236),IF(N($U236)=0,"?",COUNTIFS(INDEX($V$5:$V$1000,1):INDEX($V$5:$V$1000,$U236-4),"Macro",INDEX($S$5:$S$1000,1):INDEX($S$5:$S$1000,$U236-4),INDEX($S$5:$S$1000,$U236-4))&amp;"."&amp;COUNTIFS($U$5:$U236,$U236,$V$5:$V236,"Sub"))))</f>
        <v/>
      </c>
      <c r="B236" s="57" t="n"/>
      <c r="C236" s="58" t="n"/>
      <c r="D236" s="58" t="n"/>
      <c r="E236" s="59">
        <f>IF(N($AL236)&gt;0,INDEX(rIni_ADM,$AL236),"")</f>
        <v/>
      </c>
      <c r="F236" s="59">
        <f>IF(N($AL236)&gt;0,INDEX(rLim_ADM,$AL236),"")</f>
        <v/>
      </c>
      <c r="G236" s="59" t="n"/>
      <c r="H236" s="60" t="n"/>
      <c r="I236" s="60" t="n"/>
      <c r="J236" s="60" t="n"/>
      <c r="K236" s="60" t="n"/>
      <c r="L236" s="60" t="n"/>
      <c r="M236" s="61">
        <f>IF(NOT((COUNTA($B236:$D236)+COUNTA($G236:$L236)+COUNTA($Q236))&gt;0),"",IF(ISNUMBER($G236),1,IF(N($W236)&gt;0,AVERAGEIFS($X$5:$X$1000,$U$5:$U$1000,ROW(),$V$5:$V$1000,"Sub"),$X236)))</f>
        <v/>
      </c>
      <c r="N236" s="56">
        <f>IF($M236="","",IF($M236&gt;=1,"Completado",IF($M236&gt;0,"En curso","Pendiente")))</f>
        <v/>
      </c>
      <c r="O236" s="56">
        <f>IF(NOT((COUNTA($B236:$D236)+COUNTA($G236:$L236)+COUNTA($Q236))&gt;0),"",IF(ISNUMBER($G236),IF(AND(ISNUMBER($AN236),$G236&gt;$AN236),"Cumplida con "&amp;($G236-$AN236)&amp;IF($G236-$AN236=1," día"," días")&amp;" de retraso","Cumplida"),IF(N($M236)&gt;=1,"Cumplida",IF(NOT(ISNUMBER($AN236)),"Sin fecha límite",IF($AN236&lt;FechaRef,"Vencida hace "&amp;(FechaRef-$AN236)&amp;IF(FechaRef-$AN236=1," día"," días"),IF($AN236=FechaRef,"Vence hoy",IF($AN236-FechaRef&lt;=DiasAlerta,"Vence en "&amp;($AN236-FechaRef)&amp;IF($AN236-FechaRef=1," día"," días"),"En plazo")))))))</f>
        <v/>
      </c>
      <c r="P236" s="62" t="n"/>
      <c r="Q236" s="58" t="n"/>
      <c r="R236" s="63">
        <f>IF(NOT((COUNTA($B236:$D236)+COUNTA($G236:$L236)+COUNTA($Q236))&gt;0),"",IF((IF($C236="","Falta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",""))="","✔ OK","⚠ "&amp;LEFT(IF($C236="","Falta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",""),LEN(IF($C236="","Falta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",""))-3)))</f>
        <v/>
      </c>
      <c r="S236" s="64">
        <f>IF(NOT((COUNTA($B236:$D236)+COUNTA($G236:$L236)+COUNTA($Q236))&gt;0),"",IF(AND($V236="Sub",N($U236)&gt;0),IF(ISNUMBER(INDEX($AM$5:$AM$1000,$U236-4)),DATE(YEAR(INDEX($AM$5:$AM$1000,$U236-4)),MONTH(INDEX($AM$5:$AM$1000,$U236-4)),1),IF(ISNUMBER(INDEX($AN$5:$AN$1000,$U236-4)),DATE(YEAR(INDEX($AN$5:$AN$1000,$U236-4)),MONTH(INDEX($AN$5:$AN$1000,$U236-4)),1),MesCiclo)),IF(ISNUMBER($AM236),DATE(YEAR($AM236),MONTH($AM236),1),IF(ISNUMBER($AN236),DATE(YEAR($AN236),MONTH($AN236),1),MesCiclo))))</f>
        <v/>
      </c>
      <c r="T236" s="62">
        <f>IF(OR($S236="",$S236&lt;&gt;MesCiclo),"",COUNTIF($S$5:$S236,MesCiclo))</f>
        <v/>
      </c>
      <c r="U236" s="62">
        <f>IF($V236="","",IF($V236="Macro",ROW(),IFERROR(LOOKUP(2,1/($V$5:$V236="Macro"),ROW($V$5:$V236)),0)))</f>
        <v/>
      </c>
      <c r="V236" s="62">
        <f>IF(NOT((COUNTA($B236:$D236)+COUNTA($G236:$L236)+COUNTA($Q236))&gt;0),"",IF($B236="Subactividad","Sub","Macro"))</f>
        <v/>
      </c>
      <c r="W236" s="62">
        <f>IF($V236="Macro",COUNTIFS($U$5:$U$1000,ROW(),$V$5:$V$1000,"Sub"),"")</f>
        <v/>
      </c>
      <c r="X236" s="62">
        <f>IF($V236="","",IF(ISNUMBER($G236),1,IFERROR(LOOKUP(2,1/($I236:$L236&lt;&gt;""),$I236:$L236),0)))</f>
        <v/>
      </c>
      <c r="Y236" s="62">
        <f>IF($V236="","",IF(AND(ISNUMBER($G236),$G236&lt;=IF($S236=MesCiclo,InicioCiclo,$S236+MOD(2-WEEKDAY($S236),7))+6),1,IF(ISNUMBER($I236),$I236,0)))</f>
        <v/>
      </c>
      <c r="Z236" s="62">
        <f>IF($V236="","",IF(AND(ISNUMBER($G236),$G236&lt;=IF($S236=MesCiclo,InicioCiclo,$S236+MOD(2-WEEKDAY($S236),7))+13),1,IF(ISNUMBER($J236),$J236,$Y236)))</f>
        <v/>
      </c>
      <c r="AA236" s="62">
        <f>IF($V236="","",IF(AND(ISNUMBER($G236),$G236&lt;=IF($S236=MesCiclo,InicioCiclo,$S236+MOD(2-WEEKDAY($S236),7))+20),1,IF(ISNUMBER($K236),$K236,$Z236)))</f>
        <v/>
      </c>
      <c r="AB236" s="62">
        <f>IF($V236="","",IF(AND(ISNUMBER($G236),$G236&lt;=IF($S236=MesCiclo,InicioCiclo,$S236+MOD(2-WEEKDAY($S236),7))+27),1,IF(ISNUMBER($L236),$L236,$AA236)))</f>
        <v/>
      </c>
      <c r="AC236" s="62">
        <f>IF($V236="","",IF(AND(ISNUMBER($G236),$G236&lt;=IF($S236=MesCiclo,InicioCiclo,$S236+MOD(2-WEEKDAY($S236),7))+6),1,IF(N($W236)&gt;0,AVERAGEIFS($Y$5:$Y$1000,$U$5:$U$1000,ROW(),$V$5:$V$1000,"Sub"),$Y236)))</f>
        <v/>
      </c>
      <c r="AD236" s="62">
        <f>IF($V236="","",IF(AND(ISNUMBER($G236),$G236&lt;=IF($S236=MesCiclo,InicioCiclo,$S236+MOD(2-WEEKDAY($S236),7))+13),1,IF(N($W236)&gt;0,AVERAGEIFS($Z$5:$Z$1000,$U$5:$U$1000,ROW(),$V$5:$V$1000,"Sub"),$Z236)))</f>
        <v/>
      </c>
      <c r="AE236" s="62">
        <f>IF($V236="","",IF(AND(ISNUMBER($G236),$G236&lt;=IF($S236=MesCiclo,InicioCiclo,$S236+MOD(2-WEEKDAY($S236),7))+20),1,IF(N($W236)&gt;0,AVERAGEIFS($AA$5:$AA$1000,$U$5:$U$1000,ROW(),$V$5:$V$1000,"Sub"),$AA236)))</f>
        <v/>
      </c>
      <c r="AF236" s="62">
        <f>IF($V236="","",IF(AND(ISNUMBER($G236),$G236&lt;=IF($S236=MesCiclo,InicioCiclo,$S236+MOD(2-WEEKDAY($S236),7))+27),1,IF(N($W236)&gt;0,AVERAGEIFS($AB$5:$AB$1000,$U$5:$U$1000,ROW(),$V$5:$V$1000,"Sub"),$AB236)))</f>
        <v/>
      </c>
      <c r="AG236" s="62">
        <f>IF($V236&lt;&gt;"Macro","",IF(COUNTIFS($S$5:$S$1000,$S236,$V$5:$V$1000,"Macro",$H$5:$H$1000,"&gt;0")=0,1/COUNTIFS($S$5:$S$1000,$S236,$V$5:$V$1000,"Macro"),IF(AND(ISNUMBER($H236),N($H236)&gt;0),$H236,SUMIFS($H$5:$H$1000,$S$5:$S$1000,$S236,$V$5:$V$1000,"Macro")/COUNTIFS($S$5:$S$1000,$S236,$V$5:$V$1000,"Macro",$H$5:$H$1000,"&gt;0"))/(COUNTIFS($S$5:$S$1000,$S236,$V$5:$V$1000,"Macro")*SUMIFS($H$5:$H$1000,$S$5:$S$1000,$S236,$V$5:$V$1000,"Macro")/COUNTIFS($S$5:$S$1000,$S236,$V$5:$V$1000,"Macro",$H$5:$H$1000,"&gt;0"))))</f>
        <v/>
      </c>
      <c r="AH236" s="62" t="n"/>
      <c r="AI236" s="62" t="n"/>
      <c r="AJ236" s="62" t="n"/>
      <c r="AK236" s="62" t="n"/>
      <c r="AL236" s="62">
        <f>IF(LEFT($C236,11)="[Jefatura] ",IFERROR(MATCH("Riesgo Operacional|"&amp;MID($C236,12,500),rDname_ADM,0),0),"")</f>
        <v/>
      </c>
      <c r="AM236" s="62">
        <f>IF(N($AL236)&gt;0,INDEX(rIni_ADM,$AL236),IF(ISNUMBER($E236),$E236,""))</f>
        <v/>
      </c>
      <c r="AN236" s="62">
        <f>IF(N($AL236)&gt;0,INDEX(rLim_ADM,$AL236),IF(ISNUMBER($F236),$F236,""))</f>
        <v/>
      </c>
    </row>
    <row r="237">
      <c r="A237" s="56">
        <f>IF(NOT((COUNTA($B237:$D237)+COUNTA($G237:$L237)+COUNTA($Q237))&gt;0),"",IF($V237="Macro",COUNTIFS($V$5:$V237,"Macro",$S$5:$S237,$S237),IF(N($U237)=0,"?",COUNTIFS(INDEX($V$5:$V$1000,1):INDEX($V$5:$V$1000,$U237-4),"Macro",INDEX($S$5:$S$1000,1):INDEX($S$5:$S$1000,$U237-4),INDEX($S$5:$S$1000,$U237-4))&amp;"."&amp;COUNTIFS($U$5:$U237,$U237,$V$5:$V237,"Sub"))))</f>
        <v/>
      </c>
      <c r="B237" s="57" t="n"/>
      <c r="C237" s="58" t="n"/>
      <c r="D237" s="58" t="n"/>
      <c r="E237" s="59">
        <f>IF(N($AL237)&gt;0,INDEX(rIni_ADM,$AL237),"")</f>
        <v/>
      </c>
      <c r="F237" s="59">
        <f>IF(N($AL237)&gt;0,INDEX(rLim_ADM,$AL237),"")</f>
        <v/>
      </c>
      <c r="G237" s="59" t="n"/>
      <c r="H237" s="60" t="n"/>
      <c r="I237" s="60" t="n"/>
      <c r="J237" s="60" t="n"/>
      <c r="K237" s="60" t="n"/>
      <c r="L237" s="60" t="n"/>
      <c r="M237" s="61">
        <f>IF(NOT((COUNTA($B237:$D237)+COUNTA($G237:$L237)+COUNTA($Q237))&gt;0),"",IF(ISNUMBER($G237),1,IF(N($W237)&gt;0,AVERAGEIFS($X$5:$X$1000,$U$5:$U$1000,ROW(),$V$5:$V$1000,"Sub"),$X237)))</f>
        <v/>
      </c>
      <c r="N237" s="56">
        <f>IF($M237="","",IF($M237&gt;=1,"Completado",IF($M237&gt;0,"En curso","Pendiente")))</f>
        <v/>
      </c>
      <c r="O237" s="56">
        <f>IF(NOT((COUNTA($B237:$D237)+COUNTA($G237:$L237)+COUNTA($Q237))&gt;0),"",IF(ISNUMBER($G237),IF(AND(ISNUMBER($AN237),$G237&gt;$AN237),"Cumplida con "&amp;($G237-$AN237)&amp;IF($G237-$AN237=1," día"," días")&amp;" de retraso","Cumplida"),IF(N($M237)&gt;=1,"Cumplida",IF(NOT(ISNUMBER($AN237)),"Sin fecha límite",IF($AN237&lt;FechaRef,"Vencida hace "&amp;(FechaRef-$AN237)&amp;IF(FechaRef-$AN237=1," día"," días"),IF($AN237=FechaRef,"Vence hoy",IF($AN237-FechaRef&lt;=DiasAlerta,"Vence en "&amp;($AN237-FechaRef)&amp;IF($AN237-FechaRef=1," día"," días"),"En plazo")))))))</f>
        <v/>
      </c>
      <c r="P237" s="62" t="n"/>
      <c r="Q237" s="58" t="n"/>
      <c r="R237" s="63">
        <f>IF(NOT((COUNTA($B237:$D237)+COUNTA($G237:$L237)+COUNTA($Q237))&gt;0),"",IF((IF($C237="","Falta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",""))="","✔ OK","⚠ "&amp;LEFT(IF($C237="","Falta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",""),LEN(IF($C237="","Falta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",""))-3)))</f>
        <v/>
      </c>
      <c r="S237" s="64">
        <f>IF(NOT((COUNTA($B237:$D237)+COUNTA($G237:$L237)+COUNTA($Q237))&gt;0),"",IF(AND($V237="Sub",N($U237)&gt;0),IF(ISNUMBER(INDEX($AM$5:$AM$1000,$U237-4)),DATE(YEAR(INDEX($AM$5:$AM$1000,$U237-4)),MONTH(INDEX($AM$5:$AM$1000,$U237-4)),1),IF(ISNUMBER(INDEX($AN$5:$AN$1000,$U237-4)),DATE(YEAR(INDEX($AN$5:$AN$1000,$U237-4)),MONTH(INDEX($AN$5:$AN$1000,$U237-4)),1),MesCiclo)),IF(ISNUMBER($AM237),DATE(YEAR($AM237),MONTH($AM237),1),IF(ISNUMBER($AN237),DATE(YEAR($AN237),MONTH($AN237),1),MesCiclo))))</f>
        <v/>
      </c>
      <c r="T237" s="62">
        <f>IF(OR($S237="",$S237&lt;&gt;MesCiclo),"",COUNTIF($S$5:$S237,MesCiclo))</f>
        <v/>
      </c>
      <c r="U237" s="62">
        <f>IF($V237="","",IF($V237="Macro",ROW(),IFERROR(LOOKUP(2,1/($V$5:$V237="Macro"),ROW($V$5:$V237)),0)))</f>
        <v/>
      </c>
      <c r="V237" s="62">
        <f>IF(NOT((COUNTA($B237:$D237)+COUNTA($G237:$L237)+COUNTA($Q237))&gt;0),"",IF($B237="Subactividad","Sub","Macro"))</f>
        <v/>
      </c>
      <c r="W237" s="62">
        <f>IF($V237="Macro",COUNTIFS($U$5:$U$1000,ROW(),$V$5:$V$1000,"Sub"),"")</f>
        <v/>
      </c>
      <c r="X237" s="62">
        <f>IF($V237="","",IF(ISNUMBER($G237),1,IFERROR(LOOKUP(2,1/($I237:$L237&lt;&gt;""),$I237:$L237),0)))</f>
        <v/>
      </c>
      <c r="Y237" s="62">
        <f>IF($V237="","",IF(AND(ISNUMBER($G237),$G237&lt;=IF($S237=MesCiclo,InicioCiclo,$S237+MOD(2-WEEKDAY($S237),7))+6),1,IF(ISNUMBER($I237),$I237,0)))</f>
        <v/>
      </c>
      <c r="Z237" s="62">
        <f>IF($V237="","",IF(AND(ISNUMBER($G237),$G237&lt;=IF($S237=MesCiclo,InicioCiclo,$S237+MOD(2-WEEKDAY($S237),7))+13),1,IF(ISNUMBER($J237),$J237,$Y237)))</f>
        <v/>
      </c>
      <c r="AA237" s="62">
        <f>IF($V237="","",IF(AND(ISNUMBER($G237),$G237&lt;=IF($S237=MesCiclo,InicioCiclo,$S237+MOD(2-WEEKDAY($S237),7))+20),1,IF(ISNUMBER($K237),$K237,$Z237)))</f>
        <v/>
      </c>
      <c r="AB237" s="62">
        <f>IF($V237="","",IF(AND(ISNUMBER($G237),$G237&lt;=IF($S237=MesCiclo,InicioCiclo,$S237+MOD(2-WEEKDAY($S237),7))+27),1,IF(ISNUMBER($L237),$L237,$AA237)))</f>
        <v/>
      </c>
      <c r="AC237" s="62">
        <f>IF($V237="","",IF(AND(ISNUMBER($G237),$G237&lt;=IF($S237=MesCiclo,InicioCiclo,$S237+MOD(2-WEEKDAY($S237),7))+6),1,IF(N($W237)&gt;0,AVERAGEIFS($Y$5:$Y$1000,$U$5:$U$1000,ROW(),$V$5:$V$1000,"Sub"),$Y237)))</f>
        <v/>
      </c>
      <c r="AD237" s="62">
        <f>IF($V237="","",IF(AND(ISNUMBER($G237),$G237&lt;=IF($S237=MesCiclo,InicioCiclo,$S237+MOD(2-WEEKDAY($S237),7))+13),1,IF(N($W237)&gt;0,AVERAGEIFS($Z$5:$Z$1000,$U$5:$U$1000,ROW(),$V$5:$V$1000,"Sub"),$Z237)))</f>
        <v/>
      </c>
      <c r="AE237" s="62">
        <f>IF($V237="","",IF(AND(ISNUMBER($G237),$G237&lt;=IF($S237=MesCiclo,InicioCiclo,$S237+MOD(2-WEEKDAY($S237),7))+20),1,IF(N($W237)&gt;0,AVERAGEIFS($AA$5:$AA$1000,$U$5:$U$1000,ROW(),$V$5:$V$1000,"Sub"),$AA237)))</f>
        <v/>
      </c>
      <c r="AF237" s="62">
        <f>IF($V237="","",IF(AND(ISNUMBER($G237),$G237&lt;=IF($S237=MesCiclo,InicioCiclo,$S237+MOD(2-WEEKDAY($S237),7))+27),1,IF(N($W237)&gt;0,AVERAGEIFS($AB$5:$AB$1000,$U$5:$U$1000,ROW(),$V$5:$V$1000,"Sub"),$AB237)))</f>
        <v/>
      </c>
      <c r="AG237" s="62">
        <f>IF($V237&lt;&gt;"Macro","",IF(COUNTIFS($S$5:$S$1000,$S237,$V$5:$V$1000,"Macro",$H$5:$H$1000,"&gt;0")=0,1/COUNTIFS($S$5:$S$1000,$S237,$V$5:$V$1000,"Macro"),IF(AND(ISNUMBER($H237),N($H237)&gt;0),$H237,SUMIFS($H$5:$H$1000,$S$5:$S$1000,$S237,$V$5:$V$1000,"Macro")/COUNTIFS($S$5:$S$1000,$S237,$V$5:$V$1000,"Macro",$H$5:$H$1000,"&gt;0"))/(COUNTIFS($S$5:$S$1000,$S237,$V$5:$V$1000,"Macro")*SUMIFS($H$5:$H$1000,$S$5:$S$1000,$S237,$V$5:$V$1000,"Macro")/COUNTIFS($S$5:$S$1000,$S237,$V$5:$V$1000,"Macro",$H$5:$H$1000,"&gt;0"))))</f>
        <v/>
      </c>
      <c r="AH237" s="62" t="n"/>
      <c r="AI237" s="62" t="n"/>
      <c r="AJ237" s="62" t="n"/>
      <c r="AK237" s="62" t="n"/>
      <c r="AL237" s="62">
        <f>IF(LEFT($C237,11)="[Jefatura] ",IFERROR(MATCH("Riesgo Operacional|"&amp;MID($C237,12,500),rDname_ADM,0),0),"")</f>
        <v/>
      </c>
      <c r="AM237" s="62">
        <f>IF(N($AL237)&gt;0,INDEX(rIni_ADM,$AL237),IF(ISNUMBER($E237),$E237,""))</f>
        <v/>
      </c>
      <c r="AN237" s="62">
        <f>IF(N($AL237)&gt;0,INDEX(rLim_ADM,$AL237),IF(ISNUMBER($F237),$F237,""))</f>
        <v/>
      </c>
    </row>
    <row r="238">
      <c r="A238" s="56">
        <f>IF(NOT((COUNTA($B238:$D238)+COUNTA($G238:$L238)+COUNTA($Q238))&gt;0),"",IF($V238="Macro",COUNTIFS($V$5:$V238,"Macro",$S$5:$S238,$S238),IF(N($U238)=0,"?",COUNTIFS(INDEX($V$5:$V$1000,1):INDEX($V$5:$V$1000,$U238-4),"Macro",INDEX($S$5:$S$1000,1):INDEX($S$5:$S$1000,$U238-4),INDEX($S$5:$S$1000,$U238-4))&amp;"."&amp;COUNTIFS($U$5:$U238,$U238,$V$5:$V238,"Sub"))))</f>
        <v/>
      </c>
      <c r="B238" s="57" t="n"/>
      <c r="C238" s="58" t="n"/>
      <c r="D238" s="58" t="n"/>
      <c r="E238" s="59">
        <f>IF(N($AL238)&gt;0,INDEX(rIni_ADM,$AL238),"")</f>
        <v/>
      </c>
      <c r="F238" s="59">
        <f>IF(N($AL238)&gt;0,INDEX(rLim_ADM,$AL238),"")</f>
        <v/>
      </c>
      <c r="G238" s="59" t="n"/>
      <c r="H238" s="60" t="n"/>
      <c r="I238" s="60" t="n"/>
      <c r="J238" s="60" t="n"/>
      <c r="K238" s="60" t="n"/>
      <c r="L238" s="60" t="n"/>
      <c r="M238" s="61">
        <f>IF(NOT((COUNTA($B238:$D238)+COUNTA($G238:$L238)+COUNTA($Q238))&gt;0),"",IF(ISNUMBER($G238),1,IF(N($W238)&gt;0,AVERAGEIFS($X$5:$X$1000,$U$5:$U$1000,ROW(),$V$5:$V$1000,"Sub"),$X238)))</f>
        <v/>
      </c>
      <c r="N238" s="56">
        <f>IF($M238="","",IF($M238&gt;=1,"Completado",IF($M238&gt;0,"En curso","Pendiente")))</f>
        <v/>
      </c>
      <c r="O238" s="56">
        <f>IF(NOT((COUNTA($B238:$D238)+COUNTA($G238:$L238)+COUNTA($Q238))&gt;0),"",IF(ISNUMBER($G238),IF(AND(ISNUMBER($AN238),$G238&gt;$AN238),"Cumplida con "&amp;($G238-$AN238)&amp;IF($G238-$AN238=1," día"," días")&amp;" de retraso","Cumplida"),IF(N($M238)&gt;=1,"Cumplida",IF(NOT(ISNUMBER($AN238)),"Sin fecha límite",IF($AN238&lt;FechaRef,"Vencida hace "&amp;(FechaRef-$AN238)&amp;IF(FechaRef-$AN238=1," día"," días"),IF($AN238=FechaRef,"Vence hoy",IF($AN238-FechaRef&lt;=DiasAlerta,"Vence en "&amp;($AN238-FechaRef)&amp;IF($AN238-FechaRef=1," día"," días"),"En plazo")))))))</f>
        <v/>
      </c>
      <c r="P238" s="62" t="n"/>
      <c r="Q238" s="58" t="n"/>
      <c r="R238" s="63">
        <f>IF(NOT((COUNTA($B238:$D238)+COUNTA($G238:$L238)+COUNTA($Q238))&gt;0),"",IF((IF($C238="","Falta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",""))="","✔ OK","⚠ "&amp;LEFT(IF($C238="","Falta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",""),LEN(IF($C238="","Falta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",""))-3)))</f>
        <v/>
      </c>
      <c r="S238" s="64">
        <f>IF(NOT((COUNTA($B238:$D238)+COUNTA($G238:$L238)+COUNTA($Q238))&gt;0),"",IF(AND($V238="Sub",N($U238)&gt;0),IF(ISNUMBER(INDEX($AM$5:$AM$1000,$U238-4)),DATE(YEAR(INDEX($AM$5:$AM$1000,$U238-4)),MONTH(INDEX($AM$5:$AM$1000,$U238-4)),1),IF(ISNUMBER(INDEX($AN$5:$AN$1000,$U238-4)),DATE(YEAR(INDEX($AN$5:$AN$1000,$U238-4)),MONTH(INDEX($AN$5:$AN$1000,$U238-4)),1),MesCiclo)),IF(ISNUMBER($AM238),DATE(YEAR($AM238),MONTH($AM238),1),IF(ISNUMBER($AN238),DATE(YEAR($AN238),MONTH($AN238),1),MesCiclo))))</f>
        <v/>
      </c>
      <c r="T238" s="62">
        <f>IF(OR($S238="",$S238&lt;&gt;MesCiclo),"",COUNTIF($S$5:$S238,MesCiclo))</f>
        <v/>
      </c>
      <c r="U238" s="62">
        <f>IF($V238="","",IF($V238="Macro",ROW(),IFERROR(LOOKUP(2,1/($V$5:$V238="Macro"),ROW($V$5:$V238)),0)))</f>
        <v/>
      </c>
      <c r="V238" s="62">
        <f>IF(NOT((COUNTA($B238:$D238)+COUNTA($G238:$L238)+COUNTA($Q238))&gt;0),"",IF($B238="Subactividad","Sub","Macro"))</f>
        <v/>
      </c>
      <c r="W238" s="62">
        <f>IF($V238="Macro",COUNTIFS($U$5:$U$1000,ROW(),$V$5:$V$1000,"Sub"),"")</f>
        <v/>
      </c>
      <c r="X238" s="62">
        <f>IF($V238="","",IF(ISNUMBER($G238),1,IFERROR(LOOKUP(2,1/($I238:$L238&lt;&gt;""),$I238:$L238),0)))</f>
        <v/>
      </c>
      <c r="Y238" s="62">
        <f>IF($V238="","",IF(AND(ISNUMBER($G238),$G238&lt;=IF($S238=MesCiclo,InicioCiclo,$S238+MOD(2-WEEKDAY($S238),7))+6),1,IF(ISNUMBER($I238),$I238,0)))</f>
        <v/>
      </c>
      <c r="Z238" s="62">
        <f>IF($V238="","",IF(AND(ISNUMBER($G238),$G238&lt;=IF($S238=MesCiclo,InicioCiclo,$S238+MOD(2-WEEKDAY($S238),7))+13),1,IF(ISNUMBER($J238),$J238,$Y238)))</f>
        <v/>
      </c>
      <c r="AA238" s="62">
        <f>IF($V238="","",IF(AND(ISNUMBER($G238),$G238&lt;=IF($S238=MesCiclo,InicioCiclo,$S238+MOD(2-WEEKDAY($S238),7))+20),1,IF(ISNUMBER($K238),$K238,$Z238)))</f>
        <v/>
      </c>
      <c r="AB238" s="62">
        <f>IF($V238="","",IF(AND(ISNUMBER($G238),$G238&lt;=IF($S238=MesCiclo,InicioCiclo,$S238+MOD(2-WEEKDAY($S238),7))+27),1,IF(ISNUMBER($L238),$L238,$AA238)))</f>
        <v/>
      </c>
      <c r="AC238" s="62">
        <f>IF($V238="","",IF(AND(ISNUMBER($G238),$G238&lt;=IF($S238=MesCiclo,InicioCiclo,$S238+MOD(2-WEEKDAY($S238),7))+6),1,IF(N($W238)&gt;0,AVERAGEIFS($Y$5:$Y$1000,$U$5:$U$1000,ROW(),$V$5:$V$1000,"Sub"),$Y238)))</f>
        <v/>
      </c>
      <c r="AD238" s="62">
        <f>IF($V238="","",IF(AND(ISNUMBER($G238),$G238&lt;=IF($S238=MesCiclo,InicioCiclo,$S238+MOD(2-WEEKDAY($S238),7))+13),1,IF(N($W238)&gt;0,AVERAGEIFS($Z$5:$Z$1000,$U$5:$U$1000,ROW(),$V$5:$V$1000,"Sub"),$Z238)))</f>
        <v/>
      </c>
      <c r="AE238" s="62">
        <f>IF($V238="","",IF(AND(ISNUMBER($G238),$G238&lt;=IF($S238=MesCiclo,InicioCiclo,$S238+MOD(2-WEEKDAY($S238),7))+20),1,IF(N($W238)&gt;0,AVERAGEIFS($AA$5:$AA$1000,$U$5:$U$1000,ROW(),$V$5:$V$1000,"Sub"),$AA238)))</f>
        <v/>
      </c>
      <c r="AF238" s="62">
        <f>IF($V238="","",IF(AND(ISNUMBER($G238),$G238&lt;=IF($S238=MesCiclo,InicioCiclo,$S238+MOD(2-WEEKDAY($S238),7))+27),1,IF(N($W238)&gt;0,AVERAGEIFS($AB$5:$AB$1000,$U$5:$U$1000,ROW(),$V$5:$V$1000,"Sub"),$AB238)))</f>
        <v/>
      </c>
      <c r="AG238" s="62">
        <f>IF($V238&lt;&gt;"Macro","",IF(COUNTIFS($S$5:$S$1000,$S238,$V$5:$V$1000,"Macro",$H$5:$H$1000,"&gt;0")=0,1/COUNTIFS($S$5:$S$1000,$S238,$V$5:$V$1000,"Macro"),IF(AND(ISNUMBER($H238),N($H238)&gt;0),$H238,SUMIFS($H$5:$H$1000,$S$5:$S$1000,$S238,$V$5:$V$1000,"Macro")/COUNTIFS($S$5:$S$1000,$S238,$V$5:$V$1000,"Macro",$H$5:$H$1000,"&gt;0"))/(COUNTIFS($S$5:$S$1000,$S238,$V$5:$V$1000,"Macro")*SUMIFS($H$5:$H$1000,$S$5:$S$1000,$S238,$V$5:$V$1000,"Macro")/COUNTIFS($S$5:$S$1000,$S238,$V$5:$V$1000,"Macro",$H$5:$H$1000,"&gt;0"))))</f>
        <v/>
      </c>
      <c r="AH238" s="62" t="n"/>
      <c r="AI238" s="62" t="n"/>
      <c r="AJ238" s="62" t="n"/>
      <c r="AK238" s="62" t="n"/>
      <c r="AL238" s="62">
        <f>IF(LEFT($C238,11)="[Jefatura] ",IFERROR(MATCH("Riesgo Operacional|"&amp;MID($C238,12,500),rDname_ADM,0),0),"")</f>
        <v/>
      </c>
      <c r="AM238" s="62">
        <f>IF(N($AL238)&gt;0,INDEX(rIni_ADM,$AL238),IF(ISNUMBER($E238),$E238,""))</f>
        <v/>
      </c>
      <c r="AN238" s="62">
        <f>IF(N($AL238)&gt;0,INDEX(rLim_ADM,$AL238),IF(ISNUMBER($F238),$F238,""))</f>
        <v/>
      </c>
    </row>
    <row r="239">
      <c r="A239" s="56">
        <f>IF(NOT((COUNTA($B239:$D239)+COUNTA($G239:$L239)+COUNTA($Q239))&gt;0),"",IF($V239="Macro",COUNTIFS($V$5:$V239,"Macro",$S$5:$S239,$S239),IF(N($U239)=0,"?",COUNTIFS(INDEX($V$5:$V$1000,1):INDEX($V$5:$V$1000,$U239-4),"Macro",INDEX($S$5:$S$1000,1):INDEX($S$5:$S$1000,$U239-4),INDEX($S$5:$S$1000,$U239-4))&amp;"."&amp;COUNTIFS($U$5:$U239,$U239,$V$5:$V239,"Sub"))))</f>
        <v/>
      </c>
      <c r="B239" s="57" t="n"/>
      <c r="C239" s="58" t="n"/>
      <c r="D239" s="58" t="n"/>
      <c r="E239" s="59">
        <f>IF(N($AL239)&gt;0,INDEX(rIni_ADM,$AL239),"")</f>
        <v/>
      </c>
      <c r="F239" s="59">
        <f>IF(N($AL239)&gt;0,INDEX(rLim_ADM,$AL239),"")</f>
        <v/>
      </c>
      <c r="G239" s="59" t="n"/>
      <c r="H239" s="60" t="n"/>
      <c r="I239" s="60" t="n"/>
      <c r="J239" s="60" t="n"/>
      <c r="K239" s="60" t="n"/>
      <c r="L239" s="60" t="n"/>
      <c r="M239" s="61">
        <f>IF(NOT((COUNTA($B239:$D239)+COUNTA($G239:$L239)+COUNTA($Q239))&gt;0),"",IF(ISNUMBER($G239),1,IF(N($W239)&gt;0,AVERAGEIFS($X$5:$X$1000,$U$5:$U$1000,ROW(),$V$5:$V$1000,"Sub"),$X239)))</f>
        <v/>
      </c>
      <c r="N239" s="56">
        <f>IF($M239="","",IF($M239&gt;=1,"Completado",IF($M239&gt;0,"En curso","Pendiente")))</f>
        <v/>
      </c>
      <c r="O239" s="56">
        <f>IF(NOT((COUNTA($B239:$D239)+COUNTA($G239:$L239)+COUNTA($Q239))&gt;0),"",IF(ISNUMBER($G239),IF(AND(ISNUMBER($AN239),$G239&gt;$AN239),"Cumplida con "&amp;($G239-$AN239)&amp;IF($G239-$AN239=1," día"," días")&amp;" de retraso","Cumplida"),IF(N($M239)&gt;=1,"Cumplida",IF(NOT(ISNUMBER($AN239)),"Sin fecha límite",IF($AN239&lt;FechaRef,"Vencida hace "&amp;(FechaRef-$AN239)&amp;IF(FechaRef-$AN239=1," día"," días"),IF($AN239=FechaRef,"Vence hoy",IF($AN239-FechaRef&lt;=DiasAlerta,"Vence en "&amp;($AN239-FechaRef)&amp;IF($AN239-FechaRef=1," día"," días"),"En plazo")))))))</f>
        <v/>
      </c>
      <c r="P239" s="62" t="n"/>
      <c r="Q239" s="58" t="n"/>
      <c r="R239" s="63">
        <f>IF(NOT((COUNTA($B239:$D239)+COUNTA($G239:$L239)+COUNTA($Q239))&gt;0),"",IF((IF($C239="","Falta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",""))="","✔ OK","⚠ "&amp;LEFT(IF($C239="","Falta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",""),LEN(IF($C239="","Falta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",""))-3)))</f>
        <v/>
      </c>
      <c r="S239" s="64">
        <f>IF(NOT((COUNTA($B239:$D239)+COUNTA($G239:$L239)+COUNTA($Q239))&gt;0),"",IF(AND($V239="Sub",N($U239)&gt;0),IF(ISNUMBER(INDEX($AM$5:$AM$1000,$U239-4)),DATE(YEAR(INDEX($AM$5:$AM$1000,$U239-4)),MONTH(INDEX($AM$5:$AM$1000,$U239-4)),1),IF(ISNUMBER(INDEX($AN$5:$AN$1000,$U239-4)),DATE(YEAR(INDEX($AN$5:$AN$1000,$U239-4)),MONTH(INDEX($AN$5:$AN$1000,$U239-4)),1),MesCiclo)),IF(ISNUMBER($AM239),DATE(YEAR($AM239),MONTH($AM239),1),IF(ISNUMBER($AN239),DATE(YEAR($AN239),MONTH($AN239),1),MesCiclo))))</f>
        <v/>
      </c>
      <c r="T239" s="62">
        <f>IF(OR($S239="",$S239&lt;&gt;MesCiclo),"",COUNTIF($S$5:$S239,MesCiclo))</f>
        <v/>
      </c>
      <c r="U239" s="62">
        <f>IF($V239="","",IF($V239="Macro",ROW(),IFERROR(LOOKUP(2,1/($V$5:$V239="Macro"),ROW($V$5:$V239)),0)))</f>
        <v/>
      </c>
      <c r="V239" s="62">
        <f>IF(NOT((COUNTA($B239:$D239)+COUNTA($G239:$L239)+COUNTA($Q239))&gt;0),"",IF($B239="Subactividad","Sub","Macro"))</f>
        <v/>
      </c>
      <c r="W239" s="62">
        <f>IF($V239="Macro",COUNTIFS($U$5:$U$1000,ROW(),$V$5:$V$1000,"Sub"),"")</f>
        <v/>
      </c>
      <c r="X239" s="62">
        <f>IF($V239="","",IF(ISNUMBER($G239),1,IFERROR(LOOKUP(2,1/($I239:$L239&lt;&gt;""),$I239:$L239),0)))</f>
        <v/>
      </c>
      <c r="Y239" s="62">
        <f>IF($V239="","",IF(AND(ISNUMBER($G239),$G239&lt;=IF($S239=MesCiclo,InicioCiclo,$S239+MOD(2-WEEKDAY($S239),7))+6),1,IF(ISNUMBER($I239),$I239,0)))</f>
        <v/>
      </c>
      <c r="Z239" s="62">
        <f>IF($V239="","",IF(AND(ISNUMBER($G239),$G239&lt;=IF($S239=MesCiclo,InicioCiclo,$S239+MOD(2-WEEKDAY($S239),7))+13),1,IF(ISNUMBER($J239),$J239,$Y239)))</f>
        <v/>
      </c>
      <c r="AA239" s="62">
        <f>IF($V239="","",IF(AND(ISNUMBER($G239),$G239&lt;=IF($S239=MesCiclo,InicioCiclo,$S239+MOD(2-WEEKDAY($S239),7))+20),1,IF(ISNUMBER($K239),$K239,$Z239)))</f>
        <v/>
      </c>
      <c r="AB239" s="62">
        <f>IF($V239="","",IF(AND(ISNUMBER($G239),$G239&lt;=IF($S239=MesCiclo,InicioCiclo,$S239+MOD(2-WEEKDAY($S239),7))+27),1,IF(ISNUMBER($L239),$L239,$AA239)))</f>
        <v/>
      </c>
      <c r="AC239" s="62">
        <f>IF($V239="","",IF(AND(ISNUMBER($G239),$G239&lt;=IF($S239=MesCiclo,InicioCiclo,$S239+MOD(2-WEEKDAY($S239),7))+6),1,IF(N($W239)&gt;0,AVERAGEIFS($Y$5:$Y$1000,$U$5:$U$1000,ROW(),$V$5:$V$1000,"Sub"),$Y239)))</f>
        <v/>
      </c>
      <c r="AD239" s="62">
        <f>IF($V239="","",IF(AND(ISNUMBER($G239),$G239&lt;=IF($S239=MesCiclo,InicioCiclo,$S239+MOD(2-WEEKDAY($S239),7))+13),1,IF(N($W239)&gt;0,AVERAGEIFS($Z$5:$Z$1000,$U$5:$U$1000,ROW(),$V$5:$V$1000,"Sub"),$Z239)))</f>
        <v/>
      </c>
      <c r="AE239" s="62">
        <f>IF($V239="","",IF(AND(ISNUMBER($G239),$G239&lt;=IF($S239=MesCiclo,InicioCiclo,$S239+MOD(2-WEEKDAY($S239),7))+20),1,IF(N($W239)&gt;0,AVERAGEIFS($AA$5:$AA$1000,$U$5:$U$1000,ROW(),$V$5:$V$1000,"Sub"),$AA239)))</f>
        <v/>
      </c>
      <c r="AF239" s="62">
        <f>IF($V239="","",IF(AND(ISNUMBER($G239),$G239&lt;=IF($S239=MesCiclo,InicioCiclo,$S239+MOD(2-WEEKDAY($S239),7))+27),1,IF(N($W239)&gt;0,AVERAGEIFS($AB$5:$AB$1000,$U$5:$U$1000,ROW(),$V$5:$V$1000,"Sub"),$AB239)))</f>
        <v/>
      </c>
      <c r="AG239" s="62">
        <f>IF($V239&lt;&gt;"Macro","",IF(COUNTIFS($S$5:$S$1000,$S239,$V$5:$V$1000,"Macro",$H$5:$H$1000,"&gt;0")=0,1/COUNTIFS($S$5:$S$1000,$S239,$V$5:$V$1000,"Macro"),IF(AND(ISNUMBER($H239),N($H239)&gt;0),$H239,SUMIFS($H$5:$H$1000,$S$5:$S$1000,$S239,$V$5:$V$1000,"Macro")/COUNTIFS($S$5:$S$1000,$S239,$V$5:$V$1000,"Macro",$H$5:$H$1000,"&gt;0"))/(COUNTIFS($S$5:$S$1000,$S239,$V$5:$V$1000,"Macro")*SUMIFS($H$5:$H$1000,$S$5:$S$1000,$S239,$V$5:$V$1000,"Macro")/COUNTIFS($S$5:$S$1000,$S239,$V$5:$V$1000,"Macro",$H$5:$H$1000,"&gt;0"))))</f>
        <v/>
      </c>
      <c r="AH239" s="62" t="n"/>
      <c r="AI239" s="62" t="n"/>
      <c r="AJ239" s="62" t="n"/>
      <c r="AK239" s="62" t="n"/>
      <c r="AL239" s="62">
        <f>IF(LEFT($C239,11)="[Jefatura] ",IFERROR(MATCH("Riesgo Operacional|"&amp;MID($C239,12,500),rDname_ADM,0),0),"")</f>
        <v/>
      </c>
      <c r="AM239" s="62">
        <f>IF(N($AL239)&gt;0,INDEX(rIni_ADM,$AL239),IF(ISNUMBER($E239),$E239,""))</f>
        <v/>
      </c>
      <c r="AN239" s="62">
        <f>IF(N($AL239)&gt;0,INDEX(rLim_ADM,$AL239),IF(ISNUMBER($F239),$F239,""))</f>
        <v/>
      </c>
    </row>
    <row r="240">
      <c r="A240" s="56">
        <f>IF(NOT((COUNTA($B240:$D240)+COUNTA($G240:$L240)+COUNTA($Q240))&gt;0),"",IF($V240="Macro",COUNTIFS($V$5:$V240,"Macro",$S$5:$S240,$S240),IF(N($U240)=0,"?",COUNTIFS(INDEX($V$5:$V$1000,1):INDEX($V$5:$V$1000,$U240-4),"Macro",INDEX($S$5:$S$1000,1):INDEX($S$5:$S$1000,$U240-4),INDEX($S$5:$S$1000,$U240-4))&amp;"."&amp;COUNTIFS($U$5:$U240,$U240,$V$5:$V240,"Sub"))))</f>
        <v/>
      </c>
      <c r="B240" s="57" t="n"/>
      <c r="C240" s="58" t="n"/>
      <c r="D240" s="58" t="n"/>
      <c r="E240" s="59">
        <f>IF(N($AL240)&gt;0,INDEX(rIni_ADM,$AL240),"")</f>
        <v/>
      </c>
      <c r="F240" s="59">
        <f>IF(N($AL240)&gt;0,INDEX(rLim_ADM,$AL240),"")</f>
        <v/>
      </c>
      <c r="G240" s="59" t="n"/>
      <c r="H240" s="60" t="n"/>
      <c r="I240" s="60" t="n"/>
      <c r="J240" s="60" t="n"/>
      <c r="K240" s="60" t="n"/>
      <c r="L240" s="60" t="n"/>
      <c r="M240" s="61">
        <f>IF(NOT((COUNTA($B240:$D240)+COUNTA($G240:$L240)+COUNTA($Q240))&gt;0),"",IF(ISNUMBER($G240),1,IF(N($W240)&gt;0,AVERAGEIFS($X$5:$X$1000,$U$5:$U$1000,ROW(),$V$5:$V$1000,"Sub"),$X240)))</f>
        <v/>
      </c>
      <c r="N240" s="56">
        <f>IF($M240="","",IF($M240&gt;=1,"Completado",IF($M240&gt;0,"En curso","Pendiente")))</f>
        <v/>
      </c>
      <c r="O240" s="56">
        <f>IF(NOT((COUNTA($B240:$D240)+COUNTA($G240:$L240)+COUNTA($Q240))&gt;0),"",IF(ISNUMBER($G240),IF(AND(ISNUMBER($AN240),$G240&gt;$AN240),"Cumplida con "&amp;($G240-$AN240)&amp;IF($G240-$AN240=1," día"," días")&amp;" de retraso","Cumplida"),IF(N($M240)&gt;=1,"Cumplida",IF(NOT(ISNUMBER($AN240)),"Sin fecha límite",IF($AN240&lt;FechaRef,"Vencida hace "&amp;(FechaRef-$AN240)&amp;IF(FechaRef-$AN240=1," día"," días"),IF($AN240=FechaRef,"Vence hoy",IF($AN240-FechaRef&lt;=DiasAlerta,"Vence en "&amp;($AN240-FechaRef)&amp;IF($AN240-FechaRef=1," día"," días"),"En plazo")))))))</f>
        <v/>
      </c>
      <c r="P240" s="62" t="n"/>
      <c r="Q240" s="58" t="n"/>
      <c r="R240" s="63">
        <f>IF(NOT((COUNTA($B240:$D240)+COUNTA($G240:$L240)+COUNTA($Q240))&gt;0),"",IF((IF($C240="","Falta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",""))="","✔ OK","⚠ "&amp;LEFT(IF($C240="","Falta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",""),LEN(IF($C240="","Falta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",""))-3)))</f>
        <v/>
      </c>
      <c r="S240" s="64">
        <f>IF(NOT((COUNTA($B240:$D240)+COUNTA($G240:$L240)+COUNTA($Q240))&gt;0),"",IF(AND($V240="Sub",N($U240)&gt;0),IF(ISNUMBER(INDEX($AM$5:$AM$1000,$U240-4)),DATE(YEAR(INDEX($AM$5:$AM$1000,$U240-4)),MONTH(INDEX($AM$5:$AM$1000,$U240-4)),1),IF(ISNUMBER(INDEX($AN$5:$AN$1000,$U240-4)),DATE(YEAR(INDEX($AN$5:$AN$1000,$U240-4)),MONTH(INDEX($AN$5:$AN$1000,$U240-4)),1),MesCiclo)),IF(ISNUMBER($AM240),DATE(YEAR($AM240),MONTH($AM240),1),IF(ISNUMBER($AN240),DATE(YEAR($AN240),MONTH($AN240),1),MesCiclo))))</f>
        <v/>
      </c>
      <c r="T240" s="62">
        <f>IF(OR($S240="",$S240&lt;&gt;MesCiclo),"",COUNTIF($S$5:$S240,MesCiclo))</f>
        <v/>
      </c>
      <c r="U240" s="62">
        <f>IF($V240="","",IF($V240="Macro",ROW(),IFERROR(LOOKUP(2,1/($V$5:$V240="Macro"),ROW($V$5:$V240)),0)))</f>
        <v/>
      </c>
      <c r="V240" s="62">
        <f>IF(NOT((COUNTA($B240:$D240)+COUNTA($G240:$L240)+COUNTA($Q240))&gt;0),"",IF($B240="Subactividad","Sub","Macro"))</f>
        <v/>
      </c>
      <c r="W240" s="62">
        <f>IF($V240="Macro",COUNTIFS($U$5:$U$1000,ROW(),$V$5:$V$1000,"Sub"),"")</f>
        <v/>
      </c>
      <c r="X240" s="62">
        <f>IF($V240="","",IF(ISNUMBER($G240),1,IFERROR(LOOKUP(2,1/($I240:$L240&lt;&gt;""),$I240:$L240),0)))</f>
        <v/>
      </c>
      <c r="Y240" s="62">
        <f>IF($V240="","",IF(AND(ISNUMBER($G240),$G240&lt;=IF($S240=MesCiclo,InicioCiclo,$S240+MOD(2-WEEKDAY($S240),7))+6),1,IF(ISNUMBER($I240),$I240,0)))</f>
        <v/>
      </c>
      <c r="Z240" s="62">
        <f>IF($V240="","",IF(AND(ISNUMBER($G240),$G240&lt;=IF($S240=MesCiclo,InicioCiclo,$S240+MOD(2-WEEKDAY($S240),7))+13),1,IF(ISNUMBER($J240),$J240,$Y240)))</f>
        <v/>
      </c>
      <c r="AA240" s="62">
        <f>IF($V240="","",IF(AND(ISNUMBER($G240),$G240&lt;=IF($S240=MesCiclo,InicioCiclo,$S240+MOD(2-WEEKDAY($S240),7))+20),1,IF(ISNUMBER($K240),$K240,$Z240)))</f>
        <v/>
      </c>
      <c r="AB240" s="62">
        <f>IF($V240="","",IF(AND(ISNUMBER($G240),$G240&lt;=IF($S240=MesCiclo,InicioCiclo,$S240+MOD(2-WEEKDAY($S240),7))+27),1,IF(ISNUMBER($L240),$L240,$AA240)))</f>
        <v/>
      </c>
      <c r="AC240" s="62">
        <f>IF($V240="","",IF(AND(ISNUMBER($G240),$G240&lt;=IF($S240=MesCiclo,InicioCiclo,$S240+MOD(2-WEEKDAY($S240),7))+6),1,IF(N($W240)&gt;0,AVERAGEIFS($Y$5:$Y$1000,$U$5:$U$1000,ROW(),$V$5:$V$1000,"Sub"),$Y240)))</f>
        <v/>
      </c>
      <c r="AD240" s="62">
        <f>IF($V240="","",IF(AND(ISNUMBER($G240),$G240&lt;=IF($S240=MesCiclo,InicioCiclo,$S240+MOD(2-WEEKDAY($S240),7))+13),1,IF(N($W240)&gt;0,AVERAGEIFS($Z$5:$Z$1000,$U$5:$U$1000,ROW(),$V$5:$V$1000,"Sub"),$Z240)))</f>
        <v/>
      </c>
      <c r="AE240" s="62">
        <f>IF($V240="","",IF(AND(ISNUMBER($G240),$G240&lt;=IF($S240=MesCiclo,InicioCiclo,$S240+MOD(2-WEEKDAY($S240),7))+20),1,IF(N($W240)&gt;0,AVERAGEIFS($AA$5:$AA$1000,$U$5:$U$1000,ROW(),$V$5:$V$1000,"Sub"),$AA240)))</f>
        <v/>
      </c>
      <c r="AF240" s="62">
        <f>IF($V240="","",IF(AND(ISNUMBER($G240),$G240&lt;=IF($S240=MesCiclo,InicioCiclo,$S240+MOD(2-WEEKDAY($S240),7))+27),1,IF(N($W240)&gt;0,AVERAGEIFS($AB$5:$AB$1000,$U$5:$U$1000,ROW(),$V$5:$V$1000,"Sub"),$AB240)))</f>
        <v/>
      </c>
      <c r="AG240" s="62">
        <f>IF($V240&lt;&gt;"Macro","",IF(COUNTIFS($S$5:$S$1000,$S240,$V$5:$V$1000,"Macro",$H$5:$H$1000,"&gt;0")=0,1/COUNTIFS($S$5:$S$1000,$S240,$V$5:$V$1000,"Macro"),IF(AND(ISNUMBER($H240),N($H240)&gt;0),$H240,SUMIFS($H$5:$H$1000,$S$5:$S$1000,$S240,$V$5:$V$1000,"Macro")/COUNTIFS($S$5:$S$1000,$S240,$V$5:$V$1000,"Macro",$H$5:$H$1000,"&gt;0"))/(COUNTIFS($S$5:$S$1000,$S240,$V$5:$V$1000,"Macro")*SUMIFS($H$5:$H$1000,$S$5:$S$1000,$S240,$V$5:$V$1000,"Macro")/COUNTIFS($S$5:$S$1000,$S240,$V$5:$V$1000,"Macro",$H$5:$H$1000,"&gt;0"))))</f>
        <v/>
      </c>
      <c r="AH240" s="62" t="n"/>
      <c r="AI240" s="62" t="n"/>
      <c r="AJ240" s="62" t="n"/>
      <c r="AK240" s="62" t="n"/>
      <c r="AL240" s="62">
        <f>IF(LEFT($C240,11)="[Jefatura] ",IFERROR(MATCH("Riesgo Operacional|"&amp;MID($C240,12,500),rDname_ADM,0),0),"")</f>
        <v/>
      </c>
      <c r="AM240" s="62">
        <f>IF(N($AL240)&gt;0,INDEX(rIni_ADM,$AL240),IF(ISNUMBER($E240),$E240,""))</f>
        <v/>
      </c>
      <c r="AN240" s="62">
        <f>IF(N($AL240)&gt;0,INDEX(rLim_ADM,$AL240),IF(ISNUMBER($F240),$F240,""))</f>
        <v/>
      </c>
    </row>
    <row r="241">
      <c r="A241" s="56">
        <f>IF(NOT((COUNTA($B241:$D241)+COUNTA($G241:$L241)+COUNTA($Q241))&gt;0),"",IF($V241="Macro",COUNTIFS($V$5:$V241,"Macro",$S$5:$S241,$S241),IF(N($U241)=0,"?",COUNTIFS(INDEX($V$5:$V$1000,1):INDEX($V$5:$V$1000,$U241-4),"Macro",INDEX($S$5:$S$1000,1):INDEX($S$5:$S$1000,$U241-4),INDEX($S$5:$S$1000,$U241-4))&amp;"."&amp;COUNTIFS($U$5:$U241,$U241,$V$5:$V241,"Sub"))))</f>
        <v/>
      </c>
      <c r="B241" s="57" t="n"/>
      <c r="C241" s="58" t="n"/>
      <c r="D241" s="58" t="n"/>
      <c r="E241" s="59">
        <f>IF(N($AL241)&gt;0,INDEX(rIni_ADM,$AL241),"")</f>
        <v/>
      </c>
      <c r="F241" s="59">
        <f>IF(N($AL241)&gt;0,INDEX(rLim_ADM,$AL241),"")</f>
        <v/>
      </c>
      <c r="G241" s="59" t="n"/>
      <c r="H241" s="60" t="n"/>
      <c r="I241" s="60" t="n"/>
      <c r="J241" s="60" t="n"/>
      <c r="K241" s="60" t="n"/>
      <c r="L241" s="60" t="n"/>
      <c r="M241" s="61">
        <f>IF(NOT((COUNTA($B241:$D241)+COUNTA($G241:$L241)+COUNTA($Q241))&gt;0),"",IF(ISNUMBER($G241),1,IF(N($W241)&gt;0,AVERAGEIFS($X$5:$X$1000,$U$5:$U$1000,ROW(),$V$5:$V$1000,"Sub"),$X241)))</f>
        <v/>
      </c>
      <c r="N241" s="56">
        <f>IF($M241="","",IF($M241&gt;=1,"Completado",IF($M241&gt;0,"En curso","Pendiente")))</f>
        <v/>
      </c>
      <c r="O241" s="56">
        <f>IF(NOT((COUNTA($B241:$D241)+COUNTA($G241:$L241)+COUNTA($Q241))&gt;0),"",IF(ISNUMBER($G241),IF(AND(ISNUMBER($AN241),$G241&gt;$AN241),"Cumplida con "&amp;($G241-$AN241)&amp;IF($G241-$AN241=1," día"," días")&amp;" de retraso","Cumplida"),IF(N($M241)&gt;=1,"Cumplida",IF(NOT(ISNUMBER($AN241)),"Sin fecha límite",IF($AN241&lt;FechaRef,"Vencida hace "&amp;(FechaRef-$AN241)&amp;IF(FechaRef-$AN241=1," día"," días"),IF($AN241=FechaRef,"Vence hoy",IF($AN241-FechaRef&lt;=DiasAlerta,"Vence en "&amp;($AN241-FechaRef)&amp;IF($AN241-FechaRef=1," día"," días"),"En plazo")))))))</f>
        <v/>
      </c>
      <c r="P241" s="62" t="n"/>
      <c r="Q241" s="58" t="n"/>
      <c r="R241" s="63">
        <f>IF(NOT((COUNTA($B241:$D241)+COUNTA($G241:$L241)+COUNTA($Q241))&gt;0),"",IF((IF($C241="","Falta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",""))="","✔ OK","⚠ "&amp;LEFT(IF($C241="","Falta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",""),LEN(IF($C241="","Falta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",""))-3)))</f>
        <v/>
      </c>
      <c r="S241" s="64">
        <f>IF(NOT((COUNTA($B241:$D241)+COUNTA($G241:$L241)+COUNTA($Q241))&gt;0),"",IF(AND($V241="Sub",N($U241)&gt;0),IF(ISNUMBER(INDEX($AM$5:$AM$1000,$U241-4)),DATE(YEAR(INDEX($AM$5:$AM$1000,$U241-4)),MONTH(INDEX($AM$5:$AM$1000,$U241-4)),1),IF(ISNUMBER(INDEX($AN$5:$AN$1000,$U241-4)),DATE(YEAR(INDEX($AN$5:$AN$1000,$U241-4)),MONTH(INDEX($AN$5:$AN$1000,$U241-4)),1),MesCiclo)),IF(ISNUMBER($AM241),DATE(YEAR($AM241),MONTH($AM241),1),IF(ISNUMBER($AN241),DATE(YEAR($AN241),MONTH($AN241),1),MesCiclo))))</f>
        <v/>
      </c>
      <c r="T241" s="62">
        <f>IF(OR($S241="",$S241&lt;&gt;MesCiclo),"",COUNTIF($S$5:$S241,MesCiclo))</f>
        <v/>
      </c>
      <c r="U241" s="62">
        <f>IF($V241="","",IF($V241="Macro",ROW(),IFERROR(LOOKUP(2,1/($V$5:$V241="Macro"),ROW($V$5:$V241)),0)))</f>
        <v/>
      </c>
      <c r="V241" s="62">
        <f>IF(NOT((COUNTA($B241:$D241)+COUNTA($G241:$L241)+COUNTA($Q241))&gt;0),"",IF($B241="Subactividad","Sub","Macro"))</f>
        <v/>
      </c>
      <c r="W241" s="62">
        <f>IF($V241="Macro",COUNTIFS($U$5:$U$1000,ROW(),$V$5:$V$1000,"Sub"),"")</f>
        <v/>
      </c>
      <c r="X241" s="62">
        <f>IF($V241="","",IF(ISNUMBER($G241),1,IFERROR(LOOKUP(2,1/($I241:$L241&lt;&gt;""),$I241:$L241),0)))</f>
        <v/>
      </c>
      <c r="Y241" s="62">
        <f>IF($V241="","",IF(AND(ISNUMBER($G241),$G241&lt;=IF($S241=MesCiclo,InicioCiclo,$S241+MOD(2-WEEKDAY($S241),7))+6),1,IF(ISNUMBER($I241),$I241,0)))</f>
        <v/>
      </c>
      <c r="Z241" s="62">
        <f>IF($V241="","",IF(AND(ISNUMBER($G241),$G241&lt;=IF($S241=MesCiclo,InicioCiclo,$S241+MOD(2-WEEKDAY($S241),7))+13),1,IF(ISNUMBER($J241),$J241,$Y241)))</f>
        <v/>
      </c>
      <c r="AA241" s="62">
        <f>IF($V241="","",IF(AND(ISNUMBER($G241),$G241&lt;=IF($S241=MesCiclo,InicioCiclo,$S241+MOD(2-WEEKDAY($S241),7))+20),1,IF(ISNUMBER($K241),$K241,$Z241)))</f>
        <v/>
      </c>
      <c r="AB241" s="62">
        <f>IF($V241="","",IF(AND(ISNUMBER($G241),$G241&lt;=IF($S241=MesCiclo,InicioCiclo,$S241+MOD(2-WEEKDAY($S241),7))+27),1,IF(ISNUMBER($L241),$L241,$AA241)))</f>
        <v/>
      </c>
      <c r="AC241" s="62">
        <f>IF($V241="","",IF(AND(ISNUMBER($G241),$G241&lt;=IF($S241=MesCiclo,InicioCiclo,$S241+MOD(2-WEEKDAY($S241),7))+6),1,IF(N($W241)&gt;0,AVERAGEIFS($Y$5:$Y$1000,$U$5:$U$1000,ROW(),$V$5:$V$1000,"Sub"),$Y241)))</f>
        <v/>
      </c>
      <c r="AD241" s="62">
        <f>IF($V241="","",IF(AND(ISNUMBER($G241),$G241&lt;=IF($S241=MesCiclo,InicioCiclo,$S241+MOD(2-WEEKDAY($S241),7))+13),1,IF(N($W241)&gt;0,AVERAGEIFS($Z$5:$Z$1000,$U$5:$U$1000,ROW(),$V$5:$V$1000,"Sub"),$Z241)))</f>
        <v/>
      </c>
      <c r="AE241" s="62">
        <f>IF($V241="","",IF(AND(ISNUMBER($G241),$G241&lt;=IF($S241=MesCiclo,InicioCiclo,$S241+MOD(2-WEEKDAY($S241),7))+20),1,IF(N($W241)&gt;0,AVERAGEIFS($AA$5:$AA$1000,$U$5:$U$1000,ROW(),$V$5:$V$1000,"Sub"),$AA241)))</f>
        <v/>
      </c>
      <c r="AF241" s="62">
        <f>IF($V241="","",IF(AND(ISNUMBER($G241),$G241&lt;=IF($S241=MesCiclo,InicioCiclo,$S241+MOD(2-WEEKDAY($S241),7))+27),1,IF(N($W241)&gt;0,AVERAGEIFS($AB$5:$AB$1000,$U$5:$U$1000,ROW(),$V$5:$V$1000,"Sub"),$AB241)))</f>
        <v/>
      </c>
      <c r="AG241" s="62">
        <f>IF($V241&lt;&gt;"Macro","",IF(COUNTIFS($S$5:$S$1000,$S241,$V$5:$V$1000,"Macro",$H$5:$H$1000,"&gt;0")=0,1/COUNTIFS($S$5:$S$1000,$S241,$V$5:$V$1000,"Macro"),IF(AND(ISNUMBER($H241),N($H241)&gt;0),$H241,SUMIFS($H$5:$H$1000,$S$5:$S$1000,$S241,$V$5:$V$1000,"Macro")/COUNTIFS($S$5:$S$1000,$S241,$V$5:$V$1000,"Macro",$H$5:$H$1000,"&gt;0"))/(COUNTIFS($S$5:$S$1000,$S241,$V$5:$V$1000,"Macro")*SUMIFS($H$5:$H$1000,$S$5:$S$1000,$S241,$V$5:$V$1000,"Macro")/COUNTIFS($S$5:$S$1000,$S241,$V$5:$V$1000,"Macro",$H$5:$H$1000,"&gt;0"))))</f>
        <v/>
      </c>
      <c r="AH241" s="62" t="n"/>
      <c r="AI241" s="62" t="n"/>
      <c r="AJ241" s="62" t="n"/>
      <c r="AK241" s="62" t="n"/>
      <c r="AL241" s="62">
        <f>IF(LEFT($C241,11)="[Jefatura] ",IFERROR(MATCH("Riesgo Operacional|"&amp;MID($C241,12,500),rDname_ADM,0),0),"")</f>
        <v/>
      </c>
      <c r="AM241" s="62">
        <f>IF(N($AL241)&gt;0,INDEX(rIni_ADM,$AL241),IF(ISNUMBER($E241),$E241,""))</f>
        <v/>
      </c>
      <c r="AN241" s="62">
        <f>IF(N($AL241)&gt;0,INDEX(rLim_ADM,$AL241),IF(ISNUMBER($F241),$F241,""))</f>
        <v/>
      </c>
    </row>
    <row r="242">
      <c r="A242" s="56">
        <f>IF(NOT((COUNTA($B242:$D242)+COUNTA($G242:$L242)+COUNTA($Q242))&gt;0),"",IF($V242="Macro",COUNTIFS($V$5:$V242,"Macro",$S$5:$S242,$S242),IF(N($U242)=0,"?",COUNTIFS(INDEX($V$5:$V$1000,1):INDEX($V$5:$V$1000,$U242-4),"Macro",INDEX($S$5:$S$1000,1):INDEX($S$5:$S$1000,$U242-4),INDEX($S$5:$S$1000,$U242-4))&amp;"."&amp;COUNTIFS($U$5:$U242,$U242,$V$5:$V242,"Sub"))))</f>
        <v/>
      </c>
      <c r="B242" s="57" t="n"/>
      <c r="C242" s="58" t="n"/>
      <c r="D242" s="58" t="n"/>
      <c r="E242" s="59">
        <f>IF(N($AL242)&gt;0,INDEX(rIni_ADM,$AL242),"")</f>
        <v/>
      </c>
      <c r="F242" s="59">
        <f>IF(N($AL242)&gt;0,INDEX(rLim_ADM,$AL242),"")</f>
        <v/>
      </c>
      <c r="G242" s="59" t="n"/>
      <c r="H242" s="60" t="n"/>
      <c r="I242" s="60" t="n"/>
      <c r="J242" s="60" t="n"/>
      <c r="K242" s="60" t="n"/>
      <c r="L242" s="60" t="n"/>
      <c r="M242" s="61">
        <f>IF(NOT((COUNTA($B242:$D242)+COUNTA($G242:$L242)+COUNTA($Q242))&gt;0),"",IF(ISNUMBER($G242),1,IF(N($W242)&gt;0,AVERAGEIFS($X$5:$X$1000,$U$5:$U$1000,ROW(),$V$5:$V$1000,"Sub"),$X242)))</f>
        <v/>
      </c>
      <c r="N242" s="56">
        <f>IF($M242="","",IF($M242&gt;=1,"Completado",IF($M242&gt;0,"En curso","Pendiente")))</f>
        <v/>
      </c>
      <c r="O242" s="56">
        <f>IF(NOT((COUNTA($B242:$D242)+COUNTA($G242:$L242)+COUNTA($Q242))&gt;0),"",IF(ISNUMBER($G242),IF(AND(ISNUMBER($AN242),$G242&gt;$AN242),"Cumplida con "&amp;($G242-$AN242)&amp;IF($G242-$AN242=1," día"," días")&amp;" de retraso","Cumplida"),IF(N($M242)&gt;=1,"Cumplida",IF(NOT(ISNUMBER($AN242)),"Sin fecha límite",IF($AN242&lt;FechaRef,"Vencida hace "&amp;(FechaRef-$AN242)&amp;IF(FechaRef-$AN242=1," día"," días"),IF($AN242=FechaRef,"Vence hoy",IF($AN242-FechaRef&lt;=DiasAlerta,"Vence en "&amp;($AN242-FechaRef)&amp;IF($AN242-FechaRef=1," día"," días"),"En plazo")))))))</f>
        <v/>
      </c>
      <c r="P242" s="62" t="n"/>
      <c r="Q242" s="58" t="n"/>
      <c r="R242" s="63">
        <f>IF(NOT((COUNTA($B242:$D242)+COUNTA($G242:$L242)+COUNTA($Q242))&gt;0),"",IF((IF($C242="","Falta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",""))="","✔ OK","⚠ "&amp;LEFT(IF($C242="","Falta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",""),LEN(IF($C242="","Falta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",""))-3)))</f>
        <v/>
      </c>
      <c r="S242" s="64">
        <f>IF(NOT((COUNTA($B242:$D242)+COUNTA($G242:$L242)+COUNTA($Q242))&gt;0),"",IF(AND($V242="Sub",N($U242)&gt;0),IF(ISNUMBER(INDEX($AM$5:$AM$1000,$U242-4)),DATE(YEAR(INDEX($AM$5:$AM$1000,$U242-4)),MONTH(INDEX($AM$5:$AM$1000,$U242-4)),1),IF(ISNUMBER(INDEX($AN$5:$AN$1000,$U242-4)),DATE(YEAR(INDEX($AN$5:$AN$1000,$U242-4)),MONTH(INDEX($AN$5:$AN$1000,$U242-4)),1),MesCiclo)),IF(ISNUMBER($AM242),DATE(YEAR($AM242),MONTH($AM242),1),IF(ISNUMBER($AN242),DATE(YEAR($AN242),MONTH($AN242),1),MesCiclo))))</f>
        <v/>
      </c>
      <c r="T242" s="62">
        <f>IF(OR($S242="",$S242&lt;&gt;MesCiclo),"",COUNTIF($S$5:$S242,MesCiclo))</f>
        <v/>
      </c>
      <c r="U242" s="62">
        <f>IF($V242="","",IF($V242="Macro",ROW(),IFERROR(LOOKUP(2,1/($V$5:$V242="Macro"),ROW($V$5:$V242)),0)))</f>
        <v/>
      </c>
      <c r="V242" s="62">
        <f>IF(NOT((COUNTA($B242:$D242)+COUNTA($G242:$L242)+COUNTA($Q242))&gt;0),"",IF($B242="Subactividad","Sub","Macro"))</f>
        <v/>
      </c>
      <c r="W242" s="62">
        <f>IF($V242="Macro",COUNTIFS($U$5:$U$1000,ROW(),$V$5:$V$1000,"Sub"),"")</f>
        <v/>
      </c>
      <c r="X242" s="62">
        <f>IF($V242="","",IF(ISNUMBER($G242),1,IFERROR(LOOKUP(2,1/($I242:$L242&lt;&gt;""),$I242:$L242),0)))</f>
        <v/>
      </c>
      <c r="Y242" s="62">
        <f>IF($V242="","",IF(AND(ISNUMBER($G242),$G242&lt;=IF($S242=MesCiclo,InicioCiclo,$S242+MOD(2-WEEKDAY($S242),7))+6),1,IF(ISNUMBER($I242),$I242,0)))</f>
        <v/>
      </c>
      <c r="Z242" s="62">
        <f>IF($V242="","",IF(AND(ISNUMBER($G242),$G242&lt;=IF($S242=MesCiclo,InicioCiclo,$S242+MOD(2-WEEKDAY($S242),7))+13),1,IF(ISNUMBER($J242),$J242,$Y242)))</f>
        <v/>
      </c>
      <c r="AA242" s="62">
        <f>IF($V242="","",IF(AND(ISNUMBER($G242),$G242&lt;=IF($S242=MesCiclo,InicioCiclo,$S242+MOD(2-WEEKDAY($S242),7))+20),1,IF(ISNUMBER($K242),$K242,$Z242)))</f>
        <v/>
      </c>
      <c r="AB242" s="62">
        <f>IF($V242="","",IF(AND(ISNUMBER($G242),$G242&lt;=IF($S242=MesCiclo,InicioCiclo,$S242+MOD(2-WEEKDAY($S242),7))+27),1,IF(ISNUMBER($L242),$L242,$AA242)))</f>
        <v/>
      </c>
      <c r="AC242" s="62">
        <f>IF($V242="","",IF(AND(ISNUMBER($G242),$G242&lt;=IF($S242=MesCiclo,InicioCiclo,$S242+MOD(2-WEEKDAY($S242),7))+6),1,IF(N($W242)&gt;0,AVERAGEIFS($Y$5:$Y$1000,$U$5:$U$1000,ROW(),$V$5:$V$1000,"Sub"),$Y242)))</f>
        <v/>
      </c>
      <c r="AD242" s="62">
        <f>IF($V242="","",IF(AND(ISNUMBER($G242),$G242&lt;=IF($S242=MesCiclo,InicioCiclo,$S242+MOD(2-WEEKDAY($S242),7))+13),1,IF(N($W242)&gt;0,AVERAGEIFS($Z$5:$Z$1000,$U$5:$U$1000,ROW(),$V$5:$V$1000,"Sub"),$Z242)))</f>
        <v/>
      </c>
      <c r="AE242" s="62">
        <f>IF($V242="","",IF(AND(ISNUMBER($G242),$G242&lt;=IF($S242=MesCiclo,InicioCiclo,$S242+MOD(2-WEEKDAY($S242),7))+20),1,IF(N($W242)&gt;0,AVERAGEIFS($AA$5:$AA$1000,$U$5:$U$1000,ROW(),$V$5:$V$1000,"Sub"),$AA242)))</f>
        <v/>
      </c>
      <c r="AF242" s="62">
        <f>IF($V242="","",IF(AND(ISNUMBER($G242),$G242&lt;=IF($S242=MesCiclo,InicioCiclo,$S242+MOD(2-WEEKDAY($S242),7))+27),1,IF(N($W242)&gt;0,AVERAGEIFS($AB$5:$AB$1000,$U$5:$U$1000,ROW(),$V$5:$V$1000,"Sub"),$AB242)))</f>
        <v/>
      </c>
      <c r="AG242" s="62">
        <f>IF($V242&lt;&gt;"Macro","",IF(COUNTIFS($S$5:$S$1000,$S242,$V$5:$V$1000,"Macro",$H$5:$H$1000,"&gt;0")=0,1/COUNTIFS($S$5:$S$1000,$S242,$V$5:$V$1000,"Macro"),IF(AND(ISNUMBER($H242),N($H242)&gt;0),$H242,SUMIFS($H$5:$H$1000,$S$5:$S$1000,$S242,$V$5:$V$1000,"Macro")/COUNTIFS($S$5:$S$1000,$S242,$V$5:$V$1000,"Macro",$H$5:$H$1000,"&gt;0"))/(COUNTIFS($S$5:$S$1000,$S242,$V$5:$V$1000,"Macro")*SUMIFS($H$5:$H$1000,$S$5:$S$1000,$S242,$V$5:$V$1000,"Macro")/COUNTIFS($S$5:$S$1000,$S242,$V$5:$V$1000,"Macro",$H$5:$H$1000,"&gt;0"))))</f>
        <v/>
      </c>
      <c r="AH242" s="62" t="n"/>
      <c r="AI242" s="62" t="n"/>
      <c r="AJ242" s="62" t="n"/>
      <c r="AK242" s="62" t="n"/>
      <c r="AL242" s="62">
        <f>IF(LEFT($C242,11)="[Jefatura] ",IFERROR(MATCH("Riesgo Operacional|"&amp;MID($C242,12,500),rDname_ADM,0),0),"")</f>
        <v/>
      </c>
      <c r="AM242" s="62">
        <f>IF(N($AL242)&gt;0,INDEX(rIni_ADM,$AL242),IF(ISNUMBER($E242),$E242,""))</f>
        <v/>
      </c>
      <c r="AN242" s="62">
        <f>IF(N($AL242)&gt;0,INDEX(rLim_ADM,$AL242),IF(ISNUMBER($F242),$F242,""))</f>
        <v/>
      </c>
    </row>
    <row r="243">
      <c r="A243" s="56">
        <f>IF(NOT((COUNTA($B243:$D243)+COUNTA($G243:$L243)+COUNTA($Q243))&gt;0),"",IF($V243="Macro",COUNTIFS($V$5:$V243,"Macro",$S$5:$S243,$S243),IF(N($U243)=0,"?",COUNTIFS(INDEX($V$5:$V$1000,1):INDEX($V$5:$V$1000,$U243-4),"Macro",INDEX($S$5:$S$1000,1):INDEX($S$5:$S$1000,$U243-4),INDEX($S$5:$S$1000,$U243-4))&amp;"."&amp;COUNTIFS($U$5:$U243,$U243,$V$5:$V243,"Sub"))))</f>
        <v/>
      </c>
      <c r="B243" s="57" t="n"/>
      <c r="C243" s="58" t="n"/>
      <c r="D243" s="58" t="n"/>
      <c r="E243" s="59">
        <f>IF(N($AL243)&gt;0,INDEX(rIni_ADM,$AL243),"")</f>
        <v/>
      </c>
      <c r="F243" s="59">
        <f>IF(N($AL243)&gt;0,INDEX(rLim_ADM,$AL243),"")</f>
        <v/>
      </c>
      <c r="G243" s="59" t="n"/>
      <c r="H243" s="60" t="n"/>
      <c r="I243" s="60" t="n"/>
      <c r="J243" s="60" t="n"/>
      <c r="K243" s="60" t="n"/>
      <c r="L243" s="60" t="n"/>
      <c r="M243" s="61">
        <f>IF(NOT((COUNTA($B243:$D243)+COUNTA($G243:$L243)+COUNTA($Q243))&gt;0),"",IF(ISNUMBER($G243),1,IF(N($W243)&gt;0,AVERAGEIFS($X$5:$X$1000,$U$5:$U$1000,ROW(),$V$5:$V$1000,"Sub"),$X243)))</f>
        <v/>
      </c>
      <c r="N243" s="56">
        <f>IF($M243="","",IF($M243&gt;=1,"Completado",IF($M243&gt;0,"En curso","Pendiente")))</f>
        <v/>
      </c>
      <c r="O243" s="56">
        <f>IF(NOT((COUNTA($B243:$D243)+COUNTA($G243:$L243)+COUNTA($Q243))&gt;0),"",IF(ISNUMBER($G243),IF(AND(ISNUMBER($AN243),$G243&gt;$AN243),"Cumplida con "&amp;($G243-$AN243)&amp;IF($G243-$AN243=1," día"," días")&amp;" de retraso","Cumplida"),IF(N($M243)&gt;=1,"Cumplida",IF(NOT(ISNUMBER($AN243)),"Sin fecha límite",IF($AN243&lt;FechaRef,"Vencida hace "&amp;(FechaRef-$AN243)&amp;IF(FechaRef-$AN243=1," día"," días"),IF($AN243=FechaRef,"Vence hoy",IF($AN243-FechaRef&lt;=DiasAlerta,"Vence en "&amp;($AN243-FechaRef)&amp;IF($AN243-FechaRef=1," día"," días"),"En plazo")))))))</f>
        <v/>
      </c>
      <c r="P243" s="62" t="n"/>
      <c r="Q243" s="58" t="n"/>
      <c r="R243" s="63">
        <f>IF(NOT((COUNTA($B243:$D243)+COUNTA($G243:$L243)+COUNTA($Q243))&gt;0),"",IF((IF($C243="","Falta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",""))="","✔ OK","⚠ "&amp;LEFT(IF($C243="","Falta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",""),LEN(IF($C243="","Falta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",""))-3)))</f>
        <v/>
      </c>
      <c r="S243" s="64">
        <f>IF(NOT((COUNTA($B243:$D243)+COUNTA($G243:$L243)+COUNTA($Q243))&gt;0),"",IF(AND($V243="Sub",N($U243)&gt;0),IF(ISNUMBER(INDEX($AM$5:$AM$1000,$U243-4)),DATE(YEAR(INDEX($AM$5:$AM$1000,$U243-4)),MONTH(INDEX($AM$5:$AM$1000,$U243-4)),1),IF(ISNUMBER(INDEX($AN$5:$AN$1000,$U243-4)),DATE(YEAR(INDEX($AN$5:$AN$1000,$U243-4)),MONTH(INDEX($AN$5:$AN$1000,$U243-4)),1),MesCiclo)),IF(ISNUMBER($AM243),DATE(YEAR($AM243),MONTH($AM243),1),IF(ISNUMBER($AN243),DATE(YEAR($AN243),MONTH($AN243),1),MesCiclo))))</f>
        <v/>
      </c>
      <c r="T243" s="62">
        <f>IF(OR($S243="",$S243&lt;&gt;MesCiclo),"",COUNTIF($S$5:$S243,MesCiclo))</f>
        <v/>
      </c>
      <c r="U243" s="62">
        <f>IF($V243="","",IF($V243="Macro",ROW(),IFERROR(LOOKUP(2,1/($V$5:$V243="Macro"),ROW($V$5:$V243)),0)))</f>
        <v/>
      </c>
      <c r="V243" s="62">
        <f>IF(NOT((COUNTA($B243:$D243)+COUNTA($G243:$L243)+COUNTA($Q243))&gt;0),"",IF($B243="Subactividad","Sub","Macro"))</f>
        <v/>
      </c>
      <c r="W243" s="62">
        <f>IF($V243="Macro",COUNTIFS($U$5:$U$1000,ROW(),$V$5:$V$1000,"Sub"),"")</f>
        <v/>
      </c>
      <c r="X243" s="62">
        <f>IF($V243="","",IF(ISNUMBER($G243),1,IFERROR(LOOKUP(2,1/($I243:$L243&lt;&gt;""),$I243:$L243),0)))</f>
        <v/>
      </c>
      <c r="Y243" s="62">
        <f>IF($V243="","",IF(AND(ISNUMBER($G243),$G243&lt;=IF($S243=MesCiclo,InicioCiclo,$S243+MOD(2-WEEKDAY($S243),7))+6),1,IF(ISNUMBER($I243),$I243,0)))</f>
        <v/>
      </c>
      <c r="Z243" s="62">
        <f>IF($V243="","",IF(AND(ISNUMBER($G243),$G243&lt;=IF($S243=MesCiclo,InicioCiclo,$S243+MOD(2-WEEKDAY($S243),7))+13),1,IF(ISNUMBER($J243),$J243,$Y243)))</f>
        <v/>
      </c>
      <c r="AA243" s="62">
        <f>IF($V243="","",IF(AND(ISNUMBER($G243),$G243&lt;=IF($S243=MesCiclo,InicioCiclo,$S243+MOD(2-WEEKDAY($S243),7))+20),1,IF(ISNUMBER($K243),$K243,$Z243)))</f>
        <v/>
      </c>
      <c r="AB243" s="62">
        <f>IF($V243="","",IF(AND(ISNUMBER($G243),$G243&lt;=IF($S243=MesCiclo,InicioCiclo,$S243+MOD(2-WEEKDAY($S243),7))+27),1,IF(ISNUMBER($L243),$L243,$AA243)))</f>
        <v/>
      </c>
      <c r="AC243" s="62">
        <f>IF($V243="","",IF(AND(ISNUMBER($G243),$G243&lt;=IF($S243=MesCiclo,InicioCiclo,$S243+MOD(2-WEEKDAY($S243),7))+6),1,IF(N($W243)&gt;0,AVERAGEIFS($Y$5:$Y$1000,$U$5:$U$1000,ROW(),$V$5:$V$1000,"Sub"),$Y243)))</f>
        <v/>
      </c>
      <c r="AD243" s="62">
        <f>IF($V243="","",IF(AND(ISNUMBER($G243),$G243&lt;=IF($S243=MesCiclo,InicioCiclo,$S243+MOD(2-WEEKDAY($S243),7))+13),1,IF(N($W243)&gt;0,AVERAGEIFS($Z$5:$Z$1000,$U$5:$U$1000,ROW(),$V$5:$V$1000,"Sub"),$Z243)))</f>
        <v/>
      </c>
      <c r="AE243" s="62">
        <f>IF($V243="","",IF(AND(ISNUMBER($G243),$G243&lt;=IF($S243=MesCiclo,InicioCiclo,$S243+MOD(2-WEEKDAY($S243),7))+20),1,IF(N($W243)&gt;0,AVERAGEIFS($AA$5:$AA$1000,$U$5:$U$1000,ROW(),$V$5:$V$1000,"Sub"),$AA243)))</f>
        <v/>
      </c>
      <c r="AF243" s="62">
        <f>IF($V243="","",IF(AND(ISNUMBER($G243),$G243&lt;=IF($S243=MesCiclo,InicioCiclo,$S243+MOD(2-WEEKDAY($S243),7))+27),1,IF(N($W243)&gt;0,AVERAGEIFS($AB$5:$AB$1000,$U$5:$U$1000,ROW(),$V$5:$V$1000,"Sub"),$AB243)))</f>
        <v/>
      </c>
      <c r="AG243" s="62">
        <f>IF($V243&lt;&gt;"Macro","",IF(COUNTIFS($S$5:$S$1000,$S243,$V$5:$V$1000,"Macro",$H$5:$H$1000,"&gt;0")=0,1/COUNTIFS($S$5:$S$1000,$S243,$V$5:$V$1000,"Macro"),IF(AND(ISNUMBER($H243),N($H243)&gt;0),$H243,SUMIFS($H$5:$H$1000,$S$5:$S$1000,$S243,$V$5:$V$1000,"Macro")/COUNTIFS($S$5:$S$1000,$S243,$V$5:$V$1000,"Macro",$H$5:$H$1000,"&gt;0"))/(COUNTIFS($S$5:$S$1000,$S243,$V$5:$V$1000,"Macro")*SUMIFS($H$5:$H$1000,$S$5:$S$1000,$S243,$V$5:$V$1000,"Macro")/COUNTIFS($S$5:$S$1000,$S243,$V$5:$V$1000,"Macro",$H$5:$H$1000,"&gt;0"))))</f>
        <v/>
      </c>
      <c r="AH243" s="62" t="n"/>
      <c r="AI243" s="62" t="n"/>
      <c r="AJ243" s="62" t="n"/>
      <c r="AK243" s="62" t="n"/>
      <c r="AL243" s="62">
        <f>IF(LEFT($C243,11)="[Jefatura] ",IFERROR(MATCH("Riesgo Operacional|"&amp;MID($C243,12,500),rDname_ADM,0),0),"")</f>
        <v/>
      </c>
      <c r="AM243" s="62">
        <f>IF(N($AL243)&gt;0,INDEX(rIni_ADM,$AL243),IF(ISNUMBER($E243),$E243,""))</f>
        <v/>
      </c>
      <c r="AN243" s="62">
        <f>IF(N($AL243)&gt;0,INDEX(rLim_ADM,$AL243),IF(ISNUMBER($F243),$F243,""))</f>
        <v/>
      </c>
    </row>
    <row r="244">
      <c r="A244" s="56">
        <f>IF(NOT((COUNTA($B244:$D244)+COUNTA($G244:$L244)+COUNTA($Q244))&gt;0),"",IF($V244="Macro",COUNTIFS($V$5:$V244,"Macro",$S$5:$S244,$S244),IF(N($U244)=0,"?",COUNTIFS(INDEX($V$5:$V$1000,1):INDEX($V$5:$V$1000,$U244-4),"Macro",INDEX($S$5:$S$1000,1):INDEX($S$5:$S$1000,$U244-4),INDEX($S$5:$S$1000,$U244-4))&amp;"."&amp;COUNTIFS($U$5:$U244,$U244,$V$5:$V244,"Sub"))))</f>
        <v/>
      </c>
      <c r="B244" s="57" t="n"/>
      <c r="C244" s="58" t="n"/>
      <c r="D244" s="58" t="n"/>
      <c r="E244" s="59">
        <f>IF(N($AL244)&gt;0,INDEX(rIni_ADM,$AL244),"")</f>
        <v/>
      </c>
      <c r="F244" s="59">
        <f>IF(N($AL244)&gt;0,INDEX(rLim_ADM,$AL244),"")</f>
        <v/>
      </c>
      <c r="G244" s="59" t="n"/>
      <c r="H244" s="60" t="n"/>
      <c r="I244" s="60" t="n"/>
      <c r="J244" s="60" t="n"/>
      <c r="K244" s="60" t="n"/>
      <c r="L244" s="60" t="n"/>
      <c r="M244" s="61">
        <f>IF(NOT((COUNTA($B244:$D244)+COUNTA($G244:$L244)+COUNTA($Q244))&gt;0),"",IF(ISNUMBER($G244),1,IF(N($W244)&gt;0,AVERAGEIFS($X$5:$X$1000,$U$5:$U$1000,ROW(),$V$5:$V$1000,"Sub"),$X244)))</f>
        <v/>
      </c>
      <c r="N244" s="56">
        <f>IF($M244="","",IF($M244&gt;=1,"Completado",IF($M244&gt;0,"En curso","Pendiente")))</f>
        <v/>
      </c>
      <c r="O244" s="56">
        <f>IF(NOT((COUNTA($B244:$D244)+COUNTA($G244:$L244)+COUNTA($Q244))&gt;0),"",IF(ISNUMBER($G244),IF(AND(ISNUMBER($AN244),$G244&gt;$AN244),"Cumplida con "&amp;($G244-$AN244)&amp;IF($G244-$AN244=1," día"," días")&amp;" de retraso","Cumplida"),IF(N($M244)&gt;=1,"Cumplida",IF(NOT(ISNUMBER($AN244)),"Sin fecha límite",IF($AN244&lt;FechaRef,"Vencida hace "&amp;(FechaRef-$AN244)&amp;IF(FechaRef-$AN244=1," día"," días"),IF($AN244=FechaRef,"Vence hoy",IF($AN244-FechaRef&lt;=DiasAlerta,"Vence en "&amp;($AN244-FechaRef)&amp;IF($AN244-FechaRef=1," día"," días"),"En plazo")))))))</f>
        <v/>
      </c>
      <c r="P244" s="62" t="n"/>
      <c r="Q244" s="58" t="n"/>
      <c r="R244" s="63">
        <f>IF(NOT((COUNTA($B244:$D244)+COUNTA($G244:$L244)+COUNTA($Q244))&gt;0),"",IF((IF($C244="","Falta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",""))="","✔ OK","⚠ "&amp;LEFT(IF($C244="","Falta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",""),LEN(IF($C244="","Falta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",""))-3)))</f>
        <v/>
      </c>
      <c r="S244" s="64">
        <f>IF(NOT((COUNTA($B244:$D244)+COUNTA($G244:$L244)+COUNTA($Q244))&gt;0),"",IF(AND($V244="Sub",N($U244)&gt;0),IF(ISNUMBER(INDEX($AM$5:$AM$1000,$U244-4)),DATE(YEAR(INDEX($AM$5:$AM$1000,$U244-4)),MONTH(INDEX($AM$5:$AM$1000,$U244-4)),1),IF(ISNUMBER(INDEX($AN$5:$AN$1000,$U244-4)),DATE(YEAR(INDEX($AN$5:$AN$1000,$U244-4)),MONTH(INDEX($AN$5:$AN$1000,$U244-4)),1),MesCiclo)),IF(ISNUMBER($AM244),DATE(YEAR($AM244),MONTH($AM244),1),IF(ISNUMBER($AN244),DATE(YEAR($AN244),MONTH($AN244),1),MesCiclo))))</f>
        <v/>
      </c>
      <c r="T244" s="62">
        <f>IF(OR($S244="",$S244&lt;&gt;MesCiclo),"",COUNTIF($S$5:$S244,MesCiclo))</f>
        <v/>
      </c>
      <c r="U244" s="62">
        <f>IF($V244="","",IF($V244="Macro",ROW(),IFERROR(LOOKUP(2,1/($V$5:$V244="Macro"),ROW($V$5:$V244)),0)))</f>
        <v/>
      </c>
      <c r="V244" s="62">
        <f>IF(NOT((COUNTA($B244:$D244)+COUNTA($G244:$L244)+COUNTA($Q244))&gt;0),"",IF($B244="Subactividad","Sub","Macro"))</f>
        <v/>
      </c>
      <c r="W244" s="62">
        <f>IF($V244="Macro",COUNTIFS($U$5:$U$1000,ROW(),$V$5:$V$1000,"Sub"),"")</f>
        <v/>
      </c>
      <c r="X244" s="62">
        <f>IF($V244="","",IF(ISNUMBER($G244),1,IFERROR(LOOKUP(2,1/($I244:$L244&lt;&gt;""),$I244:$L244),0)))</f>
        <v/>
      </c>
      <c r="Y244" s="62">
        <f>IF($V244="","",IF(AND(ISNUMBER($G244),$G244&lt;=IF($S244=MesCiclo,InicioCiclo,$S244+MOD(2-WEEKDAY($S244),7))+6),1,IF(ISNUMBER($I244),$I244,0)))</f>
        <v/>
      </c>
      <c r="Z244" s="62">
        <f>IF($V244="","",IF(AND(ISNUMBER($G244),$G244&lt;=IF($S244=MesCiclo,InicioCiclo,$S244+MOD(2-WEEKDAY($S244),7))+13),1,IF(ISNUMBER($J244),$J244,$Y244)))</f>
        <v/>
      </c>
      <c r="AA244" s="62">
        <f>IF($V244="","",IF(AND(ISNUMBER($G244),$G244&lt;=IF($S244=MesCiclo,InicioCiclo,$S244+MOD(2-WEEKDAY($S244),7))+20),1,IF(ISNUMBER($K244),$K244,$Z244)))</f>
        <v/>
      </c>
      <c r="AB244" s="62">
        <f>IF($V244="","",IF(AND(ISNUMBER($G244),$G244&lt;=IF($S244=MesCiclo,InicioCiclo,$S244+MOD(2-WEEKDAY($S244),7))+27),1,IF(ISNUMBER($L244),$L244,$AA244)))</f>
        <v/>
      </c>
      <c r="AC244" s="62">
        <f>IF($V244="","",IF(AND(ISNUMBER($G244),$G244&lt;=IF($S244=MesCiclo,InicioCiclo,$S244+MOD(2-WEEKDAY($S244),7))+6),1,IF(N($W244)&gt;0,AVERAGEIFS($Y$5:$Y$1000,$U$5:$U$1000,ROW(),$V$5:$V$1000,"Sub"),$Y244)))</f>
        <v/>
      </c>
      <c r="AD244" s="62">
        <f>IF($V244="","",IF(AND(ISNUMBER($G244),$G244&lt;=IF($S244=MesCiclo,InicioCiclo,$S244+MOD(2-WEEKDAY($S244),7))+13),1,IF(N($W244)&gt;0,AVERAGEIFS($Z$5:$Z$1000,$U$5:$U$1000,ROW(),$V$5:$V$1000,"Sub"),$Z244)))</f>
        <v/>
      </c>
      <c r="AE244" s="62">
        <f>IF($V244="","",IF(AND(ISNUMBER($G244),$G244&lt;=IF($S244=MesCiclo,InicioCiclo,$S244+MOD(2-WEEKDAY($S244),7))+20),1,IF(N($W244)&gt;0,AVERAGEIFS($AA$5:$AA$1000,$U$5:$U$1000,ROW(),$V$5:$V$1000,"Sub"),$AA244)))</f>
        <v/>
      </c>
      <c r="AF244" s="62">
        <f>IF($V244="","",IF(AND(ISNUMBER($G244),$G244&lt;=IF($S244=MesCiclo,InicioCiclo,$S244+MOD(2-WEEKDAY($S244),7))+27),1,IF(N($W244)&gt;0,AVERAGEIFS($AB$5:$AB$1000,$U$5:$U$1000,ROW(),$V$5:$V$1000,"Sub"),$AB244)))</f>
        <v/>
      </c>
      <c r="AG244" s="62">
        <f>IF($V244&lt;&gt;"Macro","",IF(COUNTIFS($S$5:$S$1000,$S244,$V$5:$V$1000,"Macro",$H$5:$H$1000,"&gt;0")=0,1/COUNTIFS($S$5:$S$1000,$S244,$V$5:$V$1000,"Macro"),IF(AND(ISNUMBER($H244),N($H244)&gt;0),$H244,SUMIFS($H$5:$H$1000,$S$5:$S$1000,$S244,$V$5:$V$1000,"Macro")/COUNTIFS($S$5:$S$1000,$S244,$V$5:$V$1000,"Macro",$H$5:$H$1000,"&gt;0"))/(COUNTIFS($S$5:$S$1000,$S244,$V$5:$V$1000,"Macro")*SUMIFS($H$5:$H$1000,$S$5:$S$1000,$S244,$V$5:$V$1000,"Macro")/COUNTIFS($S$5:$S$1000,$S244,$V$5:$V$1000,"Macro",$H$5:$H$1000,"&gt;0"))))</f>
        <v/>
      </c>
      <c r="AH244" s="62" t="n"/>
      <c r="AI244" s="62" t="n"/>
      <c r="AJ244" s="62" t="n"/>
      <c r="AK244" s="62" t="n"/>
      <c r="AL244" s="62">
        <f>IF(LEFT($C244,11)="[Jefatura] ",IFERROR(MATCH("Riesgo Operacional|"&amp;MID($C244,12,500),rDname_ADM,0),0),"")</f>
        <v/>
      </c>
      <c r="AM244" s="62">
        <f>IF(N($AL244)&gt;0,INDEX(rIni_ADM,$AL244),IF(ISNUMBER($E244),$E244,""))</f>
        <v/>
      </c>
      <c r="AN244" s="62">
        <f>IF(N($AL244)&gt;0,INDEX(rLim_ADM,$AL244),IF(ISNUMBER($F244),$F244,""))</f>
        <v/>
      </c>
    </row>
    <row r="245">
      <c r="A245" s="56">
        <f>IF(NOT((COUNTA($B245:$D245)+COUNTA($G245:$L245)+COUNTA($Q245))&gt;0),"",IF($V245="Macro",COUNTIFS($V$5:$V245,"Macro",$S$5:$S245,$S245),IF(N($U245)=0,"?",COUNTIFS(INDEX($V$5:$V$1000,1):INDEX($V$5:$V$1000,$U245-4),"Macro",INDEX($S$5:$S$1000,1):INDEX($S$5:$S$1000,$U245-4),INDEX($S$5:$S$1000,$U245-4))&amp;"."&amp;COUNTIFS($U$5:$U245,$U245,$V$5:$V245,"Sub"))))</f>
        <v/>
      </c>
      <c r="B245" s="57" t="n"/>
      <c r="C245" s="58" t="n"/>
      <c r="D245" s="58" t="n"/>
      <c r="E245" s="59">
        <f>IF(N($AL245)&gt;0,INDEX(rIni_ADM,$AL245),"")</f>
        <v/>
      </c>
      <c r="F245" s="59">
        <f>IF(N($AL245)&gt;0,INDEX(rLim_ADM,$AL245),"")</f>
        <v/>
      </c>
      <c r="G245" s="59" t="n"/>
      <c r="H245" s="60" t="n"/>
      <c r="I245" s="60" t="n"/>
      <c r="J245" s="60" t="n"/>
      <c r="K245" s="60" t="n"/>
      <c r="L245" s="60" t="n"/>
      <c r="M245" s="61">
        <f>IF(NOT((COUNTA($B245:$D245)+COUNTA($G245:$L245)+COUNTA($Q245))&gt;0),"",IF(ISNUMBER($G245),1,IF(N($W245)&gt;0,AVERAGEIFS($X$5:$X$1000,$U$5:$U$1000,ROW(),$V$5:$V$1000,"Sub"),$X245)))</f>
        <v/>
      </c>
      <c r="N245" s="56">
        <f>IF($M245="","",IF($M245&gt;=1,"Completado",IF($M245&gt;0,"En curso","Pendiente")))</f>
        <v/>
      </c>
      <c r="O245" s="56">
        <f>IF(NOT((COUNTA($B245:$D245)+COUNTA($G245:$L245)+COUNTA($Q245))&gt;0),"",IF(ISNUMBER($G245),IF(AND(ISNUMBER($AN245),$G245&gt;$AN245),"Cumplida con "&amp;($G245-$AN245)&amp;IF($G245-$AN245=1," día"," días")&amp;" de retraso","Cumplida"),IF(N($M245)&gt;=1,"Cumplida",IF(NOT(ISNUMBER($AN245)),"Sin fecha límite",IF($AN245&lt;FechaRef,"Vencida hace "&amp;(FechaRef-$AN245)&amp;IF(FechaRef-$AN245=1," día"," días"),IF($AN245=FechaRef,"Vence hoy",IF($AN245-FechaRef&lt;=DiasAlerta,"Vence en "&amp;($AN245-FechaRef)&amp;IF($AN245-FechaRef=1," día"," días"),"En plazo")))))))</f>
        <v/>
      </c>
      <c r="P245" s="62" t="n"/>
      <c r="Q245" s="58" t="n"/>
      <c r="R245" s="63">
        <f>IF(NOT((COUNTA($B245:$D245)+COUNTA($G245:$L245)+COUNTA($Q245))&gt;0),"",IF((IF($C245="","Falta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",""))="","✔ OK","⚠ "&amp;LEFT(IF($C245="","Falta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",""),LEN(IF($C245="","Falta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",""))-3)))</f>
        <v/>
      </c>
      <c r="S245" s="64">
        <f>IF(NOT((COUNTA($B245:$D245)+COUNTA($G245:$L245)+COUNTA($Q245))&gt;0),"",IF(AND($V245="Sub",N($U245)&gt;0),IF(ISNUMBER(INDEX($AM$5:$AM$1000,$U245-4)),DATE(YEAR(INDEX($AM$5:$AM$1000,$U245-4)),MONTH(INDEX($AM$5:$AM$1000,$U245-4)),1),IF(ISNUMBER(INDEX($AN$5:$AN$1000,$U245-4)),DATE(YEAR(INDEX($AN$5:$AN$1000,$U245-4)),MONTH(INDEX($AN$5:$AN$1000,$U245-4)),1),MesCiclo)),IF(ISNUMBER($AM245),DATE(YEAR($AM245),MONTH($AM245),1),IF(ISNUMBER($AN245),DATE(YEAR($AN245),MONTH($AN245),1),MesCiclo))))</f>
        <v/>
      </c>
      <c r="T245" s="62">
        <f>IF(OR($S245="",$S245&lt;&gt;MesCiclo),"",COUNTIF($S$5:$S245,MesCiclo))</f>
        <v/>
      </c>
      <c r="U245" s="62">
        <f>IF($V245="","",IF($V245="Macro",ROW(),IFERROR(LOOKUP(2,1/($V$5:$V245="Macro"),ROW($V$5:$V245)),0)))</f>
        <v/>
      </c>
      <c r="V245" s="62">
        <f>IF(NOT((COUNTA($B245:$D245)+COUNTA($G245:$L245)+COUNTA($Q245))&gt;0),"",IF($B245="Subactividad","Sub","Macro"))</f>
        <v/>
      </c>
      <c r="W245" s="62">
        <f>IF($V245="Macro",COUNTIFS($U$5:$U$1000,ROW(),$V$5:$V$1000,"Sub"),"")</f>
        <v/>
      </c>
      <c r="X245" s="62">
        <f>IF($V245="","",IF(ISNUMBER($G245),1,IFERROR(LOOKUP(2,1/($I245:$L245&lt;&gt;""),$I245:$L245),0)))</f>
        <v/>
      </c>
      <c r="Y245" s="62">
        <f>IF($V245="","",IF(AND(ISNUMBER($G245),$G245&lt;=IF($S245=MesCiclo,InicioCiclo,$S245+MOD(2-WEEKDAY($S245),7))+6),1,IF(ISNUMBER($I245),$I245,0)))</f>
        <v/>
      </c>
      <c r="Z245" s="62">
        <f>IF($V245="","",IF(AND(ISNUMBER($G245),$G245&lt;=IF($S245=MesCiclo,InicioCiclo,$S245+MOD(2-WEEKDAY($S245),7))+13),1,IF(ISNUMBER($J245),$J245,$Y245)))</f>
        <v/>
      </c>
      <c r="AA245" s="62">
        <f>IF($V245="","",IF(AND(ISNUMBER($G245),$G245&lt;=IF($S245=MesCiclo,InicioCiclo,$S245+MOD(2-WEEKDAY($S245),7))+20),1,IF(ISNUMBER($K245),$K245,$Z245)))</f>
        <v/>
      </c>
      <c r="AB245" s="62">
        <f>IF($V245="","",IF(AND(ISNUMBER($G245),$G245&lt;=IF($S245=MesCiclo,InicioCiclo,$S245+MOD(2-WEEKDAY($S245),7))+27),1,IF(ISNUMBER($L245),$L245,$AA245)))</f>
        <v/>
      </c>
      <c r="AC245" s="62">
        <f>IF($V245="","",IF(AND(ISNUMBER($G245),$G245&lt;=IF($S245=MesCiclo,InicioCiclo,$S245+MOD(2-WEEKDAY($S245),7))+6),1,IF(N($W245)&gt;0,AVERAGEIFS($Y$5:$Y$1000,$U$5:$U$1000,ROW(),$V$5:$V$1000,"Sub"),$Y245)))</f>
        <v/>
      </c>
      <c r="AD245" s="62">
        <f>IF($V245="","",IF(AND(ISNUMBER($G245),$G245&lt;=IF($S245=MesCiclo,InicioCiclo,$S245+MOD(2-WEEKDAY($S245),7))+13),1,IF(N($W245)&gt;0,AVERAGEIFS($Z$5:$Z$1000,$U$5:$U$1000,ROW(),$V$5:$V$1000,"Sub"),$Z245)))</f>
        <v/>
      </c>
      <c r="AE245" s="62">
        <f>IF($V245="","",IF(AND(ISNUMBER($G245),$G245&lt;=IF($S245=MesCiclo,InicioCiclo,$S245+MOD(2-WEEKDAY($S245),7))+20),1,IF(N($W245)&gt;0,AVERAGEIFS($AA$5:$AA$1000,$U$5:$U$1000,ROW(),$V$5:$V$1000,"Sub"),$AA245)))</f>
        <v/>
      </c>
      <c r="AF245" s="62">
        <f>IF($V245="","",IF(AND(ISNUMBER($G245),$G245&lt;=IF($S245=MesCiclo,InicioCiclo,$S245+MOD(2-WEEKDAY($S245),7))+27),1,IF(N($W245)&gt;0,AVERAGEIFS($AB$5:$AB$1000,$U$5:$U$1000,ROW(),$V$5:$V$1000,"Sub"),$AB245)))</f>
        <v/>
      </c>
      <c r="AG245" s="62">
        <f>IF($V245&lt;&gt;"Macro","",IF(COUNTIFS($S$5:$S$1000,$S245,$V$5:$V$1000,"Macro",$H$5:$H$1000,"&gt;0")=0,1/COUNTIFS($S$5:$S$1000,$S245,$V$5:$V$1000,"Macro"),IF(AND(ISNUMBER($H245),N($H245)&gt;0),$H245,SUMIFS($H$5:$H$1000,$S$5:$S$1000,$S245,$V$5:$V$1000,"Macro")/COUNTIFS($S$5:$S$1000,$S245,$V$5:$V$1000,"Macro",$H$5:$H$1000,"&gt;0"))/(COUNTIFS($S$5:$S$1000,$S245,$V$5:$V$1000,"Macro")*SUMIFS($H$5:$H$1000,$S$5:$S$1000,$S245,$V$5:$V$1000,"Macro")/COUNTIFS($S$5:$S$1000,$S245,$V$5:$V$1000,"Macro",$H$5:$H$1000,"&gt;0"))))</f>
        <v/>
      </c>
      <c r="AH245" s="62" t="n"/>
      <c r="AI245" s="62" t="n"/>
      <c r="AJ245" s="62" t="n"/>
      <c r="AK245" s="62" t="n"/>
      <c r="AL245" s="62">
        <f>IF(LEFT($C245,11)="[Jefatura] ",IFERROR(MATCH("Riesgo Operacional|"&amp;MID($C245,12,500),rDname_ADM,0),0),"")</f>
        <v/>
      </c>
      <c r="AM245" s="62">
        <f>IF(N($AL245)&gt;0,INDEX(rIni_ADM,$AL245),IF(ISNUMBER($E245),$E245,""))</f>
        <v/>
      </c>
      <c r="AN245" s="62">
        <f>IF(N($AL245)&gt;0,INDEX(rLim_ADM,$AL245),IF(ISNUMBER($F245),$F245,""))</f>
        <v/>
      </c>
    </row>
    <row r="246">
      <c r="A246" s="56">
        <f>IF(NOT((COUNTA($B246:$D246)+COUNTA($G246:$L246)+COUNTA($Q246))&gt;0),"",IF($V246="Macro",COUNTIFS($V$5:$V246,"Macro",$S$5:$S246,$S246),IF(N($U246)=0,"?",COUNTIFS(INDEX($V$5:$V$1000,1):INDEX($V$5:$V$1000,$U246-4),"Macro",INDEX($S$5:$S$1000,1):INDEX($S$5:$S$1000,$U246-4),INDEX($S$5:$S$1000,$U246-4))&amp;"."&amp;COUNTIFS($U$5:$U246,$U246,$V$5:$V246,"Sub"))))</f>
        <v/>
      </c>
      <c r="B246" s="57" t="n"/>
      <c r="C246" s="58" t="n"/>
      <c r="D246" s="58" t="n"/>
      <c r="E246" s="59">
        <f>IF(N($AL246)&gt;0,INDEX(rIni_ADM,$AL246),"")</f>
        <v/>
      </c>
      <c r="F246" s="59">
        <f>IF(N($AL246)&gt;0,INDEX(rLim_ADM,$AL246),"")</f>
        <v/>
      </c>
      <c r="G246" s="59" t="n"/>
      <c r="H246" s="60" t="n"/>
      <c r="I246" s="60" t="n"/>
      <c r="J246" s="60" t="n"/>
      <c r="K246" s="60" t="n"/>
      <c r="L246" s="60" t="n"/>
      <c r="M246" s="61">
        <f>IF(NOT((COUNTA($B246:$D246)+COUNTA($G246:$L246)+COUNTA($Q246))&gt;0),"",IF(ISNUMBER($G246),1,IF(N($W246)&gt;0,AVERAGEIFS($X$5:$X$1000,$U$5:$U$1000,ROW(),$V$5:$V$1000,"Sub"),$X246)))</f>
        <v/>
      </c>
      <c r="N246" s="56">
        <f>IF($M246="","",IF($M246&gt;=1,"Completado",IF($M246&gt;0,"En curso","Pendiente")))</f>
        <v/>
      </c>
      <c r="O246" s="56">
        <f>IF(NOT((COUNTA($B246:$D246)+COUNTA($G246:$L246)+COUNTA($Q246))&gt;0),"",IF(ISNUMBER($G246),IF(AND(ISNUMBER($AN246),$G246&gt;$AN246),"Cumplida con "&amp;($G246-$AN246)&amp;IF($G246-$AN246=1," día"," días")&amp;" de retraso","Cumplida"),IF(N($M246)&gt;=1,"Cumplida",IF(NOT(ISNUMBER($AN246)),"Sin fecha límite",IF($AN246&lt;FechaRef,"Vencida hace "&amp;(FechaRef-$AN246)&amp;IF(FechaRef-$AN246=1," día"," días"),IF($AN246=FechaRef,"Vence hoy",IF($AN246-FechaRef&lt;=DiasAlerta,"Vence en "&amp;($AN246-FechaRef)&amp;IF($AN246-FechaRef=1," día"," días"),"En plazo")))))))</f>
        <v/>
      </c>
      <c r="P246" s="62" t="n"/>
      <c r="Q246" s="58" t="n"/>
      <c r="R246" s="63">
        <f>IF(NOT((COUNTA($B246:$D246)+COUNTA($G246:$L246)+COUNTA($Q246))&gt;0),"",IF((IF($C246="","Falta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",""))="","✔ OK","⚠ "&amp;LEFT(IF($C246="","Falta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",""),LEN(IF($C246="","Falta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",""))-3)))</f>
        <v/>
      </c>
      <c r="S246" s="64">
        <f>IF(NOT((COUNTA($B246:$D246)+COUNTA($G246:$L246)+COUNTA($Q246))&gt;0),"",IF(AND($V246="Sub",N($U246)&gt;0),IF(ISNUMBER(INDEX($AM$5:$AM$1000,$U246-4)),DATE(YEAR(INDEX($AM$5:$AM$1000,$U246-4)),MONTH(INDEX($AM$5:$AM$1000,$U246-4)),1),IF(ISNUMBER(INDEX($AN$5:$AN$1000,$U246-4)),DATE(YEAR(INDEX($AN$5:$AN$1000,$U246-4)),MONTH(INDEX($AN$5:$AN$1000,$U246-4)),1),MesCiclo)),IF(ISNUMBER($AM246),DATE(YEAR($AM246),MONTH($AM246),1),IF(ISNUMBER($AN246),DATE(YEAR($AN246),MONTH($AN246),1),MesCiclo))))</f>
        <v/>
      </c>
      <c r="T246" s="62">
        <f>IF(OR($S246="",$S246&lt;&gt;MesCiclo),"",COUNTIF($S$5:$S246,MesCiclo))</f>
        <v/>
      </c>
      <c r="U246" s="62">
        <f>IF($V246="","",IF($V246="Macro",ROW(),IFERROR(LOOKUP(2,1/($V$5:$V246="Macro"),ROW($V$5:$V246)),0)))</f>
        <v/>
      </c>
      <c r="V246" s="62">
        <f>IF(NOT((COUNTA($B246:$D246)+COUNTA($G246:$L246)+COUNTA($Q246))&gt;0),"",IF($B246="Subactividad","Sub","Macro"))</f>
        <v/>
      </c>
      <c r="W246" s="62">
        <f>IF($V246="Macro",COUNTIFS($U$5:$U$1000,ROW(),$V$5:$V$1000,"Sub"),"")</f>
        <v/>
      </c>
      <c r="X246" s="62">
        <f>IF($V246="","",IF(ISNUMBER($G246),1,IFERROR(LOOKUP(2,1/($I246:$L246&lt;&gt;""),$I246:$L246),0)))</f>
        <v/>
      </c>
      <c r="Y246" s="62">
        <f>IF($V246="","",IF(AND(ISNUMBER($G246),$G246&lt;=IF($S246=MesCiclo,InicioCiclo,$S246+MOD(2-WEEKDAY($S246),7))+6),1,IF(ISNUMBER($I246),$I246,0)))</f>
        <v/>
      </c>
      <c r="Z246" s="62">
        <f>IF($V246="","",IF(AND(ISNUMBER($G246),$G246&lt;=IF($S246=MesCiclo,InicioCiclo,$S246+MOD(2-WEEKDAY($S246),7))+13),1,IF(ISNUMBER($J246),$J246,$Y246)))</f>
        <v/>
      </c>
      <c r="AA246" s="62">
        <f>IF($V246="","",IF(AND(ISNUMBER($G246),$G246&lt;=IF($S246=MesCiclo,InicioCiclo,$S246+MOD(2-WEEKDAY($S246),7))+20),1,IF(ISNUMBER($K246),$K246,$Z246)))</f>
        <v/>
      </c>
      <c r="AB246" s="62">
        <f>IF($V246="","",IF(AND(ISNUMBER($G246),$G246&lt;=IF($S246=MesCiclo,InicioCiclo,$S246+MOD(2-WEEKDAY($S246),7))+27),1,IF(ISNUMBER($L246),$L246,$AA246)))</f>
        <v/>
      </c>
      <c r="AC246" s="62">
        <f>IF($V246="","",IF(AND(ISNUMBER($G246),$G246&lt;=IF($S246=MesCiclo,InicioCiclo,$S246+MOD(2-WEEKDAY($S246),7))+6),1,IF(N($W246)&gt;0,AVERAGEIFS($Y$5:$Y$1000,$U$5:$U$1000,ROW(),$V$5:$V$1000,"Sub"),$Y246)))</f>
        <v/>
      </c>
      <c r="AD246" s="62">
        <f>IF($V246="","",IF(AND(ISNUMBER($G246),$G246&lt;=IF($S246=MesCiclo,InicioCiclo,$S246+MOD(2-WEEKDAY($S246),7))+13),1,IF(N($W246)&gt;0,AVERAGEIFS($Z$5:$Z$1000,$U$5:$U$1000,ROW(),$V$5:$V$1000,"Sub"),$Z246)))</f>
        <v/>
      </c>
      <c r="AE246" s="62">
        <f>IF($V246="","",IF(AND(ISNUMBER($G246),$G246&lt;=IF($S246=MesCiclo,InicioCiclo,$S246+MOD(2-WEEKDAY($S246),7))+20),1,IF(N($W246)&gt;0,AVERAGEIFS($AA$5:$AA$1000,$U$5:$U$1000,ROW(),$V$5:$V$1000,"Sub"),$AA246)))</f>
        <v/>
      </c>
      <c r="AF246" s="62">
        <f>IF($V246="","",IF(AND(ISNUMBER($G246),$G246&lt;=IF($S246=MesCiclo,InicioCiclo,$S246+MOD(2-WEEKDAY($S246),7))+27),1,IF(N($W246)&gt;0,AVERAGEIFS($AB$5:$AB$1000,$U$5:$U$1000,ROW(),$V$5:$V$1000,"Sub"),$AB246)))</f>
        <v/>
      </c>
      <c r="AG246" s="62">
        <f>IF($V246&lt;&gt;"Macro","",IF(COUNTIFS($S$5:$S$1000,$S246,$V$5:$V$1000,"Macro",$H$5:$H$1000,"&gt;0")=0,1/COUNTIFS($S$5:$S$1000,$S246,$V$5:$V$1000,"Macro"),IF(AND(ISNUMBER($H246),N($H246)&gt;0),$H246,SUMIFS($H$5:$H$1000,$S$5:$S$1000,$S246,$V$5:$V$1000,"Macro")/COUNTIFS($S$5:$S$1000,$S246,$V$5:$V$1000,"Macro",$H$5:$H$1000,"&gt;0"))/(COUNTIFS($S$5:$S$1000,$S246,$V$5:$V$1000,"Macro")*SUMIFS($H$5:$H$1000,$S$5:$S$1000,$S246,$V$5:$V$1000,"Macro")/COUNTIFS($S$5:$S$1000,$S246,$V$5:$V$1000,"Macro",$H$5:$H$1000,"&gt;0"))))</f>
        <v/>
      </c>
      <c r="AH246" s="62" t="n"/>
      <c r="AI246" s="62" t="n"/>
      <c r="AJ246" s="62" t="n"/>
      <c r="AK246" s="62" t="n"/>
      <c r="AL246" s="62">
        <f>IF(LEFT($C246,11)="[Jefatura] ",IFERROR(MATCH("Riesgo Operacional|"&amp;MID($C246,12,500),rDname_ADM,0),0),"")</f>
        <v/>
      </c>
      <c r="AM246" s="62">
        <f>IF(N($AL246)&gt;0,INDEX(rIni_ADM,$AL246),IF(ISNUMBER($E246),$E246,""))</f>
        <v/>
      </c>
      <c r="AN246" s="62">
        <f>IF(N($AL246)&gt;0,INDEX(rLim_ADM,$AL246),IF(ISNUMBER($F246),$F246,""))</f>
        <v/>
      </c>
    </row>
    <row r="247">
      <c r="A247" s="56">
        <f>IF(NOT((COUNTA($B247:$D247)+COUNTA($G247:$L247)+COUNTA($Q247))&gt;0),"",IF($V247="Macro",COUNTIFS($V$5:$V247,"Macro",$S$5:$S247,$S247),IF(N($U247)=0,"?",COUNTIFS(INDEX($V$5:$V$1000,1):INDEX($V$5:$V$1000,$U247-4),"Macro",INDEX($S$5:$S$1000,1):INDEX($S$5:$S$1000,$U247-4),INDEX($S$5:$S$1000,$U247-4))&amp;"."&amp;COUNTIFS($U$5:$U247,$U247,$V$5:$V247,"Sub"))))</f>
        <v/>
      </c>
      <c r="B247" s="57" t="n"/>
      <c r="C247" s="58" t="n"/>
      <c r="D247" s="58" t="n"/>
      <c r="E247" s="59">
        <f>IF(N($AL247)&gt;0,INDEX(rIni_ADM,$AL247),"")</f>
        <v/>
      </c>
      <c r="F247" s="59">
        <f>IF(N($AL247)&gt;0,INDEX(rLim_ADM,$AL247),"")</f>
        <v/>
      </c>
      <c r="G247" s="59" t="n"/>
      <c r="H247" s="60" t="n"/>
      <c r="I247" s="60" t="n"/>
      <c r="J247" s="60" t="n"/>
      <c r="K247" s="60" t="n"/>
      <c r="L247" s="60" t="n"/>
      <c r="M247" s="61">
        <f>IF(NOT((COUNTA($B247:$D247)+COUNTA($G247:$L247)+COUNTA($Q247))&gt;0),"",IF(ISNUMBER($G247),1,IF(N($W247)&gt;0,AVERAGEIFS($X$5:$X$1000,$U$5:$U$1000,ROW(),$V$5:$V$1000,"Sub"),$X247)))</f>
        <v/>
      </c>
      <c r="N247" s="56">
        <f>IF($M247="","",IF($M247&gt;=1,"Completado",IF($M247&gt;0,"En curso","Pendiente")))</f>
        <v/>
      </c>
      <c r="O247" s="56">
        <f>IF(NOT((COUNTA($B247:$D247)+COUNTA($G247:$L247)+COUNTA($Q247))&gt;0),"",IF(ISNUMBER($G247),IF(AND(ISNUMBER($AN247),$G247&gt;$AN247),"Cumplida con "&amp;($G247-$AN247)&amp;IF($G247-$AN247=1," día"," días")&amp;" de retraso","Cumplida"),IF(N($M247)&gt;=1,"Cumplida",IF(NOT(ISNUMBER($AN247)),"Sin fecha límite",IF($AN247&lt;FechaRef,"Vencida hace "&amp;(FechaRef-$AN247)&amp;IF(FechaRef-$AN247=1," día"," días"),IF($AN247=FechaRef,"Vence hoy",IF($AN247-FechaRef&lt;=DiasAlerta,"Vence en "&amp;($AN247-FechaRef)&amp;IF($AN247-FechaRef=1," día"," días"),"En plazo")))))))</f>
        <v/>
      </c>
      <c r="P247" s="62" t="n"/>
      <c r="Q247" s="58" t="n"/>
      <c r="R247" s="63">
        <f>IF(NOT((COUNTA($B247:$D247)+COUNTA($G247:$L247)+COUNTA($Q247))&gt;0),"",IF((IF($C247="","Falta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",""))="","✔ OK","⚠ "&amp;LEFT(IF($C247="","Falta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",""),LEN(IF($C247="","Falta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",""))-3)))</f>
        <v/>
      </c>
      <c r="S247" s="64">
        <f>IF(NOT((COUNTA($B247:$D247)+COUNTA($G247:$L247)+COUNTA($Q247))&gt;0),"",IF(AND($V247="Sub",N($U247)&gt;0),IF(ISNUMBER(INDEX($AM$5:$AM$1000,$U247-4)),DATE(YEAR(INDEX($AM$5:$AM$1000,$U247-4)),MONTH(INDEX($AM$5:$AM$1000,$U247-4)),1),IF(ISNUMBER(INDEX($AN$5:$AN$1000,$U247-4)),DATE(YEAR(INDEX($AN$5:$AN$1000,$U247-4)),MONTH(INDEX($AN$5:$AN$1000,$U247-4)),1),MesCiclo)),IF(ISNUMBER($AM247),DATE(YEAR($AM247),MONTH($AM247),1),IF(ISNUMBER($AN247),DATE(YEAR($AN247),MONTH($AN247),1),MesCiclo))))</f>
        <v/>
      </c>
      <c r="T247" s="62">
        <f>IF(OR($S247="",$S247&lt;&gt;MesCiclo),"",COUNTIF($S$5:$S247,MesCiclo))</f>
        <v/>
      </c>
      <c r="U247" s="62">
        <f>IF($V247="","",IF($V247="Macro",ROW(),IFERROR(LOOKUP(2,1/($V$5:$V247="Macro"),ROW($V$5:$V247)),0)))</f>
        <v/>
      </c>
      <c r="V247" s="62">
        <f>IF(NOT((COUNTA($B247:$D247)+COUNTA($G247:$L247)+COUNTA($Q247))&gt;0),"",IF($B247="Subactividad","Sub","Macro"))</f>
        <v/>
      </c>
      <c r="W247" s="62">
        <f>IF($V247="Macro",COUNTIFS($U$5:$U$1000,ROW(),$V$5:$V$1000,"Sub"),"")</f>
        <v/>
      </c>
      <c r="X247" s="62">
        <f>IF($V247="","",IF(ISNUMBER($G247),1,IFERROR(LOOKUP(2,1/($I247:$L247&lt;&gt;""),$I247:$L247),0)))</f>
        <v/>
      </c>
      <c r="Y247" s="62">
        <f>IF($V247="","",IF(AND(ISNUMBER($G247),$G247&lt;=IF($S247=MesCiclo,InicioCiclo,$S247+MOD(2-WEEKDAY($S247),7))+6),1,IF(ISNUMBER($I247),$I247,0)))</f>
        <v/>
      </c>
      <c r="Z247" s="62">
        <f>IF($V247="","",IF(AND(ISNUMBER($G247),$G247&lt;=IF($S247=MesCiclo,InicioCiclo,$S247+MOD(2-WEEKDAY($S247),7))+13),1,IF(ISNUMBER($J247),$J247,$Y247)))</f>
        <v/>
      </c>
      <c r="AA247" s="62">
        <f>IF($V247="","",IF(AND(ISNUMBER($G247),$G247&lt;=IF($S247=MesCiclo,InicioCiclo,$S247+MOD(2-WEEKDAY($S247),7))+20),1,IF(ISNUMBER($K247),$K247,$Z247)))</f>
        <v/>
      </c>
      <c r="AB247" s="62">
        <f>IF($V247="","",IF(AND(ISNUMBER($G247),$G247&lt;=IF($S247=MesCiclo,InicioCiclo,$S247+MOD(2-WEEKDAY($S247),7))+27),1,IF(ISNUMBER($L247),$L247,$AA247)))</f>
        <v/>
      </c>
      <c r="AC247" s="62">
        <f>IF($V247="","",IF(AND(ISNUMBER($G247),$G247&lt;=IF($S247=MesCiclo,InicioCiclo,$S247+MOD(2-WEEKDAY($S247),7))+6),1,IF(N($W247)&gt;0,AVERAGEIFS($Y$5:$Y$1000,$U$5:$U$1000,ROW(),$V$5:$V$1000,"Sub"),$Y247)))</f>
        <v/>
      </c>
      <c r="AD247" s="62">
        <f>IF($V247="","",IF(AND(ISNUMBER($G247),$G247&lt;=IF($S247=MesCiclo,InicioCiclo,$S247+MOD(2-WEEKDAY($S247),7))+13),1,IF(N($W247)&gt;0,AVERAGEIFS($Z$5:$Z$1000,$U$5:$U$1000,ROW(),$V$5:$V$1000,"Sub"),$Z247)))</f>
        <v/>
      </c>
      <c r="AE247" s="62">
        <f>IF($V247="","",IF(AND(ISNUMBER($G247),$G247&lt;=IF($S247=MesCiclo,InicioCiclo,$S247+MOD(2-WEEKDAY($S247),7))+20),1,IF(N($W247)&gt;0,AVERAGEIFS($AA$5:$AA$1000,$U$5:$U$1000,ROW(),$V$5:$V$1000,"Sub"),$AA247)))</f>
        <v/>
      </c>
      <c r="AF247" s="62">
        <f>IF($V247="","",IF(AND(ISNUMBER($G247),$G247&lt;=IF($S247=MesCiclo,InicioCiclo,$S247+MOD(2-WEEKDAY($S247),7))+27),1,IF(N($W247)&gt;0,AVERAGEIFS($AB$5:$AB$1000,$U$5:$U$1000,ROW(),$V$5:$V$1000,"Sub"),$AB247)))</f>
        <v/>
      </c>
      <c r="AG247" s="62">
        <f>IF($V247&lt;&gt;"Macro","",IF(COUNTIFS($S$5:$S$1000,$S247,$V$5:$V$1000,"Macro",$H$5:$H$1000,"&gt;0")=0,1/COUNTIFS($S$5:$S$1000,$S247,$V$5:$V$1000,"Macro"),IF(AND(ISNUMBER($H247),N($H247)&gt;0),$H247,SUMIFS($H$5:$H$1000,$S$5:$S$1000,$S247,$V$5:$V$1000,"Macro")/COUNTIFS($S$5:$S$1000,$S247,$V$5:$V$1000,"Macro",$H$5:$H$1000,"&gt;0"))/(COUNTIFS($S$5:$S$1000,$S247,$V$5:$V$1000,"Macro")*SUMIFS($H$5:$H$1000,$S$5:$S$1000,$S247,$V$5:$V$1000,"Macro")/COUNTIFS($S$5:$S$1000,$S247,$V$5:$V$1000,"Macro",$H$5:$H$1000,"&gt;0"))))</f>
        <v/>
      </c>
      <c r="AH247" s="62" t="n"/>
      <c r="AI247" s="62" t="n"/>
      <c r="AJ247" s="62" t="n"/>
      <c r="AK247" s="62" t="n"/>
      <c r="AL247" s="62">
        <f>IF(LEFT($C247,11)="[Jefatura] ",IFERROR(MATCH("Riesgo Operacional|"&amp;MID($C247,12,500),rDname_ADM,0),0),"")</f>
        <v/>
      </c>
      <c r="AM247" s="62">
        <f>IF(N($AL247)&gt;0,INDEX(rIni_ADM,$AL247),IF(ISNUMBER($E247),$E247,""))</f>
        <v/>
      </c>
      <c r="AN247" s="62">
        <f>IF(N($AL247)&gt;0,INDEX(rLim_ADM,$AL247),IF(ISNUMBER($F247),$F247,""))</f>
        <v/>
      </c>
    </row>
    <row r="248">
      <c r="A248" s="56">
        <f>IF(NOT((COUNTA($B248:$D248)+COUNTA($G248:$L248)+COUNTA($Q248))&gt;0),"",IF($V248="Macro",COUNTIFS($V$5:$V248,"Macro",$S$5:$S248,$S248),IF(N($U248)=0,"?",COUNTIFS(INDEX($V$5:$V$1000,1):INDEX($V$5:$V$1000,$U248-4),"Macro",INDEX($S$5:$S$1000,1):INDEX($S$5:$S$1000,$U248-4),INDEX($S$5:$S$1000,$U248-4))&amp;"."&amp;COUNTIFS($U$5:$U248,$U248,$V$5:$V248,"Sub"))))</f>
        <v/>
      </c>
      <c r="B248" s="57" t="n"/>
      <c r="C248" s="58" t="n"/>
      <c r="D248" s="58" t="n"/>
      <c r="E248" s="59">
        <f>IF(N($AL248)&gt;0,INDEX(rIni_ADM,$AL248),"")</f>
        <v/>
      </c>
      <c r="F248" s="59">
        <f>IF(N($AL248)&gt;0,INDEX(rLim_ADM,$AL248),"")</f>
        <v/>
      </c>
      <c r="G248" s="59" t="n"/>
      <c r="H248" s="60" t="n"/>
      <c r="I248" s="60" t="n"/>
      <c r="J248" s="60" t="n"/>
      <c r="K248" s="60" t="n"/>
      <c r="L248" s="60" t="n"/>
      <c r="M248" s="61">
        <f>IF(NOT((COUNTA($B248:$D248)+COUNTA($G248:$L248)+COUNTA($Q248))&gt;0),"",IF(ISNUMBER($G248),1,IF(N($W248)&gt;0,AVERAGEIFS($X$5:$X$1000,$U$5:$U$1000,ROW(),$V$5:$V$1000,"Sub"),$X248)))</f>
        <v/>
      </c>
      <c r="N248" s="56">
        <f>IF($M248="","",IF($M248&gt;=1,"Completado",IF($M248&gt;0,"En curso","Pendiente")))</f>
        <v/>
      </c>
      <c r="O248" s="56">
        <f>IF(NOT((COUNTA($B248:$D248)+COUNTA($G248:$L248)+COUNTA($Q248))&gt;0),"",IF(ISNUMBER($G248),IF(AND(ISNUMBER($AN248),$G248&gt;$AN248),"Cumplida con "&amp;($G248-$AN248)&amp;IF($G248-$AN248=1," día"," días")&amp;" de retraso","Cumplida"),IF(N($M248)&gt;=1,"Cumplida",IF(NOT(ISNUMBER($AN248)),"Sin fecha límite",IF($AN248&lt;FechaRef,"Vencida hace "&amp;(FechaRef-$AN248)&amp;IF(FechaRef-$AN248=1," día"," días"),IF($AN248=FechaRef,"Vence hoy",IF($AN248-FechaRef&lt;=DiasAlerta,"Vence en "&amp;($AN248-FechaRef)&amp;IF($AN248-FechaRef=1," día"," días"),"En plazo")))))))</f>
        <v/>
      </c>
      <c r="P248" s="62" t="n"/>
      <c r="Q248" s="58" t="n"/>
      <c r="R248" s="63">
        <f>IF(NOT((COUNTA($B248:$D248)+COUNTA($G248:$L248)+COUNTA($Q248))&gt;0),"",IF((IF($C248="","Falta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",""))="","✔ OK","⚠ "&amp;LEFT(IF($C248="","Falta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",""),LEN(IF($C248="","Falta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",""))-3)))</f>
        <v/>
      </c>
      <c r="S248" s="64">
        <f>IF(NOT((COUNTA($B248:$D248)+COUNTA($G248:$L248)+COUNTA($Q248))&gt;0),"",IF(AND($V248="Sub",N($U248)&gt;0),IF(ISNUMBER(INDEX($AM$5:$AM$1000,$U248-4)),DATE(YEAR(INDEX($AM$5:$AM$1000,$U248-4)),MONTH(INDEX($AM$5:$AM$1000,$U248-4)),1),IF(ISNUMBER(INDEX($AN$5:$AN$1000,$U248-4)),DATE(YEAR(INDEX($AN$5:$AN$1000,$U248-4)),MONTH(INDEX($AN$5:$AN$1000,$U248-4)),1),MesCiclo)),IF(ISNUMBER($AM248),DATE(YEAR($AM248),MONTH($AM248),1),IF(ISNUMBER($AN248),DATE(YEAR($AN248),MONTH($AN248),1),MesCiclo))))</f>
        <v/>
      </c>
      <c r="T248" s="62">
        <f>IF(OR($S248="",$S248&lt;&gt;MesCiclo),"",COUNTIF($S$5:$S248,MesCiclo))</f>
        <v/>
      </c>
      <c r="U248" s="62">
        <f>IF($V248="","",IF($V248="Macro",ROW(),IFERROR(LOOKUP(2,1/($V$5:$V248="Macro"),ROW($V$5:$V248)),0)))</f>
        <v/>
      </c>
      <c r="V248" s="62">
        <f>IF(NOT((COUNTA($B248:$D248)+COUNTA($G248:$L248)+COUNTA($Q248))&gt;0),"",IF($B248="Subactividad","Sub","Macro"))</f>
        <v/>
      </c>
      <c r="W248" s="62">
        <f>IF($V248="Macro",COUNTIFS($U$5:$U$1000,ROW(),$V$5:$V$1000,"Sub"),"")</f>
        <v/>
      </c>
      <c r="X248" s="62">
        <f>IF($V248="","",IF(ISNUMBER($G248),1,IFERROR(LOOKUP(2,1/($I248:$L248&lt;&gt;""),$I248:$L248),0)))</f>
        <v/>
      </c>
      <c r="Y248" s="62">
        <f>IF($V248="","",IF(AND(ISNUMBER($G248),$G248&lt;=IF($S248=MesCiclo,InicioCiclo,$S248+MOD(2-WEEKDAY($S248),7))+6),1,IF(ISNUMBER($I248),$I248,0)))</f>
        <v/>
      </c>
      <c r="Z248" s="62">
        <f>IF($V248="","",IF(AND(ISNUMBER($G248),$G248&lt;=IF($S248=MesCiclo,InicioCiclo,$S248+MOD(2-WEEKDAY($S248),7))+13),1,IF(ISNUMBER($J248),$J248,$Y248)))</f>
        <v/>
      </c>
      <c r="AA248" s="62">
        <f>IF($V248="","",IF(AND(ISNUMBER($G248),$G248&lt;=IF($S248=MesCiclo,InicioCiclo,$S248+MOD(2-WEEKDAY($S248),7))+20),1,IF(ISNUMBER($K248),$K248,$Z248)))</f>
        <v/>
      </c>
      <c r="AB248" s="62">
        <f>IF($V248="","",IF(AND(ISNUMBER($G248),$G248&lt;=IF($S248=MesCiclo,InicioCiclo,$S248+MOD(2-WEEKDAY($S248),7))+27),1,IF(ISNUMBER($L248),$L248,$AA248)))</f>
        <v/>
      </c>
      <c r="AC248" s="62">
        <f>IF($V248="","",IF(AND(ISNUMBER($G248),$G248&lt;=IF($S248=MesCiclo,InicioCiclo,$S248+MOD(2-WEEKDAY($S248),7))+6),1,IF(N($W248)&gt;0,AVERAGEIFS($Y$5:$Y$1000,$U$5:$U$1000,ROW(),$V$5:$V$1000,"Sub"),$Y248)))</f>
        <v/>
      </c>
      <c r="AD248" s="62">
        <f>IF($V248="","",IF(AND(ISNUMBER($G248),$G248&lt;=IF($S248=MesCiclo,InicioCiclo,$S248+MOD(2-WEEKDAY($S248),7))+13),1,IF(N($W248)&gt;0,AVERAGEIFS($Z$5:$Z$1000,$U$5:$U$1000,ROW(),$V$5:$V$1000,"Sub"),$Z248)))</f>
        <v/>
      </c>
      <c r="AE248" s="62">
        <f>IF($V248="","",IF(AND(ISNUMBER($G248),$G248&lt;=IF($S248=MesCiclo,InicioCiclo,$S248+MOD(2-WEEKDAY($S248),7))+20),1,IF(N($W248)&gt;0,AVERAGEIFS($AA$5:$AA$1000,$U$5:$U$1000,ROW(),$V$5:$V$1000,"Sub"),$AA248)))</f>
        <v/>
      </c>
      <c r="AF248" s="62">
        <f>IF($V248="","",IF(AND(ISNUMBER($G248),$G248&lt;=IF($S248=MesCiclo,InicioCiclo,$S248+MOD(2-WEEKDAY($S248),7))+27),1,IF(N($W248)&gt;0,AVERAGEIFS($AB$5:$AB$1000,$U$5:$U$1000,ROW(),$V$5:$V$1000,"Sub"),$AB248)))</f>
        <v/>
      </c>
      <c r="AG248" s="62">
        <f>IF($V248&lt;&gt;"Macro","",IF(COUNTIFS($S$5:$S$1000,$S248,$V$5:$V$1000,"Macro",$H$5:$H$1000,"&gt;0")=0,1/COUNTIFS($S$5:$S$1000,$S248,$V$5:$V$1000,"Macro"),IF(AND(ISNUMBER($H248),N($H248)&gt;0),$H248,SUMIFS($H$5:$H$1000,$S$5:$S$1000,$S248,$V$5:$V$1000,"Macro")/COUNTIFS($S$5:$S$1000,$S248,$V$5:$V$1000,"Macro",$H$5:$H$1000,"&gt;0"))/(COUNTIFS($S$5:$S$1000,$S248,$V$5:$V$1000,"Macro")*SUMIFS($H$5:$H$1000,$S$5:$S$1000,$S248,$V$5:$V$1000,"Macro")/COUNTIFS($S$5:$S$1000,$S248,$V$5:$V$1000,"Macro",$H$5:$H$1000,"&gt;0"))))</f>
        <v/>
      </c>
      <c r="AH248" s="62" t="n"/>
      <c r="AI248" s="62" t="n"/>
      <c r="AJ248" s="62" t="n"/>
      <c r="AK248" s="62" t="n"/>
      <c r="AL248" s="62">
        <f>IF(LEFT($C248,11)="[Jefatura] ",IFERROR(MATCH("Riesgo Operacional|"&amp;MID($C248,12,500),rDname_ADM,0),0),"")</f>
        <v/>
      </c>
      <c r="AM248" s="62">
        <f>IF(N($AL248)&gt;0,INDEX(rIni_ADM,$AL248),IF(ISNUMBER($E248),$E248,""))</f>
        <v/>
      </c>
      <c r="AN248" s="62">
        <f>IF(N($AL248)&gt;0,INDEX(rLim_ADM,$AL248),IF(ISNUMBER($F248),$F248,""))</f>
        <v/>
      </c>
    </row>
    <row r="249">
      <c r="A249" s="56">
        <f>IF(NOT((COUNTA($B249:$D249)+COUNTA($G249:$L249)+COUNTA($Q249))&gt;0),"",IF($V249="Macro",COUNTIFS($V$5:$V249,"Macro",$S$5:$S249,$S249),IF(N($U249)=0,"?",COUNTIFS(INDEX($V$5:$V$1000,1):INDEX($V$5:$V$1000,$U249-4),"Macro",INDEX($S$5:$S$1000,1):INDEX($S$5:$S$1000,$U249-4),INDEX($S$5:$S$1000,$U249-4))&amp;"."&amp;COUNTIFS($U$5:$U249,$U249,$V$5:$V249,"Sub"))))</f>
        <v/>
      </c>
      <c r="B249" s="57" t="n"/>
      <c r="C249" s="58" t="n"/>
      <c r="D249" s="58" t="n"/>
      <c r="E249" s="59">
        <f>IF(N($AL249)&gt;0,INDEX(rIni_ADM,$AL249),"")</f>
        <v/>
      </c>
      <c r="F249" s="59">
        <f>IF(N($AL249)&gt;0,INDEX(rLim_ADM,$AL249),"")</f>
        <v/>
      </c>
      <c r="G249" s="59" t="n"/>
      <c r="H249" s="60" t="n"/>
      <c r="I249" s="60" t="n"/>
      <c r="J249" s="60" t="n"/>
      <c r="K249" s="60" t="n"/>
      <c r="L249" s="60" t="n"/>
      <c r="M249" s="61">
        <f>IF(NOT((COUNTA($B249:$D249)+COUNTA($G249:$L249)+COUNTA($Q249))&gt;0),"",IF(ISNUMBER($G249),1,IF(N($W249)&gt;0,AVERAGEIFS($X$5:$X$1000,$U$5:$U$1000,ROW(),$V$5:$V$1000,"Sub"),$X249)))</f>
        <v/>
      </c>
      <c r="N249" s="56">
        <f>IF($M249="","",IF($M249&gt;=1,"Completado",IF($M249&gt;0,"En curso","Pendiente")))</f>
        <v/>
      </c>
      <c r="O249" s="56">
        <f>IF(NOT((COUNTA($B249:$D249)+COUNTA($G249:$L249)+COUNTA($Q249))&gt;0),"",IF(ISNUMBER($G249),IF(AND(ISNUMBER($AN249),$G249&gt;$AN249),"Cumplida con "&amp;($G249-$AN249)&amp;IF($G249-$AN249=1," día"," días")&amp;" de retraso","Cumplida"),IF(N($M249)&gt;=1,"Cumplida",IF(NOT(ISNUMBER($AN249)),"Sin fecha límite",IF($AN249&lt;FechaRef,"Vencida hace "&amp;(FechaRef-$AN249)&amp;IF(FechaRef-$AN249=1," día"," días"),IF($AN249=FechaRef,"Vence hoy",IF($AN249-FechaRef&lt;=DiasAlerta,"Vence en "&amp;($AN249-FechaRef)&amp;IF($AN249-FechaRef=1," día"," días"),"En plazo")))))))</f>
        <v/>
      </c>
      <c r="P249" s="62" t="n"/>
      <c r="Q249" s="58" t="n"/>
      <c r="R249" s="63">
        <f>IF(NOT((COUNTA($B249:$D249)+COUNTA($G249:$L249)+COUNTA($Q249))&gt;0),"",IF((IF($C249="","Falta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",""))="","✔ OK","⚠ "&amp;LEFT(IF($C249="","Falta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",""),LEN(IF($C249="","Falta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",""))-3)))</f>
        <v/>
      </c>
      <c r="S249" s="64">
        <f>IF(NOT((COUNTA($B249:$D249)+COUNTA($G249:$L249)+COUNTA($Q249))&gt;0),"",IF(AND($V249="Sub",N($U249)&gt;0),IF(ISNUMBER(INDEX($AM$5:$AM$1000,$U249-4)),DATE(YEAR(INDEX($AM$5:$AM$1000,$U249-4)),MONTH(INDEX($AM$5:$AM$1000,$U249-4)),1),IF(ISNUMBER(INDEX($AN$5:$AN$1000,$U249-4)),DATE(YEAR(INDEX($AN$5:$AN$1000,$U249-4)),MONTH(INDEX($AN$5:$AN$1000,$U249-4)),1),MesCiclo)),IF(ISNUMBER($AM249),DATE(YEAR($AM249),MONTH($AM249),1),IF(ISNUMBER($AN249),DATE(YEAR($AN249),MONTH($AN249),1),MesCiclo))))</f>
        <v/>
      </c>
      <c r="T249" s="62">
        <f>IF(OR($S249="",$S249&lt;&gt;MesCiclo),"",COUNTIF($S$5:$S249,MesCiclo))</f>
        <v/>
      </c>
      <c r="U249" s="62">
        <f>IF($V249="","",IF($V249="Macro",ROW(),IFERROR(LOOKUP(2,1/($V$5:$V249="Macro"),ROW($V$5:$V249)),0)))</f>
        <v/>
      </c>
      <c r="V249" s="62">
        <f>IF(NOT((COUNTA($B249:$D249)+COUNTA($G249:$L249)+COUNTA($Q249))&gt;0),"",IF($B249="Subactividad","Sub","Macro"))</f>
        <v/>
      </c>
      <c r="W249" s="62">
        <f>IF($V249="Macro",COUNTIFS($U$5:$U$1000,ROW(),$V$5:$V$1000,"Sub"),"")</f>
        <v/>
      </c>
      <c r="X249" s="62">
        <f>IF($V249="","",IF(ISNUMBER($G249),1,IFERROR(LOOKUP(2,1/($I249:$L249&lt;&gt;""),$I249:$L249),0)))</f>
        <v/>
      </c>
      <c r="Y249" s="62">
        <f>IF($V249="","",IF(AND(ISNUMBER($G249),$G249&lt;=IF($S249=MesCiclo,InicioCiclo,$S249+MOD(2-WEEKDAY($S249),7))+6),1,IF(ISNUMBER($I249),$I249,0)))</f>
        <v/>
      </c>
      <c r="Z249" s="62">
        <f>IF($V249="","",IF(AND(ISNUMBER($G249),$G249&lt;=IF($S249=MesCiclo,InicioCiclo,$S249+MOD(2-WEEKDAY($S249),7))+13),1,IF(ISNUMBER($J249),$J249,$Y249)))</f>
        <v/>
      </c>
      <c r="AA249" s="62">
        <f>IF($V249="","",IF(AND(ISNUMBER($G249),$G249&lt;=IF($S249=MesCiclo,InicioCiclo,$S249+MOD(2-WEEKDAY($S249),7))+20),1,IF(ISNUMBER($K249),$K249,$Z249)))</f>
        <v/>
      </c>
      <c r="AB249" s="62">
        <f>IF($V249="","",IF(AND(ISNUMBER($G249),$G249&lt;=IF($S249=MesCiclo,InicioCiclo,$S249+MOD(2-WEEKDAY($S249),7))+27),1,IF(ISNUMBER($L249),$L249,$AA249)))</f>
        <v/>
      </c>
      <c r="AC249" s="62">
        <f>IF($V249="","",IF(AND(ISNUMBER($G249),$G249&lt;=IF($S249=MesCiclo,InicioCiclo,$S249+MOD(2-WEEKDAY($S249),7))+6),1,IF(N($W249)&gt;0,AVERAGEIFS($Y$5:$Y$1000,$U$5:$U$1000,ROW(),$V$5:$V$1000,"Sub"),$Y249)))</f>
        <v/>
      </c>
      <c r="AD249" s="62">
        <f>IF($V249="","",IF(AND(ISNUMBER($G249),$G249&lt;=IF($S249=MesCiclo,InicioCiclo,$S249+MOD(2-WEEKDAY($S249),7))+13),1,IF(N($W249)&gt;0,AVERAGEIFS($Z$5:$Z$1000,$U$5:$U$1000,ROW(),$V$5:$V$1000,"Sub"),$Z249)))</f>
        <v/>
      </c>
      <c r="AE249" s="62">
        <f>IF($V249="","",IF(AND(ISNUMBER($G249),$G249&lt;=IF($S249=MesCiclo,InicioCiclo,$S249+MOD(2-WEEKDAY($S249),7))+20),1,IF(N($W249)&gt;0,AVERAGEIFS($AA$5:$AA$1000,$U$5:$U$1000,ROW(),$V$5:$V$1000,"Sub"),$AA249)))</f>
        <v/>
      </c>
      <c r="AF249" s="62">
        <f>IF($V249="","",IF(AND(ISNUMBER($G249),$G249&lt;=IF($S249=MesCiclo,InicioCiclo,$S249+MOD(2-WEEKDAY($S249),7))+27),1,IF(N($W249)&gt;0,AVERAGEIFS($AB$5:$AB$1000,$U$5:$U$1000,ROW(),$V$5:$V$1000,"Sub"),$AB249)))</f>
        <v/>
      </c>
      <c r="AG249" s="62">
        <f>IF($V249&lt;&gt;"Macro","",IF(COUNTIFS($S$5:$S$1000,$S249,$V$5:$V$1000,"Macro",$H$5:$H$1000,"&gt;0")=0,1/COUNTIFS($S$5:$S$1000,$S249,$V$5:$V$1000,"Macro"),IF(AND(ISNUMBER($H249),N($H249)&gt;0),$H249,SUMIFS($H$5:$H$1000,$S$5:$S$1000,$S249,$V$5:$V$1000,"Macro")/COUNTIFS($S$5:$S$1000,$S249,$V$5:$V$1000,"Macro",$H$5:$H$1000,"&gt;0"))/(COUNTIFS($S$5:$S$1000,$S249,$V$5:$V$1000,"Macro")*SUMIFS($H$5:$H$1000,$S$5:$S$1000,$S249,$V$5:$V$1000,"Macro")/COUNTIFS($S$5:$S$1000,$S249,$V$5:$V$1000,"Macro",$H$5:$H$1000,"&gt;0"))))</f>
        <v/>
      </c>
      <c r="AH249" s="62" t="n"/>
      <c r="AI249" s="62" t="n"/>
      <c r="AJ249" s="62" t="n"/>
      <c r="AK249" s="62" t="n"/>
      <c r="AL249" s="62">
        <f>IF(LEFT($C249,11)="[Jefatura] ",IFERROR(MATCH("Riesgo Operacional|"&amp;MID($C249,12,500),rDname_ADM,0),0),"")</f>
        <v/>
      </c>
      <c r="AM249" s="62">
        <f>IF(N($AL249)&gt;0,INDEX(rIni_ADM,$AL249),IF(ISNUMBER($E249),$E249,""))</f>
        <v/>
      </c>
      <c r="AN249" s="62">
        <f>IF(N($AL249)&gt;0,INDEX(rLim_ADM,$AL249),IF(ISNUMBER($F249),$F249,""))</f>
        <v/>
      </c>
    </row>
    <row r="250">
      <c r="A250" s="56">
        <f>IF(NOT((COUNTA($B250:$D250)+COUNTA($G250:$L250)+COUNTA($Q250))&gt;0),"",IF($V250="Macro",COUNTIFS($V$5:$V250,"Macro",$S$5:$S250,$S250),IF(N($U250)=0,"?",COUNTIFS(INDEX($V$5:$V$1000,1):INDEX($V$5:$V$1000,$U250-4),"Macro",INDEX($S$5:$S$1000,1):INDEX($S$5:$S$1000,$U250-4),INDEX($S$5:$S$1000,$U250-4))&amp;"."&amp;COUNTIFS($U$5:$U250,$U250,$V$5:$V250,"Sub"))))</f>
        <v/>
      </c>
      <c r="B250" s="57" t="n"/>
      <c r="C250" s="58" t="n"/>
      <c r="D250" s="58" t="n"/>
      <c r="E250" s="59">
        <f>IF(N($AL250)&gt;0,INDEX(rIni_ADM,$AL250),"")</f>
        <v/>
      </c>
      <c r="F250" s="59">
        <f>IF(N($AL250)&gt;0,INDEX(rLim_ADM,$AL250),"")</f>
        <v/>
      </c>
      <c r="G250" s="59" t="n"/>
      <c r="H250" s="60" t="n"/>
      <c r="I250" s="60" t="n"/>
      <c r="J250" s="60" t="n"/>
      <c r="K250" s="60" t="n"/>
      <c r="L250" s="60" t="n"/>
      <c r="M250" s="61">
        <f>IF(NOT((COUNTA($B250:$D250)+COUNTA($G250:$L250)+COUNTA($Q250))&gt;0),"",IF(ISNUMBER($G250),1,IF(N($W250)&gt;0,AVERAGEIFS($X$5:$X$1000,$U$5:$U$1000,ROW(),$V$5:$V$1000,"Sub"),$X250)))</f>
        <v/>
      </c>
      <c r="N250" s="56">
        <f>IF($M250="","",IF($M250&gt;=1,"Completado",IF($M250&gt;0,"En curso","Pendiente")))</f>
        <v/>
      </c>
      <c r="O250" s="56">
        <f>IF(NOT((COUNTA($B250:$D250)+COUNTA($G250:$L250)+COUNTA($Q250))&gt;0),"",IF(ISNUMBER($G250),IF(AND(ISNUMBER($AN250),$G250&gt;$AN250),"Cumplida con "&amp;($G250-$AN250)&amp;IF($G250-$AN250=1," día"," días")&amp;" de retraso","Cumplida"),IF(N($M250)&gt;=1,"Cumplida",IF(NOT(ISNUMBER($AN250)),"Sin fecha límite",IF($AN250&lt;FechaRef,"Vencida hace "&amp;(FechaRef-$AN250)&amp;IF(FechaRef-$AN250=1," día"," días"),IF($AN250=FechaRef,"Vence hoy",IF($AN250-FechaRef&lt;=DiasAlerta,"Vence en "&amp;($AN250-FechaRef)&amp;IF($AN250-FechaRef=1," día"," días"),"En plazo")))))))</f>
        <v/>
      </c>
      <c r="P250" s="62" t="n"/>
      <c r="Q250" s="58" t="n"/>
      <c r="R250" s="63">
        <f>IF(NOT((COUNTA($B250:$D250)+COUNTA($G250:$L250)+COUNTA($Q250))&gt;0),"",IF((IF($C250="","Falta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",""))="","✔ OK","⚠ "&amp;LEFT(IF($C250="","Falta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",""),LEN(IF($C250="","Falta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",""))-3)))</f>
        <v/>
      </c>
      <c r="S250" s="64">
        <f>IF(NOT((COUNTA($B250:$D250)+COUNTA($G250:$L250)+COUNTA($Q250))&gt;0),"",IF(AND($V250="Sub",N($U250)&gt;0),IF(ISNUMBER(INDEX($AM$5:$AM$1000,$U250-4)),DATE(YEAR(INDEX($AM$5:$AM$1000,$U250-4)),MONTH(INDEX($AM$5:$AM$1000,$U250-4)),1),IF(ISNUMBER(INDEX($AN$5:$AN$1000,$U250-4)),DATE(YEAR(INDEX($AN$5:$AN$1000,$U250-4)),MONTH(INDEX($AN$5:$AN$1000,$U250-4)),1),MesCiclo)),IF(ISNUMBER($AM250),DATE(YEAR($AM250),MONTH($AM250),1),IF(ISNUMBER($AN250),DATE(YEAR($AN250),MONTH($AN250),1),MesCiclo))))</f>
        <v/>
      </c>
      <c r="T250" s="62">
        <f>IF(OR($S250="",$S250&lt;&gt;MesCiclo),"",COUNTIF($S$5:$S250,MesCiclo))</f>
        <v/>
      </c>
      <c r="U250" s="62">
        <f>IF($V250="","",IF($V250="Macro",ROW(),IFERROR(LOOKUP(2,1/($V$5:$V250="Macro"),ROW($V$5:$V250)),0)))</f>
        <v/>
      </c>
      <c r="V250" s="62">
        <f>IF(NOT((COUNTA($B250:$D250)+COUNTA($G250:$L250)+COUNTA($Q250))&gt;0),"",IF($B250="Subactividad","Sub","Macro"))</f>
        <v/>
      </c>
      <c r="W250" s="62">
        <f>IF($V250="Macro",COUNTIFS($U$5:$U$1000,ROW(),$V$5:$V$1000,"Sub"),"")</f>
        <v/>
      </c>
      <c r="X250" s="62">
        <f>IF($V250="","",IF(ISNUMBER($G250),1,IFERROR(LOOKUP(2,1/($I250:$L250&lt;&gt;""),$I250:$L250),0)))</f>
        <v/>
      </c>
      <c r="Y250" s="62">
        <f>IF($V250="","",IF(AND(ISNUMBER($G250),$G250&lt;=IF($S250=MesCiclo,InicioCiclo,$S250+MOD(2-WEEKDAY($S250),7))+6),1,IF(ISNUMBER($I250),$I250,0)))</f>
        <v/>
      </c>
      <c r="Z250" s="62">
        <f>IF($V250="","",IF(AND(ISNUMBER($G250),$G250&lt;=IF($S250=MesCiclo,InicioCiclo,$S250+MOD(2-WEEKDAY($S250),7))+13),1,IF(ISNUMBER($J250),$J250,$Y250)))</f>
        <v/>
      </c>
      <c r="AA250" s="62">
        <f>IF($V250="","",IF(AND(ISNUMBER($G250),$G250&lt;=IF($S250=MesCiclo,InicioCiclo,$S250+MOD(2-WEEKDAY($S250),7))+20),1,IF(ISNUMBER($K250),$K250,$Z250)))</f>
        <v/>
      </c>
      <c r="AB250" s="62">
        <f>IF($V250="","",IF(AND(ISNUMBER($G250),$G250&lt;=IF($S250=MesCiclo,InicioCiclo,$S250+MOD(2-WEEKDAY($S250),7))+27),1,IF(ISNUMBER($L250),$L250,$AA250)))</f>
        <v/>
      </c>
      <c r="AC250" s="62">
        <f>IF($V250="","",IF(AND(ISNUMBER($G250),$G250&lt;=IF($S250=MesCiclo,InicioCiclo,$S250+MOD(2-WEEKDAY($S250),7))+6),1,IF(N($W250)&gt;0,AVERAGEIFS($Y$5:$Y$1000,$U$5:$U$1000,ROW(),$V$5:$V$1000,"Sub"),$Y250)))</f>
        <v/>
      </c>
      <c r="AD250" s="62">
        <f>IF($V250="","",IF(AND(ISNUMBER($G250),$G250&lt;=IF($S250=MesCiclo,InicioCiclo,$S250+MOD(2-WEEKDAY($S250),7))+13),1,IF(N($W250)&gt;0,AVERAGEIFS($Z$5:$Z$1000,$U$5:$U$1000,ROW(),$V$5:$V$1000,"Sub"),$Z250)))</f>
        <v/>
      </c>
      <c r="AE250" s="62">
        <f>IF($V250="","",IF(AND(ISNUMBER($G250),$G250&lt;=IF($S250=MesCiclo,InicioCiclo,$S250+MOD(2-WEEKDAY($S250),7))+20),1,IF(N($W250)&gt;0,AVERAGEIFS($AA$5:$AA$1000,$U$5:$U$1000,ROW(),$V$5:$V$1000,"Sub"),$AA250)))</f>
        <v/>
      </c>
      <c r="AF250" s="62">
        <f>IF($V250="","",IF(AND(ISNUMBER($G250),$G250&lt;=IF($S250=MesCiclo,InicioCiclo,$S250+MOD(2-WEEKDAY($S250),7))+27),1,IF(N($W250)&gt;0,AVERAGEIFS($AB$5:$AB$1000,$U$5:$U$1000,ROW(),$V$5:$V$1000,"Sub"),$AB250)))</f>
        <v/>
      </c>
      <c r="AG250" s="62">
        <f>IF($V250&lt;&gt;"Macro","",IF(COUNTIFS($S$5:$S$1000,$S250,$V$5:$V$1000,"Macro",$H$5:$H$1000,"&gt;0")=0,1/COUNTIFS($S$5:$S$1000,$S250,$V$5:$V$1000,"Macro"),IF(AND(ISNUMBER($H250),N($H250)&gt;0),$H250,SUMIFS($H$5:$H$1000,$S$5:$S$1000,$S250,$V$5:$V$1000,"Macro")/COUNTIFS($S$5:$S$1000,$S250,$V$5:$V$1000,"Macro",$H$5:$H$1000,"&gt;0"))/(COUNTIFS($S$5:$S$1000,$S250,$V$5:$V$1000,"Macro")*SUMIFS($H$5:$H$1000,$S$5:$S$1000,$S250,$V$5:$V$1000,"Macro")/COUNTIFS($S$5:$S$1000,$S250,$V$5:$V$1000,"Macro",$H$5:$H$1000,"&gt;0"))))</f>
        <v/>
      </c>
      <c r="AH250" s="62" t="n"/>
      <c r="AI250" s="62" t="n"/>
      <c r="AJ250" s="62" t="n"/>
      <c r="AK250" s="62" t="n"/>
      <c r="AL250" s="62">
        <f>IF(LEFT($C250,11)="[Jefatura] ",IFERROR(MATCH("Riesgo Operacional|"&amp;MID($C250,12,500),rDname_ADM,0),0),"")</f>
        <v/>
      </c>
      <c r="AM250" s="62">
        <f>IF(N($AL250)&gt;0,INDEX(rIni_ADM,$AL250),IF(ISNUMBER($E250),$E250,""))</f>
        <v/>
      </c>
      <c r="AN250" s="62">
        <f>IF(N($AL250)&gt;0,INDEX(rLim_ADM,$AL250),IF(ISNUMBER($F250),$F250,""))</f>
        <v/>
      </c>
    </row>
    <row r="251">
      <c r="A251" s="56">
        <f>IF(NOT((COUNTA($B251:$D251)+COUNTA($G251:$L251)+COUNTA($Q251))&gt;0),"",IF($V251="Macro",COUNTIFS($V$5:$V251,"Macro",$S$5:$S251,$S251),IF(N($U251)=0,"?",COUNTIFS(INDEX($V$5:$V$1000,1):INDEX($V$5:$V$1000,$U251-4),"Macro",INDEX($S$5:$S$1000,1):INDEX($S$5:$S$1000,$U251-4),INDEX($S$5:$S$1000,$U251-4))&amp;"."&amp;COUNTIFS($U$5:$U251,$U251,$V$5:$V251,"Sub"))))</f>
        <v/>
      </c>
      <c r="B251" s="57" t="n"/>
      <c r="C251" s="58" t="n"/>
      <c r="D251" s="58" t="n"/>
      <c r="E251" s="59">
        <f>IF(N($AL251)&gt;0,INDEX(rIni_ADM,$AL251),"")</f>
        <v/>
      </c>
      <c r="F251" s="59">
        <f>IF(N($AL251)&gt;0,INDEX(rLim_ADM,$AL251),"")</f>
        <v/>
      </c>
      <c r="G251" s="59" t="n"/>
      <c r="H251" s="60" t="n"/>
      <c r="I251" s="60" t="n"/>
      <c r="J251" s="60" t="n"/>
      <c r="K251" s="60" t="n"/>
      <c r="L251" s="60" t="n"/>
      <c r="M251" s="61">
        <f>IF(NOT((COUNTA($B251:$D251)+COUNTA($G251:$L251)+COUNTA($Q251))&gt;0),"",IF(ISNUMBER($G251),1,IF(N($W251)&gt;0,AVERAGEIFS($X$5:$X$1000,$U$5:$U$1000,ROW(),$V$5:$V$1000,"Sub"),$X251)))</f>
        <v/>
      </c>
      <c r="N251" s="56">
        <f>IF($M251="","",IF($M251&gt;=1,"Completado",IF($M251&gt;0,"En curso","Pendiente")))</f>
        <v/>
      </c>
      <c r="O251" s="56">
        <f>IF(NOT((COUNTA($B251:$D251)+COUNTA($G251:$L251)+COUNTA($Q251))&gt;0),"",IF(ISNUMBER($G251),IF(AND(ISNUMBER($AN251),$G251&gt;$AN251),"Cumplida con "&amp;($G251-$AN251)&amp;IF($G251-$AN251=1," día"," días")&amp;" de retraso","Cumplida"),IF(N($M251)&gt;=1,"Cumplida",IF(NOT(ISNUMBER($AN251)),"Sin fecha límite",IF($AN251&lt;FechaRef,"Vencida hace "&amp;(FechaRef-$AN251)&amp;IF(FechaRef-$AN251=1," día"," días"),IF($AN251=FechaRef,"Vence hoy",IF($AN251-FechaRef&lt;=DiasAlerta,"Vence en "&amp;($AN251-FechaRef)&amp;IF($AN251-FechaRef=1," día"," días"),"En plazo")))))))</f>
        <v/>
      </c>
      <c r="P251" s="62" t="n"/>
      <c r="Q251" s="58" t="n"/>
      <c r="R251" s="63">
        <f>IF(NOT((COUNTA($B251:$D251)+COUNTA($G251:$L251)+COUNTA($Q251))&gt;0),"",IF((IF($C251="","Falta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",""))="","✔ OK","⚠ "&amp;LEFT(IF($C251="","Falta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",""),LEN(IF($C251="","Falta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",""))-3)))</f>
        <v/>
      </c>
      <c r="S251" s="64">
        <f>IF(NOT((COUNTA($B251:$D251)+COUNTA($G251:$L251)+COUNTA($Q251))&gt;0),"",IF(AND($V251="Sub",N($U251)&gt;0),IF(ISNUMBER(INDEX($AM$5:$AM$1000,$U251-4)),DATE(YEAR(INDEX($AM$5:$AM$1000,$U251-4)),MONTH(INDEX($AM$5:$AM$1000,$U251-4)),1),IF(ISNUMBER(INDEX($AN$5:$AN$1000,$U251-4)),DATE(YEAR(INDEX($AN$5:$AN$1000,$U251-4)),MONTH(INDEX($AN$5:$AN$1000,$U251-4)),1),MesCiclo)),IF(ISNUMBER($AM251),DATE(YEAR($AM251),MONTH($AM251),1),IF(ISNUMBER($AN251),DATE(YEAR($AN251),MONTH($AN251),1),MesCiclo))))</f>
        <v/>
      </c>
      <c r="T251" s="62">
        <f>IF(OR($S251="",$S251&lt;&gt;MesCiclo),"",COUNTIF($S$5:$S251,MesCiclo))</f>
        <v/>
      </c>
      <c r="U251" s="62">
        <f>IF($V251="","",IF($V251="Macro",ROW(),IFERROR(LOOKUP(2,1/($V$5:$V251="Macro"),ROW($V$5:$V251)),0)))</f>
        <v/>
      </c>
      <c r="V251" s="62">
        <f>IF(NOT((COUNTA($B251:$D251)+COUNTA($G251:$L251)+COUNTA($Q251))&gt;0),"",IF($B251="Subactividad","Sub","Macro"))</f>
        <v/>
      </c>
      <c r="W251" s="62">
        <f>IF($V251="Macro",COUNTIFS($U$5:$U$1000,ROW(),$V$5:$V$1000,"Sub"),"")</f>
        <v/>
      </c>
      <c r="X251" s="62">
        <f>IF($V251="","",IF(ISNUMBER($G251),1,IFERROR(LOOKUP(2,1/($I251:$L251&lt;&gt;""),$I251:$L251),0)))</f>
        <v/>
      </c>
      <c r="Y251" s="62">
        <f>IF($V251="","",IF(AND(ISNUMBER($G251),$G251&lt;=IF($S251=MesCiclo,InicioCiclo,$S251+MOD(2-WEEKDAY($S251),7))+6),1,IF(ISNUMBER($I251),$I251,0)))</f>
        <v/>
      </c>
      <c r="Z251" s="62">
        <f>IF($V251="","",IF(AND(ISNUMBER($G251),$G251&lt;=IF($S251=MesCiclo,InicioCiclo,$S251+MOD(2-WEEKDAY($S251),7))+13),1,IF(ISNUMBER($J251),$J251,$Y251)))</f>
        <v/>
      </c>
      <c r="AA251" s="62">
        <f>IF($V251="","",IF(AND(ISNUMBER($G251),$G251&lt;=IF($S251=MesCiclo,InicioCiclo,$S251+MOD(2-WEEKDAY($S251),7))+20),1,IF(ISNUMBER($K251),$K251,$Z251)))</f>
        <v/>
      </c>
      <c r="AB251" s="62">
        <f>IF($V251="","",IF(AND(ISNUMBER($G251),$G251&lt;=IF($S251=MesCiclo,InicioCiclo,$S251+MOD(2-WEEKDAY($S251),7))+27),1,IF(ISNUMBER($L251),$L251,$AA251)))</f>
        <v/>
      </c>
      <c r="AC251" s="62">
        <f>IF($V251="","",IF(AND(ISNUMBER($G251),$G251&lt;=IF($S251=MesCiclo,InicioCiclo,$S251+MOD(2-WEEKDAY($S251),7))+6),1,IF(N($W251)&gt;0,AVERAGEIFS($Y$5:$Y$1000,$U$5:$U$1000,ROW(),$V$5:$V$1000,"Sub"),$Y251)))</f>
        <v/>
      </c>
      <c r="AD251" s="62">
        <f>IF($V251="","",IF(AND(ISNUMBER($G251),$G251&lt;=IF($S251=MesCiclo,InicioCiclo,$S251+MOD(2-WEEKDAY($S251),7))+13),1,IF(N($W251)&gt;0,AVERAGEIFS($Z$5:$Z$1000,$U$5:$U$1000,ROW(),$V$5:$V$1000,"Sub"),$Z251)))</f>
        <v/>
      </c>
      <c r="AE251" s="62">
        <f>IF($V251="","",IF(AND(ISNUMBER($G251),$G251&lt;=IF($S251=MesCiclo,InicioCiclo,$S251+MOD(2-WEEKDAY($S251),7))+20),1,IF(N($W251)&gt;0,AVERAGEIFS($AA$5:$AA$1000,$U$5:$U$1000,ROW(),$V$5:$V$1000,"Sub"),$AA251)))</f>
        <v/>
      </c>
      <c r="AF251" s="62">
        <f>IF($V251="","",IF(AND(ISNUMBER($G251),$G251&lt;=IF($S251=MesCiclo,InicioCiclo,$S251+MOD(2-WEEKDAY($S251),7))+27),1,IF(N($W251)&gt;0,AVERAGEIFS($AB$5:$AB$1000,$U$5:$U$1000,ROW(),$V$5:$V$1000,"Sub"),$AB251)))</f>
        <v/>
      </c>
      <c r="AG251" s="62">
        <f>IF($V251&lt;&gt;"Macro","",IF(COUNTIFS($S$5:$S$1000,$S251,$V$5:$V$1000,"Macro",$H$5:$H$1000,"&gt;0")=0,1/COUNTIFS($S$5:$S$1000,$S251,$V$5:$V$1000,"Macro"),IF(AND(ISNUMBER($H251),N($H251)&gt;0),$H251,SUMIFS($H$5:$H$1000,$S$5:$S$1000,$S251,$V$5:$V$1000,"Macro")/COUNTIFS($S$5:$S$1000,$S251,$V$5:$V$1000,"Macro",$H$5:$H$1000,"&gt;0"))/(COUNTIFS($S$5:$S$1000,$S251,$V$5:$V$1000,"Macro")*SUMIFS($H$5:$H$1000,$S$5:$S$1000,$S251,$V$5:$V$1000,"Macro")/COUNTIFS($S$5:$S$1000,$S251,$V$5:$V$1000,"Macro",$H$5:$H$1000,"&gt;0"))))</f>
        <v/>
      </c>
      <c r="AH251" s="62" t="n"/>
      <c r="AI251" s="62" t="n"/>
      <c r="AJ251" s="62" t="n"/>
      <c r="AK251" s="62" t="n"/>
      <c r="AL251" s="62">
        <f>IF(LEFT($C251,11)="[Jefatura] ",IFERROR(MATCH("Riesgo Operacional|"&amp;MID($C251,12,500),rDname_ADM,0),0),"")</f>
        <v/>
      </c>
      <c r="AM251" s="62">
        <f>IF(N($AL251)&gt;0,INDEX(rIni_ADM,$AL251),IF(ISNUMBER($E251),$E251,""))</f>
        <v/>
      </c>
      <c r="AN251" s="62">
        <f>IF(N($AL251)&gt;0,INDEX(rLim_ADM,$AL251),IF(ISNUMBER($F251),$F251,""))</f>
        <v/>
      </c>
    </row>
    <row r="252">
      <c r="A252" s="56">
        <f>IF(NOT((COUNTA($B252:$D252)+COUNTA($G252:$L252)+COUNTA($Q252))&gt;0),"",IF($V252="Macro",COUNTIFS($V$5:$V252,"Macro",$S$5:$S252,$S252),IF(N($U252)=0,"?",COUNTIFS(INDEX($V$5:$V$1000,1):INDEX($V$5:$V$1000,$U252-4),"Macro",INDEX($S$5:$S$1000,1):INDEX($S$5:$S$1000,$U252-4),INDEX($S$5:$S$1000,$U252-4))&amp;"."&amp;COUNTIFS($U$5:$U252,$U252,$V$5:$V252,"Sub"))))</f>
        <v/>
      </c>
      <c r="B252" s="57" t="n"/>
      <c r="C252" s="58" t="n"/>
      <c r="D252" s="58" t="n"/>
      <c r="E252" s="59">
        <f>IF(N($AL252)&gt;0,INDEX(rIni_ADM,$AL252),"")</f>
        <v/>
      </c>
      <c r="F252" s="59">
        <f>IF(N($AL252)&gt;0,INDEX(rLim_ADM,$AL252),"")</f>
        <v/>
      </c>
      <c r="G252" s="59" t="n"/>
      <c r="H252" s="60" t="n"/>
      <c r="I252" s="60" t="n"/>
      <c r="J252" s="60" t="n"/>
      <c r="K252" s="60" t="n"/>
      <c r="L252" s="60" t="n"/>
      <c r="M252" s="61">
        <f>IF(NOT((COUNTA($B252:$D252)+COUNTA($G252:$L252)+COUNTA($Q252))&gt;0),"",IF(ISNUMBER($G252),1,IF(N($W252)&gt;0,AVERAGEIFS($X$5:$X$1000,$U$5:$U$1000,ROW(),$V$5:$V$1000,"Sub"),$X252)))</f>
        <v/>
      </c>
      <c r="N252" s="56">
        <f>IF($M252="","",IF($M252&gt;=1,"Completado",IF($M252&gt;0,"En curso","Pendiente")))</f>
        <v/>
      </c>
      <c r="O252" s="56">
        <f>IF(NOT((COUNTA($B252:$D252)+COUNTA($G252:$L252)+COUNTA($Q252))&gt;0),"",IF(ISNUMBER($G252),IF(AND(ISNUMBER($AN252),$G252&gt;$AN252),"Cumplida con "&amp;($G252-$AN252)&amp;IF($G252-$AN252=1," día"," días")&amp;" de retraso","Cumplida"),IF(N($M252)&gt;=1,"Cumplida",IF(NOT(ISNUMBER($AN252)),"Sin fecha límite",IF($AN252&lt;FechaRef,"Vencida hace "&amp;(FechaRef-$AN252)&amp;IF(FechaRef-$AN252=1," día"," días"),IF($AN252=FechaRef,"Vence hoy",IF($AN252-FechaRef&lt;=DiasAlerta,"Vence en "&amp;($AN252-FechaRef)&amp;IF($AN252-FechaRef=1," día"," días"),"En plazo")))))))</f>
        <v/>
      </c>
      <c r="P252" s="62" t="n"/>
      <c r="Q252" s="58" t="n"/>
      <c r="R252" s="63">
        <f>IF(NOT((COUNTA($B252:$D252)+COUNTA($G252:$L252)+COUNTA($Q252))&gt;0),"",IF((IF($C252="","Falta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",""))="","✔ OK","⚠ "&amp;LEFT(IF($C252="","Falta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",""),LEN(IF($C252="","Falta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",""))-3)))</f>
        <v/>
      </c>
      <c r="S252" s="64">
        <f>IF(NOT((COUNTA($B252:$D252)+COUNTA($G252:$L252)+COUNTA($Q252))&gt;0),"",IF(AND($V252="Sub",N($U252)&gt;0),IF(ISNUMBER(INDEX($AM$5:$AM$1000,$U252-4)),DATE(YEAR(INDEX($AM$5:$AM$1000,$U252-4)),MONTH(INDEX($AM$5:$AM$1000,$U252-4)),1),IF(ISNUMBER(INDEX($AN$5:$AN$1000,$U252-4)),DATE(YEAR(INDEX($AN$5:$AN$1000,$U252-4)),MONTH(INDEX($AN$5:$AN$1000,$U252-4)),1),MesCiclo)),IF(ISNUMBER($AM252),DATE(YEAR($AM252),MONTH($AM252),1),IF(ISNUMBER($AN252),DATE(YEAR($AN252),MONTH($AN252),1),MesCiclo))))</f>
        <v/>
      </c>
      <c r="T252" s="62">
        <f>IF(OR($S252="",$S252&lt;&gt;MesCiclo),"",COUNTIF($S$5:$S252,MesCiclo))</f>
        <v/>
      </c>
      <c r="U252" s="62">
        <f>IF($V252="","",IF($V252="Macro",ROW(),IFERROR(LOOKUP(2,1/($V$5:$V252="Macro"),ROW($V$5:$V252)),0)))</f>
        <v/>
      </c>
      <c r="V252" s="62">
        <f>IF(NOT((COUNTA($B252:$D252)+COUNTA($G252:$L252)+COUNTA($Q252))&gt;0),"",IF($B252="Subactividad","Sub","Macro"))</f>
        <v/>
      </c>
      <c r="W252" s="62">
        <f>IF($V252="Macro",COUNTIFS($U$5:$U$1000,ROW(),$V$5:$V$1000,"Sub"),"")</f>
        <v/>
      </c>
      <c r="X252" s="62">
        <f>IF($V252="","",IF(ISNUMBER($G252),1,IFERROR(LOOKUP(2,1/($I252:$L252&lt;&gt;""),$I252:$L252),0)))</f>
        <v/>
      </c>
      <c r="Y252" s="62">
        <f>IF($V252="","",IF(AND(ISNUMBER($G252),$G252&lt;=IF($S252=MesCiclo,InicioCiclo,$S252+MOD(2-WEEKDAY($S252),7))+6),1,IF(ISNUMBER($I252),$I252,0)))</f>
        <v/>
      </c>
      <c r="Z252" s="62">
        <f>IF($V252="","",IF(AND(ISNUMBER($G252),$G252&lt;=IF($S252=MesCiclo,InicioCiclo,$S252+MOD(2-WEEKDAY($S252),7))+13),1,IF(ISNUMBER($J252),$J252,$Y252)))</f>
        <v/>
      </c>
      <c r="AA252" s="62">
        <f>IF($V252="","",IF(AND(ISNUMBER($G252),$G252&lt;=IF($S252=MesCiclo,InicioCiclo,$S252+MOD(2-WEEKDAY($S252),7))+20),1,IF(ISNUMBER($K252),$K252,$Z252)))</f>
        <v/>
      </c>
      <c r="AB252" s="62">
        <f>IF($V252="","",IF(AND(ISNUMBER($G252),$G252&lt;=IF($S252=MesCiclo,InicioCiclo,$S252+MOD(2-WEEKDAY($S252),7))+27),1,IF(ISNUMBER($L252),$L252,$AA252)))</f>
        <v/>
      </c>
      <c r="AC252" s="62">
        <f>IF($V252="","",IF(AND(ISNUMBER($G252),$G252&lt;=IF($S252=MesCiclo,InicioCiclo,$S252+MOD(2-WEEKDAY($S252),7))+6),1,IF(N($W252)&gt;0,AVERAGEIFS($Y$5:$Y$1000,$U$5:$U$1000,ROW(),$V$5:$V$1000,"Sub"),$Y252)))</f>
        <v/>
      </c>
      <c r="AD252" s="62">
        <f>IF($V252="","",IF(AND(ISNUMBER($G252),$G252&lt;=IF($S252=MesCiclo,InicioCiclo,$S252+MOD(2-WEEKDAY($S252),7))+13),1,IF(N($W252)&gt;0,AVERAGEIFS($Z$5:$Z$1000,$U$5:$U$1000,ROW(),$V$5:$V$1000,"Sub"),$Z252)))</f>
        <v/>
      </c>
      <c r="AE252" s="62">
        <f>IF($V252="","",IF(AND(ISNUMBER($G252),$G252&lt;=IF($S252=MesCiclo,InicioCiclo,$S252+MOD(2-WEEKDAY($S252),7))+20),1,IF(N($W252)&gt;0,AVERAGEIFS($AA$5:$AA$1000,$U$5:$U$1000,ROW(),$V$5:$V$1000,"Sub"),$AA252)))</f>
        <v/>
      </c>
      <c r="AF252" s="62">
        <f>IF($V252="","",IF(AND(ISNUMBER($G252),$G252&lt;=IF($S252=MesCiclo,InicioCiclo,$S252+MOD(2-WEEKDAY($S252),7))+27),1,IF(N($W252)&gt;0,AVERAGEIFS($AB$5:$AB$1000,$U$5:$U$1000,ROW(),$V$5:$V$1000,"Sub"),$AB252)))</f>
        <v/>
      </c>
      <c r="AG252" s="62">
        <f>IF($V252&lt;&gt;"Macro","",IF(COUNTIFS($S$5:$S$1000,$S252,$V$5:$V$1000,"Macro",$H$5:$H$1000,"&gt;0")=0,1/COUNTIFS($S$5:$S$1000,$S252,$V$5:$V$1000,"Macro"),IF(AND(ISNUMBER($H252),N($H252)&gt;0),$H252,SUMIFS($H$5:$H$1000,$S$5:$S$1000,$S252,$V$5:$V$1000,"Macro")/COUNTIFS($S$5:$S$1000,$S252,$V$5:$V$1000,"Macro",$H$5:$H$1000,"&gt;0"))/(COUNTIFS($S$5:$S$1000,$S252,$V$5:$V$1000,"Macro")*SUMIFS($H$5:$H$1000,$S$5:$S$1000,$S252,$V$5:$V$1000,"Macro")/COUNTIFS($S$5:$S$1000,$S252,$V$5:$V$1000,"Macro",$H$5:$H$1000,"&gt;0"))))</f>
        <v/>
      </c>
      <c r="AH252" s="62" t="n"/>
      <c r="AI252" s="62" t="n"/>
      <c r="AJ252" s="62" t="n"/>
      <c r="AK252" s="62" t="n"/>
      <c r="AL252" s="62">
        <f>IF(LEFT($C252,11)="[Jefatura] ",IFERROR(MATCH("Riesgo Operacional|"&amp;MID($C252,12,500),rDname_ADM,0),0),"")</f>
        <v/>
      </c>
      <c r="AM252" s="62">
        <f>IF(N($AL252)&gt;0,INDEX(rIni_ADM,$AL252),IF(ISNUMBER($E252),$E252,""))</f>
        <v/>
      </c>
      <c r="AN252" s="62">
        <f>IF(N($AL252)&gt;0,INDEX(rLim_ADM,$AL252),IF(ISNUMBER($F252),$F252,""))</f>
        <v/>
      </c>
    </row>
    <row r="253">
      <c r="A253" s="56">
        <f>IF(NOT((COUNTA($B253:$D253)+COUNTA($G253:$L253)+COUNTA($Q253))&gt;0),"",IF($V253="Macro",COUNTIFS($V$5:$V253,"Macro",$S$5:$S253,$S253),IF(N($U253)=0,"?",COUNTIFS(INDEX($V$5:$V$1000,1):INDEX($V$5:$V$1000,$U253-4),"Macro",INDEX($S$5:$S$1000,1):INDEX($S$5:$S$1000,$U253-4),INDEX($S$5:$S$1000,$U253-4))&amp;"."&amp;COUNTIFS($U$5:$U253,$U253,$V$5:$V253,"Sub"))))</f>
        <v/>
      </c>
      <c r="B253" s="57" t="n"/>
      <c r="C253" s="58" t="n"/>
      <c r="D253" s="58" t="n"/>
      <c r="E253" s="59">
        <f>IF(N($AL253)&gt;0,INDEX(rIni_ADM,$AL253),"")</f>
        <v/>
      </c>
      <c r="F253" s="59">
        <f>IF(N($AL253)&gt;0,INDEX(rLim_ADM,$AL253),"")</f>
        <v/>
      </c>
      <c r="G253" s="59" t="n"/>
      <c r="H253" s="60" t="n"/>
      <c r="I253" s="60" t="n"/>
      <c r="J253" s="60" t="n"/>
      <c r="K253" s="60" t="n"/>
      <c r="L253" s="60" t="n"/>
      <c r="M253" s="61">
        <f>IF(NOT((COUNTA($B253:$D253)+COUNTA($G253:$L253)+COUNTA($Q253))&gt;0),"",IF(ISNUMBER($G253),1,IF(N($W253)&gt;0,AVERAGEIFS($X$5:$X$1000,$U$5:$U$1000,ROW(),$V$5:$V$1000,"Sub"),$X253)))</f>
        <v/>
      </c>
      <c r="N253" s="56">
        <f>IF($M253="","",IF($M253&gt;=1,"Completado",IF($M253&gt;0,"En curso","Pendiente")))</f>
        <v/>
      </c>
      <c r="O253" s="56">
        <f>IF(NOT((COUNTA($B253:$D253)+COUNTA($G253:$L253)+COUNTA($Q253))&gt;0),"",IF(ISNUMBER($G253),IF(AND(ISNUMBER($AN253),$G253&gt;$AN253),"Cumplida con "&amp;($G253-$AN253)&amp;IF($G253-$AN253=1," día"," días")&amp;" de retraso","Cumplida"),IF(N($M253)&gt;=1,"Cumplida",IF(NOT(ISNUMBER($AN253)),"Sin fecha límite",IF($AN253&lt;FechaRef,"Vencida hace "&amp;(FechaRef-$AN253)&amp;IF(FechaRef-$AN253=1," día"," días"),IF($AN253=FechaRef,"Vence hoy",IF($AN253-FechaRef&lt;=DiasAlerta,"Vence en "&amp;($AN253-FechaRef)&amp;IF($AN253-FechaRef=1," día"," días"),"En plazo")))))))</f>
        <v/>
      </c>
      <c r="P253" s="62" t="n"/>
      <c r="Q253" s="58" t="n"/>
      <c r="R253" s="63">
        <f>IF(NOT((COUNTA($B253:$D253)+COUNTA($G253:$L253)+COUNTA($Q253))&gt;0),"",IF((IF($C253="","Falta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",""))="","✔ OK","⚠ "&amp;LEFT(IF($C253="","Falta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",""),LEN(IF($C253="","Falta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",""))-3)))</f>
        <v/>
      </c>
      <c r="S253" s="64">
        <f>IF(NOT((COUNTA($B253:$D253)+COUNTA($G253:$L253)+COUNTA($Q253))&gt;0),"",IF(AND($V253="Sub",N($U253)&gt;0),IF(ISNUMBER(INDEX($AM$5:$AM$1000,$U253-4)),DATE(YEAR(INDEX($AM$5:$AM$1000,$U253-4)),MONTH(INDEX($AM$5:$AM$1000,$U253-4)),1),IF(ISNUMBER(INDEX($AN$5:$AN$1000,$U253-4)),DATE(YEAR(INDEX($AN$5:$AN$1000,$U253-4)),MONTH(INDEX($AN$5:$AN$1000,$U253-4)),1),MesCiclo)),IF(ISNUMBER($AM253),DATE(YEAR($AM253),MONTH($AM253),1),IF(ISNUMBER($AN253),DATE(YEAR($AN253),MONTH($AN253),1),MesCiclo))))</f>
        <v/>
      </c>
      <c r="T253" s="62">
        <f>IF(OR($S253="",$S253&lt;&gt;MesCiclo),"",COUNTIF($S$5:$S253,MesCiclo))</f>
        <v/>
      </c>
      <c r="U253" s="62">
        <f>IF($V253="","",IF($V253="Macro",ROW(),IFERROR(LOOKUP(2,1/($V$5:$V253="Macro"),ROW($V$5:$V253)),0)))</f>
        <v/>
      </c>
      <c r="V253" s="62">
        <f>IF(NOT((COUNTA($B253:$D253)+COUNTA($G253:$L253)+COUNTA($Q253))&gt;0),"",IF($B253="Subactividad","Sub","Macro"))</f>
        <v/>
      </c>
      <c r="W253" s="62">
        <f>IF($V253="Macro",COUNTIFS($U$5:$U$1000,ROW(),$V$5:$V$1000,"Sub"),"")</f>
        <v/>
      </c>
      <c r="X253" s="62">
        <f>IF($V253="","",IF(ISNUMBER($G253),1,IFERROR(LOOKUP(2,1/($I253:$L253&lt;&gt;""),$I253:$L253),0)))</f>
        <v/>
      </c>
      <c r="Y253" s="62">
        <f>IF($V253="","",IF(AND(ISNUMBER($G253),$G253&lt;=IF($S253=MesCiclo,InicioCiclo,$S253+MOD(2-WEEKDAY($S253),7))+6),1,IF(ISNUMBER($I253),$I253,0)))</f>
        <v/>
      </c>
      <c r="Z253" s="62">
        <f>IF($V253="","",IF(AND(ISNUMBER($G253),$G253&lt;=IF($S253=MesCiclo,InicioCiclo,$S253+MOD(2-WEEKDAY($S253),7))+13),1,IF(ISNUMBER($J253),$J253,$Y253)))</f>
        <v/>
      </c>
      <c r="AA253" s="62">
        <f>IF($V253="","",IF(AND(ISNUMBER($G253),$G253&lt;=IF($S253=MesCiclo,InicioCiclo,$S253+MOD(2-WEEKDAY($S253),7))+20),1,IF(ISNUMBER($K253),$K253,$Z253)))</f>
        <v/>
      </c>
      <c r="AB253" s="62">
        <f>IF($V253="","",IF(AND(ISNUMBER($G253),$G253&lt;=IF($S253=MesCiclo,InicioCiclo,$S253+MOD(2-WEEKDAY($S253),7))+27),1,IF(ISNUMBER($L253),$L253,$AA253)))</f>
        <v/>
      </c>
      <c r="AC253" s="62">
        <f>IF($V253="","",IF(AND(ISNUMBER($G253),$G253&lt;=IF($S253=MesCiclo,InicioCiclo,$S253+MOD(2-WEEKDAY($S253),7))+6),1,IF(N($W253)&gt;0,AVERAGEIFS($Y$5:$Y$1000,$U$5:$U$1000,ROW(),$V$5:$V$1000,"Sub"),$Y253)))</f>
        <v/>
      </c>
      <c r="AD253" s="62">
        <f>IF($V253="","",IF(AND(ISNUMBER($G253),$G253&lt;=IF($S253=MesCiclo,InicioCiclo,$S253+MOD(2-WEEKDAY($S253),7))+13),1,IF(N($W253)&gt;0,AVERAGEIFS($Z$5:$Z$1000,$U$5:$U$1000,ROW(),$V$5:$V$1000,"Sub"),$Z253)))</f>
        <v/>
      </c>
      <c r="AE253" s="62">
        <f>IF($V253="","",IF(AND(ISNUMBER($G253),$G253&lt;=IF($S253=MesCiclo,InicioCiclo,$S253+MOD(2-WEEKDAY($S253),7))+20),1,IF(N($W253)&gt;0,AVERAGEIFS($AA$5:$AA$1000,$U$5:$U$1000,ROW(),$V$5:$V$1000,"Sub"),$AA253)))</f>
        <v/>
      </c>
      <c r="AF253" s="62">
        <f>IF($V253="","",IF(AND(ISNUMBER($G253),$G253&lt;=IF($S253=MesCiclo,InicioCiclo,$S253+MOD(2-WEEKDAY($S253),7))+27),1,IF(N($W253)&gt;0,AVERAGEIFS($AB$5:$AB$1000,$U$5:$U$1000,ROW(),$V$5:$V$1000,"Sub"),$AB253)))</f>
        <v/>
      </c>
      <c r="AG253" s="62">
        <f>IF($V253&lt;&gt;"Macro","",IF(COUNTIFS($S$5:$S$1000,$S253,$V$5:$V$1000,"Macro",$H$5:$H$1000,"&gt;0")=0,1/COUNTIFS($S$5:$S$1000,$S253,$V$5:$V$1000,"Macro"),IF(AND(ISNUMBER($H253),N($H253)&gt;0),$H253,SUMIFS($H$5:$H$1000,$S$5:$S$1000,$S253,$V$5:$V$1000,"Macro")/COUNTIFS($S$5:$S$1000,$S253,$V$5:$V$1000,"Macro",$H$5:$H$1000,"&gt;0"))/(COUNTIFS($S$5:$S$1000,$S253,$V$5:$V$1000,"Macro")*SUMIFS($H$5:$H$1000,$S$5:$S$1000,$S253,$V$5:$V$1000,"Macro")/COUNTIFS($S$5:$S$1000,$S253,$V$5:$V$1000,"Macro",$H$5:$H$1000,"&gt;0"))))</f>
        <v/>
      </c>
      <c r="AH253" s="62" t="n"/>
      <c r="AI253" s="62" t="n"/>
      <c r="AJ253" s="62" t="n"/>
      <c r="AK253" s="62" t="n"/>
      <c r="AL253" s="62">
        <f>IF(LEFT($C253,11)="[Jefatura] ",IFERROR(MATCH("Riesgo Operacional|"&amp;MID($C253,12,500),rDname_ADM,0),0),"")</f>
        <v/>
      </c>
      <c r="AM253" s="62">
        <f>IF(N($AL253)&gt;0,INDEX(rIni_ADM,$AL253),IF(ISNUMBER($E253),$E253,""))</f>
        <v/>
      </c>
      <c r="AN253" s="62">
        <f>IF(N($AL253)&gt;0,INDEX(rLim_ADM,$AL253),IF(ISNUMBER($F253),$F253,""))</f>
        <v/>
      </c>
    </row>
    <row r="254">
      <c r="A254" s="56">
        <f>IF(NOT((COUNTA($B254:$D254)+COUNTA($G254:$L254)+COUNTA($Q254))&gt;0),"",IF($V254="Macro",COUNTIFS($V$5:$V254,"Macro",$S$5:$S254,$S254),IF(N($U254)=0,"?",COUNTIFS(INDEX($V$5:$V$1000,1):INDEX($V$5:$V$1000,$U254-4),"Macro",INDEX($S$5:$S$1000,1):INDEX($S$5:$S$1000,$U254-4),INDEX($S$5:$S$1000,$U254-4))&amp;"."&amp;COUNTIFS($U$5:$U254,$U254,$V$5:$V254,"Sub"))))</f>
        <v/>
      </c>
      <c r="B254" s="57" t="n"/>
      <c r="C254" s="58" t="n"/>
      <c r="D254" s="58" t="n"/>
      <c r="E254" s="59">
        <f>IF(N($AL254)&gt;0,INDEX(rIni_ADM,$AL254),"")</f>
        <v/>
      </c>
      <c r="F254" s="59">
        <f>IF(N($AL254)&gt;0,INDEX(rLim_ADM,$AL254),"")</f>
        <v/>
      </c>
      <c r="G254" s="59" t="n"/>
      <c r="H254" s="60" t="n"/>
      <c r="I254" s="60" t="n"/>
      <c r="J254" s="60" t="n"/>
      <c r="K254" s="60" t="n"/>
      <c r="L254" s="60" t="n"/>
      <c r="M254" s="61">
        <f>IF(NOT((COUNTA($B254:$D254)+COUNTA($G254:$L254)+COUNTA($Q254))&gt;0),"",IF(ISNUMBER($G254),1,IF(N($W254)&gt;0,AVERAGEIFS($X$5:$X$1000,$U$5:$U$1000,ROW(),$V$5:$V$1000,"Sub"),$X254)))</f>
        <v/>
      </c>
      <c r="N254" s="56">
        <f>IF($M254="","",IF($M254&gt;=1,"Completado",IF($M254&gt;0,"En curso","Pendiente")))</f>
        <v/>
      </c>
      <c r="O254" s="56">
        <f>IF(NOT((COUNTA($B254:$D254)+COUNTA($G254:$L254)+COUNTA($Q254))&gt;0),"",IF(ISNUMBER($G254),IF(AND(ISNUMBER($AN254),$G254&gt;$AN254),"Cumplida con "&amp;($G254-$AN254)&amp;IF($G254-$AN254=1," día"," días")&amp;" de retraso","Cumplida"),IF(N($M254)&gt;=1,"Cumplida",IF(NOT(ISNUMBER($AN254)),"Sin fecha límite",IF($AN254&lt;FechaRef,"Vencida hace "&amp;(FechaRef-$AN254)&amp;IF(FechaRef-$AN254=1," día"," días"),IF($AN254=FechaRef,"Vence hoy",IF($AN254-FechaRef&lt;=DiasAlerta,"Vence en "&amp;($AN254-FechaRef)&amp;IF($AN254-FechaRef=1," día"," días"),"En plazo")))))))</f>
        <v/>
      </c>
      <c r="P254" s="62" t="n"/>
      <c r="Q254" s="58" t="n"/>
      <c r="R254" s="63">
        <f>IF(NOT((COUNTA($B254:$D254)+COUNTA($G254:$L254)+COUNTA($Q254))&gt;0),"",IF((IF($C254="","Falta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",""))="","✔ OK","⚠ "&amp;LEFT(IF($C254="","Falta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",""),LEN(IF($C254="","Falta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",""))-3)))</f>
        <v/>
      </c>
      <c r="S254" s="64">
        <f>IF(NOT((COUNTA($B254:$D254)+COUNTA($G254:$L254)+COUNTA($Q254))&gt;0),"",IF(AND($V254="Sub",N($U254)&gt;0),IF(ISNUMBER(INDEX($AM$5:$AM$1000,$U254-4)),DATE(YEAR(INDEX($AM$5:$AM$1000,$U254-4)),MONTH(INDEX($AM$5:$AM$1000,$U254-4)),1),IF(ISNUMBER(INDEX($AN$5:$AN$1000,$U254-4)),DATE(YEAR(INDEX($AN$5:$AN$1000,$U254-4)),MONTH(INDEX($AN$5:$AN$1000,$U254-4)),1),MesCiclo)),IF(ISNUMBER($AM254),DATE(YEAR($AM254),MONTH($AM254),1),IF(ISNUMBER($AN254),DATE(YEAR($AN254),MONTH($AN254),1),MesCiclo))))</f>
        <v/>
      </c>
      <c r="T254" s="62">
        <f>IF(OR($S254="",$S254&lt;&gt;MesCiclo),"",COUNTIF($S$5:$S254,MesCiclo))</f>
        <v/>
      </c>
      <c r="U254" s="62">
        <f>IF($V254="","",IF($V254="Macro",ROW(),IFERROR(LOOKUP(2,1/($V$5:$V254="Macro"),ROW($V$5:$V254)),0)))</f>
        <v/>
      </c>
      <c r="V254" s="62">
        <f>IF(NOT((COUNTA($B254:$D254)+COUNTA($G254:$L254)+COUNTA($Q254))&gt;0),"",IF($B254="Subactividad","Sub","Macro"))</f>
        <v/>
      </c>
      <c r="W254" s="62">
        <f>IF($V254="Macro",COUNTIFS($U$5:$U$1000,ROW(),$V$5:$V$1000,"Sub"),"")</f>
        <v/>
      </c>
      <c r="X254" s="62">
        <f>IF($V254="","",IF(ISNUMBER($G254),1,IFERROR(LOOKUP(2,1/($I254:$L254&lt;&gt;""),$I254:$L254),0)))</f>
        <v/>
      </c>
      <c r="Y254" s="62">
        <f>IF($V254="","",IF(AND(ISNUMBER($G254),$G254&lt;=IF($S254=MesCiclo,InicioCiclo,$S254+MOD(2-WEEKDAY($S254),7))+6),1,IF(ISNUMBER($I254),$I254,0)))</f>
        <v/>
      </c>
      <c r="Z254" s="62">
        <f>IF($V254="","",IF(AND(ISNUMBER($G254),$G254&lt;=IF($S254=MesCiclo,InicioCiclo,$S254+MOD(2-WEEKDAY($S254),7))+13),1,IF(ISNUMBER($J254),$J254,$Y254)))</f>
        <v/>
      </c>
      <c r="AA254" s="62">
        <f>IF($V254="","",IF(AND(ISNUMBER($G254),$G254&lt;=IF($S254=MesCiclo,InicioCiclo,$S254+MOD(2-WEEKDAY($S254),7))+20),1,IF(ISNUMBER($K254),$K254,$Z254)))</f>
        <v/>
      </c>
      <c r="AB254" s="62">
        <f>IF($V254="","",IF(AND(ISNUMBER($G254),$G254&lt;=IF($S254=MesCiclo,InicioCiclo,$S254+MOD(2-WEEKDAY($S254),7))+27),1,IF(ISNUMBER($L254),$L254,$AA254)))</f>
        <v/>
      </c>
      <c r="AC254" s="62">
        <f>IF($V254="","",IF(AND(ISNUMBER($G254),$G254&lt;=IF($S254=MesCiclo,InicioCiclo,$S254+MOD(2-WEEKDAY($S254),7))+6),1,IF(N($W254)&gt;0,AVERAGEIFS($Y$5:$Y$1000,$U$5:$U$1000,ROW(),$V$5:$V$1000,"Sub"),$Y254)))</f>
        <v/>
      </c>
      <c r="AD254" s="62">
        <f>IF($V254="","",IF(AND(ISNUMBER($G254),$G254&lt;=IF($S254=MesCiclo,InicioCiclo,$S254+MOD(2-WEEKDAY($S254),7))+13),1,IF(N($W254)&gt;0,AVERAGEIFS($Z$5:$Z$1000,$U$5:$U$1000,ROW(),$V$5:$V$1000,"Sub"),$Z254)))</f>
        <v/>
      </c>
      <c r="AE254" s="62">
        <f>IF($V254="","",IF(AND(ISNUMBER($G254),$G254&lt;=IF($S254=MesCiclo,InicioCiclo,$S254+MOD(2-WEEKDAY($S254),7))+20),1,IF(N($W254)&gt;0,AVERAGEIFS($AA$5:$AA$1000,$U$5:$U$1000,ROW(),$V$5:$V$1000,"Sub"),$AA254)))</f>
        <v/>
      </c>
      <c r="AF254" s="62">
        <f>IF($V254="","",IF(AND(ISNUMBER($G254),$G254&lt;=IF($S254=MesCiclo,InicioCiclo,$S254+MOD(2-WEEKDAY($S254),7))+27),1,IF(N($W254)&gt;0,AVERAGEIFS($AB$5:$AB$1000,$U$5:$U$1000,ROW(),$V$5:$V$1000,"Sub"),$AB254)))</f>
        <v/>
      </c>
      <c r="AG254" s="62">
        <f>IF($V254&lt;&gt;"Macro","",IF(COUNTIFS($S$5:$S$1000,$S254,$V$5:$V$1000,"Macro",$H$5:$H$1000,"&gt;0")=0,1/COUNTIFS($S$5:$S$1000,$S254,$V$5:$V$1000,"Macro"),IF(AND(ISNUMBER($H254),N($H254)&gt;0),$H254,SUMIFS($H$5:$H$1000,$S$5:$S$1000,$S254,$V$5:$V$1000,"Macro")/COUNTIFS($S$5:$S$1000,$S254,$V$5:$V$1000,"Macro",$H$5:$H$1000,"&gt;0"))/(COUNTIFS($S$5:$S$1000,$S254,$V$5:$V$1000,"Macro")*SUMIFS($H$5:$H$1000,$S$5:$S$1000,$S254,$V$5:$V$1000,"Macro")/COUNTIFS($S$5:$S$1000,$S254,$V$5:$V$1000,"Macro",$H$5:$H$1000,"&gt;0"))))</f>
        <v/>
      </c>
      <c r="AH254" s="62" t="n"/>
      <c r="AI254" s="62" t="n"/>
      <c r="AJ254" s="62" t="n"/>
      <c r="AK254" s="62" t="n"/>
      <c r="AL254" s="62">
        <f>IF(LEFT($C254,11)="[Jefatura] ",IFERROR(MATCH("Riesgo Operacional|"&amp;MID($C254,12,500),rDname_ADM,0),0),"")</f>
        <v/>
      </c>
      <c r="AM254" s="62">
        <f>IF(N($AL254)&gt;0,INDEX(rIni_ADM,$AL254),IF(ISNUMBER($E254),$E254,""))</f>
        <v/>
      </c>
      <c r="AN254" s="62">
        <f>IF(N($AL254)&gt;0,INDEX(rLim_ADM,$AL254),IF(ISNUMBER($F254),$F254,""))</f>
        <v/>
      </c>
    </row>
    <row r="255">
      <c r="A255" s="56">
        <f>IF(NOT((COUNTA($B255:$D255)+COUNTA($G255:$L255)+COUNTA($Q255))&gt;0),"",IF($V255="Macro",COUNTIFS($V$5:$V255,"Macro",$S$5:$S255,$S255),IF(N($U255)=0,"?",COUNTIFS(INDEX($V$5:$V$1000,1):INDEX($V$5:$V$1000,$U255-4),"Macro",INDEX($S$5:$S$1000,1):INDEX($S$5:$S$1000,$U255-4),INDEX($S$5:$S$1000,$U255-4))&amp;"."&amp;COUNTIFS($U$5:$U255,$U255,$V$5:$V255,"Sub"))))</f>
        <v/>
      </c>
      <c r="B255" s="57" t="n"/>
      <c r="C255" s="58" t="n"/>
      <c r="D255" s="58" t="n"/>
      <c r="E255" s="59">
        <f>IF(N($AL255)&gt;0,INDEX(rIni_ADM,$AL255),"")</f>
        <v/>
      </c>
      <c r="F255" s="59">
        <f>IF(N($AL255)&gt;0,INDEX(rLim_ADM,$AL255),"")</f>
        <v/>
      </c>
      <c r="G255" s="59" t="n"/>
      <c r="H255" s="60" t="n"/>
      <c r="I255" s="60" t="n"/>
      <c r="J255" s="60" t="n"/>
      <c r="K255" s="60" t="n"/>
      <c r="L255" s="60" t="n"/>
      <c r="M255" s="61">
        <f>IF(NOT((COUNTA($B255:$D255)+COUNTA($G255:$L255)+COUNTA($Q255))&gt;0),"",IF(ISNUMBER($G255),1,IF(N($W255)&gt;0,AVERAGEIFS($X$5:$X$1000,$U$5:$U$1000,ROW(),$V$5:$V$1000,"Sub"),$X255)))</f>
        <v/>
      </c>
      <c r="N255" s="56">
        <f>IF($M255="","",IF($M255&gt;=1,"Completado",IF($M255&gt;0,"En curso","Pendiente")))</f>
        <v/>
      </c>
      <c r="O255" s="56">
        <f>IF(NOT((COUNTA($B255:$D255)+COUNTA($G255:$L255)+COUNTA($Q255))&gt;0),"",IF(ISNUMBER($G255),IF(AND(ISNUMBER($AN255),$G255&gt;$AN255),"Cumplida con "&amp;($G255-$AN255)&amp;IF($G255-$AN255=1," día"," días")&amp;" de retraso","Cumplida"),IF(N($M255)&gt;=1,"Cumplida",IF(NOT(ISNUMBER($AN255)),"Sin fecha límite",IF($AN255&lt;FechaRef,"Vencida hace "&amp;(FechaRef-$AN255)&amp;IF(FechaRef-$AN255=1," día"," días"),IF($AN255=FechaRef,"Vence hoy",IF($AN255-FechaRef&lt;=DiasAlerta,"Vence en "&amp;($AN255-FechaRef)&amp;IF($AN255-FechaRef=1," día"," días"),"En plazo")))))))</f>
        <v/>
      </c>
      <c r="P255" s="62" t="n"/>
      <c r="Q255" s="58" t="n"/>
      <c r="R255" s="63">
        <f>IF(NOT((COUNTA($B255:$D255)+COUNTA($G255:$L255)+COUNTA($Q255))&gt;0),"",IF((IF($C255="","Falta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",""))="","✔ OK","⚠ "&amp;LEFT(IF($C255="","Falta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",""),LEN(IF($C255="","Falta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",""))-3)))</f>
        <v/>
      </c>
      <c r="S255" s="64">
        <f>IF(NOT((COUNTA($B255:$D255)+COUNTA($G255:$L255)+COUNTA($Q255))&gt;0),"",IF(AND($V255="Sub",N($U255)&gt;0),IF(ISNUMBER(INDEX($AM$5:$AM$1000,$U255-4)),DATE(YEAR(INDEX($AM$5:$AM$1000,$U255-4)),MONTH(INDEX($AM$5:$AM$1000,$U255-4)),1),IF(ISNUMBER(INDEX($AN$5:$AN$1000,$U255-4)),DATE(YEAR(INDEX($AN$5:$AN$1000,$U255-4)),MONTH(INDEX($AN$5:$AN$1000,$U255-4)),1),MesCiclo)),IF(ISNUMBER($AM255),DATE(YEAR($AM255),MONTH($AM255),1),IF(ISNUMBER($AN255),DATE(YEAR($AN255),MONTH($AN255),1),MesCiclo))))</f>
        <v/>
      </c>
      <c r="T255" s="62">
        <f>IF(OR($S255="",$S255&lt;&gt;MesCiclo),"",COUNTIF($S$5:$S255,MesCiclo))</f>
        <v/>
      </c>
      <c r="U255" s="62">
        <f>IF($V255="","",IF($V255="Macro",ROW(),IFERROR(LOOKUP(2,1/($V$5:$V255="Macro"),ROW($V$5:$V255)),0)))</f>
        <v/>
      </c>
      <c r="V255" s="62">
        <f>IF(NOT((COUNTA($B255:$D255)+COUNTA($G255:$L255)+COUNTA($Q255))&gt;0),"",IF($B255="Subactividad","Sub","Macro"))</f>
        <v/>
      </c>
      <c r="W255" s="62">
        <f>IF($V255="Macro",COUNTIFS($U$5:$U$1000,ROW(),$V$5:$V$1000,"Sub"),"")</f>
        <v/>
      </c>
      <c r="X255" s="62">
        <f>IF($V255="","",IF(ISNUMBER($G255),1,IFERROR(LOOKUP(2,1/($I255:$L255&lt;&gt;""),$I255:$L255),0)))</f>
        <v/>
      </c>
      <c r="Y255" s="62">
        <f>IF($V255="","",IF(AND(ISNUMBER($G255),$G255&lt;=IF($S255=MesCiclo,InicioCiclo,$S255+MOD(2-WEEKDAY($S255),7))+6),1,IF(ISNUMBER($I255),$I255,0)))</f>
        <v/>
      </c>
      <c r="Z255" s="62">
        <f>IF($V255="","",IF(AND(ISNUMBER($G255),$G255&lt;=IF($S255=MesCiclo,InicioCiclo,$S255+MOD(2-WEEKDAY($S255),7))+13),1,IF(ISNUMBER($J255),$J255,$Y255)))</f>
        <v/>
      </c>
      <c r="AA255" s="62">
        <f>IF($V255="","",IF(AND(ISNUMBER($G255),$G255&lt;=IF($S255=MesCiclo,InicioCiclo,$S255+MOD(2-WEEKDAY($S255),7))+20),1,IF(ISNUMBER($K255),$K255,$Z255)))</f>
        <v/>
      </c>
      <c r="AB255" s="62">
        <f>IF($V255="","",IF(AND(ISNUMBER($G255),$G255&lt;=IF($S255=MesCiclo,InicioCiclo,$S255+MOD(2-WEEKDAY($S255),7))+27),1,IF(ISNUMBER($L255),$L255,$AA255)))</f>
        <v/>
      </c>
      <c r="AC255" s="62">
        <f>IF($V255="","",IF(AND(ISNUMBER($G255),$G255&lt;=IF($S255=MesCiclo,InicioCiclo,$S255+MOD(2-WEEKDAY($S255),7))+6),1,IF(N($W255)&gt;0,AVERAGEIFS($Y$5:$Y$1000,$U$5:$U$1000,ROW(),$V$5:$V$1000,"Sub"),$Y255)))</f>
        <v/>
      </c>
      <c r="AD255" s="62">
        <f>IF($V255="","",IF(AND(ISNUMBER($G255),$G255&lt;=IF($S255=MesCiclo,InicioCiclo,$S255+MOD(2-WEEKDAY($S255),7))+13),1,IF(N($W255)&gt;0,AVERAGEIFS($Z$5:$Z$1000,$U$5:$U$1000,ROW(),$V$5:$V$1000,"Sub"),$Z255)))</f>
        <v/>
      </c>
      <c r="AE255" s="62">
        <f>IF($V255="","",IF(AND(ISNUMBER($G255),$G255&lt;=IF($S255=MesCiclo,InicioCiclo,$S255+MOD(2-WEEKDAY($S255),7))+20),1,IF(N($W255)&gt;0,AVERAGEIFS($AA$5:$AA$1000,$U$5:$U$1000,ROW(),$V$5:$V$1000,"Sub"),$AA255)))</f>
        <v/>
      </c>
      <c r="AF255" s="62">
        <f>IF($V255="","",IF(AND(ISNUMBER($G255),$G255&lt;=IF($S255=MesCiclo,InicioCiclo,$S255+MOD(2-WEEKDAY($S255),7))+27),1,IF(N($W255)&gt;0,AVERAGEIFS($AB$5:$AB$1000,$U$5:$U$1000,ROW(),$V$5:$V$1000,"Sub"),$AB255)))</f>
        <v/>
      </c>
      <c r="AG255" s="62">
        <f>IF($V255&lt;&gt;"Macro","",IF(COUNTIFS($S$5:$S$1000,$S255,$V$5:$V$1000,"Macro",$H$5:$H$1000,"&gt;0")=0,1/COUNTIFS($S$5:$S$1000,$S255,$V$5:$V$1000,"Macro"),IF(AND(ISNUMBER($H255),N($H255)&gt;0),$H255,SUMIFS($H$5:$H$1000,$S$5:$S$1000,$S255,$V$5:$V$1000,"Macro")/COUNTIFS($S$5:$S$1000,$S255,$V$5:$V$1000,"Macro",$H$5:$H$1000,"&gt;0"))/(COUNTIFS($S$5:$S$1000,$S255,$V$5:$V$1000,"Macro")*SUMIFS($H$5:$H$1000,$S$5:$S$1000,$S255,$V$5:$V$1000,"Macro")/COUNTIFS($S$5:$S$1000,$S255,$V$5:$V$1000,"Macro",$H$5:$H$1000,"&gt;0"))))</f>
        <v/>
      </c>
      <c r="AH255" s="62" t="n"/>
      <c r="AI255" s="62" t="n"/>
      <c r="AJ255" s="62" t="n"/>
      <c r="AK255" s="62" t="n"/>
      <c r="AL255" s="62">
        <f>IF(LEFT($C255,11)="[Jefatura] ",IFERROR(MATCH("Riesgo Operacional|"&amp;MID($C255,12,500),rDname_ADM,0),0),"")</f>
        <v/>
      </c>
      <c r="AM255" s="62">
        <f>IF(N($AL255)&gt;0,INDEX(rIni_ADM,$AL255),IF(ISNUMBER($E255),$E255,""))</f>
        <v/>
      </c>
      <c r="AN255" s="62">
        <f>IF(N($AL255)&gt;0,INDEX(rLim_ADM,$AL255),IF(ISNUMBER($F255),$F255,""))</f>
        <v/>
      </c>
    </row>
    <row r="256">
      <c r="A256" s="56">
        <f>IF(NOT((COUNTA($B256:$D256)+COUNTA($G256:$L256)+COUNTA($Q256))&gt;0),"",IF($V256="Macro",COUNTIFS($V$5:$V256,"Macro",$S$5:$S256,$S256),IF(N($U256)=0,"?",COUNTIFS(INDEX($V$5:$V$1000,1):INDEX($V$5:$V$1000,$U256-4),"Macro",INDEX($S$5:$S$1000,1):INDEX($S$5:$S$1000,$U256-4),INDEX($S$5:$S$1000,$U256-4))&amp;"."&amp;COUNTIFS($U$5:$U256,$U256,$V$5:$V256,"Sub"))))</f>
        <v/>
      </c>
      <c r="B256" s="57" t="n"/>
      <c r="C256" s="58" t="n"/>
      <c r="D256" s="58" t="n"/>
      <c r="E256" s="59">
        <f>IF(N($AL256)&gt;0,INDEX(rIni_ADM,$AL256),"")</f>
        <v/>
      </c>
      <c r="F256" s="59">
        <f>IF(N($AL256)&gt;0,INDEX(rLim_ADM,$AL256),"")</f>
        <v/>
      </c>
      <c r="G256" s="59" t="n"/>
      <c r="H256" s="60" t="n"/>
      <c r="I256" s="60" t="n"/>
      <c r="J256" s="60" t="n"/>
      <c r="K256" s="60" t="n"/>
      <c r="L256" s="60" t="n"/>
      <c r="M256" s="61">
        <f>IF(NOT((COUNTA($B256:$D256)+COUNTA($G256:$L256)+COUNTA($Q256))&gt;0),"",IF(ISNUMBER($G256),1,IF(N($W256)&gt;0,AVERAGEIFS($X$5:$X$1000,$U$5:$U$1000,ROW(),$V$5:$V$1000,"Sub"),$X256)))</f>
        <v/>
      </c>
      <c r="N256" s="56">
        <f>IF($M256="","",IF($M256&gt;=1,"Completado",IF($M256&gt;0,"En curso","Pendiente")))</f>
        <v/>
      </c>
      <c r="O256" s="56">
        <f>IF(NOT((COUNTA($B256:$D256)+COUNTA($G256:$L256)+COUNTA($Q256))&gt;0),"",IF(ISNUMBER($G256),IF(AND(ISNUMBER($AN256),$G256&gt;$AN256),"Cumplida con "&amp;($G256-$AN256)&amp;IF($G256-$AN256=1," día"," días")&amp;" de retraso","Cumplida"),IF(N($M256)&gt;=1,"Cumplida",IF(NOT(ISNUMBER($AN256)),"Sin fecha límite",IF($AN256&lt;FechaRef,"Vencida hace "&amp;(FechaRef-$AN256)&amp;IF(FechaRef-$AN256=1," día"," días"),IF($AN256=FechaRef,"Vence hoy",IF($AN256-FechaRef&lt;=DiasAlerta,"Vence en "&amp;($AN256-FechaRef)&amp;IF($AN256-FechaRef=1," día"," días"),"En plazo")))))))</f>
        <v/>
      </c>
      <c r="P256" s="62" t="n"/>
      <c r="Q256" s="58" t="n"/>
      <c r="R256" s="63">
        <f>IF(NOT((COUNTA($B256:$D256)+COUNTA($G256:$L256)+COUNTA($Q256))&gt;0),"",IF((IF($C256="","Falta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",""))="","✔ OK","⚠ "&amp;LEFT(IF($C256="","Falta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",""),LEN(IF($C256="","Falta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",""))-3)))</f>
        <v/>
      </c>
      <c r="S256" s="64">
        <f>IF(NOT((COUNTA($B256:$D256)+COUNTA($G256:$L256)+COUNTA($Q256))&gt;0),"",IF(AND($V256="Sub",N($U256)&gt;0),IF(ISNUMBER(INDEX($AM$5:$AM$1000,$U256-4)),DATE(YEAR(INDEX($AM$5:$AM$1000,$U256-4)),MONTH(INDEX($AM$5:$AM$1000,$U256-4)),1),IF(ISNUMBER(INDEX($AN$5:$AN$1000,$U256-4)),DATE(YEAR(INDEX($AN$5:$AN$1000,$U256-4)),MONTH(INDEX($AN$5:$AN$1000,$U256-4)),1),MesCiclo)),IF(ISNUMBER($AM256),DATE(YEAR($AM256),MONTH($AM256),1),IF(ISNUMBER($AN256),DATE(YEAR($AN256),MONTH($AN256),1),MesCiclo))))</f>
        <v/>
      </c>
      <c r="T256" s="62">
        <f>IF(OR($S256="",$S256&lt;&gt;MesCiclo),"",COUNTIF($S$5:$S256,MesCiclo))</f>
        <v/>
      </c>
      <c r="U256" s="62">
        <f>IF($V256="","",IF($V256="Macro",ROW(),IFERROR(LOOKUP(2,1/($V$5:$V256="Macro"),ROW($V$5:$V256)),0)))</f>
        <v/>
      </c>
      <c r="V256" s="62">
        <f>IF(NOT((COUNTA($B256:$D256)+COUNTA($G256:$L256)+COUNTA($Q256))&gt;0),"",IF($B256="Subactividad","Sub","Macro"))</f>
        <v/>
      </c>
      <c r="W256" s="62">
        <f>IF($V256="Macro",COUNTIFS($U$5:$U$1000,ROW(),$V$5:$V$1000,"Sub"),"")</f>
        <v/>
      </c>
      <c r="X256" s="62">
        <f>IF($V256="","",IF(ISNUMBER($G256),1,IFERROR(LOOKUP(2,1/($I256:$L256&lt;&gt;""),$I256:$L256),0)))</f>
        <v/>
      </c>
      <c r="Y256" s="62">
        <f>IF($V256="","",IF(AND(ISNUMBER($G256),$G256&lt;=IF($S256=MesCiclo,InicioCiclo,$S256+MOD(2-WEEKDAY($S256),7))+6),1,IF(ISNUMBER($I256),$I256,0)))</f>
        <v/>
      </c>
      <c r="Z256" s="62">
        <f>IF($V256="","",IF(AND(ISNUMBER($G256),$G256&lt;=IF($S256=MesCiclo,InicioCiclo,$S256+MOD(2-WEEKDAY($S256),7))+13),1,IF(ISNUMBER($J256),$J256,$Y256)))</f>
        <v/>
      </c>
      <c r="AA256" s="62">
        <f>IF($V256="","",IF(AND(ISNUMBER($G256),$G256&lt;=IF($S256=MesCiclo,InicioCiclo,$S256+MOD(2-WEEKDAY($S256),7))+20),1,IF(ISNUMBER($K256),$K256,$Z256)))</f>
        <v/>
      </c>
      <c r="AB256" s="62">
        <f>IF($V256="","",IF(AND(ISNUMBER($G256),$G256&lt;=IF($S256=MesCiclo,InicioCiclo,$S256+MOD(2-WEEKDAY($S256),7))+27),1,IF(ISNUMBER($L256),$L256,$AA256)))</f>
        <v/>
      </c>
      <c r="AC256" s="62">
        <f>IF($V256="","",IF(AND(ISNUMBER($G256),$G256&lt;=IF($S256=MesCiclo,InicioCiclo,$S256+MOD(2-WEEKDAY($S256),7))+6),1,IF(N($W256)&gt;0,AVERAGEIFS($Y$5:$Y$1000,$U$5:$U$1000,ROW(),$V$5:$V$1000,"Sub"),$Y256)))</f>
        <v/>
      </c>
      <c r="AD256" s="62">
        <f>IF($V256="","",IF(AND(ISNUMBER($G256),$G256&lt;=IF($S256=MesCiclo,InicioCiclo,$S256+MOD(2-WEEKDAY($S256),7))+13),1,IF(N($W256)&gt;0,AVERAGEIFS($Z$5:$Z$1000,$U$5:$U$1000,ROW(),$V$5:$V$1000,"Sub"),$Z256)))</f>
        <v/>
      </c>
      <c r="AE256" s="62">
        <f>IF($V256="","",IF(AND(ISNUMBER($G256),$G256&lt;=IF($S256=MesCiclo,InicioCiclo,$S256+MOD(2-WEEKDAY($S256),7))+20),1,IF(N($W256)&gt;0,AVERAGEIFS($AA$5:$AA$1000,$U$5:$U$1000,ROW(),$V$5:$V$1000,"Sub"),$AA256)))</f>
        <v/>
      </c>
      <c r="AF256" s="62">
        <f>IF($V256="","",IF(AND(ISNUMBER($G256),$G256&lt;=IF($S256=MesCiclo,InicioCiclo,$S256+MOD(2-WEEKDAY($S256),7))+27),1,IF(N($W256)&gt;0,AVERAGEIFS($AB$5:$AB$1000,$U$5:$U$1000,ROW(),$V$5:$V$1000,"Sub"),$AB256)))</f>
        <v/>
      </c>
      <c r="AG256" s="62">
        <f>IF($V256&lt;&gt;"Macro","",IF(COUNTIFS($S$5:$S$1000,$S256,$V$5:$V$1000,"Macro",$H$5:$H$1000,"&gt;0")=0,1/COUNTIFS($S$5:$S$1000,$S256,$V$5:$V$1000,"Macro"),IF(AND(ISNUMBER($H256),N($H256)&gt;0),$H256,SUMIFS($H$5:$H$1000,$S$5:$S$1000,$S256,$V$5:$V$1000,"Macro")/COUNTIFS($S$5:$S$1000,$S256,$V$5:$V$1000,"Macro",$H$5:$H$1000,"&gt;0"))/(COUNTIFS($S$5:$S$1000,$S256,$V$5:$V$1000,"Macro")*SUMIFS($H$5:$H$1000,$S$5:$S$1000,$S256,$V$5:$V$1000,"Macro")/COUNTIFS($S$5:$S$1000,$S256,$V$5:$V$1000,"Macro",$H$5:$H$1000,"&gt;0"))))</f>
        <v/>
      </c>
      <c r="AH256" s="62" t="n"/>
      <c r="AI256" s="62" t="n"/>
      <c r="AJ256" s="62" t="n"/>
      <c r="AK256" s="62" t="n"/>
      <c r="AL256" s="62">
        <f>IF(LEFT($C256,11)="[Jefatura] ",IFERROR(MATCH("Riesgo Operacional|"&amp;MID($C256,12,500),rDname_ADM,0),0),"")</f>
        <v/>
      </c>
      <c r="AM256" s="62">
        <f>IF(N($AL256)&gt;0,INDEX(rIni_ADM,$AL256),IF(ISNUMBER($E256),$E256,""))</f>
        <v/>
      </c>
      <c r="AN256" s="62">
        <f>IF(N($AL256)&gt;0,INDEX(rLim_ADM,$AL256),IF(ISNUMBER($F256),$F256,""))</f>
        <v/>
      </c>
    </row>
    <row r="257">
      <c r="A257" s="56">
        <f>IF(NOT((COUNTA($B257:$D257)+COUNTA($G257:$L257)+COUNTA($Q257))&gt;0),"",IF($V257="Macro",COUNTIFS($V$5:$V257,"Macro",$S$5:$S257,$S257),IF(N($U257)=0,"?",COUNTIFS(INDEX($V$5:$V$1000,1):INDEX($V$5:$V$1000,$U257-4),"Macro",INDEX($S$5:$S$1000,1):INDEX($S$5:$S$1000,$U257-4),INDEX($S$5:$S$1000,$U257-4))&amp;"."&amp;COUNTIFS($U$5:$U257,$U257,$V$5:$V257,"Sub"))))</f>
        <v/>
      </c>
      <c r="B257" s="57" t="n"/>
      <c r="C257" s="58" t="n"/>
      <c r="D257" s="58" t="n"/>
      <c r="E257" s="59">
        <f>IF(N($AL257)&gt;0,INDEX(rIni_ADM,$AL257),"")</f>
        <v/>
      </c>
      <c r="F257" s="59">
        <f>IF(N($AL257)&gt;0,INDEX(rLim_ADM,$AL257),"")</f>
        <v/>
      </c>
      <c r="G257" s="59" t="n"/>
      <c r="H257" s="60" t="n"/>
      <c r="I257" s="60" t="n"/>
      <c r="J257" s="60" t="n"/>
      <c r="K257" s="60" t="n"/>
      <c r="L257" s="60" t="n"/>
      <c r="M257" s="61">
        <f>IF(NOT((COUNTA($B257:$D257)+COUNTA($G257:$L257)+COUNTA($Q257))&gt;0),"",IF(ISNUMBER($G257),1,IF(N($W257)&gt;0,AVERAGEIFS($X$5:$X$1000,$U$5:$U$1000,ROW(),$V$5:$V$1000,"Sub"),$X257)))</f>
        <v/>
      </c>
      <c r="N257" s="56">
        <f>IF($M257="","",IF($M257&gt;=1,"Completado",IF($M257&gt;0,"En curso","Pendiente")))</f>
        <v/>
      </c>
      <c r="O257" s="56">
        <f>IF(NOT((COUNTA($B257:$D257)+COUNTA($G257:$L257)+COUNTA($Q257))&gt;0),"",IF(ISNUMBER($G257),IF(AND(ISNUMBER($AN257),$G257&gt;$AN257),"Cumplida con "&amp;($G257-$AN257)&amp;IF($G257-$AN257=1," día"," días")&amp;" de retraso","Cumplida"),IF(N($M257)&gt;=1,"Cumplida",IF(NOT(ISNUMBER($AN257)),"Sin fecha límite",IF($AN257&lt;FechaRef,"Vencida hace "&amp;(FechaRef-$AN257)&amp;IF(FechaRef-$AN257=1," día"," días"),IF($AN257=FechaRef,"Vence hoy",IF($AN257-FechaRef&lt;=DiasAlerta,"Vence en "&amp;($AN257-FechaRef)&amp;IF($AN257-FechaRef=1," día"," días"),"En plazo")))))))</f>
        <v/>
      </c>
      <c r="P257" s="62" t="n"/>
      <c r="Q257" s="58" t="n"/>
      <c r="R257" s="63">
        <f>IF(NOT((COUNTA($B257:$D257)+COUNTA($G257:$L257)+COUNTA($Q257))&gt;0),"",IF((IF($C257="","Falta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",""))="","✔ OK","⚠ "&amp;LEFT(IF($C257="","Falta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",""),LEN(IF($C257="","Falta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",""))-3)))</f>
        <v/>
      </c>
      <c r="S257" s="64">
        <f>IF(NOT((COUNTA($B257:$D257)+COUNTA($G257:$L257)+COUNTA($Q257))&gt;0),"",IF(AND($V257="Sub",N($U257)&gt;0),IF(ISNUMBER(INDEX($AM$5:$AM$1000,$U257-4)),DATE(YEAR(INDEX($AM$5:$AM$1000,$U257-4)),MONTH(INDEX($AM$5:$AM$1000,$U257-4)),1),IF(ISNUMBER(INDEX($AN$5:$AN$1000,$U257-4)),DATE(YEAR(INDEX($AN$5:$AN$1000,$U257-4)),MONTH(INDEX($AN$5:$AN$1000,$U257-4)),1),MesCiclo)),IF(ISNUMBER($AM257),DATE(YEAR($AM257),MONTH($AM257),1),IF(ISNUMBER($AN257),DATE(YEAR($AN257),MONTH($AN257),1),MesCiclo))))</f>
        <v/>
      </c>
      <c r="T257" s="62">
        <f>IF(OR($S257="",$S257&lt;&gt;MesCiclo),"",COUNTIF($S$5:$S257,MesCiclo))</f>
        <v/>
      </c>
      <c r="U257" s="62">
        <f>IF($V257="","",IF($V257="Macro",ROW(),IFERROR(LOOKUP(2,1/($V$5:$V257="Macro"),ROW($V$5:$V257)),0)))</f>
        <v/>
      </c>
      <c r="V257" s="62">
        <f>IF(NOT((COUNTA($B257:$D257)+COUNTA($G257:$L257)+COUNTA($Q257))&gt;0),"",IF($B257="Subactividad","Sub","Macro"))</f>
        <v/>
      </c>
      <c r="W257" s="62">
        <f>IF($V257="Macro",COUNTIFS($U$5:$U$1000,ROW(),$V$5:$V$1000,"Sub"),"")</f>
        <v/>
      </c>
      <c r="X257" s="62">
        <f>IF($V257="","",IF(ISNUMBER($G257),1,IFERROR(LOOKUP(2,1/($I257:$L257&lt;&gt;""),$I257:$L257),0)))</f>
        <v/>
      </c>
      <c r="Y257" s="62">
        <f>IF($V257="","",IF(AND(ISNUMBER($G257),$G257&lt;=IF($S257=MesCiclo,InicioCiclo,$S257+MOD(2-WEEKDAY($S257),7))+6),1,IF(ISNUMBER($I257),$I257,0)))</f>
        <v/>
      </c>
      <c r="Z257" s="62">
        <f>IF($V257="","",IF(AND(ISNUMBER($G257),$G257&lt;=IF($S257=MesCiclo,InicioCiclo,$S257+MOD(2-WEEKDAY($S257),7))+13),1,IF(ISNUMBER($J257),$J257,$Y257)))</f>
        <v/>
      </c>
      <c r="AA257" s="62">
        <f>IF($V257="","",IF(AND(ISNUMBER($G257),$G257&lt;=IF($S257=MesCiclo,InicioCiclo,$S257+MOD(2-WEEKDAY($S257),7))+20),1,IF(ISNUMBER($K257),$K257,$Z257)))</f>
        <v/>
      </c>
      <c r="AB257" s="62">
        <f>IF($V257="","",IF(AND(ISNUMBER($G257),$G257&lt;=IF($S257=MesCiclo,InicioCiclo,$S257+MOD(2-WEEKDAY($S257),7))+27),1,IF(ISNUMBER($L257),$L257,$AA257)))</f>
        <v/>
      </c>
      <c r="AC257" s="62">
        <f>IF($V257="","",IF(AND(ISNUMBER($G257),$G257&lt;=IF($S257=MesCiclo,InicioCiclo,$S257+MOD(2-WEEKDAY($S257),7))+6),1,IF(N($W257)&gt;0,AVERAGEIFS($Y$5:$Y$1000,$U$5:$U$1000,ROW(),$V$5:$V$1000,"Sub"),$Y257)))</f>
        <v/>
      </c>
      <c r="AD257" s="62">
        <f>IF($V257="","",IF(AND(ISNUMBER($G257),$G257&lt;=IF($S257=MesCiclo,InicioCiclo,$S257+MOD(2-WEEKDAY($S257),7))+13),1,IF(N($W257)&gt;0,AVERAGEIFS($Z$5:$Z$1000,$U$5:$U$1000,ROW(),$V$5:$V$1000,"Sub"),$Z257)))</f>
        <v/>
      </c>
      <c r="AE257" s="62">
        <f>IF($V257="","",IF(AND(ISNUMBER($G257),$G257&lt;=IF($S257=MesCiclo,InicioCiclo,$S257+MOD(2-WEEKDAY($S257),7))+20),1,IF(N($W257)&gt;0,AVERAGEIFS($AA$5:$AA$1000,$U$5:$U$1000,ROW(),$V$5:$V$1000,"Sub"),$AA257)))</f>
        <v/>
      </c>
      <c r="AF257" s="62">
        <f>IF($V257="","",IF(AND(ISNUMBER($G257),$G257&lt;=IF($S257=MesCiclo,InicioCiclo,$S257+MOD(2-WEEKDAY($S257),7))+27),1,IF(N($W257)&gt;0,AVERAGEIFS($AB$5:$AB$1000,$U$5:$U$1000,ROW(),$V$5:$V$1000,"Sub"),$AB257)))</f>
        <v/>
      </c>
      <c r="AG257" s="62">
        <f>IF($V257&lt;&gt;"Macro","",IF(COUNTIFS($S$5:$S$1000,$S257,$V$5:$V$1000,"Macro",$H$5:$H$1000,"&gt;0")=0,1/COUNTIFS($S$5:$S$1000,$S257,$V$5:$V$1000,"Macro"),IF(AND(ISNUMBER($H257),N($H257)&gt;0),$H257,SUMIFS($H$5:$H$1000,$S$5:$S$1000,$S257,$V$5:$V$1000,"Macro")/COUNTIFS($S$5:$S$1000,$S257,$V$5:$V$1000,"Macro",$H$5:$H$1000,"&gt;0"))/(COUNTIFS($S$5:$S$1000,$S257,$V$5:$V$1000,"Macro")*SUMIFS($H$5:$H$1000,$S$5:$S$1000,$S257,$V$5:$V$1000,"Macro")/COUNTIFS($S$5:$S$1000,$S257,$V$5:$V$1000,"Macro",$H$5:$H$1000,"&gt;0"))))</f>
        <v/>
      </c>
      <c r="AH257" s="62" t="n"/>
      <c r="AI257" s="62" t="n"/>
      <c r="AJ257" s="62" t="n"/>
      <c r="AK257" s="62" t="n"/>
      <c r="AL257" s="62">
        <f>IF(LEFT($C257,11)="[Jefatura] ",IFERROR(MATCH("Riesgo Operacional|"&amp;MID($C257,12,500),rDname_ADM,0),0),"")</f>
        <v/>
      </c>
      <c r="AM257" s="62">
        <f>IF(N($AL257)&gt;0,INDEX(rIni_ADM,$AL257),IF(ISNUMBER($E257),$E257,""))</f>
        <v/>
      </c>
      <c r="AN257" s="62">
        <f>IF(N($AL257)&gt;0,INDEX(rLim_ADM,$AL257),IF(ISNUMBER($F257),$F257,""))</f>
        <v/>
      </c>
    </row>
    <row r="258">
      <c r="A258" s="56">
        <f>IF(NOT((COUNTA($B258:$D258)+COUNTA($G258:$L258)+COUNTA($Q258))&gt;0),"",IF($V258="Macro",COUNTIFS($V$5:$V258,"Macro",$S$5:$S258,$S258),IF(N($U258)=0,"?",COUNTIFS(INDEX($V$5:$V$1000,1):INDEX($V$5:$V$1000,$U258-4),"Macro",INDEX($S$5:$S$1000,1):INDEX($S$5:$S$1000,$U258-4),INDEX($S$5:$S$1000,$U258-4))&amp;"."&amp;COUNTIFS($U$5:$U258,$U258,$V$5:$V258,"Sub"))))</f>
        <v/>
      </c>
      <c r="B258" s="57" t="n"/>
      <c r="C258" s="58" t="n"/>
      <c r="D258" s="58" t="n"/>
      <c r="E258" s="59">
        <f>IF(N($AL258)&gt;0,INDEX(rIni_ADM,$AL258),"")</f>
        <v/>
      </c>
      <c r="F258" s="59">
        <f>IF(N($AL258)&gt;0,INDEX(rLim_ADM,$AL258),"")</f>
        <v/>
      </c>
      <c r="G258" s="59" t="n"/>
      <c r="H258" s="60" t="n"/>
      <c r="I258" s="60" t="n"/>
      <c r="J258" s="60" t="n"/>
      <c r="K258" s="60" t="n"/>
      <c r="L258" s="60" t="n"/>
      <c r="M258" s="61">
        <f>IF(NOT((COUNTA($B258:$D258)+COUNTA($G258:$L258)+COUNTA($Q258))&gt;0),"",IF(ISNUMBER($G258),1,IF(N($W258)&gt;0,AVERAGEIFS($X$5:$X$1000,$U$5:$U$1000,ROW(),$V$5:$V$1000,"Sub"),$X258)))</f>
        <v/>
      </c>
      <c r="N258" s="56">
        <f>IF($M258="","",IF($M258&gt;=1,"Completado",IF($M258&gt;0,"En curso","Pendiente")))</f>
        <v/>
      </c>
      <c r="O258" s="56">
        <f>IF(NOT((COUNTA($B258:$D258)+COUNTA($G258:$L258)+COUNTA($Q258))&gt;0),"",IF(ISNUMBER($G258),IF(AND(ISNUMBER($AN258),$G258&gt;$AN258),"Cumplida con "&amp;($G258-$AN258)&amp;IF($G258-$AN258=1," día"," días")&amp;" de retraso","Cumplida"),IF(N($M258)&gt;=1,"Cumplida",IF(NOT(ISNUMBER($AN258)),"Sin fecha límite",IF($AN258&lt;FechaRef,"Vencida hace "&amp;(FechaRef-$AN258)&amp;IF(FechaRef-$AN258=1," día"," días"),IF($AN258=FechaRef,"Vence hoy",IF($AN258-FechaRef&lt;=DiasAlerta,"Vence en "&amp;($AN258-FechaRef)&amp;IF($AN258-FechaRef=1," día"," días"),"En plazo")))))))</f>
        <v/>
      </c>
      <c r="P258" s="62" t="n"/>
      <c r="Q258" s="58" t="n"/>
      <c r="R258" s="63">
        <f>IF(NOT((COUNTA($B258:$D258)+COUNTA($G258:$L258)+COUNTA($Q258))&gt;0),"",IF((IF($C258="","Falta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",""))="","✔ OK","⚠ "&amp;LEFT(IF($C258="","Falta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",""),LEN(IF($C258="","Falta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",""))-3)))</f>
        <v/>
      </c>
      <c r="S258" s="64">
        <f>IF(NOT((COUNTA($B258:$D258)+COUNTA($G258:$L258)+COUNTA($Q258))&gt;0),"",IF(AND($V258="Sub",N($U258)&gt;0),IF(ISNUMBER(INDEX($AM$5:$AM$1000,$U258-4)),DATE(YEAR(INDEX($AM$5:$AM$1000,$U258-4)),MONTH(INDEX($AM$5:$AM$1000,$U258-4)),1),IF(ISNUMBER(INDEX($AN$5:$AN$1000,$U258-4)),DATE(YEAR(INDEX($AN$5:$AN$1000,$U258-4)),MONTH(INDEX($AN$5:$AN$1000,$U258-4)),1),MesCiclo)),IF(ISNUMBER($AM258),DATE(YEAR($AM258),MONTH($AM258),1),IF(ISNUMBER($AN258),DATE(YEAR($AN258),MONTH($AN258),1),MesCiclo))))</f>
        <v/>
      </c>
      <c r="T258" s="62">
        <f>IF(OR($S258="",$S258&lt;&gt;MesCiclo),"",COUNTIF($S$5:$S258,MesCiclo))</f>
        <v/>
      </c>
      <c r="U258" s="62">
        <f>IF($V258="","",IF($V258="Macro",ROW(),IFERROR(LOOKUP(2,1/($V$5:$V258="Macro"),ROW($V$5:$V258)),0)))</f>
        <v/>
      </c>
      <c r="V258" s="62">
        <f>IF(NOT((COUNTA($B258:$D258)+COUNTA($G258:$L258)+COUNTA($Q258))&gt;0),"",IF($B258="Subactividad","Sub","Macro"))</f>
        <v/>
      </c>
      <c r="W258" s="62">
        <f>IF($V258="Macro",COUNTIFS($U$5:$U$1000,ROW(),$V$5:$V$1000,"Sub"),"")</f>
        <v/>
      </c>
      <c r="X258" s="62">
        <f>IF($V258="","",IF(ISNUMBER($G258),1,IFERROR(LOOKUP(2,1/($I258:$L258&lt;&gt;""),$I258:$L258),0)))</f>
        <v/>
      </c>
      <c r="Y258" s="62">
        <f>IF($V258="","",IF(AND(ISNUMBER($G258),$G258&lt;=IF($S258=MesCiclo,InicioCiclo,$S258+MOD(2-WEEKDAY($S258),7))+6),1,IF(ISNUMBER($I258),$I258,0)))</f>
        <v/>
      </c>
      <c r="Z258" s="62">
        <f>IF($V258="","",IF(AND(ISNUMBER($G258),$G258&lt;=IF($S258=MesCiclo,InicioCiclo,$S258+MOD(2-WEEKDAY($S258),7))+13),1,IF(ISNUMBER($J258),$J258,$Y258)))</f>
        <v/>
      </c>
      <c r="AA258" s="62">
        <f>IF($V258="","",IF(AND(ISNUMBER($G258),$G258&lt;=IF($S258=MesCiclo,InicioCiclo,$S258+MOD(2-WEEKDAY($S258),7))+20),1,IF(ISNUMBER($K258),$K258,$Z258)))</f>
        <v/>
      </c>
      <c r="AB258" s="62">
        <f>IF($V258="","",IF(AND(ISNUMBER($G258),$G258&lt;=IF($S258=MesCiclo,InicioCiclo,$S258+MOD(2-WEEKDAY($S258),7))+27),1,IF(ISNUMBER($L258),$L258,$AA258)))</f>
        <v/>
      </c>
      <c r="AC258" s="62">
        <f>IF($V258="","",IF(AND(ISNUMBER($G258),$G258&lt;=IF($S258=MesCiclo,InicioCiclo,$S258+MOD(2-WEEKDAY($S258),7))+6),1,IF(N($W258)&gt;0,AVERAGEIFS($Y$5:$Y$1000,$U$5:$U$1000,ROW(),$V$5:$V$1000,"Sub"),$Y258)))</f>
        <v/>
      </c>
      <c r="AD258" s="62">
        <f>IF($V258="","",IF(AND(ISNUMBER($G258),$G258&lt;=IF($S258=MesCiclo,InicioCiclo,$S258+MOD(2-WEEKDAY($S258),7))+13),1,IF(N($W258)&gt;0,AVERAGEIFS($Z$5:$Z$1000,$U$5:$U$1000,ROW(),$V$5:$V$1000,"Sub"),$Z258)))</f>
        <v/>
      </c>
      <c r="AE258" s="62">
        <f>IF($V258="","",IF(AND(ISNUMBER($G258),$G258&lt;=IF($S258=MesCiclo,InicioCiclo,$S258+MOD(2-WEEKDAY($S258),7))+20),1,IF(N($W258)&gt;0,AVERAGEIFS($AA$5:$AA$1000,$U$5:$U$1000,ROW(),$V$5:$V$1000,"Sub"),$AA258)))</f>
        <v/>
      </c>
      <c r="AF258" s="62">
        <f>IF($V258="","",IF(AND(ISNUMBER($G258),$G258&lt;=IF($S258=MesCiclo,InicioCiclo,$S258+MOD(2-WEEKDAY($S258),7))+27),1,IF(N($W258)&gt;0,AVERAGEIFS($AB$5:$AB$1000,$U$5:$U$1000,ROW(),$V$5:$V$1000,"Sub"),$AB258)))</f>
        <v/>
      </c>
      <c r="AG258" s="62">
        <f>IF($V258&lt;&gt;"Macro","",IF(COUNTIFS($S$5:$S$1000,$S258,$V$5:$V$1000,"Macro",$H$5:$H$1000,"&gt;0")=0,1/COUNTIFS($S$5:$S$1000,$S258,$V$5:$V$1000,"Macro"),IF(AND(ISNUMBER($H258),N($H258)&gt;0),$H258,SUMIFS($H$5:$H$1000,$S$5:$S$1000,$S258,$V$5:$V$1000,"Macro")/COUNTIFS($S$5:$S$1000,$S258,$V$5:$V$1000,"Macro",$H$5:$H$1000,"&gt;0"))/(COUNTIFS($S$5:$S$1000,$S258,$V$5:$V$1000,"Macro")*SUMIFS($H$5:$H$1000,$S$5:$S$1000,$S258,$V$5:$V$1000,"Macro")/COUNTIFS($S$5:$S$1000,$S258,$V$5:$V$1000,"Macro",$H$5:$H$1000,"&gt;0"))))</f>
        <v/>
      </c>
      <c r="AH258" s="62" t="n"/>
      <c r="AI258" s="62" t="n"/>
      <c r="AJ258" s="62" t="n"/>
      <c r="AK258" s="62" t="n"/>
      <c r="AL258" s="62">
        <f>IF(LEFT($C258,11)="[Jefatura] ",IFERROR(MATCH("Riesgo Operacional|"&amp;MID($C258,12,500),rDname_ADM,0),0),"")</f>
        <v/>
      </c>
      <c r="AM258" s="62">
        <f>IF(N($AL258)&gt;0,INDEX(rIni_ADM,$AL258),IF(ISNUMBER($E258),$E258,""))</f>
        <v/>
      </c>
      <c r="AN258" s="62">
        <f>IF(N($AL258)&gt;0,INDEX(rLim_ADM,$AL258),IF(ISNUMBER($F258),$F258,""))</f>
        <v/>
      </c>
    </row>
    <row r="259">
      <c r="A259" s="56">
        <f>IF(NOT((COUNTA($B259:$D259)+COUNTA($G259:$L259)+COUNTA($Q259))&gt;0),"",IF($V259="Macro",COUNTIFS($V$5:$V259,"Macro",$S$5:$S259,$S259),IF(N($U259)=0,"?",COUNTIFS(INDEX($V$5:$V$1000,1):INDEX($V$5:$V$1000,$U259-4),"Macro",INDEX($S$5:$S$1000,1):INDEX($S$5:$S$1000,$U259-4),INDEX($S$5:$S$1000,$U259-4))&amp;"."&amp;COUNTIFS($U$5:$U259,$U259,$V$5:$V259,"Sub"))))</f>
        <v/>
      </c>
      <c r="B259" s="57" t="n"/>
      <c r="C259" s="58" t="n"/>
      <c r="D259" s="58" t="n"/>
      <c r="E259" s="59">
        <f>IF(N($AL259)&gt;0,INDEX(rIni_ADM,$AL259),"")</f>
        <v/>
      </c>
      <c r="F259" s="59">
        <f>IF(N($AL259)&gt;0,INDEX(rLim_ADM,$AL259),"")</f>
        <v/>
      </c>
      <c r="G259" s="59" t="n"/>
      <c r="H259" s="60" t="n"/>
      <c r="I259" s="60" t="n"/>
      <c r="J259" s="60" t="n"/>
      <c r="K259" s="60" t="n"/>
      <c r="L259" s="60" t="n"/>
      <c r="M259" s="61">
        <f>IF(NOT((COUNTA($B259:$D259)+COUNTA($G259:$L259)+COUNTA($Q259))&gt;0),"",IF(ISNUMBER($G259),1,IF(N($W259)&gt;0,AVERAGEIFS($X$5:$X$1000,$U$5:$U$1000,ROW(),$V$5:$V$1000,"Sub"),$X259)))</f>
        <v/>
      </c>
      <c r="N259" s="56">
        <f>IF($M259="","",IF($M259&gt;=1,"Completado",IF($M259&gt;0,"En curso","Pendiente")))</f>
        <v/>
      </c>
      <c r="O259" s="56">
        <f>IF(NOT((COUNTA($B259:$D259)+COUNTA($G259:$L259)+COUNTA($Q259))&gt;0),"",IF(ISNUMBER($G259),IF(AND(ISNUMBER($AN259),$G259&gt;$AN259),"Cumplida con "&amp;($G259-$AN259)&amp;IF($G259-$AN259=1," día"," días")&amp;" de retraso","Cumplida"),IF(N($M259)&gt;=1,"Cumplida",IF(NOT(ISNUMBER($AN259)),"Sin fecha límite",IF($AN259&lt;FechaRef,"Vencida hace "&amp;(FechaRef-$AN259)&amp;IF(FechaRef-$AN259=1," día"," días"),IF($AN259=FechaRef,"Vence hoy",IF($AN259-FechaRef&lt;=DiasAlerta,"Vence en "&amp;($AN259-FechaRef)&amp;IF($AN259-FechaRef=1," día"," días"),"En plazo")))))))</f>
        <v/>
      </c>
      <c r="P259" s="62" t="n"/>
      <c r="Q259" s="58" t="n"/>
      <c r="R259" s="63">
        <f>IF(NOT((COUNTA($B259:$D259)+COUNTA($G259:$L259)+COUNTA($Q259))&gt;0),"",IF((IF($C259="","Falta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",""))="","✔ OK","⚠ "&amp;LEFT(IF($C259="","Falta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",""),LEN(IF($C259="","Falta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",""))-3)))</f>
        <v/>
      </c>
      <c r="S259" s="64">
        <f>IF(NOT((COUNTA($B259:$D259)+COUNTA($G259:$L259)+COUNTA($Q259))&gt;0),"",IF(AND($V259="Sub",N($U259)&gt;0),IF(ISNUMBER(INDEX($AM$5:$AM$1000,$U259-4)),DATE(YEAR(INDEX($AM$5:$AM$1000,$U259-4)),MONTH(INDEX($AM$5:$AM$1000,$U259-4)),1),IF(ISNUMBER(INDEX($AN$5:$AN$1000,$U259-4)),DATE(YEAR(INDEX($AN$5:$AN$1000,$U259-4)),MONTH(INDEX($AN$5:$AN$1000,$U259-4)),1),MesCiclo)),IF(ISNUMBER($AM259),DATE(YEAR($AM259),MONTH($AM259),1),IF(ISNUMBER($AN259),DATE(YEAR($AN259),MONTH($AN259),1),MesCiclo))))</f>
        <v/>
      </c>
      <c r="T259" s="62">
        <f>IF(OR($S259="",$S259&lt;&gt;MesCiclo),"",COUNTIF($S$5:$S259,MesCiclo))</f>
        <v/>
      </c>
      <c r="U259" s="62">
        <f>IF($V259="","",IF($V259="Macro",ROW(),IFERROR(LOOKUP(2,1/($V$5:$V259="Macro"),ROW($V$5:$V259)),0)))</f>
        <v/>
      </c>
      <c r="V259" s="62">
        <f>IF(NOT((COUNTA($B259:$D259)+COUNTA($G259:$L259)+COUNTA($Q259))&gt;0),"",IF($B259="Subactividad","Sub","Macro"))</f>
        <v/>
      </c>
      <c r="W259" s="62">
        <f>IF($V259="Macro",COUNTIFS($U$5:$U$1000,ROW(),$V$5:$V$1000,"Sub"),"")</f>
        <v/>
      </c>
      <c r="X259" s="62">
        <f>IF($V259="","",IF(ISNUMBER($G259),1,IFERROR(LOOKUP(2,1/($I259:$L259&lt;&gt;""),$I259:$L259),0)))</f>
        <v/>
      </c>
      <c r="Y259" s="62">
        <f>IF($V259="","",IF(AND(ISNUMBER($G259),$G259&lt;=IF($S259=MesCiclo,InicioCiclo,$S259+MOD(2-WEEKDAY($S259),7))+6),1,IF(ISNUMBER($I259),$I259,0)))</f>
        <v/>
      </c>
      <c r="Z259" s="62">
        <f>IF($V259="","",IF(AND(ISNUMBER($G259),$G259&lt;=IF($S259=MesCiclo,InicioCiclo,$S259+MOD(2-WEEKDAY($S259),7))+13),1,IF(ISNUMBER($J259),$J259,$Y259)))</f>
        <v/>
      </c>
      <c r="AA259" s="62">
        <f>IF($V259="","",IF(AND(ISNUMBER($G259),$G259&lt;=IF($S259=MesCiclo,InicioCiclo,$S259+MOD(2-WEEKDAY($S259),7))+20),1,IF(ISNUMBER($K259),$K259,$Z259)))</f>
        <v/>
      </c>
      <c r="AB259" s="62">
        <f>IF($V259="","",IF(AND(ISNUMBER($G259),$G259&lt;=IF($S259=MesCiclo,InicioCiclo,$S259+MOD(2-WEEKDAY($S259),7))+27),1,IF(ISNUMBER($L259),$L259,$AA259)))</f>
        <v/>
      </c>
      <c r="AC259" s="62">
        <f>IF($V259="","",IF(AND(ISNUMBER($G259),$G259&lt;=IF($S259=MesCiclo,InicioCiclo,$S259+MOD(2-WEEKDAY($S259),7))+6),1,IF(N($W259)&gt;0,AVERAGEIFS($Y$5:$Y$1000,$U$5:$U$1000,ROW(),$V$5:$V$1000,"Sub"),$Y259)))</f>
        <v/>
      </c>
      <c r="AD259" s="62">
        <f>IF($V259="","",IF(AND(ISNUMBER($G259),$G259&lt;=IF($S259=MesCiclo,InicioCiclo,$S259+MOD(2-WEEKDAY($S259),7))+13),1,IF(N($W259)&gt;0,AVERAGEIFS($Z$5:$Z$1000,$U$5:$U$1000,ROW(),$V$5:$V$1000,"Sub"),$Z259)))</f>
        <v/>
      </c>
      <c r="AE259" s="62">
        <f>IF($V259="","",IF(AND(ISNUMBER($G259),$G259&lt;=IF($S259=MesCiclo,InicioCiclo,$S259+MOD(2-WEEKDAY($S259),7))+20),1,IF(N($W259)&gt;0,AVERAGEIFS($AA$5:$AA$1000,$U$5:$U$1000,ROW(),$V$5:$V$1000,"Sub"),$AA259)))</f>
        <v/>
      </c>
      <c r="AF259" s="62">
        <f>IF($V259="","",IF(AND(ISNUMBER($G259),$G259&lt;=IF($S259=MesCiclo,InicioCiclo,$S259+MOD(2-WEEKDAY($S259),7))+27),1,IF(N($W259)&gt;0,AVERAGEIFS($AB$5:$AB$1000,$U$5:$U$1000,ROW(),$V$5:$V$1000,"Sub"),$AB259)))</f>
        <v/>
      </c>
      <c r="AG259" s="62">
        <f>IF($V259&lt;&gt;"Macro","",IF(COUNTIFS($S$5:$S$1000,$S259,$V$5:$V$1000,"Macro",$H$5:$H$1000,"&gt;0")=0,1/COUNTIFS($S$5:$S$1000,$S259,$V$5:$V$1000,"Macro"),IF(AND(ISNUMBER($H259),N($H259)&gt;0),$H259,SUMIFS($H$5:$H$1000,$S$5:$S$1000,$S259,$V$5:$V$1000,"Macro")/COUNTIFS($S$5:$S$1000,$S259,$V$5:$V$1000,"Macro",$H$5:$H$1000,"&gt;0"))/(COUNTIFS($S$5:$S$1000,$S259,$V$5:$V$1000,"Macro")*SUMIFS($H$5:$H$1000,$S$5:$S$1000,$S259,$V$5:$V$1000,"Macro")/COUNTIFS($S$5:$S$1000,$S259,$V$5:$V$1000,"Macro",$H$5:$H$1000,"&gt;0"))))</f>
        <v/>
      </c>
      <c r="AH259" s="62" t="n"/>
      <c r="AI259" s="62" t="n"/>
      <c r="AJ259" s="62" t="n"/>
      <c r="AK259" s="62" t="n"/>
      <c r="AL259" s="62">
        <f>IF(LEFT($C259,11)="[Jefatura] ",IFERROR(MATCH("Riesgo Operacional|"&amp;MID($C259,12,500),rDname_ADM,0),0),"")</f>
        <v/>
      </c>
      <c r="AM259" s="62">
        <f>IF(N($AL259)&gt;0,INDEX(rIni_ADM,$AL259),IF(ISNUMBER($E259),$E259,""))</f>
        <v/>
      </c>
      <c r="AN259" s="62">
        <f>IF(N($AL259)&gt;0,INDEX(rLim_ADM,$AL259),IF(ISNUMBER($F259),$F259,""))</f>
        <v/>
      </c>
    </row>
    <row r="260">
      <c r="A260" s="56">
        <f>IF(NOT((COUNTA($B260:$D260)+COUNTA($G260:$L260)+COUNTA($Q260))&gt;0),"",IF($V260="Macro",COUNTIFS($V$5:$V260,"Macro",$S$5:$S260,$S260),IF(N($U260)=0,"?",COUNTIFS(INDEX($V$5:$V$1000,1):INDEX($V$5:$V$1000,$U260-4),"Macro",INDEX($S$5:$S$1000,1):INDEX($S$5:$S$1000,$U260-4),INDEX($S$5:$S$1000,$U260-4))&amp;"."&amp;COUNTIFS($U$5:$U260,$U260,$V$5:$V260,"Sub"))))</f>
        <v/>
      </c>
      <c r="B260" s="57" t="n"/>
      <c r="C260" s="58" t="n"/>
      <c r="D260" s="58" t="n"/>
      <c r="E260" s="59">
        <f>IF(N($AL260)&gt;0,INDEX(rIni_ADM,$AL260),"")</f>
        <v/>
      </c>
      <c r="F260" s="59">
        <f>IF(N($AL260)&gt;0,INDEX(rLim_ADM,$AL260),"")</f>
        <v/>
      </c>
      <c r="G260" s="59" t="n"/>
      <c r="H260" s="60" t="n"/>
      <c r="I260" s="60" t="n"/>
      <c r="J260" s="60" t="n"/>
      <c r="K260" s="60" t="n"/>
      <c r="L260" s="60" t="n"/>
      <c r="M260" s="61">
        <f>IF(NOT((COUNTA($B260:$D260)+COUNTA($G260:$L260)+COUNTA($Q260))&gt;0),"",IF(ISNUMBER($G260),1,IF(N($W260)&gt;0,AVERAGEIFS($X$5:$X$1000,$U$5:$U$1000,ROW(),$V$5:$V$1000,"Sub"),$X260)))</f>
        <v/>
      </c>
      <c r="N260" s="56">
        <f>IF($M260="","",IF($M260&gt;=1,"Completado",IF($M260&gt;0,"En curso","Pendiente")))</f>
        <v/>
      </c>
      <c r="O260" s="56">
        <f>IF(NOT((COUNTA($B260:$D260)+COUNTA($G260:$L260)+COUNTA($Q260))&gt;0),"",IF(ISNUMBER($G260),IF(AND(ISNUMBER($AN260),$G260&gt;$AN260),"Cumplida con "&amp;($G260-$AN260)&amp;IF($G260-$AN260=1," día"," días")&amp;" de retraso","Cumplida"),IF(N($M260)&gt;=1,"Cumplida",IF(NOT(ISNUMBER($AN260)),"Sin fecha límite",IF($AN260&lt;FechaRef,"Vencida hace "&amp;(FechaRef-$AN260)&amp;IF(FechaRef-$AN260=1," día"," días"),IF($AN260=FechaRef,"Vence hoy",IF($AN260-FechaRef&lt;=DiasAlerta,"Vence en "&amp;($AN260-FechaRef)&amp;IF($AN260-FechaRef=1," día"," días"),"En plazo")))))))</f>
        <v/>
      </c>
      <c r="P260" s="62" t="n"/>
      <c r="Q260" s="58" t="n"/>
      <c r="R260" s="63">
        <f>IF(NOT((COUNTA($B260:$D260)+COUNTA($G260:$L260)+COUNTA($Q260))&gt;0),"",IF((IF($C260="","Falta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",""))="","✔ OK","⚠ "&amp;LEFT(IF($C260="","Falta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",""),LEN(IF($C260="","Falta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",""))-3)))</f>
        <v/>
      </c>
      <c r="S260" s="64">
        <f>IF(NOT((COUNTA($B260:$D260)+COUNTA($G260:$L260)+COUNTA($Q260))&gt;0),"",IF(AND($V260="Sub",N($U260)&gt;0),IF(ISNUMBER(INDEX($AM$5:$AM$1000,$U260-4)),DATE(YEAR(INDEX($AM$5:$AM$1000,$U260-4)),MONTH(INDEX($AM$5:$AM$1000,$U260-4)),1),IF(ISNUMBER(INDEX($AN$5:$AN$1000,$U260-4)),DATE(YEAR(INDEX($AN$5:$AN$1000,$U260-4)),MONTH(INDEX($AN$5:$AN$1000,$U260-4)),1),MesCiclo)),IF(ISNUMBER($AM260),DATE(YEAR($AM260),MONTH($AM260),1),IF(ISNUMBER($AN260),DATE(YEAR($AN260),MONTH($AN260),1),MesCiclo))))</f>
        <v/>
      </c>
      <c r="T260" s="62">
        <f>IF(OR($S260="",$S260&lt;&gt;MesCiclo),"",COUNTIF($S$5:$S260,MesCiclo))</f>
        <v/>
      </c>
      <c r="U260" s="62">
        <f>IF($V260="","",IF($V260="Macro",ROW(),IFERROR(LOOKUP(2,1/($V$5:$V260="Macro"),ROW($V$5:$V260)),0)))</f>
        <v/>
      </c>
      <c r="V260" s="62">
        <f>IF(NOT((COUNTA($B260:$D260)+COUNTA($G260:$L260)+COUNTA($Q260))&gt;0),"",IF($B260="Subactividad","Sub","Macro"))</f>
        <v/>
      </c>
      <c r="W260" s="62">
        <f>IF($V260="Macro",COUNTIFS($U$5:$U$1000,ROW(),$V$5:$V$1000,"Sub"),"")</f>
        <v/>
      </c>
      <c r="X260" s="62">
        <f>IF($V260="","",IF(ISNUMBER($G260),1,IFERROR(LOOKUP(2,1/($I260:$L260&lt;&gt;""),$I260:$L260),0)))</f>
        <v/>
      </c>
      <c r="Y260" s="62">
        <f>IF($V260="","",IF(AND(ISNUMBER($G260),$G260&lt;=IF($S260=MesCiclo,InicioCiclo,$S260+MOD(2-WEEKDAY($S260),7))+6),1,IF(ISNUMBER($I260),$I260,0)))</f>
        <v/>
      </c>
      <c r="Z260" s="62">
        <f>IF($V260="","",IF(AND(ISNUMBER($G260),$G260&lt;=IF($S260=MesCiclo,InicioCiclo,$S260+MOD(2-WEEKDAY($S260),7))+13),1,IF(ISNUMBER($J260),$J260,$Y260)))</f>
        <v/>
      </c>
      <c r="AA260" s="62">
        <f>IF($V260="","",IF(AND(ISNUMBER($G260),$G260&lt;=IF($S260=MesCiclo,InicioCiclo,$S260+MOD(2-WEEKDAY($S260),7))+20),1,IF(ISNUMBER($K260),$K260,$Z260)))</f>
        <v/>
      </c>
      <c r="AB260" s="62">
        <f>IF($V260="","",IF(AND(ISNUMBER($G260),$G260&lt;=IF($S260=MesCiclo,InicioCiclo,$S260+MOD(2-WEEKDAY($S260),7))+27),1,IF(ISNUMBER($L260),$L260,$AA260)))</f>
        <v/>
      </c>
      <c r="AC260" s="62">
        <f>IF($V260="","",IF(AND(ISNUMBER($G260),$G260&lt;=IF($S260=MesCiclo,InicioCiclo,$S260+MOD(2-WEEKDAY($S260),7))+6),1,IF(N($W260)&gt;0,AVERAGEIFS($Y$5:$Y$1000,$U$5:$U$1000,ROW(),$V$5:$V$1000,"Sub"),$Y260)))</f>
        <v/>
      </c>
      <c r="AD260" s="62">
        <f>IF($V260="","",IF(AND(ISNUMBER($G260),$G260&lt;=IF($S260=MesCiclo,InicioCiclo,$S260+MOD(2-WEEKDAY($S260),7))+13),1,IF(N($W260)&gt;0,AVERAGEIFS($Z$5:$Z$1000,$U$5:$U$1000,ROW(),$V$5:$V$1000,"Sub"),$Z260)))</f>
        <v/>
      </c>
      <c r="AE260" s="62">
        <f>IF($V260="","",IF(AND(ISNUMBER($G260),$G260&lt;=IF($S260=MesCiclo,InicioCiclo,$S260+MOD(2-WEEKDAY($S260),7))+20),1,IF(N($W260)&gt;0,AVERAGEIFS($AA$5:$AA$1000,$U$5:$U$1000,ROW(),$V$5:$V$1000,"Sub"),$AA260)))</f>
        <v/>
      </c>
      <c r="AF260" s="62">
        <f>IF($V260="","",IF(AND(ISNUMBER($G260),$G260&lt;=IF($S260=MesCiclo,InicioCiclo,$S260+MOD(2-WEEKDAY($S260),7))+27),1,IF(N($W260)&gt;0,AVERAGEIFS($AB$5:$AB$1000,$U$5:$U$1000,ROW(),$V$5:$V$1000,"Sub"),$AB260)))</f>
        <v/>
      </c>
      <c r="AG260" s="62">
        <f>IF($V260&lt;&gt;"Macro","",IF(COUNTIFS($S$5:$S$1000,$S260,$V$5:$V$1000,"Macro",$H$5:$H$1000,"&gt;0")=0,1/COUNTIFS($S$5:$S$1000,$S260,$V$5:$V$1000,"Macro"),IF(AND(ISNUMBER($H260),N($H260)&gt;0),$H260,SUMIFS($H$5:$H$1000,$S$5:$S$1000,$S260,$V$5:$V$1000,"Macro")/COUNTIFS($S$5:$S$1000,$S260,$V$5:$V$1000,"Macro",$H$5:$H$1000,"&gt;0"))/(COUNTIFS($S$5:$S$1000,$S260,$V$5:$V$1000,"Macro")*SUMIFS($H$5:$H$1000,$S$5:$S$1000,$S260,$V$5:$V$1000,"Macro")/COUNTIFS($S$5:$S$1000,$S260,$V$5:$V$1000,"Macro",$H$5:$H$1000,"&gt;0"))))</f>
        <v/>
      </c>
      <c r="AH260" s="62" t="n"/>
      <c r="AI260" s="62" t="n"/>
      <c r="AJ260" s="62" t="n"/>
      <c r="AK260" s="62" t="n"/>
      <c r="AL260" s="62">
        <f>IF(LEFT($C260,11)="[Jefatura] ",IFERROR(MATCH("Riesgo Operacional|"&amp;MID($C260,12,500),rDname_ADM,0),0),"")</f>
        <v/>
      </c>
      <c r="AM260" s="62">
        <f>IF(N($AL260)&gt;0,INDEX(rIni_ADM,$AL260),IF(ISNUMBER($E260),$E260,""))</f>
        <v/>
      </c>
      <c r="AN260" s="62">
        <f>IF(N($AL260)&gt;0,INDEX(rLim_ADM,$AL260),IF(ISNUMBER($F260),$F260,""))</f>
        <v/>
      </c>
    </row>
    <row r="261">
      <c r="A261" s="56">
        <f>IF(NOT((COUNTA($B261:$D261)+COUNTA($G261:$L261)+COUNTA($Q261))&gt;0),"",IF($V261="Macro",COUNTIFS($V$5:$V261,"Macro",$S$5:$S261,$S261),IF(N($U261)=0,"?",COUNTIFS(INDEX($V$5:$V$1000,1):INDEX($V$5:$V$1000,$U261-4),"Macro",INDEX($S$5:$S$1000,1):INDEX($S$5:$S$1000,$U261-4),INDEX($S$5:$S$1000,$U261-4))&amp;"."&amp;COUNTIFS($U$5:$U261,$U261,$V$5:$V261,"Sub"))))</f>
        <v/>
      </c>
      <c r="B261" s="57" t="n"/>
      <c r="C261" s="58" t="n"/>
      <c r="D261" s="58" t="n"/>
      <c r="E261" s="59">
        <f>IF(N($AL261)&gt;0,INDEX(rIni_ADM,$AL261),"")</f>
        <v/>
      </c>
      <c r="F261" s="59">
        <f>IF(N($AL261)&gt;0,INDEX(rLim_ADM,$AL261),"")</f>
        <v/>
      </c>
      <c r="G261" s="59" t="n"/>
      <c r="H261" s="60" t="n"/>
      <c r="I261" s="60" t="n"/>
      <c r="J261" s="60" t="n"/>
      <c r="K261" s="60" t="n"/>
      <c r="L261" s="60" t="n"/>
      <c r="M261" s="61">
        <f>IF(NOT((COUNTA($B261:$D261)+COUNTA($G261:$L261)+COUNTA($Q261))&gt;0),"",IF(ISNUMBER($G261),1,IF(N($W261)&gt;0,AVERAGEIFS($X$5:$X$1000,$U$5:$U$1000,ROW(),$V$5:$V$1000,"Sub"),$X261)))</f>
        <v/>
      </c>
      <c r="N261" s="56">
        <f>IF($M261="","",IF($M261&gt;=1,"Completado",IF($M261&gt;0,"En curso","Pendiente")))</f>
        <v/>
      </c>
      <c r="O261" s="56">
        <f>IF(NOT((COUNTA($B261:$D261)+COUNTA($G261:$L261)+COUNTA($Q261))&gt;0),"",IF(ISNUMBER($G261),IF(AND(ISNUMBER($AN261),$G261&gt;$AN261),"Cumplida con "&amp;($G261-$AN261)&amp;IF($G261-$AN261=1," día"," días")&amp;" de retraso","Cumplida"),IF(N($M261)&gt;=1,"Cumplida",IF(NOT(ISNUMBER($AN261)),"Sin fecha límite",IF($AN261&lt;FechaRef,"Vencida hace "&amp;(FechaRef-$AN261)&amp;IF(FechaRef-$AN261=1," día"," días"),IF($AN261=FechaRef,"Vence hoy",IF($AN261-FechaRef&lt;=DiasAlerta,"Vence en "&amp;($AN261-FechaRef)&amp;IF($AN261-FechaRef=1," día"," días"),"En plazo")))))))</f>
        <v/>
      </c>
      <c r="P261" s="62" t="n"/>
      <c r="Q261" s="58" t="n"/>
      <c r="R261" s="63">
        <f>IF(NOT((COUNTA($B261:$D261)+COUNTA($G261:$L261)+COUNTA($Q261))&gt;0),"",IF((IF($C261="","Falta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",""))="","✔ OK","⚠ "&amp;LEFT(IF($C261="","Falta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",""),LEN(IF($C261="","Falta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",""))-3)))</f>
        <v/>
      </c>
      <c r="S261" s="64">
        <f>IF(NOT((COUNTA($B261:$D261)+COUNTA($G261:$L261)+COUNTA($Q261))&gt;0),"",IF(AND($V261="Sub",N($U261)&gt;0),IF(ISNUMBER(INDEX($AM$5:$AM$1000,$U261-4)),DATE(YEAR(INDEX($AM$5:$AM$1000,$U261-4)),MONTH(INDEX($AM$5:$AM$1000,$U261-4)),1),IF(ISNUMBER(INDEX($AN$5:$AN$1000,$U261-4)),DATE(YEAR(INDEX($AN$5:$AN$1000,$U261-4)),MONTH(INDEX($AN$5:$AN$1000,$U261-4)),1),MesCiclo)),IF(ISNUMBER($AM261),DATE(YEAR($AM261),MONTH($AM261),1),IF(ISNUMBER($AN261),DATE(YEAR($AN261),MONTH($AN261),1),MesCiclo))))</f>
        <v/>
      </c>
      <c r="T261" s="62">
        <f>IF(OR($S261="",$S261&lt;&gt;MesCiclo),"",COUNTIF($S$5:$S261,MesCiclo))</f>
        <v/>
      </c>
      <c r="U261" s="62">
        <f>IF($V261="","",IF($V261="Macro",ROW(),IFERROR(LOOKUP(2,1/($V$5:$V261="Macro"),ROW($V$5:$V261)),0)))</f>
        <v/>
      </c>
      <c r="V261" s="62">
        <f>IF(NOT((COUNTA($B261:$D261)+COUNTA($G261:$L261)+COUNTA($Q261))&gt;0),"",IF($B261="Subactividad","Sub","Macro"))</f>
        <v/>
      </c>
      <c r="W261" s="62">
        <f>IF($V261="Macro",COUNTIFS($U$5:$U$1000,ROW(),$V$5:$V$1000,"Sub"),"")</f>
        <v/>
      </c>
      <c r="X261" s="62">
        <f>IF($V261="","",IF(ISNUMBER($G261),1,IFERROR(LOOKUP(2,1/($I261:$L261&lt;&gt;""),$I261:$L261),0)))</f>
        <v/>
      </c>
      <c r="Y261" s="62">
        <f>IF($V261="","",IF(AND(ISNUMBER($G261),$G261&lt;=IF($S261=MesCiclo,InicioCiclo,$S261+MOD(2-WEEKDAY($S261),7))+6),1,IF(ISNUMBER($I261),$I261,0)))</f>
        <v/>
      </c>
      <c r="Z261" s="62">
        <f>IF($V261="","",IF(AND(ISNUMBER($G261),$G261&lt;=IF($S261=MesCiclo,InicioCiclo,$S261+MOD(2-WEEKDAY($S261),7))+13),1,IF(ISNUMBER($J261),$J261,$Y261)))</f>
        <v/>
      </c>
      <c r="AA261" s="62">
        <f>IF($V261="","",IF(AND(ISNUMBER($G261),$G261&lt;=IF($S261=MesCiclo,InicioCiclo,$S261+MOD(2-WEEKDAY($S261),7))+20),1,IF(ISNUMBER($K261),$K261,$Z261)))</f>
        <v/>
      </c>
      <c r="AB261" s="62">
        <f>IF($V261="","",IF(AND(ISNUMBER($G261),$G261&lt;=IF($S261=MesCiclo,InicioCiclo,$S261+MOD(2-WEEKDAY($S261),7))+27),1,IF(ISNUMBER($L261),$L261,$AA261)))</f>
        <v/>
      </c>
      <c r="AC261" s="62">
        <f>IF($V261="","",IF(AND(ISNUMBER($G261),$G261&lt;=IF($S261=MesCiclo,InicioCiclo,$S261+MOD(2-WEEKDAY($S261),7))+6),1,IF(N($W261)&gt;0,AVERAGEIFS($Y$5:$Y$1000,$U$5:$U$1000,ROW(),$V$5:$V$1000,"Sub"),$Y261)))</f>
        <v/>
      </c>
      <c r="AD261" s="62">
        <f>IF($V261="","",IF(AND(ISNUMBER($G261),$G261&lt;=IF($S261=MesCiclo,InicioCiclo,$S261+MOD(2-WEEKDAY($S261),7))+13),1,IF(N($W261)&gt;0,AVERAGEIFS($Z$5:$Z$1000,$U$5:$U$1000,ROW(),$V$5:$V$1000,"Sub"),$Z261)))</f>
        <v/>
      </c>
      <c r="AE261" s="62">
        <f>IF($V261="","",IF(AND(ISNUMBER($G261),$G261&lt;=IF($S261=MesCiclo,InicioCiclo,$S261+MOD(2-WEEKDAY($S261),7))+20),1,IF(N($W261)&gt;0,AVERAGEIFS($AA$5:$AA$1000,$U$5:$U$1000,ROW(),$V$5:$V$1000,"Sub"),$AA261)))</f>
        <v/>
      </c>
      <c r="AF261" s="62">
        <f>IF($V261="","",IF(AND(ISNUMBER($G261),$G261&lt;=IF($S261=MesCiclo,InicioCiclo,$S261+MOD(2-WEEKDAY($S261),7))+27),1,IF(N($W261)&gt;0,AVERAGEIFS($AB$5:$AB$1000,$U$5:$U$1000,ROW(),$V$5:$V$1000,"Sub"),$AB261)))</f>
        <v/>
      </c>
      <c r="AG261" s="62">
        <f>IF($V261&lt;&gt;"Macro","",IF(COUNTIFS($S$5:$S$1000,$S261,$V$5:$V$1000,"Macro",$H$5:$H$1000,"&gt;0")=0,1/COUNTIFS($S$5:$S$1000,$S261,$V$5:$V$1000,"Macro"),IF(AND(ISNUMBER($H261),N($H261)&gt;0),$H261,SUMIFS($H$5:$H$1000,$S$5:$S$1000,$S261,$V$5:$V$1000,"Macro")/COUNTIFS($S$5:$S$1000,$S261,$V$5:$V$1000,"Macro",$H$5:$H$1000,"&gt;0"))/(COUNTIFS($S$5:$S$1000,$S261,$V$5:$V$1000,"Macro")*SUMIFS($H$5:$H$1000,$S$5:$S$1000,$S261,$V$5:$V$1000,"Macro")/COUNTIFS($S$5:$S$1000,$S261,$V$5:$V$1000,"Macro",$H$5:$H$1000,"&gt;0"))))</f>
        <v/>
      </c>
      <c r="AH261" s="62" t="n"/>
      <c r="AI261" s="62" t="n"/>
      <c r="AJ261" s="62" t="n"/>
      <c r="AK261" s="62" t="n"/>
      <c r="AL261" s="62">
        <f>IF(LEFT($C261,11)="[Jefatura] ",IFERROR(MATCH("Riesgo Operacional|"&amp;MID($C261,12,500),rDname_ADM,0),0),"")</f>
        <v/>
      </c>
      <c r="AM261" s="62">
        <f>IF(N($AL261)&gt;0,INDEX(rIni_ADM,$AL261),IF(ISNUMBER($E261),$E261,""))</f>
        <v/>
      </c>
      <c r="AN261" s="62">
        <f>IF(N($AL261)&gt;0,INDEX(rLim_ADM,$AL261),IF(ISNUMBER($F261),$F261,""))</f>
        <v/>
      </c>
    </row>
    <row r="262">
      <c r="A262" s="56">
        <f>IF(NOT((COUNTA($B262:$D262)+COUNTA($G262:$L262)+COUNTA($Q262))&gt;0),"",IF($V262="Macro",COUNTIFS($V$5:$V262,"Macro",$S$5:$S262,$S262),IF(N($U262)=0,"?",COUNTIFS(INDEX($V$5:$V$1000,1):INDEX($V$5:$V$1000,$U262-4),"Macro",INDEX($S$5:$S$1000,1):INDEX($S$5:$S$1000,$U262-4),INDEX($S$5:$S$1000,$U262-4))&amp;"."&amp;COUNTIFS($U$5:$U262,$U262,$V$5:$V262,"Sub"))))</f>
        <v/>
      </c>
      <c r="B262" s="57" t="n"/>
      <c r="C262" s="58" t="n"/>
      <c r="D262" s="58" t="n"/>
      <c r="E262" s="59">
        <f>IF(N($AL262)&gt;0,INDEX(rIni_ADM,$AL262),"")</f>
        <v/>
      </c>
      <c r="F262" s="59">
        <f>IF(N($AL262)&gt;0,INDEX(rLim_ADM,$AL262),"")</f>
        <v/>
      </c>
      <c r="G262" s="59" t="n"/>
      <c r="H262" s="60" t="n"/>
      <c r="I262" s="60" t="n"/>
      <c r="J262" s="60" t="n"/>
      <c r="K262" s="60" t="n"/>
      <c r="L262" s="60" t="n"/>
      <c r="M262" s="61">
        <f>IF(NOT((COUNTA($B262:$D262)+COUNTA($G262:$L262)+COUNTA($Q262))&gt;0),"",IF(ISNUMBER($G262),1,IF(N($W262)&gt;0,AVERAGEIFS($X$5:$X$1000,$U$5:$U$1000,ROW(),$V$5:$V$1000,"Sub"),$X262)))</f>
        <v/>
      </c>
      <c r="N262" s="56">
        <f>IF($M262="","",IF($M262&gt;=1,"Completado",IF($M262&gt;0,"En curso","Pendiente")))</f>
        <v/>
      </c>
      <c r="O262" s="56">
        <f>IF(NOT((COUNTA($B262:$D262)+COUNTA($G262:$L262)+COUNTA($Q262))&gt;0),"",IF(ISNUMBER($G262),IF(AND(ISNUMBER($AN262),$G262&gt;$AN262),"Cumplida con "&amp;($G262-$AN262)&amp;IF($G262-$AN262=1," día"," días")&amp;" de retraso","Cumplida"),IF(N($M262)&gt;=1,"Cumplida",IF(NOT(ISNUMBER($AN262)),"Sin fecha límite",IF($AN262&lt;FechaRef,"Vencida hace "&amp;(FechaRef-$AN262)&amp;IF(FechaRef-$AN262=1," día"," días"),IF($AN262=FechaRef,"Vence hoy",IF($AN262-FechaRef&lt;=DiasAlerta,"Vence en "&amp;($AN262-FechaRef)&amp;IF($AN262-FechaRef=1," día"," días"),"En plazo")))))))</f>
        <v/>
      </c>
      <c r="P262" s="62" t="n"/>
      <c r="Q262" s="58" t="n"/>
      <c r="R262" s="63">
        <f>IF(NOT((COUNTA($B262:$D262)+COUNTA($G262:$L262)+COUNTA($Q262))&gt;0),"",IF((IF($C262="","Falta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",""))="","✔ OK","⚠ "&amp;LEFT(IF($C262="","Falta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",""),LEN(IF($C262="","Falta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",""))-3)))</f>
        <v/>
      </c>
      <c r="S262" s="64">
        <f>IF(NOT((COUNTA($B262:$D262)+COUNTA($G262:$L262)+COUNTA($Q262))&gt;0),"",IF(AND($V262="Sub",N($U262)&gt;0),IF(ISNUMBER(INDEX($AM$5:$AM$1000,$U262-4)),DATE(YEAR(INDEX($AM$5:$AM$1000,$U262-4)),MONTH(INDEX($AM$5:$AM$1000,$U262-4)),1),IF(ISNUMBER(INDEX($AN$5:$AN$1000,$U262-4)),DATE(YEAR(INDEX($AN$5:$AN$1000,$U262-4)),MONTH(INDEX($AN$5:$AN$1000,$U262-4)),1),MesCiclo)),IF(ISNUMBER($AM262),DATE(YEAR($AM262),MONTH($AM262),1),IF(ISNUMBER($AN262),DATE(YEAR($AN262),MONTH($AN262),1),MesCiclo))))</f>
        <v/>
      </c>
      <c r="T262" s="62">
        <f>IF(OR($S262="",$S262&lt;&gt;MesCiclo),"",COUNTIF($S$5:$S262,MesCiclo))</f>
        <v/>
      </c>
      <c r="U262" s="62">
        <f>IF($V262="","",IF($V262="Macro",ROW(),IFERROR(LOOKUP(2,1/($V$5:$V262="Macro"),ROW($V$5:$V262)),0)))</f>
        <v/>
      </c>
      <c r="V262" s="62">
        <f>IF(NOT((COUNTA($B262:$D262)+COUNTA($G262:$L262)+COUNTA($Q262))&gt;0),"",IF($B262="Subactividad","Sub","Macro"))</f>
        <v/>
      </c>
      <c r="W262" s="62">
        <f>IF($V262="Macro",COUNTIFS($U$5:$U$1000,ROW(),$V$5:$V$1000,"Sub"),"")</f>
        <v/>
      </c>
      <c r="X262" s="62">
        <f>IF($V262="","",IF(ISNUMBER($G262),1,IFERROR(LOOKUP(2,1/($I262:$L262&lt;&gt;""),$I262:$L262),0)))</f>
        <v/>
      </c>
      <c r="Y262" s="62">
        <f>IF($V262="","",IF(AND(ISNUMBER($G262),$G262&lt;=IF($S262=MesCiclo,InicioCiclo,$S262+MOD(2-WEEKDAY($S262),7))+6),1,IF(ISNUMBER($I262),$I262,0)))</f>
        <v/>
      </c>
      <c r="Z262" s="62">
        <f>IF($V262="","",IF(AND(ISNUMBER($G262),$G262&lt;=IF($S262=MesCiclo,InicioCiclo,$S262+MOD(2-WEEKDAY($S262),7))+13),1,IF(ISNUMBER($J262),$J262,$Y262)))</f>
        <v/>
      </c>
      <c r="AA262" s="62">
        <f>IF($V262="","",IF(AND(ISNUMBER($G262),$G262&lt;=IF($S262=MesCiclo,InicioCiclo,$S262+MOD(2-WEEKDAY($S262),7))+20),1,IF(ISNUMBER($K262),$K262,$Z262)))</f>
        <v/>
      </c>
      <c r="AB262" s="62">
        <f>IF($V262="","",IF(AND(ISNUMBER($G262),$G262&lt;=IF($S262=MesCiclo,InicioCiclo,$S262+MOD(2-WEEKDAY($S262),7))+27),1,IF(ISNUMBER($L262),$L262,$AA262)))</f>
        <v/>
      </c>
      <c r="AC262" s="62">
        <f>IF($V262="","",IF(AND(ISNUMBER($G262),$G262&lt;=IF($S262=MesCiclo,InicioCiclo,$S262+MOD(2-WEEKDAY($S262),7))+6),1,IF(N($W262)&gt;0,AVERAGEIFS($Y$5:$Y$1000,$U$5:$U$1000,ROW(),$V$5:$V$1000,"Sub"),$Y262)))</f>
        <v/>
      </c>
      <c r="AD262" s="62">
        <f>IF($V262="","",IF(AND(ISNUMBER($G262),$G262&lt;=IF($S262=MesCiclo,InicioCiclo,$S262+MOD(2-WEEKDAY($S262),7))+13),1,IF(N($W262)&gt;0,AVERAGEIFS($Z$5:$Z$1000,$U$5:$U$1000,ROW(),$V$5:$V$1000,"Sub"),$Z262)))</f>
        <v/>
      </c>
      <c r="AE262" s="62">
        <f>IF($V262="","",IF(AND(ISNUMBER($G262),$G262&lt;=IF($S262=MesCiclo,InicioCiclo,$S262+MOD(2-WEEKDAY($S262),7))+20),1,IF(N($W262)&gt;0,AVERAGEIFS($AA$5:$AA$1000,$U$5:$U$1000,ROW(),$V$5:$V$1000,"Sub"),$AA262)))</f>
        <v/>
      </c>
      <c r="AF262" s="62">
        <f>IF($V262="","",IF(AND(ISNUMBER($G262),$G262&lt;=IF($S262=MesCiclo,InicioCiclo,$S262+MOD(2-WEEKDAY($S262),7))+27),1,IF(N($W262)&gt;0,AVERAGEIFS($AB$5:$AB$1000,$U$5:$U$1000,ROW(),$V$5:$V$1000,"Sub"),$AB262)))</f>
        <v/>
      </c>
      <c r="AG262" s="62">
        <f>IF($V262&lt;&gt;"Macro","",IF(COUNTIFS($S$5:$S$1000,$S262,$V$5:$V$1000,"Macro",$H$5:$H$1000,"&gt;0")=0,1/COUNTIFS($S$5:$S$1000,$S262,$V$5:$V$1000,"Macro"),IF(AND(ISNUMBER($H262),N($H262)&gt;0),$H262,SUMIFS($H$5:$H$1000,$S$5:$S$1000,$S262,$V$5:$V$1000,"Macro")/COUNTIFS($S$5:$S$1000,$S262,$V$5:$V$1000,"Macro",$H$5:$H$1000,"&gt;0"))/(COUNTIFS($S$5:$S$1000,$S262,$V$5:$V$1000,"Macro")*SUMIFS($H$5:$H$1000,$S$5:$S$1000,$S262,$V$5:$V$1000,"Macro")/COUNTIFS($S$5:$S$1000,$S262,$V$5:$V$1000,"Macro",$H$5:$H$1000,"&gt;0"))))</f>
        <v/>
      </c>
      <c r="AH262" s="62" t="n"/>
      <c r="AI262" s="62" t="n"/>
      <c r="AJ262" s="62" t="n"/>
      <c r="AK262" s="62" t="n"/>
      <c r="AL262" s="62">
        <f>IF(LEFT($C262,11)="[Jefatura] ",IFERROR(MATCH("Riesgo Operacional|"&amp;MID($C262,12,500),rDname_ADM,0),0),"")</f>
        <v/>
      </c>
      <c r="AM262" s="62">
        <f>IF(N($AL262)&gt;0,INDEX(rIni_ADM,$AL262),IF(ISNUMBER($E262),$E262,""))</f>
        <v/>
      </c>
      <c r="AN262" s="62">
        <f>IF(N($AL262)&gt;0,INDEX(rLim_ADM,$AL262),IF(ISNUMBER($F262),$F262,""))</f>
        <v/>
      </c>
    </row>
    <row r="263">
      <c r="A263" s="56">
        <f>IF(NOT((COUNTA($B263:$D263)+COUNTA($G263:$L263)+COUNTA($Q263))&gt;0),"",IF($V263="Macro",COUNTIFS($V$5:$V263,"Macro",$S$5:$S263,$S263),IF(N($U263)=0,"?",COUNTIFS(INDEX($V$5:$V$1000,1):INDEX($V$5:$V$1000,$U263-4),"Macro",INDEX($S$5:$S$1000,1):INDEX($S$5:$S$1000,$U263-4),INDEX($S$5:$S$1000,$U263-4))&amp;"."&amp;COUNTIFS($U$5:$U263,$U263,$V$5:$V263,"Sub"))))</f>
        <v/>
      </c>
      <c r="B263" s="57" t="n"/>
      <c r="C263" s="58" t="n"/>
      <c r="D263" s="58" t="n"/>
      <c r="E263" s="59">
        <f>IF(N($AL263)&gt;0,INDEX(rIni_ADM,$AL263),"")</f>
        <v/>
      </c>
      <c r="F263" s="59">
        <f>IF(N($AL263)&gt;0,INDEX(rLim_ADM,$AL263),"")</f>
        <v/>
      </c>
      <c r="G263" s="59" t="n"/>
      <c r="H263" s="60" t="n"/>
      <c r="I263" s="60" t="n"/>
      <c r="J263" s="60" t="n"/>
      <c r="K263" s="60" t="n"/>
      <c r="L263" s="60" t="n"/>
      <c r="M263" s="61">
        <f>IF(NOT((COUNTA($B263:$D263)+COUNTA($G263:$L263)+COUNTA($Q263))&gt;0),"",IF(ISNUMBER($G263),1,IF(N($W263)&gt;0,AVERAGEIFS($X$5:$X$1000,$U$5:$U$1000,ROW(),$V$5:$V$1000,"Sub"),$X263)))</f>
        <v/>
      </c>
      <c r="N263" s="56">
        <f>IF($M263="","",IF($M263&gt;=1,"Completado",IF($M263&gt;0,"En curso","Pendiente")))</f>
        <v/>
      </c>
      <c r="O263" s="56">
        <f>IF(NOT((COUNTA($B263:$D263)+COUNTA($G263:$L263)+COUNTA($Q263))&gt;0),"",IF(ISNUMBER($G263),IF(AND(ISNUMBER($AN263),$G263&gt;$AN263),"Cumplida con "&amp;($G263-$AN263)&amp;IF($G263-$AN263=1," día"," días")&amp;" de retraso","Cumplida"),IF(N($M263)&gt;=1,"Cumplida",IF(NOT(ISNUMBER($AN263)),"Sin fecha límite",IF($AN263&lt;FechaRef,"Vencida hace "&amp;(FechaRef-$AN263)&amp;IF(FechaRef-$AN263=1," día"," días"),IF($AN263=FechaRef,"Vence hoy",IF($AN263-FechaRef&lt;=DiasAlerta,"Vence en "&amp;($AN263-FechaRef)&amp;IF($AN263-FechaRef=1," día"," días"),"En plazo")))))))</f>
        <v/>
      </c>
      <c r="P263" s="62" t="n"/>
      <c r="Q263" s="58" t="n"/>
      <c r="R263" s="63">
        <f>IF(NOT((COUNTA($B263:$D263)+COUNTA($G263:$L263)+COUNTA($Q263))&gt;0),"",IF((IF($C263="","Falta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",""))="","✔ OK","⚠ "&amp;LEFT(IF($C263="","Falta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",""),LEN(IF($C263="","Falta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",""))-3)))</f>
        <v/>
      </c>
      <c r="S263" s="64">
        <f>IF(NOT((COUNTA($B263:$D263)+COUNTA($G263:$L263)+COUNTA($Q263))&gt;0),"",IF(AND($V263="Sub",N($U263)&gt;0),IF(ISNUMBER(INDEX($AM$5:$AM$1000,$U263-4)),DATE(YEAR(INDEX($AM$5:$AM$1000,$U263-4)),MONTH(INDEX($AM$5:$AM$1000,$U263-4)),1),IF(ISNUMBER(INDEX($AN$5:$AN$1000,$U263-4)),DATE(YEAR(INDEX($AN$5:$AN$1000,$U263-4)),MONTH(INDEX($AN$5:$AN$1000,$U263-4)),1),MesCiclo)),IF(ISNUMBER($AM263),DATE(YEAR($AM263),MONTH($AM263),1),IF(ISNUMBER($AN263),DATE(YEAR($AN263),MONTH($AN263),1),MesCiclo))))</f>
        <v/>
      </c>
      <c r="T263" s="62">
        <f>IF(OR($S263="",$S263&lt;&gt;MesCiclo),"",COUNTIF($S$5:$S263,MesCiclo))</f>
        <v/>
      </c>
      <c r="U263" s="62">
        <f>IF($V263="","",IF($V263="Macro",ROW(),IFERROR(LOOKUP(2,1/($V$5:$V263="Macro"),ROW($V$5:$V263)),0)))</f>
        <v/>
      </c>
      <c r="V263" s="62">
        <f>IF(NOT((COUNTA($B263:$D263)+COUNTA($G263:$L263)+COUNTA($Q263))&gt;0),"",IF($B263="Subactividad","Sub","Macro"))</f>
        <v/>
      </c>
      <c r="W263" s="62">
        <f>IF($V263="Macro",COUNTIFS($U$5:$U$1000,ROW(),$V$5:$V$1000,"Sub"),"")</f>
        <v/>
      </c>
      <c r="X263" s="62">
        <f>IF($V263="","",IF(ISNUMBER($G263),1,IFERROR(LOOKUP(2,1/($I263:$L263&lt;&gt;""),$I263:$L263),0)))</f>
        <v/>
      </c>
      <c r="Y263" s="62">
        <f>IF($V263="","",IF(AND(ISNUMBER($G263),$G263&lt;=IF($S263=MesCiclo,InicioCiclo,$S263+MOD(2-WEEKDAY($S263),7))+6),1,IF(ISNUMBER($I263),$I263,0)))</f>
        <v/>
      </c>
      <c r="Z263" s="62">
        <f>IF($V263="","",IF(AND(ISNUMBER($G263),$G263&lt;=IF($S263=MesCiclo,InicioCiclo,$S263+MOD(2-WEEKDAY($S263),7))+13),1,IF(ISNUMBER($J263),$J263,$Y263)))</f>
        <v/>
      </c>
      <c r="AA263" s="62">
        <f>IF($V263="","",IF(AND(ISNUMBER($G263),$G263&lt;=IF($S263=MesCiclo,InicioCiclo,$S263+MOD(2-WEEKDAY($S263),7))+20),1,IF(ISNUMBER($K263),$K263,$Z263)))</f>
        <v/>
      </c>
      <c r="AB263" s="62">
        <f>IF($V263="","",IF(AND(ISNUMBER($G263),$G263&lt;=IF($S263=MesCiclo,InicioCiclo,$S263+MOD(2-WEEKDAY($S263),7))+27),1,IF(ISNUMBER($L263),$L263,$AA263)))</f>
        <v/>
      </c>
      <c r="AC263" s="62">
        <f>IF($V263="","",IF(AND(ISNUMBER($G263),$G263&lt;=IF($S263=MesCiclo,InicioCiclo,$S263+MOD(2-WEEKDAY($S263),7))+6),1,IF(N($W263)&gt;0,AVERAGEIFS($Y$5:$Y$1000,$U$5:$U$1000,ROW(),$V$5:$V$1000,"Sub"),$Y263)))</f>
        <v/>
      </c>
      <c r="AD263" s="62">
        <f>IF($V263="","",IF(AND(ISNUMBER($G263),$G263&lt;=IF($S263=MesCiclo,InicioCiclo,$S263+MOD(2-WEEKDAY($S263),7))+13),1,IF(N($W263)&gt;0,AVERAGEIFS($Z$5:$Z$1000,$U$5:$U$1000,ROW(),$V$5:$V$1000,"Sub"),$Z263)))</f>
        <v/>
      </c>
      <c r="AE263" s="62">
        <f>IF($V263="","",IF(AND(ISNUMBER($G263),$G263&lt;=IF($S263=MesCiclo,InicioCiclo,$S263+MOD(2-WEEKDAY($S263),7))+20),1,IF(N($W263)&gt;0,AVERAGEIFS($AA$5:$AA$1000,$U$5:$U$1000,ROW(),$V$5:$V$1000,"Sub"),$AA263)))</f>
        <v/>
      </c>
      <c r="AF263" s="62">
        <f>IF($V263="","",IF(AND(ISNUMBER($G263),$G263&lt;=IF($S263=MesCiclo,InicioCiclo,$S263+MOD(2-WEEKDAY($S263),7))+27),1,IF(N($W263)&gt;0,AVERAGEIFS($AB$5:$AB$1000,$U$5:$U$1000,ROW(),$V$5:$V$1000,"Sub"),$AB263)))</f>
        <v/>
      </c>
      <c r="AG263" s="62">
        <f>IF($V263&lt;&gt;"Macro","",IF(COUNTIFS($S$5:$S$1000,$S263,$V$5:$V$1000,"Macro",$H$5:$H$1000,"&gt;0")=0,1/COUNTIFS($S$5:$S$1000,$S263,$V$5:$V$1000,"Macro"),IF(AND(ISNUMBER($H263),N($H263)&gt;0),$H263,SUMIFS($H$5:$H$1000,$S$5:$S$1000,$S263,$V$5:$V$1000,"Macro")/COUNTIFS($S$5:$S$1000,$S263,$V$5:$V$1000,"Macro",$H$5:$H$1000,"&gt;0"))/(COUNTIFS($S$5:$S$1000,$S263,$V$5:$V$1000,"Macro")*SUMIFS($H$5:$H$1000,$S$5:$S$1000,$S263,$V$5:$V$1000,"Macro")/COUNTIFS($S$5:$S$1000,$S263,$V$5:$V$1000,"Macro",$H$5:$H$1000,"&gt;0"))))</f>
        <v/>
      </c>
      <c r="AH263" s="62" t="n"/>
      <c r="AI263" s="62" t="n"/>
      <c r="AJ263" s="62" t="n"/>
      <c r="AK263" s="62" t="n"/>
      <c r="AL263" s="62">
        <f>IF(LEFT($C263,11)="[Jefatura] ",IFERROR(MATCH("Riesgo Operacional|"&amp;MID($C263,12,500),rDname_ADM,0),0),"")</f>
        <v/>
      </c>
      <c r="AM263" s="62">
        <f>IF(N($AL263)&gt;0,INDEX(rIni_ADM,$AL263),IF(ISNUMBER($E263),$E263,""))</f>
        <v/>
      </c>
      <c r="AN263" s="62">
        <f>IF(N($AL263)&gt;0,INDEX(rLim_ADM,$AL263),IF(ISNUMBER($F263),$F263,""))</f>
        <v/>
      </c>
    </row>
    <row r="264">
      <c r="A264" s="56">
        <f>IF(NOT((COUNTA($B264:$D264)+COUNTA($G264:$L264)+COUNTA($Q264))&gt;0),"",IF($V264="Macro",COUNTIFS($V$5:$V264,"Macro",$S$5:$S264,$S264),IF(N($U264)=0,"?",COUNTIFS(INDEX($V$5:$V$1000,1):INDEX($V$5:$V$1000,$U264-4),"Macro",INDEX($S$5:$S$1000,1):INDEX($S$5:$S$1000,$U264-4),INDEX($S$5:$S$1000,$U264-4))&amp;"."&amp;COUNTIFS($U$5:$U264,$U264,$V$5:$V264,"Sub"))))</f>
        <v/>
      </c>
      <c r="B264" s="57" t="n"/>
      <c r="C264" s="58" t="n"/>
      <c r="D264" s="58" t="n"/>
      <c r="E264" s="59">
        <f>IF(N($AL264)&gt;0,INDEX(rIni_ADM,$AL264),"")</f>
        <v/>
      </c>
      <c r="F264" s="59">
        <f>IF(N($AL264)&gt;0,INDEX(rLim_ADM,$AL264),"")</f>
        <v/>
      </c>
      <c r="G264" s="59" t="n"/>
      <c r="H264" s="60" t="n"/>
      <c r="I264" s="60" t="n"/>
      <c r="J264" s="60" t="n"/>
      <c r="K264" s="60" t="n"/>
      <c r="L264" s="60" t="n"/>
      <c r="M264" s="61">
        <f>IF(NOT((COUNTA($B264:$D264)+COUNTA($G264:$L264)+COUNTA($Q264))&gt;0),"",IF(ISNUMBER($G264),1,IF(N($W264)&gt;0,AVERAGEIFS($X$5:$X$1000,$U$5:$U$1000,ROW(),$V$5:$V$1000,"Sub"),$X264)))</f>
        <v/>
      </c>
      <c r="N264" s="56">
        <f>IF($M264="","",IF($M264&gt;=1,"Completado",IF($M264&gt;0,"En curso","Pendiente")))</f>
        <v/>
      </c>
      <c r="O264" s="56">
        <f>IF(NOT((COUNTA($B264:$D264)+COUNTA($G264:$L264)+COUNTA($Q264))&gt;0),"",IF(ISNUMBER($G264),IF(AND(ISNUMBER($AN264),$G264&gt;$AN264),"Cumplida con "&amp;($G264-$AN264)&amp;IF($G264-$AN264=1," día"," días")&amp;" de retraso","Cumplida"),IF(N($M264)&gt;=1,"Cumplida",IF(NOT(ISNUMBER($AN264)),"Sin fecha límite",IF($AN264&lt;FechaRef,"Vencida hace "&amp;(FechaRef-$AN264)&amp;IF(FechaRef-$AN264=1," día"," días"),IF($AN264=FechaRef,"Vence hoy",IF($AN264-FechaRef&lt;=DiasAlerta,"Vence en "&amp;($AN264-FechaRef)&amp;IF($AN264-FechaRef=1," día"," días"),"En plazo")))))))</f>
        <v/>
      </c>
      <c r="P264" s="62" t="n"/>
      <c r="Q264" s="58" t="n"/>
      <c r="R264" s="63">
        <f>IF(NOT((COUNTA($B264:$D264)+COUNTA($G264:$L264)+COUNTA($Q264))&gt;0),"",IF((IF($C264="","Falta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",""))="","✔ OK","⚠ "&amp;LEFT(IF($C264="","Falta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",""),LEN(IF($C264="","Falta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",""))-3)))</f>
        <v/>
      </c>
      <c r="S264" s="64">
        <f>IF(NOT((COUNTA($B264:$D264)+COUNTA($G264:$L264)+COUNTA($Q264))&gt;0),"",IF(AND($V264="Sub",N($U264)&gt;0),IF(ISNUMBER(INDEX($AM$5:$AM$1000,$U264-4)),DATE(YEAR(INDEX($AM$5:$AM$1000,$U264-4)),MONTH(INDEX($AM$5:$AM$1000,$U264-4)),1),IF(ISNUMBER(INDEX($AN$5:$AN$1000,$U264-4)),DATE(YEAR(INDEX($AN$5:$AN$1000,$U264-4)),MONTH(INDEX($AN$5:$AN$1000,$U264-4)),1),MesCiclo)),IF(ISNUMBER($AM264),DATE(YEAR($AM264),MONTH($AM264),1),IF(ISNUMBER($AN264),DATE(YEAR($AN264),MONTH($AN264),1),MesCiclo))))</f>
        <v/>
      </c>
      <c r="T264" s="62">
        <f>IF(OR($S264="",$S264&lt;&gt;MesCiclo),"",COUNTIF($S$5:$S264,MesCiclo))</f>
        <v/>
      </c>
      <c r="U264" s="62">
        <f>IF($V264="","",IF($V264="Macro",ROW(),IFERROR(LOOKUP(2,1/($V$5:$V264="Macro"),ROW($V$5:$V264)),0)))</f>
        <v/>
      </c>
      <c r="V264" s="62">
        <f>IF(NOT((COUNTA($B264:$D264)+COUNTA($G264:$L264)+COUNTA($Q264))&gt;0),"",IF($B264="Subactividad","Sub","Macro"))</f>
        <v/>
      </c>
      <c r="W264" s="62">
        <f>IF($V264="Macro",COUNTIFS($U$5:$U$1000,ROW(),$V$5:$V$1000,"Sub"),"")</f>
        <v/>
      </c>
      <c r="X264" s="62">
        <f>IF($V264="","",IF(ISNUMBER($G264),1,IFERROR(LOOKUP(2,1/($I264:$L264&lt;&gt;""),$I264:$L264),0)))</f>
        <v/>
      </c>
      <c r="Y264" s="62">
        <f>IF($V264="","",IF(AND(ISNUMBER($G264),$G264&lt;=IF($S264=MesCiclo,InicioCiclo,$S264+MOD(2-WEEKDAY($S264),7))+6),1,IF(ISNUMBER($I264),$I264,0)))</f>
        <v/>
      </c>
      <c r="Z264" s="62">
        <f>IF($V264="","",IF(AND(ISNUMBER($G264),$G264&lt;=IF($S264=MesCiclo,InicioCiclo,$S264+MOD(2-WEEKDAY($S264),7))+13),1,IF(ISNUMBER($J264),$J264,$Y264)))</f>
        <v/>
      </c>
      <c r="AA264" s="62">
        <f>IF($V264="","",IF(AND(ISNUMBER($G264),$G264&lt;=IF($S264=MesCiclo,InicioCiclo,$S264+MOD(2-WEEKDAY($S264),7))+20),1,IF(ISNUMBER($K264),$K264,$Z264)))</f>
        <v/>
      </c>
      <c r="AB264" s="62">
        <f>IF($V264="","",IF(AND(ISNUMBER($G264),$G264&lt;=IF($S264=MesCiclo,InicioCiclo,$S264+MOD(2-WEEKDAY($S264),7))+27),1,IF(ISNUMBER($L264),$L264,$AA264)))</f>
        <v/>
      </c>
      <c r="AC264" s="62">
        <f>IF($V264="","",IF(AND(ISNUMBER($G264),$G264&lt;=IF($S264=MesCiclo,InicioCiclo,$S264+MOD(2-WEEKDAY($S264),7))+6),1,IF(N($W264)&gt;0,AVERAGEIFS($Y$5:$Y$1000,$U$5:$U$1000,ROW(),$V$5:$V$1000,"Sub"),$Y264)))</f>
        <v/>
      </c>
      <c r="AD264" s="62">
        <f>IF($V264="","",IF(AND(ISNUMBER($G264),$G264&lt;=IF($S264=MesCiclo,InicioCiclo,$S264+MOD(2-WEEKDAY($S264),7))+13),1,IF(N($W264)&gt;0,AVERAGEIFS($Z$5:$Z$1000,$U$5:$U$1000,ROW(),$V$5:$V$1000,"Sub"),$Z264)))</f>
        <v/>
      </c>
      <c r="AE264" s="62">
        <f>IF($V264="","",IF(AND(ISNUMBER($G264),$G264&lt;=IF($S264=MesCiclo,InicioCiclo,$S264+MOD(2-WEEKDAY($S264),7))+20),1,IF(N($W264)&gt;0,AVERAGEIFS($AA$5:$AA$1000,$U$5:$U$1000,ROW(),$V$5:$V$1000,"Sub"),$AA264)))</f>
        <v/>
      </c>
      <c r="AF264" s="62">
        <f>IF($V264="","",IF(AND(ISNUMBER($G264),$G264&lt;=IF($S264=MesCiclo,InicioCiclo,$S264+MOD(2-WEEKDAY($S264),7))+27),1,IF(N($W264)&gt;0,AVERAGEIFS($AB$5:$AB$1000,$U$5:$U$1000,ROW(),$V$5:$V$1000,"Sub"),$AB264)))</f>
        <v/>
      </c>
      <c r="AG264" s="62">
        <f>IF($V264&lt;&gt;"Macro","",IF(COUNTIFS($S$5:$S$1000,$S264,$V$5:$V$1000,"Macro",$H$5:$H$1000,"&gt;0")=0,1/COUNTIFS($S$5:$S$1000,$S264,$V$5:$V$1000,"Macro"),IF(AND(ISNUMBER($H264),N($H264)&gt;0),$H264,SUMIFS($H$5:$H$1000,$S$5:$S$1000,$S264,$V$5:$V$1000,"Macro")/COUNTIFS($S$5:$S$1000,$S264,$V$5:$V$1000,"Macro",$H$5:$H$1000,"&gt;0"))/(COUNTIFS($S$5:$S$1000,$S264,$V$5:$V$1000,"Macro")*SUMIFS($H$5:$H$1000,$S$5:$S$1000,$S264,$V$5:$V$1000,"Macro")/COUNTIFS($S$5:$S$1000,$S264,$V$5:$V$1000,"Macro",$H$5:$H$1000,"&gt;0"))))</f>
        <v/>
      </c>
      <c r="AH264" s="62" t="n"/>
      <c r="AI264" s="62" t="n"/>
      <c r="AJ264" s="62" t="n"/>
      <c r="AK264" s="62" t="n"/>
      <c r="AL264" s="62">
        <f>IF(LEFT($C264,11)="[Jefatura] ",IFERROR(MATCH("Riesgo Operacional|"&amp;MID($C264,12,500),rDname_ADM,0),0),"")</f>
        <v/>
      </c>
      <c r="AM264" s="62">
        <f>IF(N($AL264)&gt;0,INDEX(rIni_ADM,$AL264),IF(ISNUMBER($E264),$E264,""))</f>
        <v/>
      </c>
      <c r="AN264" s="62">
        <f>IF(N($AL264)&gt;0,INDEX(rLim_ADM,$AL264),IF(ISNUMBER($F264),$F264,""))</f>
        <v/>
      </c>
    </row>
    <row r="265">
      <c r="A265" s="56">
        <f>IF(NOT((COUNTA($B265:$D265)+COUNTA($G265:$L265)+COUNTA($Q265))&gt;0),"",IF($V265="Macro",COUNTIFS($V$5:$V265,"Macro",$S$5:$S265,$S265),IF(N($U265)=0,"?",COUNTIFS(INDEX($V$5:$V$1000,1):INDEX($V$5:$V$1000,$U265-4),"Macro",INDEX($S$5:$S$1000,1):INDEX($S$5:$S$1000,$U265-4),INDEX($S$5:$S$1000,$U265-4))&amp;"."&amp;COUNTIFS($U$5:$U265,$U265,$V$5:$V265,"Sub"))))</f>
        <v/>
      </c>
      <c r="B265" s="57" t="n"/>
      <c r="C265" s="58" t="n"/>
      <c r="D265" s="58" t="n"/>
      <c r="E265" s="59">
        <f>IF(N($AL265)&gt;0,INDEX(rIni_ADM,$AL265),"")</f>
        <v/>
      </c>
      <c r="F265" s="59">
        <f>IF(N($AL265)&gt;0,INDEX(rLim_ADM,$AL265),"")</f>
        <v/>
      </c>
      <c r="G265" s="59" t="n"/>
      <c r="H265" s="60" t="n"/>
      <c r="I265" s="60" t="n"/>
      <c r="J265" s="60" t="n"/>
      <c r="K265" s="60" t="n"/>
      <c r="L265" s="60" t="n"/>
      <c r="M265" s="61">
        <f>IF(NOT((COUNTA($B265:$D265)+COUNTA($G265:$L265)+COUNTA($Q265))&gt;0),"",IF(ISNUMBER($G265),1,IF(N($W265)&gt;0,AVERAGEIFS($X$5:$X$1000,$U$5:$U$1000,ROW(),$V$5:$V$1000,"Sub"),$X265)))</f>
        <v/>
      </c>
      <c r="N265" s="56">
        <f>IF($M265="","",IF($M265&gt;=1,"Completado",IF($M265&gt;0,"En curso","Pendiente")))</f>
        <v/>
      </c>
      <c r="O265" s="56">
        <f>IF(NOT((COUNTA($B265:$D265)+COUNTA($G265:$L265)+COUNTA($Q265))&gt;0),"",IF(ISNUMBER($G265),IF(AND(ISNUMBER($AN265),$G265&gt;$AN265),"Cumplida con "&amp;($G265-$AN265)&amp;IF($G265-$AN265=1," día"," días")&amp;" de retraso","Cumplida"),IF(N($M265)&gt;=1,"Cumplida",IF(NOT(ISNUMBER($AN265)),"Sin fecha límite",IF($AN265&lt;FechaRef,"Vencida hace "&amp;(FechaRef-$AN265)&amp;IF(FechaRef-$AN265=1," día"," días"),IF($AN265=FechaRef,"Vence hoy",IF($AN265-FechaRef&lt;=DiasAlerta,"Vence en "&amp;($AN265-FechaRef)&amp;IF($AN265-FechaRef=1," día"," días"),"En plazo")))))))</f>
        <v/>
      </c>
      <c r="P265" s="62" t="n"/>
      <c r="Q265" s="58" t="n"/>
      <c r="R265" s="63">
        <f>IF(NOT((COUNTA($B265:$D265)+COUNTA($G265:$L265)+COUNTA($Q265))&gt;0),"",IF((IF($C265="","Falta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",""))="","✔ OK","⚠ "&amp;LEFT(IF($C265="","Falta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",""),LEN(IF($C265="","Falta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",""))-3)))</f>
        <v/>
      </c>
      <c r="S265" s="64">
        <f>IF(NOT((COUNTA($B265:$D265)+COUNTA($G265:$L265)+COUNTA($Q265))&gt;0),"",IF(AND($V265="Sub",N($U265)&gt;0),IF(ISNUMBER(INDEX($AM$5:$AM$1000,$U265-4)),DATE(YEAR(INDEX($AM$5:$AM$1000,$U265-4)),MONTH(INDEX($AM$5:$AM$1000,$U265-4)),1),IF(ISNUMBER(INDEX($AN$5:$AN$1000,$U265-4)),DATE(YEAR(INDEX($AN$5:$AN$1000,$U265-4)),MONTH(INDEX($AN$5:$AN$1000,$U265-4)),1),MesCiclo)),IF(ISNUMBER($AM265),DATE(YEAR($AM265),MONTH($AM265),1),IF(ISNUMBER($AN265),DATE(YEAR($AN265),MONTH($AN265),1),MesCiclo))))</f>
        <v/>
      </c>
      <c r="T265" s="62">
        <f>IF(OR($S265="",$S265&lt;&gt;MesCiclo),"",COUNTIF($S$5:$S265,MesCiclo))</f>
        <v/>
      </c>
      <c r="U265" s="62">
        <f>IF($V265="","",IF($V265="Macro",ROW(),IFERROR(LOOKUP(2,1/($V$5:$V265="Macro"),ROW($V$5:$V265)),0)))</f>
        <v/>
      </c>
      <c r="V265" s="62">
        <f>IF(NOT((COUNTA($B265:$D265)+COUNTA($G265:$L265)+COUNTA($Q265))&gt;0),"",IF($B265="Subactividad","Sub","Macro"))</f>
        <v/>
      </c>
      <c r="W265" s="62">
        <f>IF($V265="Macro",COUNTIFS($U$5:$U$1000,ROW(),$V$5:$V$1000,"Sub"),"")</f>
        <v/>
      </c>
      <c r="X265" s="62">
        <f>IF($V265="","",IF(ISNUMBER($G265),1,IFERROR(LOOKUP(2,1/($I265:$L265&lt;&gt;""),$I265:$L265),0)))</f>
        <v/>
      </c>
      <c r="Y265" s="62">
        <f>IF($V265="","",IF(AND(ISNUMBER($G265),$G265&lt;=IF($S265=MesCiclo,InicioCiclo,$S265+MOD(2-WEEKDAY($S265),7))+6),1,IF(ISNUMBER($I265),$I265,0)))</f>
        <v/>
      </c>
      <c r="Z265" s="62">
        <f>IF($V265="","",IF(AND(ISNUMBER($G265),$G265&lt;=IF($S265=MesCiclo,InicioCiclo,$S265+MOD(2-WEEKDAY($S265),7))+13),1,IF(ISNUMBER($J265),$J265,$Y265)))</f>
        <v/>
      </c>
      <c r="AA265" s="62">
        <f>IF($V265="","",IF(AND(ISNUMBER($G265),$G265&lt;=IF($S265=MesCiclo,InicioCiclo,$S265+MOD(2-WEEKDAY($S265),7))+20),1,IF(ISNUMBER($K265),$K265,$Z265)))</f>
        <v/>
      </c>
      <c r="AB265" s="62">
        <f>IF($V265="","",IF(AND(ISNUMBER($G265),$G265&lt;=IF($S265=MesCiclo,InicioCiclo,$S265+MOD(2-WEEKDAY($S265),7))+27),1,IF(ISNUMBER($L265),$L265,$AA265)))</f>
        <v/>
      </c>
      <c r="AC265" s="62">
        <f>IF($V265="","",IF(AND(ISNUMBER($G265),$G265&lt;=IF($S265=MesCiclo,InicioCiclo,$S265+MOD(2-WEEKDAY($S265),7))+6),1,IF(N($W265)&gt;0,AVERAGEIFS($Y$5:$Y$1000,$U$5:$U$1000,ROW(),$V$5:$V$1000,"Sub"),$Y265)))</f>
        <v/>
      </c>
      <c r="AD265" s="62">
        <f>IF($V265="","",IF(AND(ISNUMBER($G265),$G265&lt;=IF($S265=MesCiclo,InicioCiclo,$S265+MOD(2-WEEKDAY($S265),7))+13),1,IF(N($W265)&gt;0,AVERAGEIFS($Z$5:$Z$1000,$U$5:$U$1000,ROW(),$V$5:$V$1000,"Sub"),$Z265)))</f>
        <v/>
      </c>
      <c r="AE265" s="62">
        <f>IF($V265="","",IF(AND(ISNUMBER($G265),$G265&lt;=IF($S265=MesCiclo,InicioCiclo,$S265+MOD(2-WEEKDAY($S265),7))+20),1,IF(N($W265)&gt;0,AVERAGEIFS($AA$5:$AA$1000,$U$5:$U$1000,ROW(),$V$5:$V$1000,"Sub"),$AA265)))</f>
        <v/>
      </c>
      <c r="AF265" s="62">
        <f>IF($V265="","",IF(AND(ISNUMBER($G265),$G265&lt;=IF($S265=MesCiclo,InicioCiclo,$S265+MOD(2-WEEKDAY($S265),7))+27),1,IF(N($W265)&gt;0,AVERAGEIFS($AB$5:$AB$1000,$U$5:$U$1000,ROW(),$V$5:$V$1000,"Sub"),$AB265)))</f>
        <v/>
      </c>
      <c r="AG265" s="62">
        <f>IF($V265&lt;&gt;"Macro","",IF(COUNTIFS($S$5:$S$1000,$S265,$V$5:$V$1000,"Macro",$H$5:$H$1000,"&gt;0")=0,1/COUNTIFS($S$5:$S$1000,$S265,$V$5:$V$1000,"Macro"),IF(AND(ISNUMBER($H265),N($H265)&gt;0),$H265,SUMIFS($H$5:$H$1000,$S$5:$S$1000,$S265,$V$5:$V$1000,"Macro")/COUNTIFS($S$5:$S$1000,$S265,$V$5:$V$1000,"Macro",$H$5:$H$1000,"&gt;0"))/(COUNTIFS($S$5:$S$1000,$S265,$V$5:$V$1000,"Macro")*SUMIFS($H$5:$H$1000,$S$5:$S$1000,$S265,$V$5:$V$1000,"Macro")/COUNTIFS($S$5:$S$1000,$S265,$V$5:$V$1000,"Macro",$H$5:$H$1000,"&gt;0"))))</f>
        <v/>
      </c>
      <c r="AH265" s="62" t="n"/>
      <c r="AI265" s="62" t="n"/>
      <c r="AJ265" s="62" t="n"/>
      <c r="AK265" s="62" t="n"/>
      <c r="AL265" s="62">
        <f>IF(LEFT($C265,11)="[Jefatura] ",IFERROR(MATCH("Riesgo Operacional|"&amp;MID($C265,12,500),rDname_ADM,0),0),"")</f>
        <v/>
      </c>
      <c r="AM265" s="62">
        <f>IF(N($AL265)&gt;0,INDEX(rIni_ADM,$AL265),IF(ISNUMBER($E265),$E265,""))</f>
        <v/>
      </c>
      <c r="AN265" s="62">
        <f>IF(N($AL265)&gt;0,INDEX(rLim_ADM,$AL265),IF(ISNUMBER($F265),$F265,""))</f>
        <v/>
      </c>
    </row>
    <row r="266">
      <c r="A266" s="56">
        <f>IF(NOT((COUNTA($B266:$D266)+COUNTA($G266:$L266)+COUNTA($Q266))&gt;0),"",IF($V266="Macro",COUNTIFS($V$5:$V266,"Macro",$S$5:$S266,$S266),IF(N($U266)=0,"?",COUNTIFS(INDEX($V$5:$V$1000,1):INDEX($V$5:$V$1000,$U266-4),"Macro",INDEX($S$5:$S$1000,1):INDEX($S$5:$S$1000,$U266-4),INDEX($S$5:$S$1000,$U266-4))&amp;"."&amp;COUNTIFS($U$5:$U266,$U266,$V$5:$V266,"Sub"))))</f>
        <v/>
      </c>
      <c r="B266" s="57" t="n"/>
      <c r="C266" s="58" t="n"/>
      <c r="D266" s="58" t="n"/>
      <c r="E266" s="59">
        <f>IF(N($AL266)&gt;0,INDEX(rIni_ADM,$AL266),"")</f>
        <v/>
      </c>
      <c r="F266" s="59">
        <f>IF(N($AL266)&gt;0,INDEX(rLim_ADM,$AL266),"")</f>
        <v/>
      </c>
      <c r="G266" s="59" t="n"/>
      <c r="H266" s="60" t="n"/>
      <c r="I266" s="60" t="n"/>
      <c r="J266" s="60" t="n"/>
      <c r="K266" s="60" t="n"/>
      <c r="L266" s="60" t="n"/>
      <c r="M266" s="61">
        <f>IF(NOT((COUNTA($B266:$D266)+COUNTA($G266:$L266)+COUNTA($Q266))&gt;0),"",IF(ISNUMBER($G266),1,IF(N($W266)&gt;0,AVERAGEIFS($X$5:$X$1000,$U$5:$U$1000,ROW(),$V$5:$V$1000,"Sub"),$X266)))</f>
        <v/>
      </c>
      <c r="N266" s="56">
        <f>IF($M266="","",IF($M266&gt;=1,"Completado",IF($M266&gt;0,"En curso","Pendiente")))</f>
        <v/>
      </c>
      <c r="O266" s="56">
        <f>IF(NOT((COUNTA($B266:$D266)+COUNTA($G266:$L266)+COUNTA($Q266))&gt;0),"",IF(ISNUMBER($G266),IF(AND(ISNUMBER($AN266),$G266&gt;$AN266),"Cumplida con "&amp;($G266-$AN266)&amp;IF($G266-$AN266=1," día"," días")&amp;" de retraso","Cumplida"),IF(N($M266)&gt;=1,"Cumplida",IF(NOT(ISNUMBER($AN266)),"Sin fecha límite",IF($AN266&lt;FechaRef,"Vencida hace "&amp;(FechaRef-$AN266)&amp;IF(FechaRef-$AN266=1," día"," días"),IF($AN266=FechaRef,"Vence hoy",IF($AN266-FechaRef&lt;=DiasAlerta,"Vence en "&amp;($AN266-FechaRef)&amp;IF($AN266-FechaRef=1," día"," días"),"En plazo")))))))</f>
        <v/>
      </c>
      <c r="P266" s="62" t="n"/>
      <c r="Q266" s="58" t="n"/>
      <c r="R266" s="63">
        <f>IF(NOT((COUNTA($B266:$D266)+COUNTA($G266:$L266)+COUNTA($Q266))&gt;0),"",IF((IF($C266="","Falta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",""))="","✔ OK","⚠ "&amp;LEFT(IF($C266="","Falta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",""),LEN(IF($C266="","Falta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",""))-3)))</f>
        <v/>
      </c>
      <c r="S266" s="64">
        <f>IF(NOT((COUNTA($B266:$D266)+COUNTA($G266:$L266)+COUNTA($Q266))&gt;0),"",IF(AND($V266="Sub",N($U266)&gt;0),IF(ISNUMBER(INDEX($AM$5:$AM$1000,$U266-4)),DATE(YEAR(INDEX($AM$5:$AM$1000,$U266-4)),MONTH(INDEX($AM$5:$AM$1000,$U266-4)),1),IF(ISNUMBER(INDEX($AN$5:$AN$1000,$U266-4)),DATE(YEAR(INDEX($AN$5:$AN$1000,$U266-4)),MONTH(INDEX($AN$5:$AN$1000,$U266-4)),1),MesCiclo)),IF(ISNUMBER($AM266),DATE(YEAR($AM266),MONTH($AM266),1),IF(ISNUMBER($AN266),DATE(YEAR($AN266),MONTH($AN266),1),MesCiclo))))</f>
        <v/>
      </c>
      <c r="T266" s="62">
        <f>IF(OR($S266="",$S266&lt;&gt;MesCiclo),"",COUNTIF($S$5:$S266,MesCiclo))</f>
        <v/>
      </c>
      <c r="U266" s="62">
        <f>IF($V266="","",IF($V266="Macro",ROW(),IFERROR(LOOKUP(2,1/($V$5:$V266="Macro"),ROW($V$5:$V266)),0)))</f>
        <v/>
      </c>
      <c r="V266" s="62">
        <f>IF(NOT((COUNTA($B266:$D266)+COUNTA($G266:$L266)+COUNTA($Q266))&gt;0),"",IF($B266="Subactividad","Sub","Macro"))</f>
        <v/>
      </c>
      <c r="W266" s="62">
        <f>IF($V266="Macro",COUNTIFS($U$5:$U$1000,ROW(),$V$5:$V$1000,"Sub"),"")</f>
        <v/>
      </c>
      <c r="X266" s="62">
        <f>IF($V266="","",IF(ISNUMBER($G266),1,IFERROR(LOOKUP(2,1/($I266:$L266&lt;&gt;""),$I266:$L266),0)))</f>
        <v/>
      </c>
      <c r="Y266" s="62">
        <f>IF($V266="","",IF(AND(ISNUMBER($G266),$G266&lt;=IF($S266=MesCiclo,InicioCiclo,$S266+MOD(2-WEEKDAY($S266),7))+6),1,IF(ISNUMBER($I266),$I266,0)))</f>
        <v/>
      </c>
      <c r="Z266" s="62">
        <f>IF($V266="","",IF(AND(ISNUMBER($G266),$G266&lt;=IF($S266=MesCiclo,InicioCiclo,$S266+MOD(2-WEEKDAY($S266),7))+13),1,IF(ISNUMBER($J266),$J266,$Y266)))</f>
        <v/>
      </c>
      <c r="AA266" s="62">
        <f>IF($V266="","",IF(AND(ISNUMBER($G266),$G266&lt;=IF($S266=MesCiclo,InicioCiclo,$S266+MOD(2-WEEKDAY($S266),7))+20),1,IF(ISNUMBER($K266),$K266,$Z266)))</f>
        <v/>
      </c>
      <c r="AB266" s="62">
        <f>IF($V266="","",IF(AND(ISNUMBER($G266),$G266&lt;=IF($S266=MesCiclo,InicioCiclo,$S266+MOD(2-WEEKDAY($S266),7))+27),1,IF(ISNUMBER($L266),$L266,$AA266)))</f>
        <v/>
      </c>
      <c r="AC266" s="62">
        <f>IF($V266="","",IF(AND(ISNUMBER($G266),$G266&lt;=IF($S266=MesCiclo,InicioCiclo,$S266+MOD(2-WEEKDAY($S266),7))+6),1,IF(N($W266)&gt;0,AVERAGEIFS($Y$5:$Y$1000,$U$5:$U$1000,ROW(),$V$5:$V$1000,"Sub"),$Y266)))</f>
        <v/>
      </c>
      <c r="AD266" s="62">
        <f>IF($V266="","",IF(AND(ISNUMBER($G266),$G266&lt;=IF($S266=MesCiclo,InicioCiclo,$S266+MOD(2-WEEKDAY($S266),7))+13),1,IF(N($W266)&gt;0,AVERAGEIFS($Z$5:$Z$1000,$U$5:$U$1000,ROW(),$V$5:$V$1000,"Sub"),$Z266)))</f>
        <v/>
      </c>
      <c r="AE266" s="62">
        <f>IF($V266="","",IF(AND(ISNUMBER($G266),$G266&lt;=IF($S266=MesCiclo,InicioCiclo,$S266+MOD(2-WEEKDAY($S266),7))+20),1,IF(N($W266)&gt;0,AVERAGEIFS($AA$5:$AA$1000,$U$5:$U$1000,ROW(),$V$5:$V$1000,"Sub"),$AA266)))</f>
        <v/>
      </c>
      <c r="AF266" s="62">
        <f>IF($V266="","",IF(AND(ISNUMBER($G266),$G266&lt;=IF($S266=MesCiclo,InicioCiclo,$S266+MOD(2-WEEKDAY($S266),7))+27),1,IF(N($W266)&gt;0,AVERAGEIFS($AB$5:$AB$1000,$U$5:$U$1000,ROW(),$V$5:$V$1000,"Sub"),$AB266)))</f>
        <v/>
      </c>
      <c r="AG266" s="62">
        <f>IF($V266&lt;&gt;"Macro","",IF(COUNTIFS($S$5:$S$1000,$S266,$V$5:$V$1000,"Macro",$H$5:$H$1000,"&gt;0")=0,1/COUNTIFS($S$5:$S$1000,$S266,$V$5:$V$1000,"Macro"),IF(AND(ISNUMBER($H266),N($H266)&gt;0),$H266,SUMIFS($H$5:$H$1000,$S$5:$S$1000,$S266,$V$5:$V$1000,"Macro")/COUNTIFS($S$5:$S$1000,$S266,$V$5:$V$1000,"Macro",$H$5:$H$1000,"&gt;0"))/(COUNTIFS($S$5:$S$1000,$S266,$V$5:$V$1000,"Macro")*SUMIFS($H$5:$H$1000,$S$5:$S$1000,$S266,$V$5:$V$1000,"Macro")/COUNTIFS($S$5:$S$1000,$S266,$V$5:$V$1000,"Macro",$H$5:$H$1000,"&gt;0"))))</f>
        <v/>
      </c>
      <c r="AH266" s="62" t="n"/>
      <c r="AI266" s="62" t="n"/>
      <c r="AJ266" s="62" t="n"/>
      <c r="AK266" s="62" t="n"/>
      <c r="AL266" s="62">
        <f>IF(LEFT($C266,11)="[Jefatura] ",IFERROR(MATCH("Riesgo Operacional|"&amp;MID($C266,12,500),rDname_ADM,0),0),"")</f>
        <v/>
      </c>
      <c r="AM266" s="62">
        <f>IF(N($AL266)&gt;0,INDEX(rIni_ADM,$AL266),IF(ISNUMBER($E266),$E266,""))</f>
        <v/>
      </c>
      <c r="AN266" s="62">
        <f>IF(N($AL266)&gt;0,INDEX(rLim_ADM,$AL266),IF(ISNUMBER($F266),$F266,""))</f>
        <v/>
      </c>
    </row>
    <row r="267">
      <c r="A267" s="56">
        <f>IF(NOT((COUNTA($B267:$D267)+COUNTA($G267:$L267)+COUNTA($Q267))&gt;0),"",IF($V267="Macro",COUNTIFS($V$5:$V267,"Macro",$S$5:$S267,$S267),IF(N($U267)=0,"?",COUNTIFS(INDEX($V$5:$V$1000,1):INDEX($V$5:$V$1000,$U267-4),"Macro",INDEX($S$5:$S$1000,1):INDEX($S$5:$S$1000,$U267-4),INDEX($S$5:$S$1000,$U267-4))&amp;"."&amp;COUNTIFS($U$5:$U267,$U267,$V$5:$V267,"Sub"))))</f>
        <v/>
      </c>
      <c r="B267" s="57" t="n"/>
      <c r="C267" s="58" t="n"/>
      <c r="D267" s="58" t="n"/>
      <c r="E267" s="59">
        <f>IF(N($AL267)&gt;0,INDEX(rIni_ADM,$AL267),"")</f>
        <v/>
      </c>
      <c r="F267" s="59">
        <f>IF(N($AL267)&gt;0,INDEX(rLim_ADM,$AL267),"")</f>
        <v/>
      </c>
      <c r="G267" s="59" t="n"/>
      <c r="H267" s="60" t="n"/>
      <c r="I267" s="60" t="n"/>
      <c r="J267" s="60" t="n"/>
      <c r="K267" s="60" t="n"/>
      <c r="L267" s="60" t="n"/>
      <c r="M267" s="61">
        <f>IF(NOT((COUNTA($B267:$D267)+COUNTA($G267:$L267)+COUNTA($Q267))&gt;0),"",IF(ISNUMBER($G267),1,IF(N($W267)&gt;0,AVERAGEIFS($X$5:$X$1000,$U$5:$U$1000,ROW(),$V$5:$V$1000,"Sub"),$X267)))</f>
        <v/>
      </c>
      <c r="N267" s="56">
        <f>IF($M267="","",IF($M267&gt;=1,"Completado",IF($M267&gt;0,"En curso","Pendiente")))</f>
        <v/>
      </c>
      <c r="O267" s="56">
        <f>IF(NOT((COUNTA($B267:$D267)+COUNTA($G267:$L267)+COUNTA($Q267))&gt;0),"",IF(ISNUMBER($G267),IF(AND(ISNUMBER($AN267),$G267&gt;$AN267),"Cumplida con "&amp;($G267-$AN267)&amp;IF($G267-$AN267=1," día"," días")&amp;" de retraso","Cumplida"),IF(N($M267)&gt;=1,"Cumplida",IF(NOT(ISNUMBER($AN267)),"Sin fecha límite",IF($AN267&lt;FechaRef,"Vencida hace "&amp;(FechaRef-$AN267)&amp;IF(FechaRef-$AN267=1," día"," días"),IF($AN267=FechaRef,"Vence hoy",IF($AN267-FechaRef&lt;=DiasAlerta,"Vence en "&amp;($AN267-FechaRef)&amp;IF($AN267-FechaRef=1," día"," días"),"En plazo")))))))</f>
        <v/>
      </c>
      <c r="P267" s="62" t="n"/>
      <c r="Q267" s="58" t="n"/>
      <c r="R267" s="63">
        <f>IF(NOT((COUNTA($B267:$D267)+COUNTA($G267:$L267)+COUNTA($Q267))&gt;0),"",IF((IF($C267="","Falta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",""))="","✔ OK","⚠ "&amp;LEFT(IF($C267="","Falta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",""),LEN(IF($C267="","Falta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",""))-3)))</f>
        <v/>
      </c>
      <c r="S267" s="64">
        <f>IF(NOT((COUNTA($B267:$D267)+COUNTA($G267:$L267)+COUNTA($Q267))&gt;0),"",IF(AND($V267="Sub",N($U267)&gt;0),IF(ISNUMBER(INDEX($AM$5:$AM$1000,$U267-4)),DATE(YEAR(INDEX($AM$5:$AM$1000,$U267-4)),MONTH(INDEX($AM$5:$AM$1000,$U267-4)),1),IF(ISNUMBER(INDEX($AN$5:$AN$1000,$U267-4)),DATE(YEAR(INDEX($AN$5:$AN$1000,$U267-4)),MONTH(INDEX($AN$5:$AN$1000,$U267-4)),1),MesCiclo)),IF(ISNUMBER($AM267),DATE(YEAR($AM267),MONTH($AM267),1),IF(ISNUMBER($AN267),DATE(YEAR($AN267),MONTH($AN267),1),MesCiclo))))</f>
        <v/>
      </c>
      <c r="T267" s="62">
        <f>IF(OR($S267="",$S267&lt;&gt;MesCiclo),"",COUNTIF($S$5:$S267,MesCiclo))</f>
        <v/>
      </c>
      <c r="U267" s="62">
        <f>IF($V267="","",IF($V267="Macro",ROW(),IFERROR(LOOKUP(2,1/($V$5:$V267="Macro"),ROW($V$5:$V267)),0)))</f>
        <v/>
      </c>
      <c r="V267" s="62">
        <f>IF(NOT((COUNTA($B267:$D267)+COUNTA($G267:$L267)+COUNTA($Q267))&gt;0),"",IF($B267="Subactividad","Sub","Macro"))</f>
        <v/>
      </c>
      <c r="W267" s="62">
        <f>IF($V267="Macro",COUNTIFS($U$5:$U$1000,ROW(),$V$5:$V$1000,"Sub"),"")</f>
        <v/>
      </c>
      <c r="X267" s="62">
        <f>IF($V267="","",IF(ISNUMBER($G267),1,IFERROR(LOOKUP(2,1/($I267:$L267&lt;&gt;""),$I267:$L267),0)))</f>
        <v/>
      </c>
      <c r="Y267" s="62">
        <f>IF($V267="","",IF(AND(ISNUMBER($G267),$G267&lt;=IF($S267=MesCiclo,InicioCiclo,$S267+MOD(2-WEEKDAY($S267),7))+6),1,IF(ISNUMBER($I267),$I267,0)))</f>
        <v/>
      </c>
      <c r="Z267" s="62">
        <f>IF($V267="","",IF(AND(ISNUMBER($G267),$G267&lt;=IF($S267=MesCiclo,InicioCiclo,$S267+MOD(2-WEEKDAY($S267),7))+13),1,IF(ISNUMBER($J267),$J267,$Y267)))</f>
        <v/>
      </c>
      <c r="AA267" s="62">
        <f>IF($V267="","",IF(AND(ISNUMBER($G267),$G267&lt;=IF($S267=MesCiclo,InicioCiclo,$S267+MOD(2-WEEKDAY($S267),7))+20),1,IF(ISNUMBER($K267),$K267,$Z267)))</f>
        <v/>
      </c>
      <c r="AB267" s="62">
        <f>IF($V267="","",IF(AND(ISNUMBER($G267),$G267&lt;=IF($S267=MesCiclo,InicioCiclo,$S267+MOD(2-WEEKDAY($S267),7))+27),1,IF(ISNUMBER($L267),$L267,$AA267)))</f>
        <v/>
      </c>
      <c r="AC267" s="62">
        <f>IF($V267="","",IF(AND(ISNUMBER($G267),$G267&lt;=IF($S267=MesCiclo,InicioCiclo,$S267+MOD(2-WEEKDAY($S267),7))+6),1,IF(N($W267)&gt;0,AVERAGEIFS($Y$5:$Y$1000,$U$5:$U$1000,ROW(),$V$5:$V$1000,"Sub"),$Y267)))</f>
        <v/>
      </c>
      <c r="AD267" s="62">
        <f>IF($V267="","",IF(AND(ISNUMBER($G267),$G267&lt;=IF($S267=MesCiclo,InicioCiclo,$S267+MOD(2-WEEKDAY($S267),7))+13),1,IF(N($W267)&gt;0,AVERAGEIFS($Z$5:$Z$1000,$U$5:$U$1000,ROW(),$V$5:$V$1000,"Sub"),$Z267)))</f>
        <v/>
      </c>
      <c r="AE267" s="62">
        <f>IF($V267="","",IF(AND(ISNUMBER($G267),$G267&lt;=IF($S267=MesCiclo,InicioCiclo,$S267+MOD(2-WEEKDAY($S267),7))+20),1,IF(N($W267)&gt;0,AVERAGEIFS($AA$5:$AA$1000,$U$5:$U$1000,ROW(),$V$5:$V$1000,"Sub"),$AA267)))</f>
        <v/>
      </c>
      <c r="AF267" s="62">
        <f>IF($V267="","",IF(AND(ISNUMBER($G267),$G267&lt;=IF($S267=MesCiclo,InicioCiclo,$S267+MOD(2-WEEKDAY($S267),7))+27),1,IF(N($W267)&gt;0,AVERAGEIFS($AB$5:$AB$1000,$U$5:$U$1000,ROW(),$V$5:$V$1000,"Sub"),$AB267)))</f>
        <v/>
      </c>
      <c r="AG267" s="62">
        <f>IF($V267&lt;&gt;"Macro","",IF(COUNTIFS($S$5:$S$1000,$S267,$V$5:$V$1000,"Macro",$H$5:$H$1000,"&gt;0")=0,1/COUNTIFS($S$5:$S$1000,$S267,$V$5:$V$1000,"Macro"),IF(AND(ISNUMBER($H267),N($H267)&gt;0),$H267,SUMIFS($H$5:$H$1000,$S$5:$S$1000,$S267,$V$5:$V$1000,"Macro")/COUNTIFS($S$5:$S$1000,$S267,$V$5:$V$1000,"Macro",$H$5:$H$1000,"&gt;0"))/(COUNTIFS($S$5:$S$1000,$S267,$V$5:$V$1000,"Macro")*SUMIFS($H$5:$H$1000,$S$5:$S$1000,$S267,$V$5:$V$1000,"Macro")/COUNTIFS($S$5:$S$1000,$S267,$V$5:$V$1000,"Macro",$H$5:$H$1000,"&gt;0"))))</f>
        <v/>
      </c>
      <c r="AH267" s="62" t="n"/>
      <c r="AI267" s="62" t="n"/>
      <c r="AJ267" s="62" t="n"/>
      <c r="AK267" s="62" t="n"/>
      <c r="AL267" s="62">
        <f>IF(LEFT($C267,11)="[Jefatura] ",IFERROR(MATCH("Riesgo Operacional|"&amp;MID($C267,12,500),rDname_ADM,0),0),"")</f>
        <v/>
      </c>
      <c r="AM267" s="62">
        <f>IF(N($AL267)&gt;0,INDEX(rIni_ADM,$AL267),IF(ISNUMBER($E267),$E267,""))</f>
        <v/>
      </c>
      <c r="AN267" s="62">
        <f>IF(N($AL267)&gt;0,INDEX(rLim_ADM,$AL267),IF(ISNUMBER($F267),$F267,""))</f>
        <v/>
      </c>
    </row>
    <row r="268">
      <c r="A268" s="56">
        <f>IF(NOT((COUNTA($B268:$D268)+COUNTA($G268:$L268)+COUNTA($Q268))&gt;0),"",IF($V268="Macro",COUNTIFS($V$5:$V268,"Macro",$S$5:$S268,$S268),IF(N($U268)=0,"?",COUNTIFS(INDEX($V$5:$V$1000,1):INDEX($V$5:$V$1000,$U268-4),"Macro",INDEX($S$5:$S$1000,1):INDEX($S$5:$S$1000,$U268-4),INDEX($S$5:$S$1000,$U268-4))&amp;"."&amp;COUNTIFS($U$5:$U268,$U268,$V$5:$V268,"Sub"))))</f>
        <v/>
      </c>
      <c r="B268" s="57" t="n"/>
      <c r="C268" s="58" t="n"/>
      <c r="D268" s="58" t="n"/>
      <c r="E268" s="59">
        <f>IF(N($AL268)&gt;0,INDEX(rIni_ADM,$AL268),"")</f>
        <v/>
      </c>
      <c r="F268" s="59">
        <f>IF(N($AL268)&gt;0,INDEX(rLim_ADM,$AL268),"")</f>
        <v/>
      </c>
      <c r="G268" s="59" t="n"/>
      <c r="H268" s="60" t="n"/>
      <c r="I268" s="60" t="n"/>
      <c r="J268" s="60" t="n"/>
      <c r="K268" s="60" t="n"/>
      <c r="L268" s="60" t="n"/>
      <c r="M268" s="61">
        <f>IF(NOT((COUNTA($B268:$D268)+COUNTA($G268:$L268)+COUNTA($Q268))&gt;0),"",IF(ISNUMBER($G268),1,IF(N($W268)&gt;0,AVERAGEIFS($X$5:$X$1000,$U$5:$U$1000,ROW(),$V$5:$V$1000,"Sub"),$X268)))</f>
        <v/>
      </c>
      <c r="N268" s="56">
        <f>IF($M268="","",IF($M268&gt;=1,"Completado",IF($M268&gt;0,"En curso","Pendiente")))</f>
        <v/>
      </c>
      <c r="O268" s="56">
        <f>IF(NOT((COUNTA($B268:$D268)+COUNTA($G268:$L268)+COUNTA($Q268))&gt;0),"",IF(ISNUMBER($G268),IF(AND(ISNUMBER($AN268),$G268&gt;$AN268),"Cumplida con "&amp;($G268-$AN268)&amp;IF($G268-$AN268=1," día"," días")&amp;" de retraso","Cumplida"),IF(N($M268)&gt;=1,"Cumplida",IF(NOT(ISNUMBER($AN268)),"Sin fecha límite",IF($AN268&lt;FechaRef,"Vencida hace "&amp;(FechaRef-$AN268)&amp;IF(FechaRef-$AN268=1," día"," días"),IF($AN268=FechaRef,"Vence hoy",IF($AN268-FechaRef&lt;=DiasAlerta,"Vence en "&amp;($AN268-FechaRef)&amp;IF($AN268-FechaRef=1," día"," días"),"En plazo")))))))</f>
        <v/>
      </c>
      <c r="P268" s="62" t="n"/>
      <c r="Q268" s="58" t="n"/>
      <c r="R268" s="63">
        <f>IF(NOT((COUNTA($B268:$D268)+COUNTA($G268:$L268)+COUNTA($Q268))&gt;0),"",IF((IF($C268="","Falta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",""))="","✔ OK","⚠ "&amp;LEFT(IF($C268="","Falta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",""),LEN(IF($C268="","Falta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",""))-3)))</f>
        <v/>
      </c>
      <c r="S268" s="64">
        <f>IF(NOT((COUNTA($B268:$D268)+COUNTA($G268:$L268)+COUNTA($Q268))&gt;0),"",IF(AND($V268="Sub",N($U268)&gt;0),IF(ISNUMBER(INDEX($AM$5:$AM$1000,$U268-4)),DATE(YEAR(INDEX($AM$5:$AM$1000,$U268-4)),MONTH(INDEX($AM$5:$AM$1000,$U268-4)),1),IF(ISNUMBER(INDEX($AN$5:$AN$1000,$U268-4)),DATE(YEAR(INDEX($AN$5:$AN$1000,$U268-4)),MONTH(INDEX($AN$5:$AN$1000,$U268-4)),1),MesCiclo)),IF(ISNUMBER($AM268),DATE(YEAR($AM268),MONTH($AM268),1),IF(ISNUMBER($AN268),DATE(YEAR($AN268),MONTH($AN268),1),MesCiclo))))</f>
        <v/>
      </c>
      <c r="T268" s="62">
        <f>IF(OR($S268="",$S268&lt;&gt;MesCiclo),"",COUNTIF($S$5:$S268,MesCiclo))</f>
        <v/>
      </c>
      <c r="U268" s="62">
        <f>IF($V268="","",IF($V268="Macro",ROW(),IFERROR(LOOKUP(2,1/($V$5:$V268="Macro"),ROW($V$5:$V268)),0)))</f>
        <v/>
      </c>
      <c r="V268" s="62">
        <f>IF(NOT((COUNTA($B268:$D268)+COUNTA($G268:$L268)+COUNTA($Q268))&gt;0),"",IF($B268="Subactividad","Sub","Macro"))</f>
        <v/>
      </c>
      <c r="W268" s="62">
        <f>IF($V268="Macro",COUNTIFS($U$5:$U$1000,ROW(),$V$5:$V$1000,"Sub"),"")</f>
        <v/>
      </c>
      <c r="X268" s="62">
        <f>IF($V268="","",IF(ISNUMBER($G268),1,IFERROR(LOOKUP(2,1/($I268:$L268&lt;&gt;""),$I268:$L268),0)))</f>
        <v/>
      </c>
      <c r="Y268" s="62">
        <f>IF($V268="","",IF(AND(ISNUMBER($G268),$G268&lt;=IF($S268=MesCiclo,InicioCiclo,$S268+MOD(2-WEEKDAY($S268),7))+6),1,IF(ISNUMBER($I268),$I268,0)))</f>
        <v/>
      </c>
      <c r="Z268" s="62">
        <f>IF($V268="","",IF(AND(ISNUMBER($G268),$G268&lt;=IF($S268=MesCiclo,InicioCiclo,$S268+MOD(2-WEEKDAY($S268),7))+13),1,IF(ISNUMBER($J268),$J268,$Y268)))</f>
        <v/>
      </c>
      <c r="AA268" s="62">
        <f>IF($V268="","",IF(AND(ISNUMBER($G268),$G268&lt;=IF($S268=MesCiclo,InicioCiclo,$S268+MOD(2-WEEKDAY($S268),7))+20),1,IF(ISNUMBER($K268),$K268,$Z268)))</f>
        <v/>
      </c>
      <c r="AB268" s="62">
        <f>IF($V268="","",IF(AND(ISNUMBER($G268),$G268&lt;=IF($S268=MesCiclo,InicioCiclo,$S268+MOD(2-WEEKDAY($S268),7))+27),1,IF(ISNUMBER($L268),$L268,$AA268)))</f>
        <v/>
      </c>
      <c r="AC268" s="62">
        <f>IF($V268="","",IF(AND(ISNUMBER($G268),$G268&lt;=IF($S268=MesCiclo,InicioCiclo,$S268+MOD(2-WEEKDAY($S268),7))+6),1,IF(N($W268)&gt;0,AVERAGEIFS($Y$5:$Y$1000,$U$5:$U$1000,ROW(),$V$5:$V$1000,"Sub"),$Y268)))</f>
        <v/>
      </c>
      <c r="AD268" s="62">
        <f>IF($V268="","",IF(AND(ISNUMBER($G268),$G268&lt;=IF($S268=MesCiclo,InicioCiclo,$S268+MOD(2-WEEKDAY($S268),7))+13),1,IF(N($W268)&gt;0,AVERAGEIFS($Z$5:$Z$1000,$U$5:$U$1000,ROW(),$V$5:$V$1000,"Sub"),$Z268)))</f>
        <v/>
      </c>
      <c r="AE268" s="62">
        <f>IF($V268="","",IF(AND(ISNUMBER($G268),$G268&lt;=IF($S268=MesCiclo,InicioCiclo,$S268+MOD(2-WEEKDAY($S268),7))+20),1,IF(N($W268)&gt;0,AVERAGEIFS($AA$5:$AA$1000,$U$5:$U$1000,ROW(),$V$5:$V$1000,"Sub"),$AA268)))</f>
        <v/>
      </c>
      <c r="AF268" s="62">
        <f>IF($V268="","",IF(AND(ISNUMBER($G268),$G268&lt;=IF($S268=MesCiclo,InicioCiclo,$S268+MOD(2-WEEKDAY($S268),7))+27),1,IF(N($W268)&gt;0,AVERAGEIFS($AB$5:$AB$1000,$U$5:$U$1000,ROW(),$V$5:$V$1000,"Sub"),$AB268)))</f>
        <v/>
      </c>
      <c r="AG268" s="62">
        <f>IF($V268&lt;&gt;"Macro","",IF(COUNTIFS($S$5:$S$1000,$S268,$V$5:$V$1000,"Macro",$H$5:$H$1000,"&gt;0")=0,1/COUNTIFS($S$5:$S$1000,$S268,$V$5:$V$1000,"Macro"),IF(AND(ISNUMBER($H268),N($H268)&gt;0),$H268,SUMIFS($H$5:$H$1000,$S$5:$S$1000,$S268,$V$5:$V$1000,"Macro")/COUNTIFS($S$5:$S$1000,$S268,$V$5:$V$1000,"Macro",$H$5:$H$1000,"&gt;0"))/(COUNTIFS($S$5:$S$1000,$S268,$V$5:$V$1000,"Macro")*SUMIFS($H$5:$H$1000,$S$5:$S$1000,$S268,$V$5:$V$1000,"Macro")/COUNTIFS($S$5:$S$1000,$S268,$V$5:$V$1000,"Macro",$H$5:$H$1000,"&gt;0"))))</f>
        <v/>
      </c>
      <c r="AH268" s="62" t="n"/>
      <c r="AI268" s="62" t="n"/>
      <c r="AJ268" s="62" t="n"/>
      <c r="AK268" s="62" t="n"/>
      <c r="AL268" s="62">
        <f>IF(LEFT($C268,11)="[Jefatura] ",IFERROR(MATCH("Riesgo Operacional|"&amp;MID($C268,12,500),rDname_ADM,0),0),"")</f>
        <v/>
      </c>
      <c r="AM268" s="62">
        <f>IF(N($AL268)&gt;0,INDEX(rIni_ADM,$AL268),IF(ISNUMBER($E268),$E268,""))</f>
        <v/>
      </c>
      <c r="AN268" s="62">
        <f>IF(N($AL268)&gt;0,INDEX(rLim_ADM,$AL268),IF(ISNUMBER($F268),$F268,""))</f>
        <v/>
      </c>
    </row>
    <row r="269">
      <c r="A269" s="56">
        <f>IF(NOT((COUNTA($B269:$D269)+COUNTA($G269:$L269)+COUNTA($Q269))&gt;0),"",IF($V269="Macro",COUNTIFS($V$5:$V269,"Macro",$S$5:$S269,$S269),IF(N($U269)=0,"?",COUNTIFS(INDEX($V$5:$V$1000,1):INDEX($V$5:$V$1000,$U269-4),"Macro",INDEX($S$5:$S$1000,1):INDEX($S$5:$S$1000,$U269-4),INDEX($S$5:$S$1000,$U269-4))&amp;"."&amp;COUNTIFS($U$5:$U269,$U269,$V$5:$V269,"Sub"))))</f>
        <v/>
      </c>
      <c r="B269" s="57" t="n"/>
      <c r="C269" s="58" t="n"/>
      <c r="D269" s="58" t="n"/>
      <c r="E269" s="59">
        <f>IF(N($AL269)&gt;0,INDEX(rIni_ADM,$AL269),"")</f>
        <v/>
      </c>
      <c r="F269" s="59">
        <f>IF(N($AL269)&gt;0,INDEX(rLim_ADM,$AL269),"")</f>
        <v/>
      </c>
      <c r="G269" s="59" t="n"/>
      <c r="H269" s="60" t="n"/>
      <c r="I269" s="60" t="n"/>
      <c r="J269" s="60" t="n"/>
      <c r="K269" s="60" t="n"/>
      <c r="L269" s="60" t="n"/>
      <c r="M269" s="61">
        <f>IF(NOT((COUNTA($B269:$D269)+COUNTA($G269:$L269)+COUNTA($Q269))&gt;0),"",IF(ISNUMBER($G269),1,IF(N($W269)&gt;0,AVERAGEIFS($X$5:$X$1000,$U$5:$U$1000,ROW(),$V$5:$V$1000,"Sub"),$X269)))</f>
        <v/>
      </c>
      <c r="N269" s="56">
        <f>IF($M269="","",IF($M269&gt;=1,"Completado",IF($M269&gt;0,"En curso","Pendiente")))</f>
        <v/>
      </c>
      <c r="O269" s="56">
        <f>IF(NOT((COUNTA($B269:$D269)+COUNTA($G269:$L269)+COUNTA($Q269))&gt;0),"",IF(ISNUMBER($G269),IF(AND(ISNUMBER($AN269),$G269&gt;$AN269),"Cumplida con "&amp;($G269-$AN269)&amp;IF($G269-$AN269=1," día"," días")&amp;" de retraso","Cumplida"),IF(N($M269)&gt;=1,"Cumplida",IF(NOT(ISNUMBER($AN269)),"Sin fecha límite",IF($AN269&lt;FechaRef,"Vencida hace "&amp;(FechaRef-$AN269)&amp;IF(FechaRef-$AN269=1," día"," días"),IF($AN269=FechaRef,"Vence hoy",IF($AN269-FechaRef&lt;=DiasAlerta,"Vence en "&amp;($AN269-FechaRef)&amp;IF($AN269-FechaRef=1," día"," días"),"En plazo")))))))</f>
        <v/>
      </c>
      <c r="P269" s="62" t="n"/>
      <c r="Q269" s="58" t="n"/>
      <c r="R269" s="63">
        <f>IF(NOT((COUNTA($B269:$D269)+COUNTA($G269:$L269)+COUNTA($Q269))&gt;0),"",IF((IF($C269="","Falta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",""))="","✔ OK","⚠ "&amp;LEFT(IF($C269="","Falta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",""),LEN(IF($C269="","Falta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",""))-3)))</f>
        <v/>
      </c>
      <c r="S269" s="64">
        <f>IF(NOT((COUNTA($B269:$D269)+COUNTA($G269:$L269)+COUNTA($Q269))&gt;0),"",IF(AND($V269="Sub",N($U269)&gt;0),IF(ISNUMBER(INDEX($AM$5:$AM$1000,$U269-4)),DATE(YEAR(INDEX($AM$5:$AM$1000,$U269-4)),MONTH(INDEX($AM$5:$AM$1000,$U269-4)),1),IF(ISNUMBER(INDEX($AN$5:$AN$1000,$U269-4)),DATE(YEAR(INDEX($AN$5:$AN$1000,$U269-4)),MONTH(INDEX($AN$5:$AN$1000,$U269-4)),1),MesCiclo)),IF(ISNUMBER($AM269),DATE(YEAR($AM269),MONTH($AM269),1),IF(ISNUMBER($AN269),DATE(YEAR($AN269),MONTH($AN269),1),MesCiclo))))</f>
        <v/>
      </c>
      <c r="T269" s="62">
        <f>IF(OR($S269="",$S269&lt;&gt;MesCiclo),"",COUNTIF($S$5:$S269,MesCiclo))</f>
        <v/>
      </c>
      <c r="U269" s="62">
        <f>IF($V269="","",IF($V269="Macro",ROW(),IFERROR(LOOKUP(2,1/($V$5:$V269="Macro"),ROW($V$5:$V269)),0)))</f>
        <v/>
      </c>
      <c r="V269" s="62">
        <f>IF(NOT((COUNTA($B269:$D269)+COUNTA($G269:$L269)+COUNTA($Q269))&gt;0),"",IF($B269="Subactividad","Sub","Macro"))</f>
        <v/>
      </c>
      <c r="W269" s="62">
        <f>IF($V269="Macro",COUNTIFS($U$5:$U$1000,ROW(),$V$5:$V$1000,"Sub"),"")</f>
        <v/>
      </c>
      <c r="X269" s="62">
        <f>IF($V269="","",IF(ISNUMBER($G269),1,IFERROR(LOOKUP(2,1/($I269:$L269&lt;&gt;""),$I269:$L269),0)))</f>
        <v/>
      </c>
      <c r="Y269" s="62">
        <f>IF($V269="","",IF(AND(ISNUMBER($G269),$G269&lt;=IF($S269=MesCiclo,InicioCiclo,$S269+MOD(2-WEEKDAY($S269),7))+6),1,IF(ISNUMBER($I269),$I269,0)))</f>
        <v/>
      </c>
      <c r="Z269" s="62">
        <f>IF($V269="","",IF(AND(ISNUMBER($G269),$G269&lt;=IF($S269=MesCiclo,InicioCiclo,$S269+MOD(2-WEEKDAY($S269),7))+13),1,IF(ISNUMBER($J269),$J269,$Y269)))</f>
        <v/>
      </c>
      <c r="AA269" s="62">
        <f>IF($V269="","",IF(AND(ISNUMBER($G269),$G269&lt;=IF($S269=MesCiclo,InicioCiclo,$S269+MOD(2-WEEKDAY($S269),7))+20),1,IF(ISNUMBER($K269),$K269,$Z269)))</f>
        <v/>
      </c>
      <c r="AB269" s="62">
        <f>IF($V269="","",IF(AND(ISNUMBER($G269),$G269&lt;=IF($S269=MesCiclo,InicioCiclo,$S269+MOD(2-WEEKDAY($S269),7))+27),1,IF(ISNUMBER($L269),$L269,$AA269)))</f>
        <v/>
      </c>
      <c r="AC269" s="62">
        <f>IF($V269="","",IF(AND(ISNUMBER($G269),$G269&lt;=IF($S269=MesCiclo,InicioCiclo,$S269+MOD(2-WEEKDAY($S269),7))+6),1,IF(N($W269)&gt;0,AVERAGEIFS($Y$5:$Y$1000,$U$5:$U$1000,ROW(),$V$5:$V$1000,"Sub"),$Y269)))</f>
        <v/>
      </c>
      <c r="AD269" s="62">
        <f>IF($V269="","",IF(AND(ISNUMBER($G269),$G269&lt;=IF($S269=MesCiclo,InicioCiclo,$S269+MOD(2-WEEKDAY($S269),7))+13),1,IF(N($W269)&gt;0,AVERAGEIFS($Z$5:$Z$1000,$U$5:$U$1000,ROW(),$V$5:$V$1000,"Sub"),$Z269)))</f>
        <v/>
      </c>
      <c r="AE269" s="62">
        <f>IF($V269="","",IF(AND(ISNUMBER($G269),$G269&lt;=IF($S269=MesCiclo,InicioCiclo,$S269+MOD(2-WEEKDAY($S269),7))+20),1,IF(N($W269)&gt;0,AVERAGEIFS($AA$5:$AA$1000,$U$5:$U$1000,ROW(),$V$5:$V$1000,"Sub"),$AA269)))</f>
        <v/>
      </c>
      <c r="AF269" s="62">
        <f>IF($V269="","",IF(AND(ISNUMBER($G269),$G269&lt;=IF($S269=MesCiclo,InicioCiclo,$S269+MOD(2-WEEKDAY($S269),7))+27),1,IF(N($W269)&gt;0,AVERAGEIFS($AB$5:$AB$1000,$U$5:$U$1000,ROW(),$V$5:$V$1000,"Sub"),$AB269)))</f>
        <v/>
      </c>
      <c r="AG269" s="62">
        <f>IF($V269&lt;&gt;"Macro","",IF(COUNTIFS($S$5:$S$1000,$S269,$V$5:$V$1000,"Macro",$H$5:$H$1000,"&gt;0")=0,1/COUNTIFS($S$5:$S$1000,$S269,$V$5:$V$1000,"Macro"),IF(AND(ISNUMBER($H269),N($H269)&gt;0),$H269,SUMIFS($H$5:$H$1000,$S$5:$S$1000,$S269,$V$5:$V$1000,"Macro")/COUNTIFS($S$5:$S$1000,$S269,$V$5:$V$1000,"Macro",$H$5:$H$1000,"&gt;0"))/(COUNTIFS($S$5:$S$1000,$S269,$V$5:$V$1000,"Macro")*SUMIFS($H$5:$H$1000,$S$5:$S$1000,$S269,$V$5:$V$1000,"Macro")/COUNTIFS($S$5:$S$1000,$S269,$V$5:$V$1000,"Macro",$H$5:$H$1000,"&gt;0"))))</f>
        <v/>
      </c>
      <c r="AH269" s="62" t="n"/>
      <c r="AI269" s="62" t="n"/>
      <c r="AJ269" s="62" t="n"/>
      <c r="AK269" s="62" t="n"/>
      <c r="AL269" s="62">
        <f>IF(LEFT($C269,11)="[Jefatura] ",IFERROR(MATCH("Riesgo Operacional|"&amp;MID($C269,12,500),rDname_ADM,0),0),"")</f>
        <v/>
      </c>
      <c r="AM269" s="62">
        <f>IF(N($AL269)&gt;0,INDEX(rIni_ADM,$AL269),IF(ISNUMBER($E269),$E269,""))</f>
        <v/>
      </c>
      <c r="AN269" s="62">
        <f>IF(N($AL269)&gt;0,INDEX(rLim_ADM,$AL269),IF(ISNUMBER($F269),$F269,""))</f>
        <v/>
      </c>
    </row>
    <row r="270">
      <c r="A270" s="56">
        <f>IF(NOT((COUNTA($B270:$D270)+COUNTA($G270:$L270)+COUNTA($Q270))&gt;0),"",IF($V270="Macro",COUNTIFS($V$5:$V270,"Macro",$S$5:$S270,$S270),IF(N($U270)=0,"?",COUNTIFS(INDEX($V$5:$V$1000,1):INDEX($V$5:$V$1000,$U270-4),"Macro",INDEX($S$5:$S$1000,1):INDEX($S$5:$S$1000,$U270-4),INDEX($S$5:$S$1000,$U270-4))&amp;"."&amp;COUNTIFS($U$5:$U270,$U270,$V$5:$V270,"Sub"))))</f>
        <v/>
      </c>
      <c r="B270" s="57" t="n"/>
      <c r="C270" s="58" t="n"/>
      <c r="D270" s="58" t="n"/>
      <c r="E270" s="59">
        <f>IF(N($AL270)&gt;0,INDEX(rIni_ADM,$AL270),"")</f>
        <v/>
      </c>
      <c r="F270" s="59">
        <f>IF(N($AL270)&gt;0,INDEX(rLim_ADM,$AL270),"")</f>
        <v/>
      </c>
      <c r="G270" s="59" t="n"/>
      <c r="H270" s="60" t="n"/>
      <c r="I270" s="60" t="n"/>
      <c r="J270" s="60" t="n"/>
      <c r="K270" s="60" t="n"/>
      <c r="L270" s="60" t="n"/>
      <c r="M270" s="61">
        <f>IF(NOT((COUNTA($B270:$D270)+COUNTA($G270:$L270)+COUNTA($Q270))&gt;0),"",IF(ISNUMBER($G270),1,IF(N($W270)&gt;0,AVERAGEIFS($X$5:$X$1000,$U$5:$U$1000,ROW(),$V$5:$V$1000,"Sub"),$X270)))</f>
        <v/>
      </c>
      <c r="N270" s="56">
        <f>IF($M270="","",IF($M270&gt;=1,"Completado",IF($M270&gt;0,"En curso","Pendiente")))</f>
        <v/>
      </c>
      <c r="O270" s="56">
        <f>IF(NOT((COUNTA($B270:$D270)+COUNTA($G270:$L270)+COUNTA($Q270))&gt;0),"",IF(ISNUMBER($G270),IF(AND(ISNUMBER($AN270),$G270&gt;$AN270),"Cumplida con "&amp;($G270-$AN270)&amp;IF($G270-$AN270=1," día"," días")&amp;" de retraso","Cumplida"),IF(N($M270)&gt;=1,"Cumplida",IF(NOT(ISNUMBER($AN270)),"Sin fecha límite",IF($AN270&lt;FechaRef,"Vencida hace "&amp;(FechaRef-$AN270)&amp;IF(FechaRef-$AN270=1," día"," días"),IF($AN270=FechaRef,"Vence hoy",IF($AN270-FechaRef&lt;=DiasAlerta,"Vence en "&amp;($AN270-FechaRef)&amp;IF($AN270-FechaRef=1," día"," días"),"En plazo")))))))</f>
        <v/>
      </c>
      <c r="P270" s="62" t="n"/>
      <c r="Q270" s="58" t="n"/>
      <c r="R270" s="63">
        <f>IF(NOT((COUNTA($B270:$D270)+COUNTA($G270:$L270)+COUNTA($Q270))&gt;0),"",IF((IF($C270="","Falta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",""))="","✔ OK","⚠ "&amp;LEFT(IF($C270="","Falta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",""),LEN(IF($C270="","Falta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",""))-3)))</f>
        <v/>
      </c>
      <c r="S270" s="64">
        <f>IF(NOT((COUNTA($B270:$D270)+COUNTA($G270:$L270)+COUNTA($Q270))&gt;0),"",IF(AND($V270="Sub",N($U270)&gt;0),IF(ISNUMBER(INDEX($AM$5:$AM$1000,$U270-4)),DATE(YEAR(INDEX($AM$5:$AM$1000,$U270-4)),MONTH(INDEX($AM$5:$AM$1000,$U270-4)),1),IF(ISNUMBER(INDEX($AN$5:$AN$1000,$U270-4)),DATE(YEAR(INDEX($AN$5:$AN$1000,$U270-4)),MONTH(INDEX($AN$5:$AN$1000,$U270-4)),1),MesCiclo)),IF(ISNUMBER($AM270),DATE(YEAR($AM270),MONTH($AM270),1),IF(ISNUMBER($AN270),DATE(YEAR($AN270),MONTH($AN270),1),MesCiclo))))</f>
        <v/>
      </c>
      <c r="T270" s="62">
        <f>IF(OR($S270="",$S270&lt;&gt;MesCiclo),"",COUNTIF($S$5:$S270,MesCiclo))</f>
        <v/>
      </c>
      <c r="U270" s="62">
        <f>IF($V270="","",IF($V270="Macro",ROW(),IFERROR(LOOKUP(2,1/($V$5:$V270="Macro"),ROW($V$5:$V270)),0)))</f>
        <v/>
      </c>
      <c r="V270" s="62">
        <f>IF(NOT((COUNTA($B270:$D270)+COUNTA($G270:$L270)+COUNTA($Q270))&gt;0),"",IF($B270="Subactividad","Sub","Macro"))</f>
        <v/>
      </c>
      <c r="W270" s="62">
        <f>IF($V270="Macro",COUNTIFS($U$5:$U$1000,ROW(),$V$5:$V$1000,"Sub"),"")</f>
        <v/>
      </c>
      <c r="X270" s="62">
        <f>IF($V270="","",IF(ISNUMBER($G270),1,IFERROR(LOOKUP(2,1/($I270:$L270&lt;&gt;""),$I270:$L270),0)))</f>
        <v/>
      </c>
      <c r="Y270" s="62">
        <f>IF($V270="","",IF(AND(ISNUMBER($G270),$G270&lt;=IF($S270=MesCiclo,InicioCiclo,$S270+MOD(2-WEEKDAY($S270),7))+6),1,IF(ISNUMBER($I270),$I270,0)))</f>
        <v/>
      </c>
      <c r="Z270" s="62">
        <f>IF($V270="","",IF(AND(ISNUMBER($G270),$G270&lt;=IF($S270=MesCiclo,InicioCiclo,$S270+MOD(2-WEEKDAY($S270),7))+13),1,IF(ISNUMBER($J270),$J270,$Y270)))</f>
        <v/>
      </c>
      <c r="AA270" s="62">
        <f>IF($V270="","",IF(AND(ISNUMBER($G270),$G270&lt;=IF($S270=MesCiclo,InicioCiclo,$S270+MOD(2-WEEKDAY($S270),7))+20),1,IF(ISNUMBER($K270),$K270,$Z270)))</f>
        <v/>
      </c>
      <c r="AB270" s="62">
        <f>IF($V270="","",IF(AND(ISNUMBER($G270),$G270&lt;=IF($S270=MesCiclo,InicioCiclo,$S270+MOD(2-WEEKDAY($S270),7))+27),1,IF(ISNUMBER($L270),$L270,$AA270)))</f>
        <v/>
      </c>
      <c r="AC270" s="62">
        <f>IF($V270="","",IF(AND(ISNUMBER($G270),$G270&lt;=IF($S270=MesCiclo,InicioCiclo,$S270+MOD(2-WEEKDAY($S270),7))+6),1,IF(N($W270)&gt;0,AVERAGEIFS($Y$5:$Y$1000,$U$5:$U$1000,ROW(),$V$5:$V$1000,"Sub"),$Y270)))</f>
        <v/>
      </c>
      <c r="AD270" s="62">
        <f>IF($V270="","",IF(AND(ISNUMBER($G270),$G270&lt;=IF($S270=MesCiclo,InicioCiclo,$S270+MOD(2-WEEKDAY($S270),7))+13),1,IF(N($W270)&gt;0,AVERAGEIFS($Z$5:$Z$1000,$U$5:$U$1000,ROW(),$V$5:$V$1000,"Sub"),$Z270)))</f>
        <v/>
      </c>
      <c r="AE270" s="62">
        <f>IF($V270="","",IF(AND(ISNUMBER($G270),$G270&lt;=IF($S270=MesCiclo,InicioCiclo,$S270+MOD(2-WEEKDAY($S270),7))+20),1,IF(N($W270)&gt;0,AVERAGEIFS($AA$5:$AA$1000,$U$5:$U$1000,ROW(),$V$5:$V$1000,"Sub"),$AA270)))</f>
        <v/>
      </c>
      <c r="AF270" s="62">
        <f>IF($V270="","",IF(AND(ISNUMBER($G270),$G270&lt;=IF($S270=MesCiclo,InicioCiclo,$S270+MOD(2-WEEKDAY($S270),7))+27),1,IF(N($W270)&gt;0,AVERAGEIFS($AB$5:$AB$1000,$U$5:$U$1000,ROW(),$V$5:$V$1000,"Sub"),$AB270)))</f>
        <v/>
      </c>
      <c r="AG270" s="62">
        <f>IF($V270&lt;&gt;"Macro","",IF(COUNTIFS($S$5:$S$1000,$S270,$V$5:$V$1000,"Macro",$H$5:$H$1000,"&gt;0")=0,1/COUNTIFS($S$5:$S$1000,$S270,$V$5:$V$1000,"Macro"),IF(AND(ISNUMBER($H270),N($H270)&gt;0),$H270,SUMIFS($H$5:$H$1000,$S$5:$S$1000,$S270,$V$5:$V$1000,"Macro")/COUNTIFS($S$5:$S$1000,$S270,$V$5:$V$1000,"Macro",$H$5:$H$1000,"&gt;0"))/(COUNTIFS($S$5:$S$1000,$S270,$V$5:$V$1000,"Macro")*SUMIFS($H$5:$H$1000,$S$5:$S$1000,$S270,$V$5:$V$1000,"Macro")/COUNTIFS($S$5:$S$1000,$S270,$V$5:$V$1000,"Macro",$H$5:$H$1000,"&gt;0"))))</f>
        <v/>
      </c>
      <c r="AH270" s="62" t="n"/>
      <c r="AI270" s="62" t="n"/>
      <c r="AJ270" s="62" t="n"/>
      <c r="AK270" s="62" t="n"/>
      <c r="AL270" s="62">
        <f>IF(LEFT($C270,11)="[Jefatura] ",IFERROR(MATCH("Riesgo Operacional|"&amp;MID($C270,12,500),rDname_ADM,0),0),"")</f>
        <v/>
      </c>
      <c r="AM270" s="62">
        <f>IF(N($AL270)&gt;0,INDEX(rIni_ADM,$AL270),IF(ISNUMBER($E270),$E270,""))</f>
        <v/>
      </c>
      <c r="AN270" s="62">
        <f>IF(N($AL270)&gt;0,INDEX(rLim_ADM,$AL270),IF(ISNUMBER($F270),$F270,""))</f>
        <v/>
      </c>
    </row>
    <row r="271">
      <c r="A271" s="56">
        <f>IF(NOT((COUNTA($B271:$D271)+COUNTA($G271:$L271)+COUNTA($Q271))&gt;0),"",IF($V271="Macro",COUNTIFS($V$5:$V271,"Macro",$S$5:$S271,$S271),IF(N($U271)=0,"?",COUNTIFS(INDEX($V$5:$V$1000,1):INDEX($V$5:$V$1000,$U271-4),"Macro",INDEX($S$5:$S$1000,1):INDEX($S$5:$S$1000,$U271-4),INDEX($S$5:$S$1000,$U271-4))&amp;"."&amp;COUNTIFS($U$5:$U271,$U271,$V$5:$V271,"Sub"))))</f>
        <v/>
      </c>
      <c r="B271" s="57" t="n"/>
      <c r="C271" s="58" t="n"/>
      <c r="D271" s="58" t="n"/>
      <c r="E271" s="59">
        <f>IF(N($AL271)&gt;0,INDEX(rIni_ADM,$AL271),"")</f>
        <v/>
      </c>
      <c r="F271" s="59">
        <f>IF(N($AL271)&gt;0,INDEX(rLim_ADM,$AL271),"")</f>
        <v/>
      </c>
      <c r="G271" s="59" t="n"/>
      <c r="H271" s="60" t="n"/>
      <c r="I271" s="60" t="n"/>
      <c r="J271" s="60" t="n"/>
      <c r="K271" s="60" t="n"/>
      <c r="L271" s="60" t="n"/>
      <c r="M271" s="61">
        <f>IF(NOT((COUNTA($B271:$D271)+COUNTA($G271:$L271)+COUNTA($Q271))&gt;0),"",IF(ISNUMBER($G271),1,IF(N($W271)&gt;0,AVERAGEIFS($X$5:$X$1000,$U$5:$U$1000,ROW(),$V$5:$V$1000,"Sub"),$X271)))</f>
        <v/>
      </c>
      <c r="N271" s="56">
        <f>IF($M271="","",IF($M271&gt;=1,"Completado",IF($M271&gt;0,"En curso","Pendiente")))</f>
        <v/>
      </c>
      <c r="O271" s="56">
        <f>IF(NOT((COUNTA($B271:$D271)+COUNTA($G271:$L271)+COUNTA($Q271))&gt;0),"",IF(ISNUMBER($G271),IF(AND(ISNUMBER($AN271),$G271&gt;$AN271),"Cumplida con "&amp;($G271-$AN271)&amp;IF($G271-$AN271=1," día"," días")&amp;" de retraso","Cumplida"),IF(N($M271)&gt;=1,"Cumplida",IF(NOT(ISNUMBER($AN271)),"Sin fecha límite",IF($AN271&lt;FechaRef,"Vencida hace "&amp;(FechaRef-$AN271)&amp;IF(FechaRef-$AN271=1," día"," días"),IF($AN271=FechaRef,"Vence hoy",IF($AN271-FechaRef&lt;=DiasAlerta,"Vence en "&amp;($AN271-FechaRef)&amp;IF($AN271-FechaRef=1," día"," días"),"En plazo")))))))</f>
        <v/>
      </c>
      <c r="P271" s="62" t="n"/>
      <c r="Q271" s="58" t="n"/>
      <c r="R271" s="63">
        <f>IF(NOT((COUNTA($B271:$D271)+COUNTA($G271:$L271)+COUNTA($Q271))&gt;0),"",IF((IF($C271="","Falta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",""))="","✔ OK","⚠ "&amp;LEFT(IF($C271="","Falta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",""),LEN(IF($C271="","Falta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",""))-3)))</f>
        <v/>
      </c>
      <c r="S271" s="64">
        <f>IF(NOT((COUNTA($B271:$D271)+COUNTA($G271:$L271)+COUNTA($Q271))&gt;0),"",IF(AND($V271="Sub",N($U271)&gt;0),IF(ISNUMBER(INDEX($AM$5:$AM$1000,$U271-4)),DATE(YEAR(INDEX($AM$5:$AM$1000,$U271-4)),MONTH(INDEX($AM$5:$AM$1000,$U271-4)),1),IF(ISNUMBER(INDEX($AN$5:$AN$1000,$U271-4)),DATE(YEAR(INDEX($AN$5:$AN$1000,$U271-4)),MONTH(INDEX($AN$5:$AN$1000,$U271-4)),1),MesCiclo)),IF(ISNUMBER($AM271),DATE(YEAR($AM271),MONTH($AM271),1),IF(ISNUMBER($AN271),DATE(YEAR($AN271),MONTH($AN271),1),MesCiclo))))</f>
        <v/>
      </c>
      <c r="T271" s="62">
        <f>IF(OR($S271="",$S271&lt;&gt;MesCiclo),"",COUNTIF($S$5:$S271,MesCiclo))</f>
        <v/>
      </c>
      <c r="U271" s="62">
        <f>IF($V271="","",IF($V271="Macro",ROW(),IFERROR(LOOKUP(2,1/($V$5:$V271="Macro"),ROW($V$5:$V271)),0)))</f>
        <v/>
      </c>
      <c r="V271" s="62">
        <f>IF(NOT((COUNTA($B271:$D271)+COUNTA($G271:$L271)+COUNTA($Q271))&gt;0),"",IF($B271="Subactividad","Sub","Macro"))</f>
        <v/>
      </c>
      <c r="W271" s="62">
        <f>IF($V271="Macro",COUNTIFS($U$5:$U$1000,ROW(),$V$5:$V$1000,"Sub"),"")</f>
        <v/>
      </c>
      <c r="X271" s="62">
        <f>IF($V271="","",IF(ISNUMBER($G271),1,IFERROR(LOOKUP(2,1/($I271:$L271&lt;&gt;""),$I271:$L271),0)))</f>
        <v/>
      </c>
      <c r="Y271" s="62">
        <f>IF($V271="","",IF(AND(ISNUMBER($G271),$G271&lt;=IF($S271=MesCiclo,InicioCiclo,$S271+MOD(2-WEEKDAY($S271),7))+6),1,IF(ISNUMBER($I271),$I271,0)))</f>
        <v/>
      </c>
      <c r="Z271" s="62">
        <f>IF($V271="","",IF(AND(ISNUMBER($G271),$G271&lt;=IF($S271=MesCiclo,InicioCiclo,$S271+MOD(2-WEEKDAY($S271),7))+13),1,IF(ISNUMBER($J271),$J271,$Y271)))</f>
        <v/>
      </c>
      <c r="AA271" s="62">
        <f>IF($V271="","",IF(AND(ISNUMBER($G271),$G271&lt;=IF($S271=MesCiclo,InicioCiclo,$S271+MOD(2-WEEKDAY($S271),7))+20),1,IF(ISNUMBER($K271),$K271,$Z271)))</f>
        <v/>
      </c>
      <c r="AB271" s="62">
        <f>IF($V271="","",IF(AND(ISNUMBER($G271),$G271&lt;=IF($S271=MesCiclo,InicioCiclo,$S271+MOD(2-WEEKDAY($S271),7))+27),1,IF(ISNUMBER($L271),$L271,$AA271)))</f>
        <v/>
      </c>
      <c r="AC271" s="62">
        <f>IF($V271="","",IF(AND(ISNUMBER($G271),$G271&lt;=IF($S271=MesCiclo,InicioCiclo,$S271+MOD(2-WEEKDAY($S271),7))+6),1,IF(N($W271)&gt;0,AVERAGEIFS($Y$5:$Y$1000,$U$5:$U$1000,ROW(),$V$5:$V$1000,"Sub"),$Y271)))</f>
        <v/>
      </c>
      <c r="AD271" s="62">
        <f>IF($V271="","",IF(AND(ISNUMBER($G271),$G271&lt;=IF($S271=MesCiclo,InicioCiclo,$S271+MOD(2-WEEKDAY($S271),7))+13),1,IF(N($W271)&gt;0,AVERAGEIFS($Z$5:$Z$1000,$U$5:$U$1000,ROW(),$V$5:$V$1000,"Sub"),$Z271)))</f>
        <v/>
      </c>
      <c r="AE271" s="62">
        <f>IF($V271="","",IF(AND(ISNUMBER($G271),$G271&lt;=IF($S271=MesCiclo,InicioCiclo,$S271+MOD(2-WEEKDAY($S271),7))+20),1,IF(N($W271)&gt;0,AVERAGEIFS($AA$5:$AA$1000,$U$5:$U$1000,ROW(),$V$5:$V$1000,"Sub"),$AA271)))</f>
        <v/>
      </c>
      <c r="AF271" s="62">
        <f>IF($V271="","",IF(AND(ISNUMBER($G271),$G271&lt;=IF($S271=MesCiclo,InicioCiclo,$S271+MOD(2-WEEKDAY($S271),7))+27),1,IF(N($W271)&gt;0,AVERAGEIFS($AB$5:$AB$1000,$U$5:$U$1000,ROW(),$V$5:$V$1000,"Sub"),$AB271)))</f>
        <v/>
      </c>
      <c r="AG271" s="62">
        <f>IF($V271&lt;&gt;"Macro","",IF(COUNTIFS($S$5:$S$1000,$S271,$V$5:$V$1000,"Macro",$H$5:$H$1000,"&gt;0")=0,1/COUNTIFS($S$5:$S$1000,$S271,$V$5:$V$1000,"Macro"),IF(AND(ISNUMBER($H271),N($H271)&gt;0),$H271,SUMIFS($H$5:$H$1000,$S$5:$S$1000,$S271,$V$5:$V$1000,"Macro")/COUNTIFS($S$5:$S$1000,$S271,$V$5:$V$1000,"Macro",$H$5:$H$1000,"&gt;0"))/(COUNTIFS($S$5:$S$1000,$S271,$V$5:$V$1000,"Macro")*SUMIFS($H$5:$H$1000,$S$5:$S$1000,$S271,$V$5:$V$1000,"Macro")/COUNTIFS($S$5:$S$1000,$S271,$V$5:$V$1000,"Macro",$H$5:$H$1000,"&gt;0"))))</f>
        <v/>
      </c>
      <c r="AH271" s="62" t="n"/>
      <c r="AI271" s="62" t="n"/>
      <c r="AJ271" s="62" t="n"/>
      <c r="AK271" s="62" t="n"/>
      <c r="AL271" s="62">
        <f>IF(LEFT($C271,11)="[Jefatura] ",IFERROR(MATCH("Riesgo Operacional|"&amp;MID($C271,12,500),rDname_ADM,0),0),"")</f>
        <v/>
      </c>
      <c r="AM271" s="62">
        <f>IF(N($AL271)&gt;0,INDEX(rIni_ADM,$AL271),IF(ISNUMBER($E271),$E271,""))</f>
        <v/>
      </c>
      <c r="AN271" s="62">
        <f>IF(N($AL271)&gt;0,INDEX(rLim_ADM,$AL271),IF(ISNUMBER($F271),$F271,""))</f>
        <v/>
      </c>
    </row>
    <row r="272">
      <c r="A272" s="56">
        <f>IF(NOT((COUNTA($B272:$D272)+COUNTA($G272:$L272)+COUNTA($Q272))&gt;0),"",IF($V272="Macro",COUNTIFS($V$5:$V272,"Macro",$S$5:$S272,$S272),IF(N($U272)=0,"?",COUNTIFS(INDEX($V$5:$V$1000,1):INDEX($V$5:$V$1000,$U272-4),"Macro",INDEX($S$5:$S$1000,1):INDEX($S$5:$S$1000,$U272-4),INDEX($S$5:$S$1000,$U272-4))&amp;"."&amp;COUNTIFS($U$5:$U272,$U272,$V$5:$V272,"Sub"))))</f>
        <v/>
      </c>
      <c r="B272" s="57" t="n"/>
      <c r="C272" s="58" t="n"/>
      <c r="D272" s="58" t="n"/>
      <c r="E272" s="59">
        <f>IF(N($AL272)&gt;0,INDEX(rIni_ADM,$AL272),"")</f>
        <v/>
      </c>
      <c r="F272" s="59">
        <f>IF(N($AL272)&gt;0,INDEX(rLim_ADM,$AL272),"")</f>
        <v/>
      </c>
      <c r="G272" s="59" t="n"/>
      <c r="H272" s="60" t="n"/>
      <c r="I272" s="60" t="n"/>
      <c r="J272" s="60" t="n"/>
      <c r="K272" s="60" t="n"/>
      <c r="L272" s="60" t="n"/>
      <c r="M272" s="61">
        <f>IF(NOT((COUNTA($B272:$D272)+COUNTA($G272:$L272)+COUNTA($Q272))&gt;0),"",IF(ISNUMBER($G272),1,IF(N($W272)&gt;0,AVERAGEIFS($X$5:$X$1000,$U$5:$U$1000,ROW(),$V$5:$V$1000,"Sub"),$X272)))</f>
        <v/>
      </c>
      <c r="N272" s="56">
        <f>IF($M272="","",IF($M272&gt;=1,"Completado",IF($M272&gt;0,"En curso","Pendiente")))</f>
        <v/>
      </c>
      <c r="O272" s="56">
        <f>IF(NOT((COUNTA($B272:$D272)+COUNTA($G272:$L272)+COUNTA($Q272))&gt;0),"",IF(ISNUMBER($G272),IF(AND(ISNUMBER($AN272),$G272&gt;$AN272),"Cumplida con "&amp;($G272-$AN272)&amp;IF($G272-$AN272=1," día"," días")&amp;" de retraso","Cumplida"),IF(N($M272)&gt;=1,"Cumplida",IF(NOT(ISNUMBER($AN272)),"Sin fecha límite",IF($AN272&lt;FechaRef,"Vencida hace "&amp;(FechaRef-$AN272)&amp;IF(FechaRef-$AN272=1," día"," días"),IF($AN272=FechaRef,"Vence hoy",IF($AN272-FechaRef&lt;=DiasAlerta,"Vence en "&amp;($AN272-FechaRef)&amp;IF($AN272-FechaRef=1," día"," días"),"En plazo")))))))</f>
        <v/>
      </c>
      <c r="P272" s="62" t="n"/>
      <c r="Q272" s="58" t="n"/>
      <c r="R272" s="63">
        <f>IF(NOT((COUNTA($B272:$D272)+COUNTA($G272:$L272)+COUNTA($Q272))&gt;0),"",IF((IF($C272="","Falta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",""))="","✔ OK","⚠ "&amp;LEFT(IF($C272="","Falta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",""),LEN(IF($C272="","Falta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",""))-3)))</f>
        <v/>
      </c>
      <c r="S272" s="64">
        <f>IF(NOT((COUNTA($B272:$D272)+COUNTA($G272:$L272)+COUNTA($Q272))&gt;0),"",IF(AND($V272="Sub",N($U272)&gt;0),IF(ISNUMBER(INDEX($AM$5:$AM$1000,$U272-4)),DATE(YEAR(INDEX($AM$5:$AM$1000,$U272-4)),MONTH(INDEX($AM$5:$AM$1000,$U272-4)),1),IF(ISNUMBER(INDEX($AN$5:$AN$1000,$U272-4)),DATE(YEAR(INDEX($AN$5:$AN$1000,$U272-4)),MONTH(INDEX($AN$5:$AN$1000,$U272-4)),1),MesCiclo)),IF(ISNUMBER($AM272),DATE(YEAR($AM272),MONTH($AM272),1),IF(ISNUMBER($AN272),DATE(YEAR($AN272),MONTH($AN272),1),MesCiclo))))</f>
        <v/>
      </c>
      <c r="T272" s="62">
        <f>IF(OR($S272="",$S272&lt;&gt;MesCiclo),"",COUNTIF($S$5:$S272,MesCiclo))</f>
        <v/>
      </c>
      <c r="U272" s="62">
        <f>IF($V272="","",IF($V272="Macro",ROW(),IFERROR(LOOKUP(2,1/($V$5:$V272="Macro"),ROW($V$5:$V272)),0)))</f>
        <v/>
      </c>
      <c r="V272" s="62">
        <f>IF(NOT((COUNTA($B272:$D272)+COUNTA($G272:$L272)+COUNTA($Q272))&gt;0),"",IF($B272="Subactividad","Sub","Macro"))</f>
        <v/>
      </c>
      <c r="W272" s="62">
        <f>IF($V272="Macro",COUNTIFS($U$5:$U$1000,ROW(),$V$5:$V$1000,"Sub"),"")</f>
        <v/>
      </c>
      <c r="X272" s="62">
        <f>IF($V272="","",IF(ISNUMBER($G272),1,IFERROR(LOOKUP(2,1/($I272:$L272&lt;&gt;""),$I272:$L272),0)))</f>
        <v/>
      </c>
      <c r="Y272" s="62">
        <f>IF($V272="","",IF(AND(ISNUMBER($G272),$G272&lt;=IF($S272=MesCiclo,InicioCiclo,$S272+MOD(2-WEEKDAY($S272),7))+6),1,IF(ISNUMBER($I272),$I272,0)))</f>
        <v/>
      </c>
      <c r="Z272" s="62">
        <f>IF($V272="","",IF(AND(ISNUMBER($G272),$G272&lt;=IF($S272=MesCiclo,InicioCiclo,$S272+MOD(2-WEEKDAY($S272),7))+13),1,IF(ISNUMBER($J272),$J272,$Y272)))</f>
        <v/>
      </c>
      <c r="AA272" s="62">
        <f>IF($V272="","",IF(AND(ISNUMBER($G272),$G272&lt;=IF($S272=MesCiclo,InicioCiclo,$S272+MOD(2-WEEKDAY($S272),7))+20),1,IF(ISNUMBER($K272),$K272,$Z272)))</f>
        <v/>
      </c>
      <c r="AB272" s="62">
        <f>IF($V272="","",IF(AND(ISNUMBER($G272),$G272&lt;=IF($S272=MesCiclo,InicioCiclo,$S272+MOD(2-WEEKDAY($S272),7))+27),1,IF(ISNUMBER($L272),$L272,$AA272)))</f>
        <v/>
      </c>
      <c r="AC272" s="62">
        <f>IF($V272="","",IF(AND(ISNUMBER($G272),$G272&lt;=IF($S272=MesCiclo,InicioCiclo,$S272+MOD(2-WEEKDAY($S272),7))+6),1,IF(N($W272)&gt;0,AVERAGEIFS($Y$5:$Y$1000,$U$5:$U$1000,ROW(),$V$5:$V$1000,"Sub"),$Y272)))</f>
        <v/>
      </c>
      <c r="AD272" s="62">
        <f>IF($V272="","",IF(AND(ISNUMBER($G272),$G272&lt;=IF($S272=MesCiclo,InicioCiclo,$S272+MOD(2-WEEKDAY($S272),7))+13),1,IF(N($W272)&gt;0,AVERAGEIFS($Z$5:$Z$1000,$U$5:$U$1000,ROW(),$V$5:$V$1000,"Sub"),$Z272)))</f>
        <v/>
      </c>
      <c r="AE272" s="62">
        <f>IF($V272="","",IF(AND(ISNUMBER($G272),$G272&lt;=IF($S272=MesCiclo,InicioCiclo,$S272+MOD(2-WEEKDAY($S272),7))+20),1,IF(N($W272)&gt;0,AVERAGEIFS($AA$5:$AA$1000,$U$5:$U$1000,ROW(),$V$5:$V$1000,"Sub"),$AA272)))</f>
        <v/>
      </c>
      <c r="AF272" s="62">
        <f>IF($V272="","",IF(AND(ISNUMBER($G272),$G272&lt;=IF($S272=MesCiclo,InicioCiclo,$S272+MOD(2-WEEKDAY($S272),7))+27),1,IF(N($W272)&gt;0,AVERAGEIFS($AB$5:$AB$1000,$U$5:$U$1000,ROW(),$V$5:$V$1000,"Sub"),$AB272)))</f>
        <v/>
      </c>
      <c r="AG272" s="62">
        <f>IF($V272&lt;&gt;"Macro","",IF(COUNTIFS($S$5:$S$1000,$S272,$V$5:$V$1000,"Macro",$H$5:$H$1000,"&gt;0")=0,1/COUNTIFS($S$5:$S$1000,$S272,$V$5:$V$1000,"Macro"),IF(AND(ISNUMBER($H272),N($H272)&gt;0),$H272,SUMIFS($H$5:$H$1000,$S$5:$S$1000,$S272,$V$5:$V$1000,"Macro")/COUNTIFS($S$5:$S$1000,$S272,$V$5:$V$1000,"Macro",$H$5:$H$1000,"&gt;0"))/(COUNTIFS($S$5:$S$1000,$S272,$V$5:$V$1000,"Macro")*SUMIFS($H$5:$H$1000,$S$5:$S$1000,$S272,$V$5:$V$1000,"Macro")/COUNTIFS($S$5:$S$1000,$S272,$V$5:$V$1000,"Macro",$H$5:$H$1000,"&gt;0"))))</f>
        <v/>
      </c>
      <c r="AH272" s="62" t="n"/>
      <c r="AI272" s="62" t="n"/>
      <c r="AJ272" s="62" t="n"/>
      <c r="AK272" s="62" t="n"/>
      <c r="AL272" s="62">
        <f>IF(LEFT($C272,11)="[Jefatura] ",IFERROR(MATCH("Riesgo Operacional|"&amp;MID($C272,12,500),rDname_ADM,0),0),"")</f>
        <v/>
      </c>
      <c r="AM272" s="62">
        <f>IF(N($AL272)&gt;0,INDEX(rIni_ADM,$AL272),IF(ISNUMBER($E272),$E272,""))</f>
        <v/>
      </c>
      <c r="AN272" s="62">
        <f>IF(N($AL272)&gt;0,INDEX(rLim_ADM,$AL272),IF(ISNUMBER($F272),$F272,""))</f>
        <v/>
      </c>
    </row>
    <row r="273">
      <c r="A273" s="56">
        <f>IF(NOT((COUNTA($B273:$D273)+COUNTA($G273:$L273)+COUNTA($Q273))&gt;0),"",IF($V273="Macro",COUNTIFS($V$5:$V273,"Macro",$S$5:$S273,$S273),IF(N($U273)=0,"?",COUNTIFS(INDEX($V$5:$V$1000,1):INDEX($V$5:$V$1000,$U273-4),"Macro",INDEX($S$5:$S$1000,1):INDEX($S$5:$S$1000,$U273-4),INDEX($S$5:$S$1000,$U273-4))&amp;"."&amp;COUNTIFS($U$5:$U273,$U273,$V$5:$V273,"Sub"))))</f>
        <v/>
      </c>
      <c r="B273" s="57" t="n"/>
      <c r="C273" s="58" t="n"/>
      <c r="D273" s="58" t="n"/>
      <c r="E273" s="59">
        <f>IF(N($AL273)&gt;0,INDEX(rIni_ADM,$AL273),"")</f>
        <v/>
      </c>
      <c r="F273" s="59">
        <f>IF(N($AL273)&gt;0,INDEX(rLim_ADM,$AL273),"")</f>
        <v/>
      </c>
      <c r="G273" s="59" t="n"/>
      <c r="H273" s="60" t="n"/>
      <c r="I273" s="60" t="n"/>
      <c r="J273" s="60" t="n"/>
      <c r="K273" s="60" t="n"/>
      <c r="L273" s="60" t="n"/>
      <c r="M273" s="61">
        <f>IF(NOT((COUNTA($B273:$D273)+COUNTA($G273:$L273)+COUNTA($Q273))&gt;0),"",IF(ISNUMBER($G273),1,IF(N($W273)&gt;0,AVERAGEIFS($X$5:$X$1000,$U$5:$U$1000,ROW(),$V$5:$V$1000,"Sub"),$X273)))</f>
        <v/>
      </c>
      <c r="N273" s="56">
        <f>IF($M273="","",IF($M273&gt;=1,"Completado",IF($M273&gt;0,"En curso","Pendiente")))</f>
        <v/>
      </c>
      <c r="O273" s="56">
        <f>IF(NOT((COUNTA($B273:$D273)+COUNTA($G273:$L273)+COUNTA($Q273))&gt;0),"",IF(ISNUMBER($G273),IF(AND(ISNUMBER($AN273),$G273&gt;$AN273),"Cumplida con "&amp;($G273-$AN273)&amp;IF($G273-$AN273=1," día"," días")&amp;" de retraso","Cumplida"),IF(N($M273)&gt;=1,"Cumplida",IF(NOT(ISNUMBER($AN273)),"Sin fecha límite",IF($AN273&lt;FechaRef,"Vencida hace "&amp;(FechaRef-$AN273)&amp;IF(FechaRef-$AN273=1," día"," días"),IF($AN273=FechaRef,"Vence hoy",IF($AN273-FechaRef&lt;=DiasAlerta,"Vence en "&amp;($AN273-FechaRef)&amp;IF($AN273-FechaRef=1," día"," días"),"En plazo")))))))</f>
        <v/>
      </c>
      <c r="P273" s="62" t="n"/>
      <c r="Q273" s="58" t="n"/>
      <c r="R273" s="63">
        <f>IF(NOT((COUNTA($B273:$D273)+COUNTA($G273:$L273)+COUNTA($Q273))&gt;0),"",IF((IF($C273="","Falta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",""))="","✔ OK","⚠ "&amp;LEFT(IF($C273="","Falta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",""),LEN(IF($C273="","Falta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",""))-3)))</f>
        <v/>
      </c>
      <c r="S273" s="64">
        <f>IF(NOT((COUNTA($B273:$D273)+COUNTA($G273:$L273)+COUNTA($Q273))&gt;0),"",IF(AND($V273="Sub",N($U273)&gt;0),IF(ISNUMBER(INDEX($AM$5:$AM$1000,$U273-4)),DATE(YEAR(INDEX($AM$5:$AM$1000,$U273-4)),MONTH(INDEX($AM$5:$AM$1000,$U273-4)),1),IF(ISNUMBER(INDEX($AN$5:$AN$1000,$U273-4)),DATE(YEAR(INDEX($AN$5:$AN$1000,$U273-4)),MONTH(INDEX($AN$5:$AN$1000,$U273-4)),1),MesCiclo)),IF(ISNUMBER($AM273),DATE(YEAR($AM273),MONTH($AM273),1),IF(ISNUMBER($AN273),DATE(YEAR($AN273),MONTH($AN273),1),MesCiclo))))</f>
        <v/>
      </c>
      <c r="T273" s="62">
        <f>IF(OR($S273="",$S273&lt;&gt;MesCiclo),"",COUNTIF($S$5:$S273,MesCiclo))</f>
        <v/>
      </c>
      <c r="U273" s="62">
        <f>IF($V273="","",IF($V273="Macro",ROW(),IFERROR(LOOKUP(2,1/($V$5:$V273="Macro"),ROW($V$5:$V273)),0)))</f>
        <v/>
      </c>
      <c r="V273" s="62">
        <f>IF(NOT((COUNTA($B273:$D273)+COUNTA($G273:$L273)+COUNTA($Q273))&gt;0),"",IF($B273="Subactividad","Sub","Macro"))</f>
        <v/>
      </c>
      <c r="W273" s="62">
        <f>IF($V273="Macro",COUNTIFS($U$5:$U$1000,ROW(),$V$5:$V$1000,"Sub"),"")</f>
        <v/>
      </c>
      <c r="X273" s="62">
        <f>IF($V273="","",IF(ISNUMBER($G273),1,IFERROR(LOOKUP(2,1/($I273:$L273&lt;&gt;""),$I273:$L273),0)))</f>
        <v/>
      </c>
      <c r="Y273" s="62">
        <f>IF($V273="","",IF(AND(ISNUMBER($G273),$G273&lt;=IF($S273=MesCiclo,InicioCiclo,$S273+MOD(2-WEEKDAY($S273),7))+6),1,IF(ISNUMBER($I273),$I273,0)))</f>
        <v/>
      </c>
      <c r="Z273" s="62">
        <f>IF($V273="","",IF(AND(ISNUMBER($G273),$G273&lt;=IF($S273=MesCiclo,InicioCiclo,$S273+MOD(2-WEEKDAY($S273),7))+13),1,IF(ISNUMBER($J273),$J273,$Y273)))</f>
        <v/>
      </c>
      <c r="AA273" s="62">
        <f>IF($V273="","",IF(AND(ISNUMBER($G273),$G273&lt;=IF($S273=MesCiclo,InicioCiclo,$S273+MOD(2-WEEKDAY($S273),7))+20),1,IF(ISNUMBER($K273),$K273,$Z273)))</f>
        <v/>
      </c>
      <c r="AB273" s="62">
        <f>IF($V273="","",IF(AND(ISNUMBER($G273),$G273&lt;=IF($S273=MesCiclo,InicioCiclo,$S273+MOD(2-WEEKDAY($S273),7))+27),1,IF(ISNUMBER($L273),$L273,$AA273)))</f>
        <v/>
      </c>
      <c r="AC273" s="62">
        <f>IF($V273="","",IF(AND(ISNUMBER($G273),$G273&lt;=IF($S273=MesCiclo,InicioCiclo,$S273+MOD(2-WEEKDAY($S273),7))+6),1,IF(N($W273)&gt;0,AVERAGEIFS($Y$5:$Y$1000,$U$5:$U$1000,ROW(),$V$5:$V$1000,"Sub"),$Y273)))</f>
        <v/>
      </c>
      <c r="AD273" s="62">
        <f>IF($V273="","",IF(AND(ISNUMBER($G273),$G273&lt;=IF($S273=MesCiclo,InicioCiclo,$S273+MOD(2-WEEKDAY($S273),7))+13),1,IF(N($W273)&gt;0,AVERAGEIFS($Z$5:$Z$1000,$U$5:$U$1000,ROW(),$V$5:$V$1000,"Sub"),$Z273)))</f>
        <v/>
      </c>
      <c r="AE273" s="62">
        <f>IF($V273="","",IF(AND(ISNUMBER($G273),$G273&lt;=IF($S273=MesCiclo,InicioCiclo,$S273+MOD(2-WEEKDAY($S273),7))+20),1,IF(N($W273)&gt;0,AVERAGEIFS($AA$5:$AA$1000,$U$5:$U$1000,ROW(),$V$5:$V$1000,"Sub"),$AA273)))</f>
        <v/>
      </c>
      <c r="AF273" s="62">
        <f>IF($V273="","",IF(AND(ISNUMBER($G273),$G273&lt;=IF($S273=MesCiclo,InicioCiclo,$S273+MOD(2-WEEKDAY($S273),7))+27),1,IF(N($W273)&gt;0,AVERAGEIFS($AB$5:$AB$1000,$U$5:$U$1000,ROW(),$V$5:$V$1000,"Sub"),$AB273)))</f>
        <v/>
      </c>
      <c r="AG273" s="62">
        <f>IF($V273&lt;&gt;"Macro","",IF(COUNTIFS($S$5:$S$1000,$S273,$V$5:$V$1000,"Macro",$H$5:$H$1000,"&gt;0")=0,1/COUNTIFS($S$5:$S$1000,$S273,$V$5:$V$1000,"Macro"),IF(AND(ISNUMBER($H273),N($H273)&gt;0),$H273,SUMIFS($H$5:$H$1000,$S$5:$S$1000,$S273,$V$5:$V$1000,"Macro")/COUNTIFS($S$5:$S$1000,$S273,$V$5:$V$1000,"Macro",$H$5:$H$1000,"&gt;0"))/(COUNTIFS($S$5:$S$1000,$S273,$V$5:$V$1000,"Macro")*SUMIFS($H$5:$H$1000,$S$5:$S$1000,$S273,$V$5:$V$1000,"Macro")/COUNTIFS($S$5:$S$1000,$S273,$V$5:$V$1000,"Macro",$H$5:$H$1000,"&gt;0"))))</f>
        <v/>
      </c>
      <c r="AH273" s="62" t="n"/>
      <c r="AI273" s="62" t="n"/>
      <c r="AJ273" s="62" t="n"/>
      <c r="AK273" s="62" t="n"/>
      <c r="AL273" s="62">
        <f>IF(LEFT($C273,11)="[Jefatura] ",IFERROR(MATCH("Riesgo Operacional|"&amp;MID($C273,12,500),rDname_ADM,0),0),"")</f>
        <v/>
      </c>
      <c r="AM273" s="62">
        <f>IF(N($AL273)&gt;0,INDEX(rIni_ADM,$AL273),IF(ISNUMBER($E273),$E273,""))</f>
        <v/>
      </c>
      <c r="AN273" s="62">
        <f>IF(N($AL273)&gt;0,INDEX(rLim_ADM,$AL273),IF(ISNUMBER($F273),$F273,""))</f>
        <v/>
      </c>
    </row>
    <row r="274">
      <c r="A274" s="56">
        <f>IF(NOT((COUNTA($B274:$D274)+COUNTA($G274:$L274)+COUNTA($Q274))&gt;0),"",IF($V274="Macro",COUNTIFS($V$5:$V274,"Macro",$S$5:$S274,$S274),IF(N($U274)=0,"?",COUNTIFS(INDEX($V$5:$V$1000,1):INDEX($V$5:$V$1000,$U274-4),"Macro",INDEX($S$5:$S$1000,1):INDEX($S$5:$S$1000,$U274-4),INDEX($S$5:$S$1000,$U274-4))&amp;"."&amp;COUNTIFS($U$5:$U274,$U274,$V$5:$V274,"Sub"))))</f>
        <v/>
      </c>
      <c r="B274" s="57" t="n"/>
      <c r="C274" s="58" t="n"/>
      <c r="D274" s="58" t="n"/>
      <c r="E274" s="59">
        <f>IF(N($AL274)&gt;0,INDEX(rIni_ADM,$AL274),"")</f>
        <v/>
      </c>
      <c r="F274" s="59">
        <f>IF(N($AL274)&gt;0,INDEX(rLim_ADM,$AL274),"")</f>
        <v/>
      </c>
      <c r="G274" s="59" t="n"/>
      <c r="H274" s="60" t="n"/>
      <c r="I274" s="60" t="n"/>
      <c r="J274" s="60" t="n"/>
      <c r="K274" s="60" t="n"/>
      <c r="L274" s="60" t="n"/>
      <c r="M274" s="61">
        <f>IF(NOT((COUNTA($B274:$D274)+COUNTA($G274:$L274)+COUNTA($Q274))&gt;0),"",IF(ISNUMBER($G274),1,IF(N($W274)&gt;0,AVERAGEIFS($X$5:$X$1000,$U$5:$U$1000,ROW(),$V$5:$V$1000,"Sub"),$X274)))</f>
        <v/>
      </c>
      <c r="N274" s="56">
        <f>IF($M274="","",IF($M274&gt;=1,"Completado",IF($M274&gt;0,"En curso","Pendiente")))</f>
        <v/>
      </c>
      <c r="O274" s="56">
        <f>IF(NOT((COUNTA($B274:$D274)+COUNTA($G274:$L274)+COUNTA($Q274))&gt;0),"",IF(ISNUMBER($G274),IF(AND(ISNUMBER($AN274),$G274&gt;$AN274),"Cumplida con "&amp;($G274-$AN274)&amp;IF($G274-$AN274=1," día"," días")&amp;" de retraso","Cumplida"),IF(N($M274)&gt;=1,"Cumplida",IF(NOT(ISNUMBER($AN274)),"Sin fecha límite",IF($AN274&lt;FechaRef,"Vencida hace "&amp;(FechaRef-$AN274)&amp;IF(FechaRef-$AN274=1," día"," días"),IF($AN274=FechaRef,"Vence hoy",IF($AN274-FechaRef&lt;=DiasAlerta,"Vence en "&amp;($AN274-FechaRef)&amp;IF($AN274-FechaRef=1," día"," días"),"En plazo")))))))</f>
        <v/>
      </c>
      <c r="P274" s="62" t="n"/>
      <c r="Q274" s="58" t="n"/>
      <c r="R274" s="63">
        <f>IF(NOT((COUNTA($B274:$D274)+COUNTA($G274:$L274)+COUNTA($Q274))&gt;0),"",IF((IF($C274="","Falta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",""))="","✔ OK","⚠ "&amp;LEFT(IF($C274="","Falta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",""),LEN(IF($C274="","Falta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",""))-3)))</f>
        <v/>
      </c>
      <c r="S274" s="64">
        <f>IF(NOT((COUNTA($B274:$D274)+COUNTA($G274:$L274)+COUNTA($Q274))&gt;0),"",IF(AND($V274="Sub",N($U274)&gt;0),IF(ISNUMBER(INDEX($AM$5:$AM$1000,$U274-4)),DATE(YEAR(INDEX($AM$5:$AM$1000,$U274-4)),MONTH(INDEX($AM$5:$AM$1000,$U274-4)),1),IF(ISNUMBER(INDEX($AN$5:$AN$1000,$U274-4)),DATE(YEAR(INDEX($AN$5:$AN$1000,$U274-4)),MONTH(INDEX($AN$5:$AN$1000,$U274-4)),1),MesCiclo)),IF(ISNUMBER($AM274),DATE(YEAR($AM274),MONTH($AM274),1),IF(ISNUMBER($AN274),DATE(YEAR($AN274),MONTH($AN274),1),MesCiclo))))</f>
        <v/>
      </c>
      <c r="T274" s="62">
        <f>IF(OR($S274="",$S274&lt;&gt;MesCiclo),"",COUNTIF($S$5:$S274,MesCiclo))</f>
        <v/>
      </c>
      <c r="U274" s="62">
        <f>IF($V274="","",IF($V274="Macro",ROW(),IFERROR(LOOKUP(2,1/($V$5:$V274="Macro"),ROW($V$5:$V274)),0)))</f>
        <v/>
      </c>
      <c r="V274" s="62">
        <f>IF(NOT((COUNTA($B274:$D274)+COUNTA($G274:$L274)+COUNTA($Q274))&gt;0),"",IF($B274="Subactividad","Sub","Macro"))</f>
        <v/>
      </c>
      <c r="W274" s="62">
        <f>IF($V274="Macro",COUNTIFS($U$5:$U$1000,ROW(),$V$5:$V$1000,"Sub"),"")</f>
        <v/>
      </c>
      <c r="X274" s="62">
        <f>IF($V274="","",IF(ISNUMBER($G274),1,IFERROR(LOOKUP(2,1/($I274:$L274&lt;&gt;""),$I274:$L274),0)))</f>
        <v/>
      </c>
      <c r="Y274" s="62">
        <f>IF($V274="","",IF(AND(ISNUMBER($G274),$G274&lt;=IF($S274=MesCiclo,InicioCiclo,$S274+MOD(2-WEEKDAY($S274),7))+6),1,IF(ISNUMBER($I274),$I274,0)))</f>
        <v/>
      </c>
      <c r="Z274" s="62">
        <f>IF($V274="","",IF(AND(ISNUMBER($G274),$G274&lt;=IF($S274=MesCiclo,InicioCiclo,$S274+MOD(2-WEEKDAY($S274),7))+13),1,IF(ISNUMBER($J274),$J274,$Y274)))</f>
        <v/>
      </c>
      <c r="AA274" s="62">
        <f>IF($V274="","",IF(AND(ISNUMBER($G274),$G274&lt;=IF($S274=MesCiclo,InicioCiclo,$S274+MOD(2-WEEKDAY($S274),7))+20),1,IF(ISNUMBER($K274),$K274,$Z274)))</f>
        <v/>
      </c>
      <c r="AB274" s="62">
        <f>IF($V274="","",IF(AND(ISNUMBER($G274),$G274&lt;=IF($S274=MesCiclo,InicioCiclo,$S274+MOD(2-WEEKDAY($S274),7))+27),1,IF(ISNUMBER($L274),$L274,$AA274)))</f>
        <v/>
      </c>
      <c r="AC274" s="62">
        <f>IF($V274="","",IF(AND(ISNUMBER($G274),$G274&lt;=IF($S274=MesCiclo,InicioCiclo,$S274+MOD(2-WEEKDAY($S274),7))+6),1,IF(N($W274)&gt;0,AVERAGEIFS($Y$5:$Y$1000,$U$5:$U$1000,ROW(),$V$5:$V$1000,"Sub"),$Y274)))</f>
        <v/>
      </c>
      <c r="AD274" s="62">
        <f>IF($V274="","",IF(AND(ISNUMBER($G274),$G274&lt;=IF($S274=MesCiclo,InicioCiclo,$S274+MOD(2-WEEKDAY($S274),7))+13),1,IF(N($W274)&gt;0,AVERAGEIFS($Z$5:$Z$1000,$U$5:$U$1000,ROW(),$V$5:$V$1000,"Sub"),$Z274)))</f>
        <v/>
      </c>
      <c r="AE274" s="62">
        <f>IF($V274="","",IF(AND(ISNUMBER($G274),$G274&lt;=IF($S274=MesCiclo,InicioCiclo,$S274+MOD(2-WEEKDAY($S274),7))+20),1,IF(N($W274)&gt;0,AVERAGEIFS($AA$5:$AA$1000,$U$5:$U$1000,ROW(),$V$5:$V$1000,"Sub"),$AA274)))</f>
        <v/>
      </c>
      <c r="AF274" s="62">
        <f>IF($V274="","",IF(AND(ISNUMBER($G274),$G274&lt;=IF($S274=MesCiclo,InicioCiclo,$S274+MOD(2-WEEKDAY($S274),7))+27),1,IF(N($W274)&gt;0,AVERAGEIFS($AB$5:$AB$1000,$U$5:$U$1000,ROW(),$V$5:$V$1000,"Sub"),$AB274)))</f>
        <v/>
      </c>
      <c r="AG274" s="62">
        <f>IF($V274&lt;&gt;"Macro","",IF(COUNTIFS($S$5:$S$1000,$S274,$V$5:$V$1000,"Macro",$H$5:$H$1000,"&gt;0")=0,1/COUNTIFS($S$5:$S$1000,$S274,$V$5:$V$1000,"Macro"),IF(AND(ISNUMBER($H274),N($H274)&gt;0),$H274,SUMIFS($H$5:$H$1000,$S$5:$S$1000,$S274,$V$5:$V$1000,"Macro")/COUNTIFS($S$5:$S$1000,$S274,$V$5:$V$1000,"Macro",$H$5:$H$1000,"&gt;0"))/(COUNTIFS($S$5:$S$1000,$S274,$V$5:$V$1000,"Macro")*SUMIFS($H$5:$H$1000,$S$5:$S$1000,$S274,$V$5:$V$1000,"Macro")/COUNTIFS($S$5:$S$1000,$S274,$V$5:$V$1000,"Macro",$H$5:$H$1000,"&gt;0"))))</f>
        <v/>
      </c>
      <c r="AH274" s="62" t="n"/>
      <c r="AI274" s="62" t="n"/>
      <c r="AJ274" s="62" t="n"/>
      <c r="AK274" s="62" t="n"/>
      <c r="AL274" s="62">
        <f>IF(LEFT($C274,11)="[Jefatura] ",IFERROR(MATCH("Riesgo Operacional|"&amp;MID($C274,12,500),rDname_ADM,0),0),"")</f>
        <v/>
      </c>
      <c r="AM274" s="62">
        <f>IF(N($AL274)&gt;0,INDEX(rIni_ADM,$AL274),IF(ISNUMBER($E274),$E274,""))</f>
        <v/>
      </c>
      <c r="AN274" s="62">
        <f>IF(N($AL274)&gt;0,INDEX(rLim_ADM,$AL274),IF(ISNUMBER($F274),$F274,""))</f>
        <v/>
      </c>
    </row>
    <row r="275">
      <c r="A275" s="56">
        <f>IF(NOT((COUNTA($B275:$D275)+COUNTA($G275:$L275)+COUNTA($Q275))&gt;0),"",IF($V275="Macro",COUNTIFS($V$5:$V275,"Macro",$S$5:$S275,$S275),IF(N($U275)=0,"?",COUNTIFS(INDEX($V$5:$V$1000,1):INDEX($V$5:$V$1000,$U275-4),"Macro",INDEX($S$5:$S$1000,1):INDEX($S$5:$S$1000,$U275-4),INDEX($S$5:$S$1000,$U275-4))&amp;"."&amp;COUNTIFS($U$5:$U275,$U275,$V$5:$V275,"Sub"))))</f>
        <v/>
      </c>
      <c r="B275" s="57" t="n"/>
      <c r="C275" s="58" t="n"/>
      <c r="D275" s="58" t="n"/>
      <c r="E275" s="59">
        <f>IF(N($AL275)&gt;0,INDEX(rIni_ADM,$AL275),"")</f>
        <v/>
      </c>
      <c r="F275" s="59">
        <f>IF(N($AL275)&gt;0,INDEX(rLim_ADM,$AL275),"")</f>
        <v/>
      </c>
      <c r="G275" s="59" t="n"/>
      <c r="H275" s="60" t="n"/>
      <c r="I275" s="60" t="n"/>
      <c r="J275" s="60" t="n"/>
      <c r="K275" s="60" t="n"/>
      <c r="L275" s="60" t="n"/>
      <c r="M275" s="61">
        <f>IF(NOT((COUNTA($B275:$D275)+COUNTA($G275:$L275)+COUNTA($Q275))&gt;0),"",IF(ISNUMBER($G275),1,IF(N($W275)&gt;0,AVERAGEIFS($X$5:$X$1000,$U$5:$U$1000,ROW(),$V$5:$V$1000,"Sub"),$X275)))</f>
        <v/>
      </c>
      <c r="N275" s="56">
        <f>IF($M275="","",IF($M275&gt;=1,"Completado",IF($M275&gt;0,"En curso","Pendiente")))</f>
        <v/>
      </c>
      <c r="O275" s="56">
        <f>IF(NOT((COUNTA($B275:$D275)+COUNTA($G275:$L275)+COUNTA($Q275))&gt;0),"",IF(ISNUMBER($G275),IF(AND(ISNUMBER($AN275),$G275&gt;$AN275),"Cumplida con "&amp;($G275-$AN275)&amp;IF($G275-$AN275=1," día"," días")&amp;" de retraso","Cumplida"),IF(N($M275)&gt;=1,"Cumplida",IF(NOT(ISNUMBER($AN275)),"Sin fecha límite",IF($AN275&lt;FechaRef,"Vencida hace "&amp;(FechaRef-$AN275)&amp;IF(FechaRef-$AN275=1," día"," días"),IF($AN275=FechaRef,"Vence hoy",IF($AN275-FechaRef&lt;=DiasAlerta,"Vence en "&amp;($AN275-FechaRef)&amp;IF($AN275-FechaRef=1," día"," días"),"En plazo")))))))</f>
        <v/>
      </c>
      <c r="P275" s="62" t="n"/>
      <c r="Q275" s="58" t="n"/>
      <c r="R275" s="63">
        <f>IF(NOT((COUNTA($B275:$D275)+COUNTA($G275:$L275)+COUNTA($Q275))&gt;0),"",IF((IF($C275="","Falta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",""))="","✔ OK","⚠ "&amp;LEFT(IF($C275="","Falta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",""),LEN(IF($C275="","Falta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",""))-3)))</f>
        <v/>
      </c>
      <c r="S275" s="64">
        <f>IF(NOT((COUNTA($B275:$D275)+COUNTA($G275:$L275)+COUNTA($Q275))&gt;0),"",IF(AND($V275="Sub",N($U275)&gt;0),IF(ISNUMBER(INDEX($AM$5:$AM$1000,$U275-4)),DATE(YEAR(INDEX($AM$5:$AM$1000,$U275-4)),MONTH(INDEX($AM$5:$AM$1000,$U275-4)),1),IF(ISNUMBER(INDEX($AN$5:$AN$1000,$U275-4)),DATE(YEAR(INDEX($AN$5:$AN$1000,$U275-4)),MONTH(INDEX($AN$5:$AN$1000,$U275-4)),1),MesCiclo)),IF(ISNUMBER($AM275),DATE(YEAR($AM275),MONTH($AM275),1),IF(ISNUMBER($AN275),DATE(YEAR($AN275),MONTH($AN275),1),MesCiclo))))</f>
        <v/>
      </c>
      <c r="T275" s="62">
        <f>IF(OR($S275="",$S275&lt;&gt;MesCiclo),"",COUNTIF($S$5:$S275,MesCiclo))</f>
        <v/>
      </c>
      <c r="U275" s="62">
        <f>IF($V275="","",IF($V275="Macro",ROW(),IFERROR(LOOKUP(2,1/($V$5:$V275="Macro"),ROW($V$5:$V275)),0)))</f>
        <v/>
      </c>
      <c r="V275" s="62">
        <f>IF(NOT((COUNTA($B275:$D275)+COUNTA($G275:$L275)+COUNTA($Q275))&gt;0),"",IF($B275="Subactividad","Sub","Macro"))</f>
        <v/>
      </c>
      <c r="W275" s="62">
        <f>IF($V275="Macro",COUNTIFS($U$5:$U$1000,ROW(),$V$5:$V$1000,"Sub"),"")</f>
        <v/>
      </c>
      <c r="X275" s="62">
        <f>IF($V275="","",IF(ISNUMBER($G275),1,IFERROR(LOOKUP(2,1/($I275:$L275&lt;&gt;""),$I275:$L275),0)))</f>
        <v/>
      </c>
      <c r="Y275" s="62">
        <f>IF($V275="","",IF(AND(ISNUMBER($G275),$G275&lt;=IF($S275=MesCiclo,InicioCiclo,$S275+MOD(2-WEEKDAY($S275),7))+6),1,IF(ISNUMBER($I275),$I275,0)))</f>
        <v/>
      </c>
      <c r="Z275" s="62">
        <f>IF($V275="","",IF(AND(ISNUMBER($G275),$G275&lt;=IF($S275=MesCiclo,InicioCiclo,$S275+MOD(2-WEEKDAY($S275),7))+13),1,IF(ISNUMBER($J275),$J275,$Y275)))</f>
        <v/>
      </c>
      <c r="AA275" s="62">
        <f>IF($V275="","",IF(AND(ISNUMBER($G275),$G275&lt;=IF($S275=MesCiclo,InicioCiclo,$S275+MOD(2-WEEKDAY($S275),7))+20),1,IF(ISNUMBER($K275),$K275,$Z275)))</f>
        <v/>
      </c>
      <c r="AB275" s="62">
        <f>IF($V275="","",IF(AND(ISNUMBER($G275),$G275&lt;=IF($S275=MesCiclo,InicioCiclo,$S275+MOD(2-WEEKDAY($S275),7))+27),1,IF(ISNUMBER($L275),$L275,$AA275)))</f>
        <v/>
      </c>
      <c r="AC275" s="62">
        <f>IF($V275="","",IF(AND(ISNUMBER($G275),$G275&lt;=IF($S275=MesCiclo,InicioCiclo,$S275+MOD(2-WEEKDAY($S275),7))+6),1,IF(N($W275)&gt;0,AVERAGEIFS($Y$5:$Y$1000,$U$5:$U$1000,ROW(),$V$5:$V$1000,"Sub"),$Y275)))</f>
        <v/>
      </c>
      <c r="AD275" s="62">
        <f>IF($V275="","",IF(AND(ISNUMBER($G275),$G275&lt;=IF($S275=MesCiclo,InicioCiclo,$S275+MOD(2-WEEKDAY($S275),7))+13),1,IF(N($W275)&gt;0,AVERAGEIFS($Z$5:$Z$1000,$U$5:$U$1000,ROW(),$V$5:$V$1000,"Sub"),$Z275)))</f>
        <v/>
      </c>
      <c r="AE275" s="62">
        <f>IF($V275="","",IF(AND(ISNUMBER($G275),$G275&lt;=IF($S275=MesCiclo,InicioCiclo,$S275+MOD(2-WEEKDAY($S275),7))+20),1,IF(N($W275)&gt;0,AVERAGEIFS($AA$5:$AA$1000,$U$5:$U$1000,ROW(),$V$5:$V$1000,"Sub"),$AA275)))</f>
        <v/>
      </c>
      <c r="AF275" s="62">
        <f>IF($V275="","",IF(AND(ISNUMBER($G275),$G275&lt;=IF($S275=MesCiclo,InicioCiclo,$S275+MOD(2-WEEKDAY($S275),7))+27),1,IF(N($W275)&gt;0,AVERAGEIFS($AB$5:$AB$1000,$U$5:$U$1000,ROW(),$V$5:$V$1000,"Sub"),$AB275)))</f>
        <v/>
      </c>
      <c r="AG275" s="62">
        <f>IF($V275&lt;&gt;"Macro","",IF(COUNTIFS($S$5:$S$1000,$S275,$V$5:$V$1000,"Macro",$H$5:$H$1000,"&gt;0")=0,1/COUNTIFS($S$5:$S$1000,$S275,$V$5:$V$1000,"Macro"),IF(AND(ISNUMBER($H275),N($H275)&gt;0),$H275,SUMIFS($H$5:$H$1000,$S$5:$S$1000,$S275,$V$5:$V$1000,"Macro")/COUNTIFS($S$5:$S$1000,$S275,$V$5:$V$1000,"Macro",$H$5:$H$1000,"&gt;0"))/(COUNTIFS($S$5:$S$1000,$S275,$V$5:$V$1000,"Macro")*SUMIFS($H$5:$H$1000,$S$5:$S$1000,$S275,$V$5:$V$1000,"Macro")/COUNTIFS($S$5:$S$1000,$S275,$V$5:$V$1000,"Macro",$H$5:$H$1000,"&gt;0"))))</f>
        <v/>
      </c>
      <c r="AH275" s="62" t="n"/>
      <c r="AI275" s="62" t="n"/>
      <c r="AJ275" s="62" t="n"/>
      <c r="AK275" s="62" t="n"/>
      <c r="AL275" s="62">
        <f>IF(LEFT($C275,11)="[Jefatura] ",IFERROR(MATCH("Riesgo Operacional|"&amp;MID($C275,12,500),rDname_ADM,0),0),"")</f>
        <v/>
      </c>
      <c r="AM275" s="62">
        <f>IF(N($AL275)&gt;0,INDEX(rIni_ADM,$AL275),IF(ISNUMBER($E275),$E275,""))</f>
        <v/>
      </c>
      <c r="AN275" s="62">
        <f>IF(N($AL275)&gt;0,INDEX(rLim_ADM,$AL275),IF(ISNUMBER($F275),$F275,""))</f>
        <v/>
      </c>
    </row>
    <row r="276">
      <c r="A276" s="56">
        <f>IF(NOT((COUNTA($B276:$D276)+COUNTA($G276:$L276)+COUNTA($Q276))&gt;0),"",IF($V276="Macro",COUNTIFS($V$5:$V276,"Macro",$S$5:$S276,$S276),IF(N($U276)=0,"?",COUNTIFS(INDEX($V$5:$V$1000,1):INDEX($V$5:$V$1000,$U276-4),"Macro",INDEX($S$5:$S$1000,1):INDEX($S$5:$S$1000,$U276-4),INDEX($S$5:$S$1000,$U276-4))&amp;"."&amp;COUNTIFS($U$5:$U276,$U276,$V$5:$V276,"Sub"))))</f>
        <v/>
      </c>
      <c r="B276" s="57" t="n"/>
      <c r="C276" s="58" t="n"/>
      <c r="D276" s="58" t="n"/>
      <c r="E276" s="59">
        <f>IF(N($AL276)&gt;0,INDEX(rIni_ADM,$AL276),"")</f>
        <v/>
      </c>
      <c r="F276" s="59">
        <f>IF(N($AL276)&gt;0,INDEX(rLim_ADM,$AL276),"")</f>
        <v/>
      </c>
      <c r="G276" s="59" t="n"/>
      <c r="H276" s="60" t="n"/>
      <c r="I276" s="60" t="n"/>
      <c r="J276" s="60" t="n"/>
      <c r="K276" s="60" t="n"/>
      <c r="L276" s="60" t="n"/>
      <c r="M276" s="61">
        <f>IF(NOT((COUNTA($B276:$D276)+COUNTA($G276:$L276)+COUNTA($Q276))&gt;0),"",IF(ISNUMBER($G276),1,IF(N($W276)&gt;0,AVERAGEIFS($X$5:$X$1000,$U$5:$U$1000,ROW(),$V$5:$V$1000,"Sub"),$X276)))</f>
        <v/>
      </c>
      <c r="N276" s="56">
        <f>IF($M276="","",IF($M276&gt;=1,"Completado",IF($M276&gt;0,"En curso","Pendiente")))</f>
        <v/>
      </c>
      <c r="O276" s="56">
        <f>IF(NOT((COUNTA($B276:$D276)+COUNTA($G276:$L276)+COUNTA($Q276))&gt;0),"",IF(ISNUMBER($G276),IF(AND(ISNUMBER($AN276),$G276&gt;$AN276),"Cumplida con "&amp;($G276-$AN276)&amp;IF($G276-$AN276=1," día"," días")&amp;" de retraso","Cumplida"),IF(N($M276)&gt;=1,"Cumplida",IF(NOT(ISNUMBER($AN276)),"Sin fecha límite",IF($AN276&lt;FechaRef,"Vencida hace "&amp;(FechaRef-$AN276)&amp;IF(FechaRef-$AN276=1," día"," días"),IF($AN276=FechaRef,"Vence hoy",IF($AN276-FechaRef&lt;=DiasAlerta,"Vence en "&amp;($AN276-FechaRef)&amp;IF($AN276-FechaRef=1," día"," días"),"En plazo")))))))</f>
        <v/>
      </c>
      <c r="P276" s="62" t="n"/>
      <c r="Q276" s="58" t="n"/>
      <c r="R276" s="63">
        <f>IF(NOT((COUNTA($B276:$D276)+COUNTA($G276:$L276)+COUNTA($Q276))&gt;0),"",IF((IF($C276="","Falta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",""))="","✔ OK","⚠ "&amp;LEFT(IF($C276="","Falta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",""),LEN(IF($C276="","Falta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",""))-3)))</f>
        <v/>
      </c>
      <c r="S276" s="64">
        <f>IF(NOT((COUNTA($B276:$D276)+COUNTA($G276:$L276)+COUNTA($Q276))&gt;0),"",IF(AND($V276="Sub",N($U276)&gt;0),IF(ISNUMBER(INDEX($AM$5:$AM$1000,$U276-4)),DATE(YEAR(INDEX($AM$5:$AM$1000,$U276-4)),MONTH(INDEX($AM$5:$AM$1000,$U276-4)),1),IF(ISNUMBER(INDEX($AN$5:$AN$1000,$U276-4)),DATE(YEAR(INDEX($AN$5:$AN$1000,$U276-4)),MONTH(INDEX($AN$5:$AN$1000,$U276-4)),1),MesCiclo)),IF(ISNUMBER($AM276),DATE(YEAR($AM276),MONTH($AM276),1),IF(ISNUMBER($AN276),DATE(YEAR($AN276),MONTH($AN276),1),MesCiclo))))</f>
        <v/>
      </c>
      <c r="T276" s="62">
        <f>IF(OR($S276="",$S276&lt;&gt;MesCiclo),"",COUNTIF($S$5:$S276,MesCiclo))</f>
        <v/>
      </c>
      <c r="U276" s="62">
        <f>IF($V276="","",IF($V276="Macro",ROW(),IFERROR(LOOKUP(2,1/($V$5:$V276="Macro"),ROW($V$5:$V276)),0)))</f>
        <v/>
      </c>
      <c r="V276" s="62">
        <f>IF(NOT((COUNTA($B276:$D276)+COUNTA($G276:$L276)+COUNTA($Q276))&gt;0),"",IF($B276="Subactividad","Sub","Macro"))</f>
        <v/>
      </c>
      <c r="W276" s="62">
        <f>IF($V276="Macro",COUNTIFS($U$5:$U$1000,ROW(),$V$5:$V$1000,"Sub"),"")</f>
        <v/>
      </c>
      <c r="X276" s="62">
        <f>IF($V276="","",IF(ISNUMBER($G276),1,IFERROR(LOOKUP(2,1/($I276:$L276&lt;&gt;""),$I276:$L276),0)))</f>
        <v/>
      </c>
      <c r="Y276" s="62">
        <f>IF($V276="","",IF(AND(ISNUMBER($G276),$G276&lt;=IF($S276=MesCiclo,InicioCiclo,$S276+MOD(2-WEEKDAY($S276),7))+6),1,IF(ISNUMBER($I276),$I276,0)))</f>
        <v/>
      </c>
      <c r="Z276" s="62">
        <f>IF($V276="","",IF(AND(ISNUMBER($G276),$G276&lt;=IF($S276=MesCiclo,InicioCiclo,$S276+MOD(2-WEEKDAY($S276),7))+13),1,IF(ISNUMBER($J276),$J276,$Y276)))</f>
        <v/>
      </c>
      <c r="AA276" s="62">
        <f>IF($V276="","",IF(AND(ISNUMBER($G276),$G276&lt;=IF($S276=MesCiclo,InicioCiclo,$S276+MOD(2-WEEKDAY($S276),7))+20),1,IF(ISNUMBER($K276),$K276,$Z276)))</f>
        <v/>
      </c>
      <c r="AB276" s="62">
        <f>IF($V276="","",IF(AND(ISNUMBER($G276),$G276&lt;=IF($S276=MesCiclo,InicioCiclo,$S276+MOD(2-WEEKDAY($S276),7))+27),1,IF(ISNUMBER($L276),$L276,$AA276)))</f>
        <v/>
      </c>
      <c r="AC276" s="62">
        <f>IF($V276="","",IF(AND(ISNUMBER($G276),$G276&lt;=IF($S276=MesCiclo,InicioCiclo,$S276+MOD(2-WEEKDAY($S276),7))+6),1,IF(N($W276)&gt;0,AVERAGEIFS($Y$5:$Y$1000,$U$5:$U$1000,ROW(),$V$5:$V$1000,"Sub"),$Y276)))</f>
        <v/>
      </c>
      <c r="AD276" s="62">
        <f>IF($V276="","",IF(AND(ISNUMBER($G276),$G276&lt;=IF($S276=MesCiclo,InicioCiclo,$S276+MOD(2-WEEKDAY($S276),7))+13),1,IF(N($W276)&gt;0,AVERAGEIFS($Z$5:$Z$1000,$U$5:$U$1000,ROW(),$V$5:$V$1000,"Sub"),$Z276)))</f>
        <v/>
      </c>
      <c r="AE276" s="62">
        <f>IF($V276="","",IF(AND(ISNUMBER($G276),$G276&lt;=IF($S276=MesCiclo,InicioCiclo,$S276+MOD(2-WEEKDAY($S276),7))+20),1,IF(N($W276)&gt;0,AVERAGEIFS($AA$5:$AA$1000,$U$5:$U$1000,ROW(),$V$5:$V$1000,"Sub"),$AA276)))</f>
        <v/>
      </c>
      <c r="AF276" s="62">
        <f>IF($V276="","",IF(AND(ISNUMBER($G276),$G276&lt;=IF($S276=MesCiclo,InicioCiclo,$S276+MOD(2-WEEKDAY($S276),7))+27),1,IF(N($W276)&gt;0,AVERAGEIFS($AB$5:$AB$1000,$U$5:$U$1000,ROW(),$V$5:$V$1000,"Sub"),$AB276)))</f>
        <v/>
      </c>
      <c r="AG276" s="62">
        <f>IF($V276&lt;&gt;"Macro","",IF(COUNTIFS($S$5:$S$1000,$S276,$V$5:$V$1000,"Macro",$H$5:$H$1000,"&gt;0")=0,1/COUNTIFS($S$5:$S$1000,$S276,$V$5:$V$1000,"Macro"),IF(AND(ISNUMBER($H276),N($H276)&gt;0),$H276,SUMIFS($H$5:$H$1000,$S$5:$S$1000,$S276,$V$5:$V$1000,"Macro")/COUNTIFS($S$5:$S$1000,$S276,$V$5:$V$1000,"Macro",$H$5:$H$1000,"&gt;0"))/(COUNTIFS($S$5:$S$1000,$S276,$V$5:$V$1000,"Macro")*SUMIFS($H$5:$H$1000,$S$5:$S$1000,$S276,$V$5:$V$1000,"Macro")/COUNTIFS($S$5:$S$1000,$S276,$V$5:$V$1000,"Macro",$H$5:$H$1000,"&gt;0"))))</f>
        <v/>
      </c>
      <c r="AH276" s="62" t="n"/>
      <c r="AI276" s="62" t="n"/>
      <c r="AJ276" s="62" t="n"/>
      <c r="AK276" s="62" t="n"/>
      <c r="AL276" s="62">
        <f>IF(LEFT($C276,11)="[Jefatura] ",IFERROR(MATCH("Riesgo Operacional|"&amp;MID($C276,12,500),rDname_ADM,0),0),"")</f>
        <v/>
      </c>
      <c r="AM276" s="62">
        <f>IF(N($AL276)&gt;0,INDEX(rIni_ADM,$AL276),IF(ISNUMBER($E276),$E276,""))</f>
        <v/>
      </c>
      <c r="AN276" s="62">
        <f>IF(N($AL276)&gt;0,INDEX(rLim_ADM,$AL276),IF(ISNUMBER($F276),$F276,""))</f>
        <v/>
      </c>
    </row>
    <row r="277">
      <c r="A277" s="56">
        <f>IF(NOT((COUNTA($B277:$D277)+COUNTA($G277:$L277)+COUNTA($Q277))&gt;0),"",IF($V277="Macro",COUNTIFS($V$5:$V277,"Macro",$S$5:$S277,$S277),IF(N($U277)=0,"?",COUNTIFS(INDEX($V$5:$V$1000,1):INDEX($V$5:$V$1000,$U277-4),"Macro",INDEX($S$5:$S$1000,1):INDEX($S$5:$S$1000,$U277-4),INDEX($S$5:$S$1000,$U277-4))&amp;"."&amp;COUNTIFS($U$5:$U277,$U277,$V$5:$V277,"Sub"))))</f>
        <v/>
      </c>
      <c r="B277" s="57" t="n"/>
      <c r="C277" s="58" t="n"/>
      <c r="D277" s="58" t="n"/>
      <c r="E277" s="59">
        <f>IF(N($AL277)&gt;0,INDEX(rIni_ADM,$AL277),"")</f>
        <v/>
      </c>
      <c r="F277" s="59">
        <f>IF(N($AL277)&gt;0,INDEX(rLim_ADM,$AL277),"")</f>
        <v/>
      </c>
      <c r="G277" s="59" t="n"/>
      <c r="H277" s="60" t="n"/>
      <c r="I277" s="60" t="n"/>
      <c r="J277" s="60" t="n"/>
      <c r="K277" s="60" t="n"/>
      <c r="L277" s="60" t="n"/>
      <c r="M277" s="61">
        <f>IF(NOT((COUNTA($B277:$D277)+COUNTA($G277:$L277)+COUNTA($Q277))&gt;0),"",IF(ISNUMBER($G277),1,IF(N($W277)&gt;0,AVERAGEIFS($X$5:$X$1000,$U$5:$U$1000,ROW(),$V$5:$V$1000,"Sub"),$X277)))</f>
        <v/>
      </c>
      <c r="N277" s="56">
        <f>IF($M277="","",IF($M277&gt;=1,"Completado",IF($M277&gt;0,"En curso","Pendiente")))</f>
        <v/>
      </c>
      <c r="O277" s="56">
        <f>IF(NOT((COUNTA($B277:$D277)+COUNTA($G277:$L277)+COUNTA($Q277))&gt;0),"",IF(ISNUMBER($G277),IF(AND(ISNUMBER($AN277),$G277&gt;$AN277),"Cumplida con "&amp;($G277-$AN277)&amp;IF($G277-$AN277=1," día"," días")&amp;" de retraso","Cumplida"),IF(N($M277)&gt;=1,"Cumplida",IF(NOT(ISNUMBER($AN277)),"Sin fecha límite",IF($AN277&lt;FechaRef,"Vencida hace "&amp;(FechaRef-$AN277)&amp;IF(FechaRef-$AN277=1," día"," días"),IF($AN277=FechaRef,"Vence hoy",IF($AN277-FechaRef&lt;=DiasAlerta,"Vence en "&amp;($AN277-FechaRef)&amp;IF($AN277-FechaRef=1," día"," días"),"En plazo")))))))</f>
        <v/>
      </c>
      <c r="P277" s="62" t="n"/>
      <c r="Q277" s="58" t="n"/>
      <c r="R277" s="63">
        <f>IF(NOT((COUNTA($B277:$D277)+COUNTA($G277:$L277)+COUNTA($Q277))&gt;0),"",IF((IF($C277="","Falta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",""))="","✔ OK","⚠ "&amp;LEFT(IF($C277="","Falta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",""),LEN(IF($C277="","Falta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",""))-3)))</f>
        <v/>
      </c>
      <c r="S277" s="64">
        <f>IF(NOT((COUNTA($B277:$D277)+COUNTA($G277:$L277)+COUNTA($Q277))&gt;0),"",IF(AND($V277="Sub",N($U277)&gt;0),IF(ISNUMBER(INDEX($AM$5:$AM$1000,$U277-4)),DATE(YEAR(INDEX($AM$5:$AM$1000,$U277-4)),MONTH(INDEX($AM$5:$AM$1000,$U277-4)),1),IF(ISNUMBER(INDEX($AN$5:$AN$1000,$U277-4)),DATE(YEAR(INDEX($AN$5:$AN$1000,$U277-4)),MONTH(INDEX($AN$5:$AN$1000,$U277-4)),1),MesCiclo)),IF(ISNUMBER($AM277),DATE(YEAR($AM277),MONTH($AM277),1),IF(ISNUMBER($AN277),DATE(YEAR($AN277),MONTH($AN277),1),MesCiclo))))</f>
        <v/>
      </c>
      <c r="T277" s="62">
        <f>IF(OR($S277="",$S277&lt;&gt;MesCiclo),"",COUNTIF($S$5:$S277,MesCiclo))</f>
        <v/>
      </c>
      <c r="U277" s="62">
        <f>IF($V277="","",IF($V277="Macro",ROW(),IFERROR(LOOKUP(2,1/($V$5:$V277="Macro"),ROW($V$5:$V277)),0)))</f>
        <v/>
      </c>
      <c r="V277" s="62">
        <f>IF(NOT((COUNTA($B277:$D277)+COUNTA($G277:$L277)+COUNTA($Q277))&gt;0),"",IF($B277="Subactividad","Sub","Macro"))</f>
        <v/>
      </c>
      <c r="W277" s="62">
        <f>IF($V277="Macro",COUNTIFS($U$5:$U$1000,ROW(),$V$5:$V$1000,"Sub"),"")</f>
        <v/>
      </c>
      <c r="X277" s="62">
        <f>IF($V277="","",IF(ISNUMBER($G277),1,IFERROR(LOOKUP(2,1/($I277:$L277&lt;&gt;""),$I277:$L277),0)))</f>
        <v/>
      </c>
      <c r="Y277" s="62">
        <f>IF($V277="","",IF(AND(ISNUMBER($G277),$G277&lt;=IF($S277=MesCiclo,InicioCiclo,$S277+MOD(2-WEEKDAY($S277),7))+6),1,IF(ISNUMBER($I277),$I277,0)))</f>
        <v/>
      </c>
      <c r="Z277" s="62">
        <f>IF($V277="","",IF(AND(ISNUMBER($G277),$G277&lt;=IF($S277=MesCiclo,InicioCiclo,$S277+MOD(2-WEEKDAY($S277),7))+13),1,IF(ISNUMBER($J277),$J277,$Y277)))</f>
        <v/>
      </c>
      <c r="AA277" s="62">
        <f>IF($V277="","",IF(AND(ISNUMBER($G277),$G277&lt;=IF($S277=MesCiclo,InicioCiclo,$S277+MOD(2-WEEKDAY($S277),7))+20),1,IF(ISNUMBER($K277),$K277,$Z277)))</f>
        <v/>
      </c>
      <c r="AB277" s="62">
        <f>IF($V277="","",IF(AND(ISNUMBER($G277),$G277&lt;=IF($S277=MesCiclo,InicioCiclo,$S277+MOD(2-WEEKDAY($S277),7))+27),1,IF(ISNUMBER($L277),$L277,$AA277)))</f>
        <v/>
      </c>
      <c r="AC277" s="62">
        <f>IF($V277="","",IF(AND(ISNUMBER($G277),$G277&lt;=IF($S277=MesCiclo,InicioCiclo,$S277+MOD(2-WEEKDAY($S277),7))+6),1,IF(N($W277)&gt;0,AVERAGEIFS($Y$5:$Y$1000,$U$5:$U$1000,ROW(),$V$5:$V$1000,"Sub"),$Y277)))</f>
        <v/>
      </c>
      <c r="AD277" s="62">
        <f>IF($V277="","",IF(AND(ISNUMBER($G277),$G277&lt;=IF($S277=MesCiclo,InicioCiclo,$S277+MOD(2-WEEKDAY($S277),7))+13),1,IF(N($W277)&gt;0,AVERAGEIFS($Z$5:$Z$1000,$U$5:$U$1000,ROW(),$V$5:$V$1000,"Sub"),$Z277)))</f>
        <v/>
      </c>
      <c r="AE277" s="62">
        <f>IF($V277="","",IF(AND(ISNUMBER($G277),$G277&lt;=IF($S277=MesCiclo,InicioCiclo,$S277+MOD(2-WEEKDAY($S277),7))+20),1,IF(N($W277)&gt;0,AVERAGEIFS($AA$5:$AA$1000,$U$5:$U$1000,ROW(),$V$5:$V$1000,"Sub"),$AA277)))</f>
        <v/>
      </c>
      <c r="AF277" s="62">
        <f>IF($V277="","",IF(AND(ISNUMBER($G277),$G277&lt;=IF($S277=MesCiclo,InicioCiclo,$S277+MOD(2-WEEKDAY($S277),7))+27),1,IF(N($W277)&gt;0,AVERAGEIFS($AB$5:$AB$1000,$U$5:$U$1000,ROW(),$V$5:$V$1000,"Sub"),$AB277)))</f>
        <v/>
      </c>
      <c r="AG277" s="62">
        <f>IF($V277&lt;&gt;"Macro","",IF(COUNTIFS($S$5:$S$1000,$S277,$V$5:$V$1000,"Macro",$H$5:$H$1000,"&gt;0")=0,1/COUNTIFS($S$5:$S$1000,$S277,$V$5:$V$1000,"Macro"),IF(AND(ISNUMBER($H277),N($H277)&gt;0),$H277,SUMIFS($H$5:$H$1000,$S$5:$S$1000,$S277,$V$5:$V$1000,"Macro")/COUNTIFS($S$5:$S$1000,$S277,$V$5:$V$1000,"Macro",$H$5:$H$1000,"&gt;0"))/(COUNTIFS($S$5:$S$1000,$S277,$V$5:$V$1000,"Macro")*SUMIFS($H$5:$H$1000,$S$5:$S$1000,$S277,$V$5:$V$1000,"Macro")/COUNTIFS($S$5:$S$1000,$S277,$V$5:$V$1000,"Macro",$H$5:$H$1000,"&gt;0"))))</f>
        <v/>
      </c>
      <c r="AH277" s="62" t="n"/>
      <c r="AI277" s="62" t="n"/>
      <c r="AJ277" s="62" t="n"/>
      <c r="AK277" s="62" t="n"/>
      <c r="AL277" s="62">
        <f>IF(LEFT($C277,11)="[Jefatura] ",IFERROR(MATCH("Riesgo Operacional|"&amp;MID($C277,12,500),rDname_ADM,0),0),"")</f>
        <v/>
      </c>
      <c r="AM277" s="62">
        <f>IF(N($AL277)&gt;0,INDEX(rIni_ADM,$AL277),IF(ISNUMBER($E277),$E277,""))</f>
        <v/>
      </c>
      <c r="AN277" s="62">
        <f>IF(N($AL277)&gt;0,INDEX(rLim_ADM,$AL277),IF(ISNUMBER($F277),$F277,""))</f>
        <v/>
      </c>
    </row>
    <row r="278">
      <c r="A278" s="56">
        <f>IF(NOT((COUNTA($B278:$D278)+COUNTA($G278:$L278)+COUNTA($Q278))&gt;0),"",IF($V278="Macro",COUNTIFS($V$5:$V278,"Macro",$S$5:$S278,$S278),IF(N($U278)=0,"?",COUNTIFS(INDEX($V$5:$V$1000,1):INDEX($V$5:$V$1000,$U278-4),"Macro",INDEX($S$5:$S$1000,1):INDEX($S$5:$S$1000,$U278-4),INDEX($S$5:$S$1000,$U278-4))&amp;"."&amp;COUNTIFS($U$5:$U278,$U278,$V$5:$V278,"Sub"))))</f>
        <v/>
      </c>
      <c r="B278" s="57" t="n"/>
      <c r="C278" s="58" t="n"/>
      <c r="D278" s="58" t="n"/>
      <c r="E278" s="59">
        <f>IF(N($AL278)&gt;0,INDEX(rIni_ADM,$AL278),"")</f>
        <v/>
      </c>
      <c r="F278" s="59">
        <f>IF(N($AL278)&gt;0,INDEX(rLim_ADM,$AL278),"")</f>
        <v/>
      </c>
      <c r="G278" s="59" t="n"/>
      <c r="H278" s="60" t="n"/>
      <c r="I278" s="60" t="n"/>
      <c r="J278" s="60" t="n"/>
      <c r="K278" s="60" t="n"/>
      <c r="L278" s="60" t="n"/>
      <c r="M278" s="61">
        <f>IF(NOT((COUNTA($B278:$D278)+COUNTA($G278:$L278)+COUNTA($Q278))&gt;0),"",IF(ISNUMBER($G278),1,IF(N($W278)&gt;0,AVERAGEIFS($X$5:$X$1000,$U$5:$U$1000,ROW(),$V$5:$V$1000,"Sub"),$X278)))</f>
        <v/>
      </c>
      <c r="N278" s="56">
        <f>IF($M278="","",IF($M278&gt;=1,"Completado",IF($M278&gt;0,"En curso","Pendiente")))</f>
        <v/>
      </c>
      <c r="O278" s="56">
        <f>IF(NOT((COUNTA($B278:$D278)+COUNTA($G278:$L278)+COUNTA($Q278))&gt;0),"",IF(ISNUMBER($G278),IF(AND(ISNUMBER($AN278),$G278&gt;$AN278),"Cumplida con "&amp;($G278-$AN278)&amp;IF($G278-$AN278=1," día"," días")&amp;" de retraso","Cumplida"),IF(N($M278)&gt;=1,"Cumplida",IF(NOT(ISNUMBER($AN278)),"Sin fecha límite",IF($AN278&lt;FechaRef,"Vencida hace "&amp;(FechaRef-$AN278)&amp;IF(FechaRef-$AN278=1," día"," días"),IF($AN278=FechaRef,"Vence hoy",IF($AN278-FechaRef&lt;=DiasAlerta,"Vence en "&amp;($AN278-FechaRef)&amp;IF($AN278-FechaRef=1," día"," días"),"En plazo")))))))</f>
        <v/>
      </c>
      <c r="P278" s="62" t="n"/>
      <c r="Q278" s="58" t="n"/>
      <c r="R278" s="63">
        <f>IF(NOT((COUNTA($B278:$D278)+COUNTA($G278:$L278)+COUNTA($Q278))&gt;0),"",IF((IF($C278="","Falta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",""))="","✔ OK","⚠ "&amp;LEFT(IF($C278="","Falta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",""),LEN(IF($C278="","Falta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",""))-3)))</f>
        <v/>
      </c>
      <c r="S278" s="64">
        <f>IF(NOT((COUNTA($B278:$D278)+COUNTA($G278:$L278)+COUNTA($Q278))&gt;0),"",IF(AND($V278="Sub",N($U278)&gt;0),IF(ISNUMBER(INDEX($AM$5:$AM$1000,$U278-4)),DATE(YEAR(INDEX($AM$5:$AM$1000,$U278-4)),MONTH(INDEX($AM$5:$AM$1000,$U278-4)),1),IF(ISNUMBER(INDEX($AN$5:$AN$1000,$U278-4)),DATE(YEAR(INDEX($AN$5:$AN$1000,$U278-4)),MONTH(INDEX($AN$5:$AN$1000,$U278-4)),1),MesCiclo)),IF(ISNUMBER($AM278),DATE(YEAR($AM278),MONTH($AM278),1),IF(ISNUMBER($AN278),DATE(YEAR($AN278),MONTH($AN278),1),MesCiclo))))</f>
        <v/>
      </c>
      <c r="T278" s="62">
        <f>IF(OR($S278="",$S278&lt;&gt;MesCiclo),"",COUNTIF($S$5:$S278,MesCiclo))</f>
        <v/>
      </c>
      <c r="U278" s="62">
        <f>IF($V278="","",IF($V278="Macro",ROW(),IFERROR(LOOKUP(2,1/($V$5:$V278="Macro"),ROW($V$5:$V278)),0)))</f>
        <v/>
      </c>
      <c r="V278" s="62">
        <f>IF(NOT((COUNTA($B278:$D278)+COUNTA($G278:$L278)+COUNTA($Q278))&gt;0),"",IF($B278="Subactividad","Sub","Macro"))</f>
        <v/>
      </c>
      <c r="W278" s="62">
        <f>IF($V278="Macro",COUNTIFS($U$5:$U$1000,ROW(),$V$5:$V$1000,"Sub"),"")</f>
        <v/>
      </c>
      <c r="X278" s="62">
        <f>IF($V278="","",IF(ISNUMBER($G278),1,IFERROR(LOOKUP(2,1/($I278:$L278&lt;&gt;""),$I278:$L278),0)))</f>
        <v/>
      </c>
      <c r="Y278" s="62">
        <f>IF($V278="","",IF(AND(ISNUMBER($G278),$G278&lt;=IF($S278=MesCiclo,InicioCiclo,$S278+MOD(2-WEEKDAY($S278),7))+6),1,IF(ISNUMBER($I278),$I278,0)))</f>
        <v/>
      </c>
      <c r="Z278" s="62">
        <f>IF($V278="","",IF(AND(ISNUMBER($G278),$G278&lt;=IF($S278=MesCiclo,InicioCiclo,$S278+MOD(2-WEEKDAY($S278),7))+13),1,IF(ISNUMBER($J278),$J278,$Y278)))</f>
        <v/>
      </c>
      <c r="AA278" s="62">
        <f>IF($V278="","",IF(AND(ISNUMBER($G278),$G278&lt;=IF($S278=MesCiclo,InicioCiclo,$S278+MOD(2-WEEKDAY($S278),7))+20),1,IF(ISNUMBER($K278),$K278,$Z278)))</f>
        <v/>
      </c>
      <c r="AB278" s="62">
        <f>IF($V278="","",IF(AND(ISNUMBER($G278),$G278&lt;=IF($S278=MesCiclo,InicioCiclo,$S278+MOD(2-WEEKDAY($S278),7))+27),1,IF(ISNUMBER($L278),$L278,$AA278)))</f>
        <v/>
      </c>
      <c r="AC278" s="62">
        <f>IF($V278="","",IF(AND(ISNUMBER($G278),$G278&lt;=IF($S278=MesCiclo,InicioCiclo,$S278+MOD(2-WEEKDAY($S278),7))+6),1,IF(N($W278)&gt;0,AVERAGEIFS($Y$5:$Y$1000,$U$5:$U$1000,ROW(),$V$5:$V$1000,"Sub"),$Y278)))</f>
        <v/>
      </c>
      <c r="AD278" s="62">
        <f>IF($V278="","",IF(AND(ISNUMBER($G278),$G278&lt;=IF($S278=MesCiclo,InicioCiclo,$S278+MOD(2-WEEKDAY($S278),7))+13),1,IF(N($W278)&gt;0,AVERAGEIFS($Z$5:$Z$1000,$U$5:$U$1000,ROW(),$V$5:$V$1000,"Sub"),$Z278)))</f>
        <v/>
      </c>
      <c r="AE278" s="62">
        <f>IF($V278="","",IF(AND(ISNUMBER($G278),$G278&lt;=IF($S278=MesCiclo,InicioCiclo,$S278+MOD(2-WEEKDAY($S278),7))+20),1,IF(N($W278)&gt;0,AVERAGEIFS($AA$5:$AA$1000,$U$5:$U$1000,ROW(),$V$5:$V$1000,"Sub"),$AA278)))</f>
        <v/>
      </c>
      <c r="AF278" s="62">
        <f>IF($V278="","",IF(AND(ISNUMBER($G278),$G278&lt;=IF($S278=MesCiclo,InicioCiclo,$S278+MOD(2-WEEKDAY($S278),7))+27),1,IF(N($W278)&gt;0,AVERAGEIFS($AB$5:$AB$1000,$U$5:$U$1000,ROW(),$V$5:$V$1000,"Sub"),$AB278)))</f>
        <v/>
      </c>
      <c r="AG278" s="62">
        <f>IF($V278&lt;&gt;"Macro","",IF(COUNTIFS($S$5:$S$1000,$S278,$V$5:$V$1000,"Macro",$H$5:$H$1000,"&gt;0")=0,1/COUNTIFS($S$5:$S$1000,$S278,$V$5:$V$1000,"Macro"),IF(AND(ISNUMBER($H278),N($H278)&gt;0),$H278,SUMIFS($H$5:$H$1000,$S$5:$S$1000,$S278,$V$5:$V$1000,"Macro")/COUNTIFS($S$5:$S$1000,$S278,$V$5:$V$1000,"Macro",$H$5:$H$1000,"&gt;0"))/(COUNTIFS($S$5:$S$1000,$S278,$V$5:$V$1000,"Macro")*SUMIFS($H$5:$H$1000,$S$5:$S$1000,$S278,$V$5:$V$1000,"Macro")/COUNTIFS($S$5:$S$1000,$S278,$V$5:$V$1000,"Macro",$H$5:$H$1000,"&gt;0"))))</f>
        <v/>
      </c>
      <c r="AH278" s="62" t="n"/>
      <c r="AI278" s="62" t="n"/>
      <c r="AJ278" s="62" t="n"/>
      <c r="AK278" s="62" t="n"/>
      <c r="AL278" s="62">
        <f>IF(LEFT($C278,11)="[Jefatura] ",IFERROR(MATCH("Riesgo Operacional|"&amp;MID($C278,12,500),rDname_ADM,0),0),"")</f>
        <v/>
      </c>
      <c r="AM278" s="62">
        <f>IF(N($AL278)&gt;0,INDEX(rIni_ADM,$AL278),IF(ISNUMBER($E278),$E278,""))</f>
        <v/>
      </c>
      <c r="AN278" s="62">
        <f>IF(N($AL278)&gt;0,INDEX(rLim_ADM,$AL278),IF(ISNUMBER($F278),$F278,""))</f>
        <v/>
      </c>
    </row>
    <row r="279">
      <c r="A279" s="56">
        <f>IF(NOT((COUNTA($B279:$D279)+COUNTA($G279:$L279)+COUNTA($Q279))&gt;0),"",IF($V279="Macro",COUNTIFS($V$5:$V279,"Macro",$S$5:$S279,$S279),IF(N($U279)=0,"?",COUNTIFS(INDEX($V$5:$V$1000,1):INDEX($V$5:$V$1000,$U279-4),"Macro",INDEX($S$5:$S$1000,1):INDEX($S$5:$S$1000,$U279-4),INDEX($S$5:$S$1000,$U279-4))&amp;"."&amp;COUNTIFS($U$5:$U279,$U279,$V$5:$V279,"Sub"))))</f>
        <v/>
      </c>
      <c r="B279" s="57" t="n"/>
      <c r="C279" s="58" t="n"/>
      <c r="D279" s="58" t="n"/>
      <c r="E279" s="59">
        <f>IF(N($AL279)&gt;0,INDEX(rIni_ADM,$AL279),"")</f>
        <v/>
      </c>
      <c r="F279" s="59">
        <f>IF(N($AL279)&gt;0,INDEX(rLim_ADM,$AL279),"")</f>
        <v/>
      </c>
      <c r="G279" s="59" t="n"/>
      <c r="H279" s="60" t="n"/>
      <c r="I279" s="60" t="n"/>
      <c r="J279" s="60" t="n"/>
      <c r="K279" s="60" t="n"/>
      <c r="L279" s="60" t="n"/>
      <c r="M279" s="61">
        <f>IF(NOT((COUNTA($B279:$D279)+COUNTA($G279:$L279)+COUNTA($Q279))&gt;0),"",IF(ISNUMBER($G279),1,IF(N($W279)&gt;0,AVERAGEIFS($X$5:$X$1000,$U$5:$U$1000,ROW(),$V$5:$V$1000,"Sub"),$X279)))</f>
        <v/>
      </c>
      <c r="N279" s="56">
        <f>IF($M279="","",IF($M279&gt;=1,"Completado",IF($M279&gt;0,"En curso","Pendiente")))</f>
        <v/>
      </c>
      <c r="O279" s="56">
        <f>IF(NOT((COUNTA($B279:$D279)+COUNTA($G279:$L279)+COUNTA($Q279))&gt;0),"",IF(ISNUMBER($G279),IF(AND(ISNUMBER($AN279),$G279&gt;$AN279),"Cumplida con "&amp;($G279-$AN279)&amp;IF($G279-$AN279=1," día"," días")&amp;" de retraso","Cumplida"),IF(N($M279)&gt;=1,"Cumplida",IF(NOT(ISNUMBER($AN279)),"Sin fecha límite",IF($AN279&lt;FechaRef,"Vencida hace "&amp;(FechaRef-$AN279)&amp;IF(FechaRef-$AN279=1," día"," días"),IF($AN279=FechaRef,"Vence hoy",IF($AN279-FechaRef&lt;=DiasAlerta,"Vence en "&amp;($AN279-FechaRef)&amp;IF($AN279-FechaRef=1," día"," días"),"En plazo")))))))</f>
        <v/>
      </c>
      <c r="P279" s="62" t="n"/>
      <c r="Q279" s="58" t="n"/>
      <c r="R279" s="63">
        <f>IF(NOT((COUNTA($B279:$D279)+COUNTA($G279:$L279)+COUNTA($Q279))&gt;0),"",IF((IF($C279="","Falta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",""))="","✔ OK","⚠ "&amp;LEFT(IF($C279="","Falta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",""),LEN(IF($C279="","Falta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",""))-3)))</f>
        <v/>
      </c>
      <c r="S279" s="64">
        <f>IF(NOT((COUNTA($B279:$D279)+COUNTA($G279:$L279)+COUNTA($Q279))&gt;0),"",IF(AND($V279="Sub",N($U279)&gt;0),IF(ISNUMBER(INDEX($AM$5:$AM$1000,$U279-4)),DATE(YEAR(INDEX($AM$5:$AM$1000,$U279-4)),MONTH(INDEX($AM$5:$AM$1000,$U279-4)),1),IF(ISNUMBER(INDEX($AN$5:$AN$1000,$U279-4)),DATE(YEAR(INDEX($AN$5:$AN$1000,$U279-4)),MONTH(INDEX($AN$5:$AN$1000,$U279-4)),1),MesCiclo)),IF(ISNUMBER($AM279),DATE(YEAR($AM279),MONTH($AM279),1),IF(ISNUMBER($AN279),DATE(YEAR($AN279),MONTH($AN279),1),MesCiclo))))</f>
        <v/>
      </c>
      <c r="T279" s="62">
        <f>IF(OR($S279="",$S279&lt;&gt;MesCiclo),"",COUNTIF($S$5:$S279,MesCiclo))</f>
        <v/>
      </c>
      <c r="U279" s="62">
        <f>IF($V279="","",IF($V279="Macro",ROW(),IFERROR(LOOKUP(2,1/($V$5:$V279="Macro"),ROW($V$5:$V279)),0)))</f>
        <v/>
      </c>
      <c r="V279" s="62">
        <f>IF(NOT((COUNTA($B279:$D279)+COUNTA($G279:$L279)+COUNTA($Q279))&gt;0),"",IF($B279="Subactividad","Sub","Macro"))</f>
        <v/>
      </c>
      <c r="W279" s="62">
        <f>IF($V279="Macro",COUNTIFS($U$5:$U$1000,ROW(),$V$5:$V$1000,"Sub"),"")</f>
        <v/>
      </c>
      <c r="X279" s="62">
        <f>IF($V279="","",IF(ISNUMBER($G279),1,IFERROR(LOOKUP(2,1/($I279:$L279&lt;&gt;""),$I279:$L279),0)))</f>
        <v/>
      </c>
      <c r="Y279" s="62">
        <f>IF($V279="","",IF(AND(ISNUMBER($G279),$G279&lt;=IF($S279=MesCiclo,InicioCiclo,$S279+MOD(2-WEEKDAY($S279),7))+6),1,IF(ISNUMBER($I279),$I279,0)))</f>
        <v/>
      </c>
      <c r="Z279" s="62">
        <f>IF($V279="","",IF(AND(ISNUMBER($G279),$G279&lt;=IF($S279=MesCiclo,InicioCiclo,$S279+MOD(2-WEEKDAY($S279),7))+13),1,IF(ISNUMBER($J279),$J279,$Y279)))</f>
        <v/>
      </c>
      <c r="AA279" s="62">
        <f>IF($V279="","",IF(AND(ISNUMBER($G279),$G279&lt;=IF($S279=MesCiclo,InicioCiclo,$S279+MOD(2-WEEKDAY($S279),7))+20),1,IF(ISNUMBER($K279),$K279,$Z279)))</f>
        <v/>
      </c>
      <c r="AB279" s="62">
        <f>IF($V279="","",IF(AND(ISNUMBER($G279),$G279&lt;=IF($S279=MesCiclo,InicioCiclo,$S279+MOD(2-WEEKDAY($S279),7))+27),1,IF(ISNUMBER($L279),$L279,$AA279)))</f>
        <v/>
      </c>
      <c r="AC279" s="62">
        <f>IF($V279="","",IF(AND(ISNUMBER($G279),$G279&lt;=IF($S279=MesCiclo,InicioCiclo,$S279+MOD(2-WEEKDAY($S279),7))+6),1,IF(N($W279)&gt;0,AVERAGEIFS($Y$5:$Y$1000,$U$5:$U$1000,ROW(),$V$5:$V$1000,"Sub"),$Y279)))</f>
        <v/>
      </c>
      <c r="AD279" s="62">
        <f>IF($V279="","",IF(AND(ISNUMBER($G279),$G279&lt;=IF($S279=MesCiclo,InicioCiclo,$S279+MOD(2-WEEKDAY($S279),7))+13),1,IF(N($W279)&gt;0,AVERAGEIFS($Z$5:$Z$1000,$U$5:$U$1000,ROW(),$V$5:$V$1000,"Sub"),$Z279)))</f>
        <v/>
      </c>
      <c r="AE279" s="62">
        <f>IF($V279="","",IF(AND(ISNUMBER($G279),$G279&lt;=IF($S279=MesCiclo,InicioCiclo,$S279+MOD(2-WEEKDAY($S279),7))+20),1,IF(N($W279)&gt;0,AVERAGEIFS($AA$5:$AA$1000,$U$5:$U$1000,ROW(),$V$5:$V$1000,"Sub"),$AA279)))</f>
        <v/>
      </c>
      <c r="AF279" s="62">
        <f>IF($V279="","",IF(AND(ISNUMBER($G279),$G279&lt;=IF($S279=MesCiclo,InicioCiclo,$S279+MOD(2-WEEKDAY($S279),7))+27),1,IF(N($W279)&gt;0,AVERAGEIFS($AB$5:$AB$1000,$U$5:$U$1000,ROW(),$V$5:$V$1000,"Sub"),$AB279)))</f>
        <v/>
      </c>
      <c r="AG279" s="62">
        <f>IF($V279&lt;&gt;"Macro","",IF(COUNTIFS($S$5:$S$1000,$S279,$V$5:$V$1000,"Macro",$H$5:$H$1000,"&gt;0")=0,1/COUNTIFS($S$5:$S$1000,$S279,$V$5:$V$1000,"Macro"),IF(AND(ISNUMBER($H279),N($H279)&gt;0),$H279,SUMIFS($H$5:$H$1000,$S$5:$S$1000,$S279,$V$5:$V$1000,"Macro")/COUNTIFS($S$5:$S$1000,$S279,$V$5:$V$1000,"Macro",$H$5:$H$1000,"&gt;0"))/(COUNTIFS($S$5:$S$1000,$S279,$V$5:$V$1000,"Macro")*SUMIFS($H$5:$H$1000,$S$5:$S$1000,$S279,$V$5:$V$1000,"Macro")/COUNTIFS($S$5:$S$1000,$S279,$V$5:$V$1000,"Macro",$H$5:$H$1000,"&gt;0"))))</f>
        <v/>
      </c>
      <c r="AH279" s="62" t="n"/>
      <c r="AI279" s="62" t="n"/>
      <c r="AJ279" s="62" t="n"/>
      <c r="AK279" s="62" t="n"/>
      <c r="AL279" s="62">
        <f>IF(LEFT($C279,11)="[Jefatura] ",IFERROR(MATCH("Riesgo Operacional|"&amp;MID($C279,12,500),rDname_ADM,0),0),"")</f>
        <v/>
      </c>
      <c r="AM279" s="62">
        <f>IF(N($AL279)&gt;0,INDEX(rIni_ADM,$AL279),IF(ISNUMBER($E279),$E279,""))</f>
        <v/>
      </c>
      <c r="AN279" s="62">
        <f>IF(N($AL279)&gt;0,INDEX(rLim_ADM,$AL279),IF(ISNUMBER($F279),$F279,""))</f>
        <v/>
      </c>
    </row>
    <row r="280">
      <c r="A280" s="56">
        <f>IF(NOT((COUNTA($B280:$D280)+COUNTA($G280:$L280)+COUNTA($Q280))&gt;0),"",IF($V280="Macro",COUNTIFS($V$5:$V280,"Macro",$S$5:$S280,$S280),IF(N($U280)=0,"?",COUNTIFS(INDEX($V$5:$V$1000,1):INDEX($V$5:$V$1000,$U280-4),"Macro",INDEX($S$5:$S$1000,1):INDEX($S$5:$S$1000,$U280-4),INDEX($S$5:$S$1000,$U280-4))&amp;"."&amp;COUNTIFS($U$5:$U280,$U280,$V$5:$V280,"Sub"))))</f>
        <v/>
      </c>
      <c r="B280" s="57" t="n"/>
      <c r="C280" s="58" t="n"/>
      <c r="D280" s="58" t="n"/>
      <c r="E280" s="59">
        <f>IF(N($AL280)&gt;0,INDEX(rIni_ADM,$AL280),"")</f>
        <v/>
      </c>
      <c r="F280" s="59">
        <f>IF(N($AL280)&gt;0,INDEX(rLim_ADM,$AL280),"")</f>
        <v/>
      </c>
      <c r="G280" s="59" t="n"/>
      <c r="H280" s="60" t="n"/>
      <c r="I280" s="60" t="n"/>
      <c r="J280" s="60" t="n"/>
      <c r="K280" s="60" t="n"/>
      <c r="L280" s="60" t="n"/>
      <c r="M280" s="61">
        <f>IF(NOT((COUNTA($B280:$D280)+COUNTA($G280:$L280)+COUNTA($Q280))&gt;0),"",IF(ISNUMBER($G280),1,IF(N($W280)&gt;0,AVERAGEIFS($X$5:$X$1000,$U$5:$U$1000,ROW(),$V$5:$V$1000,"Sub"),$X280)))</f>
        <v/>
      </c>
      <c r="N280" s="56">
        <f>IF($M280="","",IF($M280&gt;=1,"Completado",IF($M280&gt;0,"En curso","Pendiente")))</f>
        <v/>
      </c>
      <c r="O280" s="56">
        <f>IF(NOT((COUNTA($B280:$D280)+COUNTA($G280:$L280)+COUNTA($Q280))&gt;0),"",IF(ISNUMBER($G280),IF(AND(ISNUMBER($AN280),$G280&gt;$AN280),"Cumplida con "&amp;($G280-$AN280)&amp;IF($G280-$AN280=1," día"," días")&amp;" de retraso","Cumplida"),IF(N($M280)&gt;=1,"Cumplida",IF(NOT(ISNUMBER($AN280)),"Sin fecha límite",IF($AN280&lt;FechaRef,"Vencida hace "&amp;(FechaRef-$AN280)&amp;IF(FechaRef-$AN280=1," día"," días"),IF($AN280=FechaRef,"Vence hoy",IF($AN280-FechaRef&lt;=DiasAlerta,"Vence en "&amp;($AN280-FechaRef)&amp;IF($AN280-FechaRef=1," día"," días"),"En plazo")))))))</f>
        <v/>
      </c>
      <c r="P280" s="62" t="n"/>
      <c r="Q280" s="58" t="n"/>
      <c r="R280" s="63">
        <f>IF(NOT((COUNTA($B280:$D280)+COUNTA($G280:$L280)+COUNTA($Q280))&gt;0),"",IF((IF($C280="","Falta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",""))="","✔ OK","⚠ "&amp;LEFT(IF($C280="","Falta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",""),LEN(IF($C280="","Falta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",""))-3)))</f>
        <v/>
      </c>
      <c r="S280" s="64">
        <f>IF(NOT((COUNTA($B280:$D280)+COUNTA($G280:$L280)+COUNTA($Q280))&gt;0),"",IF(AND($V280="Sub",N($U280)&gt;0),IF(ISNUMBER(INDEX($AM$5:$AM$1000,$U280-4)),DATE(YEAR(INDEX($AM$5:$AM$1000,$U280-4)),MONTH(INDEX($AM$5:$AM$1000,$U280-4)),1),IF(ISNUMBER(INDEX($AN$5:$AN$1000,$U280-4)),DATE(YEAR(INDEX($AN$5:$AN$1000,$U280-4)),MONTH(INDEX($AN$5:$AN$1000,$U280-4)),1),MesCiclo)),IF(ISNUMBER($AM280),DATE(YEAR($AM280),MONTH($AM280),1),IF(ISNUMBER($AN280),DATE(YEAR($AN280),MONTH($AN280),1),MesCiclo))))</f>
        <v/>
      </c>
      <c r="T280" s="62">
        <f>IF(OR($S280="",$S280&lt;&gt;MesCiclo),"",COUNTIF($S$5:$S280,MesCiclo))</f>
        <v/>
      </c>
      <c r="U280" s="62">
        <f>IF($V280="","",IF($V280="Macro",ROW(),IFERROR(LOOKUP(2,1/($V$5:$V280="Macro"),ROW($V$5:$V280)),0)))</f>
        <v/>
      </c>
      <c r="V280" s="62">
        <f>IF(NOT((COUNTA($B280:$D280)+COUNTA($G280:$L280)+COUNTA($Q280))&gt;0),"",IF($B280="Subactividad","Sub","Macro"))</f>
        <v/>
      </c>
      <c r="W280" s="62">
        <f>IF($V280="Macro",COUNTIFS($U$5:$U$1000,ROW(),$V$5:$V$1000,"Sub"),"")</f>
        <v/>
      </c>
      <c r="X280" s="62">
        <f>IF($V280="","",IF(ISNUMBER($G280),1,IFERROR(LOOKUP(2,1/($I280:$L280&lt;&gt;""),$I280:$L280),0)))</f>
        <v/>
      </c>
      <c r="Y280" s="62">
        <f>IF($V280="","",IF(AND(ISNUMBER($G280),$G280&lt;=IF($S280=MesCiclo,InicioCiclo,$S280+MOD(2-WEEKDAY($S280),7))+6),1,IF(ISNUMBER($I280),$I280,0)))</f>
        <v/>
      </c>
      <c r="Z280" s="62">
        <f>IF($V280="","",IF(AND(ISNUMBER($G280),$G280&lt;=IF($S280=MesCiclo,InicioCiclo,$S280+MOD(2-WEEKDAY($S280),7))+13),1,IF(ISNUMBER($J280),$J280,$Y280)))</f>
        <v/>
      </c>
      <c r="AA280" s="62">
        <f>IF($V280="","",IF(AND(ISNUMBER($G280),$G280&lt;=IF($S280=MesCiclo,InicioCiclo,$S280+MOD(2-WEEKDAY($S280),7))+20),1,IF(ISNUMBER($K280),$K280,$Z280)))</f>
        <v/>
      </c>
      <c r="AB280" s="62">
        <f>IF($V280="","",IF(AND(ISNUMBER($G280),$G280&lt;=IF($S280=MesCiclo,InicioCiclo,$S280+MOD(2-WEEKDAY($S280),7))+27),1,IF(ISNUMBER($L280),$L280,$AA280)))</f>
        <v/>
      </c>
      <c r="AC280" s="62">
        <f>IF($V280="","",IF(AND(ISNUMBER($G280),$G280&lt;=IF($S280=MesCiclo,InicioCiclo,$S280+MOD(2-WEEKDAY($S280),7))+6),1,IF(N($W280)&gt;0,AVERAGEIFS($Y$5:$Y$1000,$U$5:$U$1000,ROW(),$V$5:$V$1000,"Sub"),$Y280)))</f>
        <v/>
      </c>
      <c r="AD280" s="62">
        <f>IF($V280="","",IF(AND(ISNUMBER($G280),$G280&lt;=IF($S280=MesCiclo,InicioCiclo,$S280+MOD(2-WEEKDAY($S280),7))+13),1,IF(N($W280)&gt;0,AVERAGEIFS($Z$5:$Z$1000,$U$5:$U$1000,ROW(),$V$5:$V$1000,"Sub"),$Z280)))</f>
        <v/>
      </c>
      <c r="AE280" s="62">
        <f>IF($V280="","",IF(AND(ISNUMBER($G280),$G280&lt;=IF($S280=MesCiclo,InicioCiclo,$S280+MOD(2-WEEKDAY($S280),7))+20),1,IF(N($W280)&gt;0,AVERAGEIFS($AA$5:$AA$1000,$U$5:$U$1000,ROW(),$V$5:$V$1000,"Sub"),$AA280)))</f>
        <v/>
      </c>
      <c r="AF280" s="62">
        <f>IF($V280="","",IF(AND(ISNUMBER($G280),$G280&lt;=IF($S280=MesCiclo,InicioCiclo,$S280+MOD(2-WEEKDAY($S280),7))+27),1,IF(N($W280)&gt;0,AVERAGEIFS($AB$5:$AB$1000,$U$5:$U$1000,ROW(),$V$5:$V$1000,"Sub"),$AB280)))</f>
        <v/>
      </c>
      <c r="AG280" s="62">
        <f>IF($V280&lt;&gt;"Macro","",IF(COUNTIFS($S$5:$S$1000,$S280,$V$5:$V$1000,"Macro",$H$5:$H$1000,"&gt;0")=0,1/COUNTIFS($S$5:$S$1000,$S280,$V$5:$V$1000,"Macro"),IF(AND(ISNUMBER($H280),N($H280)&gt;0),$H280,SUMIFS($H$5:$H$1000,$S$5:$S$1000,$S280,$V$5:$V$1000,"Macro")/COUNTIFS($S$5:$S$1000,$S280,$V$5:$V$1000,"Macro",$H$5:$H$1000,"&gt;0"))/(COUNTIFS($S$5:$S$1000,$S280,$V$5:$V$1000,"Macro")*SUMIFS($H$5:$H$1000,$S$5:$S$1000,$S280,$V$5:$V$1000,"Macro")/COUNTIFS($S$5:$S$1000,$S280,$V$5:$V$1000,"Macro",$H$5:$H$1000,"&gt;0"))))</f>
        <v/>
      </c>
      <c r="AH280" s="62" t="n"/>
      <c r="AI280" s="62" t="n"/>
      <c r="AJ280" s="62" t="n"/>
      <c r="AK280" s="62" t="n"/>
      <c r="AL280" s="62">
        <f>IF(LEFT($C280,11)="[Jefatura] ",IFERROR(MATCH("Riesgo Operacional|"&amp;MID($C280,12,500),rDname_ADM,0),0),"")</f>
        <v/>
      </c>
      <c r="AM280" s="62">
        <f>IF(N($AL280)&gt;0,INDEX(rIni_ADM,$AL280),IF(ISNUMBER($E280),$E280,""))</f>
        <v/>
      </c>
      <c r="AN280" s="62">
        <f>IF(N($AL280)&gt;0,INDEX(rLim_ADM,$AL280),IF(ISNUMBER($F280),$F280,""))</f>
        <v/>
      </c>
    </row>
    <row r="281">
      <c r="A281" s="56">
        <f>IF(NOT((COUNTA($B281:$D281)+COUNTA($G281:$L281)+COUNTA($Q281))&gt;0),"",IF($V281="Macro",COUNTIFS($V$5:$V281,"Macro",$S$5:$S281,$S281),IF(N($U281)=0,"?",COUNTIFS(INDEX($V$5:$V$1000,1):INDEX($V$5:$V$1000,$U281-4),"Macro",INDEX($S$5:$S$1000,1):INDEX($S$5:$S$1000,$U281-4),INDEX($S$5:$S$1000,$U281-4))&amp;"."&amp;COUNTIFS($U$5:$U281,$U281,$V$5:$V281,"Sub"))))</f>
        <v/>
      </c>
      <c r="B281" s="57" t="n"/>
      <c r="C281" s="58" t="n"/>
      <c r="D281" s="58" t="n"/>
      <c r="E281" s="59">
        <f>IF(N($AL281)&gt;0,INDEX(rIni_ADM,$AL281),"")</f>
        <v/>
      </c>
      <c r="F281" s="59">
        <f>IF(N($AL281)&gt;0,INDEX(rLim_ADM,$AL281),"")</f>
        <v/>
      </c>
      <c r="G281" s="59" t="n"/>
      <c r="H281" s="60" t="n"/>
      <c r="I281" s="60" t="n"/>
      <c r="J281" s="60" t="n"/>
      <c r="K281" s="60" t="n"/>
      <c r="L281" s="60" t="n"/>
      <c r="M281" s="61">
        <f>IF(NOT((COUNTA($B281:$D281)+COUNTA($G281:$L281)+COUNTA($Q281))&gt;0),"",IF(ISNUMBER($G281),1,IF(N($W281)&gt;0,AVERAGEIFS($X$5:$X$1000,$U$5:$U$1000,ROW(),$V$5:$V$1000,"Sub"),$X281)))</f>
        <v/>
      </c>
      <c r="N281" s="56">
        <f>IF($M281="","",IF($M281&gt;=1,"Completado",IF($M281&gt;0,"En curso","Pendiente")))</f>
        <v/>
      </c>
      <c r="O281" s="56">
        <f>IF(NOT((COUNTA($B281:$D281)+COUNTA($G281:$L281)+COUNTA($Q281))&gt;0),"",IF(ISNUMBER($G281),IF(AND(ISNUMBER($AN281),$G281&gt;$AN281),"Cumplida con "&amp;($G281-$AN281)&amp;IF($G281-$AN281=1," día"," días")&amp;" de retraso","Cumplida"),IF(N($M281)&gt;=1,"Cumplida",IF(NOT(ISNUMBER($AN281)),"Sin fecha límite",IF($AN281&lt;FechaRef,"Vencida hace "&amp;(FechaRef-$AN281)&amp;IF(FechaRef-$AN281=1," día"," días"),IF($AN281=FechaRef,"Vence hoy",IF($AN281-FechaRef&lt;=DiasAlerta,"Vence en "&amp;($AN281-FechaRef)&amp;IF($AN281-FechaRef=1," día"," días"),"En plazo")))))))</f>
        <v/>
      </c>
      <c r="P281" s="62" t="n"/>
      <c r="Q281" s="58" t="n"/>
      <c r="R281" s="63">
        <f>IF(NOT((COUNTA($B281:$D281)+COUNTA($G281:$L281)+COUNTA($Q281))&gt;0),"",IF((IF($C281="","Falta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",""))="","✔ OK","⚠ "&amp;LEFT(IF($C281="","Falta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",""),LEN(IF($C281="","Falta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",""))-3)))</f>
        <v/>
      </c>
      <c r="S281" s="64">
        <f>IF(NOT((COUNTA($B281:$D281)+COUNTA($G281:$L281)+COUNTA($Q281))&gt;0),"",IF(AND($V281="Sub",N($U281)&gt;0),IF(ISNUMBER(INDEX($AM$5:$AM$1000,$U281-4)),DATE(YEAR(INDEX($AM$5:$AM$1000,$U281-4)),MONTH(INDEX($AM$5:$AM$1000,$U281-4)),1),IF(ISNUMBER(INDEX($AN$5:$AN$1000,$U281-4)),DATE(YEAR(INDEX($AN$5:$AN$1000,$U281-4)),MONTH(INDEX($AN$5:$AN$1000,$U281-4)),1),MesCiclo)),IF(ISNUMBER($AM281),DATE(YEAR($AM281),MONTH($AM281),1),IF(ISNUMBER($AN281),DATE(YEAR($AN281),MONTH($AN281),1),MesCiclo))))</f>
        <v/>
      </c>
      <c r="T281" s="62">
        <f>IF(OR($S281="",$S281&lt;&gt;MesCiclo),"",COUNTIF($S$5:$S281,MesCiclo))</f>
        <v/>
      </c>
      <c r="U281" s="62">
        <f>IF($V281="","",IF($V281="Macro",ROW(),IFERROR(LOOKUP(2,1/($V$5:$V281="Macro"),ROW($V$5:$V281)),0)))</f>
        <v/>
      </c>
      <c r="V281" s="62">
        <f>IF(NOT((COUNTA($B281:$D281)+COUNTA($G281:$L281)+COUNTA($Q281))&gt;0),"",IF($B281="Subactividad","Sub","Macro"))</f>
        <v/>
      </c>
      <c r="W281" s="62">
        <f>IF($V281="Macro",COUNTIFS($U$5:$U$1000,ROW(),$V$5:$V$1000,"Sub"),"")</f>
        <v/>
      </c>
      <c r="X281" s="62">
        <f>IF($V281="","",IF(ISNUMBER($G281),1,IFERROR(LOOKUP(2,1/($I281:$L281&lt;&gt;""),$I281:$L281),0)))</f>
        <v/>
      </c>
      <c r="Y281" s="62">
        <f>IF($V281="","",IF(AND(ISNUMBER($G281),$G281&lt;=IF($S281=MesCiclo,InicioCiclo,$S281+MOD(2-WEEKDAY($S281),7))+6),1,IF(ISNUMBER($I281),$I281,0)))</f>
        <v/>
      </c>
      <c r="Z281" s="62">
        <f>IF($V281="","",IF(AND(ISNUMBER($G281),$G281&lt;=IF($S281=MesCiclo,InicioCiclo,$S281+MOD(2-WEEKDAY($S281),7))+13),1,IF(ISNUMBER($J281),$J281,$Y281)))</f>
        <v/>
      </c>
      <c r="AA281" s="62">
        <f>IF($V281="","",IF(AND(ISNUMBER($G281),$G281&lt;=IF($S281=MesCiclo,InicioCiclo,$S281+MOD(2-WEEKDAY($S281),7))+20),1,IF(ISNUMBER($K281),$K281,$Z281)))</f>
        <v/>
      </c>
      <c r="AB281" s="62">
        <f>IF($V281="","",IF(AND(ISNUMBER($G281),$G281&lt;=IF($S281=MesCiclo,InicioCiclo,$S281+MOD(2-WEEKDAY($S281),7))+27),1,IF(ISNUMBER($L281),$L281,$AA281)))</f>
        <v/>
      </c>
      <c r="AC281" s="62">
        <f>IF($V281="","",IF(AND(ISNUMBER($G281),$G281&lt;=IF($S281=MesCiclo,InicioCiclo,$S281+MOD(2-WEEKDAY($S281),7))+6),1,IF(N($W281)&gt;0,AVERAGEIFS($Y$5:$Y$1000,$U$5:$U$1000,ROW(),$V$5:$V$1000,"Sub"),$Y281)))</f>
        <v/>
      </c>
      <c r="AD281" s="62">
        <f>IF($V281="","",IF(AND(ISNUMBER($G281),$G281&lt;=IF($S281=MesCiclo,InicioCiclo,$S281+MOD(2-WEEKDAY($S281),7))+13),1,IF(N($W281)&gt;0,AVERAGEIFS($Z$5:$Z$1000,$U$5:$U$1000,ROW(),$V$5:$V$1000,"Sub"),$Z281)))</f>
        <v/>
      </c>
      <c r="AE281" s="62">
        <f>IF($V281="","",IF(AND(ISNUMBER($G281),$G281&lt;=IF($S281=MesCiclo,InicioCiclo,$S281+MOD(2-WEEKDAY($S281),7))+20),1,IF(N($W281)&gt;0,AVERAGEIFS($AA$5:$AA$1000,$U$5:$U$1000,ROW(),$V$5:$V$1000,"Sub"),$AA281)))</f>
        <v/>
      </c>
      <c r="AF281" s="62">
        <f>IF($V281="","",IF(AND(ISNUMBER($G281),$G281&lt;=IF($S281=MesCiclo,InicioCiclo,$S281+MOD(2-WEEKDAY($S281),7))+27),1,IF(N($W281)&gt;0,AVERAGEIFS($AB$5:$AB$1000,$U$5:$U$1000,ROW(),$V$5:$V$1000,"Sub"),$AB281)))</f>
        <v/>
      </c>
      <c r="AG281" s="62">
        <f>IF($V281&lt;&gt;"Macro","",IF(COUNTIFS($S$5:$S$1000,$S281,$V$5:$V$1000,"Macro",$H$5:$H$1000,"&gt;0")=0,1/COUNTIFS($S$5:$S$1000,$S281,$V$5:$V$1000,"Macro"),IF(AND(ISNUMBER($H281),N($H281)&gt;0),$H281,SUMIFS($H$5:$H$1000,$S$5:$S$1000,$S281,$V$5:$V$1000,"Macro")/COUNTIFS($S$5:$S$1000,$S281,$V$5:$V$1000,"Macro",$H$5:$H$1000,"&gt;0"))/(COUNTIFS($S$5:$S$1000,$S281,$V$5:$V$1000,"Macro")*SUMIFS($H$5:$H$1000,$S$5:$S$1000,$S281,$V$5:$V$1000,"Macro")/COUNTIFS($S$5:$S$1000,$S281,$V$5:$V$1000,"Macro",$H$5:$H$1000,"&gt;0"))))</f>
        <v/>
      </c>
      <c r="AH281" s="62" t="n"/>
      <c r="AI281" s="62" t="n"/>
      <c r="AJ281" s="62" t="n"/>
      <c r="AK281" s="62" t="n"/>
      <c r="AL281" s="62">
        <f>IF(LEFT($C281,11)="[Jefatura] ",IFERROR(MATCH("Riesgo Operacional|"&amp;MID($C281,12,500),rDname_ADM,0),0),"")</f>
        <v/>
      </c>
      <c r="AM281" s="62">
        <f>IF(N($AL281)&gt;0,INDEX(rIni_ADM,$AL281),IF(ISNUMBER($E281),$E281,""))</f>
        <v/>
      </c>
      <c r="AN281" s="62">
        <f>IF(N($AL281)&gt;0,INDEX(rLim_ADM,$AL281),IF(ISNUMBER($F281),$F281,""))</f>
        <v/>
      </c>
    </row>
    <row r="282">
      <c r="A282" s="56">
        <f>IF(NOT((COUNTA($B282:$D282)+COUNTA($G282:$L282)+COUNTA($Q282))&gt;0),"",IF($V282="Macro",COUNTIFS($V$5:$V282,"Macro",$S$5:$S282,$S282),IF(N($U282)=0,"?",COUNTIFS(INDEX($V$5:$V$1000,1):INDEX($V$5:$V$1000,$U282-4),"Macro",INDEX($S$5:$S$1000,1):INDEX($S$5:$S$1000,$U282-4),INDEX($S$5:$S$1000,$U282-4))&amp;"."&amp;COUNTIFS($U$5:$U282,$U282,$V$5:$V282,"Sub"))))</f>
        <v/>
      </c>
      <c r="B282" s="57" t="n"/>
      <c r="C282" s="58" t="n"/>
      <c r="D282" s="58" t="n"/>
      <c r="E282" s="59">
        <f>IF(N($AL282)&gt;0,INDEX(rIni_ADM,$AL282),"")</f>
        <v/>
      </c>
      <c r="F282" s="59">
        <f>IF(N($AL282)&gt;0,INDEX(rLim_ADM,$AL282),"")</f>
        <v/>
      </c>
      <c r="G282" s="59" t="n"/>
      <c r="H282" s="60" t="n"/>
      <c r="I282" s="60" t="n"/>
      <c r="J282" s="60" t="n"/>
      <c r="K282" s="60" t="n"/>
      <c r="L282" s="60" t="n"/>
      <c r="M282" s="61">
        <f>IF(NOT((COUNTA($B282:$D282)+COUNTA($G282:$L282)+COUNTA($Q282))&gt;0),"",IF(ISNUMBER($G282),1,IF(N($W282)&gt;0,AVERAGEIFS($X$5:$X$1000,$U$5:$U$1000,ROW(),$V$5:$V$1000,"Sub"),$X282)))</f>
        <v/>
      </c>
      <c r="N282" s="56">
        <f>IF($M282="","",IF($M282&gt;=1,"Completado",IF($M282&gt;0,"En curso","Pendiente")))</f>
        <v/>
      </c>
      <c r="O282" s="56">
        <f>IF(NOT((COUNTA($B282:$D282)+COUNTA($G282:$L282)+COUNTA($Q282))&gt;0),"",IF(ISNUMBER($G282),IF(AND(ISNUMBER($AN282),$G282&gt;$AN282),"Cumplida con "&amp;($G282-$AN282)&amp;IF($G282-$AN282=1," día"," días")&amp;" de retraso","Cumplida"),IF(N($M282)&gt;=1,"Cumplida",IF(NOT(ISNUMBER($AN282)),"Sin fecha límite",IF($AN282&lt;FechaRef,"Vencida hace "&amp;(FechaRef-$AN282)&amp;IF(FechaRef-$AN282=1," día"," días"),IF($AN282=FechaRef,"Vence hoy",IF($AN282-FechaRef&lt;=DiasAlerta,"Vence en "&amp;($AN282-FechaRef)&amp;IF($AN282-FechaRef=1," día"," días"),"En plazo")))))))</f>
        <v/>
      </c>
      <c r="P282" s="62" t="n"/>
      <c r="Q282" s="58" t="n"/>
      <c r="R282" s="63">
        <f>IF(NOT((COUNTA($B282:$D282)+COUNTA($G282:$L282)+COUNTA($Q282))&gt;0),"",IF((IF($C282="","Falta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",""))="","✔ OK","⚠ "&amp;LEFT(IF($C282="","Falta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",""),LEN(IF($C282="","Falta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",""))-3)))</f>
        <v/>
      </c>
      <c r="S282" s="64">
        <f>IF(NOT((COUNTA($B282:$D282)+COUNTA($G282:$L282)+COUNTA($Q282))&gt;0),"",IF(AND($V282="Sub",N($U282)&gt;0),IF(ISNUMBER(INDEX($AM$5:$AM$1000,$U282-4)),DATE(YEAR(INDEX($AM$5:$AM$1000,$U282-4)),MONTH(INDEX($AM$5:$AM$1000,$U282-4)),1),IF(ISNUMBER(INDEX($AN$5:$AN$1000,$U282-4)),DATE(YEAR(INDEX($AN$5:$AN$1000,$U282-4)),MONTH(INDEX($AN$5:$AN$1000,$U282-4)),1),MesCiclo)),IF(ISNUMBER($AM282),DATE(YEAR($AM282),MONTH($AM282),1),IF(ISNUMBER($AN282),DATE(YEAR($AN282),MONTH($AN282),1),MesCiclo))))</f>
        <v/>
      </c>
      <c r="T282" s="62">
        <f>IF(OR($S282="",$S282&lt;&gt;MesCiclo),"",COUNTIF($S$5:$S282,MesCiclo))</f>
        <v/>
      </c>
      <c r="U282" s="62">
        <f>IF($V282="","",IF($V282="Macro",ROW(),IFERROR(LOOKUP(2,1/($V$5:$V282="Macro"),ROW($V$5:$V282)),0)))</f>
        <v/>
      </c>
      <c r="V282" s="62">
        <f>IF(NOT((COUNTA($B282:$D282)+COUNTA($G282:$L282)+COUNTA($Q282))&gt;0),"",IF($B282="Subactividad","Sub","Macro"))</f>
        <v/>
      </c>
      <c r="W282" s="62">
        <f>IF($V282="Macro",COUNTIFS($U$5:$U$1000,ROW(),$V$5:$V$1000,"Sub"),"")</f>
        <v/>
      </c>
      <c r="X282" s="62">
        <f>IF($V282="","",IF(ISNUMBER($G282),1,IFERROR(LOOKUP(2,1/($I282:$L282&lt;&gt;""),$I282:$L282),0)))</f>
        <v/>
      </c>
      <c r="Y282" s="62">
        <f>IF($V282="","",IF(AND(ISNUMBER($G282),$G282&lt;=IF($S282=MesCiclo,InicioCiclo,$S282+MOD(2-WEEKDAY($S282),7))+6),1,IF(ISNUMBER($I282),$I282,0)))</f>
        <v/>
      </c>
      <c r="Z282" s="62">
        <f>IF($V282="","",IF(AND(ISNUMBER($G282),$G282&lt;=IF($S282=MesCiclo,InicioCiclo,$S282+MOD(2-WEEKDAY($S282),7))+13),1,IF(ISNUMBER($J282),$J282,$Y282)))</f>
        <v/>
      </c>
      <c r="AA282" s="62">
        <f>IF($V282="","",IF(AND(ISNUMBER($G282),$G282&lt;=IF($S282=MesCiclo,InicioCiclo,$S282+MOD(2-WEEKDAY($S282),7))+20),1,IF(ISNUMBER($K282),$K282,$Z282)))</f>
        <v/>
      </c>
      <c r="AB282" s="62">
        <f>IF($V282="","",IF(AND(ISNUMBER($G282),$G282&lt;=IF($S282=MesCiclo,InicioCiclo,$S282+MOD(2-WEEKDAY($S282),7))+27),1,IF(ISNUMBER($L282),$L282,$AA282)))</f>
        <v/>
      </c>
      <c r="AC282" s="62">
        <f>IF($V282="","",IF(AND(ISNUMBER($G282),$G282&lt;=IF($S282=MesCiclo,InicioCiclo,$S282+MOD(2-WEEKDAY($S282),7))+6),1,IF(N($W282)&gt;0,AVERAGEIFS($Y$5:$Y$1000,$U$5:$U$1000,ROW(),$V$5:$V$1000,"Sub"),$Y282)))</f>
        <v/>
      </c>
      <c r="AD282" s="62">
        <f>IF($V282="","",IF(AND(ISNUMBER($G282),$G282&lt;=IF($S282=MesCiclo,InicioCiclo,$S282+MOD(2-WEEKDAY($S282),7))+13),1,IF(N($W282)&gt;0,AVERAGEIFS($Z$5:$Z$1000,$U$5:$U$1000,ROW(),$V$5:$V$1000,"Sub"),$Z282)))</f>
        <v/>
      </c>
      <c r="AE282" s="62">
        <f>IF($V282="","",IF(AND(ISNUMBER($G282),$G282&lt;=IF($S282=MesCiclo,InicioCiclo,$S282+MOD(2-WEEKDAY($S282),7))+20),1,IF(N($W282)&gt;0,AVERAGEIFS($AA$5:$AA$1000,$U$5:$U$1000,ROW(),$V$5:$V$1000,"Sub"),$AA282)))</f>
        <v/>
      </c>
      <c r="AF282" s="62">
        <f>IF($V282="","",IF(AND(ISNUMBER($G282),$G282&lt;=IF($S282=MesCiclo,InicioCiclo,$S282+MOD(2-WEEKDAY($S282),7))+27),1,IF(N($W282)&gt;0,AVERAGEIFS($AB$5:$AB$1000,$U$5:$U$1000,ROW(),$V$5:$V$1000,"Sub"),$AB282)))</f>
        <v/>
      </c>
      <c r="AG282" s="62">
        <f>IF($V282&lt;&gt;"Macro","",IF(COUNTIFS($S$5:$S$1000,$S282,$V$5:$V$1000,"Macro",$H$5:$H$1000,"&gt;0")=0,1/COUNTIFS($S$5:$S$1000,$S282,$V$5:$V$1000,"Macro"),IF(AND(ISNUMBER($H282),N($H282)&gt;0),$H282,SUMIFS($H$5:$H$1000,$S$5:$S$1000,$S282,$V$5:$V$1000,"Macro")/COUNTIFS($S$5:$S$1000,$S282,$V$5:$V$1000,"Macro",$H$5:$H$1000,"&gt;0"))/(COUNTIFS($S$5:$S$1000,$S282,$V$5:$V$1000,"Macro")*SUMIFS($H$5:$H$1000,$S$5:$S$1000,$S282,$V$5:$V$1000,"Macro")/COUNTIFS($S$5:$S$1000,$S282,$V$5:$V$1000,"Macro",$H$5:$H$1000,"&gt;0"))))</f>
        <v/>
      </c>
      <c r="AH282" s="62" t="n"/>
      <c r="AI282" s="62" t="n"/>
      <c r="AJ282" s="62" t="n"/>
      <c r="AK282" s="62" t="n"/>
      <c r="AL282" s="62">
        <f>IF(LEFT($C282,11)="[Jefatura] ",IFERROR(MATCH("Riesgo Operacional|"&amp;MID($C282,12,500),rDname_ADM,0),0),"")</f>
        <v/>
      </c>
      <c r="AM282" s="62">
        <f>IF(N($AL282)&gt;0,INDEX(rIni_ADM,$AL282),IF(ISNUMBER($E282),$E282,""))</f>
        <v/>
      </c>
      <c r="AN282" s="62">
        <f>IF(N($AL282)&gt;0,INDEX(rLim_ADM,$AL282),IF(ISNUMBER($F282),$F282,""))</f>
        <v/>
      </c>
    </row>
    <row r="283">
      <c r="A283" s="56">
        <f>IF(NOT((COUNTA($B283:$D283)+COUNTA($G283:$L283)+COUNTA($Q283))&gt;0),"",IF($V283="Macro",COUNTIFS($V$5:$V283,"Macro",$S$5:$S283,$S283),IF(N($U283)=0,"?",COUNTIFS(INDEX($V$5:$V$1000,1):INDEX($V$5:$V$1000,$U283-4),"Macro",INDEX($S$5:$S$1000,1):INDEX($S$5:$S$1000,$U283-4),INDEX($S$5:$S$1000,$U283-4))&amp;"."&amp;COUNTIFS($U$5:$U283,$U283,$V$5:$V283,"Sub"))))</f>
        <v/>
      </c>
      <c r="B283" s="57" t="n"/>
      <c r="C283" s="58" t="n"/>
      <c r="D283" s="58" t="n"/>
      <c r="E283" s="59">
        <f>IF(N($AL283)&gt;0,INDEX(rIni_ADM,$AL283),"")</f>
        <v/>
      </c>
      <c r="F283" s="59">
        <f>IF(N($AL283)&gt;0,INDEX(rLim_ADM,$AL283),"")</f>
        <v/>
      </c>
      <c r="G283" s="59" t="n"/>
      <c r="H283" s="60" t="n"/>
      <c r="I283" s="60" t="n"/>
      <c r="J283" s="60" t="n"/>
      <c r="K283" s="60" t="n"/>
      <c r="L283" s="60" t="n"/>
      <c r="M283" s="61">
        <f>IF(NOT((COUNTA($B283:$D283)+COUNTA($G283:$L283)+COUNTA($Q283))&gt;0),"",IF(ISNUMBER($G283),1,IF(N($W283)&gt;0,AVERAGEIFS($X$5:$X$1000,$U$5:$U$1000,ROW(),$V$5:$V$1000,"Sub"),$X283)))</f>
        <v/>
      </c>
      <c r="N283" s="56">
        <f>IF($M283="","",IF($M283&gt;=1,"Completado",IF($M283&gt;0,"En curso","Pendiente")))</f>
        <v/>
      </c>
      <c r="O283" s="56">
        <f>IF(NOT((COUNTA($B283:$D283)+COUNTA($G283:$L283)+COUNTA($Q283))&gt;0),"",IF(ISNUMBER($G283),IF(AND(ISNUMBER($AN283),$G283&gt;$AN283),"Cumplida con "&amp;($G283-$AN283)&amp;IF($G283-$AN283=1," día"," días")&amp;" de retraso","Cumplida"),IF(N($M283)&gt;=1,"Cumplida",IF(NOT(ISNUMBER($AN283)),"Sin fecha límite",IF($AN283&lt;FechaRef,"Vencida hace "&amp;(FechaRef-$AN283)&amp;IF(FechaRef-$AN283=1," día"," días"),IF($AN283=FechaRef,"Vence hoy",IF($AN283-FechaRef&lt;=DiasAlerta,"Vence en "&amp;($AN283-FechaRef)&amp;IF($AN283-FechaRef=1," día"," días"),"En plazo")))))))</f>
        <v/>
      </c>
      <c r="P283" s="62" t="n"/>
      <c r="Q283" s="58" t="n"/>
      <c r="R283" s="63">
        <f>IF(NOT((COUNTA($B283:$D283)+COUNTA($G283:$L283)+COUNTA($Q283))&gt;0),"",IF((IF($C283="","Falta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",""))="","✔ OK","⚠ "&amp;LEFT(IF($C283="","Falta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",""),LEN(IF($C283="","Falta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",""))-3)))</f>
        <v/>
      </c>
      <c r="S283" s="64">
        <f>IF(NOT((COUNTA($B283:$D283)+COUNTA($G283:$L283)+COUNTA($Q283))&gt;0),"",IF(AND($V283="Sub",N($U283)&gt;0),IF(ISNUMBER(INDEX($AM$5:$AM$1000,$U283-4)),DATE(YEAR(INDEX($AM$5:$AM$1000,$U283-4)),MONTH(INDEX($AM$5:$AM$1000,$U283-4)),1),IF(ISNUMBER(INDEX($AN$5:$AN$1000,$U283-4)),DATE(YEAR(INDEX($AN$5:$AN$1000,$U283-4)),MONTH(INDEX($AN$5:$AN$1000,$U283-4)),1),MesCiclo)),IF(ISNUMBER($AM283),DATE(YEAR($AM283),MONTH($AM283),1),IF(ISNUMBER($AN283),DATE(YEAR($AN283),MONTH($AN283),1),MesCiclo))))</f>
        <v/>
      </c>
      <c r="T283" s="62">
        <f>IF(OR($S283="",$S283&lt;&gt;MesCiclo),"",COUNTIF($S$5:$S283,MesCiclo))</f>
        <v/>
      </c>
      <c r="U283" s="62">
        <f>IF($V283="","",IF($V283="Macro",ROW(),IFERROR(LOOKUP(2,1/($V$5:$V283="Macro"),ROW($V$5:$V283)),0)))</f>
        <v/>
      </c>
      <c r="V283" s="62">
        <f>IF(NOT((COUNTA($B283:$D283)+COUNTA($G283:$L283)+COUNTA($Q283))&gt;0),"",IF($B283="Subactividad","Sub","Macro"))</f>
        <v/>
      </c>
      <c r="W283" s="62">
        <f>IF($V283="Macro",COUNTIFS($U$5:$U$1000,ROW(),$V$5:$V$1000,"Sub"),"")</f>
        <v/>
      </c>
      <c r="X283" s="62">
        <f>IF($V283="","",IF(ISNUMBER($G283),1,IFERROR(LOOKUP(2,1/($I283:$L283&lt;&gt;""),$I283:$L283),0)))</f>
        <v/>
      </c>
      <c r="Y283" s="62">
        <f>IF($V283="","",IF(AND(ISNUMBER($G283),$G283&lt;=IF($S283=MesCiclo,InicioCiclo,$S283+MOD(2-WEEKDAY($S283),7))+6),1,IF(ISNUMBER($I283),$I283,0)))</f>
        <v/>
      </c>
      <c r="Z283" s="62">
        <f>IF($V283="","",IF(AND(ISNUMBER($G283),$G283&lt;=IF($S283=MesCiclo,InicioCiclo,$S283+MOD(2-WEEKDAY($S283),7))+13),1,IF(ISNUMBER($J283),$J283,$Y283)))</f>
        <v/>
      </c>
      <c r="AA283" s="62">
        <f>IF($V283="","",IF(AND(ISNUMBER($G283),$G283&lt;=IF($S283=MesCiclo,InicioCiclo,$S283+MOD(2-WEEKDAY($S283),7))+20),1,IF(ISNUMBER($K283),$K283,$Z283)))</f>
        <v/>
      </c>
      <c r="AB283" s="62">
        <f>IF($V283="","",IF(AND(ISNUMBER($G283),$G283&lt;=IF($S283=MesCiclo,InicioCiclo,$S283+MOD(2-WEEKDAY($S283),7))+27),1,IF(ISNUMBER($L283),$L283,$AA283)))</f>
        <v/>
      </c>
      <c r="AC283" s="62">
        <f>IF($V283="","",IF(AND(ISNUMBER($G283),$G283&lt;=IF($S283=MesCiclo,InicioCiclo,$S283+MOD(2-WEEKDAY($S283),7))+6),1,IF(N($W283)&gt;0,AVERAGEIFS($Y$5:$Y$1000,$U$5:$U$1000,ROW(),$V$5:$V$1000,"Sub"),$Y283)))</f>
        <v/>
      </c>
      <c r="AD283" s="62">
        <f>IF($V283="","",IF(AND(ISNUMBER($G283),$G283&lt;=IF($S283=MesCiclo,InicioCiclo,$S283+MOD(2-WEEKDAY($S283),7))+13),1,IF(N($W283)&gt;0,AVERAGEIFS($Z$5:$Z$1000,$U$5:$U$1000,ROW(),$V$5:$V$1000,"Sub"),$Z283)))</f>
        <v/>
      </c>
      <c r="AE283" s="62">
        <f>IF($V283="","",IF(AND(ISNUMBER($G283),$G283&lt;=IF($S283=MesCiclo,InicioCiclo,$S283+MOD(2-WEEKDAY($S283),7))+20),1,IF(N($W283)&gt;0,AVERAGEIFS($AA$5:$AA$1000,$U$5:$U$1000,ROW(),$V$5:$V$1000,"Sub"),$AA283)))</f>
        <v/>
      </c>
      <c r="AF283" s="62">
        <f>IF($V283="","",IF(AND(ISNUMBER($G283),$G283&lt;=IF($S283=MesCiclo,InicioCiclo,$S283+MOD(2-WEEKDAY($S283),7))+27),1,IF(N($W283)&gt;0,AVERAGEIFS($AB$5:$AB$1000,$U$5:$U$1000,ROW(),$V$5:$V$1000,"Sub"),$AB283)))</f>
        <v/>
      </c>
      <c r="AG283" s="62">
        <f>IF($V283&lt;&gt;"Macro","",IF(COUNTIFS($S$5:$S$1000,$S283,$V$5:$V$1000,"Macro",$H$5:$H$1000,"&gt;0")=0,1/COUNTIFS($S$5:$S$1000,$S283,$V$5:$V$1000,"Macro"),IF(AND(ISNUMBER($H283),N($H283)&gt;0),$H283,SUMIFS($H$5:$H$1000,$S$5:$S$1000,$S283,$V$5:$V$1000,"Macro")/COUNTIFS($S$5:$S$1000,$S283,$V$5:$V$1000,"Macro",$H$5:$H$1000,"&gt;0"))/(COUNTIFS($S$5:$S$1000,$S283,$V$5:$V$1000,"Macro")*SUMIFS($H$5:$H$1000,$S$5:$S$1000,$S283,$V$5:$V$1000,"Macro")/COUNTIFS($S$5:$S$1000,$S283,$V$5:$V$1000,"Macro",$H$5:$H$1000,"&gt;0"))))</f>
        <v/>
      </c>
      <c r="AH283" s="62" t="n"/>
      <c r="AI283" s="62" t="n"/>
      <c r="AJ283" s="62" t="n"/>
      <c r="AK283" s="62" t="n"/>
      <c r="AL283" s="62">
        <f>IF(LEFT($C283,11)="[Jefatura] ",IFERROR(MATCH("Riesgo Operacional|"&amp;MID($C283,12,500),rDname_ADM,0),0),"")</f>
        <v/>
      </c>
      <c r="AM283" s="62">
        <f>IF(N($AL283)&gt;0,INDEX(rIni_ADM,$AL283),IF(ISNUMBER($E283),$E283,""))</f>
        <v/>
      </c>
      <c r="AN283" s="62">
        <f>IF(N($AL283)&gt;0,INDEX(rLim_ADM,$AL283),IF(ISNUMBER($F283),$F283,""))</f>
        <v/>
      </c>
    </row>
    <row r="284">
      <c r="A284" s="56">
        <f>IF(NOT((COUNTA($B284:$D284)+COUNTA($G284:$L284)+COUNTA($Q284))&gt;0),"",IF($V284="Macro",COUNTIFS($V$5:$V284,"Macro",$S$5:$S284,$S284),IF(N($U284)=0,"?",COUNTIFS(INDEX($V$5:$V$1000,1):INDEX($V$5:$V$1000,$U284-4),"Macro",INDEX($S$5:$S$1000,1):INDEX($S$5:$S$1000,$U284-4),INDEX($S$5:$S$1000,$U284-4))&amp;"."&amp;COUNTIFS($U$5:$U284,$U284,$V$5:$V284,"Sub"))))</f>
        <v/>
      </c>
      <c r="B284" s="57" t="n"/>
      <c r="C284" s="58" t="n"/>
      <c r="D284" s="58" t="n"/>
      <c r="E284" s="59">
        <f>IF(N($AL284)&gt;0,INDEX(rIni_ADM,$AL284),"")</f>
        <v/>
      </c>
      <c r="F284" s="59">
        <f>IF(N($AL284)&gt;0,INDEX(rLim_ADM,$AL284),"")</f>
        <v/>
      </c>
      <c r="G284" s="59" t="n"/>
      <c r="H284" s="60" t="n"/>
      <c r="I284" s="60" t="n"/>
      <c r="J284" s="60" t="n"/>
      <c r="K284" s="60" t="n"/>
      <c r="L284" s="60" t="n"/>
      <c r="M284" s="61">
        <f>IF(NOT((COUNTA($B284:$D284)+COUNTA($G284:$L284)+COUNTA($Q284))&gt;0),"",IF(ISNUMBER($G284),1,IF(N($W284)&gt;0,AVERAGEIFS($X$5:$X$1000,$U$5:$U$1000,ROW(),$V$5:$V$1000,"Sub"),$X284)))</f>
        <v/>
      </c>
      <c r="N284" s="56">
        <f>IF($M284="","",IF($M284&gt;=1,"Completado",IF($M284&gt;0,"En curso","Pendiente")))</f>
        <v/>
      </c>
      <c r="O284" s="56">
        <f>IF(NOT((COUNTA($B284:$D284)+COUNTA($G284:$L284)+COUNTA($Q284))&gt;0),"",IF(ISNUMBER($G284),IF(AND(ISNUMBER($AN284),$G284&gt;$AN284),"Cumplida con "&amp;($G284-$AN284)&amp;IF($G284-$AN284=1," día"," días")&amp;" de retraso","Cumplida"),IF(N($M284)&gt;=1,"Cumplida",IF(NOT(ISNUMBER($AN284)),"Sin fecha límite",IF($AN284&lt;FechaRef,"Vencida hace "&amp;(FechaRef-$AN284)&amp;IF(FechaRef-$AN284=1," día"," días"),IF($AN284=FechaRef,"Vence hoy",IF($AN284-FechaRef&lt;=DiasAlerta,"Vence en "&amp;($AN284-FechaRef)&amp;IF($AN284-FechaRef=1," día"," días"),"En plazo")))))))</f>
        <v/>
      </c>
      <c r="P284" s="62" t="n"/>
      <c r="Q284" s="58" t="n"/>
      <c r="R284" s="63">
        <f>IF(NOT((COUNTA($B284:$D284)+COUNTA($G284:$L284)+COUNTA($Q284))&gt;0),"",IF((IF($C284="","Falta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",""))="","✔ OK","⚠ "&amp;LEFT(IF($C284="","Falta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",""),LEN(IF($C284="","Falta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",""))-3)))</f>
        <v/>
      </c>
      <c r="S284" s="64">
        <f>IF(NOT((COUNTA($B284:$D284)+COUNTA($G284:$L284)+COUNTA($Q284))&gt;0),"",IF(AND($V284="Sub",N($U284)&gt;0),IF(ISNUMBER(INDEX($AM$5:$AM$1000,$U284-4)),DATE(YEAR(INDEX($AM$5:$AM$1000,$U284-4)),MONTH(INDEX($AM$5:$AM$1000,$U284-4)),1),IF(ISNUMBER(INDEX($AN$5:$AN$1000,$U284-4)),DATE(YEAR(INDEX($AN$5:$AN$1000,$U284-4)),MONTH(INDEX($AN$5:$AN$1000,$U284-4)),1),MesCiclo)),IF(ISNUMBER($AM284),DATE(YEAR($AM284),MONTH($AM284),1),IF(ISNUMBER($AN284),DATE(YEAR($AN284),MONTH($AN284),1),MesCiclo))))</f>
        <v/>
      </c>
      <c r="T284" s="62">
        <f>IF(OR($S284="",$S284&lt;&gt;MesCiclo),"",COUNTIF($S$5:$S284,MesCiclo))</f>
        <v/>
      </c>
      <c r="U284" s="62">
        <f>IF($V284="","",IF($V284="Macro",ROW(),IFERROR(LOOKUP(2,1/($V$5:$V284="Macro"),ROW($V$5:$V284)),0)))</f>
        <v/>
      </c>
      <c r="V284" s="62">
        <f>IF(NOT((COUNTA($B284:$D284)+COUNTA($G284:$L284)+COUNTA($Q284))&gt;0),"",IF($B284="Subactividad","Sub","Macro"))</f>
        <v/>
      </c>
      <c r="W284" s="62">
        <f>IF($V284="Macro",COUNTIFS($U$5:$U$1000,ROW(),$V$5:$V$1000,"Sub"),"")</f>
        <v/>
      </c>
      <c r="X284" s="62">
        <f>IF($V284="","",IF(ISNUMBER($G284),1,IFERROR(LOOKUP(2,1/($I284:$L284&lt;&gt;""),$I284:$L284),0)))</f>
        <v/>
      </c>
      <c r="Y284" s="62">
        <f>IF($V284="","",IF(AND(ISNUMBER($G284),$G284&lt;=IF($S284=MesCiclo,InicioCiclo,$S284+MOD(2-WEEKDAY($S284),7))+6),1,IF(ISNUMBER($I284),$I284,0)))</f>
        <v/>
      </c>
      <c r="Z284" s="62">
        <f>IF($V284="","",IF(AND(ISNUMBER($G284),$G284&lt;=IF($S284=MesCiclo,InicioCiclo,$S284+MOD(2-WEEKDAY($S284),7))+13),1,IF(ISNUMBER($J284),$J284,$Y284)))</f>
        <v/>
      </c>
      <c r="AA284" s="62">
        <f>IF($V284="","",IF(AND(ISNUMBER($G284),$G284&lt;=IF($S284=MesCiclo,InicioCiclo,$S284+MOD(2-WEEKDAY($S284),7))+20),1,IF(ISNUMBER($K284),$K284,$Z284)))</f>
        <v/>
      </c>
      <c r="AB284" s="62">
        <f>IF($V284="","",IF(AND(ISNUMBER($G284),$G284&lt;=IF($S284=MesCiclo,InicioCiclo,$S284+MOD(2-WEEKDAY($S284),7))+27),1,IF(ISNUMBER($L284),$L284,$AA284)))</f>
        <v/>
      </c>
      <c r="AC284" s="62">
        <f>IF($V284="","",IF(AND(ISNUMBER($G284),$G284&lt;=IF($S284=MesCiclo,InicioCiclo,$S284+MOD(2-WEEKDAY($S284),7))+6),1,IF(N($W284)&gt;0,AVERAGEIFS($Y$5:$Y$1000,$U$5:$U$1000,ROW(),$V$5:$V$1000,"Sub"),$Y284)))</f>
        <v/>
      </c>
      <c r="AD284" s="62">
        <f>IF($V284="","",IF(AND(ISNUMBER($G284),$G284&lt;=IF($S284=MesCiclo,InicioCiclo,$S284+MOD(2-WEEKDAY($S284),7))+13),1,IF(N($W284)&gt;0,AVERAGEIFS($Z$5:$Z$1000,$U$5:$U$1000,ROW(),$V$5:$V$1000,"Sub"),$Z284)))</f>
        <v/>
      </c>
      <c r="AE284" s="62">
        <f>IF($V284="","",IF(AND(ISNUMBER($G284),$G284&lt;=IF($S284=MesCiclo,InicioCiclo,$S284+MOD(2-WEEKDAY($S284),7))+20),1,IF(N($W284)&gt;0,AVERAGEIFS($AA$5:$AA$1000,$U$5:$U$1000,ROW(),$V$5:$V$1000,"Sub"),$AA284)))</f>
        <v/>
      </c>
      <c r="AF284" s="62">
        <f>IF($V284="","",IF(AND(ISNUMBER($G284),$G284&lt;=IF($S284=MesCiclo,InicioCiclo,$S284+MOD(2-WEEKDAY($S284),7))+27),1,IF(N($W284)&gt;0,AVERAGEIFS($AB$5:$AB$1000,$U$5:$U$1000,ROW(),$V$5:$V$1000,"Sub"),$AB284)))</f>
        <v/>
      </c>
      <c r="AG284" s="62">
        <f>IF($V284&lt;&gt;"Macro","",IF(COUNTIFS($S$5:$S$1000,$S284,$V$5:$V$1000,"Macro",$H$5:$H$1000,"&gt;0")=0,1/COUNTIFS($S$5:$S$1000,$S284,$V$5:$V$1000,"Macro"),IF(AND(ISNUMBER($H284),N($H284)&gt;0),$H284,SUMIFS($H$5:$H$1000,$S$5:$S$1000,$S284,$V$5:$V$1000,"Macro")/COUNTIFS($S$5:$S$1000,$S284,$V$5:$V$1000,"Macro",$H$5:$H$1000,"&gt;0"))/(COUNTIFS($S$5:$S$1000,$S284,$V$5:$V$1000,"Macro")*SUMIFS($H$5:$H$1000,$S$5:$S$1000,$S284,$V$5:$V$1000,"Macro")/COUNTIFS($S$5:$S$1000,$S284,$V$5:$V$1000,"Macro",$H$5:$H$1000,"&gt;0"))))</f>
        <v/>
      </c>
      <c r="AH284" s="62" t="n"/>
      <c r="AI284" s="62" t="n"/>
      <c r="AJ284" s="62" t="n"/>
      <c r="AK284" s="62" t="n"/>
      <c r="AL284" s="62">
        <f>IF(LEFT($C284,11)="[Jefatura] ",IFERROR(MATCH("Riesgo Operacional|"&amp;MID($C284,12,500),rDname_ADM,0),0),"")</f>
        <v/>
      </c>
      <c r="AM284" s="62">
        <f>IF(N($AL284)&gt;0,INDEX(rIni_ADM,$AL284),IF(ISNUMBER($E284),$E284,""))</f>
        <v/>
      </c>
      <c r="AN284" s="62">
        <f>IF(N($AL284)&gt;0,INDEX(rLim_ADM,$AL284),IF(ISNUMBER($F284),$F284,""))</f>
        <v/>
      </c>
    </row>
    <row r="285">
      <c r="A285" s="56">
        <f>IF(NOT((COUNTA($B285:$D285)+COUNTA($G285:$L285)+COUNTA($Q285))&gt;0),"",IF($V285="Macro",COUNTIFS($V$5:$V285,"Macro",$S$5:$S285,$S285),IF(N($U285)=0,"?",COUNTIFS(INDEX($V$5:$V$1000,1):INDEX($V$5:$V$1000,$U285-4),"Macro",INDEX($S$5:$S$1000,1):INDEX($S$5:$S$1000,$U285-4),INDEX($S$5:$S$1000,$U285-4))&amp;"."&amp;COUNTIFS($U$5:$U285,$U285,$V$5:$V285,"Sub"))))</f>
        <v/>
      </c>
      <c r="B285" s="57" t="n"/>
      <c r="C285" s="58" t="n"/>
      <c r="D285" s="58" t="n"/>
      <c r="E285" s="59">
        <f>IF(N($AL285)&gt;0,INDEX(rIni_ADM,$AL285),"")</f>
        <v/>
      </c>
      <c r="F285" s="59">
        <f>IF(N($AL285)&gt;0,INDEX(rLim_ADM,$AL285),"")</f>
        <v/>
      </c>
      <c r="G285" s="59" t="n"/>
      <c r="H285" s="60" t="n"/>
      <c r="I285" s="60" t="n"/>
      <c r="J285" s="60" t="n"/>
      <c r="K285" s="60" t="n"/>
      <c r="L285" s="60" t="n"/>
      <c r="M285" s="61">
        <f>IF(NOT((COUNTA($B285:$D285)+COUNTA($G285:$L285)+COUNTA($Q285))&gt;0),"",IF(ISNUMBER($G285),1,IF(N($W285)&gt;0,AVERAGEIFS($X$5:$X$1000,$U$5:$U$1000,ROW(),$V$5:$V$1000,"Sub"),$X285)))</f>
        <v/>
      </c>
      <c r="N285" s="56">
        <f>IF($M285="","",IF($M285&gt;=1,"Completado",IF($M285&gt;0,"En curso","Pendiente")))</f>
        <v/>
      </c>
      <c r="O285" s="56">
        <f>IF(NOT((COUNTA($B285:$D285)+COUNTA($G285:$L285)+COUNTA($Q285))&gt;0),"",IF(ISNUMBER($G285),IF(AND(ISNUMBER($AN285),$G285&gt;$AN285),"Cumplida con "&amp;($G285-$AN285)&amp;IF($G285-$AN285=1," día"," días")&amp;" de retraso","Cumplida"),IF(N($M285)&gt;=1,"Cumplida",IF(NOT(ISNUMBER($AN285)),"Sin fecha límite",IF($AN285&lt;FechaRef,"Vencida hace "&amp;(FechaRef-$AN285)&amp;IF(FechaRef-$AN285=1," día"," días"),IF($AN285=FechaRef,"Vence hoy",IF($AN285-FechaRef&lt;=DiasAlerta,"Vence en "&amp;($AN285-FechaRef)&amp;IF($AN285-FechaRef=1," día"," días"),"En plazo")))))))</f>
        <v/>
      </c>
      <c r="P285" s="62" t="n"/>
      <c r="Q285" s="58" t="n"/>
      <c r="R285" s="63">
        <f>IF(NOT((COUNTA($B285:$D285)+COUNTA($G285:$L285)+COUNTA($Q285))&gt;0),"",IF((IF($C285="","Falta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",""))="","✔ OK","⚠ "&amp;LEFT(IF($C285="","Falta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",""),LEN(IF($C285="","Falta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",""))-3)))</f>
        <v/>
      </c>
      <c r="S285" s="64">
        <f>IF(NOT((COUNTA($B285:$D285)+COUNTA($G285:$L285)+COUNTA($Q285))&gt;0),"",IF(AND($V285="Sub",N($U285)&gt;0),IF(ISNUMBER(INDEX($AM$5:$AM$1000,$U285-4)),DATE(YEAR(INDEX($AM$5:$AM$1000,$U285-4)),MONTH(INDEX($AM$5:$AM$1000,$U285-4)),1),IF(ISNUMBER(INDEX($AN$5:$AN$1000,$U285-4)),DATE(YEAR(INDEX($AN$5:$AN$1000,$U285-4)),MONTH(INDEX($AN$5:$AN$1000,$U285-4)),1),MesCiclo)),IF(ISNUMBER($AM285),DATE(YEAR($AM285),MONTH($AM285),1),IF(ISNUMBER($AN285),DATE(YEAR($AN285),MONTH($AN285),1),MesCiclo))))</f>
        <v/>
      </c>
      <c r="T285" s="62">
        <f>IF(OR($S285="",$S285&lt;&gt;MesCiclo),"",COUNTIF($S$5:$S285,MesCiclo))</f>
        <v/>
      </c>
      <c r="U285" s="62">
        <f>IF($V285="","",IF($V285="Macro",ROW(),IFERROR(LOOKUP(2,1/($V$5:$V285="Macro"),ROW($V$5:$V285)),0)))</f>
        <v/>
      </c>
      <c r="V285" s="62">
        <f>IF(NOT((COUNTA($B285:$D285)+COUNTA($G285:$L285)+COUNTA($Q285))&gt;0),"",IF($B285="Subactividad","Sub","Macro"))</f>
        <v/>
      </c>
      <c r="W285" s="62">
        <f>IF($V285="Macro",COUNTIFS($U$5:$U$1000,ROW(),$V$5:$V$1000,"Sub"),"")</f>
        <v/>
      </c>
      <c r="X285" s="62">
        <f>IF($V285="","",IF(ISNUMBER($G285),1,IFERROR(LOOKUP(2,1/($I285:$L285&lt;&gt;""),$I285:$L285),0)))</f>
        <v/>
      </c>
      <c r="Y285" s="62">
        <f>IF($V285="","",IF(AND(ISNUMBER($G285),$G285&lt;=IF($S285=MesCiclo,InicioCiclo,$S285+MOD(2-WEEKDAY($S285),7))+6),1,IF(ISNUMBER($I285),$I285,0)))</f>
        <v/>
      </c>
      <c r="Z285" s="62">
        <f>IF($V285="","",IF(AND(ISNUMBER($G285),$G285&lt;=IF($S285=MesCiclo,InicioCiclo,$S285+MOD(2-WEEKDAY($S285),7))+13),1,IF(ISNUMBER($J285),$J285,$Y285)))</f>
        <v/>
      </c>
      <c r="AA285" s="62">
        <f>IF($V285="","",IF(AND(ISNUMBER($G285),$G285&lt;=IF($S285=MesCiclo,InicioCiclo,$S285+MOD(2-WEEKDAY($S285),7))+20),1,IF(ISNUMBER($K285),$K285,$Z285)))</f>
        <v/>
      </c>
      <c r="AB285" s="62">
        <f>IF($V285="","",IF(AND(ISNUMBER($G285),$G285&lt;=IF($S285=MesCiclo,InicioCiclo,$S285+MOD(2-WEEKDAY($S285),7))+27),1,IF(ISNUMBER($L285),$L285,$AA285)))</f>
        <v/>
      </c>
      <c r="AC285" s="62">
        <f>IF($V285="","",IF(AND(ISNUMBER($G285),$G285&lt;=IF($S285=MesCiclo,InicioCiclo,$S285+MOD(2-WEEKDAY($S285),7))+6),1,IF(N($W285)&gt;0,AVERAGEIFS($Y$5:$Y$1000,$U$5:$U$1000,ROW(),$V$5:$V$1000,"Sub"),$Y285)))</f>
        <v/>
      </c>
      <c r="AD285" s="62">
        <f>IF($V285="","",IF(AND(ISNUMBER($G285),$G285&lt;=IF($S285=MesCiclo,InicioCiclo,$S285+MOD(2-WEEKDAY($S285),7))+13),1,IF(N($W285)&gt;0,AVERAGEIFS($Z$5:$Z$1000,$U$5:$U$1000,ROW(),$V$5:$V$1000,"Sub"),$Z285)))</f>
        <v/>
      </c>
      <c r="AE285" s="62">
        <f>IF($V285="","",IF(AND(ISNUMBER($G285),$G285&lt;=IF($S285=MesCiclo,InicioCiclo,$S285+MOD(2-WEEKDAY($S285),7))+20),1,IF(N($W285)&gt;0,AVERAGEIFS($AA$5:$AA$1000,$U$5:$U$1000,ROW(),$V$5:$V$1000,"Sub"),$AA285)))</f>
        <v/>
      </c>
      <c r="AF285" s="62">
        <f>IF($V285="","",IF(AND(ISNUMBER($G285),$G285&lt;=IF($S285=MesCiclo,InicioCiclo,$S285+MOD(2-WEEKDAY($S285),7))+27),1,IF(N($W285)&gt;0,AVERAGEIFS($AB$5:$AB$1000,$U$5:$U$1000,ROW(),$V$5:$V$1000,"Sub"),$AB285)))</f>
        <v/>
      </c>
      <c r="AG285" s="62">
        <f>IF($V285&lt;&gt;"Macro","",IF(COUNTIFS($S$5:$S$1000,$S285,$V$5:$V$1000,"Macro",$H$5:$H$1000,"&gt;0")=0,1/COUNTIFS($S$5:$S$1000,$S285,$V$5:$V$1000,"Macro"),IF(AND(ISNUMBER($H285),N($H285)&gt;0),$H285,SUMIFS($H$5:$H$1000,$S$5:$S$1000,$S285,$V$5:$V$1000,"Macro")/COUNTIFS($S$5:$S$1000,$S285,$V$5:$V$1000,"Macro",$H$5:$H$1000,"&gt;0"))/(COUNTIFS($S$5:$S$1000,$S285,$V$5:$V$1000,"Macro")*SUMIFS($H$5:$H$1000,$S$5:$S$1000,$S285,$V$5:$V$1000,"Macro")/COUNTIFS($S$5:$S$1000,$S285,$V$5:$V$1000,"Macro",$H$5:$H$1000,"&gt;0"))))</f>
        <v/>
      </c>
      <c r="AH285" s="62" t="n"/>
      <c r="AI285" s="62" t="n"/>
      <c r="AJ285" s="62" t="n"/>
      <c r="AK285" s="62" t="n"/>
      <c r="AL285" s="62">
        <f>IF(LEFT($C285,11)="[Jefatura] ",IFERROR(MATCH("Riesgo Operacional|"&amp;MID($C285,12,500),rDname_ADM,0),0),"")</f>
        <v/>
      </c>
      <c r="AM285" s="62">
        <f>IF(N($AL285)&gt;0,INDEX(rIni_ADM,$AL285),IF(ISNUMBER($E285),$E285,""))</f>
        <v/>
      </c>
      <c r="AN285" s="62">
        <f>IF(N($AL285)&gt;0,INDEX(rLim_ADM,$AL285),IF(ISNUMBER($F285),$F285,""))</f>
        <v/>
      </c>
    </row>
    <row r="286">
      <c r="A286" s="56">
        <f>IF(NOT((COUNTA($B286:$D286)+COUNTA($G286:$L286)+COUNTA($Q286))&gt;0),"",IF($V286="Macro",COUNTIFS($V$5:$V286,"Macro",$S$5:$S286,$S286),IF(N($U286)=0,"?",COUNTIFS(INDEX($V$5:$V$1000,1):INDEX($V$5:$V$1000,$U286-4),"Macro",INDEX($S$5:$S$1000,1):INDEX($S$5:$S$1000,$U286-4),INDEX($S$5:$S$1000,$U286-4))&amp;"."&amp;COUNTIFS($U$5:$U286,$U286,$V$5:$V286,"Sub"))))</f>
        <v/>
      </c>
      <c r="B286" s="57" t="n"/>
      <c r="C286" s="58" t="n"/>
      <c r="D286" s="58" t="n"/>
      <c r="E286" s="59">
        <f>IF(N($AL286)&gt;0,INDEX(rIni_ADM,$AL286),"")</f>
        <v/>
      </c>
      <c r="F286" s="59">
        <f>IF(N($AL286)&gt;0,INDEX(rLim_ADM,$AL286),"")</f>
        <v/>
      </c>
      <c r="G286" s="59" t="n"/>
      <c r="H286" s="60" t="n"/>
      <c r="I286" s="60" t="n"/>
      <c r="J286" s="60" t="n"/>
      <c r="K286" s="60" t="n"/>
      <c r="L286" s="60" t="n"/>
      <c r="M286" s="61">
        <f>IF(NOT((COUNTA($B286:$D286)+COUNTA($G286:$L286)+COUNTA($Q286))&gt;0),"",IF(ISNUMBER($G286),1,IF(N($W286)&gt;0,AVERAGEIFS($X$5:$X$1000,$U$5:$U$1000,ROW(),$V$5:$V$1000,"Sub"),$X286)))</f>
        <v/>
      </c>
      <c r="N286" s="56">
        <f>IF($M286="","",IF($M286&gt;=1,"Completado",IF($M286&gt;0,"En curso","Pendiente")))</f>
        <v/>
      </c>
      <c r="O286" s="56">
        <f>IF(NOT((COUNTA($B286:$D286)+COUNTA($G286:$L286)+COUNTA($Q286))&gt;0),"",IF(ISNUMBER($G286),IF(AND(ISNUMBER($AN286),$G286&gt;$AN286),"Cumplida con "&amp;($G286-$AN286)&amp;IF($G286-$AN286=1," día"," días")&amp;" de retraso","Cumplida"),IF(N($M286)&gt;=1,"Cumplida",IF(NOT(ISNUMBER($AN286)),"Sin fecha límite",IF($AN286&lt;FechaRef,"Vencida hace "&amp;(FechaRef-$AN286)&amp;IF(FechaRef-$AN286=1," día"," días"),IF($AN286=FechaRef,"Vence hoy",IF($AN286-FechaRef&lt;=DiasAlerta,"Vence en "&amp;($AN286-FechaRef)&amp;IF($AN286-FechaRef=1," día"," días"),"En plazo")))))))</f>
        <v/>
      </c>
      <c r="P286" s="62" t="n"/>
      <c r="Q286" s="58" t="n"/>
      <c r="R286" s="63">
        <f>IF(NOT((COUNTA($B286:$D286)+COUNTA($G286:$L286)+COUNTA($Q286))&gt;0),"",IF((IF($C286="","Falta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",""))="","✔ OK","⚠ "&amp;LEFT(IF($C286="","Falta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",""),LEN(IF($C286="","Falta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",""))-3)))</f>
        <v/>
      </c>
      <c r="S286" s="64">
        <f>IF(NOT((COUNTA($B286:$D286)+COUNTA($G286:$L286)+COUNTA($Q286))&gt;0),"",IF(AND($V286="Sub",N($U286)&gt;0),IF(ISNUMBER(INDEX($AM$5:$AM$1000,$U286-4)),DATE(YEAR(INDEX($AM$5:$AM$1000,$U286-4)),MONTH(INDEX($AM$5:$AM$1000,$U286-4)),1),IF(ISNUMBER(INDEX($AN$5:$AN$1000,$U286-4)),DATE(YEAR(INDEX($AN$5:$AN$1000,$U286-4)),MONTH(INDEX($AN$5:$AN$1000,$U286-4)),1),MesCiclo)),IF(ISNUMBER($AM286),DATE(YEAR($AM286),MONTH($AM286),1),IF(ISNUMBER($AN286),DATE(YEAR($AN286),MONTH($AN286),1),MesCiclo))))</f>
        <v/>
      </c>
      <c r="T286" s="62">
        <f>IF(OR($S286="",$S286&lt;&gt;MesCiclo),"",COUNTIF($S$5:$S286,MesCiclo))</f>
        <v/>
      </c>
      <c r="U286" s="62">
        <f>IF($V286="","",IF($V286="Macro",ROW(),IFERROR(LOOKUP(2,1/($V$5:$V286="Macro"),ROW($V$5:$V286)),0)))</f>
        <v/>
      </c>
      <c r="V286" s="62">
        <f>IF(NOT((COUNTA($B286:$D286)+COUNTA($G286:$L286)+COUNTA($Q286))&gt;0),"",IF($B286="Subactividad","Sub","Macro"))</f>
        <v/>
      </c>
      <c r="W286" s="62">
        <f>IF($V286="Macro",COUNTIFS($U$5:$U$1000,ROW(),$V$5:$V$1000,"Sub"),"")</f>
        <v/>
      </c>
      <c r="X286" s="62">
        <f>IF($V286="","",IF(ISNUMBER($G286),1,IFERROR(LOOKUP(2,1/($I286:$L286&lt;&gt;""),$I286:$L286),0)))</f>
        <v/>
      </c>
      <c r="Y286" s="62">
        <f>IF($V286="","",IF(AND(ISNUMBER($G286),$G286&lt;=IF($S286=MesCiclo,InicioCiclo,$S286+MOD(2-WEEKDAY($S286),7))+6),1,IF(ISNUMBER($I286),$I286,0)))</f>
        <v/>
      </c>
      <c r="Z286" s="62">
        <f>IF($V286="","",IF(AND(ISNUMBER($G286),$G286&lt;=IF($S286=MesCiclo,InicioCiclo,$S286+MOD(2-WEEKDAY($S286),7))+13),1,IF(ISNUMBER($J286),$J286,$Y286)))</f>
        <v/>
      </c>
      <c r="AA286" s="62">
        <f>IF($V286="","",IF(AND(ISNUMBER($G286),$G286&lt;=IF($S286=MesCiclo,InicioCiclo,$S286+MOD(2-WEEKDAY($S286),7))+20),1,IF(ISNUMBER($K286),$K286,$Z286)))</f>
        <v/>
      </c>
      <c r="AB286" s="62">
        <f>IF($V286="","",IF(AND(ISNUMBER($G286),$G286&lt;=IF($S286=MesCiclo,InicioCiclo,$S286+MOD(2-WEEKDAY($S286),7))+27),1,IF(ISNUMBER($L286),$L286,$AA286)))</f>
        <v/>
      </c>
      <c r="AC286" s="62">
        <f>IF($V286="","",IF(AND(ISNUMBER($G286),$G286&lt;=IF($S286=MesCiclo,InicioCiclo,$S286+MOD(2-WEEKDAY($S286),7))+6),1,IF(N($W286)&gt;0,AVERAGEIFS($Y$5:$Y$1000,$U$5:$U$1000,ROW(),$V$5:$V$1000,"Sub"),$Y286)))</f>
        <v/>
      </c>
      <c r="AD286" s="62">
        <f>IF($V286="","",IF(AND(ISNUMBER($G286),$G286&lt;=IF($S286=MesCiclo,InicioCiclo,$S286+MOD(2-WEEKDAY($S286),7))+13),1,IF(N($W286)&gt;0,AVERAGEIFS($Z$5:$Z$1000,$U$5:$U$1000,ROW(),$V$5:$V$1000,"Sub"),$Z286)))</f>
        <v/>
      </c>
      <c r="AE286" s="62">
        <f>IF($V286="","",IF(AND(ISNUMBER($G286),$G286&lt;=IF($S286=MesCiclo,InicioCiclo,$S286+MOD(2-WEEKDAY($S286),7))+20),1,IF(N($W286)&gt;0,AVERAGEIFS($AA$5:$AA$1000,$U$5:$U$1000,ROW(),$V$5:$V$1000,"Sub"),$AA286)))</f>
        <v/>
      </c>
      <c r="AF286" s="62">
        <f>IF($V286="","",IF(AND(ISNUMBER($G286),$G286&lt;=IF($S286=MesCiclo,InicioCiclo,$S286+MOD(2-WEEKDAY($S286),7))+27),1,IF(N($W286)&gt;0,AVERAGEIFS($AB$5:$AB$1000,$U$5:$U$1000,ROW(),$V$5:$V$1000,"Sub"),$AB286)))</f>
        <v/>
      </c>
      <c r="AG286" s="62">
        <f>IF($V286&lt;&gt;"Macro","",IF(COUNTIFS($S$5:$S$1000,$S286,$V$5:$V$1000,"Macro",$H$5:$H$1000,"&gt;0")=0,1/COUNTIFS($S$5:$S$1000,$S286,$V$5:$V$1000,"Macro"),IF(AND(ISNUMBER($H286),N($H286)&gt;0),$H286,SUMIFS($H$5:$H$1000,$S$5:$S$1000,$S286,$V$5:$V$1000,"Macro")/COUNTIFS($S$5:$S$1000,$S286,$V$5:$V$1000,"Macro",$H$5:$H$1000,"&gt;0"))/(COUNTIFS($S$5:$S$1000,$S286,$V$5:$V$1000,"Macro")*SUMIFS($H$5:$H$1000,$S$5:$S$1000,$S286,$V$5:$V$1000,"Macro")/COUNTIFS($S$5:$S$1000,$S286,$V$5:$V$1000,"Macro",$H$5:$H$1000,"&gt;0"))))</f>
        <v/>
      </c>
      <c r="AH286" s="62" t="n"/>
      <c r="AI286" s="62" t="n"/>
      <c r="AJ286" s="62" t="n"/>
      <c r="AK286" s="62" t="n"/>
      <c r="AL286" s="62">
        <f>IF(LEFT($C286,11)="[Jefatura] ",IFERROR(MATCH("Riesgo Operacional|"&amp;MID($C286,12,500),rDname_ADM,0),0),"")</f>
        <v/>
      </c>
      <c r="AM286" s="62">
        <f>IF(N($AL286)&gt;0,INDEX(rIni_ADM,$AL286),IF(ISNUMBER($E286),$E286,""))</f>
        <v/>
      </c>
      <c r="AN286" s="62">
        <f>IF(N($AL286)&gt;0,INDEX(rLim_ADM,$AL286),IF(ISNUMBER($F286),$F286,""))</f>
        <v/>
      </c>
    </row>
    <row r="287">
      <c r="A287" s="56">
        <f>IF(NOT((COUNTA($B287:$D287)+COUNTA($G287:$L287)+COUNTA($Q287))&gt;0),"",IF($V287="Macro",COUNTIFS($V$5:$V287,"Macro",$S$5:$S287,$S287),IF(N($U287)=0,"?",COUNTIFS(INDEX($V$5:$V$1000,1):INDEX($V$5:$V$1000,$U287-4),"Macro",INDEX($S$5:$S$1000,1):INDEX($S$5:$S$1000,$U287-4),INDEX($S$5:$S$1000,$U287-4))&amp;"."&amp;COUNTIFS($U$5:$U287,$U287,$V$5:$V287,"Sub"))))</f>
        <v/>
      </c>
      <c r="B287" s="57" t="n"/>
      <c r="C287" s="58" t="n"/>
      <c r="D287" s="58" t="n"/>
      <c r="E287" s="59">
        <f>IF(N($AL287)&gt;0,INDEX(rIni_ADM,$AL287),"")</f>
        <v/>
      </c>
      <c r="F287" s="59">
        <f>IF(N($AL287)&gt;0,INDEX(rLim_ADM,$AL287),"")</f>
        <v/>
      </c>
      <c r="G287" s="59" t="n"/>
      <c r="H287" s="60" t="n"/>
      <c r="I287" s="60" t="n"/>
      <c r="J287" s="60" t="n"/>
      <c r="K287" s="60" t="n"/>
      <c r="L287" s="60" t="n"/>
      <c r="M287" s="61">
        <f>IF(NOT((COUNTA($B287:$D287)+COUNTA($G287:$L287)+COUNTA($Q287))&gt;0),"",IF(ISNUMBER($G287),1,IF(N($W287)&gt;0,AVERAGEIFS($X$5:$X$1000,$U$5:$U$1000,ROW(),$V$5:$V$1000,"Sub"),$X287)))</f>
        <v/>
      </c>
      <c r="N287" s="56">
        <f>IF($M287="","",IF($M287&gt;=1,"Completado",IF($M287&gt;0,"En curso","Pendiente")))</f>
        <v/>
      </c>
      <c r="O287" s="56">
        <f>IF(NOT((COUNTA($B287:$D287)+COUNTA($G287:$L287)+COUNTA($Q287))&gt;0),"",IF(ISNUMBER($G287),IF(AND(ISNUMBER($AN287),$G287&gt;$AN287),"Cumplida con "&amp;($G287-$AN287)&amp;IF($G287-$AN287=1," día"," días")&amp;" de retraso","Cumplida"),IF(N($M287)&gt;=1,"Cumplida",IF(NOT(ISNUMBER($AN287)),"Sin fecha límite",IF($AN287&lt;FechaRef,"Vencida hace "&amp;(FechaRef-$AN287)&amp;IF(FechaRef-$AN287=1," día"," días"),IF($AN287=FechaRef,"Vence hoy",IF($AN287-FechaRef&lt;=DiasAlerta,"Vence en "&amp;($AN287-FechaRef)&amp;IF($AN287-FechaRef=1," día"," días"),"En plazo")))))))</f>
        <v/>
      </c>
      <c r="P287" s="62" t="n"/>
      <c r="Q287" s="58" t="n"/>
      <c r="R287" s="63">
        <f>IF(NOT((COUNTA($B287:$D287)+COUNTA($G287:$L287)+COUNTA($Q287))&gt;0),"",IF((IF($C287="","Falta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",""))="","✔ OK","⚠ "&amp;LEFT(IF($C287="","Falta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",""),LEN(IF($C287="","Falta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",""))-3)))</f>
        <v/>
      </c>
      <c r="S287" s="64">
        <f>IF(NOT((COUNTA($B287:$D287)+COUNTA($G287:$L287)+COUNTA($Q287))&gt;0),"",IF(AND($V287="Sub",N($U287)&gt;0),IF(ISNUMBER(INDEX($AM$5:$AM$1000,$U287-4)),DATE(YEAR(INDEX($AM$5:$AM$1000,$U287-4)),MONTH(INDEX($AM$5:$AM$1000,$U287-4)),1),IF(ISNUMBER(INDEX($AN$5:$AN$1000,$U287-4)),DATE(YEAR(INDEX($AN$5:$AN$1000,$U287-4)),MONTH(INDEX($AN$5:$AN$1000,$U287-4)),1),MesCiclo)),IF(ISNUMBER($AM287),DATE(YEAR($AM287),MONTH($AM287),1),IF(ISNUMBER($AN287),DATE(YEAR($AN287),MONTH($AN287),1),MesCiclo))))</f>
        <v/>
      </c>
      <c r="T287" s="62">
        <f>IF(OR($S287="",$S287&lt;&gt;MesCiclo),"",COUNTIF($S$5:$S287,MesCiclo))</f>
        <v/>
      </c>
      <c r="U287" s="62">
        <f>IF($V287="","",IF($V287="Macro",ROW(),IFERROR(LOOKUP(2,1/($V$5:$V287="Macro"),ROW($V$5:$V287)),0)))</f>
        <v/>
      </c>
      <c r="V287" s="62">
        <f>IF(NOT((COUNTA($B287:$D287)+COUNTA($G287:$L287)+COUNTA($Q287))&gt;0),"",IF($B287="Subactividad","Sub","Macro"))</f>
        <v/>
      </c>
      <c r="W287" s="62">
        <f>IF($V287="Macro",COUNTIFS($U$5:$U$1000,ROW(),$V$5:$V$1000,"Sub"),"")</f>
        <v/>
      </c>
      <c r="X287" s="62">
        <f>IF($V287="","",IF(ISNUMBER($G287),1,IFERROR(LOOKUP(2,1/($I287:$L287&lt;&gt;""),$I287:$L287),0)))</f>
        <v/>
      </c>
      <c r="Y287" s="62">
        <f>IF($V287="","",IF(AND(ISNUMBER($G287),$G287&lt;=IF($S287=MesCiclo,InicioCiclo,$S287+MOD(2-WEEKDAY($S287),7))+6),1,IF(ISNUMBER($I287),$I287,0)))</f>
        <v/>
      </c>
      <c r="Z287" s="62">
        <f>IF($V287="","",IF(AND(ISNUMBER($G287),$G287&lt;=IF($S287=MesCiclo,InicioCiclo,$S287+MOD(2-WEEKDAY($S287),7))+13),1,IF(ISNUMBER($J287),$J287,$Y287)))</f>
        <v/>
      </c>
      <c r="AA287" s="62">
        <f>IF($V287="","",IF(AND(ISNUMBER($G287),$G287&lt;=IF($S287=MesCiclo,InicioCiclo,$S287+MOD(2-WEEKDAY($S287),7))+20),1,IF(ISNUMBER($K287),$K287,$Z287)))</f>
        <v/>
      </c>
      <c r="AB287" s="62">
        <f>IF($V287="","",IF(AND(ISNUMBER($G287),$G287&lt;=IF($S287=MesCiclo,InicioCiclo,$S287+MOD(2-WEEKDAY($S287),7))+27),1,IF(ISNUMBER($L287),$L287,$AA287)))</f>
        <v/>
      </c>
      <c r="AC287" s="62">
        <f>IF($V287="","",IF(AND(ISNUMBER($G287),$G287&lt;=IF($S287=MesCiclo,InicioCiclo,$S287+MOD(2-WEEKDAY($S287),7))+6),1,IF(N($W287)&gt;0,AVERAGEIFS($Y$5:$Y$1000,$U$5:$U$1000,ROW(),$V$5:$V$1000,"Sub"),$Y287)))</f>
        <v/>
      </c>
      <c r="AD287" s="62">
        <f>IF($V287="","",IF(AND(ISNUMBER($G287),$G287&lt;=IF($S287=MesCiclo,InicioCiclo,$S287+MOD(2-WEEKDAY($S287),7))+13),1,IF(N($W287)&gt;0,AVERAGEIFS($Z$5:$Z$1000,$U$5:$U$1000,ROW(),$V$5:$V$1000,"Sub"),$Z287)))</f>
        <v/>
      </c>
      <c r="AE287" s="62">
        <f>IF($V287="","",IF(AND(ISNUMBER($G287),$G287&lt;=IF($S287=MesCiclo,InicioCiclo,$S287+MOD(2-WEEKDAY($S287),7))+20),1,IF(N($W287)&gt;0,AVERAGEIFS($AA$5:$AA$1000,$U$5:$U$1000,ROW(),$V$5:$V$1000,"Sub"),$AA287)))</f>
        <v/>
      </c>
      <c r="AF287" s="62">
        <f>IF($V287="","",IF(AND(ISNUMBER($G287),$G287&lt;=IF($S287=MesCiclo,InicioCiclo,$S287+MOD(2-WEEKDAY($S287),7))+27),1,IF(N($W287)&gt;0,AVERAGEIFS($AB$5:$AB$1000,$U$5:$U$1000,ROW(),$V$5:$V$1000,"Sub"),$AB287)))</f>
        <v/>
      </c>
      <c r="AG287" s="62">
        <f>IF($V287&lt;&gt;"Macro","",IF(COUNTIFS($S$5:$S$1000,$S287,$V$5:$V$1000,"Macro",$H$5:$H$1000,"&gt;0")=0,1/COUNTIFS($S$5:$S$1000,$S287,$V$5:$V$1000,"Macro"),IF(AND(ISNUMBER($H287),N($H287)&gt;0),$H287,SUMIFS($H$5:$H$1000,$S$5:$S$1000,$S287,$V$5:$V$1000,"Macro")/COUNTIFS($S$5:$S$1000,$S287,$V$5:$V$1000,"Macro",$H$5:$H$1000,"&gt;0"))/(COUNTIFS($S$5:$S$1000,$S287,$V$5:$V$1000,"Macro")*SUMIFS($H$5:$H$1000,$S$5:$S$1000,$S287,$V$5:$V$1000,"Macro")/COUNTIFS($S$5:$S$1000,$S287,$V$5:$V$1000,"Macro",$H$5:$H$1000,"&gt;0"))))</f>
        <v/>
      </c>
      <c r="AH287" s="62" t="n"/>
      <c r="AI287" s="62" t="n"/>
      <c r="AJ287" s="62" t="n"/>
      <c r="AK287" s="62" t="n"/>
      <c r="AL287" s="62">
        <f>IF(LEFT($C287,11)="[Jefatura] ",IFERROR(MATCH("Riesgo Operacional|"&amp;MID($C287,12,500),rDname_ADM,0),0),"")</f>
        <v/>
      </c>
      <c r="AM287" s="62">
        <f>IF(N($AL287)&gt;0,INDEX(rIni_ADM,$AL287),IF(ISNUMBER($E287),$E287,""))</f>
        <v/>
      </c>
      <c r="AN287" s="62">
        <f>IF(N($AL287)&gt;0,INDEX(rLim_ADM,$AL287),IF(ISNUMBER($F287),$F287,""))</f>
        <v/>
      </c>
    </row>
    <row r="288">
      <c r="A288" s="56">
        <f>IF(NOT((COUNTA($B288:$D288)+COUNTA($G288:$L288)+COUNTA($Q288))&gt;0),"",IF($V288="Macro",COUNTIFS($V$5:$V288,"Macro",$S$5:$S288,$S288),IF(N($U288)=0,"?",COUNTIFS(INDEX($V$5:$V$1000,1):INDEX($V$5:$V$1000,$U288-4),"Macro",INDEX($S$5:$S$1000,1):INDEX($S$5:$S$1000,$U288-4),INDEX($S$5:$S$1000,$U288-4))&amp;"."&amp;COUNTIFS($U$5:$U288,$U288,$V$5:$V288,"Sub"))))</f>
        <v/>
      </c>
      <c r="B288" s="57" t="n"/>
      <c r="C288" s="58" t="n"/>
      <c r="D288" s="58" t="n"/>
      <c r="E288" s="59">
        <f>IF(N($AL288)&gt;0,INDEX(rIni_ADM,$AL288),"")</f>
        <v/>
      </c>
      <c r="F288" s="59">
        <f>IF(N($AL288)&gt;0,INDEX(rLim_ADM,$AL288),"")</f>
        <v/>
      </c>
      <c r="G288" s="59" t="n"/>
      <c r="H288" s="60" t="n"/>
      <c r="I288" s="60" t="n"/>
      <c r="J288" s="60" t="n"/>
      <c r="K288" s="60" t="n"/>
      <c r="L288" s="60" t="n"/>
      <c r="M288" s="61">
        <f>IF(NOT((COUNTA($B288:$D288)+COUNTA($G288:$L288)+COUNTA($Q288))&gt;0),"",IF(ISNUMBER($G288),1,IF(N($W288)&gt;0,AVERAGEIFS($X$5:$X$1000,$U$5:$U$1000,ROW(),$V$5:$V$1000,"Sub"),$X288)))</f>
        <v/>
      </c>
      <c r="N288" s="56">
        <f>IF($M288="","",IF($M288&gt;=1,"Completado",IF($M288&gt;0,"En curso","Pendiente")))</f>
        <v/>
      </c>
      <c r="O288" s="56">
        <f>IF(NOT((COUNTA($B288:$D288)+COUNTA($G288:$L288)+COUNTA($Q288))&gt;0),"",IF(ISNUMBER($G288),IF(AND(ISNUMBER($AN288),$G288&gt;$AN288),"Cumplida con "&amp;($G288-$AN288)&amp;IF($G288-$AN288=1," día"," días")&amp;" de retraso","Cumplida"),IF(N($M288)&gt;=1,"Cumplida",IF(NOT(ISNUMBER($AN288)),"Sin fecha límite",IF($AN288&lt;FechaRef,"Vencida hace "&amp;(FechaRef-$AN288)&amp;IF(FechaRef-$AN288=1," día"," días"),IF($AN288=FechaRef,"Vence hoy",IF($AN288-FechaRef&lt;=DiasAlerta,"Vence en "&amp;($AN288-FechaRef)&amp;IF($AN288-FechaRef=1," día"," días"),"En plazo")))))))</f>
        <v/>
      </c>
      <c r="P288" s="62" t="n"/>
      <c r="Q288" s="58" t="n"/>
      <c r="R288" s="63">
        <f>IF(NOT((COUNTA($B288:$D288)+COUNTA($G288:$L288)+COUNTA($Q288))&gt;0),"",IF((IF($C288="","Falta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",""))="","✔ OK","⚠ "&amp;LEFT(IF($C288="","Falta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",""),LEN(IF($C288="","Falta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",""))-3)))</f>
        <v/>
      </c>
      <c r="S288" s="64">
        <f>IF(NOT((COUNTA($B288:$D288)+COUNTA($G288:$L288)+COUNTA($Q288))&gt;0),"",IF(AND($V288="Sub",N($U288)&gt;0),IF(ISNUMBER(INDEX($AM$5:$AM$1000,$U288-4)),DATE(YEAR(INDEX($AM$5:$AM$1000,$U288-4)),MONTH(INDEX($AM$5:$AM$1000,$U288-4)),1),IF(ISNUMBER(INDEX($AN$5:$AN$1000,$U288-4)),DATE(YEAR(INDEX($AN$5:$AN$1000,$U288-4)),MONTH(INDEX($AN$5:$AN$1000,$U288-4)),1),MesCiclo)),IF(ISNUMBER($AM288),DATE(YEAR($AM288),MONTH($AM288),1),IF(ISNUMBER($AN288),DATE(YEAR($AN288),MONTH($AN288),1),MesCiclo))))</f>
        <v/>
      </c>
      <c r="T288" s="62">
        <f>IF(OR($S288="",$S288&lt;&gt;MesCiclo),"",COUNTIF($S$5:$S288,MesCiclo))</f>
        <v/>
      </c>
      <c r="U288" s="62">
        <f>IF($V288="","",IF($V288="Macro",ROW(),IFERROR(LOOKUP(2,1/($V$5:$V288="Macro"),ROW($V$5:$V288)),0)))</f>
        <v/>
      </c>
      <c r="V288" s="62">
        <f>IF(NOT((COUNTA($B288:$D288)+COUNTA($G288:$L288)+COUNTA($Q288))&gt;0),"",IF($B288="Subactividad","Sub","Macro"))</f>
        <v/>
      </c>
      <c r="W288" s="62">
        <f>IF($V288="Macro",COUNTIFS($U$5:$U$1000,ROW(),$V$5:$V$1000,"Sub"),"")</f>
        <v/>
      </c>
      <c r="X288" s="62">
        <f>IF($V288="","",IF(ISNUMBER($G288),1,IFERROR(LOOKUP(2,1/($I288:$L288&lt;&gt;""),$I288:$L288),0)))</f>
        <v/>
      </c>
      <c r="Y288" s="62">
        <f>IF($V288="","",IF(AND(ISNUMBER($G288),$G288&lt;=IF($S288=MesCiclo,InicioCiclo,$S288+MOD(2-WEEKDAY($S288),7))+6),1,IF(ISNUMBER($I288),$I288,0)))</f>
        <v/>
      </c>
      <c r="Z288" s="62">
        <f>IF($V288="","",IF(AND(ISNUMBER($G288),$G288&lt;=IF($S288=MesCiclo,InicioCiclo,$S288+MOD(2-WEEKDAY($S288),7))+13),1,IF(ISNUMBER($J288),$J288,$Y288)))</f>
        <v/>
      </c>
      <c r="AA288" s="62">
        <f>IF($V288="","",IF(AND(ISNUMBER($G288),$G288&lt;=IF($S288=MesCiclo,InicioCiclo,$S288+MOD(2-WEEKDAY($S288),7))+20),1,IF(ISNUMBER($K288),$K288,$Z288)))</f>
        <v/>
      </c>
      <c r="AB288" s="62">
        <f>IF($V288="","",IF(AND(ISNUMBER($G288),$G288&lt;=IF($S288=MesCiclo,InicioCiclo,$S288+MOD(2-WEEKDAY($S288),7))+27),1,IF(ISNUMBER($L288),$L288,$AA288)))</f>
        <v/>
      </c>
      <c r="AC288" s="62">
        <f>IF($V288="","",IF(AND(ISNUMBER($G288),$G288&lt;=IF($S288=MesCiclo,InicioCiclo,$S288+MOD(2-WEEKDAY($S288),7))+6),1,IF(N($W288)&gt;0,AVERAGEIFS($Y$5:$Y$1000,$U$5:$U$1000,ROW(),$V$5:$V$1000,"Sub"),$Y288)))</f>
        <v/>
      </c>
      <c r="AD288" s="62">
        <f>IF($V288="","",IF(AND(ISNUMBER($G288),$G288&lt;=IF($S288=MesCiclo,InicioCiclo,$S288+MOD(2-WEEKDAY($S288),7))+13),1,IF(N($W288)&gt;0,AVERAGEIFS($Z$5:$Z$1000,$U$5:$U$1000,ROW(),$V$5:$V$1000,"Sub"),$Z288)))</f>
        <v/>
      </c>
      <c r="AE288" s="62">
        <f>IF($V288="","",IF(AND(ISNUMBER($G288),$G288&lt;=IF($S288=MesCiclo,InicioCiclo,$S288+MOD(2-WEEKDAY($S288),7))+20),1,IF(N($W288)&gt;0,AVERAGEIFS($AA$5:$AA$1000,$U$5:$U$1000,ROW(),$V$5:$V$1000,"Sub"),$AA288)))</f>
        <v/>
      </c>
      <c r="AF288" s="62">
        <f>IF($V288="","",IF(AND(ISNUMBER($G288),$G288&lt;=IF($S288=MesCiclo,InicioCiclo,$S288+MOD(2-WEEKDAY($S288),7))+27),1,IF(N($W288)&gt;0,AVERAGEIFS($AB$5:$AB$1000,$U$5:$U$1000,ROW(),$V$5:$V$1000,"Sub"),$AB288)))</f>
        <v/>
      </c>
      <c r="AG288" s="62">
        <f>IF($V288&lt;&gt;"Macro","",IF(COUNTIFS($S$5:$S$1000,$S288,$V$5:$V$1000,"Macro",$H$5:$H$1000,"&gt;0")=0,1/COUNTIFS($S$5:$S$1000,$S288,$V$5:$V$1000,"Macro"),IF(AND(ISNUMBER($H288),N($H288)&gt;0),$H288,SUMIFS($H$5:$H$1000,$S$5:$S$1000,$S288,$V$5:$V$1000,"Macro")/COUNTIFS($S$5:$S$1000,$S288,$V$5:$V$1000,"Macro",$H$5:$H$1000,"&gt;0"))/(COUNTIFS($S$5:$S$1000,$S288,$V$5:$V$1000,"Macro")*SUMIFS($H$5:$H$1000,$S$5:$S$1000,$S288,$V$5:$V$1000,"Macro")/COUNTIFS($S$5:$S$1000,$S288,$V$5:$V$1000,"Macro",$H$5:$H$1000,"&gt;0"))))</f>
        <v/>
      </c>
      <c r="AH288" s="62" t="n"/>
      <c r="AI288" s="62" t="n"/>
      <c r="AJ288" s="62" t="n"/>
      <c r="AK288" s="62" t="n"/>
      <c r="AL288" s="62">
        <f>IF(LEFT($C288,11)="[Jefatura] ",IFERROR(MATCH("Riesgo Operacional|"&amp;MID($C288,12,500),rDname_ADM,0),0),"")</f>
        <v/>
      </c>
      <c r="AM288" s="62">
        <f>IF(N($AL288)&gt;0,INDEX(rIni_ADM,$AL288),IF(ISNUMBER($E288),$E288,""))</f>
        <v/>
      </c>
      <c r="AN288" s="62">
        <f>IF(N($AL288)&gt;0,INDEX(rLim_ADM,$AL288),IF(ISNUMBER($F288),$F288,""))</f>
        <v/>
      </c>
    </row>
    <row r="289">
      <c r="A289" s="56">
        <f>IF(NOT((COUNTA($B289:$D289)+COUNTA($G289:$L289)+COUNTA($Q289))&gt;0),"",IF($V289="Macro",COUNTIFS($V$5:$V289,"Macro",$S$5:$S289,$S289),IF(N($U289)=0,"?",COUNTIFS(INDEX($V$5:$V$1000,1):INDEX($V$5:$V$1000,$U289-4),"Macro",INDEX($S$5:$S$1000,1):INDEX($S$5:$S$1000,$U289-4),INDEX($S$5:$S$1000,$U289-4))&amp;"."&amp;COUNTIFS($U$5:$U289,$U289,$V$5:$V289,"Sub"))))</f>
        <v/>
      </c>
      <c r="B289" s="57" t="n"/>
      <c r="C289" s="58" t="n"/>
      <c r="D289" s="58" t="n"/>
      <c r="E289" s="59">
        <f>IF(N($AL289)&gt;0,INDEX(rIni_ADM,$AL289),"")</f>
        <v/>
      </c>
      <c r="F289" s="59">
        <f>IF(N($AL289)&gt;0,INDEX(rLim_ADM,$AL289),"")</f>
        <v/>
      </c>
      <c r="G289" s="59" t="n"/>
      <c r="H289" s="60" t="n"/>
      <c r="I289" s="60" t="n"/>
      <c r="J289" s="60" t="n"/>
      <c r="K289" s="60" t="n"/>
      <c r="L289" s="60" t="n"/>
      <c r="M289" s="61">
        <f>IF(NOT((COUNTA($B289:$D289)+COUNTA($G289:$L289)+COUNTA($Q289))&gt;0),"",IF(ISNUMBER($G289),1,IF(N($W289)&gt;0,AVERAGEIFS($X$5:$X$1000,$U$5:$U$1000,ROW(),$V$5:$V$1000,"Sub"),$X289)))</f>
        <v/>
      </c>
      <c r="N289" s="56">
        <f>IF($M289="","",IF($M289&gt;=1,"Completado",IF($M289&gt;0,"En curso","Pendiente")))</f>
        <v/>
      </c>
      <c r="O289" s="56">
        <f>IF(NOT((COUNTA($B289:$D289)+COUNTA($G289:$L289)+COUNTA($Q289))&gt;0),"",IF(ISNUMBER($G289),IF(AND(ISNUMBER($AN289),$G289&gt;$AN289),"Cumplida con "&amp;($G289-$AN289)&amp;IF($G289-$AN289=1," día"," días")&amp;" de retraso","Cumplida"),IF(N($M289)&gt;=1,"Cumplida",IF(NOT(ISNUMBER($AN289)),"Sin fecha límite",IF($AN289&lt;FechaRef,"Vencida hace "&amp;(FechaRef-$AN289)&amp;IF(FechaRef-$AN289=1," día"," días"),IF($AN289=FechaRef,"Vence hoy",IF($AN289-FechaRef&lt;=DiasAlerta,"Vence en "&amp;($AN289-FechaRef)&amp;IF($AN289-FechaRef=1," día"," días"),"En plazo")))))))</f>
        <v/>
      </c>
      <c r="P289" s="62" t="n"/>
      <c r="Q289" s="58" t="n"/>
      <c r="R289" s="63">
        <f>IF(NOT((COUNTA($B289:$D289)+COUNTA($G289:$L289)+COUNTA($Q289))&gt;0),"",IF((IF($C289="","Falta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",""))="","✔ OK","⚠ "&amp;LEFT(IF($C289="","Falta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",""),LEN(IF($C289="","Falta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",""))-3)))</f>
        <v/>
      </c>
      <c r="S289" s="64">
        <f>IF(NOT((COUNTA($B289:$D289)+COUNTA($G289:$L289)+COUNTA($Q289))&gt;0),"",IF(AND($V289="Sub",N($U289)&gt;0),IF(ISNUMBER(INDEX($AM$5:$AM$1000,$U289-4)),DATE(YEAR(INDEX($AM$5:$AM$1000,$U289-4)),MONTH(INDEX($AM$5:$AM$1000,$U289-4)),1),IF(ISNUMBER(INDEX($AN$5:$AN$1000,$U289-4)),DATE(YEAR(INDEX($AN$5:$AN$1000,$U289-4)),MONTH(INDEX($AN$5:$AN$1000,$U289-4)),1),MesCiclo)),IF(ISNUMBER($AM289),DATE(YEAR($AM289),MONTH($AM289),1),IF(ISNUMBER($AN289),DATE(YEAR($AN289),MONTH($AN289),1),MesCiclo))))</f>
        <v/>
      </c>
      <c r="T289" s="62">
        <f>IF(OR($S289="",$S289&lt;&gt;MesCiclo),"",COUNTIF($S$5:$S289,MesCiclo))</f>
        <v/>
      </c>
      <c r="U289" s="62">
        <f>IF($V289="","",IF($V289="Macro",ROW(),IFERROR(LOOKUP(2,1/($V$5:$V289="Macro"),ROW($V$5:$V289)),0)))</f>
        <v/>
      </c>
      <c r="V289" s="62">
        <f>IF(NOT((COUNTA($B289:$D289)+COUNTA($G289:$L289)+COUNTA($Q289))&gt;0),"",IF($B289="Subactividad","Sub","Macro"))</f>
        <v/>
      </c>
      <c r="W289" s="62">
        <f>IF($V289="Macro",COUNTIFS($U$5:$U$1000,ROW(),$V$5:$V$1000,"Sub"),"")</f>
        <v/>
      </c>
      <c r="X289" s="62">
        <f>IF($V289="","",IF(ISNUMBER($G289),1,IFERROR(LOOKUP(2,1/($I289:$L289&lt;&gt;""),$I289:$L289),0)))</f>
        <v/>
      </c>
      <c r="Y289" s="62">
        <f>IF($V289="","",IF(AND(ISNUMBER($G289),$G289&lt;=IF($S289=MesCiclo,InicioCiclo,$S289+MOD(2-WEEKDAY($S289),7))+6),1,IF(ISNUMBER($I289),$I289,0)))</f>
        <v/>
      </c>
      <c r="Z289" s="62">
        <f>IF($V289="","",IF(AND(ISNUMBER($G289),$G289&lt;=IF($S289=MesCiclo,InicioCiclo,$S289+MOD(2-WEEKDAY($S289),7))+13),1,IF(ISNUMBER($J289),$J289,$Y289)))</f>
        <v/>
      </c>
      <c r="AA289" s="62">
        <f>IF($V289="","",IF(AND(ISNUMBER($G289),$G289&lt;=IF($S289=MesCiclo,InicioCiclo,$S289+MOD(2-WEEKDAY($S289),7))+20),1,IF(ISNUMBER($K289),$K289,$Z289)))</f>
        <v/>
      </c>
      <c r="AB289" s="62">
        <f>IF($V289="","",IF(AND(ISNUMBER($G289),$G289&lt;=IF($S289=MesCiclo,InicioCiclo,$S289+MOD(2-WEEKDAY($S289),7))+27),1,IF(ISNUMBER($L289),$L289,$AA289)))</f>
        <v/>
      </c>
      <c r="AC289" s="62">
        <f>IF($V289="","",IF(AND(ISNUMBER($G289),$G289&lt;=IF($S289=MesCiclo,InicioCiclo,$S289+MOD(2-WEEKDAY($S289),7))+6),1,IF(N($W289)&gt;0,AVERAGEIFS($Y$5:$Y$1000,$U$5:$U$1000,ROW(),$V$5:$V$1000,"Sub"),$Y289)))</f>
        <v/>
      </c>
      <c r="AD289" s="62">
        <f>IF($V289="","",IF(AND(ISNUMBER($G289),$G289&lt;=IF($S289=MesCiclo,InicioCiclo,$S289+MOD(2-WEEKDAY($S289),7))+13),1,IF(N($W289)&gt;0,AVERAGEIFS($Z$5:$Z$1000,$U$5:$U$1000,ROW(),$V$5:$V$1000,"Sub"),$Z289)))</f>
        <v/>
      </c>
      <c r="AE289" s="62">
        <f>IF($V289="","",IF(AND(ISNUMBER($G289),$G289&lt;=IF($S289=MesCiclo,InicioCiclo,$S289+MOD(2-WEEKDAY($S289),7))+20),1,IF(N($W289)&gt;0,AVERAGEIFS($AA$5:$AA$1000,$U$5:$U$1000,ROW(),$V$5:$V$1000,"Sub"),$AA289)))</f>
        <v/>
      </c>
      <c r="AF289" s="62">
        <f>IF($V289="","",IF(AND(ISNUMBER($G289),$G289&lt;=IF($S289=MesCiclo,InicioCiclo,$S289+MOD(2-WEEKDAY($S289),7))+27),1,IF(N($W289)&gt;0,AVERAGEIFS($AB$5:$AB$1000,$U$5:$U$1000,ROW(),$V$5:$V$1000,"Sub"),$AB289)))</f>
        <v/>
      </c>
      <c r="AG289" s="62">
        <f>IF($V289&lt;&gt;"Macro","",IF(COUNTIFS($S$5:$S$1000,$S289,$V$5:$V$1000,"Macro",$H$5:$H$1000,"&gt;0")=0,1/COUNTIFS($S$5:$S$1000,$S289,$V$5:$V$1000,"Macro"),IF(AND(ISNUMBER($H289),N($H289)&gt;0),$H289,SUMIFS($H$5:$H$1000,$S$5:$S$1000,$S289,$V$5:$V$1000,"Macro")/COUNTIFS($S$5:$S$1000,$S289,$V$5:$V$1000,"Macro",$H$5:$H$1000,"&gt;0"))/(COUNTIFS($S$5:$S$1000,$S289,$V$5:$V$1000,"Macro")*SUMIFS($H$5:$H$1000,$S$5:$S$1000,$S289,$V$5:$V$1000,"Macro")/COUNTIFS($S$5:$S$1000,$S289,$V$5:$V$1000,"Macro",$H$5:$H$1000,"&gt;0"))))</f>
        <v/>
      </c>
      <c r="AH289" s="62" t="n"/>
      <c r="AI289" s="62" t="n"/>
      <c r="AJ289" s="62" t="n"/>
      <c r="AK289" s="62" t="n"/>
      <c r="AL289" s="62">
        <f>IF(LEFT($C289,11)="[Jefatura] ",IFERROR(MATCH("Riesgo Operacional|"&amp;MID($C289,12,500),rDname_ADM,0),0),"")</f>
        <v/>
      </c>
      <c r="AM289" s="62">
        <f>IF(N($AL289)&gt;0,INDEX(rIni_ADM,$AL289),IF(ISNUMBER($E289),$E289,""))</f>
        <v/>
      </c>
      <c r="AN289" s="62">
        <f>IF(N($AL289)&gt;0,INDEX(rLim_ADM,$AL289),IF(ISNUMBER($F289),$F289,""))</f>
        <v/>
      </c>
    </row>
    <row r="290">
      <c r="A290" s="56">
        <f>IF(NOT((COUNTA($B290:$D290)+COUNTA($G290:$L290)+COUNTA($Q290))&gt;0),"",IF($V290="Macro",COUNTIFS($V$5:$V290,"Macro",$S$5:$S290,$S290),IF(N($U290)=0,"?",COUNTIFS(INDEX($V$5:$V$1000,1):INDEX($V$5:$V$1000,$U290-4),"Macro",INDEX($S$5:$S$1000,1):INDEX($S$5:$S$1000,$U290-4),INDEX($S$5:$S$1000,$U290-4))&amp;"."&amp;COUNTIFS($U$5:$U290,$U290,$V$5:$V290,"Sub"))))</f>
        <v/>
      </c>
      <c r="B290" s="57" t="n"/>
      <c r="C290" s="58" t="n"/>
      <c r="D290" s="58" t="n"/>
      <c r="E290" s="59">
        <f>IF(N($AL290)&gt;0,INDEX(rIni_ADM,$AL290),"")</f>
        <v/>
      </c>
      <c r="F290" s="59">
        <f>IF(N($AL290)&gt;0,INDEX(rLim_ADM,$AL290),"")</f>
        <v/>
      </c>
      <c r="G290" s="59" t="n"/>
      <c r="H290" s="60" t="n"/>
      <c r="I290" s="60" t="n"/>
      <c r="J290" s="60" t="n"/>
      <c r="K290" s="60" t="n"/>
      <c r="L290" s="60" t="n"/>
      <c r="M290" s="61">
        <f>IF(NOT((COUNTA($B290:$D290)+COUNTA($G290:$L290)+COUNTA($Q290))&gt;0),"",IF(ISNUMBER($G290),1,IF(N($W290)&gt;0,AVERAGEIFS($X$5:$X$1000,$U$5:$U$1000,ROW(),$V$5:$V$1000,"Sub"),$X290)))</f>
        <v/>
      </c>
      <c r="N290" s="56">
        <f>IF($M290="","",IF($M290&gt;=1,"Completado",IF($M290&gt;0,"En curso","Pendiente")))</f>
        <v/>
      </c>
      <c r="O290" s="56">
        <f>IF(NOT((COUNTA($B290:$D290)+COUNTA($G290:$L290)+COUNTA($Q290))&gt;0),"",IF(ISNUMBER($G290),IF(AND(ISNUMBER($AN290),$G290&gt;$AN290),"Cumplida con "&amp;($G290-$AN290)&amp;IF($G290-$AN290=1," día"," días")&amp;" de retraso","Cumplida"),IF(N($M290)&gt;=1,"Cumplida",IF(NOT(ISNUMBER($AN290)),"Sin fecha límite",IF($AN290&lt;FechaRef,"Vencida hace "&amp;(FechaRef-$AN290)&amp;IF(FechaRef-$AN290=1," día"," días"),IF($AN290=FechaRef,"Vence hoy",IF($AN290-FechaRef&lt;=DiasAlerta,"Vence en "&amp;($AN290-FechaRef)&amp;IF($AN290-FechaRef=1," día"," días"),"En plazo")))))))</f>
        <v/>
      </c>
      <c r="P290" s="62" t="n"/>
      <c r="Q290" s="58" t="n"/>
      <c r="R290" s="63">
        <f>IF(NOT((COUNTA($B290:$D290)+COUNTA($G290:$L290)+COUNTA($Q290))&gt;0),"",IF((IF($C290="","Falta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",""))="","✔ OK","⚠ "&amp;LEFT(IF($C290="","Falta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",""),LEN(IF($C290="","Falta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",""))-3)))</f>
        <v/>
      </c>
      <c r="S290" s="64">
        <f>IF(NOT((COUNTA($B290:$D290)+COUNTA($G290:$L290)+COUNTA($Q290))&gt;0),"",IF(AND($V290="Sub",N($U290)&gt;0),IF(ISNUMBER(INDEX($AM$5:$AM$1000,$U290-4)),DATE(YEAR(INDEX($AM$5:$AM$1000,$U290-4)),MONTH(INDEX($AM$5:$AM$1000,$U290-4)),1),IF(ISNUMBER(INDEX($AN$5:$AN$1000,$U290-4)),DATE(YEAR(INDEX($AN$5:$AN$1000,$U290-4)),MONTH(INDEX($AN$5:$AN$1000,$U290-4)),1),MesCiclo)),IF(ISNUMBER($AM290),DATE(YEAR($AM290),MONTH($AM290),1),IF(ISNUMBER($AN290),DATE(YEAR($AN290),MONTH($AN290),1),MesCiclo))))</f>
        <v/>
      </c>
      <c r="T290" s="62">
        <f>IF(OR($S290="",$S290&lt;&gt;MesCiclo),"",COUNTIF($S$5:$S290,MesCiclo))</f>
        <v/>
      </c>
      <c r="U290" s="62">
        <f>IF($V290="","",IF($V290="Macro",ROW(),IFERROR(LOOKUP(2,1/($V$5:$V290="Macro"),ROW($V$5:$V290)),0)))</f>
        <v/>
      </c>
      <c r="V290" s="62">
        <f>IF(NOT((COUNTA($B290:$D290)+COUNTA($G290:$L290)+COUNTA($Q290))&gt;0),"",IF($B290="Subactividad","Sub","Macro"))</f>
        <v/>
      </c>
      <c r="W290" s="62">
        <f>IF($V290="Macro",COUNTIFS($U$5:$U$1000,ROW(),$V$5:$V$1000,"Sub"),"")</f>
        <v/>
      </c>
      <c r="X290" s="62">
        <f>IF($V290="","",IF(ISNUMBER($G290),1,IFERROR(LOOKUP(2,1/($I290:$L290&lt;&gt;""),$I290:$L290),0)))</f>
        <v/>
      </c>
      <c r="Y290" s="62">
        <f>IF($V290="","",IF(AND(ISNUMBER($G290),$G290&lt;=IF($S290=MesCiclo,InicioCiclo,$S290+MOD(2-WEEKDAY($S290),7))+6),1,IF(ISNUMBER($I290),$I290,0)))</f>
        <v/>
      </c>
      <c r="Z290" s="62">
        <f>IF($V290="","",IF(AND(ISNUMBER($G290),$G290&lt;=IF($S290=MesCiclo,InicioCiclo,$S290+MOD(2-WEEKDAY($S290),7))+13),1,IF(ISNUMBER($J290),$J290,$Y290)))</f>
        <v/>
      </c>
      <c r="AA290" s="62">
        <f>IF($V290="","",IF(AND(ISNUMBER($G290),$G290&lt;=IF($S290=MesCiclo,InicioCiclo,$S290+MOD(2-WEEKDAY($S290),7))+20),1,IF(ISNUMBER($K290),$K290,$Z290)))</f>
        <v/>
      </c>
      <c r="AB290" s="62">
        <f>IF($V290="","",IF(AND(ISNUMBER($G290),$G290&lt;=IF($S290=MesCiclo,InicioCiclo,$S290+MOD(2-WEEKDAY($S290),7))+27),1,IF(ISNUMBER($L290),$L290,$AA290)))</f>
        <v/>
      </c>
      <c r="AC290" s="62">
        <f>IF($V290="","",IF(AND(ISNUMBER($G290),$G290&lt;=IF($S290=MesCiclo,InicioCiclo,$S290+MOD(2-WEEKDAY($S290),7))+6),1,IF(N($W290)&gt;0,AVERAGEIFS($Y$5:$Y$1000,$U$5:$U$1000,ROW(),$V$5:$V$1000,"Sub"),$Y290)))</f>
        <v/>
      </c>
      <c r="AD290" s="62">
        <f>IF($V290="","",IF(AND(ISNUMBER($G290),$G290&lt;=IF($S290=MesCiclo,InicioCiclo,$S290+MOD(2-WEEKDAY($S290),7))+13),1,IF(N($W290)&gt;0,AVERAGEIFS($Z$5:$Z$1000,$U$5:$U$1000,ROW(),$V$5:$V$1000,"Sub"),$Z290)))</f>
        <v/>
      </c>
      <c r="AE290" s="62">
        <f>IF($V290="","",IF(AND(ISNUMBER($G290),$G290&lt;=IF($S290=MesCiclo,InicioCiclo,$S290+MOD(2-WEEKDAY($S290),7))+20),1,IF(N($W290)&gt;0,AVERAGEIFS($AA$5:$AA$1000,$U$5:$U$1000,ROW(),$V$5:$V$1000,"Sub"),$AA290)))</f>
        <v/>
      </c>
      <c r="AF290" s="62">
        <f>IF($V290="","",IF(AND(ISNUMBER($G290),$G290&lt;=IF($S290=MesCiclo,InicioCiclo,$S290+MOD(2-WEEKDAY($S290),7))+27),1,IF(N($W290)&gt;0,AVERAGEIFS($AB$5:$AB$1000,$U$5:$U$1000,ROW(),$V$5:$V$1000,"Sub"),$AB290)))</f>
        <v/>
      </c>
      <c r="AG290" s="62">
        <f>IF($V290&lt;&gt;"Macro","",IF(COUNTIFS($S$5:$S$1000,$S290,$V$5:$V$1000,"Macro",$H$5:$H$1000,"&gt;0")=0,1/COUNTIFS($S$5:$S$1000,$S290,$V$5:$V$1000,"Macro"),IF(AND(ISNUMBER($H290),N($H290)&gt;0),$H290,SUMIFS($H$5:$H$1000,$S$5:$S$1000,$S290,$V$5:$V$1000,"Macro")/COUNTIFS($S$5:$S$1000,$S290,$V$5:$V$1000,"Macro",$H$5:$H$1000,"&gt;0"))/(COUNTIFS($S$5:$S$1000,$S290,$V$5:$V$1000,"Macro")*SUMIFS($H$5:$H$1000,$S$5:$S$1000,$S290,$V$5:$V$1000,"Macro")/COUNTIFS($S$5:$S$1000,$S290,$V$5:$V$1000,"Macro",$H$5:$H$1000,"&gt;0"))))</f>
        <v/>
      </c>
      <c r="AH290" s="62" t="n"/>
      <c r="AI290" s="62" t="n"/>
      <c r="AJ290" s="62" t="n"/>
      <c r="AK290" s="62" t="n"/>
      <c r="AL290" s="62">
        <f>IF(LEFT($C290,11)="[Jefatura] ",IFERROR(MATCH("Riesgo Operacional|"&amp;MID($C290,12,500),rDname_ADM,0),0),"")</f>
        <v/>
      </c>
      <c r="AM290" s="62">
        <f>IF(N($AL290)&gt;0,INDEX(rIni_ADM,$AL290),IF(ISNUMBER($E290),$E290,""))</f>
        <v/>
      </c>
      <c r="AN290" s="62">
        <f>IF(N($AL290)&gt;0,INDEX(rLim_ADM,$AL290),IF(ISNUMBER($F290),$F290,""))</f>
        <v/>
      </c>
    </row>
    <row r="291">
      <c r="A291" s="56">
        <f>IF(NOT((COUNTA($B291:$D291)+COUNTA($G291:$L291)+COUNTA($Q291))&gt;0),"",IF($V291="Macro",COUNTIFS($V$5:$V291,"Macro",$S$5:$S291,$S291),IF(N($U291)=0,"?",COUNTIFS(INDEX($V$5:$V$1000,1):INDEX($V$5:$V$1000,$U291-4),"Macro",INDEX($S$5:$S$1000,1):INDEX($S$5:$S$1000,$U291-4),INDEX($S$5:$S$1000,$U291-4))&amp;"."&amp;COUNTIFS($U$5:$U291,$U291,$V$5:$V291,"Sub"))))</f>
        <v/>
      </c>
      <c r="B291" s="57" t="n"/>
      <c r="C291" s="58" t="n"/>
      <c r="D291" s="58" t="n"/>
      <c r="E291" s="59">
        <f>IF(N($AL291)&gt;0,INDEX(rIni_ADM,$AL291),"")</f>
        <v/>
      </c>
      <c r="F291" s="59">
        <f>IF(N($AL291)&gt;0,INDEX(rLim_ADM,$AL291),"")</f>
        <v/>
      </c>
      <c r="G291" s="59" t="n"/>
      <c r="H291" s="60" t="n"/>
      <c r="I291" s="60" t="n"/>
      <c r="J291" s="60" t="n"/>
      <c r="K291" s="60" t="n"/>
      <c r="L291" s="60" t="n"/>
      <c r="M291" s="61">
        <f>IF(NOT((COUNTA($B291:$D291)+COUNTA($G291:$L291)+COUNTA($Q291))&gt;0),"",IF(ISNUMBER($G291),1,IF(N($W291)&gt;0,AVERAGEIFS($X$5:$X$1000,$U$5:$U$1000,ROW(),$V$5:$V$1000,"Sub"),$X291)))</f>
        <v/>
      </c>
      <c r="N291" s="56">
        <f>IF($M291="","",IF($M291&gt;=1,"Completado",IF($M291&gt;0,"En curso","Pendiente")))</f>
        <v/>
      </c>
      <c r="O291" s="56">
        <f>IF(NOT((COUNTA($B291:$D291)+COUNTA($G291:$L291)+COUNTA($Q291))&gt;0),"",IF(ISNUMBER($G291),IF(AND(ISNUMBER($AN291),$G291&gt;$AN291),"Cumplida con "&amp;($G291-$AN291)&amp;IF($G291-$AN291=1," día"," días")&amp;" de retraso","Cumplida"),IF(N($M291)&gt;=1,"Cumplida",IF(NOT(ISNUMBER($AN291)),"Sin fecha límite",IF($AN291&lt;FechaRef,"Vencida hace "&amp;(FechaRef-$AN291)&amp;IF(FechaRef-$AN291=1," día"," días"),IF($AN291=FechaRef,"Vence hoy",IF($AN291-FechaRef&lt;=DiasAlerta,"Vence en "&amp;($AN291-FechaRef)&amp;IF($AN291-FechaRef=1," día"," días"),"En plazo")))))))</f>
        <v/>
      </c>
      <c r="P291" s="62" t="n"/>
      <c r="Q291" s="58" t="n"/>
      <c r="R291" s="63">
        <f>IF(NOT((COUNTA($B291:$D291)+COUNTA($G291:$L291)+COUNTA($Q291))&gt;0),"",IF((IF($C291="","Falta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",""))="","✔ OK","⚠ "&amp;LEFT(IF($C291="","Falta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",""),LEN(IF($C291="","Falta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",""))-3)))</f>
        <v/>
      </c>
      <c r="S291" s="64">
        <f>IF(NOT((COUNTA($B291:$D291)+COUNTA($G291:$L291)+COUNTA($Q291))&gt;0),"",IF(AND($V291="Sub",N($U291)&gt;0),IF(ISNUMBER(INDEX($AM$5:$AM$1000,$U291-4)),DATE(YEAR(INDEX($AM$5:$AM$1000,$U291-4)),MONTH(INDEX($AM$5:$AM$1000,$U291-4)),1),IF(ISNUMBER(INDEX($AN$5:$AN$1000,$U291-4)),DATE(YEAR(INDEX($AN$5:$AN$1000,$U291-4)),MONTH(INDEX($AN$5:$AN$1000,$U291-4)),1),MesCiclo)),IF(ISNUMBER($AM291),DATE(YEAR($AM291),MONTH($AM291),1),IF(ISNUMBER($AN291),DATE(YEAR($AN291),MONTH($AN291),1),MesCiclo))))</f>
        <v/>
      </c>
      <c r="T291" s="62">
        <f>IF(OR($S291="",$S291&lt;&gt;MesCiclo),"",COUNTIF($S$5:$S291,MesCiclo))</f>
        <v/>
      </c>
      <c r="U291" s="62">
        <f>IF($V291="","",IF($V291="Macro",ROW(),IFERROR(LOOKUP(2,1/($V$5:$V291="Macro"),ROW($V$5:$V291)),0)))</f>
        <v/>
      </c>
      <c r="V291" s="62">
        <f>IF(NOT((COUNTA($B291:$D291)+COUNTA($G291:$L291)+COUNTA($Q291))&gt;0),"",IF($B291="Subactividad","Sub","Macro"))</f>
        <v/>
      </c>
      <c r="W291" s="62">
        <f>IF($V291="Macro",COUNTIFS($U$5:$U$1000,ROW(),$V$5:$V$1000,"Sub"),"")</f>
        <v/>
      </c>
      <c r="X291" s="62">
        <f>IF($V291="","",IF(ISNUMBER($G291),1,IFERROR(LOOKUP(2,1/($I291:$L291&lt;&gt;""),$I291:$L291),0)))</f>
        <v/>
      </c>
      <c r="Y291" s="62">
        <f>IF($V291="","",IF(AND(ISNUMBER($G291),$G291&lt;=IF($S291=MesCiclo,InicioCiclo,$S291+MOD(2-WEEKDAY($S291),7))+6),1,IF(ISNUMBER($I291),$I291,0)))</f>
        <v/>
      </c>
      <c r="Z291" s="62">
        <f>IF($V291="","",IF(AND(ISNUMBER($G291),$G291&lt;=IF($S291=MesCiclo,InicioCiclo,$S291+MOD(2-WEEKDAY($S291),7))+13),1,IF(ISNUMBER($J291),$J291,$Y291)))</f>
        <v/>
      </c>
      <c r="AA291" s="62">
        <f>IF($V291="","",IF(AND(ISNUMBER($G291),$G291&lt;=IF($S291=MesCiclo,InicioCiclo,$S291+MOD(2-WEEKDAY($S291),7))+20),1,IF(ISNUMBER($K291),$K291,$Z291)))</f>
        <v/>
      </c>
      <c r="AB291" s="62">
        <f>IF($V291="","",IF(AND(ISNUMBER($G291),$G291&lt;=IF($S291=MesCiclo,InicioCiclo,$S291+MOD(2-WEEKDAY($S291),7))+27),1,IF(ISNUMBER($L291),$L291,$AA291)))</f>
        <v/>
      </c>
      <c r="AC291" s="62">
        <f>IF($V291="","",IF(AND(ISNUMBER($G291),$G291&lt;=IF($S291=MesCiclo,InicioCiclo,$S291+MOD(2-WEEKDAY($S291),7))+6),1,IF(N($W291)&gt;0,AVERAGEIFS($Y$5:$Y$1000,$U$5:$U$1000,ROW(),$V$5:$V$1000,"Sub"),$Y291)))</f>
        <v/>
      </c>
      <c r="AD291" s="62">
        <f>IF($V291="","",IF(AND(ISNUMBER($G291),$G291&lt;=IF($S291=MesCiclo,InicioCiclo,$S291+MOD(2-WEEKDAY($S291),7))+13),1,IF(N($W291)&gt;0,AVERAGEIFS($Z$5:$Z$1000,$U$5:$U$1000,ROW(),$V$5:$V$1000,"Sub"),$Z291)))</f>
        <v/>
      </c>
      <c r="AE291" s="62">
        <f>IF($V291="","",IF(AND(ISNUMBER($G291),$G291&lt;=IF($S291=MesCiclo,InicioCiclo,$S291+MOD(2-WEEKDAY($S291),7))+20),1,IF(N($W291)&gt;0,AVERAGEIFS($AA$5:$AA$1000,$U$5:$U$1000,ROW(),$V$5:$V$1000,"Sub"),$AA291)))</f>
        <v/>
      </c>
      <c r="AF291" s="62">
        <f>IF($V291="","",IF(AND(ISNUMBER($G291),$G291&lt;=IF($S291=MesCiclo,InicioCiclo,$S291+MOD(2-WEEKDAY($S291),7))+27),1,IF(N($W291)&gt;0,AVERAGEIFS($AB$5:$AB$1000,$U$5:$U$1000,ROW(),$V$5:$V$1000,"Sub"),$AB291)))</f>
        <v/>
      </c>
      <c r="AG291" s="62">
        <f>IF($V291&lt;&gt;"Macro","",IF(COUNTIFS($S$5:$S$1000,$S291,$V$5:$V$1000,"Macro",$H$5:$H$1000,"&gt;0")=0,1/COUNTIFS($S$5:$S$1000,$S291,$V$5:$V$1000,"Macro"),IF(AND(ISNUMBER($H291),N($H291)&gt;0),$H291,SUMIFS($H$5:$H$1000,$S$5:$S$1000,$S291,$V$5:$V$1000,"Macro")/COUNTIFS($S$5:$S$1000,$S291,$V$5:$V$1000,"Macro",$H$5:$H$1000,"&gt;0"))/(COUNTIFS($S$5:$S$1000,$S291,$V$5:$V$1000,"Macro")*SUMIFS($H$5:$H$1000,$S$5:$S$1000,$S291,$V$5:$V$1000,"Macro")/COUNTIFS($S$5:$S$1000,$S291,$V$5:$V$1000,"Macro",$H$5:$H$1000,"&gt;0"))))</f>
        <v/>
      </c>
      <c r="AH291" s="62" t="n"/>
      <c r="AI291" s="62" t="n"/>
      <c r="AJ291" s="62" t="n"/>
      <c r="AK291" s="62" t="n"/>
      <c r="AL291" s="62">
        <f>IF(LEFT($C291,11)="[Jefatura] ",IFERROR(MATCH("Riesgo Operacional|"&amp;MID($C291,12,500),rDname_ADM,0),0),"")</f>
        <v/>
      </c>
      <c r="AM291" s="62">
        <f>IF(N($AL291)&gt;0,INDEX(rIni_ADM,$AL291),IF(ISNUMBER($E291),$E291,""))</f>
        <v/>
      </c>
      <c r="AN291" s="62">
        <f>IF(N($AL291)&gt;0,INDEX(rLim_ADM,$AL291),IF(ISNUMBER($F291),$F291,""))</f>
        <v/>
      </c>
    </row>
    <row r="292">
      <c r="A292" s="56">
        <f>IF(NOT((COUNTA($B292:$D292)+COUNTA($G292:$L292)+COUNTA($Q292))&gt;0),"",IF($V292="Macro",COUNTIFS($V$5:$V292,"Macro",$S$5:$S292,$S292),IF(N($U292)=0,"?",COUNTIFS(INDEX($V$5:$V$1000,1):INDEX($V$5:$V$1000,$U292-4),"Macro",INDEX($S$5:$S$1000,1):INDEX($S$5:$S$1000,$U292-4),INDEX($S$5:$S$1000,$U292-4))&amp;"."&amp;COUNTIFS($U$5:$U292,$U292,$V$5:$V292,"Sub"))))</f>
        <v/>
      </c>
      <c r="B292" s="57" t="n"/>
      <c r="C292" s="58" t="n"/>
      <c r="D292" s="58" t="n"/>
      <c r="E292" s="59">
        <f>IF(N($AL292)&gt;0,INDEX(rIni_ADM,$AL292),"")</f>
        <v/>
      </c>
      <c r="F292" s="59">
        <f>IF(N($AL292)&gt;0,INDEX(rLim_ADM,$AL292),"")</f>
        <v/>
      </c>
      <c r="G292" s="59" t="n"/>
      <c r="H292" s="60" t="n"/>
      <c r="I292" s="60" t="n"/>
      <c r="J292" s="60" t="n"/>
      <c r="K292" s="60" t="n"/>
      <c r="L292" s="60" t="n"/>
      <c r="M292" s="61">
        <f>IF(NOT((COUNTA($B292:$D292)+COUNTA($G292:$L292)+COUNTA($Q292))&gt;0),"",IF(ISNUMBER($G292),1,IF(N($W292)&gt;0,AVERAGEIFS($X$5:$X$1000,$U$5:$U$1000,ROW(),$V$5:$V$1000,"Sub"),$X292)))</f>
        <v/>
      </c>
      <c r="N292" s="56">
        <f>IF($M292="","",IF($M292&gt;=1,"Completado",IF($M292&gt;0,"En curso","Pendiente")))</f>
        <v/>
      </c>
      <c r="O292" s="56">
        <f>IF(NOT((COUNTA($B292:$D292)+COUNTA($G292:$L292)+COUNTA($Q292))&gt;0),"",IF(ISNUMBER($G292),IF(AND(ISNUMBER($AN292),$G292&gt;$AN292),"Cumplida con "&amp;($G292-$AN292)&amp;IF($G292-$AN292=1," día"," días")&amp;" de retraso","Cumplida"),IF(N($M292)&gt;=1,"Cumplida",IF(NOT(ISNUMBER($AN292)),"Sin fecha límite",IF($AN292&lt;FechaRef,"Vencida hace "&amp;(FechaRef-$AN292)&amp;IF(FechaRef-$AN292=1," día"," días"),IF($AN292=FechaRef,"Vence hoy",IF($AN292-FechaRef&lt;=DiasAlerta,"Vence en "&amp;($AN292-FechaRef)&amp;IF($AN292-FechaRef=1," día"," días"),"En plazo")))))))</f>
        <v/>
      </c>
      <c r="P292" s="62" t="n"/>
      <c r="Q292" s="58" t="n"/>
      <c r="R292" s="63">
        <f>IF(NOT((COUNTA($B292:$D292)+COUNTA($G292:$L292)+COUNTA($Q292))&gt;0),"",IF((IF($C292="","Falta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",""))="","✔ OK","⚠ "&amp;LEFT(IF($C292="","Falta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",""),LEN(IF($C292="","Falta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",""))-3)))</f>
        <v/>
      </c>
      <c r="S292" s="64">
        <f>IF(NOT((COUNTA($B292:$D292)+COUNTA($G292:$L292)+COUNTA($Q292))&gt;0),"",IF(AND($V292="Sub",N($U292)&gt;0),IF(ISNUMBER(INDEX($AM$5:$AM$1000,$U292-4)),DATE(YEAR(INDEX($AM$5:$AM$1000,$U292-4)),MONTH(INDEX($AM$5:$AM$1000,$U292-4)),1),IF(ISNUMBER(INDEX($AN$5:$AN$1000,$U292-4)),DATE(YEAR(INDEX($AN$5:$AN$1000,$U292-4)),MONTH(INDEX($AN$5:$AN$1000,$U292-4)),1),MesCiclo)),IF(ISNUMBER($AM292),DATE(YEAR($AM292),MONTH($AM292),1),IF(ISNUMBER($AN292),DATE(YEAR($AN292),MONTH($AN292),1),MesCiclo))))</f>
        <v/>
      </c>
      <c r="T292" s="62">
        <f>IF(OR($S292="",$S292&lt;&gt;MesCiclo),"",COUNTIF($S$5:$S292,MesCiclo))</f>
        <v/>
      </c>
      <c r="U292" s="62">
        <f>IF($V292="","",IF($V292="Macro",ROW(),IFERROR(LOOKUP(2,1/($V$5:$V292="Macro"),ROW($V$5:$V292)),0)))</f>
        <v/>
      </c>
      <c r="V292" s="62">
        <f>IF(NOT((COUNTA($B292:$D292)+COUNTA($G292:$L292)+COUNTA($Q292))&gt;0),"",IF($B292="Subactividad","Sub","Macro"))</f>
        <v/>
      </c>
      <c r="W292" s="62">
        <f>IF($V292="Macro",COUNTIFS($U$5:$U$1000,ROW(),$V$5:$V$1000,"Sub"),"")</f>
        <v/>
      </c>
      <c r="X292" s="62">
        <f>IF($V292="","",IF(ISNUMBER($G292),1,IFERROR(LOOKUP(2,1/($I292:$L292&lt;&gt;""),$I292:$L292),0)))</f>
        <v/>
      </c>
      <c r="Y292" s="62">
        <f>IF($V292="","",IF(AND(ISNUMBER($G292),$G292&lt;=IF($S292=MesCiclo,InicioCiclo,$S292+MOD(2-WEEKDAY($S292),7))+6),1,IF(ISNUMBER($I292),$I292,0)))</f>
        <v/>
      </c>
      <c r="Z292" s="62">
        <f>IF($V292="","",IF(AND(ISNUMBER($G292),$G292&lt;=IF($S292=MesCiclo,InicioCiclo,$S292+MOD(2-WEEKDAY($S292),7))+13),1,IF(ISNUMBER($J292),$J292,$Y292)))</f>
        <v/>
      </c>
      <c r="AA292" s="62">
        <f>IF($V292="","",IF(AND(ISNUMBER($G292),$G292&lt;=IF($S292=MesCiclo,InicioCiclo,$S292+MOD(2-WEEKDAY($S292),7))+20),1,IF(ISNUMBER($K292),$K292,$Z292)))</f>
        <v/>
      </c>
      <c r="AB292" s="62">
        <f>IF($V292="","",IF(AND(ISNUMBER($G292),$G292&lt;=IF($S292=MesCiclo,InicioCiclo,$S292+MOD(2-WEEKDAY($S292),7))+27),1,IF(ISNUMBER($L292),$L292,$AA292)))</f>
        <v/>
      </c>
      <c r="AC292" s="62">
        <f>IF($V292="","",IF(AND(ISNUMBER($G292),$G292&lt;=IF($S292=MesCiclo,InicioCiclo,$S292+MOD(2-WEEKDAY($S292),7))+6),1,IF(N($W292)&gt;0,AVERAGEIFS($Y$5:$Y$1000,$U$5:$U$1000,ROW(),$V$5:$V$1000,"Sub"),$Y292)))</f>
        <v/>
      </c>
      <c r="AD292" s="62">
        <f>IF($V292="","",IF(AND(ISNUMBER($G292),$G292&lt;=IF($S292=MesCiclo,InicioCiclo,$S292+MOD(2-WEEKDAY($S292),7))+13),1,IF(N($W292)&gt;0,AVERAGEIFS($Z$5:$Z$1000,$U$5:$U$1000,ROW(),$V$5:$V$1000,"Sub"),$Z292)))</f>
        <v/>
      </c>
      <c r="AE292" s="62">
        <f>IF($V292="","",IF(AND(ISNUMBER($G292),$G292&lt;=IF($S292=MesCiclo,InicioCiclo,$S292+MOD(2-WEEKDAY($S292),7))+20),1,IF(N($W292)&gt;0,AVERAGEIFS($AA$5:$AA$1000,$U$5:$U$1000,ROW(),$V$5:$V$1000,"Sub"),$AA292)))</f>
        <v/>
      </c>
      <c r="AF292" s="62">
        <f>IF($V292="","",IF(AND(ISNUMBER($G292),$G292&lt;=IF($S292=MesCiclo,InicioCiclo,$S292+MOD(2-WEEKDAY($S292),7))+27),1,IF(N($W292)&gt;0,AVERAGEIFS($AB$5:$AB$1000,$U$5:$U$1000,ROW(),$V$5:$V$1000,"Sub"),$AB292)))</f>
        <v/>
      </c>
      <c r="AG292" s="62">
        <f>IF($V292&lt;&gt;"Macro","",IF(COUNTIFS($S$5:$S$1000,$S292,$V$5:$V$1000,"Macro",$H$5:$H$1000,"&gt;0")=0,1/COUNTIFS($S$5:$S$1000,$S292,$V$5:$V$1000,"Macro"),IF(AND(ISNUMBER($H292),N($H292)&gt;0),$H292,SUMIFS($H$5:$H$1000,$S$5:$S$1000,$S292,$V$5:$V$1000,"Macro")/COUNTIFS($S$5:$S$1000,$S292,$V$5:$V$1000,"Macro",$H$5:$H$1000,"&gt;0"))/(COUNTIFS($S$5:$S$1000,$S292,$V$5:$V$1000,"Macro")*SUMIFS($H$5:$H$1000,$S$5:$S$1000,$S292,$V$5:$V$1000,"Macro")/COUNTIFS($S$5:$S$1000,$S292,$V$5:$V$1000,"Macro",$H$5:$H$1000,"&gt;0"))))</f>
        <v/>
      </c>
      <c r="AH292" s="62" t="n"/>
      <c r="AI292" s="62" t="n"/>
      <c r="AJ292" s="62" t="n"/>
      <c r="AK292" s="62" t="n"/>
      <c r="AL292" s="62">
        <f>IF(LEFT($C292,11)="[Jefatura] ",IFERROR(MATCH("Riesgo Operacional|"&amp;MID($C292,12,500),rDname_ADM,0),0),"")</f>
        <v/>
      </c>
      <c r="AM292" s="62">
        <f>IF(N($AL292)&gt;0,INDEX(rIni_ADM,$AL292),IF(ISNUMBER($E292),$E292,""))</f>
        <v/>
      </c>
      <c r="AN292" s="62">
        <f>IF(N($AL292)&gt;0,INDEX(rLim_ADM,$AL292),IF(ISNUMBER($F292),$F292,""))</f>
        <v/>
      </c>
    </row>
    <row r="293">
      <c r="A293" s="56">
        <f>IF(NOT((COUNTA($B293:$D293)+COUNTA($G293:$L293)+COUNTA($Q293))&gt;0),"",IF($V293="Macro",COUNTIFS($V$5:$V293,"Macro",$S$5:$S293,$S293),IF(N($U293)=0,"?",COUNTIFS(INDEX($V$5:$V$1000,1):INDEX($V$5:$V$1000,$U293-4),"Macro",INDEX($S$5:$S$1000,1):INDEX($S$5:$S$1000,$U293-4),INDEX($S$5:$S$1000,$U293-4))&amp;"."&amp;COUNTIFS($U$5:$U293,$U293,$V$5:$V293,"Sub"))))</f>
        <v/>
      </c>
      <c r="B293" s="57" t="n"/>
      <c r="C293" s="58" t="n"/>
      <c r="D293" s="58" t="n"/>
      <c r="E293" s="59">
        <f>IF(N($AL293)&gt;0,INDEX(rIni_ADM,$AL293),"")</f>
        <v/>
      </c>
      <c r="F293" s="59">
        <f>IF(N($AL293)&gt;0,INDEX(rLim_ADM,$AL293),"")</f>
        <v/>
      </c>
      <c r="G293" s="59" t="n"/>
      <c r="H293" s="60" t="n"/>
      <c r="I293" s="60" t="n"/>
      <c r="J293" s="60" t="n"/>
      <c r="K293" s="60" t="n"/>
      <c r="L293" s="60" t="n"/>
      <c r="M293" s="61">
        <f>IF(NOT((COUNTA($B293:$D293)+COUNTA($G293:$L293)+COUNTA($Q293))&gt;0),"",IF(ISNUMBER($G293),1,IF(N($W293)&gt;0,AVERAGEIFS($X$5:$X$1000,$U$5:$U$1000,ROW(),$V$5:$V$1000,"Sub"),$X293)))</f>
        <v/>
      </c>
      <c r="N293" s="56">
        <f>IF($M293="","",IF($M293&gt;=1,"Completado",IF($M293&gt;0,"En curso","Pendiente")))</f>
        <v/>
      </c>
      <c r="O293" s="56">
        <f>IF(NOT((COUNTA($B293:$D293)+COUNTA($G293:$L293)+COUNTA($Q293))&gt;0),"",IF(ISNUMBER($G293),IF(AND(ISNUMBER($AN293),$G293&gt;$AN293),"Cumplida con "&amp;($G293-$AN293)&amp;IF($G293-$AN293=1," día"," días")&amp;" de retraso","Cumplida"),IF(N($M293)&gt;=1,"Cumplida",IF(NOT(ISNUMBER($AN293)),"Sin fecha límite",IF($AN293&lt;FechaRef,"Vencida hace "&amp;(FechaRef-$AN293)&amp;IF(FechaRef-$AN293=1," día"," días"),IF($AN293=FechaRef,"Vence hoy",IF($AN293-FechaRef&lt;=DiasAlerta,"Vence en "&amp;($AN293-FechaRef)&amp;IF($AN293-FechaRef=1," día"," días"),"En plazo")))))))</f>
        <v/>
      </c>
      <c r="P293" s="62" t="n"/>
      <c r="Q293" s="58" t="n"/>
      <c r="R293" s="63">
        <f>IF(NOT((COUNTA($B293:$D293)+COUNTA($G293:$L293)+COUNTA($Q293))&gt;0),"",IF((IF($C293="","Falta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",""))="","✔ OK","⚠ "&amp;LEFT(IF($C293="","Falta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",""),LEN(IF($C293="","Falta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",""))-3)))</f>
        <v/>
      </c>
      <c r="S293" s="64">
        <f>IF(NOT((COUNTA($B293:$D293)+COUNTA($G293:$L293)+COUNTA($Q293))&gt;0),"",IF(AND($V293="Sub",N($U293)&gt;0),IF(ISNUMBER(INDEX($AM$5:$AM$1000,$U293-4)),DATE(YEAR(INDEX($AM$5:$AM$1000,$U293-4)),MONTH(INDEX($AM$5:$AM$1000,$U293-4)),1),IF(ISNUMBER(INDEX($AN$5:$AN$1000,$U293-4)),DATE(YEAR(INDEX($AN$5:$AN$1000,$U293-4)),MONTH(INDEX($AN$5:$AN$1000,$U293-4)),1),MesCiclo)),IF(ISNUMBER($AM293),DATE(YEAR($AM293),MONTH($AM293),1),IF(ISNUMBER($AN293),DATE(YEAR($AN293),MONTH($AN293),1),MesCiclo))))</f>
        <v/>
      </c>
      <c r="T293" s="62">
        <f>IF(OR($S293="",$S293&lt;&gt;MesCiclo),"",COUNTIF($S$5:$S293,MesCiclo))</f>
        <v/>
      </c>
      <c r="U293" s="62">
        <f>IF($V293="","",IF($V293="Macro",ROW(),IFERROR(LOOKUP(2,1/($V$5:$V293="Macro"),ROW($V$5:$V293)),0)))</f>
        <v/>
      </c>
      <c r="V293" s="62">
        <f>IF(NOT((COUNTA($B293:$D293)+COUNTA($G293:$L293)+COUNTA($Q293))&gt;0),"",IF($B293="Subactividad","Sub","Macro"))</f>
        <v/>
      </c>
      <c r="W293" s="62">
        <f>IF($V293="Macro",COUNTIFS($U$5:$U$1000,ROW(),$V$5:$V$1000,"Sub"),"")</f>
        <v/>
      </c>
      <c r="X293" s="62">
        <f>IF($V293="","",IF(ISNUMBER($G293),1,IFERROR(LOOKUP(2,1/($I293:$L293&lt;&gt;""),$I293:$L293),0)))</f>
        <v/>
      </c>
      <c r="Y293" s="62">
        <f>IF($V293="","",IF(AND(ISNUMBER($G293),$G293&lt;=IF($S293=MesCiclo,InicioCiclo,$S293+MOD(2-WEEKDAY($S293),7))+6),1,IF(ISNUMBER($I293),$I293,0)))</f>
        <v/>
      </c>
      <c r="Z293" s="62">
        <f>IF($V293="","",IF(AND(ISNUMBER($G293),$G293&lt;=IF($S293=MesCiclo,InicioCiclo,$S293+MOD(2-WEEKDAY($S293),7))+13),1,IF(ISNUMBER($J293),$J293,$Y293)))</f>
        <v/>
      </c>
      <c r="AA293" s="62">
        <f>IF($V293="","",IF(AND(ISNUMBER($G293),$G293&lt;=IF($S293=MesCiclo,InicioCiclo,$S293+MOD(2-WEEKDAY($S293),7))+20),1,IF(ISNUMBER($K293),$K293,$Z293)))</f>
        <v/>
      </c>
      <c r="AB293" s="62">
        <f>IF($V293="","",IF(AND(ISNUMBER($G293),$G293&lt;=IF($S293=MesCiclo,InicioCiclo,$S293+MOD(2-WEEKDAY($S293),7))+27),1,IF(ISNUMBER($L293),$L293,$AA293)))</f>
        <v/>
      </c>
      <c r="AC293" s="62">
        <f>IF($V293="","",IF(AND(ISNUMBER($G293),$G293&lt;=IF($S293=MesCiclo,InicioCiclo,$S293+MOD(2-WEEKDAY($S293),7))+6),1,IF(N($W293)&gt;0,AVERAGEIFS($Y$5:$Y$1000,$U$5:$U$1000,ROW(),$V$5:$V$1000,"Sub"),$Y293)))</f>
        <v/>
      </c>
      <c r="AD293" s="62">
        <f>IF($V293="","",IF(AND(ISNUMBER($G293),$G293&lt;=IF($S293=MesCiclo,InicioCiclo,$S293+MOD(2-WEEKDAY($S293),7))+13),1,IF(N($W293)&gt;0,AVERAGEIFS($Z$5:$Z$1000,$U$5:$U$1000,ROW(),$V$5:$V$1000,"Sub"),$Z293)))</f>
        <v/>
      </c>
      <c r="AE293" s="62">
        <f>IF($V293="","",IF(AND(ISNUMBER($G293),$G293&lt;=IF($S293=MesCiclo,InicioCiclo,$S293+MOD(2-WEEKDAY($S293),7))+20),1,IF(N($W293)&gt;0,AVERAGEIFS($AA$5:$AA$1000,$U$5:$U$1000,ROW(),$V$5:$V$1000,"Sub"),$AA293)))</f>
        <v/>
      </c>
      <c r="AF293" s="62">
        <f>IF($V293="","",IF(AND(ISNUMBER($G293),$G293&lt;=IF($S293=MesCiclo,InicioCiclo,$S293+MOD(2-WEEKDAY($S293),7))+27),1,IF(N($W293)&gt;0,AVERAGEIFS($AB$5:$AB$1000,$U$5:$U$1000,ROW(),$V$5:$V$1000,"Sub"),$AB293)))</f>
        <v/>
      </c>
      <c r="AG293" s="62">
        <f>IF($V293&lt;&gt;"Macro","",IF(COUNTIFS($S$5:$S$1000,$S293,$V$5:$V$1000,"Macro",$H$5:$H$1000,"&gt;0")=0,1/COUNTIFS($S$5:$S$1000,$S293,$V$5:$V$1000,"Macro"),IF(AND(ISNUMBER($H293),N($H293)&gt;0),$H293,SUMIFS($H$5:$H$1000,$S$5:$S$1000,$S293,$V$5:$V$1000,"Macro")/COUNTIFS($S$5:$S$1000,$S293,$V$5:$V$1000,"Macro",$H$5:$H$1000,"&gt;0"))/(COUNTIFS($S$5:$S$1000,$S293,$V$5:$V$1000,"Macro")*SUMIFS($H$5:$H$1000,$S$5:$S$1000,$S293,$V$5:$V$1000,"Macro")/COUNTIFS($S$5:$S$1000,$S293,$V$5:$V$1000,"Macro",$H$5:$H$1000,"&gt;0"))))</f>
        <v/>
      </c>
      <c r="AH293" s="62" t="n"/>
      <c r="AI293" s="62" t="n"/>
      <c r="AJ293" s="62" t="n"/>
      <c r="AK293" s="62" t="n"/>
      <c r="AL293" s="62">
        <f>IF(LEFT($C293,11)="[Jefatura] ",IFERROR(MATCH("Riesgo Operacional|"&amp;MID($C293,12,500),rDname_ADM,0),0),"")</f>
        <v/>
      </c>
      <c r="AM293" s="62">
        <f>IF(N($AL293)&gt;0,INDEX(rIni_ADM,$AL293),IF(ISNUMBER($E293),$E293,""))</f>
        <v/>
      </c>
      <c r="AN293" s="62">
        <f>IF(N($AL293)&gt;0,INDEX(rLim_ADM,$AL293),IF(ISNUMBER($F293),$F293,""))</f>
        <v/>
      </c>
    </row>
    <row r="294">
      <c r="A294" s="56">
        <f>IF(NOT((COUNTA($B294:$D294)+COUNTA($G294:$L294)+COUNTA($Q294))&gt;0),"",IF($V294="Macro",COUNTIFS($V$5:$V294,"Macro",$S$5:$S294,$S294),IF(N($U294)=0,"?",COUNTIFS(INDEX($V$5:$V$1000,1):INDEX($V$5:$V$1000,$U294-4),"Macro",INDEX($S$5:$S$1000,1):INDEX($S$5:$S$1000,$U294-4),INDEX($S$5:$S$1000,$U294-4))&amp;"."&amp;COUNTIFS($U$5:$U294,$U294,$V$5:$V294,"Sub"))))</f>
        <v/>
      </c>
      <c r="B294" s="57" t="n"/>
      <c r="C294" s="58" t="n"/>
      <c r="D294" s="58" t="n"/>
      <c r="E294" s="59">
        <f>IF(N($AL294)&gt;0,INDEX(rIni_ADM,$AL294),"")</f>
        <v/>
      </c>
      <c r="F294" s="59">
        <f>IF(N($AL294)&gt;0,INDEX(rLim_ADM,$AL294),"")</f>
        <v/>
      </c>
      <c r="G294" s="59" t="n"/>
      <c r="H294" s="60" t="n"/>
      <c r="I294" s="60" t="n"/>
      <c r="J294" s="60" t="n"/>
      <c r="K294" s="60" t="n"/>
      <c r="L294" s="60" t="n"/>
      <c r="M294" s="61">
        <f>IF(NOT((COUNTA($B294:$D294)+COUNTA($G294:$L294)+COUNTA($Q294))&gt;0),"",IF(ISNUMBER($G294),1,IF(N($W294)&gt;0,AVERAGEIFS($X$5:$X$1000,$U$5:$U$1000,ROW(),$V$5:$V$1000,"Sub"),$X294)))</f>
        <v/>
      </c>
      <c r="N294" s="56">
        <f>IF($M294="","",IF($M294&gt;=1,"Completado",IF($M294&gt;0,"En curso","Pendiente")))</f>
        <v/>
      </c>
      <c r="O294" s="56">
        <f>IF(NOT((COUNTA($B294:$D294)+COUNTA($G294:$L294)+COUNTA($Q294))&gt;0),"",IF(ISNUMBER($G294),IF(AND(ISNUMBER($AN294),$G294&gt;$AN294),"Cumplida con "&amp;($G294-$AN294)&amp;IF($G294-$AN294=1," día"," días")&amp;" de retraso","Cumplida"),IF(N($M294)&gt;=1,"Cumplida",IF(NOT(ISNUMBER($AN294)),"Sin fecha límite",IF($AN294&lt;FechaRef,"Vencida hace "&amp;(FechaRef-$AN294)&amp;IF(FechaRef-$AN294=1," día"," días"),IF($AN294=FechaRef,"Vence hoy",IF($AN294-FechaRef&lt;=DiasAlerta,"Vence en "&amp;($AN294-FechaRef)&amp;IF($AN294-FechaRef=1," día"," días"),"En plazo")))))))</f>
        <v/>
      </c>
      <c r="P294" s="62" t="n"/>
      <c r="Q294" s="58" t="n"/>
      <c r="R294" s="63">
        <f>IF(NOT((COUNTA($B294:$D294)+COUNTA($G294:$L294)+COUNTA($Q294))&gt;0),"",IF((IF($C294="","Falta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",""))="","✔ OK","⚠ "&amp;LEFT(IF($C294="","Falta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",""),LEN(IF($C294="","Falta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",""))-3)))</f>
        <v/>
      </c>
      <c r="S294" s="64">
        <f>IF(NOT((COUNTA($B294:$D294)+COUNTA($G294:$L294)+COUNTA($Q294))&gt;0),"",IF(AND($V294="Sub",N($U294)&gt;0),IF(ISNUMBER(INDEX($AM$5:$AM$1000,$U294-4)),DATE(YEAR(INDEX($AM$5:$AM$1000,$U294-4)),MONTH(INDEX($AM$5:$AM$1000,$U294-4)),1),IF(ISNUMBER(INDEX($AN$5:$AN$1000,$U294-4)),DATE(YEAR(INDEX($AN$5:$AN$1000,$U294-4)),MONTH(INDEX($AN$5:$AN$1000,$U294-4)),1),MesCiclo)),IF(ISNUMBER($AM294),DATE(YEAR($AM294),MONTH($AM294),1),IF(ISNUMBER($AN294),DATE(YEAR($AN294),MONTH($AN294),1),MesCiclo))))</f>
        <v/>
      </c>
      <c r="T294" s="62">
        <f>IF(OR($S294="",$S294&lt;&gt;MesCiclo),"",COUNTIF($S$5:$S294,MesCiclo))</f>
        <v/>
      </c>
      <c r="U294" s="62">
        <f>IF($V294="","",IF($V294="Macro",ROW(),IFERROR(LOOKUP(2,1/($V$5:$V294="Macro"),ROW($V$5:$V294)),0)))</f>
        <v/>
      </c>
      <c r="V294" s="62">
        <f>IF(NOT((COUNTA($B294:$D294)+COUNTA($G294:$L294)+COUNTA($Q294))&gt;0),"",IF($B294="Subactividad","Sub","Macro"))</f>
        <v/>
      </c>
      <c r="W294" s="62">
        <f>IF($V294="Macro",COUNTIFS($U$5:$U$1000,ROW(),$V$5:$V$1000,"Sub"),"")</f>
        <v/>
      </c>
      <c r="X294" s="62">
        <f>IF($V294="","",IF(ISNUMBER($G294),1,IFERROR(LOOKUP(2,1/($I294:$L294&lt;&gt;""),$I294:$L294),0)))</f>
        <v/>
      </c>
      <c r="Y294" s="62">
        <f>IF($V294="","",IF(AND(ISNUMBER($G294),$G294&lt;=IF($S294=MesCiclo,InicioCiclo,$S294+MOD(2-WEEKDAY($S294),7))+6),1,IF(ISNUMBER($I294),$I294,0)))</f>
        <v/>
      </c>
      <c r="Z294" s="62">
        <f>IF($V294="","",IF(AND(ISNUMBER($G294),$G294&lt;=IF($S294=MesCiclo,InicioCiclo,$S294+MOD(2-WEEKDAY($S294),7))+13),1,IF(ISNUMBER($J294),$J294,$Y294)))</f>
        <v/>
      </c>
      <c r="AA294" s="62">
        <f>IF($V294="","",IF(AND(ISNUMBER($G294),$G294&lt;=IF($S294=MesCiclo,InicioCiclo,$S294+MOD(2-WEEKDAY($S294),7))+20),1,IF(ISNUMBER($K294),$K294,$Z294)))</f>
        <v/>
      </c>
      <c r="AB294" s="62">
        <f>IF($V294="","",IF(AND(ISNUMBER($G294),$G294&lt;=IF($S294=MesCiclo,InicioCiclo,$S294+MOD(2-WEEKDAY($S294),7))+27),1,IF(ISNUMBER($L294),$L294,$AA294)))</f>
        <v/>
      </c>
      <c r="AC294" s="62">
        <f>IF($V294="","",IF(AND(ISNUMBER($G294),$G294&lt;=IF($S294=MesCiclo,InicioCiclo,$S294+MOD(2-WEEKDAY($S294),7))+6),1,IF(N($W294)&gt;0,AVERAGEIFS($Y$5:$Y$1000,$U$5:$U$1000,ROW(),$V$5:$V$1000,"Sub"),$Y294)))</f>
        <v/>
      </c>
      <c r="AD294" s="62">
        <f>IF($V294="","",IF(AND(ISNUMBER($G294),$G294&lt;=IF($S294=MesCiclo,InicioCiclo,$S294+MOD(2-WEEKDAY($S294),7))+13),1,IF(N($W294)&gt;0,AVERAGEIFS($Z$5:$Z$1000,$U$5:$U$1000,ROW(),$V$5:$V$1000,"Sub"),$Z294)))</f>
        <v/>
      </c>
      <c r="AE294" s="62">
        <f>IF($V294="","",IF(AND(ISNUMBER($G294),$G294&lt;=IF($S294=MesCiclo,InicioCiclo,$S294+MOD(2-WEEKDAY($S294),7))+20),1,IF(N($W294)&gt;0,AVERAGEIFS($AA$5:$AA$1000,$U$5:$U$1000,ROW(),$V$5:$V$1000,"Sub"),$AA294)))</f>
        <v/>
      </c>
      <c r="AF294" s="62">
        <f>IF($V294="","",IF(AND(ISNUMBER($G294),$G294&lt;=IF($S294=MesCiclo,InicioCiclo,$S294+MOD(2-WEEKDAY($S294),7))+27),1,IF(N($W294)&gt;0,AVERAGEIFS($AB$5:$AB$1000,$U$5:$U$1000,ROW(),$V$5:$V$1000,"Sub"),$AB294)))</f>
        <v/>
      </c>
      <c r="AG294" s="62">
        <f>IF($V294&lt;&gt;"Macro","",IF(COUNTIFS($S$5:$S$1000,$S294,$V$5:$V$1000,"Macro",$H$5:$H$1000,"&gt;0")=0,1/COUNTIFS($S$5:$S$1000,$S294,$V$5:$V$1000,"Macro"),IF(AND(ISNUMBER($H294),N($H294)&gt;0),$H294,SUMIFS($H$5:$H$1000,$S$5:$S$1000,$S294,$V$5:$V$1000,"Macro")/COUNTIFS($S$5:$S$1000,$S294,$V$5:$V$1000,"Macro",$H$5:$H$1000,"&gt;0"))/(COUNTIFS($S$5:$S$1000,$S294,$V$5:$V$1000,"Macro")*SUMIFS($H$5:$H$1000,$S$5:$S$1000,$S294,$V$5:$V$1000,"Macro")/COUNTIFS($S$5:$S$1000,$S294,$V$5:$V$1000,"Macro",$H$5:$H$1000,"&gt;0"))))</f>
        <v/>
      </c>
      <c r="AH294" s="62" t="n"/>
      <c r="AI294" s="62" t="n"/>
      <c r="AJ294" s="62" t="n"/>
      <c r="AK294" s="62" t="n"/>
      <c r="AL294" s="62">
        <f>IF(LEFT($C294,11)="[Jefatura] ",IFERROR(MATCH("Riesgo Operacional|"&amp;MID($C294,12,500),rDname_ADM,0),0),"")</f>
        <v/>
      </c>
      <c r="AM294" s="62">
        <f>IF(N($AL294)&gt;0,INDEX(rIni_ADM,$AL294),IF(ISNUMBER($E294),$E294,""))</f>
        <v/>
      </c>
      <c r="AN294" s="62">
        <f>IF(N($AL294)&gt;0,INDEX(rLim_ADM,$AL294),IF(ISNUMBER($F294),$F294,""))</f>
        <v/>
      </c>
    </row>
    <row r="295">
      <c r="A295" s="56">
        <f>IF(NOT((COUNTA($B295:$D295)+COUNTA($G295:$L295)+COUNTA($Q295))&gt;0),"",IF($V295="Macro",COUNTIFS($V$5:$V295,"Macro",$S$5:$S295,$S295),IF(N($U295)=0,"?",COUNTIFS(INDEX($V$5:$V$1000,1):INDEX($V$5:$V$1000,$U295-4),"Macro",INDEX($S$5:$S$1000,1):INDEX($S$5:$S$1000,$U295-4),INDEX($S$5:$S$1000,$U295-4))&amp;"."&amp;COUNTIFS($U$5:$U295,$U295,$V$5:$V295,"Sub"))))</f>
        <v/>
      </c>
      <c r="B295" s="57" t="n"/>
      <c r="C295" s="58" t="n"/>
      <c r="D295" s="58" t="n"/>
      <c r="E295" s="59">
        <f>IF(N($AL295)&gt;0,INDEX(rIni_ADM,$AL295),"")</f>
        <v/>
      </c>
      <c r="F295" s="59">
        <f>IF(N($AL295)&gt;0,INDEX(rLim_ADM,$AL295),"")</f>
        <v/>
      </c>
      <c r="G295" s="59" t="n"/>
      <c r="H295" s="60" t="n"/>
      <c r="I295" s="60" t="n"/>
      <c r="J295" s="60" t="n"/>
      <c r="K295" s="60" t="n"/>
      <c r="L295" s="60" t="n"/>
      <c r="M295" s="61">
        <f>IF(NOT((COUNTA($B295:$D295)+COUNTA($G295:$L295)+COUNTA($Q295))&gt;0),"",IF(ISNUMBER($G295),1,IF(N($W295)&gt;0,AVERAGEIFS($X$5:$X$1000,$U$5:$U$1000,ROW(),$V$5:$V$1000,"Sub"),$X295)))</f>
        <v/>
      </c>
      <c r="N295" s="56">
        <f>IF($M295="","",IF($M295&gt;=1,"Completado",IF($M295&gt;0,"En curso","Pendiente")))</f>
        <v/>
      </c>
      <c r="O295" s="56">
        <f>IF(NOT((COUNTA($B295:$D295)+COUNTA($G295:$L295)+COUNTA($Q295))&gt;0),"",IF(ISNUMBER($G295),IF(AND(ISNUMBER($AN295),$G295&gt;$AN295),"Cumplida con "&amp;($G295-$AN295)&amp;IF($G295-$AN295=1," día"," días")&amp;" de retraso","Cumplida"),IF(N($M295)&gt;=1,"Cumplida",IF(NOT(ISNUMBER($AN295)),"Sin fecha límite",IF($AN295&lt;FechaRef,"Vencida hace "&amp;(FechaRef-$AN295)&amp;IF(FechaRef-$AN295=1," día"," días"),IF($AN295=FechaRef,"Vence hoy",IF($AN295-FechaRef&lt;=DiasAlerta,"Vence en "&amp;($AN295-FechaRef)&amp;IF($AN295-FechaRef=1," día"," días"),"En plazo")))))))</f>
        <v/>
      </c>
      <c r="P295" s="62" t="n"/>
      <c r="Q295" s="58" t="n"/>
      <c r="R295" s="63">
        <f>IF(NOT((COUNTA($B295:$D295)+COUNTA($G295:$L295)+COUNTA($Q295))&gt;0),"",IF((IF($C295="","Falta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",""))="","✔ OK","⚠ "&amp;LEFT(IF($C295="","Falta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",""),LEN(IF($C295="","Falta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",""))-3)))</f>
        <v/>
      </c>
      <c r="S295" s="64">
        <f>IF(NOT((COUNTA($B295:$D295)+COUNTA($G295:$L295)+COUNTA($Q295))&gt;0),"",IF(AND($V295="Sub",N($U295)&gt;0),IF(ISNUMBER(INDEX($AM$5:$AM$1000,$U295-4)),DATE(YEAR(INDEX($AM$5:$AM$1000,$U295-4)),MONTH(INDEX($AM$5:$AM$1000,$U295-4)),1),IF(ISNUMBER(INDEX($AN$5:$AN$1000,$U295-4)),DATE(YEAR(INDEX($AN$5:$AN$1000,$U295-4)),MONTH(INDEX($AN$5:$AN$1000,$U295-4)),1),MesCiclo)),IF(ISNUMBER($AM295),DATE(YEAR($AM295),MONTH($AM295),1),IF(ISNUMBER($AN295),DATE(YEAR($AN295),MONTH($AN295),1),MesCiclo))))</f>
        <v/>
      </c>
      <c r="T295" s="62">
        <f>IF(OR($S295="",$S295&lt;&gt;MesCiclo),"",COUNTIF($S$5:$S295,MesCiclo))</f>
        <v/>
      </c>
      <c r="U295" s="62">
        <f>IF($V295="","",IF($V295="Macro",ROW(),IFERROR(LOOKUP(2,1/($V$5:$V295="Macro"),ROW($V$5:$V295)),0)))</f>
        <v/>
      </c>
      <c r="V295" s="62">
        <f>IF(NOT((COUNTA($B295:$D295)+COUNTA($G295:$L295)+COUNTA($Q295))&gt;0),"",IF($B295="Subactividad","Sub","Macro"))</f>
        <v/>
      </c>
      <c r="W295" s="62">
        <f>IF($V295="Macro",COUNTIFS($U$5:$U$1000,ROW(),$V$5:$V$1000,"Sub"),"")</f>
        <v/>
      </c>
      <c r="X295" s="62">
        <f>IF($V295="","",IF(ISNUMBER($G295),1,IFERROR(LOOKUP(2,1/($I295:$L295&lt;&gt;""),$I295:$L295),0)))</f>
        <v/>
      </c>
      <c r="Y295" s="62">
        <f>IF($V295="","",IF(AND(ISNUMBER($G295),$G295&lt;=IF($S295=MesCiclo,InicioCiclo,$S295+MOD(2-WEEKDAY($S295),7))+6),1,IF(ISNUMBER($I295),$I295,0)))</f>
        <v/>
      </c>
      <c r="Z295" s="62">
        <f>IF($V295="","",IF(AND(ISNUMBER($G295),$G295&lt;=IF($S295=MesCiclo,InicioCiclo,$S295+MOD(2-WEEKDAY($S295),7))+13),1,IF(ISNUMBER($J295),$J295,$Y295)))</f>
        <v/>
      </c>
      <c r="AA295" s="62">
        <f>IF($V295="","",IF(AND(ISNUMBER($G295),$G295&lt;=IF($S295=MesCiclo,InicioCiclo,$S295+MOD(2-WEEKDAY($S295),7))+20),1,IF(ISNUMBER($K295),$K295,$Z295)))</f>
        <v/>
      </c>
      <c r="AB295" s="62">
        <f>IF($V295="","",IF(AND(ISNUMBER($G295),$G295&lt;=IF($S295=MesCiclo,InicioCiclo,$S295+MOD(2-WEEKDAY($S295),7))+27),1,IF(ISNUMBER($L295),$L295,$AA295)))</f>
        <v/>
      </c>
      <c r="AC295" s="62">
        <f>IF($V295="","",IF(AND(ISNUMBER($G295),$G295&lt;=IF($S295=MesCiclo,InicioCiclo,$S295+MOD(2-WEEKDAY($S295),7))+6),1,IF(N($W295)&gt;0,AVERAGEIFS($Y$5:$Y$1000,$U$5:$U$1000,ROW(),$V$5:$V$1000,"Sub"),$Y295)))</f>
        <v/>
      </c>
      <c r="AD295" s="62">
        <f>IF($V295="","",IF(AND(ISNUMBER($G295),$G295&lt;=IF($S295=MesCiclo,InicioCiclo,$S295+MOD(2-WEEKDAY($S295),7))+13),1,IF(N($W295)&gt;0,AVERAGEIFS($Z$5:$Z$1000,$U$5:$U$1000,ROW(),$V$5:$V$1000,"Sub"),$Z295)))</f>
        <v/>
      </c>
      <c r="AE295" s="62">
        <f>IF($V295="","",IF(AND(ISNUMBER($G295),$G295&lt;=IF($S295=MesCiclo,InicioCiclo,$S295+MOD(2-WEEKDAY($S295),7))+20),1,IF(N($W295)&gt;0,AVERAGEIFS($AA$5:$AA$1000,$U$5:$U$1000,ROW(),$V$5:$V$1000,"Sub"),$AA295)))</f>
        <v/>
      </c>
      <c r="AF295" s="62">
        <f>IF($V295="","",IF(AND(ISNUMBER($G295),$G295&lt;=IF($S295=MesCiclo,InicioCiclo,$S295+MOD(2-WEEKDAY($S295),7))+27),1,IF(N($W295)&gt;0,AVERAGEIFS($AB$5:$AB$1000,$U$5:$U$1000,ROW(),$V$5:$V$1000,"Sub"),$AB295)))</f>
        <v/>
      </c>
      <c r="AG295" s="62">
        <f>IF($V295&lt;&gt;"Macro","",IF(COUNTIFS($S$5:$S$1000,$S295,$V$5:$V$1000,"Macro",$H$5:$H$1000,"&gt;0")=0,1/COUNTIFS($S$5:$S$1000,$S295,$V$5:$V$1000,"Macro"),IF(AND(ISNUMBER($H295),N($H295)&gt;0),$H295,SUMIFS($H$5:$H$1000,$S$5:$S$1000,$S295,$V$5:$V$1000,"Macro")/COUNTIFS($S$5:$S$1000,$S295,$V$5:$V$1000,"Macro",$H$5:$H$1000,"&gt;0"))/(COUNTIFS($S$5:$S$1000,$S295,$V$5:$V$1000,"Macro")*SUMIFS($H$5:$H$1000,$S$5:$S$1000,$S295,$V$5:$V$1000,"Macro")/COUNTIFS($S$5:$S$1000,$S295,$V$5:$V$1000,"Macro",$H$5:$H$1000,"&gt;0"))))</f>
        <v/>
      </c>
      <c r="AH295" s="62" t="n"/>
      <c r="AI295" s="62" t="n"/>
      <c r="AJ295" s="62" t="n"/>
      <c r="AK295" s="62" t="n"/>
      <c r="AL295" s="62">
        <f>IF(LEFT($C295,11)="[Jefatura] ",IFERROR(MATCH("Riesgo Operacional|"&amp;MID($C295,12,500),rDname_ADM,0),0),"")</f>
        <v/>
      </c>
      <c r="AM295" s="62">
        <f>IF(N($AL295)&gt;0,INDEX(rIni_ADM,$AL295),IF(ISNUMBER($E295),$E295,""))</f>
        <v/>
      </c>
      <c r="AN295" s="62">
        <f>IF(N($AL295)&gt;0,INDEX(rLim_ADM,$AL295),IF(ISNUMBER($F295),$F295,""))</f>
        <v/>
      </c>
    </row>
    <row r="296">
      <c r="A296" s="56">
        <f>IF(NOT((COUNTA($B296:$D296)+COUNTA($G296:$L296)+COUNTA($Q296))&gt;0),"",IF($V296="Macro",COUNTIFS($V$5:$V296,"Macro",$S$5:$S296,$S296),IF(N($U296)=0,"?",COUNTIFS(INDEX($V$5:$V$1000,1):INDEX($V$5:$V$1000,$U296-4),"Macro",INDEX($S$5:$S$1000,1):INDEX($S$5:$S$1000,$U296-4),INDEX($S$5:$S$1000,$U296-4))&amp;"."&amp;COUNTIFS($U$5:$U296,$U296,$V$5:$V296,"Sub"))))</f>
        <v/>
      </c>
      <c r="B296" s="57" t="n"/>
      <c r="C296" s="58" t="n"/>
      <c r="D296" s="58" t="n"/>
      <c r="E296" s="59">
        <f>IF(N($AL296)&gt;0,INDEX(rIni_ADM,$AL296),"")</f>
        <v/>
      </c>
      <c r="F296" s="59">
        <f>IF(N($AL296)&gt;0,INDEX(rLim_ADM,$AL296),"")</f>
        <v/>
      </c>
      <c r="G296" s="59" t="n"/>
      <c r="H296" s="60" t="n"/>
      <c r="I296" s="60" t="n"/>
      <c r="J296" s="60" t="n"/>
      <c r="K296" s="60" t="n"/>
      <c r="L296" s="60" t="n"/>
      <c r="M296" s="61">
        <f>IF(NOT((COUNTA($B296:$D296)+COUNTA($G296:$L296)+COUNTA($Q296))&gt;0),"",IF(ISNUMBER($G296),1,IF(N($W296)&gt;0,AVERAGEIFS($X$5:$X$1000,$U$5:$U$1000,ROW(),$V$5:$V$1000,"Sub"),$X296)))</f>
        <v/>
      </c>
      <c r="N296" s="56">
        <f>IF($M296="","",IF($M296&gt;=1,"Completado",IF($M296&gt;0,"En curso","Pendiente")))</f>
        <v/>
      </c>
      <c r="O296" s="56">
        <f>IF(NOT((COUNTA($B296:$D296)+COUNTA($G296:$L296)+COUNTA($Q296))&gt;0),"",IF(ISNUMBER($G296),IF(AND(ISNUMBER($AN296),$G296&gt;$AN296),"Cumplida con "&amp;($G296-$AN296)&amp;IF($G296-$AN296=1," día"," días")&amp;" de retraso","Cumplida"),IF(N($M296)&gt;=1,"Cumplida",IF(NOT(ISNUMBER($AN296)),"Sin fecha límite",IF($AN296&lt;FechaRef,"Vencida hace "&amp;(FechaRef-$AN296)&amp;IF(FechaRef-$AN296=1," día"," días"),IF($AN296=FechaRef,"Vence hoy",IF($AN296-FechaRef&lt;=DiasAlerta,"Vence en "&amp;($AN296-FechaRef)&amp;IF($AN296-FechaRef=1," día"," días"),"En plazo")))))))</f>
        <v/>
      </c>
      <c r="P296" s="62" t="n"/>
      <c r="Q296" s="58" t="n"/>
      <c r="R296" s="63">
        <f>IF(NOT((COUNTA($B296:$D296)+COUNTA($G296:$L296)+COUNTA($Q296))&gt;0),"",IF((IF($C296="","Falta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",""))="","✔ OK","⚠ "&amp;LEFT(IF($C296="","Falta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",""),LEN(IF($C296="","Falta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",""))-3)))</f>
        <v/>
      </c>
      <c r="S296" s="64">
        <f>IF(NOT((COUNTA($B296:$D296)+COUNTA($G296:$L296)+COUNTA($Q296))&gt;0),"",IF(AND($V296="Sub",N($U296)&gt;0),IF(ISNUMBER(INDEX($AM$5:$AM$1000,$U296-4)),DATE(YEAR(INDEX($AM$5:$AM$1000,$U296-4)),MONTH(INDEX($AM$5:$AM$1000,$U296-4)),1),IF(ISNUMBER(INDEX($AN$5:$AN$1000,$U296-4)),DATE(YEAR(INDEX($AN$5:$AN$1000,$U296-4)),MONTH(INDEX($AN$5:$AN$1000,$U296-4)),1),MesCiclo)),IF(ISNUMBER($AM296),DATE(YEAR($AM296),MONTH($AM296),1),IF(ISNUMBER($AN296),DATE(YEAR($AN296),MONTH($AN296),1),MesCiclo))))</f>
        <v/>
      </c>
      <c r="T296" s="62">
        <f>IF(OR($S296="",$S296&lt;&gt;MesCiclo),"",COUNTIF($S$5:$S296,MesCiclo))</f>
        <v/>
      </c>
      <c r="U296" s="62">
        <f>IF($V296="","",IF($V296="Macro",ROW(),IFERROR(LOOKUP(2,1/($V$5:$V296="Macro"),ROW($V$5:$V296)),0)))</f>
        <v/>
      </c>
      <c r="V296" s="62">
        <f>IF(NOT((COUNTA($B296:$D296)+COUNTA($G296:$L296)+COUNTA($Q296))&gt;0),"",IF($B296="Subactividad","Sub","Macro"))</f>
        <v/>
      </c>
      <c r="W296" s="62">
        <f>IF($V296="Macro",COUNTIFS($U$5:$U$1000,ROW(),$V$5:$V$1000,"Sub"),"")</f>
        <v/>
      </c>
      <c r="X296" s="62">
        <f>IF($V296="","",IF(ISNUMBER($G296),1,IFERROR(LOOKUP(2,1/($I296:$L296&lt;&gt;""),$I296:$L296),0)))</f>
        <v/>
      </c>
      <c r="Y296" s="62">
        <f>IF($V296="","",IF(AND(ISNUMBER($G296),$G296&lt;=IF($S296=MesCiclo,InicioCiclo,$S296+MOD(2-WEEKDAY($S296),7))+6),1,IF(ISNUMBER($I296),$I296,0)))</f>
        <v/>
      </c>
      <c r="Z296" s="62">
        <f>IF($V296="","",IF(AND(ISNUMBER($G296),$G296&lt;=IF($S296=MesCiclo,InicioCiclo,$S296+MOD(2-WEEKDAY($S296),7))+13),1,IF(ISNUMBER($J296),$J296,$Y296)))</f>
        <v/>
      </c>
      <c r="AA296" s="62">
        <f>IF($V296="","",IF(AND(ISNUMBER($G296),$G296&lt;=IF($S296=MesCiclo,InicioCiclo,$S296+MOD(2-WEEKDAY($S296),7))+20),1,IF(ISNUMBER($K296),$K296,$Z296)))</f>
        <v/>
      </c>
      <c r="AB296" s="62">
        <f>IF($V296="","",IF(AND(ISNUMBER($G296),$G296&lt;=IF($S296=MesCiclo,InicioCiclo,$S296+MOD(2-WEEKDAY($S296),7))+27),1,IF(ISNUMBER($L296),$L296,$AA296)))</f>
        <v/>
      </c>
      <c r="AC296" s="62">
        <f>IF($V296="","",IF(AND(ISNUMBER($G296),$G296&lt;=IF($S296=MesCiclo,InicioCiclo,$S296+MOD(2-WEEKDAY($S296),7))+6),1,IF(N($W296)&gt;0,AVERAGEIFS($Y$5:$Y$1000,$U$5:$U$1000,ROW(),$V$5:$V$1000,"Sub"),$Y296)))</f>
        <v/>
      </c>
      <c r="AD296" s="62">
        <f>IF($V296="","",IF(AND(ISNUMBER($G296),$G296&lt;=IF($S296=MesCiclo,InicioCiclo,$S296+MOD(2-WEEKDAY($S296),7))+13),1,IF(N($W296)&gt;0,AVERAGEIFS($Z$5:$Z$1000,$U$5:$U$1000,ROW(),$V$5:$V$1000,"Sub"),$Z296)))</f>
        <v/>
      </c>
      <c r="AE296" s="62">
        <f>IF($V296="","",IF(AND(ISNUMBER($G296),$G296&lt;=IF($S296=MesCiclo,InicioCiclo,$S296+MOD(2-WEEKDAY($S296),7))+20),1,IF(N($W296)&gt;0,AVERAGEIFS($AA$5:$AA$1000,$U$5:$U$1000,ROW(),$V$5:$V$1000,"Sub"),$AA296)))</f>
        <v/>
      </c>
      <c r="AF296" s="62">
        <f>IF($V296="","",IF(AND(ISNUMBER($G296),$G296&lt;=IF($S296=MesCiclo,InicioCiclo,$S296+MOD(2-WEEKDAY($S296),7))+27),1,IF(N($W296)&gt;0,AVERAGEIFS($AB$5:$AB$1000,$U$5:$U$1000,ROW(),$V$5:$V$1000,"Sub"),$AB296)))</f>
        <v/>
      </c>
      <c r="AG296" s="62">
        <f>IF($V296&lt;&gt;"Macro","",IF(COUNTIFS($S$5:$S$1000,$S296,$V$5:$V$1000,"Macro",$H$5:$H$1000,"&gt;0")=0,1/COUNTIFS($S$5:$S$1000,$S296,$V$5:$V$1000,"Macro"),IF(AND(ISNUMBER($H296),N($H296)&gt;0),$H296,SUMIFS($H$5:$H$1000,$S$5:$S$1000,$S296,$V$5:$V$1000,"Macro")/COUNTIFS($S$5:$S$1000,$S296,$V$5:$V$1000,"Macro",$H$5:$H$1000,"&gt;0"))/(COUNTIFS($S$5:$S$1000,$S296,$V$5:$V$1000,"Macro")*SUMIFS($H$5:$H$1000,$S$5:$S$1000,$S296,$V$5:$V$1000,"Macro")/COUNTIFS($S$5:$S$1000,$S296,$V$5:$V$1000,"Macro",$H$5:$H$1000,"&gt;0"))))</f>
        <v/>
      </c>
      <c r="AH296" s="62" t="n"/>
      <c r="AI296" s="62" t="n"/>
      <c r="AJ296" s="62" t="n"/>
      <c r="AK296" s="62" t="n"/>
      <c r="AL296" s="62">
        <f>IF(LEFT($C296,11)="[Jefatura] ",IFERROR(MATCH("Riesgo Operacional|"&amp;MID($C296,12,500),rDname_ADM,0),0),"")</f>
        <v/>
      </c>
      <c r="AM296" s="62">
        <f>IF(N($AL296)&gt;0,INDEX(rIni_ADM,$AL296),IF(ISNUMBER($E296),$E296,""))</f>
        <v/>
      </c>
      <c r="AN296" s="62">
        <f>IF(N($AL296)&gt;0,INDEX(rLim_ADM,$AL296),IF(ISNUMBER($F296),$F296,""))</f>
        <v/>
      </c>
    </row>
    <row r="297">
      <c r="A297" s="56">
        <f>IF(NOT((COUNTA($B297:$D297)+COUNTA($G297:$L297)+COUNTA($Q297))&gt;0),"",IF($V297="Macro",COUNTIFS($V$5:$V297,"Macro",$S$5:$S297,$S297),IF(N($U297)=0,"?",COUNTIFS(INDEX($V$5:$V$1000,1):INDEX($V$5:$V$1000,$U297-4),"Macro",INDEX($S$5:$S$1000,1):INDEX($S$5:$S$1000,$U297-4),INDEX($S$5:$S$1000,$U297-4))&amp;"."&amp;COUNTIFS($U$5:$U297,$U297,$V$5:$V297,"Sub"))))</f>
        <v/>
      </c>
      <c r="B297" s="57" t="n"/>
      <c r="C297" s="58" t="n"/>
      <c r="D297" s="58" t="n"/>
      <c r="E297" s="59">
        <f>IF(N($AL297)&gt;0,INDEX(rIni_ADM,$AL297),"")</f>
        <v/>
      </c>
      <c r="F297" s="59">
        <f>IF(N($AL297)&gt;0,INDEX(rLim_ADM,$AL297),"")</f>
        <v/>
      </c>
      <c r="G297" s="59" t="n"/>
      <c r="H297" s="60" t="n"/>
      <c r="I297" s="60" t="n"/>
      <c r="J297" s="60" t="n"/>
      <c r="K297" s="60" t="n"/>
      <c r="L297" s="60" t="n"/>
      <c r="M297" s="61">
        <f>IF(NOT((COUNTA($B297:$D297)+COUNTA($G297:$L297)+COUNTA($Q297))&gt;0),"",IF(ISNUMBER($G297),1,IF(N($W297)&gt;0,AVERAGEIFS($X$5:$X$1000,$U$5:$U$1000,ROW(),$V$5:$V$1000,"Sub"),$X297)))</f>
        <v/>
      </c>
      <c r="N297" s="56">
        <f>IF($M297="","",IF($M297&gt;=1,"Completado",IF($M297&gt;0,"En curso","Pendiente")))</f>
        <v/>
      </c>
      <c r="O297" s="56">
        <f>IF(NOT((COUNTA($B297:$D297)+COUNTA($G297:$L297)+COUNTA($Q297))&gt;0),"",IF(ISNUMBER($G297),IF(AND(ISNUMBER($AN297),$G297&gt;$AN297),"Cumplida con "&amp;($G297-$AN297)&amp;IF($G297-$AN297=1," día"," días")&amp;" de retraso","Cumplida"),IF(N($M297)&gt;=1,"Cumplida",IF(NOT(ISNUMBER($AN297)),"Sin fecha límite",IF($AN297&lt;FechaRef,"Vencida hace "&amp;(FechaRef-$AN297)&amp;IF(FechaRef-$AN297=1," día"," días"),IF($AN297=FechaRef,"Vence hoy",IF($AN297-FechaRef&lt;=DiasAlerta,"Vence en "&amp;($AN297-FechaRef)&amp;IF($AN297-FechaRef=1," día"," días"),"En plazo")))))))</f>
        <v/>
      </c>
      <c r="P297" s="62" t="n"/>
      <c r="Q297" s="58" t="n"/>
      <c r="R297" s="63">
        <f>IF(NOT((COUNTA($B297:$D297)+COUNTA($G297:$L297)+COUNTA($Q297))&gt;0),"",IF((IF($C297="","Falta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",""))="","✔ OK","⚠ "&amp;LEFT(IF($C297="","Falta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",""),LEN(IF($C297="","Falta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",""))-3)))</f>
        <v/>
      </c>
      <c r="S297" s="64">
        <f>IF(NOT((COUNTA($B297:$D297)+COUNTA($G297:$L297)+COUNTA($Q297))&gt;0),"",IF(AND($V297="Sub",N($U297)&gt;0),IF(ISNUMBER(INDEX($AM$5:$AM$1000,$U297-4)),DATE(YEAR(INDEX($AM$5:$AM$1000,$U297-4)),MONTH(INDEX($AM$5:$AM$1000,$U297-4)),1),IF(ISNUMBER(INDEX($AN$5:$AN$1000,$U297-4)),DATE(YEAR(INDEX($AN$5:$AN$1000,$U297-4)),MONTH(INDEX($AN$5:$AN$1000,$U297-4)),1),MesCiclo)),IF(ISNUMBER($AM297),DATE(YEAR($AM297),MONTH($AM297),1),IF(ISNUMBER($AN297),DATE(YEAR($AN297),MONTH($AN297),1),MesCiclo))))</f>
        <v/>
      </c>
      <c r="T297" s="62">
        <f>IF(OR($S297="",$S297&lt;&gt;MesCiclo),"",COUNTIF($S$5:$S297,MesCiclo))</f>
        <v/>
      </c>
      <c r="U297" s="62">
        <f>IF($V297="","",IF($V297="Macro",ROW(),IFERROR(LOOKUP(2,1/($V$5:$V297="Macro"),ROW($V$5:$V297)),0)))</f>
        <v/>
      </c>
      <c r="V297" s="62">
        <f>IF(NOT((COUNTA($B297:$D297)+COUNTA($G297:$L297)+COUNTA($Q297))&gt;0),"",IF($B297="Subactividad","Sub","Macro"))</f>
        <v/>
      </c>
      <c r="W297" s="62">
        <f>IF($V297="Macro",COUNTIFS($U$5:$U$1000,ROW(),$V$5:$V$1000,"Sub"),"")</f>
        <v/>
      </c>
      <c r="X297" s="62">
        <f>IF($V297="","",IF(ISNUMBER($G297),1,IFERROR(LOOKUP(2,1/($I297:$L297&lt;&gt;""),$I297:$L297),0)))</f>
        <v/>
      </c>
      <c r="Y297" s="62">
        <f>IF($V297="","",IF(AND(ISNUMBER($G297),$G297&lt;=IF($S297=MesCiclo,InicioCiclo,$S297+MOD(2-WEEKDAY($S297),7))+6),1,IF(ISNUMBER($I297),$I297,0)))</f>
        <v/>
      </c>
      <c r="Z297" s="62">
        <f>IF($V297="","",IF(AND(ISNUMBER($G297),$G297&lt;=IF($S297=MesCiclo,InicioCiclo,$S297+MOD(2-WEEKDAY($S297),7))+13),1,IF(ISNUMBER($J297),$J297,$Y297)))</f>
        <v/>
      </c>
      <c r="AA297" s="62">
        <f>IF($V297="","",IF(AND(ISNUMBER($G297),$G297&lt;=IF($S297=MesCiclo,InicioCiclo,$S297+MOD(2-WEEKDAY($S297),7))+20),1,IF(ISNUMBER($K297),$K297,$Z297)))</f>
        <v/>
      </c>
      <c r="AB297" s="62">
        <f>IF($V297="","",IF(AND(ISNUMBER($G297),$G297&lt;=IF($S297=MesCiclo,InicioCiclo,$S297+MOD(2-WEEKDAY($S297),7))+27),1,IF(ISNUMBER($L297),$L297,$AA297)))</f>
        <v/>
      </c>
      <c r="AC297" s="62">
        <f>IF($V297="","",IF(AND(ISNUMBER($G297),$G297&lt;=IF($S297=MesCiclo,InicioCiclo,$S297+MOD(2-WEEKDAY($S297),7))+6),1,IF(N($W297)&gt;0,AVERAGEIFS($Y$5:$Y$1000,$U$5:$U$1000,ROW(),$V$5:$V$1000,"Sub"),$Y297)))</f>
        <v/>
      </c>
      <c r="AD297" s="62">
        <f>IF($V297="","",IF(AND(ISNUMBER($G297),$G297&lt;=IF($S297=MesCiclo,InicioCiclo,$S297+MOD(2-WEEKDAY($S297),7))+13),1,IF(N($W297)&gt;0,AVERAGEIFS($Z$5:$Z$1000,$U$5:$U$1000,ROW(),$V$5:$V$1000,"Sub"),$Z297)))</f>
        <v/>
      </c>
      <c r="AE297" s="62">
        <f>IF($V297="","",IF(AND(ISNUMBER($G297),$G297&lt;=IF($S297=MesCiclo,InicioCiclo,$S297+MOD(2-WEEKDAY($S297),7))+20),1,IF(N($W297)&gt;0,AVERAGEIFS($AA$5:$AA$1000,$U$5:$U$1000,ROW(),$V$5:$V$1000,"Sub"),$AA297)))</f>
        <v/>
      </c>
      <c r="AF297" s="62">
        <f>IF($V297="","",IF(AND(ISNUMBER($G297),$G297&lt;=IF($S297=MesCiclo,InicioCiclo,$S297+MOD(2-WEEKDAY($S297),7))+27),1,IF(N($W297)&gt;0,AVERAGEIFS($AB$5:$AB$1000,$U$5:$U$1000,ROW(),$V$5:$V$1000,"Sub"),$AB297)))</f>
        <v/>
      </c>
      <c r="AG297" s="62">
        <f>IF($V297&lt;&gt;"Macro","",IF(COUNTIFS($S$5:$S$1000,$S297,$V$5:$V$1000,"Macro",$H$5:$H$1000,"&gt;0")=0,1/COUNTIFS($S$5:$S$1000,$S297,$V$5:$V$1000,"Macro"),IF(AND(ISNUMBER($H297),N($H297)&gt;0),$H297,SUMIFS($H$5:$H$1000,$S$5:$S$1000,$S297,$V$5:$V$1000,"Macro")/COUNTIFS($S$5:$S$1000,$S297,$V$5:$V$1000,"Macro",$H$5:$H$1000,"&gt;0"))/(COUNTIFS($S$5:$S$1000,$S297,$V$5:$V$1000,"Macro")*SUMIFS($H$5:$H$1000,$S$5:$S$1000,$S297,$V$5:$V$1000,"Macro")/COUNTIFS($S$5:$S$1000,$S297,$V$5:$V$1000,"Macro",$H$5:$H$1000,"&gt;0"))))</f>
        <v/>
      </c>
      <c r="AH297" s="62" t="n"/>
      <c r="AI297" s="62" t="n"/>
      <c r="AJ297" s="62" t="n"/>
      <c r="AK297" s="62" t="n"/>
      <c r="AL297" s="62">
        <f>IF(LEFT($C297,11)="[Jefatura] ",IFERROR(MATCH("Riesgo Operacional|"&amp;MID($C297,12,500),rDname_ADM,0),0),"")</f>
        <v/>
      </c>
      <c r="AM297" s="62">
        <f>IF(N($AL297)&gt;0,INDEX(rIni_ADM,$AL297),IF(ISNUMBER($E297),$E297,""))</f>
        <v/>
      </c>
      <c r="AN297" s="62">
        <f>IF(N($AL297)&gt;0,INDEX(rLim_ADM,$AL297),IF(ISNUMBER($F297),$F297,""))</f>
        <v/>
      </c>
    </row>
    <row r="298">
      <c r="A298" s="56">
        <f>IF(NOT((COUNTA($B298:$D298)+COUNTA($G298:$L298)+COUNTA($Q298))&gt;0),"",IF($V298="Macro",COUNTIFS($V$5:$V298,"Macro",$S$5:$S298,$S298),IF(N($U298)=0,"?",COUNTIFS(INDEX($V$5:$V$1000,1):INDEX($V$5:$V$1000,$U298-4),"Macro",INDEX($S$5:$S$1000,1):INDEX($S$5:$S$1000,$U298-4),INDEX($S$5:$S$1000,$U298-4))&amp;"."&amp;COUNTIFS($U$5:$U298,$U298,$V$5:$V298,"Sub"))))</f>
        <v/>
      </c>
      <c r="B298" s="57" t="n"/>
      <c r="C298" s="58" t="n"/>
      <c r="D298" s="58" t="n"/>
      <c r="E298" s="59">
        <f>IF(N($AL298)&gt;0,INDEX(rIni_ADM,$AL298),"")</f>
        <v/>
      </c>
      <c r="F298" s="59">
        <f>IF(N($AL298)&gt;0,INDEX(rLim_ADM,$AL298),"")</f>
        <v/>
      </c>
      <c r="G298" s="59" t="n"/>
      <c r="H298" s="60" t="n"/>
      <c r="I298" s="60" t="n"/>
      <c r="J298" s="60" t="n"/>
      <c r="K298" s="60" t="n"/>
      <c r="L298" s="60" t="n"/>
      <c r="M298" s="61">
        <f>IF(NOT((COUNTA($B298:$D298)+COUNTA($G298:$L298)+COUNTA($Q298))&gt;0),"",IF(ISNUMBER($G298),1,IF(N($W298)&gt;0,AVERAGEIFS($X$5:$X$1000,$U$5:$U$1000,ROW(),$V$5:$V$1000,"Sub"),$X298)))</f>
        <v/>
      </c>
      <c r="N298" s="56">
        <f>IF($M298="","",IF($M298&gt;=1,"Completado",IF($M298&gt;0,"En curso","Pendiente")))</f>
        <v/>
      </c>
      <c r="O298" s="56">
        <f>IF(NOT((COUNTA($B298:$D298)+COUNTA($G298:$L298)+COUNTA($Q298))&gt;0),"",IF(ISNUMBER($G298),IF(AND(ISNUMBER($AN298),$G298&gt;$AN298),"Cumplida con "&amp;($G298-$AN298)&amp;IF($G298-$AN298=1," día"," días")&amp;" de retraso","Cumplida"),IF(N($M298)&gt;=1,"Cumplida",IF(NOT(ISNUMBER($AN298)),"Sin fecha límite",IF($AN298&lt;FechaRef,"Vencida hace "&amp;(FechaRef-$AN298)&amp;IF(FechaRef-$AN298=1," día"," días"),IF($AN298=FechaRef,"Vence hoy",IF($AN298-FechaRef&lt;=DiasAlerta,"Vence en "&amp;($AN298-FechaRef)&amp;IF($AN298-FechaRef=1," día"," días"),"En plazo")))))))</f>
        <v/>
      </c>
      <c r="P298" s="62" t="n"/>
      <c r="Q298" s="58" t="n"/>
      <c r="R298" s="63">
        <f>IF(NOT((COUNTA($B298:$D298)+COUNTA($G298:$L298)+COUNTA($Q298))&gt;0),"",IF((IF($C298="","Falta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",""))="","✔ OK","⚠ "&amp;LEFT(IF($C298="","Falta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",""),LEN(IF($C298="","Falta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",""))-3)))</f>
        <v/>
      </c>
      <c r="S298" s="64">
        <f>IF(NOT((COUNTA($B298:$D298)+COUNTA($G298:$L298)+COUNTA($Q298))&gt;0),"",IF(AND($V298="Sub",N($U298)&gt;0),IF(ISNUMBER(INDEX($AM$5:$AM$1000,$U298-4)),DATE(YEAR(INDEX($AM$5:$AM$1000,$U298-4)),MONTH(INDEX($AM$5:$AM$1000,$U298-4)),1),IF(ISNUMBER(INDEX($AN$5:$AN$1000,$U298-4)),DATE(YEAR(INDEX($AN$5:$AN$1000,$U298-4)),MONTH(INDEX($AN$5:$AN$1000,$U298-4)),1),MesCiclo)),IF(ISNUMBER($AM298),DATE(YEAR($AM298),MONTH($AM298),1),IF(ISNUMBER($AN298),DATE(YEAR($AN298),MONTH($AN298),1),MesCiclo))))</f>
        <v/>
      </c>
      <c r="T298" s="62">
        <f>IF(OR($S298="",$S298&lt;&gt;MesCiclo),"",COUNTIF($S$5:$S298,MesCiclo))</f>
        <v/>
      </c>
      <c r="U298" s="62">
        <f>IF($V298="","",IF($V298="Macro",ROW(),IFERROR(LOOKUP(2,1/($V$5:$V298="Macro"),ROW($V$5:$V298)),0)))</f>
        <v/>
      </c>
      <c r="V298" s="62">
        <f>IF(NOT((COUNTA($B298:$D298)+COUNTA($G298:$L298)+COUNTA($Q298))&gt;0),"",IF($B298="Subactividad","Sub","Macro"))</f>
        <v/>
      </c>
      <c r="W298" s="62">
        <f>IF($V298="Macro",COUNTIFS($U$5:$U$1000,ROW(),$V$5:$V$1000,"Sub"),"")</f>
        <v/>
      </c>
      <c r="X298" s="62">
        <f>IF($V298="","",IF(ISNUMBER($G298),1,IFERROR(LOOKUP(2,1/($I298:$L298&lt;&gt;""),$I298:$L298),0)))</f>
        <v/>
      </c>
      <c r="Y298" s="62">
        <f>IF($V298="","",IF(AND(ISNUMBER($G298),$G298&lt;=IF($S298=MesCiclo,InicioCiclo,$S298+MOD(2-WEEKDAY($S298),7))+6),1,IF(ISNUMBER($I298),$I298,0)))</f>
        <v/>
      </c>
      <c r="Z298" s="62">
        <f>IF($V298="","",IF(AND(ISNUMBER($G298),$G298&lt;=IF($S298=MesCiclo,InicioCiclo,$S298+MOD(2-WEEKDAY($S298),7))+13),1,IF(ISNUMBER($J298),$J298,$Y298)))</f>
        <v/>
      </c>
      <c r="AA298" s="62">
        <f>IF($V298="","",IF(AND(ISNUMBER($G298),$G298&lt;=IF($S298=MesCiclo,InicioCiclo,$S298+MOD(2-WEEKDAY($S298),7))+20),1,IF(ISNUMBER($K298),$K298,$Z298)))</f>
        <v/>
      </c>
      <c r="AB298" s="62">
        <f>IF($V298="","",IF(AND(ISNUMBER($G298),$G298&lt;=IF($S298=MesCiclo,InicioCiclo,$S298+MOD(2-WEEKDAY($S298),7))+27),1,IF(ISNUMBER($L298),$L298,$AA298)))</f>
        <v/>
      </c>
      <c r="AC298" s="62">
        <f>IF($V298="","",IF(AND(ISNUMBER($G298),$G298&lt;=IF($S298=MesCiclo,InicioCiclo,$S298+MOD(2-WEEKDAY($S298),7))+6),1,IF(N($W298)&gt;0,AVERAGEIFS($Y$5:$Y$1000,$U$5:$U$1000,ROW(),$V$5:$V$1000,"Sub"),$Y298)))</f>
        <v/>
      </c>
      <c r="AD298" s="62">
        <f>IF($V298="","",IF(AND(ISNUMBER($G298),$G298&lt;=IF($S298=MesCiclo,InicioCiclo,$S298+MOD(2-WEEKDAY($S298),7))+13),1,IF(N($W298)&gt;0,AVERAGEIFS($Z$5:$Z$1000,$U$5:$U$1000,ROW(),$V$5:$V$1000,"Sub"),$Z298)))</f>
        <v/>
      </c>
      <c r="AE298" s="62">
        <f>IF($V298="","",IF(AND(ISNUMBER($G298),$G298&lt;=IF($S298=MesCiclo,InicioCiclo,$S298+MOD(2-WEEKDAY($S298),7))+20),1,IF(N($W298)&gt;0,AVERAGEIFS($AA$5:$AA$1000,$U$5:$U$1000,ROW(),$V$5:$V$1000,"Sub"),$AA298)))</f>
        <v/>
      </c>
      <c r="AF298" s="62">
        <f>IF($V298="","",IF(AND(ISNUMBER($G298),$G298&lt;=IF($S298=MesCiclo,InicioCiclo,$S298+MOD(2-WEEKDAY($S298),7))+27),1,IF(N($W298)&gt;0,AVERAGEIFS($AB$5:$AB$1000,$U$5:$U$1000,ROW(),$V$5:$V$1000,"Sub"),$AB298)))</f>
        <v/>
      </c>
      <c r="AG298" s="62">
        <f>IF($V298&lt;&gt;"Macro","",IF(COUNTIFS($S$5:$S$1000,$S298,$V$5:$V$1000,"Macro",$H$5:$H$1000,"&gt;0")=0,1/COUNTIFS($S$5:$S$1000,$S298,$V$5:$V$1000,"Macro"),IF(AND(ISNUMBER($H298),N($H298)&gt;0),$H298,SUMIFS($H$5:$H$1000,$S$5:$S$1000,$S298,$V$5:$V$1000,"Macro")/COUNTIFS($S$5:$S$1000,$S298,$V$5:$V$1000,"Macro",$H$5:$H$1000,"&gt;0"))/(COUNTIFS($S$5:$S$1000,$S298,$V$5:$V$1000,"Macro")*SUMIFS($H$5:$H$1000,$S$5:$S$1000,$S298,$V$5:$V$1000,"Macro")/COUNTIFS($S$5:$S$1000,$S298,$V$5:$V$1000,"Macro",$H$5:$H$1000,"&gt;0"))))</f>
        <v/>
      </c>
      <c r="AH298" s="62" t="n"/>
      <c r="AI298" s="62" t="n"/>
      <c r="AJ298" s="62" t="n"/>
      <c r="AK298" s="62" t="n"/>
      <c r="AL298" s="62">
        <f>IF(LEFT($C298,11)="[Jefatura] ",IFERROR(MATCH("Riesgo Operacional|"&amp;MID($C298,12,500),rDname_ADM,0),0),"")</f>
        <v/>
      </c>
      <c r="AM298" s="62">
        <f>IF(N($AL298)&gt;0,INDEX(rIni_ADM,$AL298),IF(ISNUMBER($E298),$E298,""))</f>
        <v/>
      </c>
      <c r="AN298" s="62">
        <f>IF(N($AL298)&gt;0,INDEX(rLim_ADM,$AL298),IF(ISNUMBER($F298),$F298,""))</f>
        <v/>
      </c>
    </row>
    <row r="299">
      <c r="A299" s="56">
        <f>IF(NOT((COUNTA($B299:$D299)+COUNTA($G299:$L299)+COUNTA($Q299))&gt;0),"",IF($V299="Macro",COUNTIFS($V$5:$V299,"Macro",$S$5:$S299,$S299),IF(N($U299)=0,"?",COUNTIFS(INDEX($V$5:$V$1000,1):INDEX($V$5:$V$1000,$U299-4),"Macro",INDEX($S$5:$S$1000,1):INDEX($S$5:$S$1000,$U299-4),INDEX($S$5:$S$1000,$U299-4))&amp;"."&amp;COUNTIFS($U$5:$U299,$U299,$V$5:$V299,"Sub"))))</f>
        <v/>
      </c>
      <c r="B299" s="57" t="n"/>
      <c r="C299" s="58" t="n"/>
      <c r="D299" s="58" t="n"/>
      <c r="E299" s="59">
        <f>IF(N($AL299)&gt;0,INDEX(rIni_ADM,$AL299),"")</f>
        <v/>
      </c>
      <c r="F299" s="59">
        <f>IF(N($AL299)&gt;0,INDEX(rLim_ADM,$AL299),"")</f>
        <v/>
      </c>
      <c r="G299" s="59" t="n"/>
      <c r="H299" s="60" t="n"/>
      <c r="I299" s="60" t="n"/>
      <c r="J299" s="60" t="n"/>
      <c r="K299" s="60" t="n"/>
      <c r="L299" s="60" t="n"/>
      <c r="M299" s="61">
        <f>IF(NOT((COUNTA($B299:$D299)+COUNTA($G299:$L299)+COUNTA($Q299))&gt;0),"",IF(ISNUMBER($G299),1,IF(N($W299)&gt;0,AVERAGEIFS($X$5:$X$1000,$U$5:$U$1000,ROW(),$V$5:$V$1000,"Sub"),$X299)))</f>
        <v/>
      </c>
      <c r="N299" s="56">
        <f>IF($M299="","",IF($M299&gt;=1,"Completado",IF($M299&gt;0,"En curso","Pendiente")))</f>
        <v/>
      </c>
      <c r="O299" s="56">
        <f>IF(NOT((COUNTA($B299:$D299)+COUNTA($G299:$L299)+COUNTA($Q299))&gt;0),"",IF(ISNUMBER($G299),IF(AND(ISNUMBER($AN299),$G299&gt;$AN299),"Cumplida con "&amp;($G299-$AN299)&amp;IF($G299-$AN299=1," día"," días")&amp;" de retraso","Cumplida"),IF(N($M299)&gt;=1,"Cumplida",IF(NOT(ISNUMBER($AN299)),"Sin fecha límite",IF($AN299&lt;FechaRef,"Vencida hace "&amp;(FechaRef-$AN299)&amp;IF(FechaRef-$AN299=1," día"," días"),IF($AN299=FechaRef,"Vence hoy",IF($AN299-FechaRef&lt;=DiasAlerta,"Vence en "&amp;($AN299-FechaRef)&amp;IF($AN299-FechaRef=1," día"," días"),"En plazo")))))))</f>
        <v/>
      </c>
      <c r="P299" s="62" t="n"/>
      <c r="Q299" s="58" t="n"/>
      <c r="R299" s="63">
        <f>IF(NOT((COUNTA($B299:$D299)+COUNTA($G299:$L299)+COUNTA($Q299))&gt;0),"",IF((IF($C299="","Falta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",""))="","✔ OK","⚠ "&amp;LEFT(IF($C299="","Falta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",""),LEN(IF($C299="","Falta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",""))-3)))</f>
        <v/>
      </c>
      <c r="S299" s="64">
        <f>IF(NOT((COUNTA($B299:$D299)+COUNTA($G299:$L299)+COUNTA($Q299))&gt;0),"",IF(AND($V299="Sub",N($U299)&gt;0),IF(ISNUMBER(INDEX($AM$5:$AM$1000,$U299-4)),DATE(YEAR(INDEX($AM$5:$AM$1000,$U299-4)),MONTH(INDEX($AM$5:$AM$1000,$U299-4)),1),IF(ISNUMBER(INDEX($AN$5:$AN$1000,$U299-4)),DATE(YEAR(INDEX($AN$5:$AN$1000,$U299-4)),MONTH(INDEX($AN$5:$AN$1000,$U299-4)),1),MesCiclo)),IF(ISNUMBER($AM299),DATE(YEAR($AM299),MONTH($AM299),1),IF(ISNUMBER($AN299),DATE(YEAR($AN299),MONTH($AN299),1),MesCiclo))))</f>
        <v/>
      </c>
      <c r="T299" s="62">
        <f>IF(OR($S299="",$S299&lt;&gt;MesCiclo),"",COUNTIF($S$5:$S299,MesCiclo))</f>
        <v/>
      </c>
      <c r="U299" s="62">
        <f>IF($V299="","",IF($V299="Macro",ROW(),IFERROR(LOOKUP(2,1/($V$5:$V299="Macro"),ROW($V$5:$V299)),0)))</f>
        <v/>
      </c>
      <c r="V299" s="62">
        <f>IF(NOT((COUNTA($B299:$D299)+COUNTA($G299:$L299)+COUNTA($Q299))&gt;0),"",IF($B299="Subactividad","Sub","Macro"))</f>
        <v/>
      </c>
      <c r="W299" s="62">
        <f>IF($V299="Macro",COUNTIFS($U$5:$U$1000,ROW(),$V$5:$V$1000,"Sub"),"")</f>
        <v/>
      </c>
      <c r="X299" s="62">
        <f>IF($V299="","",IF(ISNUMBER($G299),1,IFERROR(LOOKUP(2,1/($I299:$L299&lt;&gt;""),$I299:$L299),0)))</f>
        <v/>
      </c>
      <c r="Y299" s="62">
        <f>IF($V299="","",IF(AND(ISNUMBER($G299),$G299&lt;=IF($S299=MesCiclo,InicioCiclo,$S299+MOD(2-WEEKDAY($S299),7))+6),1,IF(ISNUMBER($I299),$I299,0)))</f>
        <v/>
      </c>
      <c r="Z299" s="62">
        <f>IF($V299="","",IF(AND(ISNUMBER($G299),$G299&lt;=IF($S299=MesCiclo,InicioCiclo,$S299+MOD(2-WEEKDAY($S299),7))+13),1,IF(ISNUMBER($J299),$J299,$Y299)))</f>
        <v/>
      </c>
      <c r="AA299" s="62">
        <f>IF($V299="","",IF(AND(ISNUMBER($G299),$G299&lt;=IF($S299=MesCiclo,InicioCiclo,$S299+MOD(2-WEEKDAY($S299),7))+20),1,IF(ISNUMBER($K299),$K299,$Z299)))</f>
        <v/>
      </c>
      <c r="AB299" s="62">
        <f>IF($V299="","",IF(AND(ISNUMBER($G299),$G299&lt;=IF($S299=MesCiclo,InicioCiclo,$S299+MOD(2-WEEKDAY($S299),7))+27),1,IF(ISNUMBER($L299),$L299,$AA299)))</f>
        <v/>
      </c>
      <c r="AC299" s="62">
        <f>IF($V299="","",IF(AND(ISNUMBER($G299),$G299&lt;=IF($S299=MesCiclo,InicioCiclo,$S299+MOD(2-WEEKDAY($S299),7))+6),1,IF(N($W299)&gt;0,AVERAGEIFS($Y$5:$Y$1000,$U$5:$U$1000,ROW(),$V$5:$V$1000,"Sub"),$Y299)))</f>
        <v/>
      </c>
      <c r="AD299" s="62">
        <f>IF($V299="","",IF(AND(ISNUMBER($G299),$G299&lt;=IF($S299=MesCiclo,InicioCiclo,$S299+MOD(2-WEEKDAY($S299),7))+13),1,IF(N($W299)&gt;0,AVERAGEIFS($Z$5:$Z$1000,$U$5:$U$1000,ROW(),$V$5:$V$1000,"Sub"),$Z299)))</f>
        <v/>
      </c>
      <c r="AE299" s="62">
        <f>IF($V299="","",IF(AND(ISNUMBER($G299),$G299&lt;=IF($S299=MesCiclo,InicioCiclo,$S299+MOD(2-WEEKDAY($S299),7))+20),1,IF(N($W299)&gt;0,AVERAGEIFS($AA$5:$AA$1000,$U$5:$U$1000,ROW(),$V$5:$V$1000,"Sub"),$AA299)))</f>
        <v/>
      </c>
      <c r="AF299" s="62">
        <f>IF($V299="","",IF(AND(ISNUMBER($G299),$G299&lt;=IF($S299=MesCiclo,InicioCiclo,$S299+MOD(2-WEEKDAY($S299),7))+27),1,IF(N($W299)&gt;0,AVERAGEIFS($AB$5:$AB$1000,$U$5:$U$1000,ROW(),$V$5:$V$1000,"Sub"),$AB299)))</f>
        <v/>
      </c>
      <c r="AG299" s="62">
        <f>IF($V299&lt;&gt;"Macro","",IF(COUNTIFS($S$5:$S$1000,$S299,$V$5:$V$1000,"Macro",$H$5:$H$1000,"&gt;0")=0,1/COUNTIFS($S$5:$S$1000,$S299,$V$5:$V$1000,"Macro"),IF(AND(ISNUMBER($H299),N($H299)&gt;0),$H299,SUMIFS($H$5:$H$1000,$S$5:$S$1000,$S299,$V$5:$V$1000,"Macro")/COUNTIFS($S$5:$S$1000,$S299,$V$5:$V$1000,"Macro",$H$5:$H$1000,"&gt;0"))/(COUNTIFS($S$5:$S$1000,$S299,$V$5:$V$1000,"Macro")*SUMIFS($H$5:$H$1000,$S$5:$S$1000,$S299,$V$5:$V$1000,"Macro")/COUNTIFS($S$5:$S$1000,$S299,$V$5:$V$1000,"Macro",$H$5:$H$1000,"&gt;0"))))</f>
        <v/>
      </c>
      <c r="AH299" s="62" t="n"/>
      <c r="AI299" s="62" t="n"/>
      <c r="AJ299" s="62" t="n"/>
      <c r="AK299" s="62" t="n"/>
      <c r="AL299" s="62">
        <f>IF(LEFT($C299,11)="[Jefatura] ",IFERROR(MATCH("Riesgo Operacional|"&amp;MID($C299,12,500),rDname_ADM,0),0),"")</f>
        <v/>
      </c>
      <c r="AM299" s="62">
        <f>IF(N($AL299)&gt;0,INDEX(rIni_ADM,$AL299),IF(ISNUMBER($E299),$E299,""))</f>
        <v/>
      </c>
      <c r="AN299" s="62">
        <f>IF(N($AL299)&gt;0,INDEX(rLim_ADM,$AL299),IF(ISNUMBER($F299),$F299,""))</f>
        <v/>
      </c>
    </row>
    <row r="300">
      <c r="A300" s="56">
        <f>IF(NOT((COUNTA($B300:$D300)+COUNTA($G300:$L300)+COUNTA($Q300))&gt;0),"",IF($V300="Macro",COUNTIFS($V$5:$V300,"Macro",$S$5:$S300,$S300),IF(N($U300)=0,"?",COUNTIFS(INDEX($V$5:$V$1000,1):INDEX($V$5:$V$1000,$U300-4),"Macro",INDEX($S$5:$S$1000,1):INDEX($S$5:$S$1000,$U300-4),INDEX($S$5:$S$1000,$U300-4))&amp;"."&amp;COUNTIFS($U$5:$U300,$U300,$V$5:$V300,"Sub"))))</f>
        <v/>
      </c>
      <c r="B300" s="57" t="n"/>
      <c r="C300" s="58" t="n"/>
      <c r="D300" s="58" t="n"/>
      <c r="E300" s="59">
        <f>IF(N($AL300)&gt;0,INDEX(rIni_ADM,$AL300),"")</f>
        <v/>
      </c>
      <c r="F300" s="59">
        <f>IF(N($AL300)&gt;0,INDEX(rLim_ADM,$AL300),"")</f>
        <v/>
      </c>
      <c r="G300" s="59" t="n"/>
      <c r="H300" s="60" t="n"/>
      <c r="I300" s="60" t="n"/>
      <c r="J300" s="60" t="n"/>
      <c r="K300" s="60" t="n"/>
      <c r="L300" s="60" t="n"/>
      <c r="M300" s="61">
        <f>IF(NOT((COUNTA($B300:$D300)+COUNTA($G300:$L300)+COUNTA($Q300))&gt;0),"",IF(ISNUMBER($G300),1,IF(N($W300)&gt;0,AVERAGEIFS($X$5:$X$1000,$U$5:$U$1000,ROW(),$V$5:$V$1000,"Sub"),$X300)))</f>
        <v/>
      </c>
      <c r="N300" s="56">
        <f>IF($M300="","",IF($M300&gt;=1,"Completado",IF($M300&gt;0,"En curso","Pendiente")))</f>
        <v/>
      </c>
      <c r="O300" s="56">
        <f>IF(NOT((COUNTA($B300:$D300)+COUNTA($G300:$L300)+COUNTA($Q300))&gt;0),"",IF(ISNUMBER($G300),IF(AND(ISNUMBER($AN300),$G300&gt;$AN300),"Cumplida con "&amp;($G300-$AN300)&amp;IF($G300-$AN300=1," día"," días")&amp;" de retraso","Cumplida"),IF(N($M300)&gt;=1,"Cumplida",IF(NOT(ISNUMBER($AN300)),"Sin fecha límite",IF($AN300&lt;FechaRef,"Vencida hace "&amp;(FechaRef-$AN300)&amp;IF(FechaRef-$AN300=1," día"," días"),IF($AN300=FechaRef,"Vence hoy",IF($AN300-FechaRef&lt;=DiasAlerta,"Vence en "&amp;($AN300-FechaRef)&amp;IF($AN300-FechaRef=1," día"," días"),"En plazo")))))))</f>
        <v/>
      </c>
      <c r="P300" s="62" t="n"/>
      <c r="Q300" s="58" t="n"/>
      <c r="R300" s="63">
        <f>IF(NOT((COUNTA($B300:$D300)+COUNTA($G300:$L300)+COUNTA($Q300))&gt;0),"",IF((IF($C300="","Falta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",""))="","✔ OK","⚠ "&amp;LEFT(IF($C300="","Falta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",""),LEN(IF($C300="","Falta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",""))-3)))</f>
        <v/>
      </c>
      <c r="S300" s="64">
        <f>IF(NOT((COUNTA($B300:$D300)+COUNTA($G300:$L300)+COUNTA($Q300))&gt;0),"",IF(AND($V300="Sub",N($U300)&gt;0),IF(ISNUMBER(INDEX($AM$5:$AM$1000,$U300-4)),DATE(YEAR(INDEX($AM$5:$AM$1000,$U300-4)),MONTH(INDEX($AM$5:$AM$1000,$U300-4)),1),IF(ISNUMBER(INDEX($AN$5:$AN$1000,$U300-4)),DATE(YEAR(INDEX($AN$5:$AN$1000,$U300-4)),MONTH(INDEX($AN$5:$AN$1000,$U300-4)),1),MesCiclo)),IF(ISNUMBER($AM300),DATE(YEAR($AM300),MONTH($AM300),1),IF(ISNUMBER($AN300),DATE(YEAR($AN300),MONTH($AN300),1),MesCiclo))))</f>
        <v/>
      </c>
      <c r="T300" s="62">
        <f>IF(OR($S300="",$S300&lt;&gt;MesCiclo),"",COUNTIF($S$5:$S300,MesCiclo))</f>
        <v/>
      </c>
      <c r="U300" s="62">
        <f>IF($V300="","",IF($V300="Macro",ROW(),IFERROR(LOOKUP(2,1/($V$5:$V300="Macro"),ROW($V$5:$V300)),0)))</f>
        <v/>
      </c>
      <c r="V300" s="62">
        <f>IF(NOT((COUNTA($B300:$D300)+COUNTA($G300:$L300)+COUNTA($Q300))&gt;0),"",IF($B300="Subactividad","Sub","Macro"))</f>
        <v/>
      </c>
      <c r="W300" s="62">
        <f>IF($V300="Macro",COUNTIFS($U$5:$U$1000,ROW(),$V$5:$V$1000,"Sub"),"")</f>
        <v/>
      </c>
      <c r="X300" s="62">
        <f>IF($V300="","",IF(ISNUMBER($G300),1,IFERROR(LOOKUP(2,1/($I300:$L300&lt;&gt;""),$I300:$L300),0)))</f>
        <v/>
      </c>
      <c r="Y300" s="62">
        <f>IF($V300="","",IF(AND(ISNUMBER($G300),$G300&lt;=IF($S300=MesCiclo,InicioCiclo,$S300+MOD(2-WEEKDAY($S300),7))+6),1,IF(ISNUMBER($I300),$I300,0)))</f>
        <v/>
      </c>
      <c r="Z300" s="62">
        <f>IF($V300="","",IF(AND(ISNUMBER($G300),$G300&lt;=IF($S300=MesCiclo,InicioCiclo,$S300+MOD(2-WEEKDAY($S300),7))+13),1,IF(ISNUMBER($J300),$J300,$Y300)))</f>
        <v/>
      </c>
      <c r="AA300" s="62">
        <f>IF($V300="","",IF(AND(ISNUMBER($G300),$G300&lt;=IF($S300=MesCiclo,InicioCiclo,$S300+MOD(2-WEEKDAY($S300),7))+20),1,IF(ISNUMBER($K300),$K300,$Z300)))</f>
        <v/>
      </c>
      <c r="AB300" s="62">
        <f>IF($V300="","",IF(AND(ISNUMBER($G300),$G300&lt;=IF($S300=MesCiclo,InicioCiclo,$S300+MOD(2-WEEKDAY($S300),7))+27),1,IF(ISNUMBER($L300),$L300,$AA300)))</f>
        <v/>
      </c>
      <c r="AC300" s="62">
        <f>IF($V300="","",IF(AND(ISNUMBER($G300),$G300&lt;=IF($S300=MesCiclo,InicioCiclo,$S300+MOD(2-WEEKDAY($S300),7))+6),1,IF(N($W300)&gt;0,AVERAGEIFS($Y$5:$Y$1000,$U$5:$U$1000,ROW(),$V$5:$V$1000,"Sub"),$Y300)))</f>
        <v/>
      </c>
      <c r="AD300" s="62">
        <f>IF($V300="","",IF(AND(ISNUMBER($G300),$G300&lt;=IF($S300=MesCiclo,InicioCiclo,$S300+MOD(2-WEEKDAY($S300),7))+13),1,IF(N($W300)&gt;0,AVERAGEIFS($Z$5:$Z$1000,$U$5:$U$1000,ROW(),$V$5:$V$1000,"Sub"),$Z300)))</f>
        <v/>
      </c>
      <c r="AE300" s="62">
        <f>IF($V300="","",IF(AND(ISNUMBER($G300),$G300&lt;=IF($S300=MesCiclo,InicioCiclo,$S300+MOD(2-WEEKDAY($S300),7))+20),1,IF(N($W300)&gt;0,AVERAGEIFS($AA$5:$AA$1000,$U$5:$U$1000,ROW(),$V$5:$V$1000,"Sub"),$AA300)))</f>
        <v/>
      </c>
      <c r="AF300" s="62">
        <f>IF($V300="","",IF(AND(ISNUMBER($G300),$G300&lt;=IF($S300=MesCiclo,InicioCiclo,$S300+MOD(2-WEEKDAY($S300),7))+27),1,IF(N($W300)&gt;0,AVERAGEIFS($AB$5:$AB$1000,$U$5:$U$1000,ROW(),$V$5:$V$1000,"Sub"),$AB300)))</f>
        <v/>
      </c>
      <c r="AG300" s="62">
        <f>IF($V300&lt;&gt;"Macro","",IF(COUNTIFS($S$5:$S$1000,$S300,$V$5:$V$1000,"Macro",$H$5:$H$1000,"&gt;0")=0,1/COUNTIFS($S$5:$S$1000,$S300,$V$5:$V$1000,"Macro"),IF(AND(ISNUMBER($H300),N($H300)&gt;0),$H300,SUMIFS($H$5:$H$1000,$S$5:$S$1000,$S300,$V$5:$V$1000,"Macro")/COUNTIFS($S$5:$S$1000,$S300,$V$5:$V$1000,"Macro",$H$5:$H$1000,"&gt;0"))/(COUNTIFS($S$5:$S$1000,$S300,$V$5:$V$1000,"Macro")*SUMIFS($H$5:$H$1000,$S$5:$S$1000,$S300,$V$5:$V$1000,"Macro")/COUNTIFS($S$5:$S$1000,$S300,$V$5:$V$1000,"Macro",$H$5:$H$1000,"&gt;0"))))</f>
        <v/>
      </c>
      <c r="AH300" s="62" t="n"/>
      <c r="AI300" s="62" t="n"/>
      <c r="AJ300" s="62" t="n"/>
      <c r="AK300" s="62" t="n"/>
      <c r="AL300" s="62">
        <f>IF(LEFT($C300,11)="[Jefatura] ",IFERROR(MATCH("Riesgo Operacional|"&amp;MID($C300,12,500),rDname_ADM,0),0),"")</f>
        <v/>
      </c>
      <c r="AM300" s="62">
        <f>IF(N($AL300)&gt;0,INDEX(rIni_ADM,$AL300),IF(ISNUMBER($E300),$E300,""))</f>
        <v/>
      </c>
      <c r="AN300" s="62">
        <f>IF(N($AL300)&gt;0,INDEX(rLim_ADM,$AL300),IF(ISNUMBER($F300),$F300,""))</f>
        <v/>
      </c>
    </row>
    <row r="301">
      <c r="A301" s="56">
        <f>IF(NOT((COUNTA($B301:$D301)+COUNTA($G301:$L301)+COUNTA($Q301))&gt;0),"",IF($V301="Macro",COUNTIFS($V$5:$V301,"Macro",$S$5:$S301,$S301),IF(N($U301)=0,"?",COUNTIFS(INDEX($V$5:$V$1000,1):INDEX($V$5:$V$1000,$U301-4),"Macro",INDEX($S$5:$S$1000,1):INDEX($S$5:$S$1000,$U301-4),INDEX($S$5:$S$1000,$U301-4))&amp;"."&amp;COUNTIFS($U$5:$U301,$U301,$V$5:$V301,"Sub"))))</f>
        <v/>
      </c>
      <c r="B301" s="57" t="n"/>
      <c r="C301" s="58" t="n"/>
      <c r="D301" s="58" t="n"/>
      <c r="E301" s="59">
        <f>IF(N($AL301)&gt;0,INDEX(rIni_ADM,$AL301),"")</f>
        <v/>
      </c>
      <c r="F301" s="59">
        <f>IF(N($AL301)&gt;0,INDEX(rLim_ADM,$AL301),"")</f>
        <v/>
      </c>
      <c r="G301" s="59" t="n"/>
      <c r="H301" s="60" t="n"/>
      <c r="I301" s="60" t="n"/>
      <c r="J301" s="60" t="n"/>
      <c r="K301" s="60" t="n"/>
      <c r="L301" s="60" t="n"/>
      <c r="M301" s="61">
        <f>IF(NOT((COUNTA($B301:$D301)+COUNTA($G301:$L301)+COUNTA($Q301))&gt;0),"",IF(ISNUMBER($G301),1,IF(N($W301)&gt;0,AVERAGEIFS($X$5:$X$1000,$U$5:$U$1000,ROW(),$V$5:$V$1000,"Sub"),$X301)))</f>
        <v/>
      </c>
      <c r="N301" s="56">
        <f>IF($M301="","",IF($M301&gt;=1,"Completado",IF($M301&gt;0,"En curso","Pendiente")))</f>
        <v/>
      </c>
      <c r="O301" s="56">
        <f>IF(NOT((COUNTA($B301:$D301)+COUNTA($G301:$L301)+COUNTA($Q301))&gt;0),"",IF(ISNUMBER($G301),IF(AND(ISNUMBER($AN301),$G301&gt;$AN301),"Cumplida con "&amp;($G301-$AN301)&amp;IF($G301-$AN301=1," día"," días")&amp;" de retraso","Cumplida"),IF(N($M301)&gt;=1,"Cumplida",IF(NOT(ISNUMBER($AN301)),"Sin fecha límite",IF($AN301&lt;FechaRef,"Vencida hace "&amp;(FechaRef-$AN301)&amp;IF(FechaRef-$AN301=1," día"," días"),IF($AN301=FechaRef,"Vence hoy",IF($AN301-FechaRef&lt;=DiasAlerta,"Vence en "&amp;($AN301-FechaRef)&amp;IF($AN301-FechaRef=1," día"," días"),"En plazo")))))))</f>
        <v/>
      </c>
      <c r="P301" s="62" t="n"/>
      <c r="Q301" s="58" t="n"/>
      <c r="R301" s="63">
        <f>IF(NOT((COUNTA($B301:$D301)+COUNTA($G301:$L301)+COUNTA($Q301))&gt;0),"",IF((IF($C301="","Falta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",""))="","✔ OK","⚠ "&amp;LEFT(IF($C301="","Falta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",""),LEN(IF($C301="","Falta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",""))-3)))</f>
        <v/>
      </c>
      <c r="S301" s="64">
        <f>IF(NOT((COUNTA($B301:$D301)+COUNTA($G301:$L301)+COUNTA($Q301))&gt;0),"",IF(AND($V301="Sub",N($U301)&gt;0),IF(ISNUMBER(INDEX($AM$5:$AM$1000,$U301-4)),DATE(YEAR(INDEX($AM$5:$AM$1000,$U301-4)),MONTH(INDEX($AM$5:$AM$1000,$U301-4)),1),IF(ISNUMBER(INDEX($AN$5:$AN$1000,$U301-4)),DATE(YEAR(INDEX($AN$5:$AN$1000,$U301-4)),MONTH(INDEX($AN$5:$AN$1000,$U301-4)),1),MesCiclo)),IF(ISNUMBER($AM301),DATE(YEAR($AM301),MONTH($AM301),1),IF(ISNUMBER($AN301),DATE(YEAR($AN301),MONTH($AN301),1),MesCiclo))))</f>
        <v/>
      </c>
      <c r="T301" s="62">
        <f>IF(OR($S301="",$S301&lt;&gt;MesCiclo),"",COUNTIF($S$5:$S301,MesCiclo))</f>
        <v/>
      </c>
      <c r="U301" s="62">
        <f>IF($V301="","",IF($V301="Macro",ROW(),IFERROR(LOOKUP(2,1/($V$5:$V301="Macro"),ROW($V$5:$V301)),0)))</f>
        <v/>
      </c>
      <c r="V301" s="62">
        <f>IF(NOT((COUNTA($B301:$D301)+COUNTA($G301:$L301)+COUNTA($Q301))&gt;0),"",IF($B301="Subactividad","Sub","Macro"))</f>
        <v/>
      </c>
      <c r="W301" s="62">
        <f>IF($V301="Macro",COUNTIFS($U$5:$U$1000,ROW(),$V$5:$V$1000,"Sub"),"")</f>
        <v/>
      </c>
      <c r="X301" s="62">
        <f>IF($V301="","",IF(ISNUMBER($G301),1,IFERROR(LOOKUP(2,1/($I301:$L301&lt;&gt;""),$I301:$L301),0)))</f>
        <v/>
      </c>
      <c r="Y301" s="62">
        <f>IF($V301="","",IF(AND(ISNUMBER($G301),$G301&lt;=IF($S301=MesCiclo,InicioCiclo,$S301+MOD(2-WEEKDAY($S301),7))+6),1,IF(ISNUMBER($I301),$I301,0)))</f>
        <v/>
      </c>
      <c r="Z301" s="62">
        <f>IF($V301="","",IF(AND(ISNUMBER($G301),$G301&lt;=IF($S301=MesCiclo,InicioCiclo,$S301+MOD(2-WEEKDAY($S301),7))+13),1,IF(ISNUMBER($J301),$J301,$Y301)))</f>
        <v/>
      </c>
      <c r="AA301" s="62">
        <f>IF($V301="","",IF(AND(ISNUMBER($G301),$G301&lt;=IF($S301=MesCiclo,InicioCiclo,$S301+MOD(2-WEEKDAY($S301),7))+20),1,IF(ISNUMBER($K301),$K301,$Z301)))</f>
        <v/>
      </c>
      <c r="AB301" s="62">
        <f>IF($V301="","",IF(AND(ISNUMBER($G301),$G301&lt;=IF($S301=MesCiclo,InicioCiclo,$S301+MOD(2-WEEKDAY($S301),7))+27),1,IF(ISNUMBER($L301),$L301,$AA301)))</f>
        <v/>
      </c>
      <c r="AC301" s="62">
        <f>IF($V301="","",IF(AND(ISNUMBER($G301),$G301&lt;=IF($S301=MesCiclo,InicioCiclo,$S301+MOD(2-WEEKDAY($S301),7))+6),1,IF(N($W301)&gt;0,AVERAGEIFS($Y$5:$Y$1000,$U$5:$U$1000,ROW(),$V$5:$V$1000,"Sub"),$Y301)))</f>
        <v/>
      </c>
      <c r="AD301" s="62">
        <f>IF($V301="","",IF(AND(ISNUMBER($G301),$G301&lt;=IF($S301=MesCiclo,InicioCiclo,$S301+MOD(2-WEEKDAY($S301),7))+13),1,IF(N($W301)&gt;0,AVERAGEIFS($Z$5:$Z$1000,$U$5:$U$1000,ROW(),$V$5:$V$1000,"Sub"),$Z301)))</f>
        <v/>
      </c>
      <c r="AE301" s="62">
        <f>IF($V301="","",IF(AND(ISNUMBER($G301),$G301&lt;=IF($S301=MesCiclo,InicioCiclo,$S301+MOD(2-WEEKDAY($S301),7))+20),1,IF(N($W301)&gt;0,AVERAGEIFS($AA$5:$AA$1000,$U$5:$U$1000,ROW(),$V$5:$V$1000,"Sub"),$AA301)))</f>
        <v/>
      </c>
      <c r="AF301" s="62">
        <f>IF($V301="","",IF(AND(ISNUMBER($G301),$G301&lt;=IF($S301=MesCiclo,InicioCiclo,$S301+MOD(2-WEEKDAY($S301),7))+27),1,IF(N($W301)&gt;0,AVERAGEIFS($AB$5:$AB$1000,$U$5:$U$1000,ROW(),$V$5:$V$1000,"Sub"),$AB301)))</f>
        <v/>
      </c>
      <c r="AG301" s="62">
        <f>IF($V301&lt;&gt;"Macro","",IF(COUNTIFS($S$5:$S$1000,$S301,$V$5:$V$1000,"Macro",$H$5:$H$1000,"&gt;0")=0,1/COUNTIFS($S$5:$S$1000,$S301,$V$5:$V$1000,"Macro"),IF(AND(ISNUMBER($H301),N($H301)&gt;0),$H301,SUMIFS($H$5:$H$1000,$S$5:$S$1000,$S301,$V$5:$V$1000,"Macro")/COUNTIFS($S$5:$S$1000,$S301,$V$5:$V$1000,"Macro",$H$5:$H$1000,"&gt;0"))/(COUNTIFS($S$5:$S$1000,$S301,$V$5:$V$1000,"Macro")*SUMIFS($H$5:$H$1000,$S$5:$S$1000,$S301,$V$5:$V$1000,"Macro")/COUNTIFS($S$5:$S$1000,$S301,$V$5:$V$1000,"Macro",$H$5:$H$1000,"&gt;0"))))</f>
        <v/>
      </c>
      <c r="AH301" s="62" t="n"/>
      <c r="AI301" s="62" t="n"/>
      <c r="AJ301" s="62" t="n"/>
      <c r="AK301" s="62" t="n"/>
      <c r="AL301" s="62">
        <f>IF(LEFT($C301,11)="[Jefatura] ",IFERROR(MATCH("Riesgo Operacional|"&amp;MID($C301,12,500),rDname_ADM,0),0),"")</f>
        <v/>
      </c>
      <c r="AM301" s="62">
        <f>IF(N($AL301)&gt;0,INDEX(rIni_ADM,$AL301),IF(ISNUMBER($E301),$E301,""))</f>
        <v/>
      </c>
      <c r="AN301" s="62">
        <f>IF(N($AL301)&gt;0,INDEX(rLim_ADM,$AL301),IF(ISNUMBER($F301),$F301,""))</f>
        <v/>
      </c>
    </row>
    <row r="302">
      <c r="A302" s="56">
        <f>IF(NOT((COUNTA($B302:$D302)+COUNTA($G302:$L302)+COUNTA($Q302))&gt;0),"",IF($V302="Macro",COUNTIFS($V$5:$V302,"Macro",$S$5:$S302,$S302),IF(N($U302)=0,"?",COUNTIFS(INDEX($V$5:$V$1000,1):INDEX($V$5:$V$1000,$U302-4),"Macro",INDEX($S$5:$S$1000,1):INDEX($S$5:$S$1000,$U302-4),INDEX($S$5:$S$1000,$U302-4))&amp;"."&amp;COUNTIFS($U$5:$U302,$U302,$V$5:$V302,"Sub"))))</f>
        <v/>
      </c>
      <c r="B302" s="57" t="n"/>
      <c r="C302" s="58" t="n"/>
      <c r="D302" s="58" t="n"/>
      <c r="E302" s="59">
        <f>IF(N($AL302)&gt;0,INDEX(rIni_ADM,$AL302),"")</f>
        <v/>
      </c>
      <c r="F302" s="59">
        <f>IF(N($AL302)&gt;0,INDEX(rLim_ADM,$AL302),"")</f>
        <v/>
      </c>
      <c r="G302" s="59" t="n"/>
      <c r="H302" s="60" t="n"/>
      <c r="I302" s="60" t="n"/>
      <c r="J302" s="60" t="n"/>
      <c r="K302" s="60" t="n"/>
      <c r="L302" s="60" t="n"/>
      <c r="M302" s="61">
        <f>IF(NOT((COUNTA($B302:$D302)+COUNTA($G302:$L302)+COUNTA($Q302))&gt;0),"",IF(ISNUMBER($G302),1,IF(N($W302)&gt;0,AVERAGEIFS($X$5:$X$1000,$U$5:$U$1000,ROW(),$V$5:$V$1000,"Sub"),$X302)))</f>
        <v/>
      </c>
      <c r="N302" s="56">
        <f>IF($M302="","",IF($M302&gt;=1,"Completado",IF($M302&gt;0,"En curso","Pendiente")))</f>
        <v/>
      </c>
      <c r="O302" s="56">
        <f>IF(NOT((COUNTA($B302:$D302)+COUNTA($G302:$L302)+COUNTA($Q302))&gt;0),"",IF(ISNUMBER($G302),IF(AND(ISNUMBER($AN302),$G302&gt;$AN302),"Cumplida con "&amp;($G302-$AN302)&amp;IF($G302-$AN302=1," día"," días")&amp;" de retraso","Cumplida"),IF(N($M302)&gt;=1,"Cumplida",IF(NOT(ISNUMBER($AN302)),"Sin fecha límite",IF($AN302&lt;FechaRef,"Vencida hace "&amp;(FechaRef-$AN302)&amp;IF(FechaRef-$AN302=1," día"," días"),IF($AN302=FechaRef,"Vence hoy",IF($AN302-FechaRef&lt;=DiasAlerta,"Vence en "&amp;($AN302-FechaRef)&amp;IF($AN302-FechaRef=1," día"," días"),"En plazo")))))))</f>
        <v/>
      </c>
      <c r="P302" s="62" t="n"/>
      <c r="Q302" s="58" t="n"/>
      <c r="R302" s="63">
        <f>IF(NOT((COUNTA($B302:$D302)+COUNTA($G302:$L302)+COUNTA($Q302))&gt;0),"",IF((IF($C302="","Falta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",""))="","✔ OK","⚠ "&amp;LEFT(IF($C302="","Falta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",""),LEN(IF($C302="","Falta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",""))-3)))</f>
        <v/>
      </c>
      <c r="S302" s="64">
        <f>IF(NOT((COUNTA($B302:$D302)+COUNTA($G302:$L302)+COUNTA($Q302))&gt;0),"",IF(AND($V302="Sub",N($U302)&gt;0),IF(ISNUMBER(INDEX($AM$5:$AM$1000,$U302-4)),DATE(YEAR(INDEX($AM$5:$AM$1000,$U302-4)),MONTH(INDEX($AM$5:$AM$1000,$U302-4)),1),IF(ISNUMBER(INDEX($AN$5:$AN$1000,$U302-4)),DATE(YEAR(INDEX($AN$5:$AN$1000,$U302-4)),MONTH(INDEX($AN$5:$AN$1000,$U302-4)),1),MesCiclo)),IF(ISNUMBER($AM302),DATE(YEAR($AM302),MONTH($AM302),1),IF(ISNUMBER($AN302),DATE(YEAR($AN302),MONTH($AN302),1),MesCiclo))))</f>
        <v/>
      </c>
      <c r="T302" s="62">
        <f>IF(OR($S302="",$S302&lt;&gt;MesCiclo),"",COUNTIF($S$5:$S302,MesCiclo))</f>
        <v/>
      </c>
      <c r="U302" s="62">
        <f>IF($V302="","",IF($V302="Macro",ROW(),IFERROR(LOOKUP(2,1/($V$5:$V302="Macro"),ROW($V$5:$V302)),0)))</f>
        <v/>
      </c>
      <c r="V302" s="62">
        <f>IF(NOT((COUNTA($B302:$D302)+COUNTA($G302:$L302)+COUNTA($Q302))&gt;0),"",IF($B302="Subactividad","Sub","Macro"))</f>
        <v/>
      </c>
      <c r="W302" s="62">
        <f>IF($V302="Macro",COUNTIFS($U$5:$U$1000,ROW(),$V$5:$V$1000,"Sub"),"")</f>
        <v/>
      </c>
      <c r="X302" s="62">
        <f>IF($V302="","",IF(ISNUMBER($G302),1,IFERROR(LOOKUP(2,1/($I302:$L302&lt;&gt;""),$I302:$L302),0)))</f>
        <v/>
      </c>
      <c r="Y302" s="62">
        <f>IF($V302="","",IF(AND(ISNUMBER($G302),$G302&lt;=IF($S302=MesCiclo,InicioCiclo,$S302+MOD(2-WEEKDAY($S302),7))+6),1,IF(ISNUMBER($I302),$I302,0)))</f>
        <v/>
      </c>
      <c r="Z302" s="62">
        <f>IF($V302="","",IF(AND(ISNUMBER($G302),$G302&lt;=IF($S302=MesCiclo,InicioCiclo,$S302+MOD(2-WEEKDAY($S302),7))+13),1,IF(ISNUMBER($J302),$J302,$Y302)))</f>
        <v/>
      </c>
      <c r="AA302" s="62">
        <f>IF($V302="","",IF(AND(ISNUMBER($G302),$G302&lt;=IF($S302=MesCiclo,InicioCiclo,$S302+MOD(2-WEEKDAY($S302),7))+20),1,IF(ISNUMBER($K302),$K302,$Z302)))</f>
        <v/>
      </c>
      <c r="AB302" s="62">
        <f>IF($V302="","",IF(AND(ISNUMBER($G302),$G302&lt;=IF($S302=MesCiclo,InicioCiclo,$S302+MOD(2-WEEKDAY($S302),7))+27),1,IF(ISNUMBER($L302),$L302,$AA302)))</f>
        <v/>
      </c>
      <c r="AC302" s="62">
        <f>IF($V302="","",IF(AND(ISNUMBER($G302),$G302&lt;=IF($S302=MesCiclo,InicioCiclo,$S302+MOD(2-WEEKDAY($S302),7))+6),1,IF(N($W302)&gt;0,AVERAGEIFS($Y$5:$Y$1000,$U$5:$U$1000,ROW(),$V$5:$V$1000,"Sub"),$Y302)))</f>
        <v/>
      </c>
      <c r="AD302" s="62">
        <f>IF($V302="","",IF(AND(ISNUMBER($G302),$G302&lt;=IF($S302=MesCiclo,InicioCiclo,$S302+MOD(2-WEEKDAY($S302),7))+13),1,IF(N($W302)&gt;0,AVERAGEIFS($Z$5:$Z$1000,$U$5:$U$1000,ROW(),$V$5:$V$1000,"Sub"),$Z302)))</f>
        <v/>
      </c>
      <c r="AE302" s="62">
        <f>IF($V302="","",IF(AND(ISNUMBER($G302),$G302&lt;=IF($S302=MesCiclo,InicioCiclo,$S302+MOD(2-WEEKDAY($S302),7))+20),1,IF(N($W302)&gt;0,AVERAGEIFS($AA$5:$AA$1000,$U$5:$U$1000,ROW(),$V$5:$V$1000,"Sub"),$AA302)))</f>
        <v/>
      </c>
      <c r="AF302" s="62">
        <f>IF($V302="","",IF(AND(ISNUMBER($G302),$G302&lt;=IF($S302=MesCiclo,InicioCiclo,$S302+MOD(2-WEEKDAY($S302),7))+27),1,IF(N($W302)&gt;0,AVERAGEIFS($AB$5:$AB$1000,$U$5:$U$1000,ROW(),$V$5:$V$1000,"Sub"),$AB302)))</f>
        <v/>
      </c>
      <c r="AG302" s="62">
        <f>IF($V302&lt;&gt;"Macro","",IF(COUNTIFS($S$5:$S$1000,$S302,$V$5:$V$1000,"Macro",$H$5:$H$1000,"&gt;0")=0,1/COUNTIFS($S$5:$S$1000,$S302,$V$5:$V$1000,"Macro"),IF(AND(ISNUMBER($H302),N($H302)&gt;0),$H302,SUMIFS($H$5:$H$1000,$S$5:$S$1000,$S302,$V$5:$V$1000,"Macro")/COUNTIFS($S$5:$S$1000,$S302,$V$5:$V$1000,"Macro",$H$5:$H$1000,"&gt;0"))/(COUNTIFS($S$5:$S$1000,$S302,$V$5:$V$1000,"Macro")*SUMIFS($H$5:$H$1000,$S$5:$S$1000,$S302,$V$5:$V$1000,"Macro")/COUNTIFS($S$5:$S$1000,$S302,$V$5:$V$1000,"Macro",$H$5:$H$1000,"&gt;0"))))</f>
        <v/>
      </c>
      <c r="AH302" s="62" t="n"/>
      <c r="AI302" s="62" t="n"/>
      <c r="AJ302" s="62" t="n"/>
      <c r="AK302" s="62" t="n"/>
      <c r="AL302" s="62">
        <f>IF(LEFT($C302,11)="[Jefatura] ",IFERROR(MATCH("Riesgo Operacional|"&amp;MID($C302,12,500),rDname_ADM,0),0),"")</f>
        <v/>
      </c>
      <c r="AM302" s="62">
        <f>IF(N($AL302)&gt;0,INDEX(rIni_ADM,$AL302),IF(ISNUMBER($E302),$E302,""))</f>
        <v/>
      </c>
      <c r="AN302" s="62">
        <f>IF(N($AL302)&gt;0,INDEX(rLim_ADM,$AL302),IF(ISNUMBER($F302),$F302,""))</f>
        <v/>
      </c>
    </row>
    <row r="303">
      <c r="A303" s="56">
        <f>IF(NOT((COUNTA($B303:$D303)+COUNTA($G303:$L303)+COUNTA($Q303))&gt;0),"",IF($V303="Macro",COUNTIFS($V$5:$V303,"Macro",$S$5:$S303,$S303),IF(N($U303)=0,"?",COUNTIFS(INDEX($V$5:$V$1000,1):INDEX($V$5:$V$1000,$U303-4),"Macro",INDEX($S$5:$S$1000,1):INDEX($S$5:$S$1000,$U303-4),INDEX($S$5:$S$1000,$U303-4))&amp;"."&amp;COUNTIFS($U$5:$U303,$U303,$V$5:$V303,"Sub"))))</f>
        <v/>
      </c>
      <c r="B303" s="57" t="n"/>
      <c r="C303" s="58" t="n"/>
      <c r="D303" s="58" t="n"/>
      <c r="E303" s="59">
        <f>IF(N($AL303)&gt;0,INDEX(rIni_ADM,$AL303),"")</f>
        <v/>
      </c>
      <c r="F303" s="59">
        <f>IF(N($AL303)&gt;0,INDEX(rLim_ADM,$AL303),"")</f>
        <v/>
      </c>
      <c r="G303" s="59" t="n"/>
      <c r="H303" s="60" t="n"/>
      <c r="I303" s="60" t="n"/>
      <c r="J303" s="60" t="n"/>
      <c r="K303" s="60" t="n"/>
      <c r="L303" s="60" t="n"/>
      <c r="M303" s="61">
        <f>IF(NOT((COUNTA($B303:$D303)+COUNTA($G303:$L303)+COUNTA($Q303))&gt;0),"",IF(ISNUMBER($G303),1,IF(N($W303)&gt;0,AVERAGEIFS($X$5:$X$1000,$U$5:$U$1000,ROW(),$V$5:$V$1000,"Sub"),$X303)))</f>
        <v/>
      </c>
      <c r="N303" s="56">
        <f>IF($M303="","",IF($M303&gt;=1,"Completado",IF($M303&gt;0,"En curso","Pendiente")))</f>
        <v/>
      </c>
      <c r="O303" s="56">
        <f>IF(NOT((COUNTA($B303:$D303)+COUNTA($G303:$L303)+COUNTA($Q303))&gt;0),"",IF(ISNUMBER($G303),IF(AND(ISNUMBER($AN303),$G303&gt;$AN303),"Cumplida con "&amp;($G303-$AN303)&amp;IF($G303-$AN303=1," día"," días")&amp;" de retraso","Cumplida"),IF(N($M303)&gt;=1,"Cumplida",IF(NOT(ISNUMBER($AN303)),"Sin fecha límite",IF($AN303&lt;FechaRef,"Vencida hace "&amp;(FechaRef-$AN303)&amp;IF(FechaRef-$AN303=1," día"," días"),IF($AN303=FechaRef,"Vence hoy",IF($AN303-FechaRef&lt;=DiasAlerta,"Vence en "&amp;($AN303-FechaRef)&amp;IF($AN303-FechaRef=1," día"," días"),"En plazo")))))))</f>
        <v/>
      </c>
      <c r="P303" s="62" t="n"/>
      <c r="Q303" s="58" t="n"/>
      <c r="R303" s="63">
        <f>IF(NOT((COUNTA($B303:$D303)+COUNTA($G303:$L303)+COUNTA($Q303))&gt;0),"",IF((IF($C303="","Falta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",""))="","✔ OK","⚠ "&amp;LEFT(IF($C303="","Falta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",""),LEN(IF($C303="","Falta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",""))-3)))</f>
        <v/>
      </c>
      <c r="S303" s="64">
        <f>IF(NOT((COUNTA($B303:$D303)+COUNTA($G303:$L303)+COUNTA($Q303))&gt;0),"",IF(AND($V303="Sub",N($U303)&gt;0),IF(ISNUMBER(INDEX($AM$5:$AM$1000,$U303-4)),DATE(YEAR(INDEX($AM$5:$AM$1000,$U303-4)),MONTH(INDEX($AM$5:$AM$1000,$U303-4)),1),IF(ISNUMBER(INDEX($AN$5:$AN$1000,$U303-4)),DATE(YEAR(INDEX($AN$5:$AN$1000,$U303-4)),MONTH(INDEX($AN$5:$AN$1000,$U303-4)),1),MesCiclo)),IF(ISNUMBER($AM303),DATE(YEAR($AM303),MONTH($AM303),1),IF(ISNUMBER($AN303),DATE(YEAR($AN303),MONTH($AN303),1),MesCiclo))))</f>
        <v/>
      </c>
      <c r="T303" s="62">
        <f>IF(OR($S303="",$S303&lt;&gt;MesCiclo),"",COUNTIF($S$5:$S303,MesCiclo))</f>
        <v/>
      </c>
      <c r="U303" s="62">
        <f>IF($V303="","",IF($V303="Macro",ROW(),IFERROR(LOOKUP(2,1/($V$5:$V303="Macro"),ROW($V$5:$V303)),0)))</f>
        <v/>
      </c>
      <c r="V303" s="62">
        <f>IF(NOT((COUNTA($B303:$D303)+COUNTA($G303:$L303)+COUNTA($Q303))&gt;0),"",IF($B303="Subactividad","Sub","Macro"))</f>
        <v/>
      </c>
      <c r="W303" s="62">
        <f>IF($V303="Macro",COUNTIFS($U$5:$U$1000,ROW(),$V$5:$V$1000,"Sub"),"")</f>
        <v/>
      </c>
      <c r="X303" s="62">
        <f>IF($V303="","",IF(ISNUMBER($G303),1,IFERROR(LOOKUP(2,1/($I303:$L303&lt;&gt;""),$I303:$L303),0)))</f>
        <v/>
      </c>
      <c r="Y303" s="62">
        <f>IF($V303="","",IF(AND(ISNUMBER($G303),$G303&lt;=IF($S303=MesCiclo,InicioCiclo,$S303+MOD(2-WEEKDAY($S303),7))+6),1,IF(ISNUMBER($I303),$I303,0)))</f>
        <v/>
      </c>
      <c r="Z303" s="62">
        <f>IF($V303="","",IF(AND(ISNUMBER($G303),$G303&lt;=IF($S303=MesCiclo,InicioCiclo,$S303+MOD(2-WEEKDAY($S303),7))+13),1,IF(ISNUMBER($J303),$J303,$Y303)))</f>
        <v/>
      </c>
      <c r="AA303" s="62">
        <f>IF($V303="","",IF(AND(ISNUMBER($G303),$G303&lt;=IF($S303=MesCiclo,InicioCiclo,$S303+MOD(2-WEEKDAY($S303),7))+20),1,IF(ISNUMBER($K303),$K303,$Z303)))</f>
        <v/>
      </c>
      <c r="AB303" s="62">
        <f>IF($V303="","",IF(AND(ISNUMBER($G303),$G303&lt;=IF($S303=MesCiclo,InicioCiclo,$S303+MOD(2-WEEKDAY($S303),7))+27),1,IF(ISNUMBER($L303),$L303,$AA303)))</f>
        <v/>
      </c>
      <c r="AC303" s="62">
        <f>IF($V303="","",IF(AND(ISNUMBER($G303),$G303&lt;=IF($S303=MesCiclo,InicioCiclo,$S303+MOD(2-WEEKDAY($S303),7))+6),1,IF(N($W303)&gt;0,AVERAGEIFS($Y$5:$Y$1000,$U$5:$U$1000,ROW(),$V$5:$V$1000,"Sub"),$Y303)))</f>
        <v/>
      </c>
      <c r="AD303" s="62">
        <f>IF($V303="","",IF(AND(ISNUMBER($G303),$G303&lt;=IF($S303=MesCiclo,InicioCiclo,$S303+MOD(2-WEEKDAY($S303),7))+13),1,IF(N($W303)&gt;0,AVERAGEIFS($Z$5:$Z$1000,$U$5:$U$1000,ROW(),$V$5:$V$1000,"Sub"),$Z303)))</f>
        <v/>
      </c>
      <c r="AE303" s="62">
        <f>IF($V303="","",IF(AND(ISNUMBER($G303),$G303&lt;=IF($S303=MesCiclo,InicioCiclo,$S303+MOD(2-WEEKDAY($S303),7))+20),1,IF(N($W303)&gt;0,AVERAGEIFS($AA$5:$AA$1000,$U$5:$U$1000,ROW(),$V$5:$V$1000,"Sub"),$AA303)))</f>
        <v/>
      </c>
      <c r="AF303" s="62">
        <f>IF($V303="","",IF(AND(ISNUMBER($G303),$G303&lt;=IF($S303=MesCiclo,InicioCiclo,$S303+MOD(2-WEEKDAY($S303),7))+27),1,IF(N($W303)&gt;0,AVERAGEIFS($AB$5:$AB$1000,$U$5:$U$1000,ROW(),$V$5:$V$1000,"Sub"),$AB303)))</f>
        <v/>
      </c>
      <c r="AG303" s="62">
        <f>IF($V303&lt;&gt;"Macro","",IF(COUNTIFS($S$5:$S$1000,$S303,$V$5:$V$1000,"Macro",$H$5:$H$1000,"&gt;0")=0,1/COUNTIFS($S$5:$S$1000,$S303,$V$5:$V$1000,"Macro"),IF(AND(ISNUMBER($H303),N($H303)&gt;0),$H303,SUMIFS($H$5:$H$1000,$S$5:$S$1000,$S303,$V$5:$V$1000,"Macro")/COUNTIFS($S$5:$S$1000,$S303,$V$5:$V$1000,"Macro",$H$5:$H$1000,"&gt;0"))/(COUNTIFS($S$5:$S$1000,$S303,$V$5:$V$1000,"Macro")*SUMIFS($H$5:$H$1000,$S$5:$S$1000,$S303,$V$5:$V$1000,"Macro")/COUNTIFS($S$5:$S$1000,$S303,$V$5:$V$1000,"Macro",$H$5:$H$1000,"&gt;0"))))</f>
        <v/>
      </c>
      <c r="AH303" s="62" t="n"/>
      <c r="AI303" s="62" t="n"/>
      <c r="AJ303" s="62" t="n"/>
      <c r="AK303" s="62" t="n"/>
      <c r="AL303" s="62">
        <f>IF(LEFT($C303,11)="[Jefatura] ",IFERROR(MATCH("Riesgo Operacional|"&amp;MID($C303,12,500),rDname_ADM,0),0),"")</f>
        <v/>
      </c>
      <c r="AM303" s="62">
        <f>IF(N($AL303)&gt;0,INDEX(rIni_ADM,$AL303),IF(ISNUMBER($E303),$E303,""))</f>
        <v/>
      </c>
      <c r="AN303" s="62">
        <f>IF(N($AL303)&gt;0,INDEX(rLim_ADM,$AL303),IF(ISNUMBER($F303),$F303,""))</f>
        <v/>
      </c>
    </row>
    <row r="304">
      <c r="A304" s="56">
        <f>IF(NOT((COUNTA($B304:$D304)+COUNTA($G304:$L304)+COUNTA($Q304))&gt;0),"",IF($V304="Macro",COUNTIFS($V$5:$V304,"Macro",$S$5:$S304,$S304),IF(N($U304)=0,"?",COUNTIFS(INDEX($V$5:$V$1000,1):INDEX($V$5:$V$1000,$U304-4),"Macro",INDEX($S$5:$S$1000,1):INDEX($S$5:$S$1000,$U304-4),INDEX($S$5:$S$1000,$U304-4))&amp;"."&amp;COUNTIFS($U$5:$U304,$U304,$V$5:$V304,"Sub"))))</f>
        <v/>
      </c>
      <c r="B304" s="57" t="n"/>
      <c r="C304" s="58" t="n"/>
      <c r="D304" s="58" t="n"/>
      <c r="E304" s="59">
        <f>IF(N($AL304)&gt;0,INDEX(rIni_ADM,$AL304),"")</f>
        <v/>
      </c>
      <c r="F304" s="59">
        <f>IF(N($AL304)&gt;0,INDEX(rLim_ADM,$AL304),"")</f>
        <v/>
      </c>
      <c r="G304" s="59" t="n"/>
      <c r="H304" s="60" t="n"/>
      <c r="I304" s="60" t="n"/>
      <c r="J304" s="60" t="n"/>
      <c r="K304" s="60" t="n"/>
      <c r="L304" s="60" t="n"/>
      <c r="M304" s="61">
        <f>IF(NOT((COUNTA($B304:$D304)+COUNTA($G304:$L304)+COUNTA($Q304))&gt;0),"",IF(ISNUMBER($G304),1,IF(N($W304)&gt;0,AVERAGEIFS($X$5:$X$1000,$U$5:$U$1000,ROW(),$V$5:$V$1000,"Sub"),$X304)))</f>
        <v/>
      </c>
      <c r="N304" s="56">
        <f>IF($M304="","",IF($M304&gt;=1,"Completado",IF($M304&gt;0,"En curso","Pendiente")))</f>
        <v/>
      </c>
      <c r="O304" s="56">
        <f>IF(NOT((COUNTA($B304:$D304)+COUNTA($G304:$L304)+COUNTA($Q304))&gt;0),"",IF(ISNUMBER($G304),IF(AND(ISNUMBER($AN304),$G304&gt;$AN304),"Cumplida con "&amp;($G304-$AN304)&amp;IF($G304-$AN304=1," día"," días")&amp;" de retraso","Cumplida"),IF(N($M304)&gt;=1,"Cumplida",IF(NOT(ISNUMBER($AN304)),"Sin fecha límite",IF($AN304&lt;FechaRef,"Vencida hace "&amp;(FechaRef-$AN304)&amp;IF(FechaRef-$AN304=1," día"," días"),IF($AN304=FechaRef,"Vence hoy",IF($AN304-FechaRef&lt;=DiasAlerta,"Vence en "&amp;($AN304-FechaRef)&amp;IF($AN304-FechaRef=1," día"," días"),"En plazo")))))))</f>
        <v/>
      </c>
      <c r="P304" s="62" t="n"/>
      <c r="Q304" s="58" t="n"/>
      <c r="R304" s="63">
        <f>IF(NOT((COUNTA($B304:$D304)+COUNTA($G304:$L304)+COUNTA($Q304))&gt;0),"",IF((IF($C304="","Falta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",""))="","✔ OK","⚠ "&amp;LEFT(IF($C304="","Falta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",""),LEN(IF($C304="","Falta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",""))-3)))</f>
        <v/>
      </c>
      <c r="S304" s="64">
        <f>IF(NOT((COUNTA($B304:$D304)+COUNTA($G304:$L304)+COUNTA($Q304))&gt;0),"",IF(AND($V304="Sub",N($U304)&gt;0),IF(ISNUMBER(INDEX($AM$5:$AM$1000,$U304-4)),DATE(YEAR(INDEX($AM$5:$AM$1000,$U304-4)),MONTH(INDEX($AM$5:$AM$1000,$U304-4)),1),IF(ISNUMBER(INDEX($AN$5:$AN$1000,$U304-4)),DATE(YEAR(INDEX($AN$5:$AN$1000,$U304-4)),MONTH(INDEX($AN$5:$AN$1000,$U304-4)),1),MesCiclo)),IF(ISNUMBER($AM304),DATE(YEAR($AM304),MONTH($AM304),1),IF(ISNUMBER($AN304),DATE(YEAR($AN304),MONTH($AN304),1),MesCiclo))))</f>
        <v/>
      </c>
      <c r="T304" s="62">
        <f>IF(OR($S304="",$S304&lt;&gt;MesCiclo),"",COUNTIF($S$5:$S304,MesCiclo))</f>
        <v/>
      </c>
      <c r="U304" s="62">
        <f>IF($V304="","",IF($V304="Macro",ROW(),IFERROR(LOOKUP(2,1/($V$5:$V304="Macro"),ROW($V$5:$V304)),0)))</f>
        <v/>
      </c>
      <c r="V304" s="62">
        <f>IF(NOT((COUNTA($B304:$D304)+COUNTA($G304:$L304)+COUNTA($Q304))&gt;0),"",IF($B304="Subactividad","Sub","Macro"))</f>
        <v/>
      </c>
      <c r="W304" s="62">
        <f>IF($V304="Macro",COUNTIFS($U$5:$U$1000,ROW(),$V$5:$V$1000,"Sub"),"")</f>
        <v/>
      </c>
      <c r="X304" s="62">
        <f>IF($V304="","",IF(ISNUMBER($G304),1,IFERROR(LOOKUP(2,1/($I304:$L304&lt;&gt;""),$I304:$L304),0)))</f>
        <v/>
      </c>
      <c r="Y304" s="62">
        <f>IF($V304="","",IF(AND(ISNUMBER($G304),$G304&lt;=IF($S304=MesCiclo,InicioCiclo,$S304+MOD(2-WEEKDAY($S304),7))+6),1,IF(ISNUMBER($I304),$I304,0)))</f>
        <v/>
      </c>
      <c r="Z304" s="62">
        <f>IF($V304="","",IF(AND(ISNUMBER($G304),$G304&lt;=IF($S304=MesCiclo,InicioCiclo,$S304+MOD(2-WEEKDAY($S304),7))+13),1,IF(ISNUMBER($J304),$J304,$Y304)))</f>
        <v/>
      </c>
      <c r="AA304" s="62">
        <f>IF($V304="","",IF(AND(ISNUMBER($G304),$G304&lt;=IF($S304=MesCiclo,InicioCiclo,$S304+MOD(2-WEEKDAY($S304),7))+20),1,IF(ISNUMBER($K304),$K304,$Z304)))</f>
        <v/>
      </c>
      <c r="AB304" s="62">
        <f>IF($V304="","",IF(AND(ISNUMBER($G304),$G304&lt;=IF($S304=MesCiclo,InicioCiclo,$S304+MOD(2-WEEKDAY($S304),7))+27),1,IF(ISNUMBER($L304),$L304,$AA304)))</f>
        <v/>
      </c>
      <c r="AC304" s="62">
        <f>IF($V304="","",IF(AND(ISNUMBER($G304),$G304&lt;=IF($S304=MesCiclo,InicioCiclo,$S304+MOD(2-WEEKDAY($S304),7))+6),1,IF(N($W304)&gt;0,AVERAGEIFS($Y$5:$Y$1000,$U$5:$U$1000,ROW(),$V$5:$V$1000,"Sub"),$Y304)))</f>
        <v/>
      </c>
      <c r="AD304" s="62">
        <f>IF($V304="","",IF(AND(ISNUMBER($G304),$G304&lt;=IF($S304=MesCiclo,InicioCiclo,$S304+MOD(2-WEEKDAY($S304),7))+13),1,IF(N($W304)&gt;0,AVERAGEIFS($Z$5:$Z$1000,$U$5:$U$1000,ROW(),$V$5:$V$1000,"Sub"),$Z304)))</f>
        <v/>
      </c>
      <c r="AE304" s="62">
        <f>IF($V304="","",IF(AND(ISNUMBER($G304),$G304&lt;=IF($S304=MesCiclo,InicioCiclo,$S304+MOD(2-WEEKDAY($S304),7))+20),1,IF(N($W304)&gt;0,AVERAGEIFS($AA$5:$AA$1000,$U$5:$U$1000,ROW(),$V$5:$V$1000,"Sub"),$AA304)))</f>
        <v/>
      </c>
      <c r="AF304" s="62">
        <f>IF($V304="","",IF(AND(ISNUMBER($G304),$G304&lt;=IF($S304=MesCiclo,InicioCiclo,$S304+MOD(2-WEEKDAY($S304),7))+27),1,IF(N($W304)&gt;0,AVERAGEIFS($AB$5:$AB$1000,$U$5:$U$1000,ROW(),$V$5:$V$1000,"Sub"),$AB304)))</f>
        <v/>
      </c>
      <c r="AG304" s="62">
        <f>IF($V304&lt;&gt;"Macro","",IF(COUNTIFS($S$5:$S$1000,$S304,$V$5:$V$1000,"Macro",$H$5:$H$1000,"&gt;0")=0,1/COUNTIFS($S$5:$S$1000,$S304,$V$5:$V$1000,"Macro"),IF(AND(ISNUMBER($H304),N($H304)&gt;0),$H304,SUMIFS($H$5:$H$1000,$S$5:$S$1000,$S304,$V$5:$V$1000,"Macro")/COUNTIFS($S$5:$S$1000,$S304,$V$5:$V$1000,"Macro",$H$5:$H$1000,"&gt;0"))/(COUNTIFS($S$5:$S$1000,$S304,$V$5:$V$1000,"Macro")*SUMIFS($H$5:$H$1000,$S$5:$S$1000,$S304,$V$5:$V$1000,"Macro")/COUNTIFS($S$5:$S$1000,$S304,$V$5:$V$1000,"Macro",$H$5:$H$1000,"&gt;0"))))</f>
        <v/>
      </c>
      <c r="AH304" s="62" t="n"/>
      <c r="AI304" s="62" t="n"/>
      <c r="AJ304" s="62" t="n"/>
      <c r="AK304" s="62" t="n"/>
      <c r="AL304" s="62">
        <f>IF(LEFT($C304,11)="[Jefatura] ",IFERROR(MATCH("Riesgo Operacional|"&amp;MID($C304,12,500),rDname_ADM,0),0),"")</f>
        <v/>
      </c>
      <c r="AM304" s="62">
        <f>IF(N($AL304)&gt;0,INDEX(rIni_ADM,$AL304),IF(ISNUMBER($E304),$E304,""))</f>
        <v/>
      </c>
      <c r="AN304" s="62">
        <f>IF(N($AL304)&gt;0,INDEX(rLim_ADM,$AL304),IF(ISNUMBER($F304),$F304,""))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S1"/>
    <mergeCell ref="M3:O3"/>
    <mergeCell ref="E3:J3"/>
    <mergeCell ref="A2:S2"/>
    <mergeCell ref="K3:L3"/>
    <mergeCell ref="Q3:S3"/>
  </mergeCells>
  <conditionalFormatting sqref="M3:O3">
    <cfRule type="expression" priority="1" dxfId="8" stopIfTrue="1">
      <formula>COUNTIFS($S$5:$S$1000,MesCiclo,$O$5:$O$1000,"Vencida*")&gt;0</formula>
    </cfRule>
    <cfRule type="expression" priority="2" dxfId="9" stopIfTrue="1">
      <formula>COUNTIFS($S$5:$S$1000,MesCiclo,$O$5:$O$1000,"Vence*")&gt;0</formula>
    </cfRule>
    <cfRule type="expression" priority="3" dxfId="0">
      <formula>TRUE</formula>
    </cfRule>
  </conditionalFormatting>
  <conditionalFormatting sqref="Q3:S3">
    <cfRule type="expression" priority="4" dxfId="9" stopIfTrue="1">
      <formula>(COUNTIFS('Administración'!$D$5:$D$1000,"Riesgo Operacional",'Administración'!$S$5:$S$1000,MesCiclo,'Administración'!$V$5:$V$1000,"Macro")-COUNTIFS('Administración'!$D$5:$D$1000,"Riesgo Operacional",'Administración'!$S$5:$S$1000,MesCiclo,'Administración'!$V$5:$V$1000,"Macro",'Administración'!$AH$5:$AH$1000,"&gt;0"))&gt;0</formula>
    </cfRule>
    <cfRule type="expression" priority="5" dxfId="0">
      <formula>COUNTIFS('Administración'!$D$5:$D$1000,"Riesgo Operacional",'Administración'!$S$5:$S$1000,MesCiclo,'Administración'!$V$5:$V$1000,"Macro")&gt;0</formula>
    </cfRule>
  </conditionalFormatting>
  <conditionalFormatting sqref="C5:C1000">
    <cfRule type="expression" priority="6" dxfId="10" stopIfTrue="1">
      <formula>LEFT($C5,11)="[Jefatura] "</formula>
    </cfRule>
    <cfRule type="expression" priority="9" dxfId="11">
      <formula>$V5="Sub"</formula>
    </cfRule>
  </conditionalFormatting>
  <conditionalFormatting sqref="A5:C1000">
    <cfRule type="expression" priority="7" dxfId="5" stopIfTrue="1">
      <formula>AND($V5="Macro",$C5="")</formula>
    </cfRule>
    <cfRule type="expression" priority="8" dxfId="18">
      <formula>$V5="Macro"</formula>
    </cfRule>
  </conditionalFormatting>
  <conditionalFormatting sqref="N5:N1000">
    <cfRule type="expression" priority="10" dxfId="0">
      <formula>$N5="Completado"</formula>
    </cfRule>
    <cfRule type="expression" priority="11" dxfId="4">
      <formula>$N5="En curso"</formula>
    </cfRule>
    <cfRule type="expression" priority="12" dxfId="5">
      <formula>$N5="Pendiente"</formula>
    </cfRule>
  </conditionalFormatting>
  <conditionalFormatting sqref="O5:O1000">
    <cfRule type="expression" priority="13" dxfId="8" stopIfTrue="1">
      <formula>LEFT($O5,7)="Vencida"</formula>
    </cfRule>
    <cfRule type="expression" priority="14" dxfId="9" stopIfTrue="1">
      <formula>LEFT($O5,5)="Vence"</formula>
    </cfRule>
    <cfRule type="expression" priority="15" dxfId="0" stopIfTrue="1">
      <formula>LEFT($O5,8)="Cumplida"</formula>
    </cfRule>
    <cfRule type="expression" priority="16" dxfId="13" stopIfTrue="1">
      <formula>$O5="En plazo"</formula>
    </cfRule>
    <cfRule type="expression" priority="17" dxfId="5">
      <formula>$O5="Sin fecha límite"</formula>
    </cfRule>
  </conditionalFormatting>
  <conditionalFormatting sqref="M5:M1000">
    <cfRule type="expression" priority="18" dxfId="0">
      <formula>AND(ISNUMBER($M5),$M5&gt;=1)</formula>
    </cfRule>
    <cfRule type="dataBar" priority="19">
      <dataBar showValue="1">
        <cfvo type="num" val="0"/>
        <cfvo type="num" val="1"/>
        <color rgb="005B9BD5"/>
      </dataBar>
    </cfRule>
  </conditionalFormatting>
  <conditionalFormatting sqref="G5:G1000">
    <cfRule type="expression" priority="20" dxfId="0">
      <formula>ISNUMBER($G5)</formula>
    </cfRule>
  </conditionalFormatting>
  <conditionalFormatting sqref="F5:F1000">
    <cfRule type="expression" priority="21" dxfId="6" stopIfTrue="1">
      <formula>AND(ISNUMBER($AN5),$AN5&lt;FechaRef,N($M5)&lt;1)</formula>
    </cfRule>
    <cfRule type="expression" priority="22" dxfId="7">
      <formula>AND(ISNUMBER($AN5),$AN5&gt;=FechaRef,$AN5-FechaRef&lt;=DiasAlerta,N($M5)&lt;1)</formula>
    </cfRule>
  </conditionalFormatting>
  <conditionalFormatting sqref="E5:F1000">
    <cfRule type="expression" priority="23" dxfId="10" stopIfTrue="1">
      <formula>AND(N($AL5)&gt;0)</formula>
    </cfRule>
    <cfRule type="expression" priority="24" dxfId="5" stopIfTrue="1">
      <formula>AND((COUNTA($B5:$D5)+COUNTA($G5:$L5)+COUNTA($Q5))&gt;0,$AM5="")</formula>
    </cfRule>
    <cfRule type="expression" priority="25" dxfId="6">
      <formula>AND(ISNUMBER($E5),ISNUMBER($F5),$E5&gt;$F5)</formula>
    </cfRule>
  </conditionalFormatting>
  <conditionalFormatting sqref="H5:H1000">
    <cfRule type="expression" priority="26" dxfId="5" stopIfTrue="1">
      <formula>AND($V5="Sub",$H5&lt;&gt;"")</formula>
    </cfRule>
    <cfRule type="expression" priority="27" dxfId="14" stopIfTrue="1">
      <formula>$V5="Sub"</formula>
    </cfRule>
  </conditionalFormatting>
  <conditionalFormatting sqref="I5:L1000">
    <cfRule type="expression" priority="28" dxfId="5" stopIfTrue="1">
      <formula>AND(N($W5)&gt;0,I5&lt;&gt;"")</formula>
    </cfRule>
    <cfRule type="expression" priority="29" dxfId="14" stopIfTrue="1">
      <formula>OR(N($W5)&gt;0,ISNUMBER($G5))</formula>
    </cfRule>
    <cfRule type="expression" priority="30" dxfId="5" stopIfTrue="1">
      <formula>AND(I5&lt;&gt;"",OR(NOT(ISNUMBER(I5)),I5&gt;1,I5&lt;0))</formula>
    </cfRule>
  </conditionalFormatting>
  <conditionalFormatting sqref="J5:L1000">
    <cfRule type="expression" priority="31" dxfId="6">
      <formula>AND(J5&lt;&gt;"",J5&lt;MAX($I5:I5))</formula>
    </cfRule>
  </conditionalFormatting>
  <conditionalFormatting sqref="Q5:Q1000">
    <cfRule type="expression" priority="32" dxfId="5">
      <formula>AND(ObsObligatoria="Sí",ISNUMBER($F5),$F5&lt;FechaRef,N($M5)&lt;1,$Q5="")</formula>
    </cfRule>
  </conditionalFormatting>
  <conditionalFormatting sqref="R5:R1000">
    <cfRule type="expression" priority="33" dxfId="5">
      <formula>LEFT($R5,1)="⚠"</formula>
    </cfRule>
    <cfRule type="expression" priority="34" dxfId="15">
      <formula>LEFT($R5,1)="✔"</formula>
    </cfRule>
  </conditionalFormatting>
  <conditionalFormatting sqref="S5:S1000">
    <cfRule type="expression" priority="35" dxfId="1">
      <formula>AND($S5&lt;&gt;"",$S5=MesCiclo)</formula>
    </cfRule>
  </conditionalFormatting>
  <dataValidations count="6">
    <dataValidation sqref="E5:F1000" showDropDown="0" showInputMessage="1" showErrorMessage="1" allowBlank="1" errorTitle="Fecha no permitida" error="Si la actividad es de la jefatura ([Jefatura]), las fechas las pone la jefatura y no se pueden cambiar. En sus actividades propias escriba una fecha válida (dd/mm/aaaa)." promptTitle="Fechas" prompt="En actividades [Jefatura] las fechas aparecen solas (las pone la jefatura). En las propias, escriba la fecha." type="custom">
      <formula1>AND(LEFT($C5,11)&lt;&gt;"[Jefatura] ",ISNUMBER(E5),E5&gt;36526)</formula1>
    </dataValidation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). Vacío = Macroactividad." type="list">
      <formula1>"Macroactividad,Subactividad"</formula1>
    </dataValidation>
    <dataValidation sqref="G5:G1000" showDropDown="0" showInputMessage="1" showErrorMessage="1" allowBlank="1" errorTitle="Fecha no válida" error="Ingrese una fecha válida (dd/mm/aaaa)." promptTitle="Fecha de cumplimiento" prompt="Escriba la fecha en que se cumplió. La actividad queda al 100% y ya no aparece vencida." type="date" operator="greaterThan">
      <formula1>36526</formula1>
    </dataValidation>
    <dataValidation sqref="H5:H1000" showDropDown="0" showInputMessage="1" showErrorMessage="1" allowBlank="1" errorTitle="Peso no válido" error="Ingrese un porcentaje entre 0% y 100% (por ejemplo 40%)." promptTitle="Peso (solo macroactividades)" prompt="Opcional. Vacío = todas las macroactividades del mes valen igual. Si escribe pesos, se ajustan solos a 100%. Las subactividades no llevan peso." type="decimal" operator="between">
      <formula1>0</formula1>
      <formula2>1</formula2>
    </dataValidation>
    <dataValidation sqref="I5:L1000" showDropDown="0" showInputMessage="1" showErrorMessage="1" allowBlank="1" errorTitle="Avance no válido" error="Ingrese un porcentaje entre 0% y 100%. Deje la celda vacía si la semana no ha llegado." promptTitle="Avance parcial (opcional)" prompt="% TOTAL logrado hasta esta semana. Cuando termine, escriba la Fecha de cumplimiento. Si la macroactividad tiene subactividades, déjelo vacío." type="decimal" operator="between">
      <formula1>0</formula1>
      <formula2>1</formula2>
    </dataValidation>
    <dataValidation sqref="C5:C1000" showDropDown="0" showInputMessage="1" showErrorMessage="0" allowBlank="1" promptTitle="Actividad" prompt="Escriba el nombre, o elija en la lista una actividad delegada por la jefatura." type="list">
      <formula1>ListaDeleg_RO</formula1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Q10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2" customWidth="1" min="3" max="3"/>
    <col width="12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20" customWidth="1" min="12" max="12"/>
    <col width="46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28" customHeight="1">
      <c r="A1" s="72" t="inlineStr">
        <is>
          <t>Actividades del mes por semana – Riesgo Operacional</t>
        </is>
      </c>
      <c r="B1" s="72" t="n"/>
      <c r="C1" s="72" t="n"/>
      <c r="D1" s="72" t="n"/>
      <c r="E1" s="72" t="n"/>
      <c r="F1" s="72" t="n"/>
      <c r="G1" s="72" t="n"/>
      <c r="H1" s="72" t="n"/>
      <c r="I1" s="72" t="n"/>
      <c r="J1" s="72" t="n"/>
      <c r="K1" s="72" t="n"/>
      <c r="L1" s="72" t="n"/>
      <c r="M1" s="72" t="n"/>
    </row>
    <row r="2" ht="34" customHeight="1">
      <c r="A2" s="74" t="inlineStr">
        <is>
          <t>HOJA AUTOMÁTICA Y BLOQUEADA: muestra solo las actividades del mes indicado abajo, tomadas de «Cronograma R. Operacional». No hay que escribir nada aquí. Cada macroactividad (resaltada) va seguida de sus subactividades (↳). La barra de color marca las semanas en que cada actividad está programada y dentro aparece el avance de esa semana. La columna «Alerta de plazo» indica lo vencido y lo que está por vencer.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</row>
    <row r="3">
      <c r="A3" s="75" t="inlineStr">
        <is>
          <t>Mes:</t>
        </is>
      </c>
      <c r="B3" s="76">
        <f>MesCiclo</f>
        <v/>
      </c>
      <c r="E3" s="77" t="inlineStr">
        <is>
          <t>Semana del:</t>
        </is>
      </c>
      <c r="F3" s="78">
        <f>(InicioCiclo+0)</f>
        <v/>
      </c>
      <c r="G3" s="78">
        <f>(InicioCiclo+7)</f>
        <v/>
      </c>
      <c r="H3" s="78">
        <f>(InicioCiclo+14)</f>
        <v/>
      </c>
      <c r="I3" s="78">
        <f>(InicioCiclo+21)</f>
        <v/>
      </c>
    </row>
    <row r="4" ht="34" customHeight="1">
      <c r="A4" s="54" t="inlineStr">
        <is>
          <t>N°</t>
        </is>
      </c>
      <c r="B4" s="54" t="inlineStr">
        <is>
          <t>Actividad</t>
        </is>
      </c>
      <c r="C4" s="54" t="inlineStr">
        <is>
          <t>Fecha de inicio</t>
        </is>
      </c>
      <c r="D4" s="54" t="inlineStr">
        <is>
          <t>Fecha límite</t>
        </is>
      </c>
      <c r="E4" s="54" t="inlineStr">
        <is>
          <t>Semana de entrega</t>
        </is>
      </c>
      <c r="F4" s="67" t="inlineStr">
        <is>
          <t>Semana 1</t>
        </is>
      </c>
      <c r="G4" s="67" t="inlineStr">
        <is>
          <t>Semana 2</t>
        </is>
      </c>
      <c r="H4" s="67" t="inlineStr">
        <is>
          <t>Semana 3</t>
        </is>
      </c>
      <c r="I4" s="67" t="inlineStr">
        <is>
          <t>Semana 4</t>
        </is>
      </c>
      <c r="J4" s="54" t="inlineStr">
        <is>
          <t>% Avance actual</t>
        </is>
      </c>
      <c r="K4" s="54" t="inlineStr">
        <is>
          <t>Estado</t>
        </is>
      </c>
      <c r="L4" s="54" t="inlineStr">
        <is>
          <t>Alerta de plazo</t>
        </is>
      </c>
      <c r="M4" s="54" t="inlineStr">
        <is>
          <t>Observaciones</t>
        </is>
      </c>
      <c r="N4" t="inlineStr">
        <is>
          <t>Fila origen (aux)</t>
        </is>
      </c>
      <c r="O4" t="inlineStr">
        <is>
          <t>Tipo (aux)</t>
        </is>
      </c>
      <c r="P4" t="inlineStr">
        <is>
          <t>N subactividades (aux)</t>
        </is>
      </c>
      <c r="Q4" t="inlineStr">
        <is>
          <t>N° alerta de plazo (aux)</t>
        </is>
      </c>
    </row>
    <row r="5">
      <c r="A5" s="56">
        <f>IF($N5="","",INDEX('Cronograma R. Operacional'!$A$5:$A$1000,$N5))</f>
        <v/>
      </c>
      <c r="B5" s="62">
        <f>IF($N5="","",IF($O5="Sub","      ↳  "&amp;INDEX('Cronograma R. Operacional'!$C$5:$C$1000,$N5),INDEX('Cronograma R. Operacional'!$C$5:$C$1000,$N5)&amp;""))</f>
        <v/>
      </c>
      <c r="C5" s="79">
        <f>IF($N5="","",IF(INDEX('Cronograma R. Operacional'!$AM$5:$AM$1000,$N5)="","",INDEX('Cronograma R. Operacional'!$AM$5:$AM$1000,$N5)))</f>
        <v/>
      </c>
      <c r="D5" s="79">
        <f>IF($N5="","",IF(INDEX('Cronograma R. Operacional'!$AN$5:$AN$1000,$N5)="","",INDEX('Cronograma R. Operacional'!$AN$5:$AN$1000,$N5)))</f>
        <v/>
      </c>
      <c r="E5" s="56">
        <f>IF($N5="","",IF(NOT(ISNUMBER($D5)),"",IF($D5&lt;InicioCiclo,"Antes del ciclo",IF($D5&gt;=InicioCiclo+28,"Después del ciclo","Semana "&amp;(INT(($D5-InicioCiclo)/7)+1)))))</f>
        <v/>
      </c>
      <c r="F5" s="61">
        <f>IF($N5="","",IF($P5&gt;0,IF(1&lt;=SemanaActual,INDEX('Cronograma R. Operacional'!$AC$5:$AC$1000,$N5),""),IF(INDEX('Cronograma R. Operacional'!$I$5:$I$1000,$N5)="","",INDEX('Cronograma R. Operacional'!$I$5:$I$1000,$N5))))</f>
        <v/>
      </c>
      <c r="G5" s="61">
        <f>IF($N5="","",IF($P5&gt;0,IF(2&lt;=SemanaActual,INDEX('Cronograma R. Operacional'!$AD$5:$AD$1000,$N5),""),IF(INDEX('Cronograma R. Operacional'!$J$5:$J$1000,$N5)="","",INDEX('Cronograma R. Operacional'!$J$5:$J$1000,$N5))))</f>
        <v/>
      </c>
      <c r="H5" s="61">
        <f>IF($N5="","",IF($P5&gt;0,IF(3&lt;=SemanaActual,INDEX('Cronograma R. Operacional'!$AE$5:$AE$1000,$N5),""),IF(INDEX('Cronograma R. Operacional'!$K$5:$K$1000,$N5)="","",INDEX('Cronograma R. Operacional'!$K$5:$K$1000,$N5))))</f>
        <v/>
      </c>
      <c r="I5" s="61">
        <f>IF($N5="","",IF($P5&gt;0,IF(4&lt;=SemanaActual,INDEX('Cronograma R. Operacional'!$AF$5:$AF$1000,$N5),""),IF(INDEX('Cronograma R. Operacional'!$L$5:$L$1000,$N5)="","",INDEX('Cronograma R. Operacional'!$L$5:$L$1000,$N5))))</f>
        <v/>
      </c>
      <c r="J5" s="61">
        <f>IF($N5="","",INDEX('Cronograma R. Operacional'!$M$5:$M$1000,$N5))</f>
        <v/>
      </c>
      <c r="K5" s="56">
        <f>IF($N5="","",IF(N($J5)&gt;=1,"Completado",IF(AND(ISNUMBER($D5),$D5&lt;FechaRef),"Vencida",IF(N($J5)&gt;0,"En curso","Pendiente"))))</f>
        <v/>
      </c>
      <c r="L5" s="56">
        <f>IF($N5="","",INDEX('Cronograma R. Operacional'!$O$5:$O$1000,$N5)&amp;"")</f>
        <v/>
      </c>
      <c r="M5" s="62">
        <f>IF($N5="","",INDEX('Cronograma R. Operacional'!$Q$5:$Q$1000,$N5)&amp;"")</f>
        <v/>
      </c>
      <c r="N5">
        <f>IFERROR(MATCH(ROW()-4,rOrden_RO,0),"")</f>
        <v/>
      </c>
      <c r="O5">
        <f>IF($N5="","",INDEX('Cronograma R. Operacional'!$V$5:$V$1000,$N5))</f>
        <v/>
      </c>
      <c r="P5">
        <f>IF($N5="","",N(INDEX('Cronograma R. Operacional'!$W$5:$W$1000,$N5)))</f>
        <v/>
      </c>
      <c r="Q5">
        <f>IF(OR(LEFT($L5,7)="Vencida",LEFT($L5,5)="Vence"),SUMPRODUCT(--(LEFT($L$5:$L5,7)="Vencida"))+SUMPRODUCT(--(LEFT($L$5:$L5,5)="Vence")),"")</f>
        <v/>
      </c>
    </row>
    <row r="6">
      <c r="A6" s="56">
        <f>IF($N6="","",INDEX('Cronograma R. Operacional'!$A$5:$A$1000,$N6))</f>
        <v/>
      </c>
      <c r="B6" s="62">
        <f>IF($N6="","",IF($O6="Sub","      ↳  "&amp;INDEX('Cronograma R. Operacional'!$C$5:$C$1000,$N6),INDEX('Cronograma R. Operacional'!$C$5:$C$1000,$N6)&amp;""))</f>
        <v/>
      </c>
      <c r="C6" s="79">
        <f>IF($N6="","",IF(INDEX('Cronograma R. Operacional'!$AM$5:$AM$1000,$N6)="","",INDEX('Cronograma R. Operacional'!$AM$5:$AM$1000,$N6)))</f>
        <v/>
      </c>
      <c r="D6" s="79">
        <f>IF($N6="","",IF(INDEX('Cronograma R. Operacional'!$AN$5:$AN$1000,$N6)="","",INDEX('Cronograma R. Operacional'!$AN$5:$AN$1000,$N6)))</f>
        <v/>
      </c>
      <c r="E6" s="56">
        <f>IF($N6="","",IF(NOT(ISNUMBER($D6)),"",IF($D6&lt;InicioCiclo,"Antes del ciclo",IF($D6&gt;=InicioCiclo+28,"Después del ciclo","Semana "&amp;(INT(($D6-InicioCiclo)/7)+1)))))</f>
        <v/>
      </c>
      <c r="F6" s="61">
        <f>IF($N6="","",IF($P6&gt;0,IF(1&lt;=SemanaActual,INDEX('Cronograma R. Operacional'!$AC$5:$AC$1000,$N6),""),IF(INDEX('Cronograma R. Operacional'!$I$5:$I$1000,$N6)="","",INDEX('Cronograma R. Operacional'!$I$5:$I$1000,$N6))))</f>
        <v/>
      </c>
      <c r="G6" s="61">
        <f>IF($N6="","",IF($P6&gt;0,IF(2&lt;=SemanaActual,INDEX('Cronograma R. Operacional'!$AD$5:$AD$1000,$N6),""),IF(INDEX('Cronograma R. Operacional'!$J$5:$J$1000,$N6)="","",INDEX('Cronograma R. Operacional'!$J$5:$J$1000,$N6))))</f>
        <v/>
      </c>
      <c r="H6" s="61">
        <f>IF($N6="","",IF($P6&gt;0,IF(3&lt;=SemanaActual,INDEX('Cronograma R. Operacional'!$AE$5:$AE$1000,$N6),""),IF(INDEX('Cronograma R. Operacional'!$K$5:$K$1000,$N6)="","",INDEX('Cronograma R. Operacional'!$K$5:$K$1000,$N6))))</f>
        <v/>
      </c>
      <c r="I6" s="61">
        <f>IF($N6="","",IF($P6&gt;0,IF(4&lt;=SemanaActual,INDEX('Cronograma R. Operacional'!$AF$5:$AF$1000,$N6),""),IF(INDEX('Cronograma R. Operacional'!$L$5:$L$1000,$N6)="","",INDEX('Cronograma R. Operacional'!$L$5:$L$1000,$N6))))</f>
        <v/>
      </c>
      <c r="J6" s="61">
        <f>IF($N6="","",INDEX('Cronograma R. Operacional'!$M$5:$M$1000,$N6))</f>
        <v/>
      </c>
      <c r="K6" s="56">
        <f>IF($N6="","",IF(N($J6)&gt;=1,"Completado",IF(AND(ISNUMBER($D6),$D6&lt;FechaRef),"Vencida",IF(N($J6)&gt;0,"En curso","Pendiente"))))</f>
        <v/>
      </c>
      <c r="L6" s="56">
        <f>IF($N6="","",INDEX('Cronograma R. Operacional'!$O$5:$O$1000,$N6)&amp;"")</f>
        <v/>
      </c>
      <c r="M6" s="62">
        <f>IF($N6="","",INDEX('Cronograma R. Operacional'!$Q$5:$Q$1000,$N6)&amp;"")</f>
        <v/>
      </c>
      <c r="N6">
        <f>IFERROR(MATCH(ROW()-4,rOrden_RO,0),"")</f>
        <v/>
      </c>
      <c r="O6">
        <f>IF($N6="","",INDEX('Cronograma R. Operacional'!$V$5:$V$1000,$N6))</f>
        <v/>
      </c>
      <c r="P6">
        <f>IF($N6="","",N(INDEX('Cronograma R. Operacional'!$W$5:$W$1000,$N6)))</f>
        <v/>
      </c>
      <c r="Q6">
        <f>IF(OR(LEFT($L6,7)="Vencida",LEFT($L6,5)="Vence"),SUMPRODUCT(--(LEFT($L$5:$L6,7)="Vencida"))+SUMPRODUCT(--(LEFT($L$5:$L6,5)="Vence")),"")</f>
        <v/>
      </c>
    </row>
    <row r="7">
      <c r="A7" s="56">
        <f>IF($N7="","",INDEX('Cronograma R. Operacional'!$A$5:$A$1000,$N7))</f>
        <v/>
      </c>
      <c r="B7" s="62">
        <f>IF($N7="","",IF($O7="Sub","      ↳  "&amp;INDEX('Cronograma R. Operacional'!$C$5:$C$1000,$N7),INDEX('Cronograma R. Operacional'!$C$5:$C$1000,$N7)&amp;""))</f>
        <v/>
      </c>
      <c r="C7" s="79">
        <f>IF($N7="","",IF(INDEX('Cronograma R. Operacional'!$AM$5:$AM$1000,$N7)="","",INDEX('Cronograma R. Operacional'!$AM$5:$AM$1000,$N7)))</f>
        <v/>
      </c>
      <c r="D7" s="79">
        <f>IF($N7="","",IF(INDEX('Cronograma R. Operacional'!$AN$5:$AN$1000,$N7)="","",INDEX('Cronograma R. Operacional'!$AN$5:$AN$1000,$N7)))</f>
        <v/>
      </c>
      <c r="E7" s="56">
        <f>IF($N7="","",IF(NOT(ISNUMBER($D7)),"",IF($D7&lt;InicioCiclo,"Antes del ciclo",IF($D7&gt;=InicioCiclo+28,"Después del ciclo","Semana "&amp;(INT(($D7-InicioCiclo)/7)+1)))))</f>
        <v/>
      </c>
      <c r="F7" s="61">
        <f>IF($N7="","",IF($P7&gt;0,IF(1&lt;=SemanaActual,INDEX('Cronograma R. Operacional'!$AC$5:$AC$1000,$N7),""),IF(INDEX('Cronograma R. Operacional'!$I$5:$I$1000,$N7)="","",INDEX('Cronograma R. Operacional'!$I$5:$I$1000,$N7))))</f>
        <v/>
      </c>
      <c r="G7" s="61">
        <f>IF($N7="","",IF($P7&gt;0,IF(2&lt;=SemanaActual,INDEX('Cronograma R. Operacional'!$AD$5:$AD$1000,$N7),""),IF(INDEX('Cronograma R. Operacional'!$J$5:$J$1000,$N7)="","",INDEX('Cronograma R. Operacional'!$J$5:$J$1000,$N7))))</f>
        <v/>
      </c>
      <c r="H7" s="61">
        <f>IF($N7="","",IF($P7&gt;0,IF(3&lt;=SemanaActual,INDEX('Cronograma R. Operacional'!$AE$5:$AE$1000,$N7),""),IF(INDEX('Cronograma R. Operacional'!$K$5:$K$1000,$N7)="","",INDEX('Cronograma R. Operacional'!$K$5:$K$1000,$N7))))</f>
        <v/>
      </c>
      <c r="I7" s="61">
        <f>IF($N7="","",IF($P7&gt;0,IF(4&lt;=SemanaActual,INDEX('Cronograma R. Operacional'!$AF$5:$AF$1000,$N7),""),IF(INDEX('Cronograma R. Operacional'!$L$5:$L$1000,$N7)="","",INDEX('Cronograma R. Operacional'!$L$5:$L$1000,$N7))))</f>
        <v/>
      </c>
      <c r="J7" s="61">
        <f>IF($N7="","",INDEX('Cronograma R. Operacional'!$M$5:$M$1000,$N7))</f>
        <v/>
      </c>
      <c r="K7" s="56">
        <f>IF($N7="","",IF(N($J7)&gt;=1,"Completado",IF(AND(ISNUMBER($D7),$D7&lt;FechaRef),"Vencida",IF(N($J7)&gt;0,"En curso","Pendiente"))))</f>
        <v/>
      </c>
      <c r="L7" s="56">
        <f>IF($N7="","",INDEX('Cronograma R. Operacional'!$O$5:$O$1000,$N7)&amp;"")</f>
        <v/>
      </c>
      <c r="M7" s="62">
        <f>IF($N7="","",INDEX('Cronograma R. Operacional'!$Q$5:$Q$1000,$N7)&amp;"")</f>
        <v/>
      </c>
      <c r="N7">
        <f>IFERROR(MATCH(ROW()-4,rOrden_RO,0),"")</f>
        <v/>
      </c>
      <c r="O7">
        <f>IF($N7="","",INDEX('Cronograma R. Operacional'!$V$5:$V$1000,$N7))</f>
        <v/>
      </c>
      <c r="P7">
        <f>IF($N7="","",N(INDEX('Cronograma R. Operacional'!$W$5:$W$1000,$N7)))</f>
        <v/>
      </c>
      <c r="Q7">
        <f>IF(OR(LEFT($L7,7)="Vencida",LEFT($L7,5)="Vence"),SUMPRODUCT(--(LEFT($L$5:$L7,7)="Vencida"))+SUMPRODUCT(--(LEFT($L$5:$L7,5)="Vence")),"")</f>
        <v/>
      </c>
    </row>
    <row r="8">
      <c r="A8" s="56">
        <f>IF($N8="","",INDEX('Cronograma R. Operacional'!$A$5:$A$1000,$N8))</f>
        <v/>
      </c>
      <c r="B8" s="62">
        <f>IF($N8="","",IF($O8="Sub","      ↳  "&amp;INDEX('Cronograma R. Operacional'!$C$5:$C$1000,$N8),INDEX('Cronograma R. Operacional'!$C$5:$C$1000,$N8)&amp;""))</f>
        <v/>
      </c>
      <c r="C8" s="79">
        <f>IF($N8="","",IF(INDEX('Cronograma R. Operacional'!$AM$5:$AM$1000,$N8)="","",INDEX('Cronograma R. Operacional'!$AM$5:$AM$1000,$N8)))</f>
        <v/>
      </c>
      <c r="D8" s="79">
        <f>IF($N8="","",IF(INDEX('Cronograma R. Operacional'!$AN$5:$AN$1000,$N8)="","",INDEX('Cronograma R. Operacional'!$AN$5:$AN$1000,$N8)))</f>
        <v/>
      </c>
      <c r="E8" s="56">
        <f>IF($N8="","",IF(NOT(ISNUMBER($D8)),"",IF($D8&lt;InicioCiclo,"Antes del ciclo",IF($D8&gt;=InicioCiclo+28,"Después del ciclo","Semana "&amp;(INT(($D8-InicioCiclo)/7)+1)))))</f>
        <v/>
      </c>
      <c r="F8" s="61">
        <f>IF($N8="","",IF($P8&gt;0,IF(1&lt;=SemanaActual,INDEX('Cronograma R. Operacional'!$AC$5:$AC$1000,$N8),""),IF(INDEX('Cronograma R. Operacional'!$I$5:$I$1000,$N8)="","",INDEX('Cronograma R. Operacional'!$I$5:$I$1000,$N8))))</f>
        <v/>
      </c>
      <c r="G8" s="61">
        <f>IF($N8="","",IF($P8&gt;0,IF(2&lt;=SemanaActual,INDEX('Cronograma R. Operacional'!$AD$5:$AD$1000,$N8),""),IF(INDEX('Cronograma R. Operacional'!$J$5:$J$1000,$N8)="","",INDEX('Cronograma R. Operacional'!$J$5:$J$1000,$N8))))</f>
        <v/>
      </c>
      <c r="H8" s="61">
        <f>IF($N8="","",IF($P8&gt;0,IF(3&lt;=SemanaActual,INDEX('Cronograma R. Operacional'!$AE$5:$AE$1000,$N8),""),IF(INDEX('Cronograma R. Operacional'!$K$5:$K$1000,$N8)="","",INDEX('Cronograma R. Operacional'!$K$5:$K$1000,$N8))))</f>
        <v/>
      </c>
      <c r="I8" s="61">
        <f>IF($N8="","",IF($P8&gt;0,IF(4&lt;=SemanaActual,INDEX('Cronograma R. Operacional'!$AF$5:$AF$1000,$N8),""),IF(INDEX('Cronograma R. Operacional'!$L$5:$L$1000,$N8)="","",INDEX('Cronograma R. Operacional'!$L$5:$L$1000,$N8))))</f>
        <v/>
      </c>
      <c r="J8" s="61">
        <f>IF($N8="","",INDEX('Cronograma R. Operacional'!$M$5:$M$1000,$N8))</f>
        <v/>
      </c>
      <c r="K8" s="56">
        <f>IF($N8="","",IF(N($J8)&gt;=1,"Completado",IF(AND(ISNUMBER($D8),$D8&lt;FechaRef),"Vencida",IF(N($J8)&gt;0,"En curso","Pendiente"))))</f>
        <v/>
      </c>
      <c r="L8" s="56">
        <f>IF($N8="","",INDEX('Cronograma R. Operacional'!$O$5:$O$1000,$N8)&amp;"")</f>
        <v/>
      </c>
      <c r="M8" s="62">
        <f>IF($N8="","",INDEX('Cronograma R. Operacional'!$Q$5:$Q$1000,$N8)&amp;"")</f>
        <v/>
      </c>
      <c r="N8">
        <f>IFERROR(MATCH(ROW()-4,rOrden_RO,0),"")</f>
        <v/>
      </c>
      <c r="O8">
        <f>IF($N8="","",INDEX('Cronograma R. Operacional'!$V$5:$V$1000,$N8))</f>
        <v/>
      </c>
      <c r="P8">
        <f>IF($N8="","",N(INDEX('Cronograma R. Operacional'!$W$5:$W$1000,$N8)))</f>
        <v/>
      </c>
      <c r="Q8">
        <f>IF(OR(LEFT($L8,7)="Vencida",LEFT($L8,5)="Vence"),SUMPRODUCT(--(LEFT($L$5:$L8,7)="Vencida"))+SUMPRODUCT(--(LEFT($L$5:$L8,5)="Vence")),"")</f>
        <v/>
      </c>
    </row>
    <row r="9">
      <c r="A9" s="56">
        <f>IF($N9="","",INDEX('Cronograma R. Operacional'!$A$5:$A$1000,$N9))</f>
        <v/>
      </c>
      <c r="B9" s="62">
        <f>IF($N9="","",IF($O9="Sub","      ↳  "&amp;INDEX('Cronograma R. Operacional'!$C$5:$C$1000,$N9),INDEX('Cronograma R. Operacional'!$C$5:$C$1000,$N9)&amp;""))</f>
        <v/>
      </c>
      <c r="C9" s="79">
        <f>IF($N9="","",IF(INDEX('Cronograma R. Operacional'!$AM$5:$AM$1000,$N9)="","",INDEX('Cronograma R. Operacional'!$AM$5:$AM$1000,$N9)))</f>
        <v/>
      </c>
      <c r="D9" s="79">
        <f>IF($N9="","",IF(INDEX('Cronograma R. Operacional'!$AN$5:$AN$1000,$N9)="","",INDEX('Cronograma R. Operacional'!$AN$5:$AN$1000,$N9)))</f>
        <v/>
      </c>
      <c r="E9" s="56">
        <f>IF($N9="","",IF(NOT(ISNUMBER($D9)),"",IF($D9&lt;InicioCiclo,"Antes del ciclo",IF($D9&gt;=InicioCiclo+28,"Después del ciclo","Semana "&amp;(INT(($D9-InicioCiclo)/7)+1)))))</f>
        <v/>
      </c>
      <c r="F9" s="61">
        <f>IF($N9="","",IF($P9&gt;0,IF(1&lt;=SemanaActual,INDEX('Cronograma R. Operacional'!$AC$5:$AC$1000,$N9),""),IF(INDEX('Cronograma R. Operacional'!$I$5:$I$1000,$N9)="","",INDEX('Cronograma R. Operacional'!$I$5:$I$1000,$N9))))</f>
        <v/>
      </c>
      <c r="G9" s="61">
        <f>IF($N9="","",IF($P9&gt;0,IF(2&lt;=SemanaActual,INDEX('Cronograma R. Operacional'!$AD$5:$AD$1000,$N9),""),IF(INDEX('Cronograma R. Operacional'!$J$5:$J$1000,$N9)="","",INDEX('Cronograma R. Operacional'!$J$5:$J$1000,$N9))))</f>
        <v/>
      </c>
      <c r="H9" s="61">
        <f>IF($N9="","",IF($P9&gt;0,IF(3&lt;=SemanaActual,INDEX('Cronograma R. Operacional'!$AE$5:$AE$1000,$N9),""),IF(INDEX('Cronograma R. Operacional'!$K$5:$K$1000,$N9)="","",INDEX('Cronograma R. Operacional'!$K$5:$K$1000,$N9))))</f>
        <v/>
      </c>
      <c r="I9" s="61">
        <f>IF($N9="","",IF($P9&gt;0,IF(4&lt;=SemanaActual,INDEX('Cronograma R. Operacional'!$AF$5:$AF$1000,$N9),""),IF(INDEX('Cronograma R. Operacional'!$L$5:$L$1000,$N9)="","",INDEX('Cronograma R. Operacional'!$L$5:$L$1000,$N9))))</f>
        <v/>
      </c>
      <c r="J9" s="61">
        <f>IF($N9="","",INDEX('Cronograma R. Operacional'!$M$5:$M$1000,$N9))</f>
        <v/>
      </c>
      <c r="K9" s="56">
        <f>IF($N9="","",IF(N($J9)&gt;=1,"Completado",IF(AND(ISNUMBER($D9),$D9&lt;FechaRef),"Vencida",IF(N($J9)&gt;0,"En curso","Pendiente"))))</f>
        <v/>
      </c>
      <c r="L9" s="56">
        <f>IF($N9="","",INDEX('Cronograma R. Operacional'!$O$5:$O$1000,$N9)&amp;"")</f>
        <v/>
      </c>
      <c r="M9" s="62">
        <f>IF($N9="","",INDEX('Cronograma R. Operacional'!$Q$5:$Q$1000,$N9)&amp;"")</f>
        <v/>
      </c>
      <c r="N9">
        <f>IFERROR(MATCH(ROW()-4,rOrden_RO,0),"")</f>
        <v/>
      </c>
      <c r="O9">
        <f>IF($N9="","",INDEX('Cronograma R. Operacional'!$V$5:$V$1000,$N9))</f>
        <v/>
      </c>
      <c r="P9">
        <f>IF($N9="","",N(INDEX('Cronograma R. Operacional'!$W$5:$W$1000,$N9)))</f>
        <v/>
      </c>
      <c r="Q9">
        <f>IF(OR(LEFT($L9,7)="Vencida",LEFT($L9,5)="Vence"),SUMPRODUCT(--(LEFT($L$5:$L9,7)="Vencida"))+SUMPRODUCT(--(LEFT($L$5:$L9,5)="Vence")),"")</f>
        <v/>
      </c>
    </row>
    <row r="10">
      <c r="A10" s="56">
        <f>IF($N10="","",INDEX('Cronograma R. Operacional'!$A$5:$A$1000,$N10))</f>
        <v/>
      </c>
      <c r="B10" s="62">
        <f>IF($N10="","",IF($O10="Sub","      ↳  "&amp;INDEX('Cronograma R. Operacional'!$C$5:$C$1000,$N10),INDEX('Cronograma R. Operacional'!$C$5:$C$1000,$N10)&amp;""))</f>
        <v/>
      </c>
      <c r="C10" s="79">
        <f>IF($N10="","",IF(INDEX('Cronograma R. Operacional'!$AM$5:$AM$1000,$N10)="","",INDEX('Cronograma R. Operacional'!$AM$5:$AM$1000,$N10)))</f>
        <v/>
      </c>
      <c r="D10" s="79">
        <f>IF($N10="","",IF(INDEX('Cronograma R. Operacional'!$AN$5:$AN$1000,$N10)="","",INDEX('Cronograma R. Operacional'!$AN$5:$AN$1000,$N10)))</f>
        <v/>
      </c>
      <c r="E10" s="56">
        <f>IF($N10="","",IF(NOT(ISNUMBER($D10)),"",IF($D10&lt;InicioCiclo,"Antes del ciclo",IF($D10&gt;=InicioCiclo+28,"Después del ciclo","Semana "&amp;(INT(($D10-InicioCiclo)/7)+1)))))</f>
        <v/>
      </c>
      <c r="F10" s="61">
        <f>IF($N10="","",IF($P10&gt;0,IF(1&lt;=SemanaActual,INDEX('Cronograma R. Operacional'!$AC$5:$AC$1000,$N10),""),IF(INDEX('Cronograma R. Operacional'!$I$5:$I$1000,$N10)="","",INDEX('Cronograma R. Operacional'!$I$5:$I$1000,$N10))))</f>
        <v/>
      </c>
      <c r="G10" s="61">
        <f>IF($N10="","",IF($P10&gt;0,IF(2&lt;=SemanaActual,INDEX('Cronograma R. Operacional'!$AD$5:$AD$1000,$N10),""),IF(INDEX('Cronograma R. Operacional'!$J$5:$J$1000,$N10)="","",INDEX('Cronograma R. Operacional'!$J$5:$J$1000,$N10))))</f>
        <v/>
      </c>
      <c r="H10" s="61">
        <f>IF($N10="","",IF($P10&gt;0,IF(3&lt;=SemanaActual,INDEX('Cronograma R. Operacional'!$AE$5:$AE$1000,$N10),""),IF(INDEX('Cronograma R. Operacional'!$K$5:$K$1000,$N10)="","",INDEX('Cronograma R. Operacional'!$K$5:$K$1000,$N10))))</f>
        <v/>
      </c>
      <c r="I10" s="61">
        <f>IF($N10="","",IF($P10&gt;0,IF(4&lt;=SemanaActual,INDEX('Cronograma R. Operacional'!$AF$5:$AF$1000,$N10),""),IF(INDEX('Cronograma R. Operacional'!$L$5:$L$1000,$N10)="","",INDEX('Cronograma R. Operacional'!$L$5:$L$1000,$N10))))</f>
        <v/>
      </c>
      <c r="J10" s="61">
        <f>IF($N10="","",INDEX('Cronograma R. Operacional'!$M$5:$M$1000,$N10))</f>
        <v/>
      </c>
      <c r="K10" s="56">
        <f>IF($N10="","",IF(N($J10)&gt;=1,"Completado",IF(AND(ISNUMBER($D10),$D10&lt;FechaRef),"Vencida",IF(N($J10)&gt;0,"En curso","Pendiente"))))</f>
        <v/>
      </c>
      <c r="L10" s="56">
        <f>IF($N10="","",INDEX('Cronograma R. Operacional'!$O$5:$O$1000,$N10)&amp;"")</f>
        <v/>
      </c>
      <c r="M10" s="62">
        <f>IF($N10="","",INDEX('Cronograma R. Operacional'!$Q$5:$Q$1000,$N10)&amp;"")</f>
        <v/>
      </c>
      <c r="N10">
        <f>IFERROR(MATCH(ROW()-4,rOrden_RO,0),"")</f>
        <v/>
      </c>
      <c r="O10">
        <f>IF($N10="","",INDEX('Cronograma R. Operacional'!$V$5:$V$1000,$N10))</f>
        <v/>
      </c>
      <c r="P10">
        <f>IF($N10="","",N(INDEX('Cronograma R. Operacional'!$W$5:$W$1000,$N10)))</f>
        <v/>
      </c>
      <c r="Q10">
        <f>IF(OR(LEFT($L10,7)="Vencida",LEFT($L10,5)="Vence"),SUMPRODUCT(--(LEFT($L$5:$L10,7)="Vencida"))+SUMPRODUCT(--(LEFT($L$5:$L10,5)="Vence")),"")</f>
        <v/>
      </c>
    </row>
    <row r="11">
      <c r="A11" s="56">
        <f>IF($N11="","",INDEX('Cronograma R. Operacional'!$A$5:$A$1000,$N11))</f>
        <v/>
      </c>
      <c r="B11" s="62">
        <f>IF($N11="","",IF($O11="Sub","      ↳  "&amp;INDEX('Cronograma R. Operacional'!$C$5:$C$1000,$N11),INDEX('Cronograma R. Operacional'!$C$5:$C$1000,$N11)&amp;""))</f>
        <v/>
      </c>
      <c r="C11" s="79">
        <f>IF($N11="","",IF(INDEX('Cronograma R. Operacional'!$AM$5:$AM$1000,$N11)="","",INDEX('Cronograma R. Operacional'!$AM$5:$AM$1000,$N11)))</f>
        <v/>
      </c>
      <c r="D11" s="79">
        <f>IF($N11="","",IF(INDEX('Cronograma R. Operacional'!$AN$5:$AN$1000,$N11)="","",INDEX('Cronograma R. Operacional'!$AN$5:$AN$1000,$N11)))</f>
        <v/>
      </c>
      <c r="E11" s="56">
        <f>IF($N11="","",IF(NOT(ISNUMBER($D11)),"",IF($D11&lt;InicioCiclo,"Antes del ciclo",IF($D11&gt;=InicioCiclo+28,"Después del ciclo","Semana "&amp;(INT(($D11-InicioCiclo)/7)+1)))))</f>
        <v/>
      </c>
      <c r="F11" s="61">
        <f>IF($N11="","",IF($P11&gt;0,IF(1&lt;=SemanaActual,INDEX('Cronograma R. Operacional'!$AC$5:$AC$1000,$N11),""),IF(INDEX('Cronograma R. Operacional'!$I$5:$I$1000,$N11)="","",INDEX('Cronograma R. Operacional'!$I$5:$I$1000,$N11))))</f>
        <v/>
      </c>
      <c r="G11" s="61">
        <f>IF($N11="","",IF($P11&gt;0,IF(2&lt;=SemanaActual,INDEX('Cronograma R. Operacional'!$AD$5:$AD$1000,$N11),""),IF(INDEX('Cronograma R. Operacional'!$J$5:$J$1000,$N11)="","",INDEX('Cronograma R. Operacional'!$J$5:$J$1000,$N11))))</f>
        <v/>
      </c>
      <c r="H11" s="61">
        <f>IF($N11="","",IF($P11&gt;0,IF(3&lt;=SemanaActual,INDEX('Cronograma R. Operacional'!$AE$5:$AE$1000,$N11),""),IF(INDEX('Cronograma R. Operacional'!$K$5:$K$1000,$N11)="","",INDEX('Cronograma R. Operacional'!$K$5:$K$1000,$N11))))</f>
        <v/>
      </c>
      <c r="I11" s="61">
        <f>IF($N11="","",IF($P11&gt;0,IF(4&lt;=SemanaActual,INDEX('Cronograma R. Operacional'!$AF$5:$AF$1000,$N11),""),IF(INDEX('Cronograma R. Operacional'!$L$5:$L$1000,$N11)="","",INDEX('Cronograma R. Operacional'!$L$5:$L$1000,$N11))))</f>
        <v/>
      </c>
      <c r="J11" s="61">
        <f>IF($N11="","",INDEX('Cronograma R. Operacional'!$M$5:$M$1000,$N11))</f>
        <v/>
      </c>
      <c r="K11" s="56">
        <f>IF($N11="","",IF(N($J11)&gt;=1,"Completado",IF(AND(ISNUMBER($D11),$D11&lt;FechaRef),"Vencida",IF(N($J11)&gt;0,"En curso","Pendiente"))))</f>
        <v/>
      </c>
      <c r="L11" s="56">
        <f>IF($N11="","",INDEX('Cronograma R. Operacional'!$O$5:$O$1000,$N11)&amp;"")</f>
        <v/>
      </c>
      <c r="M11" s="62">
        <f>IF($N11="","",INDEX('Cronograma R. Operacional'!$Q$5:$Q$1000,$N11)&amp;"")</f>
        <v/>
      </c>
      <c r="N11">
        <f>IFERROR(MATCH(ROW()-4,rOrden_RO,0),"")</f>
        <v/>
      </c>
      <c r="O11">
        <f>IF($N11="","",INDEX('Cronograma R. Operacional'!$V$5:$V$1000,$N11))</f>
        <v/>
      </c>
      <c r="P11">
        <f>IF($N11="","",N(INDEX('Cronograma R. Operacional'!$W$5:$W$1000,$N11)))</f>
        <v/>
      </c>
      <c r="Q11">
        <f>IF(OR(LEFT($L11,7)="Vencida",LEFT($L11,5)="Vence"),SUMPRODUCT(--(LEFT($L$5:$L11,7)="Vencida"))+SUMPRODUCT(--(LEFT($L$5:$L11,5)="Vence")),"")</f>
        <v/>
      </c>
    </row>
    <row r="12">
      <c r="A12" s="56">
        <f>IF($N12="","",INDEX('Cronograma R. Operacional'!$A$5:$A$1000,$N12))</f>
        <v/>
      </c>
      <c r="B12" s="62">
        <f>IF($N12="","",IF($O12="Sub","      ↳  "&amp;INDEX('Cronograma R. Operacional'!$C$5:$C$1000,$N12),INDEX('Cronograma R. Operacional'!$C$5:$C$1000,$N12)&amp;""))</f>
        <v/>
      </c>
      <c r="C12" s="79">
        <f>IF($N12="","",IF(INDEX('Cronograma R. Operacional'!$AM$5:$AM$1000,$N12)="","",INDEX('Cronograma R. Operacional'!$AM$5:$AM$1000,$N12)))</f>
        <v/>
      </c>
      <c r="D12" s="79">
        <f>IF($N12="","",IF(INDEX('Cronograma R. Operacional'!$AN$5:$AN$1000,$N12)="","",INDEX('Cronograma R. Operacional'!$AN$5:$AN$1000,$N12)))</f>
        <v/>
      </c>
      <c r="E12" s="56">
        <f>IF($N12="","",IF(NOT(ISNUMBER($D12)),"",IF($D12&lt;InicioCiclo,"Antes del ciclo",IF($D12&gt;=InicioCiclo+28,"Después del ciclo","Semana "&amp;(INT(($D12-InicioCiclo)/7)+1)))))</f>
        <v/>
      </c>
      <c r="F12" s="61">
        <f>IF($N12="","",IF($P12&gt;0,IF(1&lt;=SemanaActual,INDEX('Cronograma R. Operacional'!$AC$5:$AC$1000,$N12),""),IF(INDEX('Cronograma R. Operacional'!$I$5:$I$1000,$N12)="","",INDEX('Cronograma R. Operacional'!$I$5:$I$1000,$N12))))</f>
        <v/>
      </c>
      <c r="G12" s="61">
        <f>IF($N12="","",IF($P12&gt;0,IF(2&lt;=SemanaActual,INDEX('Cronograma R. Operacional'!$AD$5:$AD$1000,$N12),""),IF(INDEX('Cronograma R. Operacional'!$J$5:$J$1000,$N12)="","",INDEX('Cronograma R. Operacional'!$J$5:$J$1000,$N12))))</f>
        <v/>
      </c>
      <c r="H12" s="61">
        <f>IF($N12="","",IF($P12&gt;0,IF(3&lt;=SemanaActual,INDEX('Cronograma R. Operacional'!$AE$5:$AE$1000,$N12),""),IF(INDEX('Cronograma R. Operacional'!$K$5:$K$1000,$N12)="","",INDEX('Cronograma R. Operacional'!$K$5:$K$1000,$N12))))</f>
        <v/>
      </c>
      <c r="I12" s="61">
        <f>IF($N12="","",IF($P12&gt;0,IF(4&lt;=SemanaActual,INDEX('Cronograma R. Operacional'!$AF$5:$AF$1000,$N12),""),IF(INDEX('Cronograma R. Operacional'!$L$5:$L$1000,$N12)="","",INDEX('Cronograma R. Operacional'!$L$5:$L$1000,$N12))))</f>
        <v/>
      </c>
      <c r="J12" s="61">
        <f>IF($N12="","",INDEX('Cronograma R. Operacional'!$M$5:$M$1000,$N12))</f>
        <v/>
      </c>
      <c r="K12" s="56">
        <f>IF($N12="","",IF(N($J12)&gt;=1,"Completado",IF(AND(ISNUMBER($D12),$D12&lt;FechaRef),"Vencida",IF(N($J12)&gt;0,"En curso","Pendiente"))))</f>
        <v/>
      </c>
      <c r="L12" s="56">
        <f>IF($N12="","",INDEX('Cronograma R. Operacional'!$O$5:$O$1000,$N12)&amp;"")</f>
        <v/>
      </c>
      <c r="M12" s="62">
        <f>IF($N12="","",INDEX('Cronograma R. Operacional'!$Q$5:$Q$1000,$N12)&amp;"")</f>
        <v/>
      </c>
      <c r="N12">
        <f>IFERROR(MATCH(ROW()-4,rOrden_RO,0),"")</f>
        <v/>
      </c>
      <c r="O12">
        <f>IF($N12="","",INDEX('Cronograma R. Operacional'!$V$5:$V$1000,$N12))</f>
        <v/>
      </c>
      <c r="P12">
        <f>IF($N12="","",N(INDEX('Cronograma R. Operacional'!$W$5:$W$1000,$N12)))</f>
        <v/>
      </c>
      <c r="Q12">
        <f>IF(OR(LEFT($L12,7)="Vencida",LEFT($L12,5)="Vence"),SUMPRODUCT(--(LEFT($L$5:$L12,7)="Vencida"))+SUMPRODUCT(--(LEFT($L$5:$L12,5)="Vence")),"")</f>
        <v/>
      </c>
    </row>
    <row r="13">
      <c r="A13" s="56">
        <f>IF($N13="","",INDEX('Cronograma R. Operacional'!$A$5:$A$1000,$N13))</f>
        <v/>
      </c>
      <c r="B13" s="62">
        <f>IF($N13="","",IF($O13="Sub","      ↳  "&amp;INDEX('Cronograma R. Operacional'!$C$5:$C$1000,$N13),INDEX('Cronograma R. Operacional'!$C$5:$C$1000,$N13)&amp;""))</f>
        <v/>
      </c>
      <c r="C13" s="79">
        <f>IF($N13="","",IF(INDEX('Cronograma R. Operacional'!$AM$5:$AM$1000,$N13)="","",INDEX('Cronograma R. Operacional'!$AM$5:$AM$1000,$N13)))</f>
        <v/>
      </c>
      <c r="D13" s="79">
        <f>IF($N13="","",IF(INDEX('Cronograma R. Operacional'!$AN$5:$AN$1000,$N13)="","",INDEX('Cronograma R. Operacional'!$AN$5:$AN$1000,$N13)))</f>
        <v/>
      </c>
      <c r="E13" s="56">
        <f>IF($N13="","",IF(NOT(ISNUMBER($D13)),"",IF($D13&lt;InicioCiclo,"Antes del ciclo",IF($D13&gt;=InicioCiclo+28,"Después del ciclo","Semana "&amp;(INT(($D13-InicioCiclo)/7)+1)))))</f>
        <v/>
      </c>
      <c r="F13" s="61">
        <f>IF($N13="","",IF($P13&gt;0,IF(1&lt;=SemanaActual,INDEX('Cronograma R. Operacional'!$AC$5:$AC$1000,$N13),""),IF(INDEX('Cronograma R. Operacional'!$I$5:$I$1000,$N13)="","",INDEX('Cronograma R. Operacional'!$I$5:$I$1000,$N13))))</f>
        <v/>
      </c>
      <c r="G13" s="61">
        <f>IF($N13="","",IF($P13&gt;0,IF(2&lt;=SemanaActual,INDEX('Cronograma R. Operacional'!$AD$5:$AD$1000,$N13),""),IF(INDEX('Cronograma R. Operacional'!$J$5:$J$1000,$N13)="","",INDEX('Cronograma R. Operacional'!$J$5:$J$1000,$N13))))</f>
        <v/>
      </c>
      <c r="H13" s="61">
        <f>IF($N13="","",IF($P13&gt;0,IF(3&lt;=SemanaActual,INDEX('Cronograma R. Operacional'!$AE$5:$AE$1000,$N13),""),IF(INDEX('Cronograma R. Operacional'!$K$5:$K$1000,$N13)="","",INDEX('Cronograma R. Operacional'!$K$5:$K$1000,$N13))))</f>
        <v/>
      </c>
      <c r="I13" s="61">
        <f>IF($N13="","",IF($P13&gt;0,IF(4&lt;=SemanaActual,INDEX('Cronograma R. Operacional'!$AF$5:$AF$1000,$N13),""),IF(INDEX('Cronograma R. Operacional'!$L$5:$L$1000,$N13)="","",INDEX('Cronograma R. Operacional'!$L$5:$L$1000,$N13))))</f>
        <v/>
      </c>
      <c r="J13" s="61">
        <f>IF($N13="","",INDEX('Cronograma R. Operacional'!$M$5:$M$1000,$N13))</f>
        <v/>
      </c>
      <c r="K13" s="56">
        <f>IF($N13="","",IF(N($J13)&gt;=1,"Completado",IF(AND(ISNUMBER($D13),$D13&lt;FechaRef),"Vencida",IF(N($J13)&gt;0,"En curso","Pendiente"))))</f>
        <v/>
      </c>
      <c r="L13" s="56">
        <f>IF($N13="","",INDEX('Cronograma R. Operacional'!$O$5:$O$1000,$N13)&amp;"")</f>
        <v/>
      </c>
      <c r="M13" s="62">
        <f>IF($N13="","",INDEX('Cronograma R. Operacional'!$Q$5:$Q$1000,$N13)&amp;"")</f>
        <v/>
      </c>
      <c r="N13">
        <f>IFERROR(MATCH(ROW()-4,rOrden_RO,0),"")</f>
        <v/>
      </c>
      <c r="O13">
        <f>IF($N13="","",INDEX('Cronograma R. Operacional'!$V$5:$V$1000,$N13))</f>
        <v/>
      </c>
      <c r="P13">
        <f>IF($N13="","",N(INDEX('Cronograma R. Operacional'!$W$5:$W$1000,$N13)))</f>
        <v/>
      </c>
      <c r="Q13">
        <f>IF(OR(LEFT($L13,7)="Vencida",LEFT($L13,5)="Vence"),SUMPRODUCT(--(LEFT($L$5:$L13,7)="Vencida"))+SUMPRODUCT(--(LEFT($L$5:$L13,5)="Vence")),"")</f>
        <v/>
      </c>
    </row>
    <row r="14">
      <c r="A14" s="56">
        <f>IF($N14="","",INDEX('Cronograma R. Operacional'!$A$5:$A$1000,$N14))</f>
        <v/>
      </c>
      <c r="B14" s="62">
        <f>IF($N14="","",IF($O14="Sub","      ↳  "&amp;INDEX('Cronograma R. Operacional'!$C$5:$C$1000,$N14),INDEX('Cronograma R. Operacional'!$C$5:$C$1000,$N14)&amp;""))</f>
        <v/>
      </c>
      <c r="C14" s="79">
        <f>IF($N14="","",IF(INDEX('Cronograma R. Operacional'!$AM$5:$AM$1000,$N14)="","",INDEX('Cronograma R. Operacional'!$AM$5:$AM$1000,$N14)))</f>
        <v/>
      </c>
      <c r="D14" s="79">
        <f>IF($N14="","",IF(INDEX('Cronograma R. Operacional'!$AN$5:$AN$1000,$N14)="","",INDEX('Cronograma R. Operacional'!$AN$5:$AN$1000,$N14)))</f>
        <v/>
      </c>
      <c r="E14" s="56">
        <f>IF($N14="","",IF(NOT(ISNUMBER($D14)),"",IF($D14&lt;InicioCiclo,"Antes del ciclo",IF($D14&gt;=InicioCiclo+28,"Después del ciclo","Semana "&amp;(INT(($D14-InicioCiclo)/7)+1)))))</f>
        <v/>
      </c>
      <c r="F14" s="61">
        <f>IF($N14="","",IF($P14&gt;0,IF(1&lt;=SemanaActual,INDEX('Cronograma R. Operacional'!$AC$5:$AC$1000,$N14),""),IF(INDEX('Cronograma R. Operacional'!$I$5:$I$1000,$N14)="","",INDEX('Cronograma R. Operacional'!$I$5:$I$1000,$N14))))</f>
        <v/>
      </c>
      <c r="G14" s="61">
        <f>IF($N14="","",IF($P14&gt;0,IF(2&lt;=SemanaActual,INDEX('Cronograma R. Operacional'!$AD$5:$AD$1000,$N14),""),IF(INDEX('Cronograma R. Operacional'!$J$5:$J$1000,$N14)="","",INDEX('Cronograma R. Operacional'!$J$5:$J$1000,$N14))))</f>
        <v/>
      </c>
      <c r="H14" s="61">
        <f>IF($N14="","",IF($P14&gt;0,IF(3&lt;=SemanaActual,INDEX('Cronograma R. Operacional'!$AE$5:$AE$1000,$N14),""),IF(INDEX('Cronograma R. Operacional'!$K$5:$K$1000,$N14)="","",INDEX('Cronograma R. Operacional'!$K$5:$K$1000,$N14))))</f>
        <v/>
      </c>
      <c r="I14" s="61">
        <f>IF($N14="","",IF($P14&gt;0,IF(4&lt;=SemanaActual,INDEX('Cronograma R. Operacional'!$AF$5:$AF$1000,$N14),""),IF(INDEX('Cronograma R. Operacional'!$L$5:$L$1000,$N14)="","",INDEX('Cronograma R. Operacional'!$L$5:$L$1000,$N14))))</f>
        <v/>
      </c>
      <c r="J14" s="61">
        <f>IF($N14="","",INDEX('Cronograma R. Operacional'!$M$5:$M$1000,$N14))</f>
        <v/>
      </c>
      <c r="K14" s="56">
        <f>IF($N14="","",IF(N($J14)&gt;=1,"Completado",IF(AND(ISNUMBER($D14),$D14&lt;FechaRef),"Vencida",IF(N($J14)&gt;0,"En curso","Pendiente"))))</f>
        <v/>
      </c>
      <c r="L14" s="56">
        <f>IF($N14="","",INDEX('Cronograma R. Operacional'!$O$5:$O$1000,$N14)&amp;"")</f>
        <v/>
      </c>
      <c r="M14" s="62">
        <f>IF($N14="","",INDEX('Cronograma R. Operacional'!$Q$5:$Q$1000,$N14)&amp;"")</f>
        <v/>
      </c>
      <c r="N14">
        <f>IFERROR(MATCH(ROW()-4,rOrden_RO,0),"")</f>
        <v/>
      </c>
      <c r="O14">
        <f>IF($N14="","",INDEX('Cronograma R. Operacional'!$V$5:$V$1000,$N14))</f>
        <v/>
      </c>
      <c r="P14">
        <f>IF($N14="","",N(INDEX('Cronograma R. Operacional'!$W$5:$W$1000,$N14)))</f>
        <v/>
      </c>
      <c r="Q14">
        <f>IF(OR(LEFT($L14,7)="Vencida",LEFT($L14,5)="Vence"),SUMPRODUCT(--(LEFT($L$5:$L14,7)="Vencida"))+SUMPRODUCT(--(LEFT($L$5:$L14,5)="Vence")),"")</f>
        <v/>
      </c>
    </row>
    <row r="15">
      <c r="A15" s="56">
        <f>IF($N15="","",INDEX('Cronograma R. Operacional'!$A$5:$A$1000,$N15))</f>
        <v/>
      </c>
      <c r="B15" s="62">
        <f>IF($N15="","",IF($O15="Sub","      ↳  "&amp;INDEX('Cronograma R. Operacional'!$C$5:$C$1000,$N15),INDEX('Cronograma R. Operacional'!$C$5:$C$1000,$N15)&amp;""))</f>
        <v/>
      </c>
      <c r="C15" s="79">
        <f>IF($N15="","",IF(INDEX('Cronograma R. Operacional'!$AM$5:$AM$1000,$N15)="","",INDEX('Cronograma R. Operacional'!$AM$5:$AM$1000,$N15)))</f>
        <v/>
      </c>
      <c r="D15" s="79">
        <f>IF($N15="","",IF(INDEX('Cronograma R. Operacional'!$AN$5:$AN$1000,$N15)="","",INDEX('Cronograma R. Operacional'!$AN$5:$AN$1000,$N15)))</f>
        <v/>
      </c>
      <c r="E15" s="56">
        <f>IF($N15="","",IF(NOT(ISNUMBER($D15)),"",IF($D15&lt;InicioCiclo,"Antes del ciclo",IF($D15&gt;=InicioCiclo+28,"Después del ciclo","Semana "&amp;(INT(($D15-InicioCiclo)/7)+1)))))</f>
        <v/>
      </c>
      <c r="F15" s="61">
        <f>IF($N15="","",IF($P15&gt;0,IF(1&lt;=SemanaActual,INDEX('Cronograma R. Operacional'!$AC$5:$AC$1000,$N15),""),IF(INDEX('Cronograma R. Operacional'!$I$5:$I$1000,$N15)="","",INDEX('Cronograma R. Operacional'!$I$5:$I$1000,$N15))))</f>
        <v/>
      </c>
      <c r="G15" s="61">
        <f>IF($N15="","",IF($P15&gt;0,IF(2&lt;=SemanaActual,INDEX('Cronograma R. Operacional'!$AD$5:$AD$1000,$N15),""),IF(INDEX('Cronograma R. Operacional'!$J$5:$J$1000,$N15)="","",INDEX('Cronograma R. Operacional'!$J$5:$J$1000,$N15))))</f>
        <v/>
      </c>
      <c r="H15" s="61">
        <f>IF($N15="","",IF($P15&gt;0,IF(3&lt;=SemanaActual,INDEX('Cronograma R. Operacional'!$AE$5:$AE$1000,$N15),""),IF(INDEX('Cronograma R. Operacional'!$K$5:$K$1000,$N15)="","",INDEX('Cronograma R. Operacional'!$K$5:$K$1000,$N15))))</f>
        <v/>
      </c>
      <c r="I15" s="61">
        <f>IF($N15="","",IF($P15&gt;0,IF(4&lt;=SemanaActual,INDEX('Cronograma R. Operacional'!$AF$5:$AF$1000,$N15),""),IF(INDEX('Cronograma R. Operacional'!$L$5:$L$1000,$N15)="","",INDEX('Cronograma R. Operacional'!$L$5:$L$1000,$N15))))</f>
        <v/>
      </c>
      <c r="J15" s="61">
        <f>IF($N15="","",INDEX('Cronograma R. Operacional'!$M$5:$M$1000,$N15))</f>
        <v/>
      </c>
      <c r="K15" s="56">
        <f>IF($N15="","",IF(N($J15)&gt;=1,"Completado",IF(AND(ISNUMBER($D15),$D15&lt;FechaRef),"Vencida",IF(N($J15)&gt;0,"En curso","Pendiente"))))</f>
        <v/>
      </c>
      <c r="L15" s="56">
        <f>IF($N15="","",INDEX('Cronograma R. Operacional'!$O$5:$O$1000,$N15)&amp;"")</f>
        <v/>
      </c>
      <c r="M15" s="62">
        <f>IF($N15="","",INDEX('Cronograma R. Operacional'!$Q$5:$Q$1000,$N15)&amp;"")</f>
        <v/>
      </c>
      <c r="N15">
        <f>IFERROR(MATCH(ROW()-4,rOrden_RO,0),"")</f>
        <v/>
      </c>
      <c r="O15">
        <f>IF($N15="","",INDEX('Cronograma R. Operacional'!$V$5:$V$1000,$N15))</f>
        <v/>
      </c>
      <c r="P15">
        <f>IF($N15="","",N(INDEX('Cronograma R. Operacional'!$W$5:$W$1000,$N15)))</f>
        <v/>
      </c>
      <c r="Q15">
        <f>IF(OR(LEFT($L15,7)="Vencida",LEFT($L15,5)="Vence"),SUMPRODUCT(--(LEFT($L$5:$L15,7)="Vencida"))+SUMPRODUCT(--(LEFT($L$5:$L15,5)="Vence")),"")</f>
        <v/>
      </c>
    </row>
    <row r="16">
      <c r="A16" s="56">
        <f>IF($N16="","",INDEX('Cronograma R. Operacional'!$A$5:$A$1000,$N16))</f>
        <v/>
      </c>
      <c r="B16" s="62">
        <f>IF($N16="","",IF($O16="Sub","      ↳  "&amp;INDEX('Cronograma R. Operacional'!$C$5:$C$1000,$N16),INDEX('Cronograma R. Operacional'!$C$5:$C$1000,$N16)&amp;""))</f>
        <v/>
      </c>
      <c r="C16" s="79">
        <f>IF($N16="","",IF(INDEX('Cronograma R. Operacional'!$AM$5:$AM$1000,$N16)="","",INDEX('Cronograma R. Operacional'!$AM$5:$AM$1000,$N16)))</f>
        <v/>
      </c>
      <c r="D16" s="79">
        <f>IF($N16="","",IF(INDEX('Cronograma R. Operacional'!$AN$5:$AN$1000,$N16)="","",INDEX('Cronograma R. Operacional'!$AN$5:$AN$1000,$N16)))</f>
        <v/>
      </c>
      <c r="E16" s="56">
        <f>IF($N16="","",IF(NOT(ISNUMBER($D16)),"",IF($D16&lt;InicioCiclo,"Antes del ciclo",IF($D16&gt;=InicioCiclo+28,"Después del ciclo","Semana "&amp;(INT(($D16-InicioCiclo)/7)+1)))))</f>
        <v/>
      </c>
      <c r="F16" s="61">
        <f>IF($N16="","",IF($P16&gt;0,IF(1&lt;=SemanaActual,INDEX('Cronograma R. Operacional'!$AC$5:$AC$1000,$N16),""),IF(INDEX('Cronograma R. Operacional'!$I$5:$I$1000,$N16)="","",INDEX('Cronograma R. Operacional'!$I$5:$I$1000,$N16))))</f>
        <v/>
      </c>
      <c r="G16" s="61">
        <f>IF($N16="","",IF($P16&gt;0,IF(2&lt;=SemanaActual,INDEX('Cronograma R. Operacional'!$AD$5:$AD$1000,$N16),""),IF(INDEX('Cronograma R. Operacional'!$J$5:$J$1000,$N16)="","",INDEX('Cronograma R. Operacional'!$J$5:$J$1000,$N16))))</f>
        <v/>
      </c>
      <c r="H16" s="61">
        <f>IF($N16="","",IF($P16&gt;0,IF(3&lt;=SemanaActual,INDEX('Cronograma R. Operacional'!$AE$5:$AE$1000,$N16),""),IF(INDEX('Cronograma R. Operacional'!$K$5:$K$1000,$N16)="","",INDEX('Cronograma R. Operacional'!$K$5:$K$1000,$N16))))</f>
        <v/>
      </c>
      <c r="I16" s="61">
        <f>IF($N16="","",IF($P16&gt;0,IF(4&lt;=SemanaActual,INDEX('Cronograma R. Operacional'!$AF$5:$AF$1000,$N16),""),IF(INDEX('Cronograma R. Operacional'!$L$5:$L$1000,$N16)="","",INDEX('Cronograma R. Operacional'!$L$5:$L$1000,$N16))))</f>
        <v/>
      </c>
      <c r="J16" s="61">
        <f>IF($N16="","",INDEX('Cronograma R. Operacional'!$M$5:$M$1000,$N16))</f>
        <v/>
      </c>
      <c r="K16" s="56">
        <f>IF($N16="","",IF(N($J16)&gt;=1,"Completado",IF(AND(ISNUMBER($D16),$D16&lt;FechaRef),"Vencida",IF(N($J16)&gt;0,"En curso","Pendiente"))))</f>
        <v/>
      </c>
      <c r="L16" s="56">
        <f>IF($N16="","",INDEX('Cronograma R. Operacional'!$O$5:$O$1000,$N16)&amp;"")</f>
        <v/>
      </c>
      <c r="M16" s="62">
        <f>IF($N16="","",INDEX('Cronograma R. Operacional'!$Q$5:$Q$1000,$N16)&amp;"")</f>
        <v/>
      </c>
      <c r="N16">
        <f>IFERROR(MATCH(ROW()-4,rOrden_RO,0),"")</f>
        <v/>
      </c>
      <c r="O16">
        <f>IF($N16="","",INDEX('Cronograma R. Operacional'!$V$5:$V$1000,$N16))</f>
        <v/>
      </c>
      <c r="P16">
        <f>IF($N16="","",N(INDEX('Cronograma R. Operacional'!$W$5:$W$1000,$N16)))</f>
        <v/>
      </c>
      <c r="Q16">
        <f>IF(OR(LEFT($L16,7)="Vencida",LEFT($L16,5)="Vence"),SUMPRODUCT(--(LEFT($L$5:$L16,7)="Vencida"))+SUMPRODUCT(--(LEFT($L$5:$L16,5)="Vence")),"")</f>
        <v/>
      </c>
    </row>
    <row r="17">
      <c r="A17" s="56">
        <f>IF($N17="","",INDEX('Cronograma R. Operacional'!$A$5:$A$1000,$N17))</f>
        <v/>
      </c>
      <c r="B17" s="62">
        <f>IF($N17="","",IF($O17="Sub","      ↳  "&amp;INDEX('Cronograma R. Operacional'!$C$5:$C$1000,$N17),INDEX('Cronograma R. Operacional'!$C$5:$C$1000,$N17)&amp;""))</f>
        <v/>
      </c>
      <c r="C17" s="79">
        <f>IF($N17="","",IF(INDEX('Cronograma R. Operacional'!$AM$5:$AM$1000,$N17)="","",INDEX('Cronograma R. Operacional'!$AM$5:$AM$1000,$N17)))</f>
        <v/>
      </c>
      <c r="D17" s="79">
        <f>IF($N17="","",IF(INDEX('Cronograma R. Operacional'!$AN$5:$AN$1000,$N17)="","",INDEX('Cronograma R. Operacional'!$AN$5:$AN$1000,$N17)))</f>
        <v/>
      </c>
      <c r="E17" s="56">
        <f>IF($N17="","",IF(NOT(ISNUMBER($D17)),"",IF($D17&lt;InicioCiclo,"Antes del ciclo",IF($D17&gt;=InicioCiclo+28,"Después del ciclo","Semana "&amp;(INT(($D17-InicioCiclo)/7)+1)))))</f>
        <v/>
      </c>
      <c r="F17" s="61">
        <f>IF($N17="","",IF($P17&gt;0,IF(1&lt;=SemanaActual,INDEX('Cronograma R. Operacional'!$AC$5:$AC$1000,$N17),""),IF(INDEX('Cronograma R. Operacional'!$I$5:$I$1000,$N17)="","",INDEX('Cronograma R. Operacional'!$I$5:$I$1000,$N17))))</f>
        <v/>
      </c>
      <c r="G17" s="61">
        <f>IF($N17="","",IF($P17&gt;0,IF(2&lt;=SemanaActual,INDEX('Cronograma R. Operacional'!$AD$5:$AD$1000,$N17),""),IF(INDEX('Cronograma R. Operacional'!$J$5:$J$1000,$N17)="","",INDEX('Cronograma R. Operacional'!$J$5:$J$1000,$N17))))</f>
        <v/>
      </c>
      <c r="H17" s="61">
        <f>IF($N17="","",IF($P17&gt;0,IF(3&lt;=SemanaActual,INDEX('Cronograma R. Operacional'!$AE$5:$AE$1000,$N17),""),IF(INDEX('Cronograma R. Operacional'!$K$5:$K$1000,$N17)="","",INDEX('Cronograma R. Operacional'!$K$5:$K$1000,$N17))))</f>
        <v/>
      </c>
      <c r="I17" s="61">
        <f>IF($N17="","",IF($P17&gt;0,IF(4&lt;=SemanaActual,INDEX('Cronograma R. Operacional'!$AF$5:$AF$1000,$N17),""),IF(INDEX('Cronograma R. Operacional'!$L$5:$L$1000,$N17)="","",INDEX('Cronograma R. Operacional'!$L$5:$L$1000,$N17))))</f>
        <v/>
      </c>
      <c r="J17" s="61">
        <f>IF($N17="","",INDEX('Cronograma R. Operacional'!$M$5:$M$1000,$N17))</f>
        <v/>
      </c>
      <c r="K17" s="56">
        <f>IF($N17="","",IF(N($J17)&gt;=1,"Completado",IF(AND(ISNUMBER($D17),$D17&lt;FechaRef),"Vencida",IF(N($J17)&gt;0,"En curso","Pendiente"))))</f>
        <v/>
      </c>
      <c r="L17" s="56">
        <f>IF($N17="","",INDEX('Cronograma R. Operacional'!$O$5:$O$1000,$N17)&amp;"")</f>
        <v/>
      </c>
      <c r="M17" s="62">
        <f>IF($N17="","",INDEX('Cronograma R. Operacional'!$Q$5:$Q$1000,$N17)&amp;"")</f>
        <v/>
      </c>
      <c r="N17">
        <f>IFERROR(MATCH(ROW()-4,rOrden_RO,0),"")</f>
        <v/>
      </c>
      <c r="O17">
        <f>IF($N17="","",INDEX('Cronograma R. Operacional'!$V$5:$V$1000,$N17))</f>
        <v/>
      </c>
      <c r="P17">
        <f>IF($N17="","",N(INDEX('Cronograma R. Operacional'!$W$5:$W$1000,$N17)))</f>
        <v/>
      </c>
      <c r="Q17">
        <f>IF(OR(LEFT($L17,7)="Vencida",LEFT($L17,5)="Vence"),SUMPRODUCT(--(LEFT($L$5:$L17,7)="Vencida"))+SUMPRODUCT(--(LEFT($L$5:$L17,5)="Vence")),"")</f>
        <v/>
      </c>
    </row>
    <row r="18">
      <c r="A18" s="56">
        <f>IF($N18="","",INDEX('Cronograma R. Operacional'!$A$5:$A$1000,$N18))</f>
        <v/>
      </c>
      <c r="B18" s="62">
        <f>IF($N18="","",IF($O18="Sub","      ↳  "&amp;INDEX('Cronograma R. Operacional'!$C$5:$C$1000,$N18),INDEX('Cronograma R. Operacional'!$C$5:$C$1000,$N18)&amp;""))</f>
        <v/>
      </c>
      <c r="C18" s="79">
        <f>IF($N18="","",IF(INDEX('Cronograma R. Operacional'!$AM$5:$AM$1000,$N18)="","",INDEX('Cronograma R. Operacional'!$AM$5:$AM$1000,$N18)))</f>
        <v/>
      </c>
      <c r="D18" s="79">
        <f>IF($N18="","",IF(INDEX('Cronograma R. Operacional'!$AN$5:$AN$1000,$N18)="","",INDEX('Cronograma R. Operacional'!$AN$5:$AN$1000,$N18)))</f>
        <v/>
      </c>
      <c r="E18" s="56">
        <f>IF($N18="","",IF(NOT(ISNUMBER($D18)),"",IF($D18&lt;InicioCiclo,"Antes del ciclo",IF($D18&gt;=InicioCiclo+28,"Después del ciclo","Semana "&amp;(INT(($D18-InicioCiclo)/7)+1)))))</f>
        <v/>
      </c>
      <c r="F18" s="61">
        <f>IF($N18="","",IF($P18&gt;0,IF(1&lt;=SemanaActual,INDEX('Cronograma R. Operacional'!$AC$5:$AC$1000,$N18),""),IF(INDEX('Cronograma R. Operacional'!$I$5:$I$1000,$N18)="","",INDEX('Cronograma R. Operacional'!$I$5:$I$1000,$N18))))</f>
        <v/>
      </c>
      <c r="G18" s="61">
        <f>IF($N18="","",IF($P18&gt;0,IF(2&lt;=SemanaActual,INDEX('Cronograma R. Operacional'!$AD$5:$AD$1000,$N18),""),IF(INDEX('Cronograma R. Operacional'!$J$5:$J$1000,$N18)="","",INDEX('Cronograma R. Operacional'!$J$5:$J$1000,$N18))))</f>
        <v/>
      </c>
      <c r="H18" s="61">
        <f>IF($N18="","",IF($P18&gt;0,IF(3&lt;=SemanaActual,INDEX('Cronograma R. Operacional'!$AE$5:$AE$1000,$N18),""),IF(INDEX('Cronograma R. Operacional'!$K$5:$K$1000,$N18)="","",INDEX('Cronograma R. Operacional'!$K$5:$K$1000,$N18))))</f>
        <v/>
      </c>
      <c r="I18" s="61">
        <f>IF($N18="","",IF($P18&gt;0,IF(4&lt;=SemanaActual,INDEX('Cronograma R. Operacional'!$AF$5:$AF$1000,$N18),""),IF(INDEX('Cronograma R. Operacional'!$L$5:$L$1000,$N18)="","",INDEX('Cronograma R. Operacional'!$L$5:$L$1000,$N18))))</f>
        <v/>
      </c>
      <c r="J18" s="61">
        <f>IF($N18="","",INDEX('Cronograma R. Operacional'!$M$5:$M$1000,$N18))</f>
        <v/>
      </c>
      <c r="K18" s="56">
        <f>IF($N18="","",IF(N($J18)&gt;=1,"Completado",IF(AND(ISNUMBER($D18),$D18&lt;FechaRef),"Vencida",IF(N($J18)&gt;0,"En curso","Pendiente"))))</f>
        <v/>
      </c>
      <c r="L18" s="56">
        <f>IF($N18="","",INDEX('Cronograma R. Operacional'!$O$5:$O$1000,$N18)&amp;"")</f>
        <v/>
      </c>
      <c r="M18" s="62">
        <f>IF($N18="","",INDEX('Cronograma R. Operacional'!$Q$5:$Q$1000,$N18)&amp;"")</f>
        <v/>
      </c>
      <c r="N18">
        <f>IFERROR(MATCH(ROW()-4,rOrden_RO,0),"")</f>
        <v/>
      </c>
      <c r="O18">
        <f>IF($N18="","",INDEX('Cronograma R. Operacional'!$V$5:$V$1000,$N18))</f>
        <v/>
      </c>
      <c r="P18">
        <f>IF($N18="","",N(INDEX('Cronograma R. Operacional'!$W$5:$W$1000,$N18)))</f>
        <v/>
      </c>
      <c r="Q18">
        <f>IF(OR(LEFT($L18,7)="Vencida",LEFT($L18,5)="Vence"),SUMPRODUCT(--(LEFT($L$5:$L18,7)="Vencida"))+SUMPRODUCT(--(LEFT($L$5:$L18,5)="Vence")),"")</f>
        <v/>
      </c>
    </row>
    <row r="19">
      <c r="A19" s="56">
        <f>IF($N19="","",INDEX('Cronograma R. Operacional'!$A$5:$A$1000,$N19))</f>
        <v/>
      </c>
      <c r="B19" s="62">
        <f>IF($N19="","",IF($O19="Sub","      ↳  "&amp;INDEX('Cronograma R. Operacional'!$C$5:$C$1000,$N19),INDEX('Cronograma R. Operacional'!$C$5:$C$1000,$N19)&amp;""))</f>
        <v/>
      </c>
      <c r="C19" s="79">
        <f>IF($N19="","",IF(INDEX('Cronograma R. Operacional'!$AM$5:$AM$1000,$N19)="","",INDEX('Cronograma R. Operacional'!$AM$5:$AM$1000,$N19)))</f>
        <v/>
      </c>
      <c r="D19" s="79">
        <f>IF($N19="","",IF(INDEX('Cronograma R. Operacional'!$AN$5:$AN$1000,$N19)="","",INDEX('Cronograma R. Operacional'!$AN$5:$AN$1000,$N19)))</f>
        <v/>
      </c>
      <c r="E19" s="56">
        <f>IF($N19="","",IF(NOT(ISNUMBER($D19)),"",IF($D19&lt;InicioCiclo,"Antes del ciclo",IF($D19&gt;=InicioCiclo+28,"Después del ciclo","Semana "&amp;(INT(($D19-InicioCiclo)/7)+1)))))</f>
        <v/>
      </c>
      <c r="F19" s="61">
        <f>IF($N19="","",IF($P19&gt;0,IF(1&lt;=SemanaActual,INDEX('Cronograma R. Operacional'!$AC$5:$AC$1000,$N19),""),IF(INDEX('Cronograma R. Operacional'!$I$5:$I$1000,$N19)="","",INDEX('Cronograma R. Operacional'!$I$5:$I$1000,$N19))))</f>
        <v/>
      </c>
      <c r="G19" s="61">
        <f>IF($N19="","",IF($P19&gt;0,IF(2&lt;=SemanaActual,INDEX('Cronograma R. Operacional'!$AD$5:$AD$1000,$N19),""),IF(INDEX('Cronograma R. Operacional'!$J$5:$J$1000,$N19)="","",INDEX('Cronograma R. Operacional'!$J$5:$J$1000,$N19))))</f>
        <v/>
      </c>
      <c r="H19" s="61">
        <f>IF($N19="","",IF($P19&gt;0,IF(3&lt;=SemanaActual,INDEX('Cronograma R. Operacional'!$AE$5:$AE$1000,$N19),""),IF(INDEX('Cronograma R. Operacional'!$K$5:$K$1000,$N19)="","",INDEX('Cronograma R. Operacional'!$K$5:$K$1000,$N19))))</f>
        <v/>
      </c>
      <c r="I19" s="61">
        <f>IF($N19="","",IF($P19&gt;0,IF(4&lt;=SemanaActual,INDEX('Cronograma R. Operacional'!$AF$5:$AF$1000,$N19),""),IF(INDEX('Cronograma R. Operacional'!$L$5:$L$1000,$N19)="","",INDEX('Cronograma R. Operacional'!$L$5:$L$1000,$N19))))</f>
        <v/>
      </c>
      <c r="J19" s="61">
        <f>IF($N19="","",INDEX('Cronograma R. Operacional'!$M$5:$M$1000,$N19))</f>
        <v/>
      </c>
      <c r="K19" s="56">
        <f>IF($N19="","",IF(N($J19)&gt;=1,"Completado",IF(AND(ISNUMBER($D19),$D19&lt;FechaRef),"Vencida",IF(N($J19)&gt;0,"En curso","Pendiente"))))</f>
        <v/>
      </c>
      <c r="L19" s="56">
        <f>IF($N19="","",INDEX('Cronograma R. Operacional'!$O$5:$O$1000,$N19)&amp;"")</f>
        <v/>
      </c>
      <c r="M19" s="62">
        <f>IF($N19="","",INDEX('Cronograma R. Operacional'!$Q$5:$Q$1000,$N19)&amp;"")</f>
        <v/>
      </c>
      <c r="N19">
        <f>IFERROR(MATCH(ROW()-4,rOrden_RO,0),"")</f>
        <v/>
      </c>
      <c r="O19">
        <f>IF($N19="","",INDEX('Cronograma R. Operacional'!$V$5:$V$1000,$N19))</f>
        <v/>
      </c>
      <c r="P19">
        <f>IF($N19="","",N(INDEX('Cronograma R. Operacional'!$W$5:$W$1000,$N19)))</f>
        <v/>
      </c>
      <c r="Q19">
        <f>IF(OR(LEFT($L19,7)="Vencida",LEFT($L19,5)="Vence"),SUMPRODUCT(--(LEFT($L$5:$L19,7)="Vencida"))+SUMPRODUCT(--(LEFT($L$5:$L19,5)="Vence")),"")</f>
        <v/>
      </c>
    </row>
    <row r="20">
      <c r="A20" s="56">
        <f>IF($N20="","",INDEX('Cronograma R. Operacional'!$A$5:$A$1000,$N20))</f>
        <v/>
      </c>
      <c r="B20" s="62">
        <f>IF($N20="","",IF($O20="Sub","      ↳  "&amp;INDEX('Cronograma R. Operacional'!$C$5:$C$1000,$N20),INDEX('Cronograma R. Operacional'!$C$5:$C$1000,$N20)&amp;""))</f>
        <v/>
      </c>
      <c r="C20" s="79">
        <f>IF($N20="","",IF(INDEX('Cronograma R. Operacional'!$AM$5:$AM$1000,$N20)="","",INDEX('Cronograma R. Operacional'!$AM$5:$AM$1000,$N20)))</f>
        <v/>
      </c>
      <c r="D20" s="79">
        <f>IF($N20="","",IF(INDEX('Cronograma R. Operacional'!$AN$5:$AN$1000,$N20)="","",INDEX('Cronograma R. Operacional'!$AN$5:$AN$1000,$N20)))</f>
        <v/>
      </c>
      <c r="E20" s="56">
        <f>IF($N20="","",IF(NOT(ISNUMBER($D20)),"",IF($D20&lt;InicioCiclo,"Antes del ciclo",IF($D20&gt;=InicioCiclo+28,"Después del ciclo","Semana "&amp;(INT(($D20-InicioCiclo)/7)+1)))))</f>
        <v/>
      </c>
      <c r="F20" s="61">
        <f>IF($N20="","",IF($P20&gt;0,IF(1&lt;=SemanaActual,INDEX('Cronograma R. Operacional'!$AC$5:$AC$1000,$N20),""),IF(INDEX('Cronograma R. Operacional'!$I$5:$I$1000,$N20)="","",INDEX('Cronograma R. Operacional'!$I$5:$I$1000,$N20))))</f>
        <v/>
      </c>
      <c r="G20" s="61">
        <f>IF($N20="","",IF($P20&gt;0,IF(2&lt;=SemanaActual,INDEX('Cronograma R. Operacional'!$AD$5:$AD$1000,$N20),""),IF(INDEX('Cronograma R. Operacional'!$J$5:$J$1000,$N20)="","",INDEX('Cronograma R. Operacional'!$J$5:$J$1000,$N20))))</f>
        <v/>
      </c>
      <c r="H20" s="61">
        <f>IF($N20="","",IF($P20&gt;0,IF(3&lt;=SemanaActual,INDEX('Cronograma R. Operacional'!$AE$5:$AE$1000,$N20),""),IF(INDEX('Cronograma R. Operacional'!$K$5:$K$1000,$N20)="","",INDEX('Cronograma R. Operacional'!$K$5:$K$1000,$N20))))</f>
        <v/>
      </c>
      <c r="I20" s="61">
        <f>IF($N20="","",IF($P20&gt;0,IF(4&lt;=SemanaActual,INDEX('Cronograma R. Operacional'!$AF$5:$AF$1000,$N20),""),IF(INDEX('Cronograma R. Operacional'!$L$5:$L$1000,$N20)="","",INDEX('Cronograma R. Operacional'!$L$5:$L$1000,$N20))))</f>
        <v/>
      </c>
      <c r="J20" s="61">
        <f>IF($N20="","",INDEX('Cronograma R. Operacional'!$M$5:$M$1000,$N20))</f>
        <v/>
      </c>
      <c r="K20" s="56">
        <f>IF($N20="","",IF(N($J20)&gt;=1,"Completado",IF(AND(ISNUMBER($D20),$D20&lt;FechaRef),"Vencida",IF(N($J20)&gt;0,"En curso","Pendiente"))))</f>
        <v/>
      </c>
      <c r="L20" s="56">
        <f>IF($N20="","",INDEX('Cronograma R. Operacional'!$O$5:$O$1000,$N20)&amp;"")</f>
        <v/>
      </c>
      <c r="M20" s="62">
        <f>IF($N20="","",INDEX('Cronograma R. Operacional'!$Q$5:$Q$1000,$N20)&amp;"")</f>
        <v/>
      </c>
      <c r="N20">
        <f>IFERROR(MATCH(ROW()-4,rOrden_RO,0),"")</f>
        <v/>
      </c>
      <c r="O20">
        <f>IF($N20="","",INDEX('Cronograma R. Operacional'!$V$5:$V$1000,$N20))</f>
        <v/>
      </c>
      <c r="P20">
        <f>IF($N20="","",N(INDEX('Cronograma R. Operacional'!$W$5:$W$1000,$N20)))</f>
        <v/>
      </c>
      <c r="Q20">
        <f>IF(OR(LEFT($L20,7)="Vencida",LEFT($L20,5)="Vence"),SUMPRODUCT(--(LEFT($L$5:$L20,7)="Vencida"))+SUMPRODUCT(--(LEFT($L$5:$L20,5)="Vence")),"")</f>
        <v/>
      </c>
    </row>
    <row r="21">
      <c r="A21" s="56">
        <f>IF($N21="","",INDEX('Cronograma R. Operacional'!$A$5:$A$1000,$N21))</f>
        <v/>
      </c>
      <c r="B21" s="62">
        <f>IF($N21="","",IF($O21="Sub","      ↳  "&amp;INDEX('Cronograma R. Operacional'!$C$5:$C$1000,$N21),INDEX('Cronograma R. Operacional'!$C$5:$C$1000,$N21)&amp;""))</f>
        <v/>
      </c>
      <c r="C21" s="79">
        <f>IF($N21="","",IF(INDEX('Cronograma R. Operacional'!$AM$5:$AM$1000,$N21)="","",INDEX('Cronograma R. Operacional'!$AM$5:$AM$1000,$N21)))</f>
        <v/>
      </c>
      <c r="D21" s="79">
        <f>IF($N21="","",IF(INDEX('Cronograma R. Operacional'!$AN$5:$AN$1000,$N21)="","",INDEX('Cronograma R. Operacional'!$AN$5:$AN$1000,$N21)))</f>
        <v/>
      </c>
      <c r="E21" s="56">
        <f>IF($N21="","",IF(NOT(ISNUMBER($D21)),"",IF($D21&lt;InicioCiclo,"Antes del ciclo",IF($D21&gt;=InicioCiclo+28,"Después del ciclo","Semana "&amp;(INT(($D21-InicioCiclo)/7)+1)))))</f>
        <v/>
      </c>
      <c r="F21" s="61">
        <f>IF($N21="","",IF($P21&gt;0,IF(1&lt;=SemanaActual,INDEX('Cronograma R. Operacional'!$AC$5:$AC$1000,$N21),""),IF(INDEX('Cronograma R. Operacional'!$I$5:$I$1000,$N21)="","",INDEX('Cronograma R. Operacional'!$I$5:$I$1000,$N21))))</f>
        <v/>
      </c>
      <c r="G21" s="61">
        <f>IF($N21="","",IF($P21&gt;0,IF(2&lt;=SemanaActual,INDEX('Cronograma R. Operacional'!$AD$5:$AD$1000,$N21),""),IF(INDEX('Cronograma R. Operacional'!$J$5:$J$1000,$N21)="","",INDEX('Cronograma R. Operacional'!$J$5:$J$1000,$N21))))</f>
        <v/>
      </c>
      <c r="H21" s="61">
        <f>IF($N21="","",IF($P21&gt;0,IF(3&lt;=SemanaActual,INDEX('Cronograma R. Operacional'!$AE$5:$AE$1000,$N21),""),IF(INDEX('Cronograma R. Operacional'!$K$5:$K$1000,$N21)="","",INDEX('Cronograma R. Operacional'!$K$5:$K$1000,$N21))))</f>
        <v/>
      </c>
      <c r="I21" s="61">
        <f>IF($N21="","",IF($P21&gt;0,IF(4&lt;=SemanaActual,INDEX('Cronograma R. Operacional'!$AF$5:$AF$1000,$N21),""),IF(INDEX('Cronograma R. Operacional'!$L$5:$L$1000,$N21)="","",INDEX('Cronograma R. Operacional'!$L$5:$L$1000,$N21))))</f>
        <v/>
      </c>
      <c r="J21" s="61">
        <f>IF($N21="","",INDEX('Cronograma R. Operacional'!$M$5:$M$1000,$N21))</f>
        <v/>
      </c>
      <c r="K21" s="56">
        <f>IF($N21="","",IF(N($J21)&gt;=1,"Completado",IF(AND(ISNUMBER($D21),$D21&lt;FechaRef),"Vencida",IF(N($J21)&gt;0,"En curso","Pendiente"))))</f>
        <v/>
      </c>
      <c r="L21" s="56">
        <f>IF($N21="","",INDEX('Cronograma R. Operacional'!$O$5:$O$1000,$N21)&amp;"")</f>
        <v/>
      </c>
      <c r="M21" s="62">
        <f>IF($N21="","",INDEX('Cronograma R. Operacional'!$Q$5:$Q$1000,$N21)&amp;"")</f>
        <v/>
      </c>
      <c r="N21">
        <f>IFERROR(MATCH(ROW()-4,rOrden_RO,0),"")</f>
        <v/>
      </c>
      <c r="O21">
        <f>IF($N21="","",INDEX('Cronograma R. Operacional'!$V$5:$V$1000,$N21))</f>
        <v/>
      </c>
      <c r="P21">
        <f>IF($N21="","",N(INDEX('Cronograma R. Operacional'!$W$5:$W$1000,$N21)))</f>
        <v/>
      </c>
      <c r="Q21">
        <f>IF(OR(LEFT($L21,7)="Vencida",LEFT($L21,5)="Vence"),SUMPRODUCT(--(LEFT($L$5:$L21,7)="Vencida"))+SUMPRODUCT(--(LEFT($L$5:$L21,5)="Vence")),"")</f>
        <v/>
      </c>
    </row>
    <row r="22">
      <c r="A22" s="56">
        <f>IF($N22="","",INDEX('Cronograma R. Operacional'!$A$5:$A$1000,$N22))</f>
        <v/>
      </c>
      <c r="B22" s="62">
        <f>IF($N22="","",IF($O22="Sub","      ↳  "&amp;INDEX('Cronograma R. Operacional'!$C$5:$C$1000,$N22),INDEX('Cronograma R. Operacional'!$C$5:$C$1000,$N22)&amp;""))</f>
        <v/>
      </c>
      <c r="C22" s="79">
        <f>IF($N22="","",IF(INDEX('Cronograma R. Operacional'!$AM$5:$AM$1000,$N22)="","",INDEX('Cronograma R. Operacional'!$AM$5:$AM$1000,$N22)))</f>
        <v/>
      </c>
      <c r="D22" s="79">
        <f>IF($N22="","",IF(INDEX('Cronograma R. Operacional'!$AN$5:$AN$1000,$N22)="","",INDEX('Cronograma R. Operacional'!$AN$5:$AN$1000,$N22)))</f>
        <v/>
      </c>
      <c r="E22" s="56">
        <f>IF($N22="","",IF(NOT(ISNUMBER($D22)),"",IF($D22&lt;InicioCiclo,"Antes del ciclo",IF($D22&gt;=InicioCiclo+28,"Después del ciclo","Semana "&amp;(INT(($D22-InicioCiclo)/7)+1)))))</f>
        <v/>
      </c>
      <c r="F22" s="61">
        <f>IF($N22="","",IF($P22&gt;0,IF(1&lt;=SemanaActual,INDEX('Cronograma R. Operacional'!$AC$5:$AC$1000,$N22),""),IF(INDEX('Cronograma R. Operacional'!$I$5:$I$1000,$N22)="","",INDEX('Cronograma R. Operacional'!$I$5:$I$1000,$N22))))</f>
        <v/>
      </c>
      <c r="G22" s="61">
        <f>IF($N22="","",IF($P22&gt;0,IF(2&lt;=SemanaActual,INDEX('Cronograma R. Operacional'!$AD$5:$AD$1000,$N22),""),IF(INDEX('Cronograma R. Operacional'!$J$5:$J$1000,$N22)="","",INDEX('Cronograma R. Operacional'!$J$5:$J$1000,$N22))))</f>
        <v/>
      </c>
      <c r="H22" s="61">
        <f>IF($N22="","",IF($P22&gt;0,IF(3&lt;=SemanaActual,INDEX('Cronograma R. Operacional'!$AE$5:$AE$1000,$N22),""),IF(INDEX('Cronograma R. Operacional'!$K$5:$K$1000,$N22)="","",INDEX('Cronograma R. Operacional'!$K$5:$K$1000,$N22))))</f>
        <v/>
      </c>
      <c r="I22" s="61">
        <f>IF($N22="","",IF($P22&gt;0,IF(4&lt;=SemanaActual,INDEX('Cronograma R. Operacional'!$AF$5:$AF$1000,$N22),""),IF(INDEX('Cronograma R. Operacional'!$L$5:$L$1000,$N22)="","",INDEX('Cronograma R. Operacional'!$L$5:$L$1000,$N22))))</f>
        <v/>
      </c>
      <c r="J22" s="61">
        <f>IF($N22="","",INDEX('Cronograma R. Operacional'!$M$5:$M$1000,$N22))</f>
        <v/>
      </c>
      <c r="K22" s="56">
        <f>IF($N22="","",IF(N($J22)&gt;=1,"Completado",IF(AND(ISNUMBER($D22),$D22&lt;FechaRef),"Vencida",IF(N($J22)&gt;0,"En curso","Pendiente"))))</f>
        <v/>
      </c>
      <c r="L22" s="56">
        <f>IF($N22="","",INDEX('Cronograma R. Operacional'!$O$5:$O$1000,$N22)&amp;"")</f>
        <v/>
      </c>
      <c r="M22" s="62">
        <f>IF($N22="","",INDEX('Cronograma R. Operacional'!$Q$5:$Q$1000,$N22)&amp;"")</f>
        <v/>
      </c>
      <c r="N22">
        <f>IFERROR(MATCH(ROW()-4,rOrden_RO,0),"")</f>
        <v/>
      </c>
      <c r="O22">
        <f>IF($N22="","",INDEX('Cronograma R. Operacional'!$V$5:$V$1000,$N22))</f>
        <v/>
      </c>
      <c r="P22">
        <f>IF($N22="","",N(INDEX('Cronograma R. Operacional'!$W$5:$W$1000,$N22)))</f>
        <v/>
      </c>
      <c r="Q22">
        <f>IF(OR(LEFT($L22,7)="Vencida",LEFT($L22,5)="Vence"),SUMPRODUCT(--(LEFT($L$5:$L22,7)="Vencida"))+SUMPRODUCT(--(LEFT($L$5:$L22,5)="Vence")),"")</f>
        <v/>
      </c>
    </row>
    <row r="23">
      <c r="A23" s="56">
        <f>IF($N23="","",INDEX('Cronograma R. Operacional'!$A$5:$A$1000,$N23))</f>
        <v/>
      </c>
      <c r="B23" s="62">
        <f>IF($N23="","",IF($O23="Sub","      ↳  "&amp;INDEX('Cronograma R. Operacional'!$C$5:$C$1000,$N23),INDEX('Cronograma R. Operacional'!$C$5:$C$1000,$N23)&amp;""))</f>
        <v/>
      </c>
      <c r="C23" s="79">
        <f>IF($N23="","",IF(INDEX('Cronograma R. Operacional'!$AM$5:$AM$1000,$N23)="","",INDEX('Cronograma R. Operacional'!$AM$5:$AM$1000,$N23)))</f>
        <v/>
      </c>
      <c r="D23" s="79">
        <f>IF($N23="","",IF(INDEX('Cronograma R. Operacional'!$AN$5:$AN$1000,$N23)="","",INDEX('Cronograma R. Operacional'!$AN$5:$AN$1000,$N23)))</f>
        <v/>
      </c>
      <c r="E23" s="56">
        <f>IF($N23="","",IF(NOT(ISNUMBER($D23)),"",IF($D23&lt;InicioCiclo,"Antes del ciclo",IF($D23&gt;=InicioCiclo+28,"Después del ciclo","Semana "&amp;(INT(($D23-InicioCiclo)/7)+1)))))</f>
        <v/>
      </c>
      <c r="F23" s="61">
        <f>IF($N23="","",IF($P23&gt;0,IF(1&lt;=SemanaActual,INDEX('Cronograma R. Operacional'!$AC$5:$AC$1000,$N23),""),IF(INDEX('Cronograma R. Operacional'!$I$5:$I$1000,$N23)="","",INDEX('Cronograma R. Operacional'!$I$5:$I$1000,$N23))))</f>
        <v/>
      </c>
      <c r="G23" s="61">
        <f>IF($N23="","",IF($P23&gt;0,IF(2&lt;=SemanaActual,INDEX('Cronograma R. Operacional'!$AD$5:$AD$1000,$N23),""),IF(INDEX('Cronograma R. Operacional'!$J$5:$J$1000,$N23)="","",INDEX('Cronograma R. Operacional'!$J$5:$J$1000,$N23))))</f>
        <v/>
      </c>
      <c r="H23" s="61">
        <f>IF($N23="","",IF($P23&gt;0,IF(3&lt;=SemanaActual,INDEX('Cronograma R. Operacional'!$AE$5:$AE$1000,$N23),""),IF(INDEX('Cronograma R. Operacional'!$K$5:$K$1000,$N23)="","",INDEX('Cronograma R. Operacional'!$K$5:$K$1000,$N23))))</f>
        <v/>
      </c>
      <c r="I23" s="61">
        <f>IF($N23="","",IF($P23&gt;0,IF(4&lt;=SemanaActual,INDEX('Cronograma R. Operacional'!$AF$5:$AF$1000,$N23),""),IF(INDEX('Cronograma R. Operacional'!$L$5:$L$1000,$N23)="","",INDEX('Cronograma R. Operacional'!$L$5:$L$1000,$N23))))</f>
        <v/>
      </c>
      <c r="J23" s="61">
        <f>IF($N23="","",INDEX('Cronograma R. Operacional'!$M$5:$M$1000,$N23))</f>
        <v/>
      </c>
      <c r="K23" s="56">
        <f>IF($N23="","",IF(N($J23)&gt;=1,"Completado",IF(AND(ISNUMBER($D23),$D23&lt;FechaRef),"Vencida",IF(N($J23)&gt;0,"En curso","Pendiente"))))</f>
        <v/>
      </c>
      <c r="L23" s="56">
        <f>IF($N23="","",INDEX('Cronograma R. Operacional'!$O$5:$O$1000,$N23)&amp;"")</f>
        <v/>
      </c>
      <c r="M23" s="62">
        <f>IF($N23="","",INDEX('Cronograma R. Operacional'!$Q$5:$Q$1000,$N23)&amp;"")</f>
        <v/>
      </c>
      <c r="N23">
        <f>IFERROR(MATCH(ROW()-4,rOrden_RO,0),"")</f>
        <v/>
      </c>
      <c r="O23">
        <f>IF($N23="","",INDEX('Cronograma R. Operacional'!$V$5:$V$1000,$N23))</f>
        <v/>
      </c>
      <c r="P23">
        <f>IF($N23="","",N(INDEX('Cronograma R. Operacional'!$W$5:$W$1000,$N23)))</f>
        <v/>
      </c>
      <c r="Q23">
        <f>IF(OR(LEFT($L23,7)="Vencida",LEFT($L23,5)="Vence"),SUMPRODUCT(--(LEFT($L$5:$L23,7)="Vencida"))+SUMPRODUCT(--(LEFT($L$5:$L23,5)="Vence")),"")</f>
        <v/>
      </c>
    </row>
    <row r="24">
      <c r="A24" s="56">
        <f>IF($N24="","",INDEX('Cronograma R. Operacional'!$A$5:$A$1000,$N24))</f>
        <v/>
      </c>
      <c r="B24" s="62">
        <f>IF($N24="","",IF($O24="Sub","      ↳  "&amp;INDEX('Cronograma R. Operacional'!$C$5:$C$1000,$N24),INDEX('Cronograma R. Operacional'!$C$5:$C$1000,$N24)&amp;""))</f>
        <v/>
      </c>
      <c r="C24" s="79">
        <f>IF($N24="","",IF(INDEX('Cronograma R. Operacional'!$AM$5:$AM$1000,$N24)="","",INDEX('Cronograma R. Operacional'!$AM$5:$AM$1000,$N24)))</f>
        <v/>
      </c>
      <c r="D24" s="79">
        <f>IF($N24="","",IF(INDEX('Cronograma R. Operacional'!$AN$5:$AN$1000,$N24)="","",INDEX('Cronograma R. Operacional'!$AN$5:$AN$1000,$N24)))</f>
        <v/>
      </c>
      <c r="E24" s="56">
        <f>IF($N24="","",IF(NOT(ISNUMBER($D24)),"",IF($D24&lt;InicioCiclo,"Antes del ciclo",IF($D24&gt;=InicioCiclo+28,"Después del ciclo","Semana "&amp;(INT(($D24-InicioCiclo)/7)+1)))))</f>
        <v/>
      </c>
      <c r="F24" s="61">
        <f>IF($N24="","",IF($P24&gt;0,IF(1&lt;=SemanaActual,INDEX('Cronograma R. Operacional'!$AC$5:$AC$1000,$N24),""),IF(INDEX('Cronograma R. Operacional'!$I$5:$I$1000,$N24)="","",INDEX('Cronograma R. Operacional'!$I$5:$I$1000,$N24))))</f>
        <v/>
      </c>
      <c r="G24" s="61">
        <f>IF($N24="","",IF($P24&gt;0,IF(2&lt;=SemanaActual,INDEX('Cronograma R. Operacional'!$AD$5:$AD$1000,$N24),""),IF(INDEX('Cronograma R. Operacional'!$J$5:$J$1000,$N24)="","",INDEX('Cronograma R. Operacional'!$J$5:$J$1000,$N24))))</f>
        <v/>
      </c>
      <c r="H24" s="61">
        <f>IF($N24="","",IF($P24&gt;0,IF(3&lt;=SemanaActual,INDEX('Cronograma R. Operacional'!$AE$5:$AE$1000,$N24),""),IF(INDEX('Cronograma R. Operacional'!$K$5:$K$1000,$N24)="","",INDEX('Cronograma R. Operacional'!$K$5:$K$1000,$N24))))</f>
        <v/>
      </c>
      <c r="I24" s="61">
        <f>IF($N24="","",IF($P24&gt;0,IF(4&lt;=SemanaActual,INDEX('Cronograma R. Operacional'!$AF$5:$AF$1000,$N24),""),IF(INDEX('Cronograma R. Operacional'!$L$5:$L$1000,$N24)="","",INDEX('Cronograma R. Operacional'!$L$5:$L$1000,$N24))))</f>
        <v/>
      </c>
      <c r="J24" s="61">
        <f>IF($N24="","",INDEX('Cronograma R. Operacional'!$M$5:$M$1000,$N24))</f>
        <v/>
      </c>
      <c r="K24" s="56">
        <f>IF($N24="","",IF(N($J24)&gt;=1,"Completado",IF(AND(ISNUMBER($D24),$D24&lt;FechaRef),"Vencida",IF(N($J24)&gt;0,"En curso","Pendiente"))))</f>
        <v/>
      </c>
      <c r="L24" s="56">
        <f>IF($N24="","",INDEX('Cronograma R. Operacional'!$O$5:$O$1000,$N24)&amp;"")</f>
        <v/>
      </c>
      <c r="M24" s="62">
        <f>IF($N24="","",INDEX('Cronograma R. Operacional'!$Q$5:$Q$1000,$N24)&amp;"")</f>
        <v/>
      </c>
      <c r="N24">
        <f>IFERROR(MATCH(ROW()-4,rOrden_RO,0),"")</f>
        <v/>
      </c>
      <c r="O24">
        <f>IF($N24="","",INDEX('Cronograma R. Operacional'!$V$5:$V$1000,$N24))</f>
        <v/>
      </c>
      <c r="P24">
        <f>IF($N24="","",N(INDEX('Cronograma R. Operacional'!$W$5:$W$1000,$N24)))</f>
        <v/>
      </c>
      <c r="Q24">
        <f>IF(OR(LEFT($L24,7)="Vencida",LEFT($L24,5)="Vence"),SUMPRODUCT(--(LEFT($L$5:$L24,7)="Vencida"))+SUMPRODUCT(--(LEFT($L$5:$L24,5)="Vence")),"")</f>
        <v/>
      </c>
    </row>
    <row r="25">
      <c r="A25" s="56">
        <f>IF($N25="","",INDEX('Cronograma R. Operacional'!$A$5:$A$1000,$N25))</f>
        <v/>
      </c>
      <c r="B25" s="62">
        <f>IF($N25="","",IF($O25="Sub","      ↳  "&amp;INDEX('Cronograma R. Operacional'!$C$5:$C$1000,$N25),INDEX('Cronograma R. Operacional'!$C$5:$C$1000,$N25)&amp;""))</f>
        <v/>
      </c>
      <c r="C25" s="79">
        <f>IF($N25="","",IF(INDEX('Cronograma R. Operacional'!$AM$5:$AM$1000,$N25)="","",INDEX('Cronograma R. Operacional'!$AM$5:$AM$1000,$N25)))</f>
        <v/>
      </c>
      <c r="D25" s="79">
        <f>IF($N25="","",IF(INDEX('Cronograma R. Operacional'!$AN$5:$AN$1000,$N25)="","",INDEX('Cronograma R. Operacional'!$AN$5:$AN$1000,$N25)))</f>
        <v/>
      </c>
      <c r="E25" s="56">
        <f>IF($N25="","",IF(NOT(ISNUMBER($D25)),"",IF($D25&lt;InicioCiclo,"Antes del ciclo",IF($D25&gt;=InicioCiclo+28,"Después del ciclo","Semana "&amp;(INT(($D25-InicioCiclo)/7)+1)))))</f>
        <v/>
      </c>
      <c r="F25" s="61">
        <f>IF($N25="","",IF($P25&gt;0,IF(1&lt;=SemanaActual,INDEX('Cronograma R. Operacional'!$AC$5:$AC$1000,$N25),""),IF(INDEX('Cronograma R. Operacional'!$I$5:$I$1000,$N25)="","",INDEX('Cronograma R. Operacional'!$I$5:$I$1000,$N25))))</f>
        <v/>
      </c>
      <c r="G25" s="61">
        <f>IF($N25="","",IF($P25&gt;0,IF(2&lt;=SemanaActual,INDEX('Cronograma R. Operacional'!$AD$5:$AD$1000,$N25),""),IF(INDEX('Cronograma R. Operacional'!$J$5:$J$1000,$N25)="","",INDEX('Cronograma R. Operacional'!$J$5:$J$1000,$N25))))</f>
        <v/>
      </c>
      <c r="H25" s="61">
        <f>IF($N25="","",IF($P25&gt;0,IF(3&lt;=SemanaActual,INDEX('Cronograma R. Operacional'!$AE$5:$AE$1000,$N25),""),IF(INDEX('Cronograma R. Operacional'!$K$5:$K$1000,$N25)="","",INDEX('Cronograma R. Operacional'!$K$5:$K$1000,$N25))))</f>
        <v/>
      </c>
      <c r="I25" s="61">
        <f>IF($N25="","",IF($P25&gt;0,IF(4&lt;=SemanaActual,INDEX('Cronograma R. Operacional'!$AF$5:$AF$1000,$N25),""),IF(INDEX('Cronograma R. Operacional'!$L$5:$L$1000,$N25)="","",INDEX('Cronograma R. Operacional'!$L$5:$L$1000,$N25))))</f>
        <v/>
      </c>
      <c r="J25" s="61">
        <f>IF($N25="","",INDEX('Cronograma R. Operacional'!$M$5:$M$1000,$N25))</f>
        <v/>
      </c>
      <c r="K25" s="56">
        <f>IF($N25="","",IF(N($J25)&gt;=1,"Completado",IF(AND(ISNUMBER($D25),$D25&lt;FechaRef),"Vencida",IF(N($J25)&gt;0,"En curso","Pendiente"))))</f>
        <v/>
      </c>
      <c r="L25" s="56">
        <f>IF($N25="","",INDEX('Cronograma R. Operacional'!$O$5:$O$1000,$N25)&amp;"")</f>
        <v/>
      </c>
      <c r="M25" s="62">
        <f>IF($N25="","",INDEX('Cronograma R. Operacional'!$Q$5:$Q$1000,$N25)&amp;"")</f>
        <v/>
      </c>
      <c r="N25">
        <f>IFERROR(MATCH(ROW()-4,rOrden_RO,0),"")</f>
        <v/>
      </c>
      <c r="O25">
        <f>IF($N25="","",INDEX('Cronograma R. Operacional'!$V$5:$V$1000,$N25))</f>
        <v/>
      </c>
      <c r="P25">
        <f>IF($N25="","",N(INDEX('Cronograma R. Operacional'!$W$5:$W$1000,$N25)))</f>
        <v/>
      </c>
      <c r="Q25">
        <f>IF(OR(LEFT($L25,7)="Vencida",LEFT($L25,5)="Vence"),SUMPRODUCT(--(LEFT($L$5:$L25,7)="Vencida"))+SUMPRODUCT(--(LEFT($L$5:$L25,5)="Vence")),"")</f>
        <v/>
      </c>
    </row>
    <row r="26">
      <c r="A26" s="56">
        <f>IF($N26="","",INDEX('Cronograma R. Operacional'!$A$5:$A$1000,$N26))</f>
        <v/>
      </c>
      <c r="B26" s="62">
        <f>IF($N26="","",IF($O26="Sub","      ↳  "&amp;INDEX('Cronograma R. Operacional'!$C$5:$C$1000,$N26),INDEX('Cronograma R. Operacional'!$C$5:$C$1000,$N26)&amp;""))</f>
        <v/>
      </c>
      <c r="C26" s="79">
        <f>IF($N26="","",IF(INDEX('Cronograma R. Operacional'!$AM$5:$AM$1000,$N26)="","",INDEX('Cronograma R. Operacional'!$AM$5:$AM$1000,$N26)))</f>
        <v/>
      </c>
      <c r="D26" s="79">
        <f>IF($N26="","",IF(INDEX('Cronograma R. Operacional'!$AN$5:$AN$1000,$N26)="","",INDEX('Cronograma R. Operacional'!$AN$5:$AN$1000,$N26)))</f>
        <v/>
      </c>
      <c r="E26" s="56">
        <f>IF($N26="","",IF(NOT(ISNUMBER($D26)),"",IF($D26&lt;InicioCiclo,"Antes del ciclo",IF($D26&gt;=InicioCiclo+28,"Después del ciclo","Semana "&amp;(INT(($D26-InicioCiclo)/7)+1)))))</f>
        <v/>
      </c>
      <c r="F26" s="61">
        <f>IF($N26="","",IF($P26&gt;0,IF(1&lt;=SemanaActual,INDEX('Cronograma R. Operacional'!$AC$5:$AC$1000,$N26),""),IF(INDEX('Cronograma R. Operacional'!$I$5:$I$1000,$N26)="","",INDEX('Cronograma R. Operacional'!$I$5:$I$1000,$N26))))</f>
        <v/>
      </c>
      <c r="G26" s="61">
        <f>IF($N26="","",IF($P26&gt;0,IF(2&lt;=SemanaActual,INDEX('Cronograma R. Operacional'!$AD$5:$AD$1000,$N26),""),IF(INDEX('Cronograma R. Operacional'!$J$5:$J$1000,$N26)="","",INDEX('Cronograma R. Operacional'!$J$5:$J$1000,$N26))))</f>
        <v/>
      </c>
      <c r="H26" s="61">
        <f>IF($N26="","",IF($P26&gt;0,IF(3&lt;=SemanaActual,INDEX('Cronograma R. Operacional'!$AE$5:$AE$1000,$N26),""),IF(INDEX('Cronograma R. Operacional'!$K$5:$K$1000,$N26)="","",INDEX('Cronograma R. Operacional'!$K$5:$K$1000,$N26))))</f>
        <v/>
      </c>
      <c r="I26" s="61">
        <f>IF($N26="","",IF($P26&gt;0,IF(4&lt;=SemanaActual,INDEX('Cronograma R. Operacional'!$AF$5:$AF$1000,$N26),""),IF(INDEX('Cronograma R. Operacional'!$L$5:$L$1000,$N26)="","",INDEX('Cronograma R. Operacional'!$L$5:$L$1000,$N26))))</f>
        <v/>
      </c>
      <c r="J26" s="61">
        <f>IF($N26="","",INDEX('Cronograma R. Operacional'!$M$5:$M$1000,$N26))</f>
        <v/>
      </c>
      <c r="K26" s="56">
        <f>IF($N26="","",IF(N($J26)&gt;=1,"Completado",IF(AND(ISNUMBER($D26),$D26&lt;FechaRef),"Vencida",IF(N($J26)&gt;0,"En curso","Pendiente"))))</f>
        <v/>
      </c>
      <c r="L26" s="56">
        <f>IF($N26="","",INDEX('Cronograma R. Operacional'!$O$5:$O$1000,$N26)&amp;"")</f>
        <v/>
      </c>
      <c r="M26" s="62">
        <f>IF($N26="","",INDEX('Cronograma R. Operacional'!$Q$5:$Q$1000,$N26)&amp;"")</f>
        <v/>
      </c>
      <c r="N26">
        <f>IFERROR(MATCH(ROW()-4,rOrden_RO,0),"")</f>
        <v/>
      </c>
      <c r="O26">
        <f>IF($N26="","",INDEX('Cronograma R. Operacional'!$V$5:$V$1000,$N26))</f>
        <v/>
      </c>
      <c r="P26">
        <f>IF($N26="","",N(INDEX('Cronograma R. Operacional'!$W$5:$W$1000,$N26)))</f>
        <v/>
      </c>
      <c r="Q26">
        <f>IF(OR(LEFT($L26,7)="Vencida",LEFT($L26,5)="Vence"),SUMPRODUCT(--(LEFT($L$5:$L26,7)="Vencida"))+SUMPRODUCT(--(LEFT($L$5:$L26,5)="Vence")),"")</f>
        <v/>
      </c>
    </row>
    <row r="27">
      <c r="A27" s="56">
        <f>IF($N27="","",INDEX('Cronograma R. Operacional'!$A$5:$A$1000,$N27))</f>
        <v/>
      </c>
      <c r="B27" s="62">
        <f>IF($N27="","",IF($O27="Sub","      ↳  "&amp;INDEX('Cronograma R. Operacional'!$C$5:$C$1000,$N27),INDEX('Cronograma R. Operacional'!$C$5:$C$1000,$N27)&amp;""))</f>
        <v/>
      </c>
      <c r="C27" s="79">
        <f>IF($N27="","",IF(INDEX('Cronograma R. Operacional'!$AM$5:$AM$1000,$N27)="","",INDEX('Cronograma R. Operacional'!$AM$5:$AM$1000,$N27)))</f>
        <v/>
      </c>
      <c r="D27" s="79">
        <f>IF($N27="","",IF(INDEX('Cronograma R. Operacional'!$AN$5:$AN$1000,$N27)="","",INDEX('Cronograma R. Operacional'!$AN$5:$AN$1000,$N27)))</f>
        <v/>
      </c>
      <c r="E27" s="56">
        <f>IF($N27="","",IF(NOT(ISNUMBER($D27)),"",IF($D27&lt;InicioCiclo,"Antes del ciclo",IF($D27&gt;=InicioCiclo+28,"Después del ciclo","Semana "&amp;(INT(($D27-InicioCiclo)/7)+1)))))</f>
        <v/>
      </c>
      <c r="F27" s="61">
        <f>IF($N27="","",IF($P27&gt;0,IF(1&lt;=SemanaActual,INDEX('Cronograma R. Operacional'!$AC$5:$AC$1000,$N27),""),IF(INDEX('Cronograma R. Operacional'!$I$5:$I$1000,$N27)="","",INDEX('Cronograma R. Operacional'!$I$5:$I$1000,$N27))))</f>
        <v/>
      </c>
      <c r="G27" s="61">
        <f>IF($N27="","",IF($P27&gt;0,IF(2&lt;=SemanaActual,INDEX('Cronograma R. Operacional'!$AD$5:$AD$1000,$N27),""),IF(INDEX('Cronograma R. Operacional'!$J$5:$J$1000,$N27)="","",INDEX('Cronograma R. Operacional'!$J$5:$J$1000,$N27))))</f>
        <v/>
      </c>
      <c r="H27" s="61">
        <f>IF($N27="","",IF($P27&gt;0,IF(3&lt;=SemanaActual,INDEX('Cronograma R. Operacional'!$AE$5:$AE$1000,$N27),""),IF(INDEX('Cronograma R. Operacional'!$K$5:$K$1000,$N27)="","",INDEX('Cronograma R. Operacional'!$K$5:$K$1000,$N27))))</f>
        <v/>
      </c>
      <c r="I27" s="61">
        <f>IF($N27="","",IF($P27&gt;0,IF(4&lt;=SemanaActual,INDEX('Cronograma R. Operacional'!$AF$5:$AF$1000,$N27),""),IF(INDEX('Cronograma R. Operacional'!$L$5:$L$1000,$N27)="","",INDEX('Cronograma R. Operacional'!$L$5:$L$1000,$N27))))</f>
        <v/>
      </c>
      <c r="J27" s="61">
        <f>IF($N27="","",INDEX('Cronograma R. Operacional'!$M$5:$M$1000,$N27))</f>
        <v/>
      </c>
      <c r="K27" s="56">
        <f>IF($N27="","",IF(N($J27)&gt;=1,"Completado",IF(AND(ISNUMBER($D27),$D27&lt;FechaRef),"Vencida",IF(N($J27)&gt;0,"En curso","Pendiente"))))</f>
        <v/>
      </c>
      <c r="L27" s="56">
        <f>IF($N27="","",INDEX('Cronograma R. Operacional'!$O$5:$O$1000,$N27)&amp;"")</f>
        <v/>
      </c>
      <c r="M27" s="62">
        <f>IF($N27="","",INDEX('Cronograma R. Operacional'!$Q$5:$Q$1000,$N27)&amp;"")</f>
        <v/>
      </c>
      <c r="N27">
        <f>IFERROR(MATCH(ROW()-4,rOrden_RO,0),"")</f>
        <v/>
      </c>
      <c r="O27">
        <f>IF($N27="","",INDEX('Cronograma R. Operacional'!$V$5:$V$1000,$N27))</f>
        <v/>
      </c>
      <c r="P27">
        <f>IF($N27="","",N(INDEX('Cronograma R. Operacional'!$W$5:$W$1000,$N27)))</f>
        <v/>
      </c>
      <c r="Q27">
        <f>IF(OR(LEFT($L27,7)="Vencida",LEFT($L27,5)="Vence"),SUMPRODUCT(--(LEFT($L$5:$L27,7)="Vencida"))+SUMPRODUCT(--(LEFT($L$5:$L27,5)="Vence")),"")</f>
        <v/>
      </c>
    </row>
    <row r="28">
      <c r="A28" s="56">
        <f>IF($N28="","",INDEX('Cronograma R. Operacional'!$A$5:$A$1000,$N28))</f>
        <v/>
      </c>
      <c r="B28" s="62">
        <f>IF($N28="","",IF($O28="Sub","      ↳  "&amp;INDEX('Cronograma R. Operacional'!$C$5:$C$1000,$N28),INDEX('Cronograma R. Operacional'!$C$5:$C$1000,$N28)&amp;""))</f>
        <v/>
      </c>
      <c r="C28" s="79">
        <f>IF($N28="","",IF(INDEX('Cronograma R. Operacional'!$AM$5:$AM$1000,$N28)="","",INDEX('Cronograma R. Operacional'!$AM$5:$AM$1000,$N28)))</f>
        <v/>
      </c>
      <c r="D28" s="79">
        <f>IF($N28="","",IF(INDEX('Cronograma R. Operacional'!$AN$5:$AN$1000,$N28)="","",INDEX('Cronograma R. Operacional'!$AN$5:$AN$1000,$N28)))</f>
        <v/>
      </c>
      <c r="E28" s="56">
        <f>IF($N28="","",IF(NOT(ISNUMBER($D28)),"",IF($D28&lt;InicioCiclo,"Antes del ciclo",IF($D28&gt;=InicioCiclo+28,"Después del ciclo","Semana "&amp;(INT(($D28-InicioCiclo)/7)+1)))))</f>
        <v/>
      </c>
      <c r="F28" s="61">
        <f>IF($N28="","",IF($P28&gt;0,IF(1&lt;=SemanaActual,INDEX('Cronograma R. Operacional'!$AC$5:$AC$1000,$N28),""),IF(INDEX('Cronograma R. Operacional'!$I$5:$I$1000,$N28)="","",INDEX('Cronograma R. Operacional'!$I$5:$I$1000,$N28))))</f>
        <v/>
      </c>
      <c r="G28" s="61">
        <f>IF($N28="","",IF($P28&gt;0,IF(2&lt;=SemanaActual,INDEX('Cronograma R. Operacional'!$AD$5:$AD$1000,$N28),""),IF(INDEX('Cronograma R. Operacional'!$J$5:$J$1000,$N28)="","",INDEX('Cronograma R. Operacional'!$J$5:$J$1000,$N28))))</f>
        <v/>
      </c>
      <c r="H28" s="61">
        <f>IF($N28="","",IF($P28&gt;0,IF(3&lt;=SemanaActual,INDEX('Cronograma R. Operacional'!$AE$5:$AE$1000,$N28),""),IF(INDEX('Cronograma R. Operacional'!$K$5:$K$1000,$N28)="","",INDEX('Cronograma R. Operacional'!$K$5:$K$1000,$N28))))</f>
        <v/>
      </c>
      <c r="I28" s="61">
        <f>IF($N28="","",IF($P28&gt;0,IF(4&lt;=SemanaActual,INDEX('Cronograma R. Operacional'!$AF$5:$AF$1000,$N28),""),IF(INDEX('Cronograma R. Operacional'!$L$5:$L$1000,$N28)="","",INDEX('Cronograma R. Operacional'!$L$5:$L$1000,$N28))))</f>
        <v/>
      </c>
      <c r="J28" s="61">
        <f>IF($N28="","",INDEX('Cronograma R. Operacional'!$M$5:$M$1000,$N28))</f>
        <v/>
      </c>
      <c r="K28" s="56">
        <f>IF($N28="","",IF(N($J28)&gt;=1,"Completado",IF(AND(ISNUMBER($D28),$D28&lt;FechaRef),"Vencida",IF(N($J28)&gt;0,"En curso","Pendiente"))))</f>
        <v/>
      </c>
      <c r="L28" s="56">
        <f>IF($N28="","",INDEX('Cronograma R. Operacional'!$O$5:$O$1000,$N28)&amp;"")</f>
        <v/>
      </c>
      <c r="M28" s="62">
        <f>IF($N28="","",INDEX('Cronograma R. Operacional'!$Q$5:$Q$1000,$N28)&amp;"")</f>
        <v/>
      </c>
      <c r="N28">
        <f>IFERROR(MATCH(ROW()-4,rOrden_RO,0),"")</f>
        <v/>
      </c>
      <c r="O28">
        <f>IF($N28="","",INDEX('Cronograma R. Operacional'!$V$5:$V$1000,$N28))</f>
        <v/>
      </c>
      <c r="P28">
        <f>IF($N28="","",N(INDEX('Cronograma R. Operacional'!$W$5:$W$1000,$N28)))</f>
        <v/>
      </c>
      <c r="Q28">
        <f>IF(OR(LEFT($L28,7)="Vencida",LEFT($L28,5)="Vence"),SUMPRODUCT(--(LEFT($L$5:$L28,7)="Vencida"))+SUMPRODUCT(--(LEFT($L$5:$L28,5)="Vence")),"")</f>
        <v/>
      </c>
    </row>
    <row r="29">
      <c r="A29" s="56">
        <f>IF($N29="","",INDEX('Cronograma R. Operacional'!$A$5:$A$1000,$N29))</f>
        <v/>
      </c>
      <c r="B29" s="62">
        <f>IF($N29="","",IF($O29="Sub","      ↳  "&amp;INDEX('Cronograma R. Operacional'!$C$5:$C$1000,$N29),INDEX('Cronograma R. Operacional'!$C$5:$C$1000,$N29)&amp;""))</f>
        <v/>
      </c>
      <c r="C29" s="79">
        <f>IF($N29="","",IF(INDEX('Cronograma R. Operacional'!$AM$5:$AM$1000,$N29)="","",INDEX('Cronograma R. Operacional'!$AM$5:$AM$1000,$N29)))</f>
        <v/>
      </c>
      <c r="D29" s="79">
        <f>IF($N29="","",IF(INDEX('Cronograma R. Operacional'!$AN$5:$AN$1000,$N29)="","",INDEX('Cronograma R. Operacional'!$AN$5:$AN$1000,$N29)))</f>
        <v/>
      </c>
      <c r="E29" s="56">
        <f>IF($N29="","",IF(NOT(ISNUMBER($D29)),"",IF($D29&lt;InicioCiclo,"Antes del ciclo",IF($D29&gt;=InicioCiclo+28,"Después del ciclo","Semana "&amp;(INT(($D29-InicioCiclo)/7)+1)))))</f>
        <v/>
      </c>
      <c r="F29" s="61">
        <f>IF($N29="","",IF($P29&gt;0,IF(1&lt;=SemanaActual,INDEX('Cronograma R. Operacional'!$AC$5:$AC$1000,$N29),""),IF(INDEX('Cronograma R. Operacional'!$I$5:$I$1000,$N29)="","",INDEX('Cronograma R. Operacional'!$I$5:$I$1000,$N29))))</f>
        <v/>
      </c>
      <c r="G29" s="61">
        <f>IF($N29="","",IF($P29&gt;0,IF(2&lt;=SemanaActual,INDEX('Cronograma R. Operacional'!$AD$5:$AD$1000,$N29),""),IF(INDEX('Cronograma R. Operacional'!$J$5:$J$1000,$N29)="","",INDEX('Cronograma R. Operacional'!$J$5:$J$1000,$N29))))</f>
        <v/>
      </c>
      <c r="H29" s="61">
        <f>IF($N29="","",IF($P29&gt;0,IF(3&lt;=SemanaActual,INDEX('Cronograma R. Operacional'!$AE$5:$AE$1000,$N29),""),IF(INDEX('Cronograma R. Operacional'!$K$5:$K$1000,$N29)="","",INDEX('Cronograma R. Operacional'!$K$5:$K$1000,$N29))))</f>
        <v/>
      </c>
      <c r="I29" s="61">
        <f>IF($N29="","",IF($P29&gt;0,IF(4&lt;=SemanaActual,INDEX('Cronograma R. Operacional'!$AF$5:$AF$1000,$N29),""),IF(INDEX('Cronograma R. Operacional'!$L$5:$L$1000,$N29)="","",INDEX('Cronograma R. Operacional'!$L$5:$L$1000,$N29))))</f>
        <v/>
      </c>
      <c r="J29" s="61">
        <f>IF($N29="","",INDEX('Cronograma R. Operacional'!$M$5:$M$1000,$N29))</f>
        <v/>
      </c>
      <c r="K29" s="56">
        <f>IF($N29="","",IF(N($J29)&gt;=1,"Completado",IF(AND(ISNUMBER($D29),$D29&lt;FechaRef),"Vencida",IF(N($J29)&gt;0,"En curso","Pendiente"))))</f>
        <v/>
      </c>
      <c r="L29" s="56">
        <f>IF($N29="","",INDEX('Cronograma R. Operacional'!$O$5:$O$1000,$N29)&amp;"")</f>
        <v/>
      </c>
      <c r="M29" s="62">
        <f>IF($N29="","",INDEX('Cronograma R. Operacional'!$Q$5:$Q$1000,$N29)&amp;"")</f>
        <v/>
      </c>
      <c r="N29">
        <f>IFERROR(MATCH(ROW()-4,rOrden_RO,0),"")</f>
        <v/>
      </c>
      <c r="O29">
        <f>IF($N29="","",INDEX('Cronograma R. Operacional'!$V$5:$V$1000,$N29))</f>
        <v/>
      </c>
      <c r="P29">
        <f>IF($N29="","",N(INDEX('Cronograma R. Operacional'!$W$5:$W$1000,$N29)))</f>
        <v/>
      </c>
      <c r="Q29">
        <f>IF(OR(LEFT($L29,7)="Vencida",LEFT($L29,5)="Vence"),SUMPRODUCT(--(LEFT($L$5:$L29,7)="Vencida"))+SUMPRODUCT(--(LEFT($L$5:$L29,5)="Vence")),"")</f>
        <v/>
      </c>
    </row>
    <row r="30">
      <c r="A30" s="56">
        <f>IF($N30="","",INDEX('Cronograma R. Operacional'!$A$5:$A$1000,$N30))</f>
        <v/>
      </c>
      <c r="B30" s="62">
        <f>IF($N30="","",IF($O30="Sub","      ↳  "&amp;INDEX('Cronograma R. Operacional'!$C$5:$C$1000,$N30),INDEX('Cronograma R. Operacional'!$C$5:$C$1000,$N30)&amp;""))</f>
        <v/>
      </c>
      <c r="C30" s="79">
        <f>IF($N30="","",IF(INDEX('Cronograma R. Operacional'!$AM$5:$AM$1000,$N30)="","",INDEX('Cronograma R. Operacional'!$AM$5:$AM$1000,$N30)))</f>
        <v/>
      </c>
      <c r="D30" s="79">
        <f>IF($N30="","",IF(INDEX('Cronograma R. Operacional'!$AN$5:$AN$1000,$N30)="","",INDEX('Cronograma R. Operacional'!$AN$5:$AN$1000,$N30)))</f>
        <v/>
      </c>
      <c r="E30" s="56">
        <f>IF($N30="","",IF(NOT(ISNUMBER($D30)),"",IF($D30&lt;InicioCiclo,"Antes del ciclo",IF($D30&gt;=InicioCiclo+28,"Después del ciclo","Semana "&amp;(INT(($D30-InicioCiclo)/7)+1)))))</f>
        <v/>
      </c>
      <c r="F30" s="61">
        <f>IF($N30="","",IF($P30&gt;0,IF(1&lt;=SemanaActual,INDEX('Cronograma R. Operacional'!$AC$5:$AC$1000,$N30),""),IF(INDEX('Cronograma R. Operacional'!$I$5:$I$1000,$N30)="","",INDEX('Cronograma R. Operacional'!$I$5:$I$1000,$N30))))</f>
        <v/>
      </c>
      <c r="G30" s="61">
        <f>IF($N30="","",IF($P30&gt;0,IF(2&lt;=SemanaActual,INDEX('Cronograma R. Operacional'!$AD$5:$AD$1000,$N30),""),IF(INDEX('Cronograma R. Operacional'!$J$5:$J$1000,$N30)="","",INDEX('Cronograma R. Operacional'!$J$5:$J$1000,$N30))))</f>
        <v/>
      </c>
      <c r="H30" s="61">
        <f>IF($N30="","",IF($P30&gt;0,IF(3&lt;=SemanaActual,INDEX('Cronograma R. Operacional'!$AE$5:$AE$1000,$N30),""),IF(INDEX('Cronograma R. Operacional'!$K$5:$K$1000,$N30)="","",INDEX('Cronograma R. Operacional'!$K$5:$K$1000,$N30))))</f>
        <v/>
      </c>
      <c r="I30" s="61">
        <f>IF($N30="","",IF($P30&gt;0,IF(4&lt;=SemanaActual,INDEX('Cronograma R. Operacional'!$AF$5:$AF$1000,$N30),""),IF(INDEX('Cronograma R. Operacional'!$L$5:$L$1000,$N30)="","",INDEX('Cronograma R. Operacional'!$L$5:$L$1000,$N30))))</f>
        <v/>
      </c>
      <c r="J30" s="61">
        <f>IF($N30="","",INDEX('Cronograma R. Operacional'!$M$5:$M$1000,$N30))</f>
        <v/>
      </c>
      <c r="K30" s="56">
        <f>IF($N30="","",IF(N($J30)&gt;=1,"Completado",IF(AND(ISNUMBER($D30),$D30&lt;FechaRef),"Vencida",IF(N($J30)&gt;0,"En curso","Pendiente"))))</f>
        <v/>
      </c>
      <c r="L30" s="56">
        <f>IF($N30="","",INDEX('Cronograma R. Operacional'!$O$5:$O$1000,$N30)&amp;"")</f>
        <v/>
      </c>
      <c r="M30" s="62">
        <f>IF($N30="","",INDEX('Cronograma R. Operacional'!$Q$5:$Q$1000,$N30)&amp;"")</f>
        <v/>
      </c>
      <c r="N30">
        <f>IFERROR(MATCH(ROW()-4,rOrden_RO,0),"")</f>
        <v/>
      </c>
      <c r="O30">
        <f>IF($N30="","",INDEX('Cronograma R. Operacional'!$V$5:$V$1000,$N30))</f>
        <v/>
      </c>
      <c r="P30">
        <f>IF($N30="","",N(INDEX('Cronograma R. Operacional'!$W$5:$W$1000,$N30)))</f>
        <v/>
      </c>
      <c r="Q30">
        <f>IF(OR(LEFT($L30,7)="Vencida",LEFT($L30,5)="Vence"),SUMPRODUCT(--(LEFT($L$5:$L30,7)="Vencida"))+SUMPRODUCT(--(LEFT($L$5:$L30,5)="Vence")),"")</f>
        <v/>
      </c>
    </row>
    <row r="31">
      <c r="A31" s="56">
        <f>IF($N31="","",INDEX('Cronograma R. Operacional'!$A$5:$A$1000,$N31))</f>
        <v/>
      </c>
      <c r="B31" s="62">
        <f>IF($N31="","",IF($O31="Sub","      ↳  "&amp;INDEX('Cronograma R. Operacional'!$C$5:$C$1000,$N31),INDEX('Cronograma R. Operacional'!$C$5:$C$1000,$N31)&amp;""))</f>
        <v/>
      </c>
      <c r="C31" s="79">
        <f>IF($N31="","",IF(INDEX('Cronograma R. Operacional'!$AM$5:$AM$1000,$N31)="","",INDEX('Cronograma R. Operacional'!$AM$5:$AM$1000,$N31)))</f>
        <v/>
      </c>
      <c r="D31" s="79">
        <f>IF($N31="","",IF(INDEX('Cronograma R. Operacional'!$AN$5:$AN$1000,$N31)="","",INDEX('Cronograma R. Operacional'!$AN$5:$AN$1000,$N31)))</f>
        <v/>
      </c>
      <c r="E31" s="56">
        <f>IF($N31="","",IF(NOT(ISNUMBER($D31)),"",IF($D31&lt;InicioCiclo,"Antes del ciclo",IF($D31&gt;=InicioCiclo+28,"Después del ciclo","Semana "&amp;(INT(($D31-InicioCiclo)/7)+1)))))</f>
        <v/>
      </c>
      <c r="F31" s="61">
        <f>IF($N31="","",IF($P31&gt;0,IF(1&lt;=SemanaActual,INDEX('Cronograma R. Operacional'!$AC$5:$AC$1000,$N31),""),IF(INDEX('Cronograma R. Operacional'!$I$5:$I$1000,$N31)="","",INDEX('Cronograma R. Operacional'!$I$5:$I$1000,$N31))))</f>
        <v/>
      </c>
      <c r="G31" s="61">
        <f>IF($N31="","",IF($P31&gt;0,IF(2&lt;=SemanaActual,INDEX('Cronograma R. Operacional'!$AD$5:$AD$1000,$N31),""),IF(INDEX('Cronograma R. Operacional'!$J$5:$J$1000,$N31)="","",INDEX('Cronograma R. Operacional'!$J$5:$J$1000,$N31))))</f>
        <v/>
      </c>
      <c r="H31" s="61">
        <f>IF($N31="","",IF($P31&gt;0,IF(3&lt;=SemanaActual,INDEX('Cronograma R. Operacional'!$AE$5:$AE$1000,$N31),""),IF(INDEX('Cronograma R. Operacional'!$K$5:$K$1000,$N31)="","",INDEX('Cronograma R. Operacional'!$K$5:$K$1000,$N31))))</f>
        <v/>
      </c>
      <c r="I31" s="61">
        <f>IF($N31="","",IF($P31&gt;0,IF(4&lt;=SemanaActual,INDEX('Cronograma R. Operacional'!$AF$5:$AF$1000,$N31),""),IF(INDEX('Cronograma R. Operacional'!$L$5:$L$1000,$N31)="","",INDEX('Cronograma R. Operacional'!$L$5:$L$1000,$N31))))</f>
        <v/>
      </c>
      <c r="J31" s="61">
        <f>IF($N31="","",INDEX('Cronograma R. Operacional'!$M$5:$M$1000,$N31))</f>
        <v/>
      </c>
      <c r="K31" s="56">
        <f>IF($N31="","",IF(N($J31)&gt;=1,"Completado",IF(AND(ISNUMBER($D31),$D31&lt;FechaRef),"Vencida",IF(N($J31)&gt;0,"En curso","Pendiente"))))</f>
        <v/>
      </c>
      <c r="L31" s="56">
        <f>IF($N31="","",INDEX('Cronograma R. Operacional'!$O$5:$O$1000,$N31)&amp;"")</f>
        <v/>
      </c>
      <c r="M31" s="62">
        <f>IF($N31="","",INDEX('Cronograma R. Operacional'!$Q$5:$Q$1000,$N31)&amp;"")</f>
        <v/>
      </c>
      <c r="N31">
        <f>IFERROR(MATCH(ROW()-4,rOrden_RO,0),"")</f>
        <v/>
      </c>
      <c r="O31">
        <f>IF($N31="","",INDEX('Cronograma R. Operacional'!$V$5:$V$1000,$N31))</f>
        <v/>
      </c>
      <c r="P31">
        <f>IF($N31="","",N(INDEX('Cronograma R. Operacional'!$W$5:$W$1000,$N31)))</f>
        <v/>
      </c>
      <c r="Q31">
        <f>IF(OR(LEFT($L31,7)="Vencida",LEFT($L31,5)="Vence"),SUMPRODUCT(--(LEFT($L$5:$L31,7)="Vencida"))+SUMPRODUCT(--(LEFT($L$5:$L31,5)="Vence")),"")</f>
        <v/>
      </c>
    </row>
    <row r="32">
      <c r="A32" s="56">
        <f>IF($N32="","",INDEX('Cronograma R. Operacional'!$A$5:$A$1000,$N32))</f>
        <v/>
      </c>
      <c r="B32" s="62">
        <f>IF($N32="","",IF($O32="Sub","      ↳  "&amp;INDEX('Cronograma R. Operacional'!$C$5:$C$1000,$N32),INDEX('Cronograma R. Operacional'!$C$5:$C$1000,$N32)&amp;""))</f>
        <v/>
      </c>
      <c r="C32" s="79">
        <f>IF($N32="","",IF(INDEX('Cronograma R. Operacional'!$AM$5:$AM$1000,$N32)="","",INDEX('Cronograma R. Operacional'!$AM$5:$AM$1000,$N32)))</f>
        <v/>
      </c>
      <c r="D32" s="79">
        <f>IF($N32="","",IF(INDEX('Cronograma R. Operacional'!$AN$5:$AN$1000,$N32)="","",INDEX('Cronograma R. Operacional'!$AN$5:$AN$1000,$N32)))</f>
        <v/>
      </c>
      <c r="E32" s="56">
        <f>IF($N32="","",IF(NOT(ISNUMBER($D32)),"",IF($D32&lt;InicioCiclo,"Antes del ciclo",IF($D32&gt;=InicioCiclo+28,"Después del ciclo","Semana "&amp;(INT(($D32-InicioCiclo)/7)+1)))))</f>
        <v/>
      </c>
      <c r="F32" s="61">
        <f>IF($N32="","",IF($P32&gt;0,IF(1&lt;=SemanaActual,INDEX('Cronograma R. Operacional'!$AC$5:$AC$1000,$N32),""),IF(INDEX('Cronograma R. Operacional'!$I$5:$I$1000,$N32)="","",INDEX('Cronograma R. Operacional'!$I$5:$I$1000,$N32))))</f>
        <v/>
      </c>
      <c r="G32" s="61">
        <f>IF($N32="","",IF($P32&gt;0,IF(2&lt;=SemanaActual,INDEX('Cronograma R. Operacional'!$AD$5:$AD$1000,$N32),""),IF(INDEX('Cronograma R. Operacional'!$J$5:$J$1000,$N32)="","",INDEX('Cronograma R. Operacional'!$J$5:$J$1000,$N32))))</f>
        <v/>
      </c>
      <c r="H32" s="61">
        <f>IF($N32="","",IF($P32&gt;0,IF(3&lt;=SemanaActual,INDEX('Cronograma R. Operacional'!$AE$5:$AE$1000,$N32),""),IF(INDEX('Cronograma R. Operacional'!$K$5:$K$1000,$N32)="","",INDEX('Cronograma R. Operacional'!$K$5:$K$1000,$N32))))</f>
        <v/>
      </c>
      <c r="I32" s="61">
        <f>IF($N32="","",IF($P32&gt;0,IF(4&lt;=SemanaActual,INDEX('Cronograma R. Operacional'!$AF$5:$AF$1000,$N32),""),IF(INDEX('Cronograma R. Operacional'!$L$5:$L$1000,$N32)="","",INDEX('Cronograma R. Operacional'!$L$5:$L$1000,$N32))))</f>
        <v/>
      </c>
      <c r="J32" s="61">
        <f>IF($N32="","",INDEX('Cronograma R. Operacional'!$M$5:$M$1000,$N32))</f>
        <v/>
      </c>
      <c r="K32" s="56">
        <f>IF($N32="","",IF(N($J32)&gt;=1,"Completado",IF(AND(ISNUMBER($D32),$D32&lt;FechaRef),"Vencida",IF(N($J32)&gt;0,"En curso","Pendiente"))))</f>
        <v/>
      </c>
      <c r="L32" s="56">
        <f>IF($N32="","",INDEX('Cronograma R. Operacional'!$O$5:$O$1000,$N32)&amp;"")</f>
        <v/>
      </c>
      <c r="M32" s="62">
        <f>IF($N32="","",INDEX('Cronograma R. Operacional'!$Q$5:$Q$1000,$N32)&amp;"")</f>
        <v/>
      </c>
      <c r="N32">
        <f>IFERROR(MATCH(ROW()-4,rOrden_RO,0),"")</f>
        <v/>
      </c>
      <c r="O32">
        <f>IF($N32="","",INDEX('Cronograma R. Operacional'!$V$5:$V$1000,$N32))</f>
        <v/>
      </c>
      <c r="P32">
        <f>IF($N32="","",N(INDEX('Cronograma R. Operacional'!$W$5:$W$1000,$N32)))</f>
        <v/>
      </c>
      <c r="Q32">
        <f>IF(OR(LEFT($L32,7)="Vencida",LEFT($L32,5)="Vence"),SUMPRODUCT(--(LEFT($L$5:$L32,7)="Vencida"))+SUMPRODUCT(--(LEFT($L$5:$L32,5)="Vence")),"")</f>
        <v/>
      </c>
    </row>
    <row r="33">
      <c r="A33" s="56">
        <f>IF($N33="","",INDEX('Cronograma R. Operacional'!$A$5:$A$1000,$N33))</f>
        <v/>
      </c>
      <c r="B33" s="62">
        <f>IF($N33="","",IF($O33="Sub","      ↳  "&amp;INDEX('Cronograma R. Operacional'!$C$5:$C$1000,$N33),INDEX('Cronograma R. Operacional'!$C$5:$C$1000,$N33)&amp;""))</f>
        <v/>
      </c>
      <c r="C33" s="79">
        <f>IF($N33="","",IF(INDEX('Cronograma R. Operacional'!$AM$5:$AM$1000,$N33)="","",INDEX('Cronograma R. Operacional'!$AM$5:$AM$1000,$N33)))</f>
        <v/>
      </c>
      <c r="D33" s="79">
        <f>IF($N33="","",IF(INDEX('Cronograma R. Operacional'!$AN$5:$AN$1000,$N33)="","",INDEX('Cronograma R. Operacional'!$AN$5:$AN$1000,$N33)))</f>
        <v/>
      </c>
      <c r="E33" s="56">
        <f>IF($N33="","",IF(NOT(ISNUMBER($D33)),"",IF($D33&lt;InicioCiclo,"Antes del ciclo",IF($D33&gt;=InicioCiclo+28,"Después del ciclo","Semana "&amp;(INT(($D33-InicioCiclo)/7)+1)))))</f>
        <v/>
      </c>
      <c r="F33" s="61">
        <f>IF($N33="","",IF($P33&gt;0,IF(1&lt;=SemanaActual,INDEX('Cronograma R. Operacional'!$AC$5:$AC$1000,$N33),""),IF(INDEX('Cronograma R. Operacional'!$I$5:$I$1000,$N33)="","",INDEX('Cronograma R. Operacional'!$I$5:$I$1000,$N33))))</f>
        <v/>
      </c>
      <c r="G33" s="61">
        <f>IF($N33="","",IF($P33&gt;0,IF(2&lt;=SemanaActual,INDEX('Cronograma R. Operacional'!$AD$5:$AD$1000,$N33),""),IF(INDEX('Cronograma R. Operacional'!$J$5:$J$1000,$N33)="","",INDEX('Cronograma R. Operacional'!$J$5:$J$1000,$N33))))</f>
        <v/>
      </c>
      <c r="H33" s="61">
        <f>IF($N33="","",IF($P33&gt;0,IF(3&lt;=SemanaActual,INDEX('Cronograma R. Operacional'!$AE$5:$AE$1000,$N33),""),IF(INDEX('Cronograma R. Operacional'!$K$5:$K$1000,$N33)="","",INDEX('Cronograma R. Operacional'!$K$5:$K$1000,$N33))))</f>
        <v/>
      </c>
      <c r="I33" s="61">
        <f>IF($N33="","",IF($P33&gt;0,IF(4&lt;=SemanaActual,INDEX('Cronograma R. Operacional'!$AF$5:$AF$1000,$N33),""),IF(INDEX('Cronograma R. Operacional'!$L$5:$L$1000,$N33)="","",INDEX('Cronograma R. Operacional'!$L$5:$L$1000,$N33))))</f>
        <v/>
      </c>
      <c r="J33" s="61">
        <f>IF($N33="","",INDEX('Cronograma R. Operacional'!$M$5:$M$1000,$N33))</f>
        <v/>
      </c>
      <c r="K33" s="56">
        <f>IF($N33="","",IF(N($J33)&gt;=1,"Completado",IF(AND(ISNUMBER($D33),$D33&lt;FechaRef),"Vencida",IF(N($J33)&gt;0,"En curso","Pendiente"))))</f>
        <v/>
      </c>
      <c r="L33" s="56">
        <f>IF($N33="","",INDEX('Cronograma R. Operacional'!$O$5:$O$1000,$N33)&amp;"")</f>
        <v/>
      </c>
      <c r="M33" s="62">
        <f>IF($N33="","",INDEX('Cronograma R. Operacional'!$Q$5:$Q$1000,$N33)&amp;"")</f>
        <v/>
      </c>
      <c r="N33">
        <f>IFERROR(MATCH(ROW()-4,rOrden_RO,0),"")</f>
        <v/>
      </c>
      <c r="O33">
        <f>IF($N33="","",INDEX('Cronograma R. Operacional'!$V$5:$V$1000,$N33))</f>
        <v/>
      </c>
      <c r="P33">
        <f>IF($N33="","",N(INDEX('Cronograma R. Operacional'!$W$5:$W$1000,$N33)))</f>
        <v/>
      </c>
      <c r="Q33">
        <f>IF(OR(LEFT($L33,7)="Vencida",LEFT($L33,5)="Vence"),SUMPRODUCT(--(LEFT($L$5:$L33,7)="Vencida"))+SUMPRODUCT(--(LEFT($L$5:$L33,5)="Vence")),"")</f>
        <v/>
      </c>
    </row>
    <row r="34">
      <c r="A34" s="56">
        <f>IF($N34="","",INDEX('Cronograma R. Operacional'!$A$5:$A$1000,$N34))</f>
        <v/>
      </c>
      <c r="B34" s="62">
        <f>IF($N34="","",IF($O34="Sub","      ↳  "&amp;INDEX('Cronograma R. Operacional'!$C$5:$C$1000,$N34),INDEX('Cronograma R. Operacional'!$C$5:$C$1000,$N34)&amp;""))</f>
        <v/>
      </c>
      <c r="C34" s="79">
        <f>IF($N34="","",IF(INDEX('Cronograma R. Operacional'!$AM$5:$AM$1000,$N34)="","",INDEX('Cronograma R. Operacional'!$AM$5:$AM$1000,$N34)))</f>
        <v/>
      </c>
      <c r="D34" s="79">
        <f>IF($N34="","",IF(INDEX('Cronograma R. Operacional'!$AN$5:$AN$1000,$N34)="","",INDEX('Cronograma R. Operacional'!$AN$5:$AN$1000,$N34)))</f>
        <v/>
      </c>
      <c r="E34" s="56">
        <f>IF($N34="","",IF(NOT(ISNUMBER($D34)),"",IF($D34&lt;InicioCiclo,"Antes del ciclo",IF($D34&gt;=InicioCiclo+28,"Después del ciclo","Semana "&amp;(INT(($D34-InicioCiclo)/7)+1)))))</f>
        <v/>
      </c>
      <c r="F34" s="61">
        <f>IF($N34="","",IF($P34&gt;0,IF(1&lt;=SemanaActual,INDEX('Cronograma R. Operacional'!$AC$5:$AC$1000,$N34),""),IF(INDEX('Cronograma R. Operacional'!$I$5:$I$1000,$N34)="","",INDEX('Cronograma R. Operacional'!$I$5:$I$1000,$N34))))</f>
        <v/>
      </c>
      <c r="G34" s="61">
        <f>IF($N34="","",IF($P34&gt;0,IF(2&lt;=SemanaActual,INDEX('Cronograma R. Operacional'!$AD$5:$AD$1000,$N34),""),IF(INDEX('Cronograma R. Operacional'!$J$5:$J$1000,$N34)="","",INDEX('Cronograma R. Operacional'!$J$5:$J$1000,$N34))))</f>
        <v/>
      </c>
      <c r="H34" s="61">
        <f>IF($N34="","",IF($P34&gt;0,IF(3&lt;=SemanaActual,INDEX('Cronograma R. Operacional'!$AE$5:$AE$1000,$N34),""),IF(INDEX('Cronograma R. Operacional'!$K$5:$K$1000,$N34)="","",INDEX('Cronograma R. Operacional'!$K$5:$K$1000,$N34))))</f>
        <v/>
      </c>
      <c r="I34" s="61">
        <f>IF($N34="","",IF($P34&gt;0,IF(4&lt;=SemanaActual,INDEX('Cronograma R. Operacional'!$AF$5:$AF$1000,$N34),""),IF(INDEX('Cronograma R. Operacional'!$L$5:$L$1000,$N34)="","",INDEX('Cronograma R. Operacional'!$L$5:$L$1000,$N34))))</f>
        <v/>
      </c>
      <c r="J34" s="61">
        <f>IF($N34="","",INDEX('Cronograma R. Operacional'!$M$5:$M$1000,$N34))</f>
        <v/>
      </c>
      <c r="K34" s="56">
        <f>IF($N34="","",IF(N($J34)&gt;=1,"Completado",IF(AND(ISNUMBER($D34),$D34&lt;FechaRef),"Vencida",IF(N($J34)&gt;0,"En curso","Pendiente"))))</f>
        <v/>
      </c>
      <c r="L34" s="56">
        <f>IF($N34="","",INDEX('Cronograma R. Operacional'!$O$5:$O$1000,$N34)&amp;"")</f>
        <v/>
      </c>
      <c r="M34" s="62">
        <f>IF($N34="","",INDEX('Cronograma R. Operacional'!$Q$5:$Q$1000,$N34)&amp;"")</f>
        <v/>
      </c>
      <c r="N34">
        <f>IFERROR(MATCH(ROW()-4,rOrden_RO,0),"")</f>
        <v/>
      </c>
      <c r="O34">
        <f>IF($N34="","",INDEX('Cronograma R. Operacional'!$V$5:$V$1000,$N34))</f>
        <v/>
      </c>
      <c r="P34">
        <f>IF($N34="","",N(INDEX('Cronograma R. Operacional'!$W$5:$W$1000,$N34)))</f>
        <v/>
      </c>
      <c r="Q34">
        <f>IF(OR(LEFT($L34,7)="Vencida",LEFT($L34,5)="Vence"),SUMPRODUCT(--(LEFT($L$5:$L34,7)="Vencida"))+SUMPRODUCT(--(LEFT($L$5:$L34,5)="Vence")),"")</f>
        <v/>
      </c>
    </row>
    <row r="35">
      <c r="A35" s="56">
        <f>IF($N35="","",INDEX('Cronograma R. Operacional'!$A$5:$A$1000,$N35))</f>
        <v/>
      </c>
      <c r="B35" s="62">
        <f>IF($N35="","",IF($O35="Sub","      ↳  "&amp;INDEX('Cronograma R. Operacional'!$C$5:$C$1000,$N35),INDEX('Cronograma R. Operacional'!$C$5:$C$1000,$N35)&amp;""))</f>
        <v/>
      </c>
      <c r="C35" s="79">
        <f>IF($N35="","",IF(INDEX('Cronograma R. Operacional'!$AM$5:$AM$1000,$N35)="","",INDEX('Cronograma R. Operacional'!$AM$5:$AM$1000,$N35)))</f>
        <v/>
      </c>
      <c r="D35" s="79">
        <f>IF($N35="","",IF(INDEX('Cronograma R. Operacional'!$AN$5:$AN$1000,$N35)="","",INDEX('Cronograma R. Operacional'!$AN$5:$AN$1000,$N35)))</f>
        <v/>
      </c>
      <c r="E35" s="56">
        <f>IF($N35="","",IF(NOT(ISNUMBER($D35)),"",IF($D35&lt;InicioCiclo,"Antes del ciclo",IF($D35&gt;=InicioCiclo+28,"Después del ciclo","Semana "&amp;(INT(($D35-InicioCiclo)/7)+1)))))</f>
        <v/>
      </c>
      <c r="F35" s="61">
        <f>IF($N35="","",IF($P35&gt;0,IF(1&lt;=SemanaActual,INDEX('Cronograma R. Operacional'!$AC$5:$AC$1000,$N35),""),IF(INDEX('Cronograma R. Operacional'!$I$5:$I$1000,$N35)="","",INDEX('Cronograma R. Operacional'!$I$5:$I$1000,$N35))))</f>
        <v/>
      </c>
      <c r="G35" s="61">
        <f>IF($N35="","",IF($P35&gt;0,IF(2&lt;=SemanaActual,INDEX('Cronograma R. Operacional'!$AD$5:$AD$1000,$N35),""),IF(INDEX('Cronograma R. Operacional'!$J$5:$J$1000,$N35)="","",INDEX('Cronograma R. Operacional'!$J$5:$J$1000,$N35))))</f>
        <v/>
      </c>
      <c r="H35" s="61">
        <f>IF($N35="","",IF($P35&gt;0,IF(3&lt;=SemanaActual,INDEX('Cronograma R. Operacional'!$AE$5:$AE$1000,$N35),""),IF(INDEX('Cronograma R. Operacional'!$K$5:$K$1000,$N35)="","",INDEX('Cronograma R. Operacional'!$K$5:$K$1000,$N35))))</f>
        <v/>
      </c>
      <c r="I35" s="61">
        <f>IF($N35="","",IF($P35&gt;0,IF(4&lt;=SemanaActual,INDEX('Cronograma R. Operacional'!$AF$5:$AF$1000,$N35),""),IF(INDEX('Cronograma R. Operacional'!$L$5:$L$1000,$N35)="","",INDEX('Cronograma R. Operacional'!$L$5:$L$1000,$N35))))</f>
        <v/>
      </c>
      <c r="J35" s="61">
        <f>IF($N35="","",INDEX('Cronograma R. Operacional'!$M$5:$M$1000,$N35))</f>
        <v/>
      </c>
      <c r="K35" s="56">
        <f>IF($N35="","",IF(N($J35)&gt;=1,"Completado",IF(AND(ISNUMBER($D35),$D35&lt;FechaRef),"Vencida",IF(N($J35)&gt;0,"En curso","Pendiente"))))</f>
        <v/>
      </c>
      <c r="L35" s="56">
        <f>IF($N35="","",INDEX('Cronograma R. Operacional'!$O$5:$O$1000,$N35)&amp;"")</f>
        <v/>
      </c>
      <c r="M35" s="62">
        <f>IF($N35="","",INDEX('Cronograma R. Operacional'!$Q$5:$Q$1000,$N35)&amp;"")</f>
        <v/>
      </c>
      <c r="N35">
        <f>IFERROR(MATCH(ROW()-4,rOrden_RO,0),"")</f>
        <v/>
      </c>
      <c r="O35">
        <f>IF($N35="","",INDEX('Cronograma R. Operacional'!$V$5:$V$1000,$N35))</f>
        <v/>
      </c>
      <c r="P35">
        <f>IF($N35="","",N(INDEX('Cronograma R. Operacional'!$W$5:$W$1000,$N35)))</f>
        <v/>
      </c>
      <c r="Q35">
        <f>IF(OR(LEFT($L35,7)="Vencida",LEFT($L35,5)="Vence"),SUMPRODUCT(--(LEFT($L$5:$L35,7)="Vencida"))+SUMPRODUCT(--(LEFT($L$5:$L35,5)="Vence")),"")</f>
        <v/>
      </c>
    </row>
    <row r="36">
      <c r="A36" s="56">
        <f>IF($N36="","",INDEX('Cronograma R. Operacional'!$A$5:$A$1000,$N36))</f>
        <v/>
      </c>
      <c r="B36" s="62">
        <f>IF($N36="","",IF($O36="Sub","      ↳  "&amp;INDEX('Cronograma R. Operacional'!$C$5:$C$1000,$N36),INDEX('Cronograma R. Operacional'!$C$5:$C$1000,$N36)&amp;""))</f>
        <v/>
      </c>
      <c r="C36" s="79">
        <f>IF($N36="","",IF(INDEX('Cronograma R. Operacional'!$AM$5:$AM$1000,$N36)="","",INDEX('Cronograma R. Operacional'!$AM$5:$AM$1000,$N36)))</f>
        <v/>
      </c>
      <c r="D36" s="79">
        <f>IF($N36="","",IF(INDEX('Cronograma R. Operacional'!$AN$5:$AN$1000,$N36)="","",INDEX('Cronograma R. Operacional'!$AN$5:$AN$1000,$N36)))</f>
        <v/>
      </c>
      <c r="E36" s="56">
        <f>IF($N36="","",IF(NOT(ISNUMBER($D36)),"",IF($D36&lt;InicioCiclo,"Antes del ciclo",IF($D36&gt;=InicioCiclo+28,"Después del ciclo","Semana "&amp;(INT(($D36-InicioCiclo)/7)+1)))))</f>
        <v/>
      </c>
      <c r="F36" s="61">
        <f>IF($N36="","",IF($P36&gt;0,IF(1&lt;=SemanaActual,INDEX('Cronograma R. Operacional'!$AC$5:$AC$1000,$N36),""),IF(INDEX('Cronograma R. Operacional'!$I$5:$I$1000,$N36)="","",INDEX('Cronograma R. Operacional'!$I$5:$I$1000,$N36))))</f>
        <v/>
      </c>
      <c r="G36" s="61">
        <f>IF($N36="","",IF($P36&gt;0,IF(2&lt;=SemanaActual,INDEX('Cronograma R. Operacional'!$AD$5:$AD$1000,$N36),""),IF(INDEX('Cronograma R. Operacional'!$J$5:$J$1000,$N36)="","",INDEX('Cronograma R. Operacional'!$J$5:$J$1000,$N36))))</f>
        <v/>
      </c>
      <c r="H36" s="61">
        <f>IF($N36="","",IF($P36&gt;0,IF(3&lt;=SemanaActual,INDEX('Cronograma R. Operacional'!$AE$5:$AE$1000,$N36),""),IF(INDEX('Cronograma R. Operacional'!$K$5:$K$1000,$N36)="","",INDEX('Cronograma R. Operacional'!$K$5:$K$1000,$N36))))</f>
        <v/>
      </c>
      <c r="I36" s="61">
        <f>IF($N36="","",IF($P36&gt;0,IF(4&lt;=SemanaActual,INDEX('Cronograma R. Operacional'!$AF$5:$AF$1000,$N36),""),IF(INDEX('Cronograma R. Operacional'!$L$5:$L$1000,$N36)="","",INDEX('Cronograma R. Operacional'!$L$5:$L$1000,$N36))))</f>
        <v/>
      </c>
      <c r="J36" s="61">
        <f>IF($N36="","",INDEX('Cronograma R. Operacional'!$M$5:$M$1000,$N36))</f>
        <v/>
      </c>
      <c r="K36" s="56">
        <f>IF($N36="","",IF(N($J36)&gt;=1,"Completado",IF(AND(ISNUMBER($D36),$D36&lt;FechaRef),"Vencida",IF(N($J36)&gt;0,"En curso","Pendiente"))))</f>
        <v/>
      </c>
      <c r="L36" s="56">
        <f>IF($N36="","",INDEX('Cronograma R. Operacional'!$O$5:$O$1000,$N36)&amp;"")</f>
        <v/>
      </c>
      <c r="M36" s="62">
        <f>IF($N36="","",INDEX('Cronograma R. Operacional'!$Q$5:$Q$1000,$N36)&amp;"")</f>
        <v/>
      </c>
      <c r="N36">
        <f>IFERROR(MATCH(ROW()-4,rOrden_RO,0),"")</f>
        <v/>
      </c>
      <c r="O36">
        <f>IF($N36="","",INDEX('Cronograma R. Operacional'!$V$5:$V$1000,$N36))</f>
        <v/>
      </c>
      <c r="P36">
        <f>IF($N36="","",N(INDEX('Cronograma R. Operacional'!$W$5:$W$1000,$N36)))</f>
        <v/>
      </c>
      <c r="Q36">
        <f>IF(OR(LEFT($L36,7)="Vencida",LEFT($L36,5)="Vence"),SUMPRODUCT(--(LEFT($L$5:$L36,7)="Vencida"))+SUMPRODUCT(--(LEFT($L$5:$L36,5)="Vence")),"")</f>
        <v/>
      </c>
    </row>
    <row r="37">
      <c r="A37" s="56">
        <f>IF($N37="","",INDEX('Cronograma R. Operacional'!$A$5:$A$1000,$N37))</f>
        <v/>
      </c>
      <c r="B37" s="62">
        <f>IF($N37="","",IF($O37="Sub","      ↳  "&amp;INDEX('Cronograma R. Operacional'!$C$5:$C$1000,$N37),INDEX('Cronograma R. Operacional'!$C$5:$C$1000,$N37)&amp;""))</f>
        <v/>
      </c>
      <c r="C37" s="79">
        <f>IF($N37="","",IF(INDEX('Cronograma R. Operacional'!$AM$5:$AM$1000,$N37)="","",INDEX('Cronograma R. Operacional'!$AM$5:$AM$1000,$N37)))</f>
        <v/>
      </c>
      <c r="D37" s="79">
        <f>IF($N37="","",IF(INDEX('Cronograma R. Operacional'!$AN$5:$AN$1000,$N37)="","",INDEX('Cronograma R. Operacional'!$AN$5:$AN$1000,$N37)))</f>
        <v/>
      </c>
      <c r="E37" s="56">
        <f>IF($N37="","",IF(NOT(ISNUMBER($D37)),"",IF($D37&lt;InicioCiclo,"Antes del ciclo",IF($D37&gt;=InicioCiclo+28,"Después del ciclo","Semana "&amp;(INT(($D37-InicioCiclo)/7)+1)))))</f>
        <v/>
      </c>
      <c r="F37" s="61">
        <f>IF($N37="","",IF($P37&gt;0,IF(1&lt;=SemanaActual,INDEX('Cronograma R. Operacional'!$AC$5:$AC$1000,$N37),""),IF(INDEX('Cronograma R. Operacional'!$I$5:$I$1000,$N37)="","",INDEX('Cronograma R. Operacional'!$I$5:$I$1000,$N37))))</f>
        <v/>
      </c>
      <c r="G37" s="61">
        <f>IF($N37="","",IF($P37&gt;0,IF(2&lt;=SemanaActual,INDEX('Cronograma R. Operacional'!$AD$5:$AD$1000,$N37),""),IF(INDEX('Cronograma R. Operacional'!$J$5:$J$1000,$N37)="","",INDEX('Cronograma R. Operacional'!$J$5:$J$1000,$N37))))</f>
        <v/>
      </c>
      <c r="H37" s="61">
        <f>IF($N37="","",IF($P37&gt;0,IF(3&lt;=SemanaActual,INDEX('Cronograma R. Operacional'!$AE$5:$AE$1000,$N37),""),IF(INDEX('Cronograma R. Operacional'!$K$5:$K$1000,$N37)="","",INDEX('Cronograma R. Operacional'!$K$5:$K$1000,$N37))))</f>
        <v/>
      </c>
      <c r="I37" s="61">
        <f>IF($N37="","",IF($P37&gt;0,IF(4&lt;=SemanaActual,INDEX('Cronograma R. Operacional'!$AF$5:$AF$1000,$N37),""),IF(INDEX('Cronograma R. Operacional'!$L$5:$L$1000,$N37)="","",INDEX('Cronograma R. Operacional'!$L$5:$L$1000,$N37))))</f>
        <v/>
      </c>
      <c r="J37" s="61">
        <f>IF($N37="","",INDEX('Cronograma R. Operacional'!$M$5:$M$1000,$N37))</f>
        <v/>
      </c>
      <c r="K37" s="56">
        <f>IF($N37="","",IF(N($J37)&gt;=1,"Completado",IF(AND(ISNUMBER($D37),$D37&lt;FechaRef),"Vencida",IF(N($J37)&gt;0,"En curso","Pendiente"))))</f>
        <v/>
      </c>
      <c r="L37" s="56">
        <f>IF($N37="","",INDEX('Cronograma R. Operacional'!$O$5:$O$1000,$N37)&amp;"")</f>
        <v/>
      </c>
      <c r="M37" s="62">
        <f>IF($N37="","",INDEX('Cronograma R. Operacional'!$Q$5:$Q$1000,$N37)&amp;"")</f>
        <v/>
      </c>
      <c r="N37">
        <f>IFERROR(MATCH(ROW()-4,rOrden_RO,0),"")</f>
        <v/>
      </c>
      <c r="O37">
        <f>IF($N37="","",INDEX('Cronograma R. Operacional'!$V$5:$V$1000,$N37))</f>
        <v/>
      </c>
      <c r="P37">
        <f>IF($N37="","",N(INDEX('Cronograma R. Operacional'!$W$5:$W$1000,$N37)))</f>
        <v/>
      </c>
      <c r="Q37">
        <f>IF(OR(LEFT($L37,7)="Vencida",LEFT($L37,5)="Vence"),SUMPRODUCT(--(LEFT($L$5:$L37,7)="Vencida"))+SUMPRODUCT(--(LEFT($L$5:$L37,5)="Vence")),"")</f>
        <v/>
      </c>
    </row>
    <row r="38">
      <c r="A38" s="56">
        <f>IF($N38="","",INDEX('Cronograma R. Operacional'!$A$5:$A$1000,$N38))</f>
        <v/>
      </c>
      <c r="B38" s="62">
        <f>IF($N38="","",IF($O38="Sub","      ↳  "&amp;INDEX('Cronograma R. Operacional'!$C$5:$C$1000,$N38),INDEX('Cronograma R. Operacional'!$C$5:$C$1000,$N38)&amp;""))</f>
        <v/>
      </c>
      <c r="C38" s="79">
        <f>IF($N38="","",IF(INDEX('Cronograma R. Operacional'!$AM$5:$AM$1000,$N38)="","",INDEX('Cronograma R. Operacional'!$AM$5:$AM$1000,$N38)))</f>
        <v/>
      </c>
      <c r="D38" s="79">
        <f>IF($N38="","",IF(INDEX('Cronograma R. Operacional'!$AN$5:$AN$1000,$N38)="","",INDEX('Cronograma R. Operacional'!$AN$5:$AN$1000,$N38)))</f>
        <v/>
      </c>
      <c r="E38" s="56">
        <f>IF($N38="","",IF(NOT(ISNUMBER($D38)),"",IF($D38&lt;InicioCiclo,"Antes del ciclo",IF($D38&gt;=InicioCiclo+28,"Después del ciclo","Semana "&amp;(INT(($D38-InicioCiclo)/7)+1)))))</f>
        <v/>
      </c>
      <c r="F38" s="61">
        <f>IF($N38="","",IF($P38&gt;0,IF(1&lt;=SemanaActual,INDEX('Cronograma R. Operacional'!$AC$5:$AC$1000,$N38),""),IF(INDEX('Cronograma R. Operacional'!$I$5:$I$1000,$N38)="","",INDEX('Cronograma R. Operacional'!$I$5:$I$1000,$N38))))</f>
        <v/>
      </c>
      <c r="G38" s="61">
        <f>IF($N38="","",IF($P38&gt;0,IF(2&lt;=SemanaActual,INDEX('Cronograma R. Operacional'!$AD$5:$AD$1000,$N38),""),IF(INDEX('Cronograma R. Operacional'!$J$5:$J$1000,$N38)="","",INDEX('Cronograma R. Operacional'!$J$5:$J$1000,$N38))))</f>
        <v/>
      </c>
      <c r="H38" s="61">
        <f>IF($N38="","",IF($P38&gt;0,IF(3&lt;=SemanaActual,INDEX('Cronograma R. Operacional'!$AE$5:$AE$1000,$N38),""),IF(INDEX('Cronograma R. Operacional'!$K$5:$K$1000,$N38)="","",INDEX('Cronograma R. Operacional'!$K$5:$K$1000,$N38))))</f>
        <v/>
      </c>
      <c r="I38" s="61">
        <f>IF($N38="","",IF($P38&gt;0,IF(4&lt;=SemanaActual,INDEX('Cronograma R. Operacional'!$AF$5:$AF$1000,$N38),""),IF(INDEX('Cronograma R. Operacional'!$L$5:$L$1000,$N38)="","",INDEX('Cronograma R. Operacional'!$L$5:$L$1000,$N38))))</f>
        <v/>
      </c>
      <c r="J38" s="61">
        <f>IF($N38="","",INDEX('Cronograma R. Operacional'!$M$5:$M$1000,$N38))</f>
        <v/>
      </c>
      <c r="K38" s="56">
        <f>IF($N38="","",IF(N($J38)&gt;=1,"Completado",IF(AND(ISNUMBER($D38),$D38&lt;FechaRef),"Vencida",IF(N($J38)&gt;0,"En curso","Pendiente"))))</f>
        <v/>
      </c>
      <c r="L38" s="56">
        <f>IF($N38="","",INDEX('Cronograma R. Operacional'!$O$5:$O$1000,$N38)&amp;"")</f>
        <v/>
      </c>
      <c r="M38" s="62">
        <f>IF($N38="","",INDEX('Cronograma R. Operacional'!$Q$5:$Q$1000,$N38)&amp;"")</f>
        <v/>
      </c>
      <c r="N38">
        <f>IFERROR(MATCH(ROW()-4,rOrden_RO,0),"")</f>
        <v/>
      </c>
      <c r="O38">
        <f>IF($N38="","",INDEX('Cronograma R. Operacional'!$V$5:$V$1000,$N38))</f>
        <v/>
      </c>
      <c r="P38">
        <f>IF($N38="","",N(INDEX('Cronograma R. Operacional'!$W$5:$W$1000,$N38)))</f>
        <v/>
      </c>
      <c r="Q38">
        <f>IF(OR(LEFT($L38,7)="Vencida",LEFT($L38,5)="Vence"),SUMPRODUCT(--(LEFT($L$5:$L38,7)="Vencida"))+SUMPRODUCT(--(LEFT($L$5:$L38,5)="Vence")),"")</f>
        <v/>
      </c>
    </row>
    <row r="39">
      <c r="A39" s="56">
        <f>IF($N39="","",INDEX('Cronograma R. Operacional'!$A$5:$A$1000,$N39))</f>
        <v/>
      </c>
      <c r="B39" s="62">
        <f>IF($N39="","",IF($O39="Sub","      ↳  "&amp;INDEX('Cronograma R. Operacional'!$C$5:$C$1000,$N39),INDEX('Cronograma R. Operacional'!$C$5:$C$1000,$N39)&amp;""))</f>
        <v/>
      </c>
      <c r="C39" s="79">
        <f>IF($N39="","",IF(INDEX('Cronograma R. Operacional'!$AM$5:$AM$1000,$N39)="","",INDEX('Cronograma R. Operacional'!$AM$5:$AM$1000,$N39)))</f>
        <v/>
      </c>
      <c r="D39" s="79">
        <f>IF($N39="","",IF(INDEX('Cronograma R. Operacional'!$AN$5:$AN$1000,$N39)="","",INDEX('Cronograma R. Operacional'!$AN$5:$AN$1000,$N39)))</f>
        <v/>
      </c>
      <c r="E39" s="56">
        <f>IF($N39="","",IF(NOT(ISNUMBER($D39)),"",IF($D39&lt;InicioCiclo,"Antes del ciclo",IF($D39&gt;=InicioCiclo+28,"Después del ciclo","Semana "&amp;(INT(($D39-InicioCiclo)/7)+1)))))</f>
        <v/>
      </c>
      <c r="F39" s="61">
        <f>IF($N39="","",IF($P39&gt;0,IF(1&lt;=SemanaActual,INDEX('Cronograma R. Operacional'!$AC$5:$AC$1000,$N39),""),IF(INDEX('Cronograma R. Operacional'!$I$5:$I$1000,$N39)="","",INDEX('Cronograma R. Operacional'!$I$5:$I$1000,$N39))))</f>
        <v/>
      </c>
      <c r="G39" s="61">
        <f>IF($N39="","",IF($P39&gt;0,IF(2&lt;=SemanaActual,INDEX('Cronograma R. Operacional'!$AD$5:$AD$1000,$N39),""),IF(INDEX('Cronograma R. Operacional'!$J$5:$J$1000,$N39)="","",INDEX('Cronograma R. Operacional'!$J$5:$J$1000,$N39))))</f>
        <v/>
      </c>
      <c r="H39" s="61">
        <f>IF($N39="","",IF($P39&gt;0,IF(3&lt;=SemanaActual,INDEX('Cronograma R. Operacional'!$AE$5:$AE$1000,$N39),""),IF(INDEX('Cronograma R. Operacional'!$K$5:$K$1000,$N39)="","",INDEX('Cronograma R. Operacional'!$K$5:$K$1000,$N39))))</f>
        <v/>
      </c>
      <c r="I39" s="61">
        <f>IF($N39="","",IF($P39&gt;0,IF(4&lt;=SemanaActual,INDEX('Cronograma R. Operacional'!$AF$5:$AF$1000,$N39),""),IF(INDEX('Cronograma R. Operacional'!$L$5:$L$1000,$N39)="","",INDEX('Cronograma R. Operacional'!$L$5:$L$1000,$N39))))</f>
        <v/>
      </c>
      <c r="J39" s="61">
        <f>IF($N39="","",INDEX('Cronograma R. Operacional'!$M$5:$M$1000,$N39))</f>
        <v/>
      </c>
      <c r="K39" s="56">
        <f>IF($N39="","",IF(N($J39)&gt;=1,"Completado",IF(AND(ISNUMBER($D39),$D39&lt;FechaRef),"Vencida",IF(N($J39)&gt;0,"En curso","Pendiente"))))</f>
        <v/>
      </c>
      <c r="L39" s="56">
        <f>IF($N39="","",INDEX('Cronograma R. Operacional'!$O$5:$O$1000,$N39)&amp;"")</f>
        <v/>
      </c>
      <c r="M39" s="62">
        <f>IF($N39="","",INDEX('Cronograma R. Operacional'!$Q$5:$Q$1000,$N39)&amp;"")</f>
        <v/>
      </c>
      <c r="N39">
        <f>IFERROR(MATCH(ROW()-4,rOrden_RO,0),"")</f>
        <v/>
      </c>
      <c r="O39">
        <f>IF($N39="","",INDEX('Cronograma R. Operacional'!$V$5:$V$1000,$N39))</f>
        <v/>
      </c>
      <c r="P39">
        <f>IF($N39="","",N(INDEX('Cronograma R. Operacional'!$W$5:$W$1000,$N39)))</f>
        <v/>
      </c>
      <c r="Q39">
        <f>IF(OR(LEFT($L39,7)="Vencida",LEFT($L39,5)="Vence"),SUMPRODUCT(--(LEFT($L$5:$L39,7)="Vencida"))+SUMPRODUCT(--(LEFT($L$5:$L39,5)="Vence")),"")</f>
        <v/>
      </c>
    </row>
    <row r="40">
      <c r="A40" s="56">
        <f>IF($N40="","",INDEX('Cronograma R. Operacional'!$A$5:$A$1000,$N40))</f>
        <v/>
      </c>
      <c r="B40" s="62">
        <f>IF($N40="","",IF($O40="Sub","      ↳  "&amp;INDEX('Cronograma R. Operacional'!$C$5:$C$1000,$N40),INDEX('Cronograma R. Operacional'!$C$5:$C$1000,$N40)&amp;""))</f>
        <v/>
      </c>
      <c r="C40" s="79">
        <f>IF($N40="","",IF(INDEX('Cronograma R. Operacional'!$AM$5:$AM$1000,$N40)="","",INDEX('Cronograma R. Operacional'!$AM$5:$AM$1000,$N40)))</f>
        <v/>
      </c>
      <c r="D40" s="79">
        <f>IF($N40="","",IF(INDEX('Cronograma R. Operacional'!$AN$5:$AN$1000,$N40)="","",INDEX('Cronograma R. Operacional'!$AN$5:$AN$1000,$N40)))</f>
        <v/>
      </c>
      <c r="E40" s="56">
        <f>IF($N40="","",IF(NOT(ISNUMBER($D40)),"",IF($D40&lt;InicioCiclo,"Antes del ciclo",IF($D40&gt;=InicioCiclo+28,"Después del ciclo","Semana "&amp;(INT(($D40-InicioCiclo)/7)+1)))))</f>
        <v/>
      </c>
      <c r="F40" s="61">
        <f>IF($N40="","",IF($P40&gt;0,IF(1&lt;=SemanaActual,INDEX('Cronograma R. Operacional'!$AC$5:$AC$1000,$N40),""),IF(INDEX('Cronograma R. Operacional'!$I$5:$I$1000,$N40)="","",INDEX('Cronograma R. Operacional'!$I$5:$I$1000,$N40))))</f>
        <v/>
      </c>
      <c r="G40" s="61">
        <f>IF($N40="","",IF($P40&gt;0,IF(2&lt;=SemanaActual,INDEX('Cronograma R. Operacional'!$AD$5:$AD$1000,$N40),""),IF(INDEX('Cronograma R. Operacional'!$J$5:$J$1000,$N40)="","",INDEX('Cronograma R. Operacional'!$J$5:$J$1000,$N40))))</f>
        <v/>
      </c>
      <c r="H40" s="61">
        <f>IF($N40="","",IF($P40&gt;0,IF(3&lt;=SemanaActual,INDEX('Cronograma R. Operacional'!$AE$5:$AE$1000,$N40),""),IF(INDEX('Cronograma R. Operacional'!$K$5:$K$1000,$N40)="","",INDEX('Cronograma R. Operacional'!$K$5:$K$1000,$N40))))</f>
        <v/>
      </c>
      <c r="I40" s="61">
        <f>IF($N40="","",IF($P40&gt;0,IF(4&lt;=SemanaActual,INDEX('Cronograma R. Operacional'!$AF$5:$AF$1000,$N40),""),IF(INDEX('Cronograma R. Operacional'!$L$5:$L$1000,$N40)="","",INDEX('Cronograma R. Operacional'!$L$5:$L$1000,$N40))))</f>
        <v/>
      </c>
      <c r="J40" s="61">
        <f>IF($N40="","",INDEX('Cronograma R. Operacional'!$M$5:$M$1000,$N40))</f>
        <v/>
      </c>
      <c r="K40" s="56">
        <f>IF($N40="","",IF(N($J40)&gt;=1,"Completado",IF(AND(ISNUMBER($D40),$D40&lt;FechaRef),"Vencida",IF(N($J40)&gt;0,"En curso","Pendiente"))))</f>
        <v/>
      </c>
      <c r="L40" s="56">
        <f>IF($N40="","",INDEX('Cronograma R. Operacional'!$O$5:$O$1000,$N40)&amp;"")</f>
        <v/>
      </c>
      <c r="M40" s="62">
        <f>IF($N40="","",INDEX('Cronograma R. Operacional'!$Q$5:$Q$1000,$N40)&amp;"")</f>
        <v/>
      </c>
      <c r="N40">
        <f>IFERROR(MATCH(ROW()-4,rOrden_RO,0),"")</f>
        <v/>
      </c>
      <c r="O40">
        <f>IF($N40="","",INDEX('Cronograma R. Operacional'!$V$5:$V$1000,$N40))</f>
        <v/>
      </c>
      <c r="P40">
        <f>IF($N40="","",N(INDEX('Cronograma R. Operacional'!$W$5:$W$1000,$N40)))</f>
        <v/>
      </c>
      <c r="Q40">
        <f>IF(OR(LEFT($L40,7)="Vencida",LEFT($L40,5)="Vence"),SUMPRODUCT(--(LEFT($L$5:$L40,7)="Vencida"))+SUMPRODUCT(--(LEFT($L$5:$L40,5)="Vence")),"")</f>
        <v/>
      </c>
    </row>
    <row r="41">
      <c r="A41" s="56">
        <f>IF($N41="","",INDEX('Cronograma R. Operacional'!$A$5:$A$1000,$N41))</f>
        <v/>
      </c>
      <c r="B41" s="62">
        <f>IF($N41="","",IF($O41="Sub","      ↳  "&amp;INDEX('Cronograma R. Operacional'!$C$5:$C$1000,$N41),INDEX('Cronograma R. Operacional'!$C$5:$C$1000,$N41)&amp;""))</f>
        <v/>
      </c>
      <c r="C41" s="79">
        <f>IF($N41="","",IF(INDEX('Cronograma R. Operacional'!$AM$5:$AM$1000,$N41)="","",INDEX('Cronograma R. Operacional'!$AM$5:$AM$1000,$N41)))</f>
        <v/>
      </c>
      <c r="D41" s="79">
        <f>IF($N41="","",IF(INDEX('Cronograma R. Operacional'!$AN$5:$AN$1000,$N41)="","",INDEX('Cronograma R. Operacional'!$AN$5:$AN$1000,$N41)))</f>
        <v/>
      </c>
      <c r="E41" s="56">
        <f>IF($N41="","",IF(NOT(ISNUMBER($D41)),"",IF($D41&lt;InicioCiclo,"Antes del ciclo",IF($D41&gt;=InicioCiclo+28,"Después del ciclo","Semana "&amp;(INT(($D41-InicioCiclo)/7)+1)))))</f>
        <v/>
      </c>
      <c r="F41" s="61">
        <f>IF($N41="","",IF($P41&gt;0,IF(1&lt;=SemanaActual,INDEX('Cronograma R. Operacional'!$AC$5:$AC$1000,$N41),""),IF(INDEX('Cronograma R. Operacional'!$I$5:$I$1000,$N41)="","",INDEX('Cronograma R. Operacional'!$I$5:$I$1000,$N41))))</f>
        <v/>
      </c>
      <c r="G41" s="61">
        <f>IF($N41="","",IF($P41&gt;0,IF(2&lt;=SemanaActual,INDEX('Cronograma R. Operacional'!$AD$5:$AD$1000,$N41),""),IF(INDEX('Cronograma R. Operacional'!$J$5:$J$1000,$N41)="","",INDEX('Cronograma R. Operacional'!$J$5:$J$1000,$N41))))</f>
        <v/>
      </c>
      <c r="H41" s="61">
        <f>IF($N41="","",IF($P41&gt;0,IF(3&lt;=SemanaActual,INDEX('Cronograma R. Operacional'!$AE$5:$AE$1000,$N41),""),IF(INDEX('Cronograma R. Operacional'!$K$5:$K$1000,$N41)="","",INDEX('Cronograma R. Operacional'!$K$5:$K$1000,$N41))))</f>
        <v/>
      </c>
      <c r="I41" s="61">
        <f>IF($N41="","",IF($P41&gt;0,IF(4&lt;=SemanaActual,INDEX('Cronograma R. Operacional'!$AF$5:$AF$1000,$N41),""),IF(INDEX('Cronograma R. Operacional'!$L$5:$L$1000,$N41)="","",INDEX('Cronograma R. Operacional'!$L$5:$L$1000,$N41))))</f>
        <v/>
      </c>
      <c r="J41" s="61">
        <f>IF($N41="","",INDEX('Cronograma R. Operacional'!$M$5:$M$1000,$N41))</f>
        <v/>
      </c>
      <c r="K41" s="56">
        <f>IF($N41="","",IF(N($J41)&gt;=1,"Completado",IF(AND(ISNUMBER($D41),$D41&lt;FechaRef),"Vencida",IF(N($J41)&gt;0,"En curso","Pendiente"))))</f>
        <v/>
      </c>
      <c r="L41" s="56">
        <f>IF($N41="","",INDEX('Cronograma R. Operacional'!$O$5:$O$1000,$N41)&amp;"")</f>
        <v/>
      </c>
      <c r="M41" s="62">
        <f>IF($N41="","",INDEX('Cronograma R. Operacional'!$Q$5:$Q$1000,$N41)&amp;"")</f>
        <v/>
      </c>
      <c r="N41">
        <f>IFERROR(MATCH(ROW()-4,rOrden_RO,0),"")</f>
        <v/>
      </c>
      <c r="O41">
        <f>IF($N41="","",INDEX('Cronograma R. Operacional'!$V$5:$V$1000,$N41))</f>
        <v/>
      </c>
      <c r="P41">
        <f>IF($N41="","",N(INDEX('Cronograma R. Operacional'!$W$5:$W$1000,$N41)))</f>
        <v/>
      </c>
      <c r="Q41">
        <f>IF(OR(LEFT($L41,7)="Vencida",LEFT($L41,5)="Vence"),SUMPRODUCT(--(LEFT($L$5:$L41,7)="Vencida"))+SUMPRODUCT(--(LEFT($L$5:$L41,5)="Vence")),"")</f>
        <v/>
      </c>
    </row>
    <row r="42">
      <c r="A42" s="56">
        <f>IF($N42="","",INDEX('Cronograma R. Operacional'!$A$5:$A$1000,$N42))</f>
        <v/>
      </c>
      <c r="B42" s="62">
        <f>IF($N42="","",IF($O42="Sub","      ↳  "&amp;INDEX('Cronograma R. Operacional'!$C$5:$C$1000,$N42),INDEX('Cronograma R. Operacional'!$C$5:$C$1000,$N42)&amp;""))</f>
        <v/>
      </c>
      <c r="C42" s="79">
        <f>IF($N42="","",IF(INDEX('Cronograma R. Operacional'!$AM$5:$AM$1000,$N42)="","",INDEX('Cronograma R. Operacional'!$AM$5:$AM$1000,$N42)))</f>
        <v/>
      </c>
      <c r="D42" s="79">
        <f>IF($N42="","",IF(INDEX('Cronograma R. Operacional'!$AN$5:$AN$1000,$N42)="","",INDEX('Cronograma R. Operacional'!$AN$5:$AN$1000,$N42)))</f>
        <v/>
      </c>
      <c r="E42" s="56">
        <f>IF($N42="","",IF(NOT(ISNUMBER($D42)),"",IF($D42&lt;InicioCiclo,"Antes del ciclo",IF($D42&gt;=InicioCiclo+28,"Después del ciclo","Semana "&amp;(INT(($D42-InicioCiclo)/7)+1)))))</f>
        <v/>
      </c>
      <c r="F42" s="61">
        <f>IF($N42="","",IF($P42&gt;0,IF(1&lt;=SemanaActual,INDEX('Cronograma R. Operacional'!$AC$5:$AC$1000,$N42),""),IF(INDEX('Cronograma R. Operacional'!$I$5:$I$1000,$N42)="","",INDEX('Cronograma R. Operacional'!$I$5:$I$1000,$N42))))</f>
        <v/>
      </c>
      <c r="G42" s="61">
        <f>IF($N42="","",IF($P42&gt;0,IF(2&lt;=SemanaActual,INDEX('Cronograma R. Operacional'!$AD$5:$AD$1000,$N42),""),IF(INDEX('Cronograma R. Operacional'!$J$5:$J$1000,$N42)="","",INDEX('Cronograma R. Operacional'!$J$5:$J$1000,$N42))))</f>
        <v/>
      </c>
      <c r="H42" s="61">
        <f>IF($N42="","",IF($P42&gt;0,IF(3&lt;=SemanaActual,INDEX('Cronograma R. Operacional'!$AE$5:$AE$1000,$N42),""),IF(INDEX('Cronograma R. Operacional'!$K$5:$K$1000,$N42)="","",INDEX('Cronograma R. Operacional'!$K$5:$K$1000,$N42))))</f>
        <v/>
      </c>
      <c r="I42" s="61">
        <f>IF($N42="","",IF($P42&gt;0,IF(4&lt;=SemanaActual,INDEX('Cronograma R. Operacional'!$AF$5:$AF$1000,$N42),""),IF(INDEX('Cronograma R. Operacional'!$L$5:$L$1000,$N42)="","",INDEX('Cronograma R. Operacional'!$L$5:$L$1000,$N42))))</f>
        <v/>
      </c>
      <c r="J42" s="61">
        <f>IF($N42="","",INDEX('Cronograma R. Operacional'!$M$5:$M$1000,$N42))</f>
        <v/>
      </c>
      <c r="K42" s="56">
        <f>IF($N42="","",IF(N($J42)&gt;=1,"Completado",IF(AND(ISNUMBER($D42),$D42&lt;FechaRef),"Vencida",IF(N($J42)&gt;0,"En curso","Pendiente"))))</f>
        <v/>
      </c>
      <c r="L42" s="56">
        <f>IF($N42="","",INDEX('Cronograma R. Operacional'!$O$5:$O$1000,$N42)&amp;"")</f>
        <v/>
      </c>
      <c r="M42" s="62">
        <f>IF($N42="","",INDEX('Cronograma R. Operacional'!$Q$5:$Q$1000,$N42)&amp;"")</f>
        <v/>
      </c>
      <c r="N42">
        <f>IFERROR(MATCH(ROW()-4,rOrden_RO,0),"")</f>
        <v/>
      </c>
      <c r="O42">
        <f>IF($N42="","",INDEX('Cronograma R. Operacional'!$V$5:$V$1000,$N42))</f>
        <v/>
      </c>
      <c r="P42">
        <f>IF($N42="","",N(INDEX('Cronograma R. Operacional'!$W$5:$W$1000,$N42)))</f>
        <v/>
      </c>
      <c r="Q42">
        <f>IF(OR(LEFT($L42,7)="Vencida",LEFT($L42,5)="Vence"),SUMPRODUCT(--(LEFT($L$5:$L42,7)="Vencida"))+SUMPRODUCT(--(LEFT($L$5:$L42,5)="Vence")),"")</f>
        <v/>
      </c>
    </row>
    <row r="43">
      <c r="A43" s="56">
        <f>IF($N43="","",INDEX('Cronograma R. Operacional'!$A$5:$A$1000,$N43))</f>
        <v/>
      </c>
      <c r="B43" s="62">
        <f>IF($N43="","",IF($O43="Sub","      ↳  "&amp;INDEX('Cronograma R. Operacional'!$C$5:$C$1000,$N43),INDEX('Cronograma R. Operacional'!$C$5:$C$1000,$N43)&amp;""))</f>
        <v/>
      </c>
      <c r="C43" s="79">
        <f>IF($N43="","",IF(INDEX('Cronograma R. Operacional'!$AM$5:$AM$1000,$N43)="","",INDEX('Cronograma R. Operacional'!$AM$5:$AM$1000,$N43)))</f>
        <v/>
      </c>
      <c r="D43" s="79">
        <f>IF($N43="","",IF(INDEX('Cronograma R. Operacional'!$AN$5:$AN$1000,$N43)="","",INDEX('Cronograma R. Operacional'!$AN$5:$AN$1000,$N43)))</f>
        <v/>
      </c>
      <c r="E43" s="56">
        <f>IF($N43="","",IF(NOT(ISNUMBER($D43)),"",IF($D43&lt;InicioCiclo,"Antes del ciclo",IF($D43&gt;=InicioCiclo+28,"Después del ciclo","Semana "&amp;(INT(($D43-InicioCiclo)/7)+1)))))</f>
        <v/>
      </c>
      <c r="F43" s="61">
        <f>IF($N43="","",IF($P43&gt;0,IF(1&lt;=SemanaActual,INDEX('Cronograma R. Operacional'!$AC$5:$AC$1000,$N43),""),IF(INDEX('Cronograma R. Operacional'!$I$5:$I$1000,$N43)="","",INDEX('Cronograma R. Operacional'!$I$5:$I$1000,$N43))))</f>
        <v/>
      </c>
      <c r="G43" s="61">
        <f>IF($N43="","",IF($P43&gt;0,IF(2&lt;=SemanaActual,INDEX('Cronograma R. Operacional'!$AD$5:$AD$1000,$N43),""),IF(INDEX('Cronograma R. Operacional'!$J$5:$J$1000,$N43)="","",INDEX('Cronograma R. Operacional'!$J$5:$J$1000,$N43))))</f>
        <v/>
      </c>
      <c r="H43" s="61">
        <f>IF($N43="","",IF($P43&gt;0,IF(3&lt;=SemanaActual,INDEX('Cronograma R. Operacional'!$AE$5:$AE$1000,$N43),""),IF(INDEX('Cronograma R. Operacional'!$K$5:$K$1000,$N43)="","",INDEX('Cronograma R. Operacional'!$K$5:$K$1000,$N43))))</f>
        <v/>
      </c>
      <c r="I43" s="61">
        <f>IF($N43="","",IF($P43&gt;0,IF(4&lt;=SemanaActual,INDEX('Cronograma R. Operacional'!$AF$5:$AF$1000,$N43),""),IF(INDEX('Cronograma R. Operacional'!$L$5:$L$1000,$N43)="","",INDEX('Cronograma R. Operacional'!$L$5:$L$1000,$N43))))</f>
        <v/>
      </c>
      <c r="J43" s="61">
        <f>IF($N43="","",INDEX('Cronograma R. Operacional'!$M$5:$M$1000,$N43))</f>
        <v/>
      </c>
      <c r="K43" s="56">
        <f>IF($N43="","",IF(N($J43)&gt;=1,"Completado",IF(AND(ISNUMBER($D43),$D43&lt;FechaRef),"Vencida",IF(N($J43)&gt;0,"En curso","Pendiente"))))</f>
        <v/>
      </c>
      <c r="L43" s="56">
        <f>IF($N43="","",INDEX('Cronograma R. Operacional'!$O$5:$O$1000,$N43)&amp;"")</f>
        <v/>
      </c>
      <c r="M43" s="62">
        <f>IF($N43="","",INDEX('Cronograma R. Operacional'!$Q$5:$Q$1000,$N43)&amp;"")</f>
        <v/>
      </c>
      <c r="N43">
        <f>IFERROR(MATCH(ROW()-4,rOrden_RO,0),"")</f>
        <v/>
      </c>
      <c r="O43">
        <f>IF($N43="","",INDEX('Cronograma R. Operacional'!$V$5:$V$1000,$N43))</f>
        <v/>
      </c>
      <c r="P43">
        <f>IF($N43="","",N(INDEX('Cronograma R. Operacional'!$W$5:$W$1000,$N43)))</f>
        <v/>
      </c>
      <c r="Q43">
        <f>IF(OR(LEFT($L43,7)="Vencida",LEFT($L43,5)="Vence"),SUMPRODUCT(--(LEFT($L$5:$L43,7)="Vencida"))+SUMPRODUCT(--(LEFT($L$5:$L43,5)="Vence")),"")</f>
        <v/>
      </c>
    </row>
    <row r="44">
      <c r="A44" s="56">
        <f>IF($N44="","",INDEX('Cronograma R. Operacional'!$A$5:$A$1000,$N44))</f>
        <v/>
      </c>
      <c r="B44" s="62">
        <f>IF($N44="","",IF($O44="Sub","      ↳  "&amp;INDEX('Cronograma R. Operacional'!$C$5:$C$1000,$N44),INDEX('Cronograma R. Operacional'!$C$5:$C$1000,$N44)&amp;""))</f>
        <v/>
      </c>
      <c r="C44" s="79">
        <f>IF($N44="","",IF(INDEX('Cronograma R. Operacional'!$AM$5:$AM$1000,$N44)="","",INDEX('Cronograma R. Operacional'!$AM$5:$AM$1000,$N44)))</f>
        <v/>
      </c>
      <c r="D44" s="79">
        <f>IF($N44="","",IF(INDEX('Cronograma R. Operacional'!$AN$5:$AN$1000,$N44)="","",INDEX('Cronograma R. Operacional'!$AN$5:$AN$1000,$N44)))</f>
        <v/>
      </c>
      <c r="E44" s="56">
        <f>IF($N44="","",IF(NOT(ISNUMBER($D44)),"",IF($D44&lt;InicioCiclo,"Antes del ciclo",IF($D44&gt;=InicioCiclo+28,"Después del ciclo","Semana "&amp;(INT(($D44-InicioCiclo)/7)+1)))))</f>
        <v/>
      </c>
      <c r="F44" s="61">
        <f>IF($N44="","",IF($P44&gt;0,IF(1&lt;=SemanaActual,INDEX('Cronograma R. Operacional'!$AC$5:$AC$1000,$N44),""),IF(INDEX('Cronograma R. Operacional'!$I$5:$I$1000,$N44)="","",INDEX('Cronograma R. Operacional'!$I$5:$I$1000,$N44))))</f>
        <v/>
      </c>
      <c r="G44" s="61">
        <f>IF($N44="","",IF($P44&gt;0,IF(2&lt;=SemanaActual,INDEX('Cronograma R. Operacional'!$AD$5:$AD$1000,$N44),""),IF(INDEX('Cronograma R. Operacional'!$J$5:$J$1000,$N44)="","",INDEX('Cronograma R. Operacional'!$J$5:$J$1000,$N44))))</f>
        <v/>
      </c>
      <c r="H44" s="61">
        <f>IF($N44="","",IF($P44&gt;0,IF(3&lt;=SemanaActual,INDEX('Cronograma R. Operacional'!$AE$5:$AE$1000,$N44),""),IF(INDEX('Cronograma R. Operacional'!$K$5:$K$1000,$N44)="","",INDEX('Cronograma R. Operacional'!$K$5:$K$1000,$N44))))</f>
        <v/>
      </c>
      <c r="I44" s="61">
        <f>IF($N44="","",IF($P44&gt;0,IF(4&lt;=SemanaActual,INDEX('Cronograma R. Operacional'!$AF$5:$AF$1000,$N44),""),IF(INDEX('Cronograma R. Operacional'!$L$5:$L$1000,$N44)="","",INDEX('Cronograma R. Operacional'!$L$5:$L$1000,$N44))))</f>
        <v/>
      </c>
      <c r="J44" s="61">
        <f>IF($N44="","",INDEX('Cronograma R. Operacional'!$M$5:$M$1000,$N44))</f>
        <v/>
      </c>
      <c r="K44" s="56">
        <f>IF($N44="","",IF(N($J44)&gt;=1,"Completado",IF(AND(ISNUMBER($D44),$D44&lt;FechaRef),"Vencida",IF(N($J44)&gt;0,"En curso","Pendiente"))))</f>
        <v/>
      </c>
      <c r="L44" s="56">
        <f>IF($N44="","",INDEX('Cronograma R. Operacional'!$O$5:$O$1000,$N44)&amp;"")</f>
        <v/>
      </c>
      <c r="M44" s="62">
        <f>IF($N44="","",INDEX('Cronograma R. Operacional'!$Q$5:$Q$1000,$N44)&amp;"")</f>
        <v/>
      </c>
      <c r="N44">
        <f>IFERROR(MATCH(ROW()-4,rOrden_RO,0),"")</f>
        <v/>
      </c>
      <c r="O44">
        <f>IF($N44="","",INDEX('Cronograma R. Operacional'!$V$5:$V$1000,$N44))</f>
        <v/>
      </c>
      <c r="P44">
        <f>IF($N44="","",N(INDEX('Cronograma R. Operacional'!$W$5:$W$1000,$N44)))</f>
        <v/>
      </c>
      <c r="Q44">
        <f>IF(OR(LEFT($L44,7)="Vencida",LEFT($L44,5)="Vence"),SUMPRODUCT(--(LEFT($L$5:$L44,7)="Vencida"))+SUMPRODUCT(--(LEFT($L$5:$L44,5)="Vence")),"")</f>
        <v/>
      </c>
    </row>
    <row r="45">
      <c r="A45" s="56">
        <f>IF($N45="","",INDEX('Cronograma R. Operacional'!$A$5:$A$1000,$N45))</f>
        <v/>
      </c>
      <c r="B45" s="62">
        <f>IF($N45="","",IF($O45="Sub","      ↳  "&amp;INDEX('Cronograma R. Operacional'!$C$5:$C$1000,$N45),INDEX('Cronograma R. Operacional'!$C$5:$C$1000,$N45)&amp;""))</f>
        <v/>
      </c>
      <c r="C45" s="79">
        <f>IF($N45="","",IF(INDEX('Cronograma R. Operacional'!$AM$5:$AM$1000,$N45)="","",INDEX('Cronograma R. Operacional'!$AM$5:$AM$1000,$N45)))</f>
        <v/>
      </c>
      <c r="D45" s="79">
        <f>IF($N45="","",IF(INDEX('Cronograma R. Operacional'!$AN$5:$AN$1000,$N45)="","",INDEX('Cronograma R. Operacional'!$AN$5:$AN$1000,$N45)))</f>
        <v/>
      </c>
      <c r="E45" s="56">
        <f>IF($N45="","",IF(NOT(ISNUMBER($D45)),"",IF($D45&lt;InicioCiclo,"Antes del ciclo",IF($D45&gt;=InicioCiclo+28,"Después del ciclo","Semana "&amp;(INT(($D45-InicioCiclo)/7)+1)))))</f>
        <v/>
      </c>
      <c r="F45" s="61">
        <f>IF($N45="","",IF($P45&gt;0,IF(1&lt;=SemanaActual,INDEX('Cronograma R. Operacional'!$AC$5:$AC$1000,$N45),""),IF(INDEX('Cronograma R. Operacional'!$I$5:$I$1000,$N45)="","",INDEX('Cronograma R. Operacional'!$I$5:$I$1000,$N45))))</f>
        <v/>
      </c>
      <c r="G45" s="61">
        <f>IF($N45="","",IF($P45&gt;0,IF(2&lt;=SemanaActual,INDEX('Cronograma R. Operacional'!$AD$5:$AD$1000,$N45),""),IF(INDEX('Cronograma R. Operacional'!$J$5:$J$1000,$N45)="","",INDEX('Cronograma R. Operacional'!$J$5:$J$1000,$N45))))</f>
        <v/>
      </c>
      <c r="H45" s="61">
        <f>IF($N45="","",IF($P45&gt;0,IF(3&lt;=SemanaActual,INDEX('Cronograma R. Operacional'!$AE$5:$AE$1000,$N45),""),IF(INDEX('Cronograma R. Operacional'!$K$5:$K$1000,$N45)="","",INDEX('Cronograma R. Operacional'!$K$5:$K$1000,$N45))))</f>
        <v/>
      </c>
      <c r="I45" s="61">
        <f>IF($N45="","",IF($P45&gt;0,IF(4&lt;=SemanaActual,INDEX('Cronograma R. Operacional'!$AF$5:$AF$1000,$N45),""),IF(INDEX('Cronograma R. Operacional'!$L$5:$L$1000,$N45)="","",INDEX('Cronograma R. Operacional'!$L$5:$L$1000,$N45))))</f>
        <v/>
      </c>
      <c r="J45" s="61">
        <f>IF($N45="","",INDEX('Cronograma R. Operacional'!$M$5:$M$1000,$N45))</f>
        <v/>
      </c>
      <c r="K45" s="56">
        <f>IF($N45="","",IF(N($J45)&gt;=1,"Completado",IF(AND(ISNUMBER($D45),$D45&lt;FechaRef),"Vencida",IF(N($J45)&gt;0,"En curso","Pendiente"))))</f>
        <v/>
      </c>
      <c r="L45" s="56">
        <f>IF($N45="","",INDEX('Cronograma R. Operacional'!$O$5:$O$1000,$N45)&amp;"")</f>
        <v/>
      </c>
      <c r="M45" s="62">
        <f>IF($N45="","",INDEX('Cronograma R. Operacional'!$Q$5:$Q$1000,$N45)&amp;"")</f>
        <v/>
      </c>
      <c r="N45">
        <f>IFERROR(MATCH(ROW()-4,rOrden_RO,0),"")</f>
        <v/>
      </c>
      <c r="O45">
        <f>IF($N45="","",INDEX('Cronograma R. Operacional'!$V$5:$V$1000,$N45))</f>
        <v/>
      </c>
      <c r="P45">
        <f>IF($N45="","",N(INDEX('Cronograma R. Operacional'!$W$5:$W$1000,$N45)))</f>
        <v/>
      </c>
      <c r="Q45">
        <f>IF(OR(LEFT($L45,7)="Vencida",LEFT($L45,5)="Vence"),SUMPRODUCT(--(LEFT($L$5:$L45,7)="Vencida"))+SUMPRODUCT(--(LEFT($L$5:$L45,5)="Vence")),"")</f>
        <v/>
      </c>
    </row>
    <row r="46">
      <c r="A46" s="56">
        <f>IF($N46="","",INDEX('Cronograma R. Operacional'!$A$5:$A$1000,$N46))</f>
        <v/>
      </c>
      <c r="B46" s="62">
        <f>IF($N46="","",IF($O46="Sub","      ↳  "&amp;INDEX('Cronograma R. Operacional'!$C$5:$C$1000,$N46),INDEX('Cronograma R. Operacional'!$C$5:$C$1000,$N46)&amp;""))</f>
        <v/>
      </c>
      <c r="C46" s="79">
        <f>IF($N46="","",IF(INDEX('Cronograma R. Operacional'!$AM$5:$AM$1000,$N46)="","",INDEX('Cronograma R. Operacional'!$AM$5:$AM$1000,$N46)))</f>
        <v/>
      </c>
      <c r="D46" s="79">
        <f>IF($N46="","",IF(INDEX('Cronograma R. Operacional'!$AN$5:$AN$1000,$N46)="","",INDEX('Cronograma R. Operacional'!$AN$5:$AN$1000,$N46)))</f>
        <v/>
      </c>
      <c r="E46" s="56">
        <f>IF($N46="","",IF(NOT(ISNUMBER($D46)),"",IF($D46&lt;InicioCiclo,"Antes del ciclo",IF($D46&gt;=InicioCiclo+28,"Después del ciclo","Semana "&amp;(INT(($D46-InicioCiclo)/7)+1)))))</f>
        <v/>
      </c>
      <c r="F46" s="61">
        <f>IF($N46="","",IF($P46&gt;0,IF(1&lt;=SemanaActual,INDEX('Cronograma R. Operacional'!$AC$5:$AC$1000,$N46),""),IF(INDEX('Cronograma R. Operacional'!$I$5:$I$1000,$N46)="","",INDEX('Cronograma R. Operacional'!$I$5:$I$1000,$N46))))</f>
        <v/>
      </c>
      <c r="G46" s="61">
        <f>IF($N46="","",IF($P46&gt;0,IF(2&lt;=SemanaActual,INDEX('Cronograma R. Operacional'!$AD$5:$AD$1000,$N46),""),IF(INDEX('Cronograma R. Operacional'!$J$5:$J$1000,$N46)="","",INDEX('Cronograma R. Operacional'!$J$5:$J$1000,$N46))))</f>
        <v/>
      </c>
      <c r="H46" s="61">
        <f>IF($N46="","",IF($P46&gt;0,IF(3&lt;=SemanaActual,INDEX('Cronograma R. Operacional'!$AE$5:$AE$1000,$N46),""),IF(INDEX('Cronograma R. Operacional'!$K$5:$K$1000,$N46)="","",INDEX('Cronograma R. Operacional'!$K$5:$K$1000,$N46))))</f>
        <v/>
      </c>
      <c r="I46" s="61">
        <f>IF($N46="","",IF($P46&gt;0,IF(4&lt;=SemanaActual,INDEX('Cronograma R. Operacional'!$AF$5:$AF$1000,$N46),""),IF(INDEX('Cronograma R. Operacional'!$L$5:$L$1000,$N46)="","",INDEX('Cronograma R. Operacional'!$L$5:$L$1000,$N46))))</f>
        <v/>
      </c>
      <c r="J46" s="61">
        <f>IF($N46="","",INDEX('Cronograma R. Operacional'!$M$5:$M$1000,$N46))</f>
        <v/>
      </c>
      <c r="K46" s="56">
        <f>IF($N46="","",IF(N($J46)&gt;=1,"Completado",IF(AND(ISNUMBER($D46),$D46&lt;FechaRef),"Vencida",IF(N($J46)&gt;0,"En curso","Pendiente"))))</f>
        <v/>
      </c>
      <c r="L46" s="56">
        <f>IF($N46="","",INDEX('Cronograma R. Operacional'!$O$5:$O$1000,$N46)&amp;"")</f>
        <v/>
      </c>
      <c r="M46" s="62">
        <f>IF($N46="","",INDEX('Cronograma R. Operacional'!$Q$5:$Q$1000,$N46)&amp;"")</f>
        <v/>
      </c>
      <c r="N46">
        <f>IFERROR(MATCH(ROW()-4,rOrden_RO,0),"")</f>
        <v/>
      </c>
      <c r="O46">
        <f>IF($N46="","",INDEX('Cronograma R. Operacional'!$V$5:$V$1000,$N46))</f>
        <v/>
      </c>
      <c r="P46">
        <f>IF($N46="","",N(INDEX('Cronograma R. Operacional'!$W$5:$W$1000,$N46)))</f>
        <v/>
      </c>
      <c r="Q46">
        <f>IF(OR(LEFT($L46,7)="Vencida",LEFT($L46,5)="Vence"),SUMPRODUCT(--(LEFT($L$5:$L46,7)="Vencida"))+SUMPRODUCT(--(LEFT($L$5:$L46,5)="Vence")),"")</f>
        <v/>
      </c>
    </row>
    <row r="47">
      <c r="A47" s="56">
        <f>IF($N47="","",INDEX('Cronograma R. Operacional'!$A$5:$A$1000,$N47))</f>
        <v/>
      </c>
      <c r="B47" s="62">
        <f>IF($N47="","",IF($O47="Sub","      ↳  "&amp;INDEX('Cronograma R. Operacional'!$C$5:$C$1000,$N47),INDEX('Cronograma R. Operacional'!$C$5:$C$1000,$N47)&amp;""))</f>
        <v/>
      </c>
      <c r="C47" s="79">
        <f>IF($N47="","",IF(INDEX('Cronograma R. Operacional'!$AM$5:$AM$1000,$N47)="","",INDEX('Cronograma R. Operacional'!$AM$5:$AM$1000,$N47)))</f>
        <v/>
      </c>
      <c r="D47" s="79">
        <f>IF($N47="","",IF(INDEX('Cronograma R. Operacional'!$AN$5:$AN$1000,$N47)="","",INDEX('Cronograma R. Operacional'!$AN$5:$AN$1000,$N47)))</f>
        <v/>
      </c>
      <c r="E47" s="56">
        <f>IF($N47="","",IF(NOT(ISNUMBER($D47)),"",IF($D47&lt;InicioCiclo,"Antes del ciclo",IF($D47&gt;=InicioCiclo+28,"Después del ciclo","Semana "&amp;(INT(($D47-InicioCiclo)/7)+1)))))</f>
        <v/>
      </c>
      <c r="F47" s="61">
        <f>IF($N47="","",IF($P47&gt;0,IF(1&lt;=SemanaActual,INDEX('Cronograma R. Operacional'!$AC$5:$AC$1000,$N47),""),IF(INDEX('Cronograma R. Operacional'!$I$5:$I$1000,$N47)="","",INDEX('Cronograma R. Operacional'!$I$5:$I$1000,$N47))))</f>
        <v/>
      </c>
      <c r="G47" s="61">
        <f>IF($N47="","",IF($P47&gt;0,IF(2&lt;=SemanaActual,INDEX('Cronograma R. Operacional'!$AD$5:$AD$1000,$N47),""),IF(INDEX('Cronograma R. Operacional'!$J$5:$J$1000,$N47)="","",INDEX('Cronograma R. Operacional'!$J$5:$J$1000,$N47))))</f>
        <v/>
      </c>
      <c r="H47" s="61">
        <f>IF($N47="","",IF($P47&gt;0,IF(3&lt;=SemanaActual,INDEX('Cronograma R. Operacional'!$AE$5:$AE$1000,$N47),""),IF(INDEX('Cronograma R. Operacional'!$K$5:$K$1000,$N47)="","",INDEX('Cronograma R. Operacional'!$K$5:$K$1000,$N47))))</f>
        <v/>
      </c>
      <c r="I47" s="61">
        <f>IF($N47="","",IF($P47&gt;0,IF(4&lt;=SemanaActual,INDEX('Cronograma R. Operacional'!$AF$5:$AF$1000,$N47),""),IF(INDEX('Cronograma R. Operacional'!$L$5:$L$1000,$N47)="","",INDEX('Cronograma R. Operacional'!$L$5:$L$1000,$N47))))</f>
        <v/>
      </c>
      <c r="J47" s="61">
        <f>IF($N47="","",INDEX('Cronograma R. Operacional'!$M$5:$M$1000,$N47))</f>
        <v/>
      </c>
      <c r="K47" s="56">
        <f>IF($N47="","",IF(N($J47)&gt;=1,"Completado",IF(AND(ISNUMBER($D47),$D47&lt;FechaRef),"Vencida",IF(N($J47)&gt;0,"En curso","Pendiente"))))</f>
        <v/>
      </c>
      <c r="L47" s="56">
        <f>IF($N47="","",INDEX('Cronograma R. Operacional'!$O$5:$O$1000,$N47)&amp;"")</f>
        <v/>
      </c>
      <c r="M47" s="62">
        <f>IF($N47="","",INDEX('Cronograma R. Operacional'!$Q$5:$Q$1000,$N47)&amp;"")</f>
        <v/>
      </c>
      <c r="N47">
        <f>IFERROR(MATCH(ROW()-4,rOrden_RO,0),"")</f>
        <v/>
      </c>
      <c r="O47">
        <f>IF($N47="","",INDEX('Cronograma R. Operacional'!$V$5:$V$1000,$N47))</f>
        <v/>
      </c>
      <c r="P47">
        <f>IF($N47="","",N(INDEX('Cronograma R. Operacional'!$W$5:$W$1000,$N47)))</f>
        <v/>
      </c>
      <c r="Q47">
        <f>IF(OR(LEFT($L47,7)="Vencida",LEFT($L47,5)="Vence"),SUMPRODUCT(--(LEFT($L$5:$L47,7)="Vencida"))+SUMPRODUCT(--(LEFT($L$5:$L47,5)="Vence")),"")</f>
        <v/>
      </c>
    </row>
    <row r="48">
      <c r="A48" s="56">
        <f>IF($N48="","",INDEX('Cronograma R. Operacional'!$A$5:$A$1000,$N48))</f>
        <v/>
      </c>
      <c r="B48" s="62">
        <f>IF($N48="","",IF($O48="Sub","      ↳  "&amp;INDEX('Cronograma R. Operacional'!$C$5:$C$1000,$N48),INDEX('Cronograma R. Operacional'!$C$5:$C$1000,$N48)&amp;""))</f>
        <v/>
      </c>
      <c r="C48" s="79">
        <f>IF($N48="","",IF(INDEX('Cronograma R. Operacional'!$AM$5:$AM$1000,$N48)="","",INDEX('Cronograma R. Operacional'!$AM$5:$AM$1000,$N48)))</f>
        <v/>
      </c>
      <c r="D48" s="79">
        <f>IF($N48="","",IF(INDEX('Cronograma R. Operacional'!$AN$5:$AN$1000,$N48)="","",INDEX('Cronograma R. Operacional'!$AN$5:$AN$1000,$N48)))</f>
        <v/>
      </c>
      <c r="E48" s="56">
        <f>IF($N48="","",IF(NOT(ISNUMBER($D48)),"",IF($D48&lt;InicioCiclo,"Antes del ciclo",IF($D48&gt;=InicioCiclo+28,"Después del ciclo","Semana "&amp;(INT(($D48-InicioCiclo)/7)+1)))))</f>
        <v/>
      </c>
      <c r="F48" s="61">
        <f>IF($N48="","",IF($P48&gt;0,IF(1&lt;=SemanaActual,INDEX('Cronograma R. Operacional'!$AC$5:$AC$1000,$N48),""),IF(INDEX('Cronograma R. Operacional'!$I$5:$I$1000,$N48)="","",INDEX('Cronograma R. Operacional'!$I$5:$I$1000,$N48))))</f>
        <v/>
      </c>
      <c r="G48" s="61">
        <f>IF($N48="","",IF($P48&gt;0,IF(2&lt;=SemanaActual,INDEX('Cronograma R. Operacional'!$AD$5:$AD$1000,$N48),""),IF(INDEX('Cronograma R. Operacional'!$J$5:$J$1000,$N48)="","",INDEX('Cronograma R. Operacional'!$J$5:$J$1000,$N48))))</f>
        <v/>
      </c>
      <c r="H48" s="61">
        <f>IF($N48="","",IF($P48&gt;0,IF(3&lt;=SemanaActual,INDEX('Cronograma R. Operacional'!$AE$5:$AE$1000,$N48),""),IF(INDEX('Cronograma R. Operacional'!$K$5:$K$1000,$N48)="","",INDEX('Cronograma R. Operacional'!$K$5:$K$1000,$N48))))</f>
        <v/>
      </c>
      <c r="I48" s="61">
        <f>IF($N48="","",IF($P48&gt;0,IF(4&lt;=SemanaActual,INDEX('Cronograma R. Operacional'!$AF$5:$AF$1000,$N48),""),IF(INDEX('Cronograma R. Operacional'!$L$5:$L$1000,$N48)="","",INDEX('Cronograma R. Operacional'!$L$5:$L$1000,$N48))))</f>
        <v/>
      </c>
      <c r="J48" s="61">
        <f>IF($N48="","",INDEX('Cronograma R. Operacional'!$M$5:$M$1000,$N48))</f>
        <v/>
      </c>
      <c r="K48" s="56">
        <f>IF($N48="","",IF(N($J48)&gt;=1,"Completado",IF(AND(ISNUMBER($D48),$D48&lt;FechaRef),"Vencida",IF(N($J48)&gt;0,"En curso","Pendiente"))))</f>
        <v/>
      </c>
      <c r="L48" s="56">
        <f>IF($N48="","",INDEX('Cronograma R. Operacional'!$O$5:$O$1000,$N48)&amp;"")</f>
        <v/>
      </c>
      <c r="M48" s="62">
        <f>IF($N48="","",INDEX('Cronograma R. Operacional'!$Q$5:$Q$1000,$N48)&amp;"")</f>
        <v/>
      </c>
      <c r="N48">
        <f>IFERROR(MATCH(ROW()-4,rOrden_RO,0),"")</f>
        <v/>
      </c>
      <c r="O48">
        <f>IF($N48="","",INDEX('Cronograma R. Operacional'!$V$5:$V$1000,$N48))</f>
        <v/>
      </c>
      <c r="P48">
        <f>IF($N48="","",N(INDEX('Cronograma R. Operacional'!$W$5:$W$1000,$N48)))</f>
        <v/>
      </c>
      <c r="Q48">
        <f>IF(OR(LEFT($L48,7)="Vencida",LEFT($L48,5)="Vence"),SUMPRODUCT(--(LEFT($L$5:$L48,7)="Vencida"))+SUMPRODUCT(--(LEFT($L$5:$L48,5)="Vence")),"")</f>
        <v/>
      </c>
    </row>
    <row r="49">
      <c r="A49" s="56">
        <f>IF($N49="","",INDEX('Cronograma R. Operacional'!$A$5:$A$1000,$N49))</f>
        <v/>
      </c>
      <c r="B49" s="62">
        <f>IF($N49="","",IF($O49="Sub","      ↳  "&amp;INDEX('Cronograma R. Operacional'!$C$5:$C$1000,$N49),INDEX('Cronograma R. Operacional'!$C$5:$C$1000,$N49)&amp;""))</f>
        <v/>
      </c>
      <c r="C49" s="79">
        <f>IF($N49="","",IF(INDEX('Cronograma R. Operacional'!$AM$5:$AM$1000,$N49)="","",INDEX('Cronograma R. Operacional'!$AM$5:$AM$1000,$N49)))</f>
        <v/>
      </c>
      <c r="D49" s="79">
        <f>IF($N49="","",IF(INDEX('Cronograma R. Operacional'!$AN$5:$AN$1000,$N49)="","",INDEX('Cronograma R. Operacional'!$AN$5:$AN$1000,$N49)))</f>
        <v/>
      </c>
      <c r="E49" s="56">
        <f>IF($N49="","",IF(NOT(ISNUMBER($D49)),"",IF($D49&lt;InicioCiclo,"Antes del ciclo",IF($D49&gt;=InicioCiclo+28,"Después del ciclo","Semana "&amp;(INT(($D49-InicioCiclo)/7)+1)))))</f>
        <v/>
      </c>
      <c r="F49" s="61">
        <f>IF($N49="","",IF($P49&gt;0,IF(1&lt;=SemanaActual,INDEX('Cronograma R. Operacional'!$AC$5:$AC$1000,$N49),""),IF(INDEX('Cronograma R. Operacional'!$I$5:$I$1000,$N49)="","",INDEX('Cronograma R. Operacional'!$I$5:$I$1000,$N49))))</f>
        <v/>
      </c>
      <c r="G49" s="61">
        <f>IF($N49="","",IF($P49&gt;0,IF(2&lt;=SemanaActual,INDEX('Cronograma R. Operacional'!$AD$5:$AD$1000,$N49),""),IF(INDEX('Cronograma R. Operacional'!$J$5:$J$1000,$N49)="","",INDEX('Cronograma R. Operacional'!$J$5:$J$1000,$N49))))</f>
        <v/>
      </c>
      <c r="H49" s="61">
        <f>IF($N49="","",IF($P49&gt;0,IF(3&lt;=SemanaActual,INDEX('Cronograma R. Operacional'!$AE$5:$AE$1000,$N49),""),IF(INDEX('Cronograma R. Operacional'!$K$5:$K$1000,$N49)="","",INDEX('Cronograma R. Operacional'!$K$5:$K$1000,$N49))))</f>
        <v/>
      </c>
      <c r="I49" s="61">
        <f>IF($N49="","",IF($P49&gt;0,IF(4&lt;=SemanaActual,INDEX('Cronograma R. Operacional'!$AF$5:$AF$1000,$N49),""),IF(INDEX('Cronograma R. Operacional'!$L$5:$L$1000,$N49)="","",INDEX('Cronograma R. Operacional'!$L$5:$L$1000,$N49))))</f>
        <v/>
      </c>
      <c r="J49" s="61">
        <f>IF($N49="","",INDEX('Cronograma R. Operacional'!$M$5:$M$1000,$N49))</f>
        <v/>
      </c>
      <c r="K49" s="56">
        <f>IF($N49="","",IF(N($J49)&gt;=1,"Completado",IF(AND(ISNUMBER($D49),$D49&lt;FechaRef),"Vencida",IF(N($J49)&gt;0,"En curso","Pendiente"))))</f>
        <v/>
      </c>
      <c r="L49" s="56">
        <f>IF($N49="","",INDEX('Cronograma R. Operacional'!$O$5:$O$1000,$N49)&amp;"")</f>
        <v/>
      </c>
      <c r="M49" s="62">
        <f>IF($N49="","",INDEX('Cronograma R. Operacional'!$Q$5:$Q$1000,$N49)&amp;"")</f>
        <v/>
      </c>
      <c r="N49">
        <f>IFERROR(MATCH(ROW()-4,rOrden_RO,0),"")</f>
        <v/>
      </c>
      <c r="O49">
        <f>IF($N49="","",INDEX('Cronograma R. Operacional'!$V$5:$V$1000,$N49))</f>
        <v/>
      </c>
      <c r="P49">
        <f>IF($N49="","",N(INDEX('Cronograma R. Operacional'!$W$5:$W$1000,$N49)))</f>
        <v/>
      </c>
      <c r="Q49">
        <f>IF(OR(LEFT($L49,7)="Vencida",LEFT($L49,5)="Vence"),SUMPRODUCT(--(LEFT($L$5:$L49,7)="Vencida"))+SUMPRODUCT(--(LEFT($L$5:$L49,5)="Vence")),"")</f>
        <v/>
      </c>
    </row>
    <row r="50">
      <c r="A50" s="56">
        <f>IF($N50="","",INDEX('Cronograma R. Operacional'!$A$5:$A$1000,$N50))</f>
        <v/>
      </c>
      <c r="B50" s="62">
        <f>IF($N50="","",IF($O50="Sub","      ↳  "&amp;INDEX('Cronograma R. Operacional'!$C$5:$C$1000,$N50),INDEX('Cronograma R. Operacional'!$C$5:$C$1000,$N50)&amp;""))</f>
        <v/>
      </c>
      <c r="C50" s="79">
        <f>IF($N50="","",IF(INDEX('Cronograma R. Operacional'!$AM$5:$AM$1000,$N50)="","",INDEX('Cronograma R. Operacional'!$AM$5:$AM$1000,$N50)))</f>
        <v/>
      </c>
      <c r="D50" s="79">
        <f>IF($N50="","",IF(INDEX('Cronograma R. Operacional'!$AN$5:$AN$1000,$N50)="","",INDEX('Cronograma R. Operacional'!$AN$5:$AN$1000,$N50)))</f>
        <v/>
      </c>
      <c r="E50" s="56">
        <f>IF($N50="","",IF(NOT(ISNUMBER($D50)),"",IF($D50&lt;InicioCiclo,"Antes del ciclo",IF($D50&gt;=InicioCiclo+28,"Después del ciclo","Semana "&amp;(INT(($D50-InicioCiclo)/7)+1)))))</f>
        <v/>
      </c>
      <c r="F50" s="61">
        <f>IF($N50="","",IF($P50&gt;0,IF(1&lt;=SemanaActual,INDEX('Cronograma R. Operacional'!$AC$5:$AC$1000,$N50),""),IF(INDEX('Cronograma R. Operacional'!$I$5:$I$1000,$N50)="","",INDEX('Cronograma R. Operacional'!$I$5:$I$1000,$N50))))</f>
        <v/>
      </c>
      <c r="G50" s="61">
        <f>IF($N50="","",IF($P50&gt;0,IF(2&lt;=SemanaActual,INDEX('Cronograma R. Operacional'!$AD$5:$AD$1000,$N50),""),IF(INDEX('Cronograma R. Operacional'!$J$5:$J$1000,$N50)="","",INDEX('Cronograma R. Operacional'!$J$5:$J$1000,$N50))))</f>
        <v/>
      </c>
      <c r="H50" s="61">
        <f>IF($N50="","",IF($P50&gt;0,IF(3&lt;=SemanaActual,INDEX('Cronograma R. Operacional'!$AE$5:$AE$1000,$N50),""),IF(INDEX('Cronograma R. Operacional'!$K$5:$K$1000,$N50)="","",INDEX('Cronograma R. Operacional'!$K$5:$K$1000,$N50))))</f>
        <v/>
      </c>
      <c r="I50" s="61">
        <f>IF($N50="","",IF($P50&gt;0,IF(4&lt;=SemanaActual,INDEX('Cronograma R. Operacional'!$AF$5:$AF$1000,$N50),""),IF(INDEX('Cronograma R. Operacional'!$L$5:$L$1000,$N50)="","",INDEX('Cronograma R. Operacional'!$L$5:$L$1000,$N50))))</f>
        <v/>
      </c>
      <c r="J50" s="61">
        <f>IF($N50="","",INDEX('Cronograma R. Operacional'!$M$5:$M$1000,$N50))</f>
        <v/>
      </c>
      <c r="K50" s="56">
        <f>IF($N50="","",IF(N($J50)&gt;=1,"Completado",IF(AND(ISNUMBER($D50),$D50&lt;FechaRef),"Vencida",IF(N($J50)&gt;0,"En curso","Pendiente"))))</f>
        <v/>
      </c>
      <c r="L50" s="56">
        <f>IF($N50="","",INDEX('Cronograma R. Operacional'!$O$5:$O$1000,$N50)&amp;"")</f>
        <v/>
      </c>
      <c r="M50" s="62">
        <f>IF($N50="","",INDEX('Cronograma R. Operacional'!$Q$5:$Q$1000,$N50)&amp;"")</f>
        <v/>
      </c>
      <c r="N50">
        <f>IFERROR(MATCH(ROW()-4,rOrden_RO,0),"")</f>
        <v/>
      </c>
      <c r="O50">
        <f>IF($N50="","",INDEX('Cronograma R. Operacional'!$V$5:$V$1000,$N50))</f>
        <v/>
      </c>
      <c r="P50">
        <f>IF($N50="","",N(INDEX('Cronograma R. Operacional'!$W$5:$W$1000,$N50)))</f>
        <v/>
      </c>
      <c r="Q50">
        <f>IF(OR(LEFT($L50,7)="Vencida",LEFT($L50,5)="Vence"),SUMPRODUCT(--(LEFT($L$5:$L50,7)="Vencida"))+SUMPRODUCT(--(LEFT($L$5:$L50,5)="Vence")),"")</f>
        <v/>
      </c>
    </row>
    <row r="51">
      <c r="A51" s="56">
        <f>IF($N51="","",INDEX('Cronograma R. Operacional'!$A$5:$A$1000,$N51))</f>
        <v/>
      </c>
      <c r="B51" s="62">
        <f>IF($N51="","",IF($O51="Sub","      ↳  "&amp;INDEX('Cronograma R. Operacional'!$C$5:$C$1000,$N51),INDEX('Cronograma R. Operacional'!$C$5:$C$1000,$N51)&amp;""))</f>
        <v/>
      </c>
      <c r="C51" s="79">
        <f>IF($N51="","",IF(INDEX('Cronograma R. Operacional'!$AM$5:$AM$1000,$N51)="","",INDEX('Cronograma R. Operacional'!$AM$5:$AM$1000,$N51)))</f>
        <v/>
      </c>
      <c r="D51" s="79">
        <f>IF($N51="","",IF(INDEX('Cronograma R. Operacional'!$AN$5:$AN$1000,$N51)="","",INDEX('Cronograma R. Operacional'!$AN$5:$AN$1000,$N51)))</f>
        <v/>
      </c>
      <c r="E51" s="56">
        <f>IF($N51="","",IF(NOT(ISNUMBER($D51)),"",IF($D51&lt;InicioCiclo,"Antes del ciclo",IF($D51&gt;=InicioCiclo+28,"Después del ciclo","Semana "&amp;(INT(($D51-InicioCiclo)/7)+1)))))</f>
        <v/>
      </c>
      <c r="F51" s="61">
        <f>IF($N51="","",IF($P51&gt;0,IF(1&lt;=SemanaActual,INDEX('Cronograma R. Operacional'!$AC$5:$AC$1000,$N51),""),IF(INDEX('Cronograma R. Operacional'!$I$5:$I$1000,$N51)="","",INDEX('Cronograma R. Operacional'!$I$5:$I$1000,$N51))))</f>
        <v/>
      </c>
      <c r="G51" s="61">
        <f>IF($N51="","",IF($P51&gt;0,IF(2&lt;=SemanaActual,INDEX('Cronograma R. Operacional'!$AD$5:$AD$1000,$N51),""),IF(INDEX('Cronograma R. Operacional'!$J$5:$J$1000,$N51)="","",INDEX('Cronograma R. Operacional'!$J$5:$J$1000,$N51))))</f>
        <v/>
      </c>
      <c r="H51" s="61">
        <f>IF($N51="","",IF($P51&gt;0,IF(3&lt;=SemanaActual,INDEX('Cronograma R. Operacional'!$AE$5:$AE$1000,$N51),""),IF(INDEX('Cronograma R. Operacional'!$K$5:$K$1000,$N51)="","",INDEX('Cronograma R. Operacional'!$K$5:$K$1000,$N51))))</f>
        <v/>
      </c>
      <c r="I51" s="61">
        <f>IF($N51="","",IF($P51&gt;0,IF(4&lt;=SemanaActual,INDEX('Cronograma R. Operacional'!$AF$5:$AF$1000,$N51),""),IF(INDEX('Cronograma R. Operacional'!$L$5:$L$1000,$N51)="","",INDEX('Cronograma R. Operacional'!$L$5:$L$1000,$N51))))</f>
        <v/>
      </c>
      <c r="J51" s="61">
        <f>IF($N51="","",INDEX('Cronograma R. Operacional'!$M$5:$M$1000,$N51))</f>
        <v/>
      </c>
      <c r="K51" s="56">
        <f>IF($N51="","",IF(N($J51)&gt;=1,"Completado",IF(AND(ISNUMBER($D51),$D51&lt;FechaRef),"Vencida",IF(N($J51)&gt;0,"En curso","Pendiente"))))</f>
        <v/>
      </c>
      <c r="L51" s="56">
        <f>IF($N51="","",INDEX('Cronograma R. Operacional'!$O$5:$O$1000,$N51)&amp;"")</f>
        <v/>
      </c>
      <c r="M51" s="62">
        <f>IF($N51="","",INDEX('Cronograma R. Operacional'!$Q$5:$Q$1000,$N51)&amp;"")</f>
        <v/>
      </c>
      <c r="N51">
        <f>IFERROR(MATCH(ROW()-4,rOrden_RO,0),"")</f>
        <v/>
      </c>
      <c r="O51">
        <f>IF($N51="","",INDEX('Cronograma R. Operacional'!$V$5:$V$1000,$N51))</f>
        <v/>
      </c>
      <c r="P51">
        <f>IF($N51="","",N(INDEX('Cronograma R. Operacional'!$W$5:$W$1000,$N51)))</f>
        <v/>
      </c>
      <c r="Q51">
        <f>IF(OR(LEFT($L51,7)="Vencida",LEFT($L51,5)="Vence"),SUMPRODUCT(--(LEFT($L$5:$L51,7)="Vencida"))+SUMPRODUCT(--(LEFT($L$5:$L51,5)="Vence")),"")</f>
        <v/>
      </c>
    </row>
    <row r="52">
      <c r="A52" s="56">
        <f>IF($N52="","",INDEX('Cronograma R. Operacional'!$A$5:$A$1000,$N52))</f>
        <v/>
      </c>
      <c r="B52" s="62">
        <f>IF($N52="","",IF($O52="Sub","      ↳  "&amp;INDEX('Cronograma R. Operacional'!$C$5:$C$1000,$N52),INDEX('Cronograma R. Operacional'!$C$5:$C$1000,$N52)&amp;""))</f>
        <v/>
      </c>
      <c r="C52" s="79">
        <f>IF($N52="","",IF(INDEX('Cronograma R. Operacional'!$AM$5:$AM$1000,$N52)="","",INDEX('Cronograma R. Operacional'!$AM$5:$AM$1000,$N52)))</f>
        <v/>
      </c>
      <c r="D52" s="79">
        <f>IF($N52="","",IF(INDEX('Cronograma R. Operacional'!$AN$5:$AN$1000,$N52)="","",INDEX('Cronograma R. Operacional'!$AN$5:$AN$1000,$N52)))</f>
        <v/>
      </c>
      <c r="E52" s="56">
        <f>IF($N52="","",IF(NOT(ISNUMBER($D52)),"",IF($D52&lt;InicioCiclo,"Antes del ciclo",IF($D52&gt;=InicioCiclo+28,"Después del ciclo","Semana "&amp;(INT(($D52-InicioCiclo)/7)+1)))))</f>
        <v/>
      </c>
      <c r="F52" s="61">
        <f>IF($N52="","",IF($P52&gt;0,IF(1&lt;=SemanaActual,INDEX('Cronograma R. Operacional'!$AC$5:$AC$1000,$N52),""),IF(INDEX('Cronograma R. Operacional'!$I$5:$I$1000,$N52)="","",INDEX('Cronograma R. Operacional'!$I$5:$I$1000,$N52))))</f>
        <v/>
      </c>
      <c r="G52" s="61">
        <f>IF($N52="","",IF($P52&gt;0,IF(2&lt;=SemanaActual,INDEX('Cronograma R. Operacional'!$AD$5:$AD$1000,$N52),""),IF(INDEX('Cronograma R. Operacional'!$J$5:$J$1000,$N52)="","",INDEX('Cronograma R. Operacional'!$J$5:$J$1000,$N52))))</f>
        <v/>
      </c>
      <c r="H52" s="61">
        <f>IF($N52="","",IF($P52&gt;0,IF(3&lt;=SemanaActual,INDEX('Cronograma R. Operacional'!$AE$5:$AE$1000,$N52),""),IF(INDEX('Cronograma R. Operacional'!$K$5:$K$1000,$N52)="","",INDEX('Cronograma R. Operacional'!$K$5:$K$1000,$N52))))</f>
        <v/>
      </c>
      <c r="I52" s="61">
        <f>IF($N52="","",IF($P52&gt;0,IF(4&lt;=SemanaActual,INDEX('Cronograma R. Operacional'!$AF$5:$AF$1000,$N52),""),IF(INDEX('Cronograma R. Operacional'!$L$5:$L$1000,$N52)="","",INDEX('Cronograma R. Operacional'!$L$5:$L$1000,$N52))))</f>
        <v/>
      </c>
      <c r="J52" s="61">
        <f>IF($N52="","",INDEX('Cronograma R. Operacional'!$M$5:$M$1000,$N52))</f>
        <v/>
      </c>
      <c r="K52" s="56">
        <f>IF($N52="","",IF(N($J52)&gt;=1,"Completado",IF(AND(ISNUMBER($D52),$D52&lt;FechaRef),"Vencida",IF(N($J52)&gt;0,"En curso","Pendiente"))))</f>
        <v/>
      </c>
      <c r="L52" s="56">
        <f>IF($N52="","",INDEX('Cronograma R. Operacional'!$O$5:$O$1000,$N52)&amp;"")</f>
        <v/>
      </c>
      <c r="M52" s="62">
        <f>IF($N52="","",INDEX('Cronograma R. Operacional'!$Q$5:$Q$1000,$N52)&amp;"")</f>
        <v/>
      </c>
      <c r="N52">
        <f>IFERROR(MATCH(ROW()-4,rOrden_RO,0),"")</f>
        <v/>
      </c>
      <c r="O52">
        <f>IF($N52="","",INDEX('Cronograma R. Operacional'!$V$5:$V$1000,$N52))</f>
        <v/>
      </c>
      <c r="P52">
        <f>IF($N52="","",N(INDEX('Cronograma R. Operacional'!$W$5:$W$1000,$N52)))</f>
        <v/>
      </c>
      <c r="Q52">
        <f>IF(OR(LEFT($L52,7)="Vencida",LEFT($L52,5)="Vence"),SUMPRODUCT(--(LEFT($L$5:$L52,7)="Vencida"))+SUMPRODUCT(--(LEFT($L$5:$L52,5)="Vence")),"")</f>
        <v/>
      </c>
    </row>
    <row r="53">
      <c r="A53" s="56">
        <f>IF($N53="","",INDEX('Cronograma R. Operacional'!$A$5:$A$1000,$N53))</f>
        <v/>
      </c>
      <c r="B53" s="62">
        <f>IF($N53="","",IF($O53="Sub","      ↳  "&amp;INDEX('Cronograma R. Operacional'!$C$5:$C$1000,$N53),INDEX('Cronograma R. Operacional'!$C$5:$C$1000,$N53)&amp;""))</f>
        <v/>
      </c>
      <c r="C53" s="79">
        <f>IF($N53="","",IF(INDEX('Cronograma R. Operacional'!$AM$5:$AM$1000,$N53)="","",INDEX('Cronograma R. Operacional'!$AM$5:$AM$1000,$N53)))</f>
        <v/>
      </c>
      <c r="D53" s="79">
        <f>IF($N53="","",IF(INDEX('Cronograma R. Operacional'!$AN$5:$AN$1000,$N53)="","",INDEX('Cronograma R. Operacional'!$AN$5:$AN$1000,$N53)))</f>
        <v/>
      </c>
      <c r="E53" s="56">
        <f>IF($N53="","",IF(NOT(ISNUMBER($D53)),"",IF($D53&lt;InicioCiclo,"Antes del ciclo",IF($D53&gt;=InicioCiclo+28,"Después del ciclo","Semana "&amp;(INT(($D53-InicioCiclo)/7)+1)))))</f>
        <v/>
      </c>
      <c r="F53" s="61">
        <f>IF($N53="","",IF($P53&gt;0,IF(1&lt;=SemanaActual,INDEX('Cronograma R. Operacional'!$AC$5:$AC$1000,$N53),""),IF(INDEX('Cronograma R. Operacional'!$I$5:$I$1000,$N53)="","",INDEX('Cronograma R. Operacional'!$I$5:$I$1000,$N53))))</f>
        <v/>
      </c>
      <c r="G53" s="61">
        <f>IF($N53="","",IF($P53&gt;0,IF(2&lt;=SemanaActual,INDEX('Cronograma R. Operacional'!$AD$5:$AD$1000,$N53),""),IF(INDEX('Cronograma R. Operacional'!$J$5:$J$1000,$N53)="","",INDEX('Cronograma R. Operacional'!$J$5:$J$1000,$N53))))</f>
        <v/>
      </c>
      <c r="H53" s="61">
        <f>IF($N53="","",IF($P53&gt;0,IF(3&lt;=SemanaActual,INDEX('Cronograma R. Operacional'!$AE$5:$AE$1000,$N53),""),IF(INDEX('Cronograma R. Operacional'!$K$5:$K$1000,$N53)="","",INDEX('Cronograma R. Operacional'!$K$5:$K$1000,$N53))))</f>
        <v/>
      </c>
      <c r="I53" s="61">
        <f>IF($N53="","",IF($P53&gt;0,IF(4&lt;=SemanaActual,INDEX('Cronograma R. Operacional'!$AF$5:$AF$1000,$N53),""),IF(INDEX('Cronograma R. Operacional'!$L$5:$L$1000,$N53)="","",INDEX('Cronograma R. Operacional'!$L$5:$L$1000,$N53))))</f>
        <v/>
      </c>
      <c r="J53" s="61">
        <f>IF($N53="","",INDEX('Cronograma R. Operacional'!$M$5:$M$1000,$N53))</f>
        <v/>
      </c>
      <c r="K53" s="56">
        <f>IF($N53="","",IF(N($J53)&gt;=1,"Completado",IF(AND(ISNUMBER($D53),$D53&lt;FechaRef),"Vencida",IF(N($J53)&gt;0,"En curso","Pendiente"))))</f>
        <v/>
      </c>
      <c r="L53" s="56">
        <f>IF($N53="","",INDEX('Cronograma R. Operacional'!$O$5:$O$1000,$N53)&amp;"")</f>
        <v/>
      </c>
      <c r="M53" s="62">
        <f>IF($N53="","",INDEX('Cronograma R. Operacional'!$Q$5:$Q$1000,$N53)&amp;"")</f>
        <v/>
      </c>
      <c r="N53">
        <f>IFERROR(MATCH(ROW()-4,rOrden_RO,0),"")</f>
        <v/>
      </c>
      <c r="O53">
        <f>IF($N53="","",INDEX('Cronograma R. Operacional'!$V$5:$V$1000,$N53))</f>
        <v/>
      </c>
      <c r="P53">
        <f>IF($N53="","",N(INDEX('Cronograma R. Operacional'!$W$5:$W$1000,$N53)))</f>
        <v/>
      </c>
      <c r="Q53">
        <f>IF(OR(LEFT($L53,7)="Vencida",LEFT($L53,5)="Vence"),SUMPRODUCT(--(LEFT($L$5:$L53,7)="Vencida"))+SUMPRODUCT(--(LEFT($L$5:$L53,5)="Vence")),"")</f>
        <v/>
      </c>
    </row>
    <row r="54">
      <c r="A54" s="56">
        <f>IF($N54="","",INDEX('Cronograma R. Operacional'!$A$5:$A$1000,$N54))</f>
        <v/>
      </c>
      <c r="B54" s="62">
        <f>IF($N54="","",IF($O54="Sub","      ↳  "&amp;INDEX('Cronograma R. Operacional'!$C$5:$C$1000,$N54),INDEX('Cronograma R. Operacional'!$C$5:$C$1000,$N54)&amp;""))</f>
        <v/>
      </c>
      <c r="C54" s="79">
        <f>IF($N54="","",IF(INDEX('Cronograma R. Operacional'!$AM$5:$AM$1000,$N54)="","",INDEX('Cronograma R. Operacional'!$AM$5:$AM$1000,$N54)))</f>
        <v/>
      </c>
      <c r="D54" s="79">
        <f>IF($N54="","",IF(INDEX('Cronograma R. Operacional'!$AN$5:$AN$1000,$N54)="","",INDEX('Cronograma R. Operacional'!$AN$5:$AN$1000,$N54)))</f>
        <v/>
      </c>
      <c r="E54" s="56">
        <f>IF($N54="","",IF(NOT(ISNUMBER($D54)),"",IF($D54&lt;InicioCiclo,"Antes del ciclo",IF($D54&gt;=InicioCiclo+28,"Después del ciclo","Semana "&amp;(INT(($D54-InicioCiclo)/7)+1)))))</f>
        <v/>
      </c>
      <c r="F54" s="61">
        <f>IF($N54="","",IF($P54&gt;0,IF(1&lt;=SemanaActual,INDEX('Cronograma R. Operacional'!$AC$5:$AC$1000,$N54),""),IF(INDEX('Cronograma R. Operacional'!$I$5:$I$1000,$N54)="","",INDEX('Cronograma R. Operacional'!$I$5:$I$1000,$N54))))</f>
        <v/>
      </c>
      <c r="G54" s="61">
        <f>IF($N54="","",IF($P54&gt;0,IF(2&lt;=SemanaActual,INDEX('Cronograma R. Operacional'!$AD$5:$AD$1000,$N54),""),IF(INDEX('Cronograma R. Operacional'!$J$5:$J$1000,$N54)="","",INDEX('Cronograma R. Operacional'!$J$5:$J$1000,$N54))))</f>
        <v/>
      </c>
      <c r="H54" s="61">
        <f>IF($N54="","",IF($P54&gt;0,IF(3&lt;=SemanaActual,INDEX('Cronograma R. Operacional'!$AE$5:$AE$1000,$N54),""),IF(INDEX('Cronograma R. Operacional'!$K$5:$K$1000,$N54)="","",INDEX('Cronograma R. Operacional'!$K$5:$K$1000,$N54))))</f>
        <v/>
      </c>
      <c r="I54" s="61">
        <f>IF($N54="","",IF($P54&gt;0,IF(4&lt;=SemanaActual,INDEX('Cronograma R. Operacional'!$AF$5:$AF$1000,$N54),""),IF(INDEX('Cronograma R. Operacional'!$L$5:$L$1000,$N54)="","",INDEX('Cronograma R. Operacional'!$L$5:$L$1000,$N54))))</f>
        <v/>
      </c>
      <c r="J54" s="61">
        <f>IF($N54="","",INDEX('Cronograma R. Operacional'!$M$5:$M$1000,$N54))</f>
        <v/>
      </c>
      <c r="K54" s="56">
        <f>IF($N54="","",IF(N($J54)&gt;=1,"Completado",IF(AND(ISNUMBER($D54),$D54&lt;FechaRef),"Vencida",IF(N($J54)&gt;0,"En curso","Pendiente"))))</f>
        <v/>
      </c>
      <c r="L54" s="56">
        <f>IF($N54="","",INDEX('Cronograma R. Operacional'!$O$5:$O$1000,$N54)&amp;"")</f>
        <v/>
      </c>
      <c r="M54" s="62">
        <f>IF($N54="","",INDEX('Cronograma R. Operacional'!$Q$5:$Q$1000,$N54)&amp;"")</f>
        <v/>
      </c>
      <c r="N54">
        <f>IFERROR(MATCH(ROW()-4,rOrden_RO,0),"")</f>
        <v/>
      </c>
      <c r="O54">
        <f>IF($N54="","",INDEX('Cronograma R. Operacional'!$V$5:$V$1000,$N54))</f>
        <v/>
      </c>
      <c r="P54">
        <f>IF($N54="","",N(INDEX('Cronograma R. Operacional'!$W$5:$W$1000,$N54)))</f>
        <v/>
      </c>
      <c r="Q54">
        <f>IF(OR(LEFT($L54,7)="Vencida",LEFT($L54,5)="Vence"),SUMPRODUCT(--(LEFT($L$5:$L54,7)="Vencida"))+SUMPRODUCT(--(LEFT($L$5:$L54,5)="Vence")),"")</f>
        <v/>
      </c>
    </row>
    <row r="55">
      <c r="A55" s="56">
        <f>IF($N55="","",INDEX('Cronograma R. Operacional'!$A$5:$A$1000,$N55))</f>
        <v/>
      </c>
      <c r="B55" s="62">
        <f>IF($N55="","",IF($O55="Sub","      ↳  "&amp;INDEX('Cronograma R. Operacional'!$C$5:$C$1000,$N55),INDEX('Cronograma R. Operacional'!$C$5:$C$1000,$N55)&amp;""))</f>
        <v/>
      </c>
      <c r="C55" s="79">
        <f>IF($N55="","",IF(INDEX('Cronograma R. Operacional'!$AM$5:$AM$1000,$N55)="","",INDEX('Cronograma R. Operacional'!$AM$5:$AM$1000,$N55)))</f>
        <v/>
      </c>
      <c r="D55" s="79">
        <f>IF($N55="","",IF(INDEX('Cronograma R. Operacional'!$AN$5:$AN$1000,$N55)="","",INDEX('Cronograma R. Operacional'!$AN$5:$AN$1000,$N55)))</f>
        <v/>
      </c>
      <c r="E55" s="56">
        <f>IF($N55="","",IF(NOT(ISNUMBER($D55)),"",IF($D55&lt;InicioCiclo,"Antes del ciclo",IF($D55&gt;=InicioCiclo+28,"Después del ciclo","Semana "&amp;(INT(($D55-InicioCiclo)/7)+1)))))</f>
        <v/>
      </c>
      <c r="F55" s="61">
        <f>IF($N55="","",IF($P55&gt;0,IF(1&lt;=SemanaActual,INDEX('Cronograma R. Operacional'!$AC$5:$AC$1000,$N55),""),IF(INDEX('Cronograma R. Operacional'!$I$5:$I$1000,$N55)="","",INDEX('Cronograma R. Operacional'!$I$5:$I$1000,$N55))))</f>
        <v/>
      </c>
      <c r="G55" s="61">
        <f>IF($N55="","",IF($P55&gt;0,IF(2&lt;=SemanaActual,INDEX('Cronograma R. Operacional'!$AD$5:$AD$1000,$N55),""),IF(INDEX('Cronograma R. Operacional'!$J$5:$J$1000,$N55)="","",INDEX('Cronograma R. Operacional'!$J$5:$J$1000,$N55))))</f>
        <v/>
      </c>
      <c r="H55" s="61">
        <f>IF($N55="","",IF($P55&gt;0,IF(3&lt;=SemanaActual,INDEX('Cronograma R. Operacional'!$AE$5:$AE$1000,$N55),""),IF(INDEX('Cronograma R. Operacional'!$K$5:$K$1000,$N55)="","",INDEX('Cronograma R. Operacional'!$K$5:$K$1000,$N55))))</f>
        <v/>
      </c>
      <c r="I55" s="61">
        <f>IF($N55="","",IF($P55&gt;0,IF(4&lt;=SemanaActual,INDEX('Cronograma R. Operacional'!$AF$5:$AF$1000,$N55),""),IF(INDEX('Cronograma R. Operacional'!$L$5:$L$1000,$N55)="","",INDEX('Cronograma R. Operacional'!$L$5:$L$1000,$N55))))</f>
        <v/>
      </c>
      <c r="J55" s="61">
        <f>IF($N55="","",INDEX('Cronograma R. Operacional'!$M$5:$M$1000,$N55))</f>
        <v/>
      </c>
      <c r="K55" s="56">
        <f>IF($N55="","",IF(N($J55)&gt;=1,"Completado",IF(AND(ISNUMBER($D55),$D55&lt;FechaRef),"Vencida",IF(N($J55)&gt;0,"En curso","Pendiente"))))</f>
        <v/>
      </c>
      <c r="L55" s="56">
        <f>IF($N55="","",INDEX('Cronograma R. Operacional'!$O$5:$O$1000,$N55)&amp;"")</f>
        <v/>
      </c>
      <c r="M55" s="62">
        <f>IF($N55="","",INDEX('Cronograma R. Operacional'!$Q$5:$Q$1000,$N55)&amp;"")</f>
        <v/>
      </c>
      <c r="N55">
        <f>IFERROR(MATCH(ROW()-4,rOrden_RO,0),"")</f>
        <v/>
      </c>
      <c r="O55">
        <f>IF($N55="","",INDEX('Cronograma R. Operacional'!$V$5:$V$1000,$N55))</f>
        <v/>
      </c>
      <c r="P55">
        <f>IF($N55="","",N(INDEX('Cronograma R. Operacional'!$W$5:$W$1000,$N55)))</f>
        <v/>
      </c>
      <c r="Q55">
        <f>IF(OR(LEFT($L55,7)="Vencida",LEFT($L55,5)="Vence"),SUMPRODUCT(--(LEFT($L$5:$L55,7)="Vencida"))+SUMPRODUCT(--(LEFT($L$5:$L55,5)="Vence")),"")</f>
        <v/>
      </c>
    </row>
    <row r="56">
      <c r="A56" s="56">
        <f>IF($N56="","",INDEX('Cronograma R. Operacional'!$A$5:$A$1000,$N56))</f>
        <v/>
      </c>
      <c r="B56" s="62">
        <f>IF($N56="","",IF($O56="Sub","      ↳  "&amp;INDEX('Cronograma R. Operacional'!$C$5:$C$1000,$N56),INDEX('Cronograma R. Operacional'!$C$5:$C$1000,$N56)&amp;""))</f>
        <v/>
      </c>
      <c r="C56" s="79">
        <f>IF($N56="","",IF(INDEX('Cronograma R. Operacional'!$AM$5:$AM$1000,$N56)="","",INDEX('Cronograma R. Operacional'!$AM$5:$AM$1000,$N56)))</f>
        <v/>
      </c>
      <c r="D56" s="79">
        <f>IF($N56="","",IF(INDEX('Cronograma R. Operacional'!$AN$5:$AN$1000,$N56)="","",INDEX('Cronograma R. Operacional'!$AN$5:$AN$1000,$N56)))</f>
        <v/>
      </c>
      <c r="E56" s="56">
        <f>IF($N56="","",IF(NOT(ISNUMBER($D56)),"",IF($D56&lt;InicioCiclo,"Antes del ciclo",IF($D56&gt;=InicioCiclo+28,"Después del ciclo","Semana "&amp;(INT(($D56-InicioCiclo)/7)+1)))))</f>
        <v/>
      </c>
      <c r="F56" s="61">
        <f>IF($N56="","",IF($P56&gt;0,IF(1&lt;=SemanaActual,INDEX('Cronograma R. Operacional'!$AC$5:$AC$1000,$N56),""),IF(INDEX('Cronograma R. Operacional'!$I$5:$I$1000,$N56)="","",INDEX('Cronograma R. Operacional'!$I$5:$I$1000,$N56))))</f>
        <v/>
      </c>
      <c r="G56" s="61">
        <f>IF($N56="","",IF($P56&gt;0,IF(2&lt;=SemanaActual,INDEX('Cronograma R. Operacional'!$AD$5:$AD$1000,$N56),""),IF(INDEX('Cronograma R. Operacional'!$J$5:$J$1000,$N56)="","",INDEX('Cronograma R. Operacional'!$J$5:$J$1000,$N56))))</f>
        <v/>
      </c>
      <c r="H56" s="61">
        <f>IF($N56="","",IF($P56&gt;0,IF(3&lt;=SemanaActual,INDEX('Cronograma R. Operacional'!$AE$5:$AE$1000,$N56),""),IF(INDEX('Cronograma R. Operacional'!$K$5:$K$1000,$N56)="","",INDEX('Cronograma R. Operacional'!$K$5:$K$1000,$N56))))</f>
        <v/>
      </c>
      <c r="I56" s="61">
        <f>IF($N56="","",IF($P56&gt;0,IF(4&lt;=SemanaActual,INDEX('Cronograma R. Operacional'!$AF$5:$AF$1000,$N56),""),IF(INDEX('Cronograma R. Operacional'!$L$5:$L$1000,$N56)="","",INDEX('Cronograma R. Operacional'!$L$5:$L$1000,$N56))))</f>
        <v/>
      </c>
      <c r="J56" s="61">
        <f>IF($N56="","",INDEX('Cronograma R. Operacional'!$M$5:$M$1000,$N56))</f>
        <v/>
      </c>
      <c r="K56" s="56">
        <f>IF($N56="","",IF(N($J56)&gt;=1,"Completado",IF(AND(ISNUMBER($D56),$D56&lt;FechaRef),"Vencida",IF(N($J56)&gt;0,"En curso","Pendiente"))))</f>
        <v/>
      </c>
      <c r="L56" s="56">
        <f>IF($N56="","",INDEX('Cronograma R. Operacional'!$O$5:$O$1000,$N56)&amp;"")</f>
        <v/>
      </c>
      <c r="M56" s="62">
        <f>IF($N56="","",INDEX('Cronograma R. Operacional'!$Q$5:$Q$1000,$N56)&amp;"")</f>
        <v/>
      </c>
      <c r="N56">
        <f>IFERROR(MATCH(ROW()-4,rOrden_RO,0),"")</f>
        <v/>
      </c>
      <c r="O56">
        <f>IF($N56="","",INDEX('Cronograma R. Operacional'!$V$5:$V$1000,$N56))</f>
        <v/>
      </c>
      <c r="P56">
        <f>IF($N56="","",N(INDEX('Cronograma R. Operacional'!$W$5:$W$1000,$N56)))</f>
        <v/>
      </c>
      <c r="Q56">
        <f>IF(OR(LEFT($L56,7)="Vencida",LEFT($L56,5)="Vence"),SUMPRODUCT(--(LEFT($L$5:$L56,7)="Vencida"))+SUMPRODUCT(--(LEFT($L$5:$L56,5)="Vence")),"")</f>
        <v/>
      </c>
    </row>
    <row r="57">
      <c r="A57" s="56">
        <f>IF($N57="","",INDEX('Cronograma R. Operacional'!$A$5:$A$1000,$N57))</f>
        <v/>
      </c>
      <c r="B57" s="62">
        <f>IF($N57="","",IF($O57="Sub","      ↳  "&amp;INDEX('Cronograma R. Operacional'!$C$5:$C$1000,$N57),INDEX('Cronograma R. Operacional'!$C$5:$C$1000,$N57)&amp;""))</f>
        <v/>
      </c>
      <c r="C57" s="79">
        <f>IF($N57="","",IF(INDEX('Cronograma R. Operacional'!$AM$5:$AM$1000,$N57)="","",INDEX('Cronograma R. Operacional'!$AM$5:$AM$1000,$N57)))</f>
        <v/>
      </c>
      <c r="D57" s="79">
        <f>IF($N57="","",IF(INDEX('Cronograma R. Operacional'!$AN$5:$AN$1000,$N57)="","",INDEX('Cronograma R. Operacional'!$AN$5:$AN$1000,$N57)))</f>
        <v/>
      </c>
      <c r="E57" s="56">
        <f>IF($N57="","",IF(NOT(ISNUMBER($D57)),"",IF($D57&lt;InicioCiclo,"Antes del ciclo",IF($D57&gt;=InicioCiclo+28,"Después del ciclo","Semana "&amp;(INT(($D57-InicioCiclo)/7)+1)))))</f>
        <v/>
      </c>
      <c r="F57" s="61">
        <f>IF($N57="","",IF($P57&gt;0,IF(1&lt;=SemanaActual,INDEX('Cronograma R. Operacional'!$AC$5:$AC$1000,$N57),""),IF(INDEX('Cronograma R. Operacional'!$I$5:$I$1000,$N57)="","",INDEX('Cronograma R. Operacional'!$I$5:$I$1000,$N57))))</f>
        <v/>
      </c>
      <c r="G57" s="61">
        <f>IF($N57="","",IF($P57&gt;0,IF(2&lt;=SemanaActual,INDEX('Cronograma R. Operacional'!$AD$5:$AD$1000,$N57),""),IF(INDEX('Cronograma R. Operacional'!$J$5:$J$1000,$N57)="","",INDEX('Cronograma R. Operacional'!$J$5:$J$1000,$N57))))</f>
        <v/>
      </c>
      <c r="H57" s="61">
        <f>IF($N57="","",IF($P57&gt;0,IF(3&lt;=SemanaActual,INDEX('Cronograma R. Operacional'!$AE$5:$AE$1000,$N57),""),IF(INDEX('Cronograma R. Operacional'!$K$5:$K$1000,$N57)="","",INDEX('Cronograma R. Operacional'!$K$5:$K$1000,$N57))))</f>
        <v/>
      </c>
      <c r="I57" s="61">
        <f>IF($N57="","",IF($P57&gt;0,IF(4&lt;=SemanaActual,INDEX('Cronograma R. Operacional'!$AF$5:$AF$1000,$N57),""),IF(INDEX('Cronograma R. Operacional'!$L$5:$L$1000,$N57)="","",INDEX('Cronograma R. Operacional'!$L$5:$L$1000,$N57))))</f>
        <v/>
      </c>
      <c r="J57" s="61">
        <f>IF($N57="","",INDEX('Cronograma R. Operacional'!$M$5:$M$1000,$N57))</f>
        <v/>
      </c>
      <c r="K57" s="56">
        <f>IF($N57="","",IF(N($J57)&gt;=1,"Completado",IF(AND(ISNUMBER($D57),$D57&lt;FechaRef),"Vencida",IF(N($J57)&gt;0,"En curso","Pendiente"))))</f>
        <v/>
      </c>
      <c r="L57" s="56">
        <f>IF($N57="","",INDEX('Cronograma R. Operacional'!$O$5:$O$1000,$N57)&amp;"")</f>
        <v/>
      </c>
      <c r="M57" s="62">
        <f>IF($N57="","",INDEX('Cronograma R. Operacional'!$Q$5:$Q$1000,$N57)&amp;"")</f>
        <v/>
      </c>
      <c r="N57">
        <f>IFERROR(MATCH(ROW()-4,rOrden_RO,0),"")</f>
        <v/>
      </c>
      <c r="O57">
        <f>IF($N57="","",INDEX('Cronograma R. Operacional'!$V$5:$V$1000,$N57))</f>
        <v/>
      </c>
      <c r="P57">
        <f>IF($N57="","",N(INDEX('Cronograma R. Operacional'!$W$5:$W$1000,$N57)))</f>
        <v/>
      </c>
      <c r="Q57">
        <f>IF(OR(LEFT($L57,7)="Vencida",LEFT($L57,5)="Vence"),SUMPRODUCT(--(LEFT($L$5:$L57,7)="Vencida"))+SUMPRODUCT(--(LEFT($L$5:$L57,5)="Vence")),"")</f>
        <v/>
      </c>
    </row>
    <row r="58">
      <c r="A58" s="56">
        <f>IF($N58="","",INDEX('Cronograma R. Operacional'!$A$5:$A$1000,$N58))</f>
        <v/>
      </c>
      <c r="B58" s="62">
        <f>IF($N58="","",IF($O58="Sub","      ↳  "&amp;INDEX('Cronograma R. Operacional'!$C$5:$C$1000,$N58),INDEX('Cronograma R. Operacional'!$C$5:$C$1000,$N58)&amp;""))</f>
        <v/>
      </c>
      <c r="C58" s="79">
        <f>IF($N58="","",IF(INDEX('Cronograma R. Operacional'!$AM$5:$AM$1000,$N58)="","",INDEX('Cronograma R. Operacional'!$AM$5:$AM$1000,$N58)))</f>
        <v/>
      </c>
      <c r="D58" s="79">
        <f>IF($N58="","",IF(INDEX('Cronograma R. Operacional'!$AN$5:$AN$1000,$N58)="","",INDEX('Cronograma R. Operacional'!$AN$5:$AN$1000,$N58)))</f>
        <v/>
      </c>
      <c r="E58" s="56">
        <f>IF($N58="","",IF(NOT(ISNUMBER($D58)),"",IF($D58&lt;InicioCiclo,"Antes del ciclo",IF($D58&gt;=InicioCiclo+28,"Después del ciclo","Semana "&amp;(INT(($D58-InicioCiclo)/7)+1)))))</f>
        <v/>
      </c>
      <c r="F58" s="61">
        <f>IF($N58="","",IF($P58&gt;0,IF(1&lt;=SemanaActual,INDEX('Cronograma R. Operacional'!$AC$5:$AC$1000,$N58),""),IF(INDEX('Cronograma R. Operacional'!$I$5:$I$1000,$N58)="","",INDEX('Cronograma R. Operacional'!$I$5:$I$1000,$N58))))</f>
        <v/>
      </c>
      <c r="G58" s="61">
        <f>IF($N58="","",IF($P58&gt;0,IF(2&lt;=SemanaActual,INDEX('Cronograma R. Operacional'!$AD$5:$AD$1000,$N58),""),IF(INDEX('Cronograma R. Operacional'!$J$5:$J$1000,$N58)="","",INDEX('Cronograma R. Operacional'!$J$5:$J$1000,$N58))))</f>
        <v/>
      </c>
      <c r="H58" s="61">
        <f>IF($N58="","",IF($P58&gt;0,IF(3&lt;=SemanaActual,INDEX('Cronograma R. Operacional'!$AE$5:$AE$1000,$N58),""),IF(INDEX('Cronograma R. Operacional'!$K$5:$K$1000,$N58)="","",INDEX('Cronograma R. Operacional'!$K$5:$K$1000,$N58))))</f>
        <v/>
      </c>
      <c r="I58" s="61">
        <f>IF($N58="","",IF($P58&gt;0,IF(4&lt;=SemanaActual,INDEX('Cronograma R. Operacional'!$AF$5:$AF$1000,$N58),""),IF(INDEX('Cronograma R. Operacional'!$L$5:$L$1000,$N58)="","",INDEX('Cronograma R. Operacional'!$L$5:$L$1000,$N58))))</f>
        <v/>
      </c>
      <c r="J58" s="61">
        <f>IF($N58="","",INDEX('Cronograma R. Operacional'!$M$5:$M$1000,$N58))</f>
        <v/>
      </c>
      <c r="K58" s="56">
        <f>IF($N58="","",IF(N($J58)&gt;=1,"Completado",IF(AND(ISNUMBER($D58),$D58&lt;FechaRef),"Vencida",IF(N($J58)&gt;0,"En curso","Pendiente"))))</f>
        <v/>
      </c>
      <c r="L58" s="56">
        <f>IF($N58="","",INDEX('Cronograma R. Operacional'!$O$5:$O$1000,$N58)&amp;"")</f>
        <v/>
      </c>
      <c r="M58" s="62">
        <f>IF($N58="","",INDEX('Cronograma R. Operacional'!$Q$5:$Q$1000,$N58)&amp;"")</f>
        <v/>
      </c>
      <c r="N58">
        <f>IFERROR(MATCH(ROW()-4,rOrden_RO,0),"")</f>
        <v/>
      </c>
      <c r="O58">
        <f>IF($N58="","",INDEX('Cronograma R. Operacional'!$V$5:$V$1000,$N58))</f>
        <v/>
      </c>
      <c r="P58">
        <f>IF($N58="","",N(INDEX('Cronograma R. Operacional'!$W$5:$W$1000,$N58)))</f>
        <v/>
      </c>
      <c r="Q58">
        <f>IF(OR(LEFT($L58,7)="Vencida",LEFT($L58,5)="Vence"),SUMPRODUCT(--(LEFT($L$5:$L58,7)="Vencida"))+SUMPRODUCT(--(LEFT($L$5:$L58,5)="Vence")),"")</f>
        <v/>
      </c>
    </row>
    <row r="59">
      <c r="A59" s="56">
        <f>IF($N59="","",INDEX('Cronograma R. Operacional'!$A$5:$A$1000,$N59))</f>
        <v/>
      </c>
      <c r="B59" s="62">
        <f>IF($N59="","",IF($O59="Sub","      ↳  "&amp;INDEX('Cronograma R. Operacional'!$C$5:$C$1000,$N59),INDEX('Cronograma R. Operacional'!$C$5:$C$1000,$N59)&amp;""))</f>
        <v/>
      </c>
      <c r="C59" s="79">
        <f>IF($N59="","",IF(INDEX('Cronograma R. Operacional'!$AM$5:$AM$1000,$N59)="","",INDEX('Cronograma R. Operacional'!$AM$5:$AM$1000,$N59)))</f>
        <v/>
      </c>
      <c r="D59" s="79">
        <f>IF($N59="","",IF(INDEX('Cronograma R. Operacional'!$AN$5:$AN$1000,$N59)="","",INDEX('Cronograma R. Operacional'!$AN$5:$AN$1000,$N59)))</f>
        <v/>
      </c>
      <c r="E59" s="56">
        <f>IF($N59="","",IF(NOT(ISNUMBER($D59)),"",IF($D59&lt;InicioCiclo,"Antes del ciclo",IF($D59&gt;=InicioCiclo+28,"Después del ciclo","Semana "&amp;(INT(($D59-InicioCiclo)/7)+1)))))</f>
        <v/>
      </c>
      <c r="F59" s="61">
        <f>IF($N59="","",IF($P59&gt;0,IF(1&lt;=SemanaActual,INDEX('Cronograma R. Operacional'!$AC$5:$AC$1000,$N59),""),IF(INDEX('Cronograma R. Operacional'!$I$5:$I$1000,$N59)="","",INDEX('Cronograma R. Operacional'!$I$5:$I$1000,$N59))))</f>
        <v/>
      </c>
      <c r="G59" s="61">
        <f>IF($N59="","",IF($P59&gt;0,IF(2&lt;=SemanaActual,INDEX('Cronograma R. Operacional'!$AD$5:$AD$1000,$N59),""),IF(INDEX('Cronograma R. Operacional'!$J$5:$J$1000,$N59)="","",INDEX('Cronograma R. Operacional'!$J$5:$J$1000,$N59))))</f>
        <v/>
      </c>
      <c r="H59" s="61">
        <f>IF($N59="","",IF($P59&gt;0,IF(3&lt;=SemanaActual,INDEX('Cronograma R. Operacional'!$AE$5:$AE$1000,$N59),""),IF(INDEX('Cronograma R. Operacional'!$K$5:$K$1000,$N59)="","",INDEX('Cronograma R. Operacional'!$K$5:$K$1000,$N59))))</f>
        <v/>
      </c>
      <c r="I59" s="61">
        <f>IF($N59="","",IF($P59&gt;0,IF(4&lt;=SemanaActual,INDEX('Cronograma R. Operacional'!$AF$5:$AF$1000,$N59),""),IF(INDEX('Cronograma R. Operacional'!$L$5:$L$1000,$N59)="","",INDEX('Cronograma R. Operacional'!$L$5:$L$1000,$N59))))</f>
        <v/>
      </c>
      <c r="J59" s="61">
        <f>IF($N59="","",INDEX('Cronograma R. Operacional'!$M$5:$M$1000,$N59))</f>
        <v/>
      </c>
      <c r="K59" s="56">
        <f>IF($N59="","",IF(N($J59)&gt;=1,"Completado",IF(AND(ISNUMBER($D59),$D59&lt;FechaRef),"Vencida",IF(N($J59)&gt;0,"En curso","Pendiente"))))</f>
        <v/>
      </c>
      <c r="L59" s="56">
        <f>IF($N59="","",INDEX('Cronograma R. Operacional'!$O$5:$O$1000,$N59)&amp;"")</f>
        <v/>
      </c>
      <c r="M59" s="62">
        <f>IF($N59="","",INDEX('Cronograma R. Operacional'!$Q$5:$Q$1000,$N59)&amp;"")</f>
        <v/>
      </c>
      <c r="N59">
        <f>IFERROR(MATCH(ROW()-4,rOrden_RO,0),"")</f>
        <v/>
      </c>
      <c r="O59">
        <f>IF($N59="","",INDEX('Cronograma R. Operacional'!$V$5:$V$1000,$N59))</f>
        <v/>
      </c>
      <c r="P59">
        <f>IF($N59="","",N(INDEX('Cronograma R. Operacional'!$W$5:$W$1000,$N59)))</f>
        <v/>
      </c>
      <c r="Q59">
        <f>IF(OR(LEFT($L59,7)="Vencida",LEFT($L59,5)="Vence"),SUMPRODUCT(--(LEFT($L$5:$L59,7)="Vencida"))+SUMPRODUCT(--(LEFT($L$5:$L59,5)="Vence")),"")</f>
        <v/>
      </c>
    </row>
    <row r="60">
      <c r="A60" s="56">
        <f>IF($N60="","",INDEX('Cronograma R. Operacional'!$A$5:$A$1000,$N60))</f>
        <v/>
      </c>
      <c r="B60" s="62">
        <f>IF($N60="","",IF($O60="Sub","      ↳  "&amp;INDEX('Cronograma R. Operacional'!$C$5:$C$1000,$N60),INDEX('Cronograma R. Operacional'!$C$5:$C$1000,$N60)&amp;""))</f>
        <v/>
      </c>
      <c r="C60" s="79">
        <f>IF($N60="","",IF(INDEX('Cronograma R. Operacional'!$AM$5:$AM$1000,$N60)="","",INDEX('Cronograma R. Operacional'!$AM$5:$AM$1000,$N60)))</f>
        <v/>
      </c>
      <c r="D60" s="79">
        <f>IF($N60="","",IF(INDEX('Cronograma R. Operacional'!$AN$5:$AN$1000,$N60)="","",INDEX('Cronograma R. Operacional'!$AN$5:$AN$1000,$N60)))</f>
        <v/>
      </c>
      <c r="E60" s="56">
        <f>IF($N60="","",IF(NOT(ISNUMBER($D60)),"",IF($D60&lt;InicioCiclo,"Antes del ciclo",IF($D60&gt;=InicioCiclo+28,"Después del ciclo","Semana "&amp;(INT(($D60-InicioCiclo)/7)+1)))))</f>
        <v/>
      </c>
      <c r="F60" s="61">
        <f>IF($N60="","",IF($P60&gt;0,IF(1&lt;=SemanaActual,INDEX('Cronograma R. Operacional'!$AC$5:$AC$1000,$N60),""),IF(INDEX('Cronograma R. Operacional'!$I$5:$I$1000,$N60)="","",INDEX('Cronograma R. Operacional'!$I$5:$I$1000,$N60))))</f>
        <v/>
      </c>
      <c r="G60" s="61">
        <f>IF($N60="","",IF($P60&gt;0,IF(2&lt;=SemanaActual,INDEX('Cronograma R. Operacional'!$AD$5:$AD$1000,$N60),""),IF(INDEX('Cronograma R. Operacional'!$J$5:$J$1000,$N60)="","",INDEX('Cronograma R. Operacional'!$J$5:$J$1000,$N60))))</f>
        <v/>
      </c>
      <c r="H60" s="61">
        <f>IF($N60="","",IF($P60&gt;0,IF(3&lt;=SemanaActual,INDEX('Cronograma R. Operacional'!$AE$5:$AE$1000,$N60),""),IF(INDEX('Cronograma R. Operacional'!$K$5:$K$1000,$N60)="","",INDEX('Cronograma R. Operacional'!$K$5:$K$1000,$N60))))</f>
        <v/>
      </c>
      <c r="I60" s="61">
        <f>IF($N60="","",IF($P60&gt;0,IF(4&lt;=SemanaActual,INDEX('Cronograma R. Operacional'!$AF$5:$AF$1000,$N60),""),IF(INDEX('Cronograma R. Operacional'!$L$5:$L$1000,$N60)="","",INDEX('Cronograma R. Operacional'!$L$5:$L$1000,$N60))))</f>
        <v/>
      </c>
      <c r="J60" s="61">
        <f>IF($N60="","",INDEX('Cronograma R. Operacional'!$M$5:$M$1000,$N60))</f>
        <v/>
      </c>
      <c r="K60" s="56">
        <f>IF($N60="","",IF(N($J60)&gt;=1,"Completado",IF(AND(ISNUMBER($D60),$D60&lt;FechaRef),"Vencida",IF(N($J60)&gt;0,"En curso","Pendiente"))))</f>
        <v/>
      </c>
      <c r="L60" s="56">
        <f>IF($N60="","",INDEX('Cronograma R. Operacional'!$O$5:$O$1000,$N60)&amp;"")</f>
        <v/>
      </c>
      <c r="M60" s="62">
        <f>IF($N60="","",INDEX('Cronograma R. Operacional'!$Q$5:$Q$1000,$N60)&amp;"")</f>
        <v/>
      </c>
      <c r="N60">
        <f>IFERROR(MATCH(ROW()-4,rOrden_RO,0),"")</f>
        <v/>
      </c>
      <c r="O60">
        <f>IF($N60="","",INDEX('Cronograma R. Operacional'!$V$5:$V$1000,$N60))</f>
        <v/>
      </c>
      <c r="P60">
        <f>IF($N60="","",N(INDEX('Cronograma R. Operacional'!$W$5:$W$1000,$N60)))</f>
        <v/>
      </c>
      <c r="Q60">
        <f>IF(OR(LEFT($L60,7)="Vencida",LEFT($L60,5)="Vence"),SUMPRODUCT(--(LEFT($L$5:$L60,7)="Vencida"))+SUMPRODUCT(--(LEFT($L$5:$L60,5)="Vence")),"")</f>
        <v/>
      </c>
    </row>
    <row r="61">
      <c r="A61" s="56">
        <f>IF($N61="","",INDEX('Cronograma R. Operacional'!$A$5:$A$1000,$N61))</f>
        <v/>
      </c>
      <c r="B61" s="62">
        <f>IF($N61="","",IF($O61="Sub","      ↳  "&amp;INDEX('Cronograma R. Operacional'!$C$5:$C$1000,$N61),INDEX('Cronograma R. Operacional'!$C$5:$C$1000,$N61)&amp;""))</f>
        <v/>
      </c>
      <c r="C61" s="79">
        <f>IF($N61="","",IF(INDEX('Cronograma R. Operacional'!$AM$5:$AM$1000,$N61)="","",INDEX('Cronograma R. Operacional'!$AM$5:$AM$1000,$N61)))</f>
        <v/>
      </c>
      <c r="D61" s="79">
        <f>IF($N61="","",IF(INDEX('Cronograma R. Operacional'!$AN$5:$AN$1000,$N61)="","",INDEX('Cronograma R. Operacional'!$AN$5:$AN$1000,$N61)))</f>
        <v/>
      </c>
      <c r="E61" s="56">
        <f>IF($N61="","",IF(NOT(ISNUMBER($D61)),"",IF($D61&lt;InicioCiclo,"Antes del ciclo",IF($D61&gt;=InicioCiclo+28,"Después del ciclo","Semana "&amp;(INT(($D61-InicioCiclo)/7)+1)))))</f>
        <v/>
      </c>
      <c r="F61" s="61">
        <f>IF($N61="","",IF($P61&gt;0,IF(1&lt;=SemanaActual,INDEX('Cronograma R. Operacional'!$AC$5:$AC$1000,$N61),""),IF(INDEX('Cronograma R. Operacional'!$I$5:$I$1000,$N61)="","",INDEX('Cronograma R. Operacional'!$I$5:$I$1000,$N61))))</f>
        <v/>
      </c>
      <c r="G61" s="61">
        <f>IF($N61="","",IF($P61&gt;0,IF(2&lt;=SemanaActual,INDEX('Cronograma R. Operacional'!$AD$5:$AD$1000,$N61),""),IF(INDEX('Cronograma R. Operacional'!$J$5:$J$1000,$N61)="","",INDEX('Cronograma R. Operacional'!$J$5:$J$1000,$N61))))</f>
        <v/>
      </c>
      <c r="H61" s="61">
        <f>IF($N61="","",IF($P61&gt;0,IF(3&lt;=SemanaActual,INDEX('Cronograma R. Operacional'!$AE$5:$AE$1000,$N61),""),IF(INDEX('Cronograma R. Operacional'!$K$5:$K$1000,$N61)="","",INDEX('Cronograma R. Operacional'!$K$5:$K$1000,$N61))))</f>
        <v/>
      </c>
      <c r="I61" s="61">
        <f>IF($N61="","",IF($P61&gt;0,IF(4&lt;=SemanaActual,INDEX('Cronograma R. Operacional'!$AF$5:$AF$1000,$N61),""),IF(INDEX('Cronograma R. Operacional'!$L$5:$L$1000,$N61)="","",INDEX('Cronograma R. Operacional'!$L$5:$L$1000,$N61))))</f>
        <v/>
      </c>
      <c r="J61" s="61">
        <f>IF($N61="","",INDEX('Cronograma R. Operacional'!$M$5:$M$1000,$N61))</f>
        <v/>
      </c>
      <c r="K61" s="56">
        <f>IF($N61="","",IF(N($J61)&gt;=1,"Completado",IF(AND(ISNUMBER($D61),$D61&lt;FechaRef),"Vencida",IF(N($J61)&gt;0,"En curso","Pendiente"))))</f>
        <v/>
      </c>
      <c r="L61" s="56">
        <f>IF($N61="","",INDEX('Cronograma R. Operacional'!$O$5:$O$1000,$N61)&amp;"")</f>
        <v/>
      </c>
      <c r="M61" s="62">
        <f>IF($N61="","",INDEX('Cronograma R. Operacional'!$Q$5:$Q$1000,$N61)&amp;"")</f>
        <v/>
      </c>
      <c r="N61">
        <f>IFERROR(MATCH(ROW()-4,rOrden_RO,0),"")</f>
        <v/>
      </c>
      <c r="O61">
        <f>IF($N61="","",INDEX('Cronograma R. Operacional'!$V$5:$V$1000,$N61))</f>
        <v/>
      </c>
      <c r="P61">
        <f>IF($N61="","",N(INDEX('Cronograma R. Operacional'!$W$5:$W$1000,$N61)))</f>
        <v/>
      </c>
      <c r="Q61">
        <f>IF(OR(LEFT($L61,7)="Vencida",LEFT($L61,5)="Vence"),SUMPRODUCT(--(LEFT($L$5:$L61,7)="Vencida"))+SUMPRODUCT(--(LEFT($L$5:$L61,5)="Vence")),"")</f>
        <v/>
      </c>
    </row>
    <row r="62">
      <c r="A62" s="56">
        <f>IF($N62="","",INDEX('Cronograma R. Operacional'!$A$5:$A$1000,$N62))</f>
        <v/>
      </c>
      <c r="B62" s="62">
        <f>IF($N62="","",IF($O62="Sub","      ↳  "&amp;INDEX('Cronograma R. Operacional'!$C$5:$C$1000,$N62),INDEX('Cronograma R. Operacional'!$C$5:$C$1000,$N62)&amp;""))</f>
        <v/>
      </c>
      <c r="C62" s="79">
        <f>IF($N62="","",IF(INDEX('Cronograma R. Operacional'!$AM$5:$AM$1000,$N62)="","",INDEX('Cronograma R. Operacional'!$AM$5:$AM$1000,$N62)))</f>
        <v/>
      </c>
      <c r="D62" s="79">
        <f>IF($N62="","",IF(INDEX('Cronograma R. Operacional'!$AN$5:$AN$1000,$N62)="","",INDEX('Cronograma R. Operacional'!$AN$5:$AN$1000,$N62)))</f>
        <v/>
      </c>
      <c r="E62" s="56">
        <f>IF($N62="","",IF(NOT(ISNUMBER($D62)),"",IF($D62&lt;InicioCiclo,"Antes del ciclo",IF($D62&gt;=InicioCiclo+28,"Después del ciclo","Semana "&amp;(INT(($D62-InicioCiclo)/7)+1)))))</f>
        <v/>
      </c>
      <c r="F62" s="61">
        <f>IF($N62="","",IF($P62&gt;0,IF(1&lt;=SemanaActual,INDEX('Cronograma R. Operacional'!$AC$5:$AC$1000,$N62),""),IF(INDEX('Cronograma R. Operacional'!$I$5:$I$1000,$N62)="","",INDEX('Cronograma R. Operacional'!$I$5:$I$1000,$N62))))</f>
        <v/>
      </c>
      <c r="G62" s="61">
        <f>IF($N62="","",IF($P62&gt;0,IF(2&lt;=SemanaActual,INDEX('Cronograma R. Operacional'!$AD$5:$AD$1000,$N62),""),IF(INDEX('Cronograma R. Operacional'!$J$5:$J$1000,$N62)="","",INDEX('Cronograma R. Operacional'!$J$5:$J$1000,$N62))))</f>
        <v/>
      </c>
      <c r="H62" s="61">
        <f>IF($N62="","",IF($P62&gt;0,IF(3&lt;=SemanaActual,INDEX('Cronograma R. Operacional'!$AE$5:$AE$1000,$N62),""),IF(INDEX('Cronograma R. Operacional'!$K$5:$K$1000,$N62)="","",INDEX('Cronograma R. Operacional'!$K$5:$K$1000,$N62))))</f>
        <v/>
      </c>
      <c r="I62" s="61">
        <f>IF($N62="","",IF($P62&gt;0,IF(4&lt;=SemanaActual,INDEX('Cronograma R. Operacional'!$AF$5:$AF$1000,$N62),""),IF(INDEX('Cronograma R. Operacional'!$L$5:$L$1000,$N62)="","",INDEX('Cronograma R. Operacional'!$L$5:$L$1000,$N62))))</f>
        <v/>
      </c>
      <c r="J62" s="61">
        <f>IF($N62="","",INDEX('Cronograma R. Operacional'!$M$5:$M$1000,$N62))</f>
        <v/>
      </c>
      <c r="K62" s="56">
        <f>IF($N62="","",IF(N($J62)&gt;=1,"Completado",IF(AND(ISNUMBER($D62),$D62&lt;FechaRef),"Vencida",IF(N($J62)&gt;0,"En curso","Pendiente"))))</f>
        <v/>
      </c>
      <c r="L62" s="56">
        <f>IF($N62="","",INDEX('Cronograma R. Operacional'!$O$5:$O$1000,$N62)&amp;"")</f>
        <v/>
      </c>
      <c r="M62" s="62">
        <f>IF($N62="","",INDEX('Cronograma R. Operacional'!$Q$5:$Q$1000,$N62)&amp;"")</f>
        <v/>
      </c>
      <c r="N62">
        <f>IFERROR(MATCH(ROW()-4,rOrden_RO,0),"")</f>
        <v/>
      </c>
      <c r="O62">
        <f>IF($N62="","",INDEX('Cronograma R. Operacional'!$V$5:$V$1000,$N62))</f>
        <v/>
      </c>
      <c r="P62">
        <f>IF($N62="","",N(INDEX('Cronograma R. Operacional'!$W$5:$W$1000,$N62)))</f>
        <v/>
      </c>
      <c r="Q62">
        <f>IF(OR(LEFT($L62,7)="Vencida",LEFT($L62,5)="Vence"),SUMPRODUCT(--(LEFT($L$5:$L62,7)="Vencida"))+SUMPRODUCT(--(LEFT($L$5:$L62,5)="Vence")),"")</f>
        <v/>
      </c>
    </row>
    <row r="63">
      <c r="A63" s="56">
        <f>IF($N63="","",INDEX('Cronograma R. Operacional'!$A$5:$A$1000,$N63))</f>
        <v/>
      </c>
      <c r="B63" s="62">
        <f>IF($N63="","",IF($O63="Sub","      ↳  "&amp;INDEX('Cronograma R. Operacional'!$C$5:$C$1000,$N63),INDEX('Cronograma R. Operacional'!$C$5:$C$1000,$N63)&amp;""))</f>
        <v/>
      </c>
      <c r="C63" s="79">
        <f>IF($N63="","",IF(INDEX('Cronograma R. Operacional'!$AM$5:$AM$1000,$N63)="","",INDEX('Cronograma R. Operacional'!$AM$5:$AM$1000,$N63)))</f>
        <v/>
      </c>
      <c r="D63" s="79">
        <f>IF($N63="","",IF(INDEX('Cronograma R. Operacional'!$AN$5:$AN$1000,$N63)="","",INDEX('Cronograma R. Operacional'!$AN$5:$AN$1000,$N63)))</f>
        <v/>
      </c>
      <c r="E63" s="56">
        <f>IF($N63="","",IF(NOT(ISNUMBER($D63)),"",IF($D63&lt;InicioCiclo,"Antes del ciclo",IF($D63&gt;=InicioCiclo+28,"Después del ciclo","Semana "&amp;(INT(($D63-InicioCiclo)/7)+1)))))</f>
        <v/>
      </c>
      <c r="F63" s="61">
        <f>IF($N63="","",IF($P63&gt;0,IF(1&lt;=SemanaActual,INDEX('Cronograma R. Operacional'!$AC$5:$AC$1000,$N63),""),IF(INDEX('Cronograma R. Operacional'!$I$5:$I$1000,$N63)="","",INDEX('Cronograma R. Operacional'!$I$5:$I$1000,$N63))))</f>
        <v/>
      </c>
      <c r="G63" s="61">
        <f>IF($N63="","",IF($P63&gt;0,IF(2&lt;=SemanaActual,INDEX('Cronograma R. Operacional'!$AD$5:$AD$1000,$N63),""),IF(INDEX('Cronograma R. Operacional'!$J$5:$J$1000,$N63)="","",INDEX('Cronograma R. Operacional'!$J$5:$J$1000,$N63))))</f>
        <v/>
      </c>
      <c r="H63" s="61">
        <f>IF($N63="","",IF($P63&gt;0,IF(3&lt;=SemanaActual,INDEX('Cronograma R. Operacional'!$AE$5:$AE$1000,$N63),""),IF(INDEX('Cronograma R. Operacional'!$K$5:$K$1000,$N63)="","",INDEX('Cronograma R. Operacional'!$K$5:$K$1000,$N63))))</f>
        <v/>
      </c>
      <c r="I63" s="61">
        <f>IF($N63="","",IF($P63&gt;0,IF(4&lt;=SemanaActual,INDEX('Cronograma R. Operacional'!$AF$5:$AF$1000,$N63),""),IF(INDEX('Cronograma R. Operacional'!$L$5:$L$1000,$N63)="","",INDEX('Cronograma R. Operacional'!$L$5:$L$1000,$N63))))</f>
        <v/>
      </c>
      <c r="J63" s="61">
        <f>IF($N63="","",INDEX('Cronograma R. Operacional'!$M$5:$M$1000,$N63))</f>
        <v/>
      </c>
      <c r="K63" s="56">
        <f>IF($N63="","",IF(N($J63)&gt;=1,"Completado",IF(AND(ISNUMBER($D63),$D63&lt;FechaRef),"Vencida",IF(N($J63)&gt;0,"En curso","Pendiente"))))</f>
        <v/>
      </c>
      <c r="L63" s="56">
        <f>IF($N63="","",INDEX('Cronograma R. Operacional'!$O$5:$O$1000,$N63)&amp;"")</f>
        <v/>
      </c>
      <c r="M63" s="62">
        <f>IF($N63="","",INDEX('Cronograma R. Operacional'!$Q$5:$Q$1000,$N63)&amp;"")</f>
        <v/>
      </c>
      <c r="N63">
        <f>IFERROR(MATCH(ROW()-4,rOrden_RO,0),"")</f>
        <v/>
      </c>
      <c r="O63">
        <f>IF($N63="","",INDEX('Cronograma R. Operacional'!$V$5:$V$1000,$N63))</f>
        <v/>
      </c>
      <c r="P63">
        <f>IF($N63="","",N(INDEX('Cronograma R. Operacional'!$W$5:$W$1000,$N63)))</f>
        <v/>
      </c>
      <c r="Q63">
        <f>IF(OR(LEFT($L63,7)="Vencida",LEFT($L63,5)="Vence"),SUMPRODUCT(--(LEFT($L$5:$L63,7)="Vencida"))+SUMPRODUCT(--(LEFT($L$5:$L63,5)="Vence")),"")</f>
        <v/>
      </c>
    </row>
    <row r="64">
      <c r="A64" s="56">
        <f>IF($N64="","",INDEX('Cronograma R. Operacional'!$A$5:$A$1000,$N64))</f>
        <v/>
      </c>
      <c r="B64" s="62">
        <f>IF($N64="","",IF($O64="Sub","      ↳  "&amp;INDEX('Cronograma R. Operacional'!$C$5:$C$1000,$N64),INDEX('Cronograma R. Operacional'!$C$5:$C$1000,$N64)&amp;""))</f>
        <v/>
      </c>
      <c r="C64" s="79">
        <f>IF($N64="","",IF(INDEX('Cronograma R. Operacional'!$AM$5:$AM$1000,$N64)="","",INDEX('Cronograma R. Operacional'!$AM$5:$AM$1000,$N64)))</f>
        <v/>
      </c>
      <c r="D64" s="79">
        <f>IF($N64="","",IF(INDEX('Cronograma R. Operacional'!$AN$5:$AN$1000,$N64)="","",INDEX('Cronograma R. Operacional'!$AN$5:$AN$1000,$N64)))</f>
        <v/>
      </c>
      <c r="E64" s="56">
        <f>IF($N64="","",IF(NOT(ISNUMBER($D64)),"",IF($D64&lt;InicioCiclo,"Antes del ciclo",IF($D64&gt;=InicioCiclo+28,"Después del ciclo","Semana "&amp;(INT(($D64-InicioCiclo)/7)+1)))))</f>
        <v/>
      </c>
      <c r="F64" s="61">
        <f>IF($N64="","",IF($P64&gt;0,IF(1&lt;=SemanaActual,INDEX('Cronograma R. Operacional'!$AC$5:$AC$1000,$N64),""),IF(INDEX('Cronograma R. Operacional'!$I$5:$I$1000,$N64)="","",INDEX('Cronograma R. Operacional'!$I$5:$I$1000,$N64))))</f>
        <v/>
      </c>
      <c r="G64" s="61">
        <f>IF($N64="","",IF($P64&gt;0,IF(2&lt;=SemanaActual,INDEX('Cronograma R. Operacional'!$AD$5:$AD$1000,$N64),""),IF(INDEX('Cronograma R. Operacional'!$J$5:$J$1000,$N64)="","",INDEX('Cronograma R. Operacional'!$J$5:$J$1000,$N64))))</f>
        <v/>
      </c>
      <c r="H64" s="61">
        <f>IF($N64="","",IF($P64&gt;0,IF(3&lt;=SemanaActual,INDEX('Cronograma R. Operacional'!$AE$5:$AE$1000,$N64),""),IF(INDEX('Cronograma R. Operacional'!$K$5:$K$1000,$N64)="","",INDEX('Cronograma R. Operacional'!$K$5:$K$1000,$N64))))</f>
        <v/>
      </c>
      <c r="I64" s="61">
        <f>IF($N64="","",IF($P64&gt;0,IF(4&lt;=SemanaActual,INDEX('Cronograma R. Operacional'!$AF$5:$AF$1000,$N64),""),IF(INDEX('Cronograma R. Operacional'!$L$5:$L$1000,$N64)="","",INDEX('Cronograma R. Operacional'!$L$5:$L$1000,$N64))))</f>
        <v/>
      </c>
      <c r="J64" s="61">
        <f>IF($N64="","",INDEX('Cronograma R. Operacional'!$M$5:$M$1000,$N64))</f>
        <v/>
      </c>
      <c r="K64" s="56">
        <f>IF($N64="","",IF(N($J64)&gt;=1,"Completado",IF(AND(ISNUMBER($D64),$D64&lt;FechaRef),"Vencida",IF(N($J64)&gt;0,"En curso","Pendiente"))))</f>
        <v/>
      </c>
      <c r="L64" s="56">
        <f>IF($N64="","",INDEX('Cronograma R. Operacional'!$O$5:$O$1000,$N64)&amp;"")</f>
        <v/>
      </c>
      <c r="M64" s="62">
        <f>IF($N64="","",INDEX('Cronograma R. Operacional'!$Q$5:$Q$1000,$N64)&amp;"")</f>
        <v/>
      </c>
      <c r="N64">
        <f>IFERROR(MATCH(ROW()-4,rOrden_RO,0),"")</f>
        <v/>
      </c>
      <c r="O64">
        <f>IF($N64="","",INDEX('Cronograma R. Operacional'!$V$5:$V$1000,$N64))</f>
        <v/>
      </c>
      <c r="P64">
        <f>IF($N64="","",N(INDEX('Cronograma R. Operacional'!$W$5:$W$1000,$N64)))</f>
        <v/>
      </c>
      <c r="Q64">
        <f>IF(OR(LEFT($L64,7)="Vencida",LEFT($L64,5)="Vence"),SUMPRODUCT(--(LEFT($L$5:$L64,7)="Vencida"))+SUMPRODUCT(--(LEFT($L$5:$L64,5)="Vence")),"")</f>
        <v/>
      </c>
    </row>
    <row r="65">
      <c r="A65" s="56">
        <f>IF($N65="","",INDEX('Cronograma R. Operacional'!$A$5:$A$1000,$N65))</f>
        <v/>
      </c>
      <c r="B65" s="62">
        <f>IF($N65="","",IF($O65="Sub","      ↳  "&amp;INDEX('Cronograma R. Operacional'!$C$5:$C$1000,$N65),INDEX('Cronograma R. Operacional'!$C$5:$C$1000,$N65)&amp;""))</f>
        <v/>
      </c>
      <c r="C65" s="79">
        <f>IF($N65="","",IF(INDEX('Cronograma R. Operacional'!$AM$5:$AM$1000,$N65)="","",INDEX('Cronograma R. Operacional'!$AM$5:$AM$1000,$N65)))</f>
        <v/>
      </c>
      <c r="D65" s="79">
        <f>IF($N65="","",IF(INDEX('Cronograma R. Operacional'!$AN$5:$AN$1000,$N65)="","",INDEX('Cronograma R. Operacional'!$AN$5:$AN$1000,$N65)))</f>
        <v/>
      </c>
      <c r="E65" s="56">
        <f>IF($N65="","",IF(NOT(ISNUMBER($D65)),"",IF($D65&lt;InicioCiclo,"Antes del ciclo",IF($D65&gt;=InicioCiclo+28,"Después del ciclo","Semana "&amp;(INT(($D65-InicioCiclo)/7)+1)))))</f>
        <v/>
      </c>
      <c r="F65" s="61">
        <f>IF($N65="","",IF($P65&gt;0,IF(1&lt;=SemanaActual,INDEX('Cronograma R. Operacional'!$AC$5:$AC$1000,$N65),""),IF(INDEX('Cronograma R. Operacional'!$I$5:$I$1000,$N65)="","",INDEX('Cronograma R. Operacional'!$I$5:$I$1000,$N65))))</f>
        <v/>
      </c>
      <c r="G65" s="61">
        <f>IF($N65="","",IF($P65&gt;0,IF(2&lt;=SemanaActual,INDEX('Cronograma R. Operacional'!$AD$5:$AD$1000,$N65),""),IF(INDEX('Cronograma R. Operacional'!$J$5:$J$1000,$N65)="","",INDEX('Cronograma R. Operacional'!$J$5:$J$1000,$N65))))</f>
        <v/>
      </c>
      <c r="H65" s="61">
        <f>IF($N65="","",IF($P65&gt;0,IF(3&lt;=SemanaActual,INDEX('Cronograma R. Operacional'!$AE$5:$AE$1000,$N65),""),IF(INDEX('Cronograma R. Operacional'!$K$5:$K$1000,$N65)="","",INDEX('Cronograma R. Operacional'!$K$5:$K$1000,$N65))))</f>
        <v/>
      </c>
      <c r="I65" s="61">
        <f>IF($N65="","",IF($P65&gt;0,IF(4&lt;=SemanaActual,INDEX('Cronograma R. Operacional'!$AF$5:$AF$1000,$N65),""),IF(INDEX('Cronograma R. Operacional'!$L$5:$L$1000,$N65)="","",INDEX('Cronograma R. Operacional'!$L$5:$L$1000,$N65))))</f>
        <v/>
      </c>
      <c r="J65" s="61">
        <f>IF($N65="","",INDEX('Cronograma R. Operacional'!$M$5:$M$1000,$N65))</f>
        <v/>
      </c>
      <c r="K65" s="56">
        <f>IF($N65="","",IF(N($J65)&gt;=1,"Completado",IF(AND(ISNUMBER($D65),$D65&lt;FechaRef),"Vencida",IF(N($J65)&gt;0,"En curso","Pendiente"))))</f>
        <v/>
      </c>
      <c r="L65" s="56">
        <f>IF($N65="","",INDEX('Cronograma R. Operacional'!$O$5:$O$1000,$N65)&amp;"")</f>
        <v/>
      </c>
      <c r="M65" s="62">
        <f>IF($N65="","",INDEX('Cronograma R. Operacional'!$Q$5:$Q$1000,$N65)&amp;"")</f>
        <v/>
      </c>
      <c r="N65">
        <f>IFERROR(MATCH(ROW()-4,rOrden_RO,0),"")</f>
        <v/>
      </c>
      <c r="O65">
        <f>IF($N65="","",INDEX('Cronograma R. Operacional'!$V$5:$V$1000,$N65))</f>
        <v/>
      </c>
      <c r="P65">
        <f>IF($N65="","",N(INDEX('Cronograma R. Operacional'!$W$5:$W$1000,$N65)))</f>
        <v/>
      </c>
      <c r="Q65">
        <f>IF(OR(LEFT($L65,7)="Vencida",LEFT($L65,5)="Vence"),SUMPRODUCT(--(LEFT($L$5:$L65,7)="Vencida"))+SUMPRODUCT(--(LEFT($L$5:$L65,5)="Vence")),"")</f>
        <v/>
      </c>
    </row>
    <row r="66">
      <c r="A66" s="56">
        <f>IF($N66="","",INDEX('Cronograma R. Operacional'!$A$5:$A$1000,$N66))</f>
        <v/>
      </c>
      <c r="B66" s="62">
        <f>IF($N66="","",IF($O66="Sub","      ↳  "&amp;INDEX('Cronograma R. Operacional'!$C$5:$C$1000,$N66),INDEX('Cronograma R. Operacional'!$C$5:$C$1000,$N66)&amp;""))</f>
        <v/>
      </c>
      <c r="C66" s="79">
        <f>IF($N66="","",IF(INDEX('Cronograma R. Operacional'!$AM$5:$AM$1000,$N66)="","",INDEX('Cronograma R. Operacional'!$AM$5:$AM$1000,$N66)))</f>
        <v/>
      </c>
      <c r="D66" s="79">
        <f>IF($N66="","",IF(INDEX('Cronograma R. Operacional'!$AN$5:$AN$1000,$N66)="","",INDEX('Cronograma R. Operacional'!$AN$5:$AN$1000,$N66)))</f>
        <v/>
      </c>
      <c r="E66" s="56">
        <f>IF($N66="","",IF(NOT(ISNUMBER($D66)),"",IF($D66&lt;InicioCiclo,"Antes del ciclo",IF($D66&gt;=InicioCiclo+28,"Después del ciclo","Semana "&amp;(INT(($D66-InicioCiclo)/7)+1)))))</f>
        <v/>
      </c>
      <c r="F66" s="61">
        <f>IF($N66="","",IF($P66&gt;0,IF(1&lt;=SemanaActual,INDEX('Cronograma R. Operacional'!$AC$5:$AC$1000,$N66),""),IF(INDEX('Cronograma R. Operacional'!$I$5:$I$1000,$N66)="","",INDEX('Cronograma R. Operacional'!$I$5:$I$1000,$N66))))</f>
        <v/>
      </c>
      <c r="G66" s="61">
        <f>IF($N66="","",IF($P66&gt;0,IF(2&lt;=SemanaActual,INDEX('Cronograma R. Operacional'!$AD$5:$AD$1000,$N66),""),IF(INDEX('Cronograma R. Operacional'!$J$5:$J$1000,$N66)="","",INDEX('Cronograma R. Operacional'!$J$5:$J$1000,$N66))))</f>
        <v/>
      </c>
      <c r="H66" s="61">
        <f>IF($N66="","",IF($P66&gt;0,IF(3&lt;=SemanaActual,INDEX('Cronograma R. Operacional'!$AE$5:$AE$1000,$N66),""),IF(INDEX('Cronograma R. Operacional'!$K$5:$K$1000,$N66)="","",INDEX('Cronograma R. Operacional'!$K$5:$K$1000,$N66))))</f>
        <v/>
      </c>
      <c r="I66" s="61">
        <f>IF($N66="","",IF($P66&gt;0,IF(4&lt;=SemanaActual,INDEX('Cronograma R. Operacional'!$AF$5:$AF$1000,$N66),""),IF(INDEX('Cronograma R. Operacional'!$L$5:$L$1000,$N66)="","",INDEX('Cronograma R. Operacional'!$L$5:$L$1000,$N66))))</f>
        <v/>
      </c>
      <c r="J66" s="61">
        <f>IF($N66="","",INDEX('Cronograma R. Operacional'!$M$5:$M$1000,$N66))</f>
        <v/>
      </c>
      <c r="K66" s="56">
        <f>IF($N66="","",IF(N($J66)&gt;=1,"Completado",IF(AND(ISNUMBER($D66),$D66&lt;FechaRef),"Vencida",IF(N($J66)&gt;0,"En curso","Pendiente"))))</f>
        <v/>
      </c>
      <c r="L66" s="56">
        <f>IF($N66="","",INDEX('Cronograma R. Operacional'!$O$5:$O$1000,$N66)&amp;"")</f>
        <v/>
      </c>
      <c r="M66" s="62">
        <f>IF($N66="","",INDEX('Cronograma R. Operacional'!$Q$5:$Q$1000,$N66)&amp;"")</f>
        <v/>
      </c>
      <c r="N66">
        <f>IFERROR(MATCH(ROW()-4,rOrden_RO,0),"")</f>
        <v/>
      </c>
      <c r="O66">
        <f>IF($N66="","",INDEX('Cronograma R. Operacional'!$V$5:$V$1000,$N66))</f>
        <v/>
      </c>
      <c r="P66">
        <f>IF($N66="","",N(INDEX('Cronograma R. Operacional'!$W$5:$W$1000,$N66)))</f>
        <v/>
      </c>
      <c r="Q66">
        <f>IF(OR(LEFT($L66,7)="Vencida",LEFT($L66,5)="Vence"),SUMPRODUCT(--(LEFT($L$5:$L66,7)="Vencida"))+SUMPRODUCT(--(LEFT($L$5:$L66,5)="Vence")),"")</f>
        <v/>
      </c>
    </row>
    <row r="67">
      <c r="A67" s="56">
        <f>IF($N67="","",INDEX('Cronograma R. Operacional'!$A$5:$A$1000,$N67))</f>
        <v/>
      </c>
      <c r="B67" s="62">
        <f>IF($N67="","",IF($O67="Sub","      ↳  "&amp;INDEX('Cronograma R. Operacional'!$C$5:$C$1000,$N67),INDEX('Cronograma R. Operacional'!$C$5:$C$1000,$N67)&amp;""))</f>
        <v/>
      </c>
      <c r="C67" s="79">
        <f>IF($N67="","",IF(INDEX('Cronograma R. Operacional'!$AM$5:$AM$1000,$N67)="","",INDEX('Cronograma R. Operacional'!$AM$5:$AM$1000,$N67)))</f>
        <v/>
      </c>
      <c r="D67" s="79">
        <f>IF($N67="","",IF(INDEX('Cronograma R. Operacional'!$AN$5:$AN$1000,$N67)="","",INDEX('Cronograma R. Operacional'!$AN$5:$AN$1000,$N67)))</f>
        <v/>
      </c>
      <c r="E67" s="56">
        <f>IF($N67="","",IF(NOT(ISNUMBER($D67)),"",IF($D67&lt;InicioCiclo,"Antes del ciclo",IF($D67&gt;=InicioCiclo+28,"Después del ciclo","Semana "&amp;(INT(($D67-InicioCiclo)/7)+1)))))</f>
        <v/>
      </c>
      <c r="F67" s="61">
        <f>IF($N67="","",IF($P67&gt;0,IF(1&lt;=SemanaActual,INDEX('Cronograma R. Operacional'!$AC$5:$AC$1000,$N67),""),IF(INDEX('Cronograma R. Operacional'!$I$5:$I$1000,$N67)="","",INDEX('Cronograma R. Operacional'!$I$5:$I$1000,$N67))))</f>
        <v/>
      </c>
      <c r="G67" s="61">
        <f>IF($N67="","",IF($P67&gt;0,IF(2&lt;=SemanaActual,INDEX('Cronograma R. Operacional'!$AD$5:$AD$1000,$N67),""),IF(INDEX('Cronograma R. Operacional'!$J$5:$J$1000,$N67)="","",INDEX('Cronograma R. Operacional'!$J$5:$J$1000,$N67))))</f>
        <v/>
      </c>
      <c r="H67" s="61">
        <f>IF($N67="","",IF($P67&gt;0,IF(3&lt;=SemanaActual,INDEX('Cronograma R. Operacional'!$AE$5:$AE$1000,$N67),""),IF(INDEX('Cronograma R. Operacional'!$K$5:$K$1000,$N67)="","",INDEX('Cronograma R. Operacional'!$K$5:$K$1000,$N67))))</f>
        <v/>
      </c>
      <c r="I67" s="61">
        <f>IF($N67="","",IF($P67&gt;0,IF(4&lt;=SemanaActual,INDEX('Cronograma R. Operacional'!$AF$5:$AF$1000,$N67),""),IF(INDEX('Cronograma R. Operacional'!$L$5:$L$1000,$N67)="","",INDEX('Cronograma R. Operacional'!$L$5:$L$1000,$N67))))</f>
        <v/>
      </c>
      <c r="J67" s="61">
        <f>IF($N67="","",INDEX('Cronograma R. Operacional'!$M$5:$M$1000,$N67))</f>
        <v/>
      </c>
      <c r="K67" s="56">
        <f>IF($N67="","",IF(N($J67)&gt;=1,"Completado",IF(AND(ISNUMBER($D67),$D67&lt;FechaRef),"Vencida",IF(N($J67)&gt;0,"En curso","Pendiente"))))</f>
        <v/>
      </c>
      <c r="L67" s="56">
        <f>IF($N67="","",INDEX('Cronograma R. Operacional'!$O$5:$O$1000,$N67)&amp;"")</f>
        <v/>
      </c>
      <c r="M67" s="62">
        <f>IF($N67="","",INDEX('Cronograma R. Operacional'!$Q$5:$Q$1000,$N67)&amp;"")</f>
        <v/>
      </c>
      <c r="N67">
        <f>IFERROR(MATCH(ROW()-4,rOrden_RO,0),"")</f>
        <v/>
      </c>
      <c r="O67">
        <f>IF($N67="","",INDEX('Cronograma R. Operacional'!$V$5:$V$1000,$N67))</f>
        <v/>
      </c>
      <c r="P67">
        <f>IF($N67="","",N(INDEX('Cronograma R. Operacional'!$W$5:$W$1000,$N67)))</f>
        <v/>
      </c>
      <c r="Q67">
        <f>IF(OR(LEFT($L67,7)="Vencida",LEFT($L67,5)="Vence"),SUMPRODUCT(--(LEFT($L$5:$L67,7)="Vencida"))+SUMPRODUCT(--(LEFT($L$5:$L67,5)="Vence")),"")</f>
        <v/>
      </c>
    </row>
    <row r="68">
      <c r="A68" s="56">
        <f>IF($N68="","",INDEX('Cronograma R. Operacional'!$A$5:$A$1000,$N68))</f>
        <v/>
      </c>
      <c r="B68" s="62">
        <f>IF($N68="","",IF($O68="Sub","      ↳  "&amp;INDEX('Cronograma R. Operacional'!$C$5:$C$1000,$N68),INDEX('Cronograma R. Operacional'!$C$5:$C$1000,$N68)&amp;""))</f>
        <v/>
      </c>
      <c r="C68" s="79">
        <f>IF($N68="","",IF(INDEX('Cronograma R. Operacional'!$AM$5:$AM$1000,$N68)="","",INDEX('Cronograma R. Operacional'!$AM$5:$AM$1000,$N68)))</f>
        <v/>
      </c>
      <c r="D68" s="79">
        <f>IF($N68="","",IF(INDEX('Cronograma R. Operacional'!$AN$5:$AN$1000,$N68)="","",INDEX('Cronograma R. Operacional'!$AN$5:$AN$1000,$N68)))</f>
        <v/>
      </c>
      <c r="E68" s="56">
        <f>IF($N68="","",IF(NOT(ISNUMBER($D68)),"",IF($D68&lt;InicioCiclo,"Antes del ciclo",IF($D68&gt;=InicioCiclo+28,"Después del ciclo","Semana "&amp;(INT(($D68-InicioCiclo)/7)+1)))))</f>
        <v/>
      </c>
      <c r="F68" s="61">
        <f>IF($N68="","",IF($P68&gt;0,IF(1&lt;=SemanaActual,INDEX('Cronograma R. Operacional'!$AC$5:$AC$1000,$N68),""),IF(INDEX('Cronograma R. Operacional'!$I$5:$I$1000,$N68)="","",INDEX('Cronograma R. Operacional'!$I$5:$I$1000,$N68))))</f>
        <v/>
      </c>
      <c r="G68" s="61">
        <f>IF($N68="","",IF($P68&gt;0,IF(2&lt;=SemanaActual,INDEX('Cronograma R. Operacional'!$AD$5:$AD$1000,$N68),""),IF(INDEX('Cronograma R. Operacional'!$J$5:$J$1000,$N68)="","",INDEX('Cronograma R. Operacional'!$J$5:$J$1000,$N68))))</f>
        <v/>
      </c>
      <c r="H68" s="61">
        <f>IF($N68="","",IF($P68&gt;0,IF(3&lt;=SemanaActual,INDEX('Cronograma R. Operacional'!$AE$5:$AE$1000,$N68),""),IF(INDEX('Cronograma R. Operacional'!$K$5:$K$1000,$N68)="","",INDEX('Cronograma R. Operacional'!$K$5:$K$1000,$N68))))</f>
        <v/>
      </c>
      <c r="I68" s="61">
        <f>IF($N68="","",IF($P68&gt;0,IF(4&lt;=SemanaActual,INDEX('Cronograma R. Operacional'!$AF$5:$AF$1000,$N68),""),IF(INDEX('Cronograma R. Operacional'!$L$5:$L$1000,$N68)="","",INDEX('Cronograma R. Operacional'!$L$5:$L$1000,$N68))))</f>
        <v/>
      </c>
      <c r="J68" s="61">
        <f>IF($N68="","",INDEX('Cronograma R. Operacional'!$M$5:$M$1000,$N68))</f>
        <v/>
      </c>
      <c r="K68" s="56">
        <f>IF($N68="","",IF(N($J68)&gt;=1,"Completado",IF(AND(ISNUMBER($D68),$D68&lt;FechaRef),"Vencida",IF(N($J68)&gt;0,"En curso","Pendiente"))))</f>
        <v/>
      </c>
      <c r="L68" s="56">
        <f>IF($N68="","",INDEX('Cronograma R. Operacional'!$O$5:$O$1000,$N68)&amp;"")</f>
        <v/>
      </c>
      <c r="M68" s="62">
        <f>IF($N68="","",INDEX('Cronograma R. Operacional'!$Q$5:$Q$1000,$N68)&amp;"")</f>
        <v/>
      </c>
      <c r="N68">
        <f>IFERROR(MATCH(ROW()-4,rOrden_RO,0),"")</f>
        <v/>
      </c>
      <c r="O68">
        <f>IF($N68="","",INDEX('Cronograma R. Operacional'!$V$5:$V$1000,$N68))</f>
        <v/>
      </c>
      <c r="P68">
        <f>IF($N68="","",N(INDEX('Cronograma R. Operacional'!$W$5:$W$1000,$N68)))</f>
        <v/>
      </c>
      <c r="Q68">
        <f>IF(OR(LEFT($L68,7)="Vencida",LEFT($L68,5)="Vence"),SUMPRODUCT(--(LEFT($L$5:$L68,7)="Vencida"))+SUMPRODUCT(--(LEFT($L$5:$L68,5)="Vence")),"")</f>
        <v/>
      </c>
    </row>
    <row r="69">
      <c r="A69" s="56">
        <f>IF($N69="","",INDEX('Cronograma R. Operacional'!$A$5:$A$1000,$N69))</f>
        <v/>
      </c>
      <c r="B69" s="62">
        <f>IF($N69="","",IF($O69="Sub","      ↳  "&amp;INDEX('Cronograma R. Operacional'!$C$5:$C$1000,$N69),INDEX('Cronograma R. Operacional'!$C$5:$C$1000,$N69)&amp;""))</f>
        <v/>
      </c>
      <c r="C69" s="79">
        <f>IF($N69="","",IF(INDEX('Cronograma R. Operacional'!$AM$5:$AM$1000,$N69)="","",INDEX('Cronograma R. Operacional'!$AM$5:$AM$1000,$N69)))</f>
        <v/>
      </c>
      <c r="D69" s="79">
        <f>IF($N69="","",IF(INDEX('Cronograma R. Operacional'!$AN$5:$AN$1000,$N69)="","",INDEX('Cronograma R. Operacional'!$AN$5:$AN$1000,$N69)))</f>
        <v/>
      </c>
      <c r="E69" s="56">
        <f>IF($N69="","",IF(NOT(ISNUMBER($D69)),"",IF($D69&lt;InicioCiclo,"Antes del ciclo",IF($D69&gt;=InicioCiclo+28,"Después del ciclo","Semana "&amp;(INT(($D69-InicioCiclo)/7)+1)))))</f>
        <v/>
      </c>
      <c r="F69" s="61">
        <f>IF($N69="","",IF($P69&gt;0,IF(1&lt;=SemanaActual,INDEX('Cronograma R. Operacional'!$AC$5:$AC$1000,$N69),""),IF(INDEX('Cronograma R. Operacional'!$I$5:$I$1000,$N69)="","",INDEX('Cronograma R. Operacional'!$I$5:$I$1000,$N69))))</f>
        <v/>
      </c>
      <c r="G69" s="61">
        <f>IF($N69="","",IF($P69&gt;0,IF(2&lt;=SemanaActual,INDEX('Cronograma R. Operacional'!$AD$5:$AD$1000,$N69),""),IF(INDEX('Cronograma R. Operacional'!$J$5:$J$1000,$N69)="","",INDEX('Cronograma R. Operacional'!$J$5:$J$1000,$N69))))</f>
        <v/>
      </c>
      <c r="H69" s="61">
        <f>IF($N69="","",IF($P69&gt;0,IF(3&lt;=SemanaActual,INDEX('Cronograma R. Operacional'!$AE$5:$AE$1000,$N69),""),IF(INDEX('Cronograma R. Operacional'!$K$5:$K$1000,$N69)="","",INDEX('Cronograma R. Operacional'!$K$5:$K$1000,$N69))))</f>
        <v/>
      </c>
      <c r="I69" s="61">
        <f>IF($N69="","",IF($P69&gt;0,IF(4&lt;=SemanaActual,INDEX('Cronograma R. Operacional'!$AF$5:$AF$1000,$N69),""),IF(INDEX('Cronograma R. Operacional'!$L$5:$L$1000,$N69)="","",INDEX('Cronograma R. Operacional'!$L$5:$L$1000,$N69))))</f>
        <v/>
      </c>
      <c r="J69" s="61">
        <f>IF($N69="","",INDEX('Cronograma R. Operacional'!$M$5:$M$1000,$N69))</f>
        <v/>
      </c>
      <c r="K69" s="56">
        <f>IF($N69="","",IF(N($J69)&gt;=1,"Completado",IF(AND(ISNUMBER($D69),$D69&lt;FechaRef),"Vencida",IF(N($J69)&gt;0,"En curso","Pendiente"))))</f>
        <v/>
      </c>
      <c r="L69" s="56">
        <f>IF($N69="","",INDEX('Cronograma R. Operacional'!$O$5:$O$1000,$N69)&amp;"")</f>
        <v/>
      </c>
      <c r="M69" s="62">
        <f>IF($N69="","",INDEX('Cronograma R. Operacional'!$Q$5:$Q$1000,$N69)&amp;"")</f>
        <v/>
      </c>
      <c r="N69">
        <f>IFERROR(MATCH(ROW()-4,rOrden_RO,0),"")</f>
        <v/>
      </c>
      <c r="O69">
        <f>IF($N69="","",INDEX('Cronograma R. Operacional'!$V$5:$V$1000,$N69))</f>
        <v/>
      </c>
      <c r="P69">
        <f>IF($N69="","",N(INDEX('Cronograma R. Operacional'!$W$5:$W$1000,$N69)))</f>
        <v/>
      </c>
      <c r="Q69">
        <f>IF(OR(LEFT($L69,7)="Vencida",LEFT($L69,5)="Vence"),SUMPRODUCT(--(LEFT($L$5:$L69,7)="Vencida"))+SUMPRODUCT(--(LEFT($L$5:$L69,5)="Vence")),"")</f>
        <v/>
      </c>
    </row>
    <row r="70">
      <c r="A70" s="56">
        <f>IF($N70="","",INDEX('Cronograma R. Operacional'!$A$5:$A$1000,$N70))</f>
        <v/>
      </c>
      <c r="B70" s="62">
        <f>IF($N70="","",IF($O70="Sub","      ↳  "&amp;INDEX('Cronograma R. Operacional'!$C$5:$C$1000,$N70),INDEX('Cronograma R. Operacional'!$C$5:$C$1000,$N70)&amp;""))</f>
        <v/>
      </c>
      <c r="C70" s="79">
        <f>IF($N70="","",IF(INDEX('Cronograma R. Operacional'!$AM$5:$AM$1000,$N70)="","",INDEX('Cronograma R. Operacional'!$AM$5:$AM$1000,$N70)))</f>
        <v/>
      </c>
      <c r="D70" s="79">
        <f>IF($N70="","",IF(INDEX('Cronograma R. Operacional'!$AN$5:$AN$1000,$N70)="","",INDEX('Cronograma R. Operacional'!$AN$5:$AN$1000,$N70)))</f>
        <v/>
      </c>
      <c r="E70" s="56">
        <f>IF($N70="","",IF(NOT(ISNUMBER($D70)),"",IF($D70&lt;InicioCiclo,"Antes del ciclo",IF($D70&gt;=InicioCiclo+28,"Después del ciclo","Semana "&amp;(INT(($D70-InicioCiclo)/7)+1)))))</f>
        <v/>
      </c>
      <c r="F70" s="61">
        <f>IF($N70="","",IF($P70&gt;0,IF(1&lt;=SemanaActual,INDEX('Cronograma R. Operacional'!$AC$5:$AC$1000,$N70),""),IF(INDEX('Cronograma R. Operacional'!$I$5:$I$1000,$N70)="","",INDEX('Cronograma R. Operacional'!$I$5:$I$1000,$N70))))</f>
        <v/>
      </c>
      <c r="G70" s="61">
        <f>IF($N70="","",IF($P70&gt;0,IF(2&lt;=SemanaActual,INDEX('Cronograma R. Operacional'!$AD$5:$AD$1000,$N70),""),IF(INDEX('Cronograma R. Operacional'!$J$5:$J$1000,$N70)="","",INDEX('Cronograma R. Operacional'!$J$5:$J$1000,$N70))))</f>
        <v/>
      </c>
      <c r="H70" s="61">
        <f>IF($N70="","",IF($P70&gt;0,IF(3&lt;=SemanaActual,INDEX('Cronograma R. Operacional'!$AE$5:$AE$1000,$N70),""),IF(INDEX('Cronograma R. Operacional'!$K$5:$K$1000,$N70)="","",INDEX('Cronograma R. Operacional'!$K$5:$K$1000,$N70))))</f>
        <v/>
      </c>
      <c r="I70" s="61">
        <f>IF($N70="","",IF($P70&gt;0,IF(4&lt;=SemanaActual,INDEX('Cronograma R. Operacional'!$AF$5:$AF$1000,$N70),""),IF(INDEX('Cronograma R. Operacional'!$L$5:$L$1000,$N70)="","",INDEX('Cronograma R. Operacional'!$L$5:$L$1000,$N70))))</f>
        <v/>
      </c>
      <c r="J70" s="61">
        <f>IF($N70="","",INDEX('Cronograma R. Operacional'!$M$5:$M$1000,$N70))</f>
        <v/>
      </c>
      <c r="K70" s="56">
        <f>IF($N70="","",IF(N($J70)&gt;=1,"Completado",IF(AND(ISNUMBER($D70),$D70&lt;FechaRef),"Vencida",IF(N($J70)&gt;0,"En curso","Pendiente"))))</f>
        <v/>
      </c>
      <c r="L70" s="56">
        <f>IF($N70="","",INDEX('Cronograma R. Operacional'!$O$5:$O$1000,$N70)&amp;"")</f>
        <v/>
      </c>
      <c r="M70" s="62">
        <f>IF($N70="","",INDEX('Cronograma R. Operacional'!$Q$5:$Q$1000,$N70)&amp;"")</f>
        <v/>
      </c>
      <c r="N70">
        <f>IFERROR(MATCH(ROW()-4,rOrden_RO,0),"")</f>
        <v/>
      </c>
      <c r="O70">
        <f>IF($N70="","",INDEX('Cronograma R. Operacional'!$V$5:$V$1000,$N70))</f>
        <v/>
      </c>
      <c r="P70">
        <f>IF($N70="","",N(INDEX('Cronograma R. Operacional'!$W$5:$W$1000,$N70)))</f>
        <v/>
      </c>
      <c r="Q70">
        <f>IF(OR(LEFT($L70,7)="Vencida",LEFT($L70,5)="Vence"),SUMPRODUCT(--(LEFT($L$5:$L70,7)="Vencida"))+SUMPRODUCT(--(LEFT($L$5:$L70,5)="Vence")),"")</f>
        <v/>
      </c>
    </row>
    <row r="71">
      <c r="A71" s="56">
        <f>IF($N71="","",INDEX('Cronograma R. Operacional'!$A$5:$A$1000,$N71))</f>
        <v/>
      </c>
      <c r="B71" s="62">
        <f>IF($N71="","",IF($O71="Sub","      ↳  "&amp;INDEX('Cronograma R. Operacional'!$C$5:$C$1000,$N71),INDEX('Cronograma R. Operacional'!$C$5:$C$1000,$N71)&amp;""))</f>
        <v/>
      </c>
      <c r="C71" s="79">
        <f>IF($N71="","",IF(INDEX('Cronograma R. Operacional'!$AM$5:$AM$1000,$N71)="","",INDEX('Cronograma R. Operacional'!$AM$5:$AM$1000,$N71)))</f>
        <v/>
      </c>
      <c r="D71" s="79">
        <f>IF($N71="","",IF(INDEX('Cronograma R. Operacional'!$AN$5:$AN$1000,$N71)="","",INDEX('Cronograma R. Operacional'!$AN$5:$AN$1000,$N71)))</f>
        <v/>
      </c>
      <c r="E71" s="56">
        <f>IF($N71="","",IF(NOT(ISNUMBER($D71)),"",IF($D71&lt;InicioCiclo,"Antes del ciclo",IF($D71&gt;=InicioCiclo+28,"Después del ciclo","Semana "&amp;(INT(($D71-InicioCiclo)/7)+1)))))</f>
        <v/>
      </c>
      <c r="F71" s="61">
        <f>IF($N71="","",IF($P71&gt;0,IF(1&lt;=SemanaActual,INDEX('Cronograma R. Operacional'!$AC$5:$AC$1000,$N71),""),IF(INDEX('Cronograma R. Operacional'!$I$5:$I$1000,$N71)="","",INDEX('Cronograma R. Operacional'!$I$5:$I$1000,$N71))))</f>
        <v/>
      </c>
      <c r="G71" s="61">
        <f>IF($N71="","",IF($P71&gt;0,IF(2&lt;=SemanaActual,INDEX('Cronograma R. Operacional'!$AD$5:$AD$1000,$N71),""),IF(INDEX('Cronograma R. Operacional'!$J$5:$J$1000,$N71)="","",INDEX('Cronograma R. Operacional'!$J$5:$J$1000,$N71))))</f>
        <v/>
      </c>
      <c r="H71" s="61">
        <f>IF($N71="","",IF($P71&gt;0,IF(3&lt;=SemanaActual,INDEX('Cronograma R. Operacional'!$AE$5:$AE$1000,$N71),""),IF(INDEX('Cronograma R. Operacional'!$K$5:$K$1000,$N71)="","",INDEX('Cronograma R. Operacional'!$K$5:$K$1000,$N71))))</f>
        <v/>
      </c>
      <c r="I71" s="61">
        <f>IF($N71="","",IF($P71&gt;0,IF(4&lt;=SemanaActual,INDEX('Cronograma R. Operacional'!$AF$5:$AF$1000,$N71),""),IF(INDEX('Cronograma R. Operacional'!$L$5:$L$1000,$N71)="","",INDEX('Cronograma R. Operacional'!$L$5:$L$1000,$N71))))</f>
        <v/>
      </c>
      <c r="J71" s="61">
        <f>IF($N71="","",INDEX('Cronograma R. Operacional'!$M$5:$M$1000,$N71))</f>
        <v/>
      </c>
      <c r="K71" s="56">
        <f>IF($N71="","",IF(N($J71)&gt;=1,"Completado",IF(AND(ISNUMBER($D71),$D71&lt;FechaRef),"Vencida",IF(N($J71)&gt;0,"En curso","Pendiente"))))</f>
        <v/>
      </c>
      <c r="L71" s="56">
        <f>IF($N71="","",INDEX('Cronograma R. Operacional'!$O$5:$O$1000,$N71)&amp;"")</f>
        <v/>
      </c>
      <c r="M71" s="62">
        <f>IF($N71="","",INDEX('Cronograma R. Operacional'!$Q$5:$Q$1000,$N71)&amp;"")</f>
        <v/>
      </c>
      <c r="N71">
        <f>IFERROR(MATCH(ROW()-4,rOrden_RO,0),"")</f>
        <v/>
      </c>
      <c r="O71">
        <f>IF($N71="","",INDEX('Cronograma R. Operacional'!$V$5:$V$1000,$N71))</f>
        <v/>
      </c>
      <c r="P71">
        <f>IF($N71="","",N(INDEX('Cronograma R. Operacional'!$W$5:$W$1000,$N71)))</f>
        <v/>
      </c>
      <c r="Q71">
        <f>IF(OR(LEFT($L71,7)="Vencida",LEFT($L71,5)="Vence"),SUMPRODUCT(--(LEFT($L$5:$L71,7)="Vencida"))+SUMPRODUCT(--(LEFT($L$5:$L71,5)="Vence")),"")</f>
        <v/>
      </c>
    </row>
    <row r="72">
      <c r="A72" s="56">
        <f>IF($N72="","",INDEX('Cronograma R. Operacional'!$A$5:$A$1000,$N72))</f>
        <v/>
      </c>
      <c r="B72" s="62">
        <f>IF($N72="","",IF($O72="Sub","      ↳  "&amp;INDEX('Cronograma R. Operacional'!$C$5:$C$1000,$N72),INDEX('Cronograma R. Operacional'!$C$5:$C$1000,$N72)&amp;""))</f>
        <v/>
      </c>
      <c r="C72" s="79">
        <f>IF($N72="","",IF(INDEX('Cronograma R. Operacional'!$AM$5:$AM$1000,$N72)="","",INDEX('Cronograma R. Operacional'!$AM$5:$AM$1000,$N72)))</f>
        <v/>
      </c>
      <c r="D72" s="79">
        <f>IF($N72="","",IF(INDEX('Cronograma R. Operacional'!$AN$5:$AN$1000,$N72)="","",INDEX('Cronograma R. Operacional'!$AN$5:$AN$1000,$N72)))</f>
        <v/>
      </c>
      <c r="E72" s="56">
        <f>IF($N72="","",IF(NOT(ISNUMBER($D72)),"",IF($D72&lt;InicioCiclo,"Antes del ciclo",IF($D72&gt;=InicioCiclo+28,"Después del ciclo","Semana "&amp;(INT(($D72-InicioCiclo)/7)+1)))))</f>
        <v/>
      </c>
      <c r="F72" s="61">
        <f>IF($N72="","",IF($P72&gt;0,IF(1&lt;=SemanaActual,INDEX('Cronograma R. Operacional'!$AC$5:$AC$1000,$N72),""),IF(INDEX('Cronograma R. Operacional'!$I$5:$I$1000,$N72)="","",INDEX('Cronograma R. Operacional'!$I$5:$I$1000,$N72))))</f>
        <v/>
      </c>
      <c r="G72" s="61">
        <f>IF($N72="","",IF($P72&gt;0,IF(2&lt;=SemanaActual,INDEX('Cronograma R. Operacional'!$AD$5:$AD$1000,$N72),""),IF(INDEX('Cronograma R. Operacional'!$J$5:$J$1000,$N72)="","",INDEX('Cronograma R. Operacional'!$J$5:$J$1000,$N72))))</f>
        <v/>
      </c>
      <c r="H72" s="61">
        <f>IF($N72="","",IF($P72&gt;0,IF(3&lt;=SemanaActual,INDEX('Cronograma R. Operacional'!$AE$5:$AE$1000,$N72),""),IF(INDEX('Cronograma R. Operacional'!$K$5:$K$1000,$N72)="","",INDEX('Cronograma R. Operacional'!$K$5:$K$1000,$N72))))</f>
        <v/>
      </c>
      <c r="I72" s="61">
        <f>IF($N72="","",IF($P72&gt;0,IF(4&lt;=SemanaActual,INDEX('Cronograma R. Operacional'!$AF$5:$AF$1000,$N72),""),IF(INDEX('Cronograma R. Operacional'!$L$5:$L$1000,$N72)="","",INDEX('Cronograma R. Operacional'!$L$5:$L$1000,$N72))))</f>
        <v/>
      </c>
      <c r="J72" s="61">
        <f>IF($N72="","",INDEX('Cronograma R. Operacional'!$M$5:$M$1000,$N72))</f>
        <v/>
      </c>
      <c r="K72" s="56">
        <f>IF($N72="","",IF(N($J72)&gt;=1,"Completado",IF(AND(ISNUMBER($D72),$D72&lt;FechaRef),"Vencida",IF(N($J72)&gt;0,"En curso","Pendiente"))))</f>
        <v/>
      </c>
      <c r="L72" s="56">
        <f>IF($N72="","",INDEX('Cronograma R. Operacional'!$O$5:$O$1000,$N72)&amp;"")</f>
        <v/>
      </c>
      <c r="M72" s="62">
        <f>IF($N72="","",INDEX('Cronograma R. Operacional'!$Q$5:$Q$1000,$N72)&amp;"")</f>
        <v/>
      </c>
      <c r="N72">
        <f>IFERROR(MATCH(ROW()-4,rOrden_RO,0),"")</f>
        <v/>
      </c>
      <c r="O72">
        <f>IF($N72="","",INDEX('Cronograma R. Operacional'!$V$5:$V$1000,$N72))</f>
        <v/>
      </c>
      <c r="P72">
        <f>IF($N72="","",N(INDEX('Cronograma R. Operacional'!$W$5:$W$1000,$N72)))</f>
        <v/>
      </c>
      <c r="Q72">
        <f>IF(OR(LEFT($L72,7)="Vencida",LEFT($L72,5)="Vence"),SUMPRODUCT(--(LEFT($L$5:$L72,7)="Vencida"))+SUMPRODUCT(--(LEFT($L$5:$L72,5)="Vence")),"")</f>
        <v/>
      </c>
    </row>
    <row r="73">
      <c r="A73" s="56">
        <f>IF($N73="","",INDEX('Cronograma R. Operacional'!$A$5:$A$1000,$N73))</f>
        <v/>
      </c>
      <c r="B73" s="62">
        <f>IF($N73="","",IF($O73="Sub","      ↳  "&amp;INDEX('Cronograma R. Operacional'!$C$5:$C$1000,$N73),INDEX('Cronograma R. Operacional'!$C$5:$C$1000,$N73)&amp;""))</f>
        <v/>
      </c>
      <c r="C73" s="79">
        <f>IF($N73="","",IF(INDEX('Cronograma R. Operacional'!$AM$5:$AM$1000,$N73)="","",INDEX('Cronograma R. Operacional'!$AM$5:$AM$1000,$N73)))</f>
        <v/>
      </c>
      <c r="D73" s="79">
        <f>IF($N73="","",IF(INDEX('Cronograma R. Operacional'!$AN$5:$AN$1000,$N73)="","",INDEX('Cronograma R. Operacional'!$AN$5:$AN$1000,$N73)))</f>
        <v/>
      </c>
      <c r="E73" s="56">
        <f>IF($N73="","",IF(NOT(ISNUMBER($D73)),"",IF($D73&lt;InicioCiclo,"Antes del ciclo",IF($D73&gt;=InicioCiclo+28,"Después del ciclo","Semana "&amp;(INT(($D73-InicioCiclo)/7)+1)))))</f>
        <v/>
      </c>
      <c r="F73" s="61">
        <f>IF($N73="","",IF($P73&gt;0,IF(1&lt;=SemanaActual,INDEX('Cronograma R. Operacional'!$AC$5:$AC$1000,$N73),""),IF(INDEX('Cronograma R. Operacional'!$I$5:$I$1000,$N73)="","",INDEX('Cronograma R. Operacional'!$I$5:$I$1000,$N73))))</f>
        <v/>
      </c>
      <c r="G73" s="61">
        <f>IF($N73="","",IF($P73&gt;0,IF(2&lt;=SemanaActual,INDEX('Cronograma R. Operacional'!$AD$5:$AD$1000,$N73),""),IF(INDEX('Cronograma R. Operacional'!$J$5:$J$1000,$N73)="","",INDEX('Cronograma R. Operacional'!$J$5:$J$1000,$N73))))</f>
        <v/>
      </c>
      <c r="H73" s="61">
        <f>IF($N73="","",IF($P73&gt;0,IF(3&lt;=SemanaActual,INDEX('Cronograma R. Operacional'!$AE$5:$AE$1000,$N73),""),IF(INDEX('Cronograma R. Operacional'!$K$5:$K$1000,$N73)="","",INDEX('Cronograma R. Operacional'!$K$5:$K$1000,$N73))))</f>
        <v/>
      </c>
      <c r="I73" s="61">
        <f>IF($N73="","",IF($P73&gt;0,IF(4&lt;=SemanaActual,INDEX('Cronograma R. Operacional'!$AF$5:$AF$1000,$N73),""),IF(INDEX('Cronograma R. Operacional'!$L$5:$L$1000,$N73)="","",INDEX('Cronograma R. Operacional'!$L$5:$L$1000,$N73))))</f>
        <v/>
      </c>
      <c r="J73" s="61">
        <f>IF($N73="","",INDEX('Cronograma R. Operacional'!$M$5:$M$1000,$N73))</f>
        <v/>
      </c>
      <c r="K73" s="56">
        <f>IF($N73="","",IF(N($J73)&gt;=1,"Completado",IF(AND(ISNUMBER($D73),$D73&lt;FechaRef),"Vencida",IF(N($J73)&gt;0,"En curso","Pendiente"))))</f>
        <v/>
      </c>
      <c r="L73" s="56">
        <f>IF($N73="","",INDEX('Cronograma R. Operacional'!$O$5:$O$1000,$N73)&amp;"")</f>
        <v/>
      </c>
      <c r="M73" s="62">
        <f>IF($N73="","",INDEX('Cronograma R. Operacional'!$Q$5:$Q$1000,$N73)&amp;"")</f>
        <v/>
      </c>
      <c r="N73">
        <f>IFERROR(MATCH(ROW()-4,rOrden_RO,0),"")</f>
        <v/>
      </c>
      <c r="O73">
        <f>IF($N73="","",INDEX('Cronograma R. Operacional'!$V$5:$V$1000,$N73))</f>
        <v/>
      </c>
      <c r="P73">
        <f>IF($N73="","",N(INDEX('Cronograma R. Operacional'!$W$5:$W$1000,$N73)))</f>
        <v/>
      </c>
      <c r="Q73">
        <f>IF(OR(LEFT($L73,7)="Vencida",LEFT($L73,5)="Vence"),SUMPRODUCT(--(LEFT($L$5:$L73,7)="Vencida"))+SUMPRODUCT(--(LEFT($L$5:$L73,5)="Vence")),"")</f>
        <v/>
      </c>
    </row>
    <row r="74">
      <c r="A74" s="56">
        <f>IF($N74="","",INDEX('Cronograma R. Operacional'!$A$5:$A$1000,$N74))</f>
        <v/>
      </c>
      <c r="B74" s="62">
        <f>IF($N74="","",IF($O74="Sub","      ↳  "&amp;INDEX('Cronograma R. Operacional'!$C$5:$C$1000,$N74),INDEX('Cronograma R. Operacional'!$C$5:$C$1000,$N74)&amp;""))</f>
        <v/>
      </c>
      <c r="C74" s="79">
        <f>IF($N74="","",IF(INDEX('Cronograma R. Operacional'!$AM$5:$AM$1000,$N74)="","",INDEX('Cronograma R. Operacional'!$AM$5:$AM$1000,$N74)))</f>
        <v/>
      </c>
      <c r="D74" s="79">
        <f>IF($N74="","",IF(INDEX('Cronograma R. Operacional'!$AN$5:$AN$1000,$N74)="","",INDEX('Cronograma R. Operacional'!$AN$5:$AN$1000,$N74)))</f>
        <v/>
      </c>
      <c r="E74" s="56">
        <f>IF($N74="","",IF(NOT(ISNUMBER($D74)),"",IF($D74&lt;InicioCiclo,"Antes del ciclo",IF($D74&gt;=InicioCiclo+28,"Después del ciclo","Semana "&amp;(INT(($D74-InicioCiclo)/7)+1)))))</f>
        <v/>
      </c>
      <c r="F74" s="61">
        <f>IF($N74="","",IF($P74&gt;0,IF(1&lt;=SemanaActual,INDEX('Cronograma R. Operacional'!$AC$5:$AC$1000,$N74),""),IF(INDEX('Cronograma R. Operacional'!$I$5:$I$1000,$N74)="","",INDEX('Cronograma R. Operacional'!$I$5:$I$1000,$N74))))</f>
        <v/>
      </c>
      <c r="G74" s="61">
        <f>IF($N74="","",IF($P74&gt;0,IF(2&lt;=SemanaActual,INDEX('Cronograma R. Operacional'!$AD$5:$AD$1000,$N74),""),IF(INDEX('Cronograma R. Operacional'!$J$5:$J$1000,$N74)="","",INDEX('Cronograma R. Operacional'!$J$5:$J$1000,$N74))))</f>
        <v/>
      </c>
      <c r="H74" s="61">
        <f>IF($N74="","",IF($P74&gt;0,IF(3&lt;=SemanaActual,INDEX('Cronograma R. Operacional'!$AE$5:$AE$1000,$N74),""),IF(INDEX('Cronograma R. Operacional'!$K$5:$K$1000,$N74)="","",INDEX('Cronograma R. Operacional'!$K$5:$K$1000,$N74))))</f>
        <v/>
      </c>
      <c r="I74" s="61">
        <f>IF($N74="","",IF($P74&gt;0,IF(4&lt;=SemanaActual,INDEX('Cronograma R. Operacional'!$AF$5:$AF$1000,$N74),""),IF(INDEX('Cronograma R. Operacional'!$L$5:$L$1000,$N74)="","",INDEX('Cronograma R. Operacional'!$L$5:$L$1000,$N74))))</f>
        <v/>
      </c>
      <c r="J74" s="61">
        <f>IF($N74="","",INDEX('Cronograma R. Operacional'!$M$5:$M$1000,$N74))</f>
        <v/>
      </c>
      <c r="K74" s="56">
        <f>IF($N74="","",IF(N($J74)&gt;=1,"Completado",IF(AND(ISNUMBER($D74),$D74&lt;FechaRef),"Vencida",IF(N($J74)&gt;0,"En curso","Pendiente"))))</f>
        <v/>
      </c>
      <c r="L74" s="56">
        <f>IF($N74="","",INDEX('Cronograma R. Operacional'!$O$5:$O$1000,$N74)&amp;"")</f>
        <v/>
      </c>
      <c r="M74" s="62">
        <f>IF($N74="","",INDEX('Cronograma R. Operacional'!$Q$5:$Q$1000,$N74)&amp;"")</f>
        <v/>
      </c>
      <c r="N74">
        <f>IFERROR(MATCH(ROW()-4,rOrden_RO,0),"")</f>
        <v/>
      </c>
      <c r="O74">
        <f>IF($N74="","",INDEX('Cronograma R. Operacional'!$V$5:$V$1000,$N74))</f>
        <v/>
      </c>
      <c r="P74">
        <f>IF($N74="","",N(INDEX('Cronograma R. Operacional'!$W$5:$W$1000,$N74)))</f>
        <v/>
      </c>
      <c r="Q74">
        <f>IF(OR(LEFT($L74,7)="Vencida",LEFT($L74,5)="Vence"),SUMPRODUCT(--(LEFT($L$5:$L74,7)="Vencida"))+SUMPRODUCT(--(LEFT($L$5:$L74,5)="Vence")),"")</f>
        <v/>
      </c>
    </row>
    <row r="75">
      <c r="A75" s="56">
        <f>IF($N75="","",INDEX('Cronograma R. Operacional'!$A$5:$A$1000,$N75))</f>
        <v/>
      </c>
      <c r="B75" s="62">
        <f>IF($N75="","",IF($O75="Sub","      ↳  "&amp;INDEX('Cronograma R. Operacional'!$C$5:$C$1000,$N75),INDEX('Cronograma R. Operacional'!$C$5:$C$1000,$N75)&amp;""))</f>
        <v/>
      </c>
      <c r="C75" s="79">
        <f>IF($N75="","",IF(INDEX('Cronograma R. Operacional'!$AM$5:$AM$1000,$N75)="","",INDEX('Cronograma R. Operacional'!$AM$5:$AM$1000,$N75)))</f>
        <v/>
      </c>
      <c r="D75" s="79">
        <f>IF($N75="","",IF(INDEX('Cronograma R. Operacional'!$AN$5:$AN$1000,$N75)="","",INDEX('Cronograma R. Operacional'!$AN$5:$AN$1000,$N75)))</f>
        <v/>
      </c>
      <c r="E75" s="56">
        <f>IF($N75="","",IF(NOT(ISNUMBER($D75)),"",IF($D75&lt;InicioCiclo,"Antes del ciclo",IF($D75&gt;=InicioCiclo+28,"Después del ciclo","Semana "&amp;(INT(($D75-InicioCiclo)/7)+1)))))</f>
        <v/>
      </c>
      <c r="F75" s="61">
        <f>IF($N75="","",IF($P75&gt;0,IF(1&lt;=SemanaActual,INDEX('Cronograma R. Operacional'!$AC$5:$AC$1000,$N75),""),IF(INDEX('Cronograma R. Operacional'!$I$5:$I$1000,$N75)="","",INDEX('Cronograma R. Operacional'!$I$5:$I$1000,$N75))))</f>
        <v/>
      </c>
      <c r="G75" s="61">
        <f>IF($N75="","",IF($P75&gt;0,IF(2&lt;=SemanaActual,INDEX('Cronograma R. Operacional'!$AD$5:$AD$1000,$N75),""),IF(INDEX('Cronograma R. Operacional'!$J$5:$J$1000,$N75)="","",INDEX('Cronograma R. Operacional'!$J$5:$J$1000,$N75))))</f>
        <v/>
      </c>
      <c r="H75" s="61">
        <f>IF($N75="","",IF($P75&gt;0,IF(3&lt;=SemanaActual,INDEX('Cronograma R. Operacional'!$AE$5:$AE$1000,$N75),""),IF(INDEX('Cronograma R. Operacional'!$K$5:$K$1000,$N75)="","",INDEX('Cronograma R. Operacional'!$K$5:$K$1000,$N75))))</f>
        <v/>
      </c>
      <c r="I75" s="61">
        <f>IF($N75="","",IF($P75&gt;0,IF(4&lt;=SemanaActual,INDEX('Cronograma R. Operacional'!$AF$5:$AF$1000,$N75),""),IF(INDEX('Cronograma R. Operacional'!$L$5:$L$1000,$N75)="","",INDEX('Cronograma R. Operacional'!$L$5:$L$1000,$N75))))</f>
        <v/>
      </c>
      <c r="J75" s="61">
        <f>IF($N75="","",INDEX('Cronograma R. Operacional'!$M$5:$M$1000,$N75))</f>
        <v/>
      </c>
      <c r="K75" s="56">
        <f>IF($N75="","",IF(N($J75)&gt;=1,"Completado",IF(AND(ISNUMBER($D75),$D75&lt;FechaRef),"Vencida",IF(N($J75)&gt;0,"En curso","Pendiente"))))</f>
        <v/>
      </c>
      <c r="L75" s="56">
        <f>IF($N75="","",INDEX('Cronograma R. Operacional'!$O$5:$O$1000,$N75)&amp;"")</f>
        <v/>
      </c>
      <c r="M75" s="62">
        <f>IF($N75="","",INDEX('Cronograma R. Operacional'!$Q$5:$Q$1000,$N75)&amp;"")</f>
        <v/>
      </c>
      <c r="N75">
        <f>IFERROR(MATCH(ROW()-4,rOrden_RO,0),"")</f>
        <v/>
      </c>
      <c r="O75">
        <f>IF($N75="","",INDEX('Cronograma R. Operacional'!$V$5:$V$1000,$N75))</f>
        <v/>
      </c>
      <c r="P75">
        <f>IF($N75="","",N(INDEX('Cronograma R. Operacional'!$W$5:$W$1000,$N75)))</f>
        <v/>
      </c>
      <c r="Q75">
        <f>IF(OR(LEFT($L75,7)="Vencida",LEFT($L75,5)="Vence"),SUMPRODUCT(--(LEFT($L$5:$L75,7)="Vencida"))+SUMPRODUCT(--(LEFT($L$5:$L75,5)="Vence")),"")</f>
        <v/>
      </c>
    </row>
    <row r="76">
      <c r="A76" s="56">
        <f>IF($N76="","",INDEX('Cronograma R. Operacional'!$A$5:$A$1000,$N76))</f>
        <v/>
      </c>
      <c r="B76" s="62">
        <f>IF($N76="","",IF($O76="Sub","      ↳  "&amp;INDEX('Cronograma R. Operacional'!$C$5:$C$1000,$N76),INDEX('Cronograma R. Operacional'!$C$5:$C$1000,$N76)&amp;""))</f>
        <v/>
      </c>
      <c r="C76" s="79">
        <f>IF($N76="","",IF(INDEX('Cronograma R. Operacional'!$AM$5:$AM$1000,$N76)="","",INDEX('Cronograma R. Operacional'!$AM$5:$AM$1000,$N76)))</f>
        <v/>
      </c>
      <c r="D76" s="79">
        <f>IF($N76="","",IF(INDEX('Cronograma R. Operacional'!$AN$5:$AN$1000,$N76)="","",INDEX('Cronograma R. Operacional'!$AN$5:$AN$1000,$N76)))</f>
        <v/>
      </c>
      <c r="E76" s="56">
        <f>IF($N76="","",IF(NOT(ISNUMBER($D76)),"",IF($D76&lt;InicioCiclo,"Antes del ciclo",IF($D76&gt;=InicioCiclo+28,"Después del ciclo","Semana "&amp;(INT(($D76-InicioCiclo)/7)+1)))))</f>
        <v/>
      </c>
      <c r="F76" s="61">
        <f>IF($N76="","",IF($P76&gt;0,IF(1&lt;=SemanaActual,INDEX('Cronograma R. Operacional'!$AC$5:$AC$1000,$N76),""),IF(INDEX('Cronograma R. Operacional'!$I$5:$I$1000,$N76)="","",INDEX('Cronograma R. Operacional'!$I$5:$I$1000,$N76))))</f>
        <v/>
      </c>
      <c r="G76" s="61">
        <f>IF($N76="","",IF($P76&gt;0,IF(2&lt;=SemanaActual,INDEX('Cronograma R. Operacional'!$AD$5:$AD$1000,$N76),""),IF(INDEX('Cronograma R. Operacional'!$J$5:$J$1000,$N76)="","",INDEX('Cronograma R. Operacional'!$J$5:$J$1000,$N76))))</f>
        <v/>
      </c>
      <c r="H76" s="61">
        <f>IF($N76="","",IF($P76&gt;0,IF(3&lt;=SemanaActual,INDEX('Cronograma R. Operacional'!$AE$5:$AE$1000,$N76),""),IF(INDEX('Cronograma R. Operacional'!$K$5:$K$1000,$N76)="","",INDEX('Cronograma R. Operacional'!$K$5:$K$1000,$N76))))</f>
        <v/>
      </c>
      <c r="I76" s="61">
        <f>IF($N76="","",IF($P76&gt;0,IF(4&lt;=SemanaActual,INDEX('Cronograma R. Operacional'!$AF$5:$AF$1000,$N76),""),IF(INDEX('Cronograma R. Operacional'!$L$5:$L$1000,$N76)="","",INDEX('Cronograma R. Operacional'!$L$5:$L$1000,$N76))))</f>
        <v/>
      </c>
      <c r="J76" s="61">
        <f>IF($N76="","",INDEX('Cronograma R. Operacional'!$M$5:$M$1000,$N76))</f>
        <v/>
      </c>
      <c r="K76" s="56">
        <f>IF($N76="","",IF(N($J76)&gt;=1,"Completado",IF(AND(ISNUMBER($D76),$D76&lt;FechaRef),"Vencida",IF(N($J76)&gt;0,"En curso","Pendiente"))))</f>
        <v/>
      </c>
      <c r="L76" s="56">
        <f>IF($N76="","",INDEX('Cronograma R. Operacional'!$O$5:$O$1000,$N76)&amp;"")</f>
        <v/>
      </c>
      <c r="M76" s="62">
        <f>IF($N76="","",INDEX('Cronograma R. Operacional'!$Q$5:$Q$1000,$N76)&amp;"")</f>
        <v/>
      </c>
      <c r="N76">
        <f>IFERROR(MATCH(ROW()-4,rOrden_RO,0),"")</f>
        <v/>
      </c>
      <c r="O76">
        <f>IF($N76="","",INDEX('Cronograma R. Operacional'!$V$5:$V$1000,$N76))</f>
        <v/>
      </c>
      <c r="P76">
        <f>IF($N76="","",N(INDEX('Cronograma R. Operacional'!$W$5:$W$1000,$N76)))</f>
        <v/>
      </c>
      <c r="Q76">
        <f>IF(OR(LEFT($L76,7)="Vencida",LEFT($L76,5)="Vence"),SUMPRODUCT(--(LEFT($L$5:$L76,7)="Vencida"))+SUMPRODUCT(--(LEFT($L$5:$L76,5)="Vence")),"")</f>
        <v/>
      </c>
    </row>
    <row r="77">
      <c r="A77" s="56">
        <f>IF($N77="","",INDEX('Cronograma R. Operacional'!$A$5:$A$1000,$N77))</f>
        <v/>
      </c>
      <c r="B77" s="62">
        <f>IF($N77="","",IF($O77="Sub","      ↳  "&amp;INDEX('Cronograma R. Operacional'!$C$5:$C$1000,$N77),INDEX('Cronograma R. Operacional'!$C$5:$C$1000,$N77)&amp;""))</f>
        <v/>
      </c>
      <c r="C77" s="79">
        <f>IF($N77="","",IF(INDEX('Cronograma R. Operacional'!$AM$5:$AM$1000,$N77)="","",INDEX('Cronograma R. Operacional'!$AM$5:$AM$1000,$N77)))</f>
        <v/>
      </c>
      <c r="D77" s="79">
        <f>IF($N77="","",IF(INDEX('Cronograma R. Operacional'!$AN$5:$AN$1000,$N77)="","",INDEX('Cronograma R. Operacional'!$AN$5:$AN$1000,$N77)))</f>
        <v/>
      </c>
      <c r="E77" s="56">
        <f>IF($N77="","",IF(NOT(ISNUMBER($D77)),"",IF($D77&lt;InicioCiclo,"Antes del ciclo",IF($D77&gt;=InicioCiclo+28,"Después del ciclo","Semana "&amp;(INT(($D77-InicioCiclo)/7)+1)))))</f>
        <v/>
      </c>
      <c r="F77" s="61">
        <f>IF($N77="","",IF($P77&gt;0,IF(1&lt;=SemanaActual,INDEX('Cronograma R. Operacional'!$AC$5:$AC$1000,$N77),""),IF(INDEX('Cronograma R. Operacional'!$I$5:$I$1000,$N77)="","",INDEX('Cronograma R. Operacional'!$I$5:$I$1000,$N77))))</f>
        <v/>
      </c>
      <c r="G77" s="61">
        <f>IF($N77="","",IF($P77&gt;0,IF(2&lt;=SemanaActual,INDEX('Cronograma R. Operacional'!$AD$5:$AD$1000,$N77),""),IF(INDEX('Cronograma R. Operacional'!$J$5:$J$1000,$N77)="","",INDEX('Cronograma R. Operacional'!$J$5:$J$1000,$N77))))</f>
        <v/>
      </c>
      <c r="H77" s="61">
        <f>IF($N77="","",IF($P77&gt;0,IF(3&lt;=SemanaActual,INDEX('Cronograma R. Operacional'!$AE$5:$AE$1000,$N77),""),IF(INDEX('Cronograma R. Operacional'!$K$5:$K$1000,$N77)="","",INDEX('Cronograma R. Operacional'!$K$5:$K$1000,$N77))))</f>
        <v/>
      </c>
      <c r="I77" s="61">
        <f>IF($N77="","",IF($P77&gt;0,IF(4&lt;=SemanaActual,INDEX('Cronograma R. Operacional'!$AF$5:$AF$1000,$N77),""),IF(INDEX('Cronograma R. Operacional'!$L$5:$L$1000,$N77)="","",INDEX('Cronograma R. Operacional'!$L$5:$L$1000,$N77))))</f>
        <v/>
      </c>
      <c r="J77" s="61">
        <f>IF($N77="","",INDEX('Cronograma R. Operacional'!$M$5:$M$1000,$N77))</f>
        <v/>
      </c>
      <c r="K77" s="56">
        <f>IF($N77="","",IF(N($J77)&gt;=1,"Completado",IF(AND(ISNUMBER($D77),$D77&lt;FechaRef),"Vencida",IF(N($J77)&gt;0,"En curso","Pendiente"))))</f>
        <v/>
      </c>
      <c r="L77" s="56">
        <f>IF($N77="","",INDEX('Cronograma R. Operacional'!$O$5:$O$1000,$N77)&amp;"")</f>
        <v/>
      </c>
      <c r="M77" s="62">
        <f>IF($N77="","",INDEX('Cronograma R. Operacional'!$Q$5:$Q$1000,$N77)&amp;"")</f>
        <v/>
      </c>
      <c r="N77">
        <f>IFERROR(MATCH(ROW()-4,rOrden_RO,0),"")</f>
        <v/>
      </c>
      <c r="O77">
        <f>IF($N77="","",INDEX('Cronograma R. Operacional'!$V$5:$V$1000,$N77))</f>
        <v/>
      </c>
      <c r="P77">
        <f>IF($N77="","",N(INDEX('Cronograma R. Operacional'!$W$5:$W$1000,$N77)))</f>
        <v/>
      </c>
      <c r="Q77">
        <f>IF(OR(LEFT($L77,7)="Vencida",LEFT($L77,5)="Vence"),SUMPRODUCT(--(LEFT($L$5:$L77,7)="Vencida"))+SUMPRODUCT(--(LEFT($L$5:$L77,5)="Vence")),"")</f>
        <v/>
      </c>
    </row>
    <row r="78">
      <c r="A78" s="56">
        <f>IF($N78="","",INDEX('Cronograma R. Operacional'!$A$5:$A$1000,$N78))</f>
        <v/>
      </c>
      <c r="B78" s="62">
        <f>IF($N78="","",IF($O78="Sub","      ↳  "&amp;INDEX('Cronograma R. Operacional'!$C$5:$C$1000,$N78),INDEX('Cronograma R. Operacional'!$C$5:$C$1000,$N78)&amp;""))</f>
        <v/>
      </c>
      <c r="C78" s="79">
        <f>IF($N78="","",IF(INDEX('Cronograma R. Operacional'!$AM$5:$AM$1000,$N78)="","",INDEX('Cronograma R. Operacional'!$AM$5:$AM$1000,$N78)))</f>
        <v/>
      </c>
      <c r="D78" s="79">
        <f>IF($N78="","",IF(INDEX('Cronograma R. Operacional'!$AN$5:$AN$1000,$N78)="","",INDEX('Cronograma R. Operacional'!$AN$5:$AN$1000,$N78)))</f>
        <v/>
      </c>
      <c r="E78" s="56">
        <f>IF($N78="","",IF(NOT(ISNUMBER($D78)),"",IF($D78&lt;InicioCiclo,"Antes del ciclo",IF($D78&gt;=InicioCiclo+28,"Después del ciclo","Semana "&amp;(INT(($D78-InicioCiclo)/7)+1)))))</f>
        <v/>
      </c>
      <c r="F78" s="61">
        <f>IF($N78="","",IF($P78&gt;0,IF(1&lt;=SemanaActual,INDEX('Cronograma R. Operacional'!$AC$5:$AC$1000,$N78),""),IF(INDEX('Cronograma R. Operacional'!$I$5:$I$1000,$N78)="","",INDEX('Cronograma R. Operacional'!$I$5:$I$1000,$N78))))</f>
        <v/>
      </c>
      <c r="G78" s="61">
        <f>IF($N78="","",IF($P78&gt;0,IF(2&lt;=SemanaActual,INDEX('Cronograma R. Operacional'!$AD$5:$AD$1000,$N78),""),IF(INDEX('Cronograma R. Operacional'!$J$5:$J$1000,$N78)="","",INDEX('Cronograma R. Operacional'!$J$5:$J$1000,$N78))))</f>
        <v/>
      </c>
      <c r="H78" s="61">
        <f>IF($N78="","",IF($P78&gt;0,IF(3&lt;=SemanaActual,INDEX('Cronograma R. Operacional'!$AE$5:$AE$1000,$N78),""),IF(INDEX('Cronograma R. Operacional'!$K$5:$K$1000,$N78)="","",INDEX('Cronograma R. Operacional'!$K$5:$K$1000,$N78))))</f>
        <v/>
      </c>
      <c r="I78" s="61">
        <f>IF($N78="","",IF($P78&gt;0,IF(4&lt;=SemanaActual,INDEX('Cronograma R. Operacional'!$AF$5:$AF$1000,$N78),""),IF(INDEX('Cronograma R. Operacional'!$L$5:$L$1000,$N78)="","",INDEX('Cronograma R. Operacional'!$L$5:$L$1000,$N78))))</f>
        <v/>
      </c>
      <c r="J78" s="61">
        <f>IF($N78="","",INDEX('Cronograma R. Operacional'!$M$5:$M$1000,$N78))</f>
        <v/>
      </c>
      <c r="K78" s="56">
        <f>IF($N78="","",IF(N($J78)&gt;=1,"Completado",IF(AND(ISNUMBER($D78),$D78&lt;FechaRef),"Vencida",IF(N($J78)&gt;0,"En curso","Pendiente"))))</f>
        <v/>
      </c>
      <c r="L78" s="56">
        <f>IF($N78="","",INDEX('Cronograma R. Operacional'!$O$5:$O$1000,$N78)&amp;"")</f>
        <v/>
      </c>
      <c r="M78" s="62">
        <f>IF($N78="","",INDEX('Cronograma R. Operacional'!$Q$5:$Q$1000,$N78)&amp;"")</f>
        <v/>
      </c>
      <c r="N78">
        <f>IFERROR(MATCH(ROW()-4,rOrden_RO,0),"")</f>
        <v/>
      </c>
      <c r="O78">
        <f>IF($N78="","",INDEX('Cronograma R. Operacional'!$V$5:$V$1000,$N78))</f>
        <v/>
      </c>
      <c r="P78">
        <f>IF($N78="","",N(INDEX('Cronograma R. Operacional'!$W$5:$W$1000,$N78)))</f>
        <v/>
      </c>
      <c r="Q78">
        <f>IF(OR(LEFT($L78,7)="Vencida",LEFT($L78,5)="Vence"),SUMPRODUCT(--(LEFT($L$5:$L78,7)="Vencida"))+SUMPRODUCT(--(LEFT($L$5:$L78,5)="Vence")),"")</f>
        <v/>
      </c>
    </row>
    <row r="79">
      <c r="A79" s="56">
        <f>IF($N79="","",INDEX('Cronograma R. Operacional'!$A$5:$A$1000,$N79))</f>
        <v/>
      </c>
      <c r="B79" s="62">
        <f>IF($N79="","",IF($O79="Sub","      ↳  "&amp;INDEX('Cronograma R. Operacional'!$C$5:$C$1000,$N79),INDEX('Cronograma R. Operacional'!$C$5:$C$1000,$N79)&amp;""))</f>
        <v/>
      </c>
      <c r="C79" s="79">
        <f>IF($N79="","",IF(INDEX('Cronograma R. Operacional'!$AM$5:$AM$1000,$N79)="","",INDEX('Cronograma R. Operacional'!$AM$5:$AM$1000,$N79)))</f>
        <v/>
      </c>
      <c r="D79" s="79">
        <f>IF($N79="","",IF(INDEX('Cronograma R. Operacional'!$AN$5:$AN$1000,$N79)="","",INDEX('Cronograma R. Operacional'!$AN$5:$AN$1000,$N79)))</f>
        <v/>
      </c>
      <c r="E79" s="56">
        <f>IF($N79="","",IF(NOT(ISNUMBER($D79)),"",IF($D79&lt;InicioCiclo,"Antes del ciclo",IF($D79&gt;=InicioCiclo+28,"Después del ciclo","Semana "&amp;(INT(($D79-InicioCiclo)/7)+1)))))</f>
        <v/>
      </c>
      <c r="F79" s="61">
        <f>IF($N79="","",IF($P79&gt;0,IF(1&lt;=SemanaActual,INDEX('Cronograma R. Operacional'!$AC$5:$AC$1000,$N79),""),IF(INDEX('Cronograma R. Operacional'!$I$5:$I$1000,$N79)="","",INDEX('Cronograma R. Operacional'!$I$5:$I$1000,$N79))))</f>
        <v/>
      </c>
      <c r="G79" s="61">
        <f>IF($N79="","",IF($P79&gt;0,IF(2&lt;=SemanaActual,INDEX('Cronograma R. Operacional'!$AD$5:$AD$1000,$N79),""),IF(INDEX('Cronograma R. Operacional'!$J$5:$J$1000,$N79)="","",INDEX('Cronograma R. Operacional'!$J$5:$J$1000,$N79))))</f>
        <v/>
      </c>
      <c r="H79" s="61">
        <f>IF($N79="","",IF($P79&gt;0,IF(3&lt;=SemanaActual,INDEX('Cronograma R. Operacional'!$AE$5:$AE$1000,$N79),""),IF(INDEX('Cronograma R. Operacional'!$K$5:$K$1000,$N79)="","",INDEX('Cronograma R. Operacional'!$K$5:$K$1000,$N79))))</f>
        <v/>
      </c>
      <c r="I79" s="61">
        <f>IF($N79="","",IF($P79&gt;0,IF(4&lt;=SemanaActual,INDEX('Cronograma R. Operacional'!$AF$5:$AF$1000,$N79),""),IF(INDEX('Cronograma R. Operacional'!$L$5:$L$1000,$N79)="","",INDEX('Cronograma R. Operacional'!$L$5:$L$1000,$N79))))</f>
        <v/>
      </c>
      <c r="J79" s="61">
        <f>IF($N79="","",INDEX('Cronograma R. Operacional'!$M$5:$M$1000,$N79))</f>
        <v/>
      </c>
      <c r="K79" s="56">
        <f>IF($N79="","",IF(N($J79)&gt;=1,"Completado",IF(AND(ISNUMBER($D79),$D79&lt;FechaRef),"Vencida",IF(N($J79)&gt;0,"En curso","Pendiente"))))</f>
        <v/>
      </c>
      <c r="L79" s="56">
        <f>IF($N79="","",INDEX('Cronograma R. Operacional'!$O$5:$O$1000,$N79)&amp;"")</f>
        <v/>
      </c>
      <c r="M79" s="62">
        <f>IF($N79="","",INDEX('Cronograma R. Operacional'!$Q$5:$Q$1000,$N79)&amp;"")</f>
        <v/>
      </c>
      <c r="N79">
        <f>IFERROR(MATCH(ROW()-4,rOrden_RO,0),"")</f>
        <v/>
      </c>
      <c r="O79">
        <f>IF($N79="","",INDEX('Cronograma R. Operacional'!$V$5:$V$1000,$N79))</f>
        <v/>
      </c>
      <c r="P79">
        <f>IF($N79="","",N(INDEX('Cronograma R. Operacional'!$W$5:$W$1000,$N79)))</f>
        <v/>
      </c>
      <c r="Q79">
        <f>IF(OR(LEFT($L79,7)="Vencida",LEFT($L79,5)="Vence"),SUMPRODUCT(--(LEFT($L$5:$L79,7)="Vencida"))+SUMPRODUCT(--(LEFT($L$5:$L79,5)="Vence")),"")</f>
        <v/>
      </c>
    </row>
    <row r="80">
      <c r="A80" s="56">
        <f>IF($N80="","",INDEX('Cronograma R. Operacional'!$A$5:$A$1000,$N80))</f>
        <v/>
      </c>
      <c r="B80" s="62">
        <f>IF($N80="","",IF($O80="Sub","      ↳  "&amp;INDEX('Cronograma R. Operacional'!$C$5:$C$1000,$N80),INDEX('Cronograma R. Operacional'!$C$5:$C$1000,$N80)&amp;""))</f>
        <v/>
      </c>
      <c r="C80" s="79">
        <f>IF($N80="","",IF(INDEX('Cronograma R. Operacional'!$AM$5:$AM$1000,$N80)="","",INDEX('Cronograma R. Operacional'!$AM$5:$AM$1000,$N80)))</f>
        <v/>
      </c>
      <c r="D80" s="79">
        <f>IF($N80="","",IF(INDEX('Cronograma R. Operacional'!$AN$5:$AN$1000,$N80)="","",INDEX('Cronograma R. Operacional'!$AN$5:$AN$1000,$N80)))</f>
        <v/>
      </c>
      <c r="E80" s="56">
        <f>IF($N80="","",IF(NOT(ISNUMBER($D80)),"",IF($D80&lt;InicioCiclo,"Antes del ciclo",IF($D80&gt;=InicioCiclo+28,"Después del ciclo","Semana "&amp;(INT(($D80-InicioCiclo)/7)+1)))))</f>
        <v/>
      </c>
      <c r="F80" s="61">
        <f>IF($N80="","",IF($P80&gt;0,IF(1&lt;=SemanaActual,INDEX('Cronograma R. Operacional'!$AC$5:$AC$1000,$N80),""),IF(INDEX('Cronograma R. Operacional'!$I$5:$I$1000,$N80)="","",INDEX('Cronograma R. Operacional'!$I$5:$I$1000,$N80))))</f>
        <v/>
      </c>
      <c r="G80" s="61">
        <f>IF($N80="","",IF($P80&gt;0,IF(2&lt;=SemanaActual,INDEX('Cronograma R. Operacional'!$AD$5:$AD$1000,$N80),""),IF(INDEX('Cronograma R. Operacional'!$J$5:$J$1000,$N80)="","",INDEX('Cronograma R. Operacional'!$J$5:$J$1000,$N80))))</f>
        <v/>
      </c>
      <c r="H80" s="61">
        <f>IF($N80="","",IF($P80&gt;0,IF(3&lt;=SemanaActual,INDEX('Cronograma R. Operacional'!$AE$5:$AE$1000,$N80),""),IF(INDEX('Cronograma R. Operacional'!$K$5:$K$1000,$N80)="","",INDEX('Cronograma R. Operacional'!$K$5:$K$1000,$N80))))</f>
        <v/>
      </c>
      <c r="I80" s="61">
        <f>IF($N80="","",IF($P80&gt;0,IF(4&lt;=SemanaActual,INDEX('Cronograma R. Operacional'!$AF$5:$AF$1000,$N80),""),IF(INDEX('Cronograma R. Operacional'!$L$5:$L$1000,$N80)="","",INDEX('Cronograma R. Operacional'!$L$5:$L$1000,$N80))))</f>
        <v/>
      </c>
      <c r="J80" s="61">
        <f>IF($N80="","",INDEX('Cronograma R. Operacional'!$M$5:$M$1000,$N80))</f>
        <v/>
      </c>
      <c r="K80" s="56">
        <f>IF($N80="","",IF(N($J80)&gt;=1,"Completado",IF(AND(ISNUMBER($D80),$D80&lt;FechaRef),"Vencida",IF(N($J80)&gt;0,"En curso","Pendiente"))))</f>
        <v/>
      </c>
      <c r="L80" s="56">
        <f>IF($N80="","",INDEX('Cronograma R. Operacional'!$O$5:$O$1000,$N80)&amp;"")</f>
        <v/>
      </c>
      <c r="M80" s="62">
        <f>IF($N80="","",INDEX('Cronograma R. Operacional'!$Q$5:$Q$1000,$N80)&amp;"")</f>
        <v/>
      </c>
      <c r="N80">
        <f>IFERROR(MATCH(ROW()-4,rOrden_RO,0),"")</f>
        <v/>
      </c>
      <c r="O80">
        <f>IF($N80="","",INDEX('Cronograma R. Operacional'!$V$5:$V$1000,$N80))</f>
        <v/>
      </c>
      <c r="P80">
        <f>IF($N80="","",N(INDEX('Cronograma R. Operacional'!$W$5:$W$1000,$N80)))</f>
        <v/>
      </c>
      <c r="Q80">
        <f>IF(OR(LEFT($L80,7)="Vencida",LEFT($L80,5)="Vence"),SUMPRODUCT(--(LEFT($L$5:$L80,7)="Vencida"))+SUMPRODUCT(--(LEFT($L$5:$L80,5)="Vence")),"")</f>
        <v/>
      </c>
    </row>
    <row r="81">
      <c r="A81" s="56">
        <f>IF($N81="","",INDEX('Cronograma R. Operacional'!$A$5:$A$1000,$N81))</f>
        <v/>
      </c>
      <c r="B81" s="62">
        <f>IF($N81="","",IF($O81="Sub","      ↳  "&amp;INDEX('Cronograma R. Operacional'!$C$5:$C$1000,$N81),INDEX('Cronograma R. Operacional'!$C$5:$C$1000,$N81)&amp;""))</f>
        <v/>
      </c>
      <c r="C81" s="79">
        <f>IF($N81="","",IF(INDEX('Cronograma R. Operacional'!$AM$5:$AM$1000,$N81)="","",INDEX('Cronograma R. Operacional'!$AM$5:$AM$1000,$N81)))</f>
        <v/>
      </c>
      <c r="D81" s="79">
        <f>IF($N81="","",IF(INDEX('Cronograma R. Operacional'!$AN$5:$AN$1000,$N81)="","",INDEX('Cronograma R. Operacional'!$AN$5:$AN$1000,$N81)))</f>
        <v/>
      </c>
      <c r="E81" s="56">
        <f>IF($N81="","",IF(NOT(ISNUMBER($D81)),"",IF($D81&lt;InicioCiclo,"Antes del ciclo",IF($D81&gt;=InicioCiclo+28,"Después del ciclo","Semana "&amp;(INT(($D81-InicioCiclo)/7)+1)))))</f>
        <v/>
      </c>
      <c r="F81" s="61">
        <f>IF($N81="","",IF($P81&gt;0,IF(1&lt;=SemanaActual,INDEX('Cronograma R. Operacional'!$AC$5:$AC$1000,$N81),""),IF(INDEX('Cronograma R. Operacional'!$I$5:$I$1000,$N81)="","",INDEX('Cronograma R. Operacional'!$I$5:$I$1000,$N81))))</f>
        <v/>
      </c>
      <c r="G81" s="61">
        <f>IF($N81="","",IF($P81&gt;0,IF(2&lt;=SemanaActual,INDEX('Cronograma R. Operacional'!$AD$5:$AD$1000,$N81),""),IF(INDEX('Cronograma R. Operacional'!$J$5:$J$1000,$N81)="","",INDEX('Cronograma R. Operacional'!$J$5:$J$1000,$N81))))</f>
        <v/>
      </c>
      <c r="H81" s="61">
        <f>IF($N81="","",IF($P81&gt;0,IF(3&lt;=SemanaActual,INDEX('Cronograma R. Operacional'!$AE$5:$AE$1000,$N81),""),IF(INDEX('Cronograma R. Operacional'!$K$5:$K$1000,$N81)="","",INDEX('Cronograma R. Operacional'!$K$5:$K$1000,$N81))))</f>
        <v/>
      </c>
      <c r="I81" s="61">
        <f>IF($N81="","",IF($P81&gt;0,IF(4&lt;=SemanaActual,INDEX('Cronograma R. Operacional'!$AF$5:$AF$1000,$N81),""),IF(INDEX('Cronograma R. Operacional'!$L$5:$L$1000,$N81)="","",INDEX('Cronograma R. Operacional'!$L$5:$L$1000,$N81))))</f>
        <v/>
      </c>
      <c r="J81" s="61">
        <f>IF($N81="","",INDEX('Cronograma R. Operacional'!$M$5:$M$1000,$N81))</f>
        <v/>
      </c>
      <c r="K81" s="56">
        <f>IF($N81="","",IF(N($J81)&gt;=1,"Completado",IF(AND(ISNUMBER($D81),$D81&lt;FechaRef),"Vencida",IF(N($J81)&gt;0,"En curso","Pendiente"))))</f>
        <v/>
      </c>
      <c r="L81" s="56">
        <f>IF($N81="","",INDEX('Cronograma R. Operacional'!$O$5:$O$1000,$N81)&amp;"")</f>
        <v/>
      </c>
      <c r="M81" s="62">
        <f>IF($N81="","",INDEX('Cronograma R. Operacional'!$Q$5:$Q$1000,$N81)&amp;"")</f>
        <v/>
      </c>
      <c r="N81">
        <f>IFERROR(MATCH(ROW()-4,rOrden_RO,0),"")</f>
        <v/>
      </c>
      <c r="O81">
        <f>IF($N81="","",INDEX('Cronograma R. Operacional'!$V$5:$V$1000,$N81))</f>
        <v/>
      </c>
      <c r="P81">
        <f>IF($N81="","",N(INDEX('Cronograma R. Operacional'!$W$5:$W$1000,$N81)))</f>
        <v/>
      </c>
      <c r="Q81">
        <f>IF(OR(LEFT($L81,7)="Vencida",LEFT($L81,5)="Vence"),SUMPRODUCT(--(LEFT($L$5:$L81,7)="Vencida"))+SUMPRODUCT(--(LEFT($L$5:$L81,5)="Vence")),"")</f>
        <v/>
      </c>
    </row>
    <row r="82">
      <c r="A82" s="56">
        <f>IF($N82="","",INDEX('Cronograma R. Operacional'!$A$5:$A$1000,$N82))</f>
        <v/>
      </c>
      <c r="B82" s="62">
        <f>IF($N82="","",IF($O82="Sub","      ↳  "&amp;INDEX('Cronograma R. Operacional'!$C$5:$C$1000,$N82),INDEX('Cronograma R. Operacional'!$C$5:$C$1000,$N82)&amp;""))</f>
        <v/>
      </c>
      <c r="C82" s="79">
        <f>IF($N82="","",IF(INDEX('Cronograma R. Operacional'!$AM$5:$AM$1000,$N82)="","",INDEX('Cronograma R. Operacional'!$AM$5:$AM$1000,$N82)))</f>
        <v/>
      </c>
      <c r="D82" s="79">
        <f>IF($N82="","",IF(INDEX('Cronograma R. Operacional'!$AN$5:$AN$1000,$N82)="","",INDEX('Cronograma R. Operacional'!$AN$5:$AN$1000,$N82)))</f>
        <v/>
      </c>
      <c r="E82" s="56">
        <f>IF($N82="","",IF(NOT(ISNUMBER($D82)),"",IF($D82&lt;InicioCiclo,"Antes del ciclo",IF($D82&gt;=InicioCiclo+28,"Después del ciclo","Semana "&amp;(INT(($D82-InicioCiclo)/7)+1)))))</f>
        <v/>
      </c>
      <c r="F82" s="61">
        <f>IF($N82="","",IF($P82&gt;0,IF(1&lt;=SemanaActual,INDEX('Cronograma R. Operacional'!$AC$5:$AC$1000,$N82),""),IF(INDEX('Cronograma R. Operacional'!$I$5:$I$1000,$N82)="","",INDEX('Cronograma R. Operacional'!$I$5:$I$1000,$N82))))</f>
        <v/>
      </c>
      <c r="G82" s="61">
        <f>IF($N82="","",IF($P82&gt;0,IF(2&lt;=SemanaActual,INDEX('Cronograma R. Operacional'!$AD$5:$AD$1000,$N82),""),IF(INDEX('Cronograma R. Operacional'!$J$5:$J$1000,$N82)="","",INDEX('Cronograma R. Operacional'!$J$5:$J$1000,$N82))))</f>
        <v/>
      </c>
      <c r="H82" s="61">
        <f>IF($N82="","",IF($P82&gt;0,IF(3&lt;=SemanaActual,INDEX('Cronograma R. Operacional'!$AE$5:$AE$1000,$N82),""),IF(INDEX('Cronograma R. Operacional'!$K$5:$K$1000,$N82)="","",INDEX('Cronograma R. Operacional'!$K$5:$K$1000,$N82))))</f>
        <v/>
      </c>
      <c r="I82" s="61">
        <f>IF($N82="","",IF($P82&gt;0,IF(4&lt;=SemanaActual,INDEX('Cronograma R. Operacional'!$AF$5:$AF$1000,$N82),""),IF(INDEX('Cronograma R. Operacional'!$L$5:$L$1000,$N82)="","",INDEX('Cronograma R. Operacional'!$L$5:$L$1000,$N82))))</f>
        <v/>
      </c>
      <c r="J82" s="61">
        <f>IF($N82="","",INDEX('Cronograma R. Operacional'!$M$5:$M$1000,$N82))</f>
        <v/>
      </c>
      <c r="K82" s="56">
        <f>IF($N82="","",IF(N($J82)&gt;=1,"Completado",IF(AND(ISNUMBER($D82),$D82&lt;FechaRef),"Vencida",IF(N($J82)&gt;0,"En curso","Pendiente"))))</f>
        <v/>
      </c>
      <c r="L82" s="56">
        <f>IF($N82="","",INDEX('Cronograma R. Operacional'!$O$5:$O$1000,$N82)&amp;"")</f>
        <v/>
      </c>
      <c r="M82" s="62">
        <f>IF($N82="","",INDEX('Cronograma R. Operacional'!$Q$5:$Q$1000,$N82)&amp;"")</f>
        <v/>
      </c>
      <c r="N82">
        <f>IFERROR(MATCH(ROW()-4,rOrden_RO,0),"")</f>
        <v/>
      </c>
      <c r="O82">
        <f>IF($N82="","",INDEX('Cronograma R. Operacional'!$V$5:$V$1000,$N82))</f>
        <v/>
      </c>
      <c r="P82">
        <f>IF($N82="","",N(INDEX('Cronograma R. Operacional'!$W$5:$W$1000,$N82)))</f>
        <v/>
      </c>
      <c r="Q82">
        <f>IF(OR(LEFT($L82,7)="Vencida",LEFT($L82,5)="Vence"),SUMPRODUCT(--(LEFT($L$5:$L82,7)="Vencida"))+SUMPRODUCT(--(LEFT($L$5:$L82,5)="Vence")),"")</f>
        <v/>
      </c>
    </row>
    <row r="83">
      <c r="A83" s="56">
        <f>IF($N83="","",INDEX('Cronograma R. Operacional'!$A$5:$A$1000,$N83))</f>
        <v/>
      </c>
      <c r="B83" s="62">
        <f>IF($N83="","",IF($O83="Sub","      ↳  "&amp;INDEX('Cronograma R. Operacional'!$C$5:$C$1000,$N83),INDEX('Cronograma R. Operacional'!$C$5:$C$1000,$N83)&amp;""))</f>
        <v/>
      </c>
      <c r="C83" s="79">
        <f>IF($N83="","",IF(INDEX('Cronograma R. Operacional'!$AM$5:$AM$1000,$N83)="","",INDEX('Cronograma R. Operacional'!$AM$5:$AM$1000,$N83)))</f>
        <v/>
      </c>
      <c r="D83" s="79">
        <f>IF($N83="","",IF(INDEX('Cronograma R. Operacional'!$AN$5:$AN$1000,$N83)="","",INDEX('Cronograma R. Operacional'!$AN$5:$AN$1000,$N83)))</f>
        <v/>
      </c>
      <c r="E83" s="56">
        <f>IF($N83="","",IF(NOT(ISNUMBER($D83)),"",IF($D83&lt;InicioCiclo,"Antes del ciclo",IF($D83&gt;=InicioCiclo+28,"Después del ciclo","Semana "&amp;(INT(($D83-InicioCiclo)/7)+1)))))</f>
        <v/>
      </c>
      <c r="F83" s="61">
        <f>IF($N83="","",IF($P83&gt;0,IF(1&lt;=SemanaActual,INDEX('Cronograma R. Operacional'!$AC$5:$AC$1000,$N83),""),IF(INDEX('Cronograma R. Operacional'!$I$5:$I$1000,$N83)="","",INDEX('Cronograma R. Operacional'!$I$5:$I$1000,$N83))))</f>
        <v/>
      </c>
      <c r="G83" s="61">
        <f>IF($N83="","",IF($P83&gt;0,IF(2&lt;=SemanaActual,INDEX('Cronograma R. Operacional'!$AD$5:$AD$1000,$N83),""),IF(INDEX('Cronograma R. Operacional'!$J$5:$J$1000,$N83)="","",INDEX('Cronograma R. Operacional'!$J$5:$J$1000,$N83))))</f>
        <v/>
      </c>
      <c r="H83" s="61">
        <f>IF($N83="","",IF($P83&gt;0,IF(3&lt;=SemanaActual,INDEX('Cronograma R. Operacional'!$AE$5:$AE$1000,$N83),""),IF(INDEX('Cronograma R. Operacional'!$K$5:$K$1000,$N83)="","",INDEX('Cronograma R. Operacional'!$K$5:$K$1000,$N83))))</f>
        <v/>
      </c>
      <c r="I83" s="61">
        <f>IF($N83="","",IF($P83&gt;0,IF(4&lt;=SemanaActual,INDEX('Cronograma R. Operacional'!$AF$5:$AF$1000,$N83),""),IF(INDEX('Cronograma R. Operacional'!$L$5:$L$1000,$N83)="","",INDEX('Cronograma R. Operacional'!$L$5:$L$1000,$N83))))</f>
        <v/>
      </c>
      <c r="J83" s="61">
        <f>IF($N83="","",INDEX('Cronograma R. Operacional'!$M$5:$M$1000,$N83))</f>
        <v/>
      </c>
      <c r="K83" s="56">
        <f>IF($N83="","",IF(N($J83)&gt;=1,"Completado",IF(AND(ISNUMBER($D83),$D83&lt;FechaRef),"Vencida",IF(N($J83)&gt;0,"En curso","Pendiente"))))</f>
        <v/>
      </c>
      <c r="L83" s="56">
        <f>IF($N83="","",INDEX('Cronograma R. Operacional'!$O$5:$O$1000,$N83)&amp;"")</f>
        <v/>
      </c>
      <c r="M83" s="62">
        <f>IF($N83="","",INDEX('Cronograma R. Operacional'!$Q$5:$Q$1000,$N83)&amp;"")</f>
        <v/>
      </c>
      <c r="N83">
        <f>IFERROR(MATCH(ROW()-4,rOrden_RO,0),"")</f>
        <v/>
      </c>
      <c r="O83">
        <f>IF($N83="","",INDEX('Cronograma R. Operacional'!$V$5:$V$1000,$N83))</f>
        <v/>
      </c>
      <c r="P83">
        <f>IF($N83="","",N(INDEX('Cronograma R. Operacional'!$W$5:$W$1000,$N83)))</f>
        <v/>
      </c>
      <c r="Q83">
        <f>IF(OR(LEFT($L83,7)="Vencida",LEFT($L83,5)="Vence"),SUMPRODUCT(--(LEFT($L$5:$L83,7)="Vencida"))+SUMPRODUCT(--(LEFT($L$5:$L83,5)="Vence")),"")</f>
        <v/>
      </c>
    </row>
    <row r="84">
      <c r="A84" s="56">
        <f>IF($N84="","",INDEX('Cronograma R. Operacional'!$A$5:$A$1000,$N84))</f>
        <v/>
      </c>
      <c r="B84" s="62">
        <f>IF($N84="","",IF($O84="Sub","      ↳  "&amp;INDEX('Cronograma R. Operacional'!$C$5:$C$1000,$N84),INDEX('Cronograma R. Operacional'!$C$5:$C$1000,$N84)&amp;""))</f>
        <v/>
      </c>
      <c r="C84" s="79">
        <f>IF($N84="","",IF(INDEX('Cronograma R. Operacional'!$AM$5:$AM$1000,$N84)="","",INDEX('Cronograma R. Operacional'!$AM$5:$AM$1000,$N84)))</f>
        <v/>
      </c>
      <c r="D84" s="79">
        <f>IF($N84="","",IF(INDEX('Cronograma R. Operacional'!$AN$5:$AN$1000,$N84)="","",INDEX('Cronograma R. Operacional'!$AN$5:$AN$1000,$N84)))</f>
        <v/>
      </c>
      <c r="E84" s="56">
        <f>IF($N84="","",IF(NOT(ISNUMBER($D84)),"",IF($D84&lt;InicioCiclo,"Antes del ciclo",IF($D84&gt;=InicioCiclo+28,"Después del ciclo","Semana "&amp;(INT(($D84-InicioCiclo)/7)+1)))))</f>
        <v/>
      </c>
      <c r="F84" s="61">
        <f>IF($N84="","",IF($P84&gt;0,IF(1&lt;=SemanaActual,INDEX('Cronograma R. Operacional'!$AC$5:$AC$1000,$N84),""),IF(INDEX('Cronograma R. Operacional'!$I$5:$I$1000,$N84)="","",INDEX('Cronograma R. Operacional'!$I$5:$I$1000,$N84))))</f>
        <v/>
      </c>
      <c r="G84" s="61">
        <f>IF($N84="","",IF($P84&gt;0,IF(2&lt;=SemanaActual,INDEX('Cronograma R. Operacional'!$AD$5:$AD$1000,$N84),""),IF(INDEX('Cronograma R. Operacional'!$J$5:$J$1000,$N84)="","",INDEX('Cronograma R. Operacional'!$J$5:$J$1000,$N84))))</f>
        <v/>
      </c>
      <c r="H84" s="61">
        <f>IF($N84="","",IF($P84&gt;0,IF(3&lt;=SemanaActual,INDEX('Cronograma R. Operacional'!$AE$5:$AE$1000,$N84),""),IF(INDEX('Cronograma R. Operacional'!$K$5:$K$1000,$N84)="","",INDEX('Cronograma R. Operacional'!$K$5:$K$1000,$N84))))</f>
        <v/>
      </c>
      <c r="I84" s="61">
        <f>IF($N84="","",IF($P84&gt;0,IF(4&lt;=SemanaActual,INDEX('Cronograma R. Operacional'!$AF$5:$AF$1000,$N84),""),IF(INDEX('Cronograma R. Operacional'!$L$5:$L$1000,$N84)="","",INDEX('Cronograma R. Operacional'!$L$5:$L$1000,$N84))))</f>
        <v/>
      </c>
      <c r="J84" s="61">
        <f>IF($N84="","",INDEX('Cronograma R. Operacional'!$M$5:$M$1000,$N84))</f>
        <v/>
      </c>
      <c r="K84" s="56">
        <f>IF($N84="","",IF(N($J84)&gt;=1,"Completado",IF(AND(ISNUMBER($D84),$D84&lt;FechaRef),"Vencida",IF(N($J84)&gt;0,"En curso","Pendiente"))))</f>
        <v/>
      </c>
      <c r="L84" s="56">
        <f>IF($N84="","",INDEX('Cronograma R. Operacional'!$O$5:$O$1000,$N84)&amp;"")</f>
        <v/>
      </c>
      <c r="M84" s="62">
        <f>IF($N84="","",INDEX('Cronograma R. Operacional'!$Q$5:$Q$1000,$N84)&amp;"")</f>
        <v/>
      </c>
      <c r="N84">
        <f>IFERROR(MATCH(ROW()-4,rOrden_RO,0),"")</f>
        <v/>
      </c>
      <c r="O84">
        <f>IF($N84="","",INDEX('Cronograma R. Operacional'!$V$5:$V$1000,$N84))</f>
        <v/>
      </c>
      <c r="P84">
        <f>IF($N84="","",N(INDEX('Cronograma R. Operacional'!$W$5:$W$1000,$N84)))</f>
        <v/>
      </c>
      <c r="Q84">
        <f>IF(OR(LEFT($L84,7)="Vencida",LEFT($L84,5)="Vence"),SUMPRODUCT(--(LEFT($L$5:$L84,7)="Vencida"))+SUMPRODUCT(--(LEFT($L$5:$L84,5)="Vence")),"")</f>
        <v/>
      </c>
    </row>
    <row r="85">
      <c r="A85" s="56">
        <f>IF($N85="","",INDEX('Cronograma R. Operacional'!$A$5:$A$1000,$N85))</f>
        <v/>
      </c>
      <c r="B85" s="62">
        <f>IF($N85="","",IF($O85="Sub","      ↳  "&amp;INDEX('Cronograma R. Operacional'!$C$5:$C$1000,$N85),INDEX('Cronograma R. Operacional'!$C$5:$C$1000,$N85)&amp;""))</f>
        <v/>
      </c>
      <c r="C85" s="79">
        <f>IF($N85="","",IF(INDEX('Cronograma R. Operacional'!$AM$5:$AM$1000,$N85)="","",INDEX('Cronograma R. Operacional'!$AM$5:$AM$1000,$N85)))</f>
        <v/>
      </c>
      <c r="D85" s="79">
        <f>IF($N85="","",IF(INDEX('Cronograma R. Operacional'!$AN$5:$AN$1000,$N85)="","",INDEX('Cronograma R. Operacional'!$AN$5:$AN$1000,$N85)))</f>
        <v/>
      </c>
      <c r="E85" s="56">
        <f>IF($N85="","",IF(NOT(ISNUMBER($D85)),"",IF($D85&lt;InicioCiclo,"Antes del ciclo",IF($D85&gt;=InicioCiclo+28,"Después del ciclo","Semana "&amp;(INT(($D85-InicioCiclo)/7)+1)))))</f>
        <v/>
      </c>
      <c r="F85" s="61">
        <f>IF($N85="","",IF($P85&gt;0,IF(1&lt;=SemanaActual,INDEX('Cronograma R. Operacional'!$AC$5:$AC$1000,$N85),""),IF(INDEX('Cronograma R. Operacional'!$I$5:$I$1000,$N85)="","",INDEX('Cronograma R. Operacional'!$I$5:$I$1000,$N85))))</f>
        <v/>
      </c>
      <c r="G85" s="61">
        <f>IF($N85="","",IF($P85&gt;0,IF(2&lt;=SemanaActual,INDEX('Cronograma R. Operacional'!$AD$5:$AD$1000,$N85),""),IF(INDEX('Cronograma R. Operacional'!$J$5:$J$1000,$N85)="","",INDEX('Cronograma R. Operacional'!$J$5:$J$1000,$N85))))</f>
        <v/>
      </c>
      <c r="H85" s="61">
        <f>IF($N85="","",IF($P85&gt;0,IF(3&lt;=SemanaActual,INDEX('Cronograma R. Operacional'!$AE$5:$AE$1000,$N85),""),IF(INDEX('Cronograma R. Operacional'!$K$5:$K$1000,$N85)="","",INDEX('Cronograma R. Operacional'!$K$5:$K$1000,$N85))))</f>
        <v/>
      </c>
      <c r="I85" s="61">
        <f>IF($N85="","",IF($P85&gt;0,IF(4&lt;=SemanaActual,INDEX('Cronograma R. Operacional'!$AF$5:$AF$1000,$N85),""),IF(INDEX('Cronograma R. Operacional'!$L$5:$L$1000,$N85)="","",INDEX('Cronograma R. Operacional'!$L$5:$L$1000,$N85))))</f>
        <v/>
      </c>
      <c r="J85" s="61">
        <f>IF($N85="","",INDEX('Cronograma R. Operacional'!$M$5:$M$1000,$N85))</f>
        <v/>
      </c>
      <c r="K85" s="56">
        <f>IF($N85="","",IF(N($J85)&gt;=1,"Completado",IF(AND(ISNUMBER($D85),$D85&lt;FechaRef),"Vencida",IF(N($J85)&gt;0,"En curso","Pendiente"))))</f>
        <v/>
      </c>
      <c r="L85" s="56">
        <f>IF($N85="","",INDEX('Cronograma R. Operacional'!$O$5:$O$1000,$N85)&amp;"")</f>
        <v/>
      </c>
      <c r="M85" s="62">
        <f>IF($N85="","",INDEX('Cronograma R. Operacional'!$Q$5:$Q$1000,$N85)&amp;"")</f>
        <v/>
      </c>
      <c r="N85">
        <f>IFERROR(MATCH(ROW()-4,rOrden_RO,0),"")</f>
        <v/>
      </c>
      <c r="O85">
        <f>IF($N85="","",INDEX('Cronograma R. Operacional'!$V$5:$V$1000,$N85))</f>
        <v/>
      </c>
      <c r="P85">
        <f>IF($N85="","",N(INDEX('Cronograma R. Operacional'!$W$5:$W$1000,$N85)))</f>
        <v/>
      </c>
      <c r="Q85">
        <f>IF(OR(LEFT($L85,7)="Vencida",LEFT($L85,5)="Vence"),SUMPRODUCT(--(LEFT($L$5:$L85,7)="Vencida"))+SUMPRODUCT(--(LEFT($L$5:$L85,5)="Vence")),"")</f>
        <v/>
      </c>
    </row>
    <row r="86">
      <c r="A86" s="56">
        <f>IF($N86="","",INDEX('Cronograma R. Operacional'!$A$5:$A$1000,$N86))</f>
        <v/>
      </c>
      <c r="B86" s="62">
        <f>IF($N86="","",IF($O86="Sub","      ↳  "&amp;INDEX('Cronograma R. Operacional'!$C$5:$C$1000,$N86),INDEX('Cronograma R. Operacional'!$C$5:$C$1000,$N86)&amp;""))</f>
        <v/>
      </c>
      <c r="C86" s="79">
        <f>IF($N86="","",IF(INDEX('Cronograma R. Operacional'!$AM$5:$AM$1000,$N86)="","",INDEX('Cronograma R. Operacional'!$AM$5:$AM$1000,$N86)))</f>
        <v/>
      </c>
      <c r="D86" s="79">
        <f>IF($N86="","",IF(INDEX('Cronograma R. Operacional'!$AN$5:$AN$1000,$N86)="","",INDEX('Cronograma R. Operacional'!$AN$5:$AN$1000,$N86)))</f>
        <v/>
      </c>
      <c r="E86" s="56">
        <f>IF($N86="","",IF(NOT(ISNUMBER($D86)),"",IF($D86&lt;InicioCiclo,"Antes del ciclo",IF($D86&gt;=InicioCiclo+28,"Después del ciclo","Semana "&amp;(INT(($D86-InicioCiclo)/7)+1)))))</f>
        <v/>
      </c>
      <c r="F86" s="61">
        <f>IF($N86="","",IF($P86&gt;0,IF(1&lt;=SemanaActual,INDEX('Cronograma R. Operacional'!$AC$5:$AC$1000,$N86),""),IF(INDEX('Cronograma R. Operacional'!$I$5:$I$1000,$N86)="","",INDEX('Cronograma R. Operacional'!$I$5:$I$1000,$N86))))</f>
        <v/>
      </c>
      <c r="G86" s="61">
        <f>IF($N86="","",IF($P86&gt;0,IF(2&lt;=SemanaActual,INDEX('Cronograma R. Operacional'!$AD$5:$AD$1000,$N86),""),IF(INDEX('Cronograma R. Operacional'!$J$5:$J$1000,$N86)="","",INDEX('Cronograma R. Operacional'!$J$5:$J$1000,$N86))))</f>
        <v/>
      </c>
      <c r="H86" s="61">
        <f>IF($N86="","",IF($P86&gt;0,IF(3&lt;=SemanaActual,INDEX('Cronograma R. Operacional'!$AE$5:$AE$1000,$N86),""),IF(INDEX('Cronograma R. Operacional'!$K$5:$K$1000,$N86)="","",INDEX('Cronograma R. Operacional'!$K$5:$K$1000,$N86))))</f>
        <v/>
      </c>
      <c r="I86" s="61">
        <f>IF($N86="","",IF($P86&gt;0,IF(4&lt;=SemanaActual,INDEX('Cronograma R. Operacional'!$AF$5:$AF$1000,$N86),""),IF(INDEX('Cronograma R. Operacional'!$L$5:$L$1000,$N86)="","",INDEX('Cronograma R. Operacional'!$L$5:$L$1000,$N86))))</f>
        <v/>
      </c>
      <c r="J86" s="61">
        <f>IF($N86="","",INDEX('Cronograma R. Operacional'!$M$5:$M$1000,$N86))</f>
        <v/>
      </c>
      <c r="K86" s="56">
        <f>IF($N86="","",IF(N($J86)&gt;=1,"Completado",IF(AND(ISNUMBER($D86),$D86&lt;FechaRef),"Vencida",IF(N($J86)&gt;0,"En curso","Pendiente"))))</f>
        <v/>
      </c>
      <c r="L86" s="56">
        <f>IF($N86="","",INDEX('Cronograma R. Operacional'!$O$5:$O$1000,$N86)&amp;"")</f>
        <v/>
      </c>
      <c r="M86" s="62">
        <f>IF($N86="","",INDEX('Cronograma R. Operacional'!$Q$5:$Q$1000,$N86)&amp;"")</f>
        <v/>
      </c>
      <c r="N86">
        <f>IFERROR(MATCH(ROW()-4,rOrden_RO,0),"")</f>
        <v/>
      </c>
      <c r="O86">
        <f>IF($N86="","",INDEX('Cronograma R. Operacional'!$V$5:$V$1000,$N86))</f>
        <v/>
      </c>
      <c r="P86">
        <f>IF($N86="","",N(INDEX('Cronograma R. Operacional'!$W$5:$W$1000,$N86)))</f>
        <v/>
      </c>
      <c r="Q86">
        <f>IF(OR(LEFT($L86,7)="Vencida",LEFT($L86,5)="Vence"),SUMPRODUCT(--(LEFT($L$5:$L86,7)="Vencida"))+SUMPRODUCT(--(LEFT($L$5:$L86,5)="Vence")),"")</f>
        <v/>
      </c>
    </row>
    <row r="87">
      <c r="A87" s="56">
        <f>IF($N87="","",INDEX('Cronograma R. Operacional'!$A$5:$A$1000,$N87))</f>
        <v/>
      </c>
      <c r="B87" s="62">
        <f>IF($N87="","",IF($O87="Sub","      ↳  "&amp;INDEX('Cronograma R. Operacional'!$C$5:$C$1000,$N87),INDEX('Cronograma R. Operacional'!$C$5:$C$1000,$N87)&amp;""))</f>
        <v/>
      </c>
      <c r="C87" s="79">
        <f>IF($N87="","",IF(INDEX('Cronograma R. Operacional'!$AM$5:$AM$1000,$N87)="","",INDEX('Cronograma R. Operacional'!$AM$5:$AM$1000,$N87)))</f>
        <v/>
      </c>
      <c r="D87" s="79">
        <f>IF($N87="","",IF(INDEX('Cronograma R. Operacional'!$AN$5:$AN$1000,$N87)="","",INDEX('Cronograma R. Operacional'!$AN$5:$AN$1000,$N87)))</f>
        <v/>
      </c>
      <c r="E87" s="56">
        <f>IF($N87="","",IF(NOT(ISNUMBER($D87)),"",IF($D87&lt;InicioCiclo,"Antes del ciclo",IF($D87&gt;=InicioCiclo+28,"Después del ciclo","Semana "&amp;(INT(($D87-InicioCiclo)/7)+1)))))</f>
        <v/>
      </c>
      <c r="F87" s="61">
        <f>IF($N87="","",IF($P87&gt;0,IF(1&lt;=SemanaActual,INDEX('Cronograma R. Operacional'!$AC$5:$AC$1000,$N87),""),IF(INDEX('Cronograma R. Operacional'!$I$5:$I$1000,$N87)="","",INDEX('Cronograma R. Operacional'!$I$5:$I$1000,$N87))))</f>
        <v/>
      </c>
      <c r="G87" s="61">
        <f>IF($N87="","",IF($P87&gt;0,IF(2&lt;=SemanaActual,INDEX('Cronograma R. Operacional'!$AD$5:$AD$1000,$N87),""),IF(INDEX('Cronograma R. Operacional'!$J$5:$J$1000,$N87)="","",INDEX('Cronograma R. Operacional'!$J$5:$J$1000,$N87))))</f>
        <v/>
      </c>
      <c r="H87" s="61">
        <f>IF($N87="","",IF($P87&gt;0,IF(3&lt;=SemanaActual,INDEX('Cronograma R. Operacional'!$AE$5:$AE$1000,$N87),""),IF(INDEX('Cronograma R. Operacional'!$K$5:$K$1000,$N87)="","",INDEX('Cronograma R. Operacional'!$K$5:$K$1000,$N87))))</f>
        <v/>
      </c>
      <c r="I87" s="61">
        <f>IF($N87="","",IF($P87&gt;0,IF(4&lt;=SemanaActual,INDEX('Cronograma R. Operacional'!$AF$5:$AF$1000,$N87),""),IF(INDEX('Cronograma R. Operacional'!$L$5:$L$1000,$N87)="","",INDEX('Cronograma R. Operacional'!$L$5:$L$1000,$N87))))</f>
        <v/>
      </c>
      <c r="J87" s="61">
        <f>IF($N87="","",INDEX('Cronograma R. Operacional'!$M$5:$M$1000,$N87))</f>
        <v/>
      </c>
      <c r="K87" s="56">
        <f>IF($N87="","",IF(N($J87)&gt;=1,"Completado",IF(AND(ISNUMBER($D87),$D87&lt;FechaRef),"Vencida",IF(N($J87)&gt;0,"En curso","Pendiente"))))</f>
        <v/>
      </c>
      <c r="L87" s="56">
        <f>IF($N87="","",INDEX('Cronograma R. Operacional'!$O$5:$O$1000,$N87)&amp;"")</f>
        <v/>
      </c>
      <c r="M87" s="62">
        <f>IF($N87="","",INDEX('Cronograma R. Operacional'!$Q$5:$Q$1000,$N87)&amp;"")</f>
        <v/>
      </c>
      <c r="N87">
        <f>IFERROR(MATCH(ROW()-4,rOrden_RO,0),"")</f>
        <v/>
      </c>
      <c r="O87">
        <f>IF($N87="","",INDEX('Cronograma R. Operacional'!$V$5:$V$1000,$N87))</f>
        <v/>
      </c>
      <c r="P87">
        <f>IF($N87="","",N(INDEX('Cronograma R. Operacional'!$W$5:$W$1000,$N87)))</f>
        <v/>
      </c>
      <c r="Q87">
        <f>IF(OR(LEFT($L87,7)="Vencida",LEFT($L87,5)="Vence"),SUMPRODUCT(--(LEFT($L$5:$L87,7)="Vencida"))+SUMPRODUCT(--(LEFT($L$5:$L87,5)="Vence")),"")</f>
        <v/>
      </c>
    </row>
    <row r="88">
      <c r="A88" s="56">
        <f>IF($N88="","",INDEX('Cronograma R. Operacional'!$A$5:$A$1000,$N88))</f>
        <v/>
      </c>
      <c r="B88" s="62">
        <f>IF($N88="","",IF($O88="Sub","      ↳  "&amp;INDEX('Cronograma R. Operacional'!$C$5:$C$1000,$N88),INDEX('Cronograma R. Operacional'!$C$5:$C$1000,$N88)&amp;""))</f>
        <v/>
      </c>
      <c r="C88" s="79">
        <f>IF($N88="","",IF(INDEX('Cronograma R. Operacional'!$AM$5:$AM$1000,$N88)="","",INDEX('Cronograma R. Operacional'!$AM$5:$AM$1000,$N88)))</f>
        <v/>
      </c>
      <c r="D88" s="79">
        <f>IF($N88="","",IF(INDEX('Cronograma R. Operacional'!$AN$5:$AN$1000,$N88)="","",INDEX('Cronograma R. Operacional'!$AN$5:$AN$1000,$N88)))</f>
        <v/>
      </c>
      <c r="E88" s="56">
        <f>IF($N88="","",IF(NOT(ISNUMBER($D88)),"",IF($D88&lt;InicioCiclo,"Antes del ciclo",IF($D88&gt;=InicioCiclo+28,"Después del ciclo","Semana "&amp;(INT(($D88-InicioCiclo)/7)+1)))))</f>
        <v/>
      </c>
      <c r="F88" s="61">
        <f>IF($N88="","",IF($P88&gt;0,IF(1&lt;=SemanaActual,INDEX('Cronograma R. Operacional'!$AC$5:$AC$1000,$N88),""),IF(INDEX('Cronograma R. Operacional'!$I$5:$I$1000,$N88)="","",INDEX('Cronograma R. Operacional'!$I$5:$I$1000,$N88))))</f>
        <v/>
      </c>
      <c r="G88" s="61">
        <f>IF($N88="","",IF($P88&gt;0,IF(2&lt;=SemanaActual,INDEX('Cronograma R. Operacional'!$AD$5:$AD$1000,$N88),""),IF(INDEX('Cronograma R. Operacional'!$J$5:$J$1000,$N88)="","",INDEX('Cronograma R. Operacional'!$J$5:$J$1000,$N88))))</f>
        <v/>
      </c>
      <c r="H88" s="61">
        <f>IF($N88="","",IF($P88&gt;0,IF(3&lt;=SemanaActual,INDEX('Cronograma R. Operacional'!$AE$5:$AE$1000,$N88),""),IF(INDEX('Cronograma R. Operacional'!$K$5:$K$1000,$N88)="","",INDEX('Cronograma R. Operacional'!$K$5:$K$1000,$N88))))</f>
        <v/>
      </c>
      <c r="I88" s="61">
        <f>IF($N88="","",IF($P88&gt;0,IF(4&lt;=SemanaActual,INDEX('Cronograma R. Operacional'!$AF$5:$AF$1000,$N88),""),IF(INDEX('Cronograma R. Operacional'!$L$5:$L$1000,$N88)="","",INDEX('Cronograma R. Operacional'!$L$5:$L$1000,$N88))))</f>
        <v/>
      </c>
      <c r="J88" s="61">
        <f>IF($N88="","",INDEX('Cronograma R. Operacional'!$M$5:$M$1000,$N88))</f>
        <v/>
      </c>
      <c r="K88" s="56">
        <f>IF($N88="","",IF(N($J88)&gt;=1,"Completado",IF(AND(ISNUMBER($D88),$D88&lt;FechaRef),"Vencida",IF(N($J88)&gt;0,"En curso","Pendiente"))))</f>
        <v/>
      </c>
      <c r="L88" s="56">
        <f>IF($N88="","",INDEX('Cronograma R. Operacional'!$O$5:$O$1000,$N88)&amp;"")</f>
        <v/>
      </c>
      <c r="M88" s="62">
        <f>IF($N88="","",INDEX('Cronograma R. Operacional'!$Q$5:$Q$1000,$N88)&amp;"")</f>
        <v/>
      </c>
      <c r="N88">
        <f>IFERROR(MATCH(ROW()-4,rOrden_RO,0),"")</f>
        <v/>
      </c>
      <c r="O88">
        <f>IF($N88="","",INDEX('Cronograma R. Operacional'!$V$5:$V$1000,$N88))</f>
        <v/>
      </c>
      <c r="P88">
        <f>IF($N88="","",N(INDEX('Cronograma R. Operacional'!$W$5:$W$1000,$N88)))</f>
        <v/>
      </c>
      <c r="Q88">
        <f>IF(OR(LEFT($L88,7)="Vencida",LEFT($L88,5)="Vence"),SUMPRODUCT(--(LEFT($L$5:$L88,7)="Vencida"))+SUMPRODUCT(--(LEFT($L$5:$L88,5)="Vence")),"")</f>
        <v/>
      </c>
    </row>
    <row r="89">
      <c r="A89" s="56">
        <f>IF($N89="","",INDEX('Cronograma R. Operacional'!$A$5:$A$1000,$N89))</f>
        <v/>
      </c>
      <c r="B89" s="62">
        <f>IF($N89="","",IF($O89="Sub","      ↳  "&amp;INDEX('Cronograma R. Operacional'!$C$5:$C$1000,$N89),INDEX('Cronograma R. Operacional'!$C$5:$C$1000,$N89)&amp;""))</f>
        <v/>
      </c>
      <c r="C89" s="79">
        <f>IF($N89="","",IF(INDEX('Cronograma R. Operacional'!$AM$5:$AM$1000,$N89)="","",INDEX('Cronograma R. Operacional'!$AM$5:$AM$1000,$N89)))</f>
        <v/>
      </c>
      <c r="D89" s="79">
        <f>IF($N89="","",IF(INDEX('Cronograma R. Operacional'!$AN$5:$AN$1000,$N89)="","",INDEX('Cronograma R. Operacional'!$AN$5:$AN$1000,$N89)))</f>
        <v/>
      </c>
      <c r="E89" s="56">
        <f>IF($N89="","",IF(NOT(ISNUMBER($D89)),"",IF($D89&lt;InicioCiclo,"Antes del ciclo",IF($D89&gt;=InicioCiclo+28,"Después del ciclo","Semana "&amp;(INT(($D89-InicioCiclo)/7)+1)))))</f>
        <v/>
      </c>
      <c r="F89" s="61">
        <f>IF($N89="","",IF($P89&gt;0,IF(1&lt;=SemanaActual,INDEX('Cronograma R. Operacional'!$AC$5:$AC$1000,$N89),""),IF(INDEX('Cronograma R. Operacional'!$I$5:$I$1000,$N89)="","",INDEX('Cronograma R. Operacional'!$I$5:$I$1000,$N89))))</f>
        <v/>
      </c>
      <c r="G89" s="61">
        <f>IF($N89="","",IF($P89&gt;0,IF(2&lt;=SemanaActual,INDEX('Cronograma R. Operacional'!$AD$5:$AD$1000,$N89),""),IF(INDEX('Cronograma R. Operacional'!$J$5:$J$1000,$N89)="","",INDEX('Cronograma R. Operacional'!$J$5:$J$1000,$N89))))</f>
        <v/>
      </c>
      <c r="H89" s="61">
        <f>IF($N89="","",IF($P89&gt;0,IF(3&lt;=SemanaActual,INDEX('Cronograma R. Operacional'!$AE$5:$AE$1000,$N89),""),IF(INDEX('Cronograma R. Operacional'!$K$5:$K$1000,$N89)="","",INDEX('Cronograma R. Operacional'!$K$5:$K$1000,$N89))))</f>
        <v/>
      </c>
      <c r="I89" s="61">
        <f>IF($N89="","",IF($P89&gt;0,IF(4&lt;=SemanaActual,INDEX('Cronograma R. Operacional'!$AF$5:$AF$1000,$N89),""),IF(INDEX('Cronograma R. Operacional'!$L$5:$L$1000,$N89)="","",INDEX('Cronograma R. Operacional'!$L$5:$L$1000,$N89))))</f>
        <v/>
      </c>
      <c r="J89" s="61">
        <f>IF($N89="","",INDEX('Cronograma R. Operacional'!$M$5:$M$1000,$N89))</f>
        <v/>
      </c>
      <c r="K89" s="56">
        <f>IF($N89="","",IF(N($J89)&gt;=1,"Completado",IF(AND(ISNUMBER($D89),$D89&lt;FechaRef),"Vencida",IF(N($J89)&gt;0,"En curso","Pendiente"))))</f>
        <v/>
      </c>
      <c r="L89" s="56">
        <f>IF($N89="","",INDEX('Cronograma R. Operacional'!$O$5:$O$1000,$N89)&amp;"")</f>
        <v/>
      </c>
      <c r="M89" s="62">
        <f>IF($N89="","",INDEX('Cronograma R. Operacional'!$Q$5:$Q$1000,$N89)&amp;"")</f>
        <v/>
      </c>
      <c r="N89">
        <f>IFERROR(MATCH(ROW()-4,rOrden_RO,0),"")</f>
        <v/>
      </c>
      <c r="O89">
        <f>IF($N89="","",INDEX('Cronograma R. Operacional'!$V$5:$V$1000,$N89))</f>
        <v/>
      </c>
      <c r="P89">
        <f>IF($N89="","",N(INDEX('Cronograma R. Operacional'!$W$5:$W$1000,$N89)))</f>
        <v/>
      </c>
      <c r="Q89">
        <f>IF(OR(LEFT($L89,7)="Vencida",LEFT($L89,5)="Vence"),SUMPRODUCT(--(LEFT($L$5:$L89,7)="Vencida"))+SUMPRODUCT(--(LEFT($L$5:$L89,5)="Vence")),"")</f>
        <v/>
      </c>
    </row>
    <row r="90">
      <c r="A90" s="56">
        <f>IF($N90="","",INDEX('Cronograma R. Operacional'!$A$5:$A$1000,$N90))</f>
        <v/>
      </c>
      <c r="B90" s="62">
        <f>IF($N90="","",IF($O90="Sub","      ↳  "&amp;INDEX('Cronograma R. Operacional'!$C$5:$C$1000,$N90),INDEX('Cronograma R. Operacional'!$C$5:$C$1000,$N90)&amp;""))</f>
        <v/>
      </c>
      <c r="C90" s="79">
        <f>IF($N90="","",IF(INDEX('Cronograma R. Operacional'!$AM$5:$AM$1000,$N90)="","",INDEX('Cronograma R. Operacional'!$AM$5:$AM$1000,$N90)))</f>
        <v/>
      </c>
      <c r="D90" s="79">
        <f>IF($N90="","",IF(INDEX('Cronograma R. Operacional'!$AN$5:$AN$1000,$N90)="","",INDEX('Cronograma R. Operacional'!$AN$5:$AN$1000,$N90)))</f>
        <v/>
      </c>
      <c r="E90" s="56">
        <f>IF($N90="","",IF(NOT(ISNUMBER($D90)),"",IF($D90&lt;InicioCiclo,"Antes del ciclo",IF($D90&gt;=InicioCiclo+28,"Después del ciclo","Semana "&amp;(INT(($D90-InicioCiclo)/7)+1)))))</f>
        <v/>
      </c>
      <c r="F90" s="61">
        <f>IF($N90="","",IF($P90&gt;0,IF(1&lt;=SemanaActual,INDEX('Cronograma R. Operacional'!$AC$5:$AC$1000,$N90),""),IF(INDEX('Cronograma R. Operacional'!$I$5:$I$1000,$N90)="","",INDEX('Cronograma R. Operacional'!$I$5:$I$1000,$N90))))</f>
        <v/>
      </c>
      <c r="G90" s="61">
        <f>IF($N90="","",IF($P90&gt;0,IF(2&lt;=SemanaActual,INDEX('Cronograma R. Operacional'!$AD$5:$AD$1000,$N90),""),IF(INDEX('Cronograma R. Operacional'!$J$5:$J$1000,$N90)="","",INDEX('Cronograma R. Operacional'!$J$5:$J$1000,$N90))))</f>
        <v/>
      </c>
      <c r="H90" s="61">
        <f>IF($N90="","",IF($P90&gt;0,IF(3&lt;=SemanaActual,INDEX('Cronograma R. Operacional'!$AE$5:$AE$1000,$N90),""),IF(INDEX('Cronograma R. Operacional'!$K$5:$K$1000,$N90)="","",INDEX('Cronograma R. Operacional'!$K$5:$K$1000,$N90))))</f>
        <v/>
      </c>
      <c r="I90" s="61">
        <f>IF($N90="","",IF($P90&gt;0,IF(4&lt;=SemanaActual,INDEX('Cronograma R. Operacional'!$AF$5:$AF$1000,$N90),""),IF(INDEX('Cronograma R. Operacional'!$L$5:$L$1000,$N90)="","",INDEX('Cronograma R. Operacional'!$L$5:$L$1000,$N90))))</f>
        <v/>
      </c>
      <c r="J90" s="61">
        <f>IF($N90="","",INDEX('Cronograma R. Operacional'!$M$5:$M$1000,$N90))</f>
        <v/>
      </c>
      <c r="K90" s="56">
        <f>IF($N90="","",IF(N($J90)&gt;=1,"Completado",IF(AND(ISNUMBER($D90),$D90&lt;FechaRef),"Vencida",IF(N($J90)&gt;0,"En curso","Pendiente"))))</f>
        <v/>
      </c>
      <c r="L90" s="56">
        <f>IF($N90="","",INDEX('Cronograma R. Operacional'!$O$5:$O$1000,$N90)&amp;"")</f>
        <v/>
      </c>
      <c r="M90" s="62">
        <f>IF($N90="","",INDEX('Cronograma R. Operacional'!$Q$5:$Q$1000,$N90)&amp;"")</f>
        <v/>
      </c>
      <c r="N90">
        <f>IFERROR(MATCH(ROW()-4,rOrden_RO,0),"")</f>
        <v/>
      </c>
      <c r="O90">
        <f>IF($N90="","",INDEX('Cronograma R. Operacional'!$V$5:$V$1000,$N90))</f>
        <v/>
      </c>
      <c r="P90">
        <f>IF($N90="","",N(INDEX('Cronograma R. Operacional'!$W$5:$W$1000,$N90)))</f>
        <v/>
      </c>
      <c r="Q90">
        <f>IF(OR(LEFT($L90,7)="Vencida",LEFT($L90,5)="Vence"),SUMPRODUCT(--(LEFT($L$5:$L90,7)="Vencida"))+SUMPRODUCT(--(LEFT($L$5:$L90,5)="Vence")),"")</f>
        <v/>
      </c>
    </row>
    <row r="91">
      <c r="A91" s="56">
        <f>IF($N91="","",INDEX('Cronograma R. Operacional'!$A$5:$A$1000,$N91))</f>
        <v/>
      </c>
      <c r="B91" s="62">
        <f>IF($N91="","",IF($O91="Sub","      ↳  "&amp;INDEX('Cronograma R. Operacional'!$C$5:$C$1000,$N91),INDEX('Cronograma R. Operacional'!$C$5:$C$1000,$N91)&amp;""))</f>
        <v/>
      </c>
      <c r="C91" s="79">
        <f>IF($N91="","",IF(INDEX('Cronograma R. Operacional'!$AM$5:$AM$1000,$N91)="","",INDEX('Cronograma R. Operacional'!$AM$5:$AM$1000,$N91)))</f>
        <v/>
      </c>
      <c r="D91" s="79">
        <f>IF($N91="","",IF(INDEX('Cronograma R. Operacional'!$AN$5:$AN$1000,$N91)="","",INDEX('Cronograma R. Operacional'!$AN$5:$AN$1000,$N91)))</f>
        <v/>
      </c>
      <c r="E91" s="56">
        <f>IF($N91="","",IF(NOT(ISNUMBER($D91)),"",IF($D91&lt;InicioCiclo,"Antes del ciclo",IF($D91&gt;=InicioCiclo+28,"Después del ciclo","Semana "&amp;(INT(($D91-InicioCiclo)/7)+1)))))</f>
        <v/>
      </c>
      <c r="F91" s="61">
        <f>IF($N91="","",IF($P91&gt;0,IF(1&lt;=SemanaActual,INDEX('Cronograma R. Operacional'!$AC$5:$AC$1000,$N91),""),IF(INDEX('Cronograma R. Operacional'!$I$5:$I$1000,$N91)="","",INDEX('Cronograma R. Operacional'!$I$5:$I$1000,$N91))))</f>
        <v/>
      </c>
      <c r="G91" s="61">
        <f>IF($N91="","",IF($P91&gt;0,IF(2&lt;=SemanaActual,INDEX('Cronograma R. Operacional'!$AD$5:$AD$1000,$N91),""),IF(INDEX('Cronograma R. Operacional'!$J$5:$J$1000,$N91)="","",INDEX('Cronograma R. Operacional'!$J$5:$J$1000,$N91))))</f>
        <v/>
      </c>
      <c r="H91" s="61">
        <f>IF($N91="","",IF($P91&gt;0,IF(3&lt;=SemanaActual,INDEX('Cronograma R. Operacional'!$AE$5:$AE$1000,$N91),""),IF(INDEX('Cronograma R. Operacional'!$K$5:$K$1000,$N91)="","",INDEX('Cronograma R. Operacional'!$K$5:$K$1000,$N91))))</f>
        <v/>
      </c>
      <c r="I91" s="61">
        <f>IF($N91="","",IF($P91&gt;0,IF(4&lt;=SemanaActual,INDEX('Cronograma R. Operacional'!$AF$5:$AF$1000,$N91),""),IF(INDEX('Cronograma R. Operacional'!$L$5:$L$1000,$N91)="","",INDEX('Cronograma R. Operacional'!$L$5:$L$1000,$N91))))</f>
        <v/>
      </c>
      <c r="J91" s="61">
        <f>IF($N91="","",INDEX('Cronograma R. Operacional'!$M$5:$M$1000,$N91))</f>
        <v/>
      </c>
      <c r="K91" s="56">
        <f>IF($N91="","",IF(N($J91)&gt;=1,"Completado",IF(AND(ISNUMBER($D91),$D91&lt;FechaRef),"Vencida",IF(N($J91)&gt;0,"En curso","Pendiente"))))</f>
        <v/>
      </c>
      <c r="L91" s="56">
        <f>IF($N91="","",INDEX('Cronograma R. Operacional'!$O$5:$O$1000,$N91)&amp;"")</f>
        <v/>
      </c>
      <c r="M91" s="62">
        <f>IF($N91="","",INDEX('Cronograma R. Operacional'!$Q$5:$Q$1000,$N91)&amp;"")</f>
        <v/>
      </c>
      <c r="N91">
        <f>IFERROR(MATCH(ROW()-4,rOrden_RO,0),"")</f>
        <v/>
      </c>
      <c r="O91">
        <f>IF($N91="","",INDEX('Cronograma R. Operacional'!$V$5:$V$1000,$N91))</f>
        <v/>
      </c>
      <c r="P91">
        <f>IF($N91="","",N(INDEX('Cronograma R. Operacional'!$W$5:$W$1000,$N91)))</f>
        <v/>
      </c>
      <c r="Q91">
        <f>IF(OR(LEFT($L91,7)="Vencida",LEFT($L91,5)="Vence"),SUMPRODUCT(--(LEFT($L$5:$L91,7)="Vencida"))+SUMPRODUCT(--(LEFT($L$5:$L91,5)="Vence")),"")</f>
        <v/>
      </c>
    </row>
    <row r="92">
      <c r="A92" s="56">
        <f>IF($N92="","",INDEX('Cronograma R. Operacional'!$A$5:$A$1000,$N92))</f>
        <v/>
      </c>
      <c r="B92" s="62">
        <f>IF($N92="","",IF($O92="Sub","      ↳  "&amp;INDEX('Cronograma R. Operacional'!$C$5:$C$1000,$N92),INDEX('Cronograma R. Operacional'!$C$5:$C$1000,$N92)&amp;""))</f>
        <v/>
      </c>
      <c r="C92" s="79">
        <f>IF($N92="","",IF(INDEX('Cronograma R. Operacional'!$AM$5:$AM$1000,$N92)="","",INDEX('Cronograma R. Operacional'!$AM$5:$AM$1000,$N92)))</f>
        <v/>
      </c>
      <c r="D92" s="79">
        <f>IF($N92="","",IF(INDEX('Cronograma R. Operacional'!$AN$5:$AN$1000,$N92)="","",INDEX('Cronograma R. Operacional'!$AN$5:$AN$1000,$N92)))</f>
        <v/>
      </c>
      <c r="E92" s="56">
        <f>IF($N92="","",IF(NOT(ISNUMBER($D92)),"",IF($D92&lt;InicioCiclo,"Antes del ciclo",IF($D92&gt;=InicioCiclo+28,"Después del ciclo","Semana "&amp;(INT(($D92-InicioCiclo)/7)+1)))))</f>
        <v/>
      </c>
      <c r="F92" s="61">
        <f>IF($N92="","",IF($P92&gt;0,IF(1&lt;=SemanaActual,INDEX('Cronograma R. Operacional'!$AC$5:$AC$1000,$N92),""),IF(INDEX('Cronograma R. Operacional'!$I$5:$I$1000,$N92)="","",INDEX('Cronograma R. Operacional'!$I$5:$I$1000,$N92))))</f>
        <v/>
      </c>
      <c r="G92" s="61">
        <f>IF($N92="","",IF($P92&gt;0,IF(2&lt;=SemanaActual,INDEX('Cronograma R. Operacional'!$AD$5:$AD$1000,$N92),""),IF(INDEX('Cronograma R. Operacional'!$J$5:$J$1000,$N92)="","",INDEX('Cronograma R. Operacional'!$J$5:$J$1000,$N92))))</f>
        <v/>
      </c>
      <c r="H92" s="61">
        <f>IF($N92="","",IF($P92&gt;0,IF(3&lt;=SemanaActual,INDEX('Cronograma R. Operacional'!$AE$5:$AE$1000,$N92),""),IF(INDEX('Cronograma R. Operacional'!$K$5:$K$1000,$N92)="","",INDEX('Cronograma R. Operacional'!$K$5:$K$1000,$N92))))</f>
        <v/>
      </c>
      <c r="I92" s="61">
        <f>IF($N92="","",IF($P92&gt;0,IF(4&lt;=SemanaActual,INDEX('Cronograma R. Operacional'!$AF$5:$AF$1000,$N92),""),IF(INDEX('Cronograma R. Operacional'!$L$5:$L$1000,$N92)="","",INDEX('Cronograma R. Operacional'!$L$5:$L$1000,$N92))))</f>
        <v/>
      </c>
      <c r="J92" s="61">
        <f>IF($N92="","",INDEX('Cronograma R. Operacional'!$M$5:$M$1000,$N92))</f>
        <v/>
      </c>
      <c r="K92" s="56">
        <f>IF($N92="","",IF(N($J92)&gt;=1,"Completado",IF(AND(ISNUMBER($D92),$D92&lt;FechaRef),"Vencida",IF(N($J92)&gt;0,"En curso","Pendiente"))))</f>
        <v/>
      </c>
      <c r="L92" s="56">
        <f>IF($N92="","",INDEX('Cronograma R. Operacional'!$O$5:$O$1000,$N92)&amp;"")</f>
        <v/>
      </c>
      <c r="M92" s="62">
        <f>IF($N92="","",INDEX('Cronograma R. Operacional'!$Q$5:$Q$1000,$N92)&amp;"")</f>
        <v/>
      </c>
      <c r="N92">
        <f>IFERROR(MATCH(ROW()-4,rOrden_RO,0),"")</f>
        <v/>
      </c>
      <c r="O92">
        <f>IF($N92="","",INDEX('Cronograma R. Operacional'!$V$5:$V$1000,$N92))</f>
        <v/>
      </c>
      <c r="P92">
        <f>IF($N92="","",N(INDEX('Cronograma R. Operacional'!$W$5:$W$1000,$N92)))</f>
        <v/>
      </c>
      <c r="Q92">
        <f>IF(OR(LEFT($L92,7)="Vencida",LEFT($L92,5)="Vence"),SUMPRODUCT(--(LEFT($L$5:$L92,7)="Vencida"))+SUMPRODUCT(--(LEFT($L$5:$L92,5)="Vence")),"")</f>
        <v/>
      </c>
    </row>
    <row r="93">
      <c r="A93" s="56">
        <f>IF($N93="","",INDEX('Cronograma R. Operacional'!$A$5:$A$1000,$N93))</f>
        <v/>
      </c>
      <c r="B93" s="62">
        <f>IF($N93="","",IF($O93="Sub","      ↳  "&amp;INDEX('Cronograma R. Operacional'!$C$5:$C$1000,$N93),INDEX('Cronograma R. Operacional'!$C$5:$C$1000,$N93)&amp;""))</f>
        <v/>
      </c>
      <c r="C93" s="79">
        <f>IF($N93="","",IF(INDEX('Cronograma R. Operacional'!$AM$5:$AM$1000,$N93)="","",INDEX('Cronograma R. Operacional'!$AM$5:$AM$1000,$N93)))</f>
        <v/>
      </c>
      <c r="D93" s="79">
        <f>IF($N93="","",IF(INDEX('Cronograma R. Operacional'!$AN$5:$AN$1000,$N93)="","",INDEX('Cronograma R. Operacional'!$AN$5:$AN$1000,$N93)))</f>
        <v/>
      </c>
      <c r="E93" s="56">
        <f>IF($N93="","",IF(NOT(ISNUMBER($D93)),"",IF($D93&lt;InicioCiclo,"Antes del ciclo",IF($D93&gt;=InicioCiclo+28,"Después del ciclo","Semana "&amp;(INT(($D93-InicioCiclo)/7)+1)))))</f>
        <v/>
      </c>
      <c r="F93" s="61">
        <f>IF($N93="","",IF($P93&gt;0,IF(1&lt;=SemanaActual,INDEX('Cronograma R. Operacional'!$AC$5:$AC$1000,$N93),""),IF(INDEX('Cronograma R. Operacional'!$I$5:$I$1000,$N93)="","",INDEX('Cronograma R. Operacional'!$I$5:$I$1000,$N93))))</f>
        <v/>
      </c>
      <c r="G93" s="61">
        <f>IF($N93="","",IF($P93&gt;0,IF(2&lt;=SemanaActual,INDEX('Cronograma R. Operacional'!$AD$5:$AD$1000,$N93),""),IF(INDEX('Cronograma R. Operacional'!$J$5:$J$1000,$N93)="","",INDEX('Cronograma R. Operacional'!$J$5:$J$1000,$N93))))</f>
        <v/>
      </c>
      <c r="H93" s="61">
        <f>IF($N93="","",IF($P93&gt;0,IF(3&lt;=SemanaActual,INDEX('Cronograma R. Operacional'!$AE$5:$AE$1000,$N93),""),IF(INDEX('Cronograma R. Operacional'!$K$5:$K$1000,$N93)="","",INDEX('Cronograma R. Operacional'!$K$5:$K$1000,$N93))))</f>
        <v/>
      </c>
      <c r="I93" s="61">
        <f>IF($N93="","",IF($P93&gt;0,IF(4&lt;=SemanaActual,INDEX('Cronograma R. Operacional'!$AF$5:$AF$1000,$N93),""),IF(INDEX('Cronograma R. Operacional'!$L$5:$L$1000,$N93)="","",INDEX('Cronograma R. Operacional'!$L$5:$L$1000,$N93))))</f>
        <v/>
      </c>
      <c r="J93" s="61">
        <f>IF($N93="","",INDEX('Cronograma R. Operacional'!$M$5:$M$1000,$N93))</f>
        <v/>
      </c>
      <c r="K93" s="56">
        <f>IF($N93="","",IF(N($J93)&gt;=1,"Completado",IF(AND(ISNUMBER($D93),$D93&lt;FechaRef),"Vencida",IF(N($J93)&gt;0,"En curso","Pendiente"))))</f>
        <v/>
      </c>
      <c r="L93" s="56">
        <f>IF($N93="","",INDEX('Cronograma R. Operacional'!$O$5:$O$1000,$N93)&amp;"")</f>
        <v/>
      </c>
      <c r="M93" s="62">
        <f>IF($N93="","",INDEX('Cronograma R. Operacional'!$Q$5:$Q$1000,$N93)&amp;"")</f>
        <v/>
      </c>
      <c r="N93">
        <f>IFERROR(MATCH(ROW()-4,rOrden_RO,0),"")</f>
        <v/>
      </c>
      <c r="O93">
        <f>IF($N93="","",INDEX('Cronograma R. Operacional'!$V$5:$V$1000,$N93))</f>
        <v/>
      </c>
      <c r="P93">
        <f>IF($N93="","",N(INDEX('Cronograma R. Operacional'!$W$5:$W$1000,$N93)))</f>
        <v/>
      </c>
      <c r="Q93">
        <f>IF(OR(LEFT($L93,7)="Vencida",LEFT($L93,5)="Vence"),SUMPRODUCT(--(LEFT($L$5:$L93,7)="Vencida"))+SUMPRODUCT(--(LEFT($L$5:$L93,5)="Vence")),"")</f>
        <v/>
      </c>
    </row>
    <row r="94">
      <c r="A94" s="56">
        <f>IF($N94="","",INDEX('Cronograma R. Operacional'!$A$5:$A$1000,$N94))</f>
        <v/>
      </c>
      <c r="B94" s="62">
        <f>IF($N94="","",IF($O94="Sub","      ↳  "&amp;INDEX('Cronograma R. Operacional'!$C$5:$C$1000,$N94),INDEX('Cronograma R. Operacional'!$C$5:$C$1000,$N94)&amp;""))</f>
        <v/>
      </c>
      <c r="C94" s="79">
        <f>IF($N94="","",IF(INDEX('Cronograma R. Operacional'!$AM$5:$AM$1000,$N94)="","",INDEX('Cronograma R. Operacional'!$AM$5:$AM$1000,$N94)))</f>
        <v/>
      </c>
      <c r="D94" s="79">
        <f>IF($N94="","",IF(INDEX('Cronograma R. Operacional'!$AN$5:$AN$1000,$N94)="","",INDEX('Cronograma R. Operacional'!$AN$5:$AN$1000,$N94)))</f>
        <v/>
      </c>
      <c r="E94" s="56">
        <f>IF($N94="","",IF(NOT(ISNUMBER($D94)),"",IF($D94&lt;InicioCiclo,"Antes del ciclo",IF($D94&gt;=InicioCiclo+28,"Después del ciclo","Semana "&amp;(INT(($D94-InicioCiclo)/7)+1)))))</f>
        <v/>
      </c>
      <c r="F94" s="61">
        <f>IF($N94="","",IF($P94&gt;0,IF(1&lt;=SemanaActual,INDEX('Cronograma R. Operacional'!$AC$5:$AC$1000,$N94),""),IF(INDEX('Cronograma R. Operacional'!$I$5:$I$1000,$N94)="","",INDEX('Cronograma R. Operacional'!$I$5:$I$1000,$N94))))</f>
        <v/>
      </c>
      <c r="G94" s="61">
        <f>IF($N94="","",IF($P94&gt;0,IF(2&lt;=SemanaActual,INDEX('Cronograma R. Operacional'!$AD$5:$AD$1000,$N94),""),IF(INDEX('Cronograma R. Operacional'!$J$5:$J$1000,$N94)="","",INDEX('Cronograma R. Operacional'!$J$5:$J$1000,$N94))))</f>
        <v/>
      </c>
      <c r="H94" s="61">
        <f>IF($N94="","",IF($P94&gt;0,IF(3&lt;=SemanaActual,INDEX('Cronograma R. Operacional'!$AE$5:$AE$1000,$N94),""),IF(INDEX('Cronograma R. Operacional'!$K$5:$K$1000,$N94)="","",INDEX('Cronograma R. Operacional'!$K$5:$K$1000,$N94))))</f>
        <v/>
      </c>
      <c r="I94" s="61">
        <f>IF($N94="","",IF($P94&gt;0,IF(4&lt;=SemanaActual,INDEX('Cronograma R. Operacional'!$AF$5:$AF$1000,$N94),""),IF(INDEX('Cronograma R. Operacional'!$L$5:$L$1000,$N94)="","",INDEX('Cronograma R. Operacional'!$L$5:$L$1000,$N94))))</f>
        <v/>
      </c>
      <c r="J94" s="61">
        <f>IF($N94="","",INDEX('Cronograma R. Operacional'!$M$5:$M$1000,$N94))</f>
        <v/>
      </c>
      <c r="K94" s="56">
        <f>IF($N94="","",IF(N($J94)&gt;=1,"Completado",IF(AND(ISNUMBER($D94),$D94&lt;FechaRef),"Vencida",IF(N($J94)&gt;0,"En curso","Pendiente"))))</f>
        <v/>
      </c>
      <c r="L94" s="56">
        <f>IF($N94="","",INDEX('Cronograma R. Operacional'!$O$5:$O$1000,$N94)&amp;"")</f>
        <v/>
      </c>
      <c r="M94" s="62">
        <f>IF($N94="","",INDEX('Cronograma R. Operacional'!$Q$5:$Q$1000,$N94)&amp;"")</f>
        <v/>
      </c>
      <c r="N94">
        <f>IFERROR(MATCH(ROW()-4,rOrden_RO,0),"")</f>
        <v/>
      </c>
      <c r="O94">
        <f>IF($N94="","",INDEX('Cronograma R. Operacional'!$V$5:$V$1000,$N94))</f>
        <v/>
      </c>
      <c r="P94">
        <f>IF($N94="","",N(INDEX('Cronograma R. Operacional'!$W$5:$W$1000,$N94)))</f>
        <v/>
      </c>
      <c r="Q94">
        <f>IF(OR(LEFT($L94,7)="Vencida",LEFT($L94,5)="Vence"),SUMPRODUCT(--(LEFT($L$5:$L94,7)="Vencida"))+SUMPRODUCT(--(LEFT($L$5:$L94,5)="Vence")),"")</f>
        <v/>
      </c>
    </row>
    <row r="95">
      <c r="A95" s="56">
        <f>IF($N95="","",INDEX('Cronograma R. Operacional'!$A$5:$A$1000,$N95))</f>
        <v/>
      </c>
      <c r="B95" s="62">
        <f>IF($N95="","",IF($O95="Sub","      ↳  "&amp;INDEX('Cronograma R. Operacional'!$C$5:$C$1000,$N95),INDEX('Cronograma R. Operacional'!$C$5:$C$1000,$N95)&amp;""))</f>
        <v/>
      </c>
      <c r="C95" s="79">
        <f>IF($N95="","",IF(INDEX('Cronograma R. Operacional'!$AM$5:$AM$1000,$N95)="","",INDEX('Cronograma R. Operacional'!$AM$5:$AM$1000,$N95)))</f>
        <v/>
      </c>
      <c r="D95" s="79">
        <f>IF($N95="","",IF(INDEX('Cronograma R. Operacional'!$AN$5:$AN$1000,$N95)="","",INDEX('Cronograma R. Operacional'!$AN$5:$AN$1000,$N95)))</f>
        <v/>
      </c>
      <c r="E95" s="56">
        <f>IF($N95="","",IF(NOT(ISNUMBER($D95)),"",IF($D95&lt;InicioCiclo,"Antes del ciclo",IF($D95&gt;=InicioCiclo+28,"Después del ciclo","Semana "&amp;(INT(($D95-InicioCiclo)/7)+1)))))</f>
        <v/>
      </c>
      <c r="F95" s="61">
        <f>IF($N95="","",IF($P95&gt;0,IF(1&lt;=SemanaActual,INDEX('Cronograma R. Operacional'!$AC$5:$AC$1000,$N95),""),IF(INDEX('Cronograma R. Operacional'!$I$5:$I$1000,$N95)="","",INDEX('Cronograma R. Operacional'!$I$5:$I$1000,$N95))))</f>
        <v/>
      </c>
      <c r="G95" s="61">
        <f>IF($N95="","",IF($P95&gt;0,IF(2&lt;=SemanaActual,INDEX('Cronograma R. Operacional'!$AD$5:$AD$1000,$N95),""),IF(INDEX('Cronograma R. Operacional'!$J$5:$J$1000,$N95)="","",INDEX('Cronograma R. Operacional'!$J$5:$J$1000,$N95))))</f>
        <v/>
      </c>
      <c r="H95" s="61">
        <f>IF($N95="","",IF($P95&gt;0,IF(3&lt;=SemanaActual,INDEX('Cronograma R. Operacional'!$AE$5:$AE$1000,$N95),""),IF(INDEX('Cronograma R. Operacional'!$K$5:$K$1000,$N95)="","",INDEX('Cronograma R. Operacional'!$K$5:$K$1000,$N95))))</f>
        <v/>
      </c>
      <c r="I95" s="61">
        <f>IF($N95="","",IF($P95&gt;0,IF(4&lt;=SemanaActual,INDEX('Cronograma R. Operacional'!$AF$5:$AF$1000,$N95),""),IF(INDEX('Cronograma R. Operacional'!$L$5:$L$1000,$N95)="","",INDEX('Cronograma R. Operacional'!$L$5:$L$1000,$N95))))</f>
        <v/>
      </c>
      <c r="J95" s="61">
        <f>IF($N95="","",INDEX('Cronograma R. Operacional'!$M$5:$M$1000,$N95))</f>
        <v/>
      </c>
      <c r="K95" s="56">
        <f>IF($N95="","",IF(N($J95)&gt;=1,"Completado",IF(AND(ISNUMBER($D95),$D95&lt;FechaRef),"Vencida",IF(N($J95)&gt;0,"En curso","Pendiente"))))</f>
        <v/>
      </c>
      <c r="L95" s="56">
        <f>IF($N95="","",INDEX('Cronograma R. Operacional'!$O$5:$O$1000,$N95)&amp;"")</f>
        <v/>
      </c>
      <c r="M95" s="62">
        <f>IF($N95="","",INDEX('Cronograma R. Operacional'!$Q$5:$Q$1000,$N95)&amp;"")</f>
        <v/>
      </c>
      <c r="N95">
        <f>IFERROR(MATCH(ROW()-4,rOrden_RO,0),"")</f>
        <v/>
      </c>
      <c r="O95">
        <f>IF($N95="","",INDEX('Cronograma R. Operacional'!$V$5:$V$1000,$N95))</f>
        <v/>
      </c>
      <c r="P95">
        <f>IF($N95="","",N(INDEX('Cronograma R. Operacional'!$W$5:$W$1000,$N95)))</f>
        <v/>
      </c>
      <c r="Q95">
        <f>IF(OR(LEFT($L95,7)="Vencida",LEFT($L95,5)="Vence"),SUMPRODUCT(--(LEFT($L$5:$L95,7)="Vencida"))+SUMPRODUCT(--(LEFT($L$5:$L95,5)="Vence")),"")</f>
        <v/>
      </c>
    </row>
    <row r="96">
      <c r="A96" s="56">
        <f>IF($N96="","",INDEX('Cronograma R. Operacional'!$A$5:$A$1000,$N96))</f>
        <v/>
      </c>
      <c r="B96" s="62">
        <f>IF($N96="","",IF($O96="Sub","      ↳  "&amp;INDEX('Cronograma R. Operacional'!$C$5:$C$1000,$N96),INDEX('Cronograma R. Operacional'!$C$5:$C$1000,$N96)&amp;""))</f>
        <v/>
      </c>
      <c r="C96" s="79">
        <f>IF($N96="","",IF(INDEX('Cronograma R. Operacional'!$AM$5:$AM$1000,$N96)="","",INDEX('Cronograma R. Operacional'!$AM$5:$AM$1000,$N96)))</f>
        <v/>
      </c>
      <c r="D96" s="79">
        <f>IF($N96="","",IF(INDEX('Cronograma R. Operacional'!$AN$5:$AN$1000,$N96)="","",INDEX('Cronograma R. Operacional'!$AN$5:$AN$1000,$N96)))</f>
        <v/>
      </c>
      <c r="E96" s="56">
        <f>IF($N96="","",IF(NOT(ISNUMBER($D96)),"",IF($D96&lt;InicioCiclo,"Antes del ciclo",IF($D96&gt;=InicioCiclo+28,"Después del ciclo","Semana "&amp;(INT(($D96-InicioCiclo)/7)+1)))))</f>
        <v/>
      </c>
      <c r="F96" s="61">
        <f>IF($N96="","",IF($P96&gt;0,IF(1&lt;=SemanaActual,INDEX('Cronograma R. Operacional'!$AC$5:$AC$1000,$N96),""),IF(INDEX('Cronograma R. Operacional'!$I$5:$I$1000,$N96)="","",INDEX('Cronograma R. Operacional'!$I$5:$I$1000,$N96))))</f>
        <v/>
      </c>
      <c r="G96" s="61">
        <f>IF($N96="","",IF($P96&gt;0,IF(2&lt;=SemanaActual,INDEX('Cronograma R. Operacional'!$AD$5:$AD$1000,$N96),""),IF(INDEX('Cronograma R. Operacional'!$J$5:$J$1000,$N96)="","",INDEX('Cronograma R. Operacional'!$J$5:$J$1000,$N96))))</f>
        <v/>
      </c>
      <c r="H96" s="61">
        <f>IF($N96="","",IF($P96&gt;0,IF(3&lt;=SemanaActual,INDEX('Cronograma R. Operacional'!$AE$5:$AE$1000,$N96),""),IF(INDEX('Cronograma R. Operacional'!$K$5:$K$1000,$N96)="","",INDEX('Cronograma R. Operacional'!$K$5:$K$1000,$N96))))</f>
        <v/>
      </c>
      <c r="I96" s="61">
        <f>IF($N96="","",IF($P96&gt;0,IF(4&lt;=SemanaActual,INDEX('Cronograma R. Operacional'!$AF$5:$AF$1000,$N96),""),IF(INDEX('Cronograma R. Operacional'!$L$5:$L$1000,$N96)="","",INDEX('Cronograma R. Operacional'!$L$5:$L$1000,$N96))))</f>
        <v/>
      </c>
      <c r="J96" s="61">
        <f>IF($N96="","",INDEX('Cronograma R. Operacional'!$M$5:$M$1000,$N96))</f>
        <v/>
      </c>
      <c r="K96" s="56">
        <f>IF($N96="","",IF(N($J96)&gt;=1,"Completado",IF(AND(ISNUMBER($D96),$D96&lt;FechaRef),"Vencida",IF(N($J96)&gt;0,"En curso","Pendiente"))))</f>
        <v/>
      </c>
      <c r="L96" s="56">
        <f>IF($N96="","",INDEX('Cronograma R. Operacional'!$O$5:$O$1000,$N96)&amp;"")</f>
        <v/>
      </c>
      <c r="M96" s="62">
        <f>IF($N96="","",INDEX('Cronograma R. Operacional'!$Q$5:$Q$1000,$N96)&amp;"")</f>
        <v/>
      </c>
      <c r="N96">
        <f>IFERROR(MATCH(ROW()-4,rOrden_RO,0),"")</f>
        <v/>
      </c>
      <c r="O96">
        <f>IF($N96="","",INDEX('Cronograma R. Operacional'!$V$5:$V$1000,$N96))</f>
        <v/>
      </c>
      <c r="P96">
        <f>IF($N96="","",N(INDEX('Cronograma R. Operacional'!$W$5:$W$1000,$N96)))</f>
        <v/>
      </c>
      <c r="Q96">
        <f>IF(OR(LEFT($L96,7)="Vencida",LEFT($L96,5)="Vence"),SUMPRODUCT(--(LEFT($L$5:$L96,7)="Vencida"))+SUMPRODUCT(--(LEFT($L$5:$L96,5)="Vence")),"")</f>
        <v/>
      </c>
    </row>
    <row r="97">
      <c r="A97" s="56">
        <f>IF($N97="","",INDEX('Cronograma R. Operacional'!$A$5:$A$1000,$N97))</f>
        <v/>
      </c>
      <c r="B97" s="62">
        <f>IF($N97="","",IF($O97="Sub","      ↳  "&amp;INDEX('Cronograma R. Operacional'!$C$5:$C$1000,$N97),INDEX('Cronograma R. Operacional'!$C$5:$C$1000,$N97)&amp;""))</f>
        <v/>
      </c>
      <c r="C97" s="79">
        <f>IF($N97="","",IF(INDEX('Cronograma R. Operacional'!$AM$5:$AM$1000,$N97)="","",INDEX('Cronograma R. Operacional'!$AM$5:$AM$1000,$N97)))</f>
        <v/>
      </c>
      <c r="D97" s="79">
        <f>IF($N97="","",IF(INDEX('Cronograma R. Operacional'!$AN$5:$AN$1000,$N97)="","",INDEX('Cronograma R. Operacional'!$AN$5:$AN$1000,$N97)))</f>
        <v/>
      </c>
      <c r="E97" s="56">
        <f>IF($N97="","",IF(NOT(ISNUMBER($D97)),"",IF($D97&lt;InicioCiclo,"Antes del ciclo",IF($D97&gt;=InicioCiclo+28,"Después del ciclo","Semana "&amp;(INT(($D97-InicioCiclo)/7)+1)))))</f>
        <v/>
      </c>
      <c r="F97" s="61">
        <f>IF($N97="","",IF($P97&gt;0,IF(1&lt;=SemanaActual,INDEX('Cronograma R. Operacional'!$AC$5:$AC$1000,$N97),""),IF(INDEX('Cronograma R. Operacional'!$I$5:$I$1000,$N97)="","",INDEX('Cronograma R. Operacional'!$I$5:$I$1000,$N97))))</f>
        <v/>
      </c>
      <c r="G97" s="61">
        <f>IF($N97="","",IF($P97&gt;0,IF(2&lt;=SemanaActual,INDEX('Cronograma R. Operacional'!$AD$5:$AD$1000,$N97),""),IF(INDEX('Cronograma R. Operacional'!$J$5:$J$1000,$N97)="","",INDEX('Cronograma R. Operacional'!$J$5:$J$1000,$N97))))</f>
        <v/>
      </c>
      <c r="H97" s="61">
        <f>IF($N97="","",IF($P97&gt;0,IF(3&lt;=SemanaActual,INDEX('Cronograma R. Operacional'!$AE$5:$AE$1000,$N97),""),IF(INDEX('Cronograma R. Operacional'!$K$5:$K$1000,$N97)="","",INDEX('Cronograma R. Operacional'!$K$5:$K$1000,$N97))))</f>
        <v/>
      </c>
      <c r="I97" s="61">
        <f>IF($N97="","",IF($P97&gt;0,IF(4&lt;=SemanaActual,INDEX('Cronograma R. Operacional'!$AF$5:$AF$1000,$N97),""),IF(INDEX('Cronograma R. Operacional'!$L$5:$L$1000,$N97)="","",INDEX('Cronograma R. Operacional'!$L$5:$L$1000,$N97))))</f>
        <v/>
      </c>
      <c r="J97" s="61">
        <f>IF($N97="","",INDEX('Cronograma R. Operacional'!$M$5:$M$1000,$N97))</f>
        <v/>
      </c>
      <c r="K97" s="56">
        <f>IF($N97="","",IF(N($J97)&gt;=1,"Completado",IF(AND(ISNUMBER($D97),$D97&lt;FechaRef),"Vencida",IF(N($J97)&gt;0,"En curso","Pendiente"))))</f>
        <v/>
      </c>
      <c r="L97" s="56">
        <f>IF($N97="","",INDEX('Cronograma R. Operacional'!$O$5:$O$1000,$N97)&amp;"")</f>
        <v/>
      </c>
      <c r="M97" s="62">
        <f>IF($N97="","",INDEX('Cronograma R. Operacional'!$Q$5:$Q$1000,$N97)&amp;"")</f>
        <v/>
      </c>
      <c r="N97">
        <f>IFERROR(MATCH(ROW()-4,rOrden_RO,0),"")</f>
        <v/>
      </c>
      <c r="O97">
        <f>IF($N97="","",INDEX('Cronograma R. Operacional'!$V$5:$V$1000,$N97))</f>
        <v/>
      </c>
      <c r="P97">
        <f>IF($N97="","",N(INDEX('Cronograma R. Operacional'!$W$5:$W$1000,$N97)))</f>
        <v/>
      </c>
      <c r="Q97">
        <f>IF(OR(LEFT($L97,7)="Vencida",LEFT($L97,5)="Vence"),SUMPRODUCT(--(LEFT($L$5:$L97,7)="Vencida"))+SUMPRODUCT(--(LEFT($L$5:$L97,5)="Vence")),"")</f>
        <v/>
      </c>
    </row>
    <row r="98">
      <c r="A98" s="56">
        <f>IF($N98="","",INDEX('Cronograma R. Operacional'!$A$5:$A$1000,$N98))</f>
        <v/>
      </c>
      <c r="B98" s="62">
        <f>IF($N98="","",IF($O98="Sub","      ↳  "&amp;INDEX('Cronograma R. Operacional'!$C$5:$C$1000,$N98),INDEX('Cronograma R. Operacional'!$C$5:$C$1000,$N98)&amp;""))</f>
        <v/>
      </c>
      <c r="C98" s="79">
        <f>IF($N98="","",IF(INDEX('Cronograma R. Operacional'!$AM$5:$AM$1000,$N98)="","",INDEX('Cronograma R. Operacional'!$AM$5:$AM$1000,$N98)))</f>
        <v/>
      </c>
      <c r="D98" s="79">
        <f>IF($N98="","",IF(INDEX('Cronograma R. Operacional'!$AN$5:$AN$1000,$N98)="","",INDEX('Cronograma R. Operacional'!$AN$5:$AN$1000,$N98)))</f>
        <v/>
      </c>
      <c r="E98" s="56">
        <f>IF($N98="","",IF(NOT(ISNUMBER($D98)),"",IF($D98&lt;InicioCiclo,"Antes del ciclo",IF($D98&gt;=InicioCiclo+28,"Después del ciclo","Semana "&amp;(INT(($D98-InicioCiclo)/7)+1)))))</f>
        <v/>
      </c>
      <c r="F98" s="61">
        <f>IF($N98="","",IF($P98&gt;0,IF(1&lt;=SemanaActual,INDEX('Cronograma R. Operacional'!$AC$5:$AC$1000,$N98),""),IF(INDEX('Cronograma R. Operacional'!$I$5:$I$1000,$N98)="","",INDEX('Cronograma R. Operacional'!$I$5:$I$1000,$N98))))</f>
        <v/>
      </c>
      <c r="G98" s="61">
        <f>IF($N98="","",IF($P98&gt;0,IF(2&lt;=SemanaActual,INDEX('Cronograma R. Operacional'!$AD$5:$AD$1000,$N98),""),IF(INDEX('Cronograma R. Operacional'!$J$5:$J$1000,$N98)="","",INDEX('Cronograma R. Operacional'!$J$5:$J$1000,$N98))))</f>
        <v/>
      </c>
      <c r="H98" s="61">
        <f>IF($N98="","",IF($P98&gt;0,IF(3&lt;=SemanaActual,INDEX('Cronograma R. Operacional'!$AE$5:$AE$1000,$N98),""),IF(INDEX('Cronograma R. Operacional'!$K$5:$K$1000,$N98)="","",INDEX('Cronograma R. Operacional'!$K$5:$K$1000,$N98))))</f>
        <v/>
      </c>
      <c r="I98" s="61">
        <f>IF($N98="","",IF($P98&gt;0,IF(4&lt;=SemanaActual,INDEX('Cronograma R. Operacional'!$AF$5:$AF$1000,$N98),""),IF(INDEX('Cronograma R. Operacional'!$L$5:$L$1000,$N98)="","",INDEX('Cronograma R. Operacional'!$L$5:$L$1000,$N98))))</f>
        <v/>
      </c>
      <c r="J98" s="61">
        <f>IF($N98="","",INDEX('Cronograma R. Operacional'!$M$5:$M$1000,$N98))</f>
        <v/>
      </c>
      <c r="K98" s="56">
        <f>IF($N98="","",IF(N($J98)&gt;=1,"Completado",IF(AND(ISNUMBER($D98),$D98&lt;FechaRef),"Vencida",IF(N($J98)&gt;0,"En curso","Pendiente"))))</f>
        <v/>
      </c>
      <c r="L98" s="56">
        <f>IF($N98="","",INDEX('Cronograma R. Operacional'!$O$5:$O$1000,$N98)&amp;"")</f>
        <v/>
      </c>
      <c r="M98" s="62">
        <f>IF($N98="","",INDEX('Cronograma R. Operacional'!$Q$5:$Q$1000,$N98)&amp;"")</f>
        <v/>
      </c>
      <c r="N98">
        <f>IFERROR(MATCH(ROW()-4,rOrden_RO,0),"")</f>
        <v/>
      </c>
      <c r="O98">
        <f>IF($N98="","",INDEX('Cronograma R. Operacional'!$V$5:$V$1000,$N98))</f>
        <v/>
      </c>
      <c r="P98">
        <f>IF($N98="","",N(INDEX('Cronograma R. Operacional'!$W$5:$W$1000,$N98)))</f>
        <v/>
      </c>
      <c r="Q98">
        <f>IF(OR(LEFT($L98,7)="Vencida",LEFT($L98,5)="Vence"),SUMPRODUCT(--(LEFT($L$5:$L98,7)="Vencida"))+SUMPRODUCT(--(LEFT($L$5:$L98,5)="Vence")),"")</f>
        <v/>
      </c>
    </row>
    <row r="99">
      <c r="A99" s="56">
        <f>IF($N99="","",INDEX('Cronograma R. Operacional'!$A$5:$A$1000,$N99))</f>
        <v/>
      </c>
      <c r="B99" s="62">
        <f>IF($N99="","",IF($O99="Sub","      ↳  "&amp;INDEX('Cronograma R. Operacional'!$C$5:$C$1000,$N99),INDEX('Cronograma R. Operacional'!$C$5:$C$1000,$N99)&amp;""))</f>
        <v/>
      </c>
      <c r="C99" s="79">
        <f>IF($N99="","",IF(INDEX('Cronograma R. Operacional'!$AM$5:$AM$1000,$N99)="","",INDEX('Cronograma R. Operacional'!$AM$5:$AM$1000,$N99)))</f>
        <v/>
      </c>
      <c r="D99" s="79">
        <f>IF($N99="","",IF(INDEX('Cronograma R. Operacional'!$AN$5:$AN$1000,$N99)="","",INDEX('Cronograma R. Operacional'!$AN$5:$AN$1000,$N99)))</f>
        <v/>
      </c>
      <c r="E99" s="56">
        <f>IF($N99="","",IF(NOT(ISNUMBER($D99)),"",IF($D99&lt;InicioCiclo,"Antes del ciclo",IF($D99&gt;=InicioCiclo+28,"Después del ciclo","Semana "&amp;(INT(($D99-InicioCiclo)/7)+1)))))</f>
        <v/>
      </c>
      <c r="F99" s="61">
        <f>IF($N99="","",IF($P99&gt;0,IF(1&lt;=SemanaActual,INDEX('Cronograma R. Operacional'!$AC$5:$AC$1000,$N99),""),IF(INDEX('Cronograma R. Operacional'!$I$5:$I$1000,$N99)="","",INDEX('Cronograma R. Operacional'!$I$5:$I$1000,$N99))))</f>
        <v/>
      </c>
      <c r="G99" s="61">
        <f>IF($N99="","",IF($P99&gt;0,IF(2&lt;=SemanaActual,INDEX('Cronograma R. Operacional'!$AD$5:$AD$1000,$N99),""),IF(INDEX('Cronograma R. Operacional'!$J$5:$J$1000,$N99)="","",INDEX('Cronograma R. Operacional'!$J$5:$J$1000,$N99))))</f>
        <v/>
      </c>
      <c r="H99" s="61">
        <f>IF($N99="","",IF($P99&gt;0,IF(3&lt;=SemanaActual,INDEX('Cronograma R. Operacional'!$AE$5:$AE$1000,$N99),""),IF(INDEX('Cronograma R. Operacional'!$K$5:$K$1000,$N99)="","",INDEX('Cronograma R. Operacional'!$K$5:$K$1000,$N99))))</f>
        <v/>
      </c>
      <c r="I99" s="61">
        <f>IF($N99="","",IF($P99&gt;0,IF(4&lt;=SemanaActual,INDEX('Cronograma R. Operacional'!$AF$5:$AF$1000,$N99),""),IF(INDEX('Cronograma R. Operacional'!$L$5:$L$1000,$N99)="","",INDEX('Cronograma R. Operacional'!$L$5:$L$1000,$N99))))</f>
        <v/>
      </c>
      <c r="J99" s="61">
        <f>IF($N99="","",INDEX('Cronograma R. Operacional'!$M$5:$M$1000,$N99))</f>
        <v/>
      </c>
      <c r="K99" s="56">
        <f>IF($N99="","",IF(N($J99)&gt;=1,"Completado",IF(AND(ISNUMBER($D99),$D99&lt;FechaRef),"Vencida",IF(N($J99)&gt;0,"En curso","Pendiente"))))</f>
        <v/>
      </c>
      <c r="L99" s="56">
        <f>IF($N99="","",INDEX('Cronograma R. Operacional'!$O$5:$O$1000,$N99)&amp;"")</f>
        <v/>
      </c>
      <c r="M99" s="62">
        <f>IF($N99="","",INDEX('Cronograma R. Operacional'!$Q$5:$Q$1000,$N99)&amp;"")</f>
        <v/>
      </c>
      <c r="N99">
        <f>IFERROR(MATCH(ROW()-4,rOrden_RO,0),"")</f>
        <v/>
      </c>
      <c r="O99">
        <f>IF($N99="","",INDEX('Cronograma R. Operacional'!$V$5:$V$1000,$N99))</f>
        <v/>
      </c>
      <c r="P99">
        <f>IF($N99="","",N(INDEX('Cronograma R. Operacional'!$W$5:$W$1000,$N99)))</f>
        <v/>
      </c>
      <c r="Q99">
        <f>IF(OR(LEFT($L99,7)="Vencida",LEFT($L99,5)="Vence"),SUMPRODUCT(--(LEFT($L$5:$L99,7)="Vencida"))+SUMPRODUCT(--(LEFT($L$5:$L99,5)="Vence")),"")</f>
        <v/>
      </c>
    </row>
    <row r="100">
      <c r="A100" s="56">
        <f>IF($N100="","",INDEX('Cronograma R. Operacional'!$A$5:$A$1000,$N100))</f>
        <v/>
      </c>
      <c r="B100" s="62">
        <f>IF($N100="","",IF($O100="Sub","      ↳  "&amp;INDEX('Cronograma R. Operacional'!$C$5:$C$1000,$N100),INDEX('Cronograma R. Operacional'!$C$5:$C$1000,$N100)&amp;""))</f>
        <v/>
      </c>
      <c r="C100" s="79">
        <f>IF($N100="","",IF(INDEX('Cronograma R. Operacional'!$AM$5:$AM$1000,$N100)="","",INDEX('Cronograma R. Operacional'!$AM$5:$AM$1000,$N100)))</f>
        <v/>
      </c>
      <c r="D100" s="79">
        <f>IF($N100="","",IF(INDEX('Cronograma R. Operacional'!$AN$5:$AN$1000,$N100)="","",INDEX('Cronograma R. Operacional'!$AN$5:$AN$1000,$N100)))</f>
        <v/>
      </c>
      <c r="E100" s="56">
        <f>IF($N100="","",IF(NOT(ISNUMBER($D100)),"",IF($D100&lt;InicioCiclo,"Antes del ciclo",IF($D100&gt;=InicioCiclo+28,"Después del ciclo","Semana "&amp;(INT(($D100-InicioCiclo)/7)+1)))))</f>
        <v/>
      </c>
      <c r="F100" s="61">
        <f>IF($N100="","",IF($P100&gt;0,IF(1&lt;=SemanaActual,INDEX('Cronograma R. Operacional'!$AC$5:$AC$1000,$N100),""),IF(INDEX('Cronograma R. Operacional'!$I$5:$I$1000,$N100)="","",INDEX('Cronograma R. Operacional'!$I$5:$I$1000,$N100))))</f>
        <v/>
      </c>
      <c r="G100" s="61">
        <f>IF($N100="","",IF($P100&gt;0,IF(2&lt;=SemanaActual,INDEX('Cronograma R. Operacional'!$AD$5:$AD$1000,$N100),""),IF(INDEX('Cronograma R. Operacional'!$J$5:$J$1000,$N100)="","",INDEX('Cronograma R. Operacional'!$J$5:$J$1000,$N100))))</f>
        <v/>
      </c>
      <c r="H100" s="61">
        <f>IF($N100="","",IF($P100&gt;0,IF(3&lt;=SemanaActual,INDEX('Cronograma R. Operacional'!$AE$5:$AE$1000,$N100),""),IF(INDEX('Cronograma R. Operacional'!$K$5:$K$1000,$N100)="","",INDEX('Cronograma R. Operacional'!$K$5:$K$1000,$N100))))</f>
        <v/>
      </c>
      <c r="I100" s="61">
        <f>IF($N100="","",IF($P100&gt;0,IF(4&lt;=SemanaActual,INDEX('Cronograma R. Operacional'!$AF$5:$AF$1000,$N100),""),IF(INDEX('Cronograma R. Operacional'!$L$5:$L$1000,$N100)="","",INDEX('Cronograma R. Operacional'!$L$5:$L$1000,$N100))))</f>
        <v/>
      </c>
      <c r="J100" s="61">
        <f>IF($N100="","",INDEX('Cronograma R. Operacional'!$M$5:$M$1000,$N100))</f>
        <v/>
      </c>
      <c r="K100" s="56">
        <f>IF($N100="","",IF(N($J100)&gt;=1,"Completado",IF(AND(ISNUMBER($D100),$D100&lt;FechaRef),"Vencida",IF(N($J100)&gt;0,"En curso","Pendiente"))))</f>
        <v/>
      </c>
      <c r="L100" s="56">
        <f>IF($N100="","",INDEX('Cronograma R. Operacional'!$O$5:$O$1000,$N100)&amp;"")</f>
        <v/>
      </c>
      <c r="M100" s="62">
        <f>IF($N100="","",INDEX('Cronograma R. Operacional'!$Q$5:$Q$1000,$N100)&amp;"")</f>
        <v/>
      </c>
      <c r="N100">
        <f>IFERROR(MATCH(ROW()-4,rOrden_RO,0),"")</f>
        <v/>
      </c>
      <c r="O100">
        <f>IF($N100="","",INDEX('Cronograma R. Operacional'!$V$5:$V$1000,$N100))</f>
        <v/>
      </c>
      <c r="P100">
        <f>IF($N100="","",N(INDEX('Cronograma R. Operacional'!$W$5:$W$1000,$N100)))</f>
        <v/>
      </c>
      <c r="Q100">
        <f>IF(OR(LEFT($L100,7)="Vencida",LEFT($L100,5)="Vence"),SUMPRODUCT(--(LEFT($L$5:$L100,7)="Vencida"))+SUMPRODUCT(--(LEFT($L$5:$L100,5)="Vence")),"")</f>
        <v/>
      </c>
    </row>
    <row r="101">
      <c r="A101" s="56">
        <f>IF($N101="","",INDEX('Cronograma R. Operacional'!$A$5:$A$1000,$N101))</f>
        <v/>
      </c>
      <c r="B101" s="62">
        <f>IF($N101="","",IF($O101="Sub","      ↳  "&amp;INDEX('Cronograma R. Operacional'!$C$5:$C$1000,$N101),INDEX('Cronograma R. Operacional'!$C$5:$C$1000,$N101)&amp;""))</f>
        <v/>
      </c>
      <c r="C101" s="79">
        <f>IF($N101="","",IF(INDEX('Cronograma R. Operacional'!$AM$5:$AM$1000,$N101)="","",INDEX('Cronograma R. Operacional'!$AM$5:$AM$1000,$N101)))</f>
        <v/>
      </c>
      <c r="D101" s="79">
        <f>IF($N101="","",IF(INDEX('Cronograma R. Operacional'!$AN$5:$AN$1000,$N101)="","",INDEX('Cronograma R. Operacional'!$AN$5:$AN$1000,$N101)))</f>
        <v/>
      </c>
      <c r="E101" s="56">
        <f>IF($N101="","",IF(NOT(ISNUMBER($D101)),"",IF($D101&lt;InicioCiclo,"Antes del ciclo",IF($D101&gt;=InicioCiclo+28,"Después del ciclo","Semana "&amp;(INT(($D101-InicioCiclo)/7)+1)))))</f>
        <v/>
      </c>
      <c r="F101" s="61">
        <f>IF($N101="","",IF($P101&gt;0,IF(1&lt;=SemanaActual,INDEX('Cronograma R. Operacional'!$AC$5:$AC$1000,$N101),""),IF(INDEX('Cronograma R. Operacional'!$I$5:$I$1000,$N101)="","",INDEX('Cronograma R. Operacional'!$I$5:$I$1000,$N101))))</f>
        <v/>
      </c>
      <c r="G101" s="61">
        <f>IF($N101="","",IF($P101&gt;0,IF(2&lt;=SemanaActual,INDEX('Cronograma R. Operacional'!$AD$5:$AD$1000,$N101),""),IF(INDEX('Cronograma R. Operacional'!$J$5:$J$1000,$N101)="","",INDEX('Cronograma R. Operacional'!$J$5:$J$1000,$N101))))</f>
        <v/>
      </c>
      <c r="H101" s="61">
        <f>IF($N101="","",IF($P101&gt;0,IF(3&lt;=SemanaActual,INDEX('Cronograma R. Operacional'!$AE$5:$AE$1000,$N101),""),IF(INDEX('Cronograma R. Operacional'!$K$5:$K$1000,$N101)="","",INDEX('Cronograma R. Operacional'!$K$5:$K$1000,$N101))))</f>
        <v/>
      </c>
      <c r="I101" s="61">
        <f>IF($N101="","",IF($P101&gt;0,IF(4&lt;=SemanaActual,INDEX('Cronograma R. Operacional'!$AF$5:$AF$1000,$N101),""),IF(INDEX('Cronograma R. Operacional'!$L$5:$L$1000,$N101)="","",INDEX('Cronograma R. Operacional'!$L$5:$L$1000,$N101))))</f>
        <v/>
      </c>
      <c r="J101" s="61">
        <f>IF($N101="","",INDEX('Cronograma R. Operacional'!$M$5:$M$1000,$N101))</f>
        <v/>
      </c>
      <c r="K101" s="56">
        <f>IF($N101="","",IF(N($J101)&gt;=1,"Completado",IF(AND(ISNUMBER($D101),$D101&lt;FechaRef),"Vencida",IF(N($J101)&gt;0,"En curso","Pendiente"))))</f>
        <v/>
      </c>
      <c r="L101" s="56">
        <f>IF($N101="","",INDEX('Cronograma R. Operacional'!$O$5:$O$1000,$N101)&amp;"")</f>
        <v/>
      </c>
      <c r="M101" s="62">
        <f>IF($N101="","",INDEX('Cronograma R. Operacional'!$Q$5:$Q$1000,$N101)&amp;"")</f>
        <v/>
      </c>
      <c r="N101">
        <f>IFERROR(MATCH(ROW()-4,rOrden_RO,0),"")</f>
        <v/>
      </c>
      <c r="O101">
        <f>IF($N101="","",INDEX('Cronograma R. Operacional'!$V$5:$V$1000,$N101))</f>
        <v/>
      </c>
      <c r="P101">
        <f>IF($N101="","",N(INDEX('Cronograma R. Operacional'!$W$5:$W$1000,$N101)))</f>
        <v/>
      </c>
      <c r="Q101">
        <f>IF(OR(LEFT($L101,7)="Vencida",LEFT($L101,5)="Vence"),SUMPRODUCT(--(LEFT($L$5:$L101,7)="Vencida"))+SUMPRODUCT(--(LEFT($L$5:$L101,5)="Vence")),"")</f>
        <v/>
      </c>
    </row>
    <row r="102">
      <c r="A102" s="56">
        <f>IF($N102="","",INDEX('Cronograma R. Operacional'!$A$5:$A$1000,$N102))</f>
        <v/>
      </c>
      <c r="B102" s="62">
        <f>IF($N102="","",IF($O102="Sub","      ↳  "&amp;INDEX('Cronograma R. Operacional'!$C$5:$C$1000,$N102),INDEX('Cronograma R. Operacional'!$C$5:$C$1000,$N102)&amp;""))</f>
        <v/>
      </c>
      <c r="C102" s="79">
        <f>IF($N102="","",IF(INDEX('Cronograma R. Operacional'!$AM$5:$AM$1000,$N102)="","",INDEX('Cronograma R. Operacional'!$AM$5:$AM$1000,$N102)))</f>
        <v/>
      </c>
      <c r="D102" s="79">
        <f>IF($N102="","",IF(INDEX('Cronograma R. Operacional'!$AN$5:$AN$1000,$N102)="","",INDEX('Cronograma R. Operacional'!$AN$5:$AN$1000,$N102)))</f>
        <v/>
      </c>
      <c r="E102" s="56">
        <f>IF($N102="","",IF(NOT(ISNUMBER($D102)),"",IF($D102&lt;InicioCiclo,"Antes del ciclo",IF($D102&gt;=InicioCiclo+28,"Después del ciclo","Semana "&amp;(INT(($D102-InicioCiclo)/7)+1)))))</f>
        <v/>
      </c>
      <c r="F102" s="61">
        <f>IF($N102="","",IF($P102&gt;0,IF(1&lt;=SemanaActual,INDEX('Cronograma R. Operacional'!$AC$5:$AC$1000,$N102),""),IF(INDEX('Cronograma R. Operacional'!$I$5:$I$1000,$N102)="","",INDEX('Cronograma R. Operacional'!$I$5:$I$1000,$N102))))</f>
        <v/>
      </c>
      <c r="G102" s="61">
        <f>IF($N102="","",IF($P102&gt;0,IF(2&lt;=SemanaActual,INDEX('Cronograma R. Operacional'!$AD$5:$AD$1000,$N102),""),IF(INDEX('Cronograma R. Operacional'!$J$5:$J$1000,$N102)="","",INDEX('Cronograma R. Operacional'!$J$5:$J$1000,$N102))))</f>
        <v/>
      </c>
      <c r="H102" s="61">
        <f>IF($N102="","",IF($P102&gt;0,IF(3&lt;=SemanaActual,INDEX('Cronograma R. Operacional'!$AE$5:$AE$1000,$N102),""),IF(INDEX('Cronograma R. Operacional'!$K$5:$K$1000,$N102)="","",INDEX('Cronograma R. Operacional'!$K$5:$K$1000,$N102))))</f>
        <v/>
      </c>
      <c r="I102" s="61">
        <f>IF($N102="","",IF($P102&gt;0,IF(4&lt;=SemanaActual,INDEX('Cronograma R. Operacional'!$AF$5:$AF$1000,$N102),""),IF(INDEX('Cronograma R. Operacional'!$L$5:$L$1000,$N102)="","",INDEX('Cronograma R. Operacional'!$L$5:$L$1000,$N102))))</f>
        <v/>
      </c>
      <c r="J102" s="61">
        <f>IF($N102="","",INDEX('Cronograma R. Operacional'!$M$5:$M$1000,$N102))</f>
        <v/>
      </c>
      <c r="K102" s="56">
        <f>IF($N102="","",IF(N($J102)&gt;=1,"Completado",IF(AND(ISNUMBER($D102),$D102&lt;FechaRef),"Vencida",IF(N($J102)&gt;0,"En curso","Pendiente"))))</f>
        <v/>
      </c>
      <c r="L102" s="56">
        <f>IF($N102="","",INDEX('Cronograma R. Operacional'!$O$5:$O$1000,$N102)&amp;"")</f>
        <v/>
      </c>
      <c r="M102" s="62">
        <f>IF($N102="","",INDEX('Cronograma R. Operacional'!$Q$5:$Q$1000,$N102)&amp;"")</f>
        <v/>
      </c>
      <c r="N102">
        <f>IFERROR(MATCH(ROW()-4,rOrden_RO,0),"")</f>
        <v/>
      </c>
      <c r="O102">
        <f>IF($N102="","",INDEX('Cronograma R. Operacional'!$V$5:$V$1000,$N102))</f>
        <v/>
      </c>
      <c r="P102">
        <f>IF($N102="","",N(INDEX('Cronograma R. Operacional'!$W$5:$W$1000,$N102)))</f>
        <v/>
      </c>
      <c r="Q102">
        <f>IF(OR(LEFT($L102,7)="Vencida",LEFT($L102,5)="Vence"),SUMPRODUCT(--(LEFT($L$5:$L102,7)="Vencida"))+SUMPRODUCT(--(LEFT($L$5:$L102,5)="Vence")),"")</f>
        <v/>
      </c>
    </row>
    <row r="103">
      <c r="A103" s="56">
        <f>IF($N103="","",INDEX('Cronograma R. Operacional'!$A$5:$A$1000,$N103))</f>
        <v/>
      </c>
      <c r="B103" s="62">
        <f>IF($N103="","",IF($O103="Sub","      ↳  "&amp;INDEX('Cronograma R. Operacional'!$C$5:$C$1000,$N103),INDEX('Cronograma R. Operacional'!$C$5:$C$1000,$N103)&amp;""))</f>
        <v/>
      </c>
      <c r="C103" s="79">
        <f>IF($N103="","",IF(INDEX('Cronograma R. Operacional'!$AM$5:$AM$1000,$N103)="","",INDEX('Cronograma R. Operacional'!$AM$5:$AM$1000,$N103)))</f>
        <v/>
      </c>
      <c r="D103" s="79">
        <f>IF($N103="","",IF(INDEX('Cronograma R. Operacional'!$AN$5:$AN$1000,$N103)="","",INDEX('Cronograma R. Operacional'!$AN$5:$AN$1000,$N103)))</f>
        <v/>
      </c>
      <c r="E103" s="56">
        <f>IF($N103="","",IF(NOT(ISNUMBER($D103)),"",IF($D103&lt;InicioCiclo,"Antes del ciclo",IF($D103&gt;=InicioCiclo+28,"Después del ciclo","Semana "&amp;(INT(($D103-InicioCiclo)/7)+1)))))</f>
        <v/>
      </c>
      <c r="F103" s="61">
        <f>IF($N103="","",IF($P103&gt;0,IF(1&lt;=SemanaActual,INDEX('Cronograma R. Operacional'!$AC$5:$AC$1000,$N103),""),IF(INDEX('Cronograma R. Operacional'!$I$5:$I$1000,$N103)="","",INDEX('Cronograma R. Operacional'!$I$5:$I$1000,$N103))))</f>
        <v/>
      </c>
      <c r="G103" s="61">
        <f>IF($N103="","",IF($P103&gt;0,IF(2&lt;=SemanaActual,INDEX('Cronograma R. Operacional'!$AD$5:$AD$1000,$N103),""),IF(INDEX('Cronograma R. Operacional'!$J$5:$J$1000,$N103)="","",INDEX('Cronograma R. Operacional'!$J$5:$J$1000,$N103))))</f>
        <v/>
      </c>
      <c r="H103" s="61">
        <f>IF($N103="","",IF($P103&gt;0,IF(3&lt;=SemanaActual,INDEX('Cronograma R. Operacional'!$AE$5:$AE$1000,$N103),""),IF(INDEX('Cronograma R. Operacional'!$K$5:$K$1000,$N103)="","",INDEX('Cronograma R. Operacional'!$K$5:$K$1000,$N103))))</f>
        <v/>
      </c>
      <c r="I103" s="61">
        <f>IF($N103="","",IF($P103&gt;0,IF(4&lt;=SemanaActual,INDEX('Cronograma R. Operacional'!$AF$5:$AF$1000,$N103),""),IF(INDEX('Cronograma R. Operacional'!$L$5:$L$1000,$N103)="","",INDEX('Cronograma R. Operacional'!$L$5:$L$1000,$N103))))</f>
        <v/>
      </c>
      <c r="J103" s="61">
        <f>IF($N103="","",INDEX('Cronograma R. Operacional'!$M$5:$M$1000,$N103))</f>
        <v/>
      </c>
      <c r="K103" s="56">
        <f>IF($N103="","",IF(N($J103)&gt;=1,"Completado",IF(AND(ISNUMBER($D103),$D103&lt;FechaRef),"Vencida",IF(N($J103)&gt;0,"En curso","Pendiente"))))</f>
        <v/>
      </c>
      <c r="L103" s="56">
        <f>IF($N103="","",INDEX('Cronograma R. Operacional'!$O$5:$O$1000,$N103)&amp;"")</f>
        <v/>
      </c>
      <c r="M103" s="62">
        <f>IF($N103="","",INDEX('Cronograma R. Operacional'!$Q$5:$Q$1000,$N103)&amp;"")</f>
        <v/>
      </c>
      <c r="N103">
        <f>IFERROR(MATCH(ROW()-4,rOrden_RO,0),"")</f>
        <v/>
      </c>
      <c r="O103">
        <f>IF($N103="","",INDEX('Cronograma R. Operacional'!$V$5:$V$1000,$N103))</f>
        <v/>
      </c>
      <c r="P103">
        <f>IF($N103="","",N(INDEX('Cronograma R. Operacional'!$W$5:$W$1000,$N103)))</f>
        <v/>
      </c>
      <c r="Q103">
        <f>IF(OR(LEFT($L103,7)="Vencida",LEFT($L103,5)="Vence"),SUMPRODUCT(--(LEFT($L$5:$L103,7)="Vencida"))+SUMPRODUCT(--(LEFT($L$5:$L103,5)="Vence")),"")</f>
        <v/>
      </c>
    </row>
    <row r="104">
      <c r="A104" s="56">
        <f>IF($N104="","",INDEX('Cronograma R. Operacional'!$A$5:$A$1000,$N104))</f>
        <v/>
      </c>
      <c r="B104" s="62">
        <f>IF($N104="","",IF($O104="Sub","      ↳  "&amp;INDEX('Cronograma R. Operacional'!$C$5:$C$1000,$N104),INDEX('Cronograma R. Operacional'!$C$5:$C$1000,$N104)&amp;""))</f>
        <v/>
      </c>
      <c r="C104" s="79">
        <f>IF($N104="","",IF(INDEX('Cronograma R. Operacional'!$AM$5:$AM$1000,$N104)="","",INDEX('Cronograma R. Operacional'!$AM$5:$AM$1000,$N104)))</f>
        <v/>
      </c>
      <c r="D104" s="79">
        <f>IF($N104="","",IF(INDEX('Cronograma R. Operacional'!$AN$5:$AN$1000,$N104)="","",INDEX('Cronograma R. Operacional'!$AN$5:$AN$1000,$N104)))</f>
        <v/>
      </c>
      <c r="E104" s="56">
        <f>IF($N104="","",IF(NOT(ISNUMBER($D104)),"",IF($D104&lt;InicioCiclo,"Antes del ciclo",IF($D104&gt;=InicioCiclo+28,"Después del ciclo","Semana "&amp;(INT(($D104-InicioCiclo)/7)+1)))))</f>
        <v/>
      </c>
      <c r="F104" s="61">
        <f>IF($N104="","",IF($P104&gt;0,IF(1&lt;=SemanaActual,INDEX('Cronograma R. Operacional'!$AC$5:$AC$1000,$N104),""),IF(INDEX('Cronograma R. Operacional'!$I$5:$I$1000,$N104)="","",INDEX('Cronograma R. Operacional'!$I$5:$I$1000,$N104))))</f>
        <v/>
      </c>
      <c r="G104" s="61">
        <f>IF($N104="","",IF($P104&gt;0,IF(2&lt;=SemanaActual,INDEX('Cronograma R. Operacional'!$AD$5:$AD$1000,$N104),""),IF(INDEX('Cronograma R. Operacional'!$J$5:$J$1000,$N104)="","",INDEX('Cronograma R. Operacional'!$J$5:$J$1000,$N104))))</f>
        <v/>
      </c>
      <c r="H104" s="61">
        <f>IF($N104="","",IF($P104&gt;0,IF(3&lt;=SemanaActual,INDEX('Cronograma R. Operacional'!$AE$5:$AE$1000,$N104),""),IF(INDEX('Cronograma R. Operacional'!$K$5:$K$1000,$N104)="","",INDEX('Cronograma R. Operacional'!$K$5:$K$1000,$N104))))</f>
        <v/>
      </c>
      <c r="I104" s="61">
        <f>IF($N104="","",IF($P104&gt;0,IF(4&lt;=SemanaActual,INDEX('Cronograma R. Operacional'!$AF$5:$AF$1000,$N104),""),IF(INDEX('Cronograma R. Operacional'!$L$5:$L$1000,$N104)="","",INDEX('Cronograma R. Operacional'!$L$5:$L$1000,$N104))))</f>
        <v/>
      </c>
      <c r="J104" s="61">
        <f>IF($N104="","",INDEX('Cronograma R. Operacional'!$M$5:$M$1000,$N104))</f>
        <v/>
      </c>
      <c r="K104" s="56">
        <f>IF($N104="","",IF(N($J104)&gt;=1,"Completado",IF(AND(ISNUMBER($D104),$D104&lt;FechaRef),"Vencida",IF(N($J104)&gt;0,"En curso","Pendiente"))))</f>
        <v/>
      </c>
      <c r="L104" s="56">
        <f>IF($N104="","",INDEX('Cronograma R. Operacional'!$O$5:$O$1000,$N104)&amp;"")</f>
        <v/>
      </c>
      <c r="M104" s="62">
        <f>IF($N104="","",INDEX('Cronograma R. Operacional'!$Q$5:$Q$1000,$N104)&amp;"")</f>
        <v/>
      </c>
      <c r="N104">
        <f>IFERROR(MATCH(ROW()-4,rOrden_RO,0),"")</f>
        <v/>
      </c>
      <c r="O104">
        <f>IF($N104="","",INDEX('Cronograma R. Operacional'!$V$5:$V$1000,$N104))</f>
        <v/>
      </c>
      <c r="P104">
        <f>IF($N104="","",N(INDEX('Cronograma R. Operacional'!$W$5:$W$1000,$N104)))</f>
        <v/>
      </c>
      <c r="Q104">
        <f>IF(OR(LEFT($L104,7)="Vencida",LEFT($L104,5)="Vence"),SUMPRODUCT(--(LEFT($L$5:$L104,7)="Vencida"))+SUMPRODUCT(--(LEFT($L$5:$L104,5)="Vence")),"")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M2"/>
    <mergeCell ref="A1:M1"/>
  </mergeCells>
  <conditionalFormatting sqref="F5:I104">
    <cfRule type="expression" priority="1" dxfId="6" stopIfTrue="1">
      <formula>AND(AND(ISNUMBER($C5),ISNUMBER($D5),$C5&lt;=InicioCiclo+7*(COLUMN(F5)-6)+6,$D5&gt;=InicioCiclo+7*(COLUMN(F5)-6)),$K5="Vencida")</formula>
    </cfRule>
    <cfRule type="expression" priority="2" dxfId="19">
      <formula>AND(ISNUMBER($C5),ISNUMBER($D5),$C5&lt;=InicioCiclo+7*(COLUMN(F5)-6)+6,$D5&gt;=InicioCiclo+7*(COLUMN(F5)-6))</formula>
    </cfRule>
  </conditionalFormatting>
  <conditionalFormatting sqref="A5:B104">
    <cfRule type="expression" priority="3" dxfId="18">
      <formula>$O5="Macro"</formula>
    </cfRule>
  </conditionalFormatting>
  <conditionalFormatting sqref="K5:K104">
    <cfRule type="expression" priority="4" dxfId="0">
      <formula>$K5="Completado"</formula>
    </cfRule>
    <cfRule type="expression" priority="5" dxfId="6">
      <formula>$K5="Vencida"</formula>
    </cfRule>
    <cfRule type="expression" priority="6" dxfId="4">
      <formula>$K5="En curso"</formula>
    </cfRule>
    <cfRule type="expression" priority="7" dxfId="5">
      <formula>$K5="Pendiente"</formula>
    </cfRule>
  </conditionalFormatting>
  <conditionalFormatting sqref="L5:L104">
    <cfRule type="expression" priority="8" dxfId="8" stopIfTrue="1">
      <formula>LEFT($L5,7)="Vencida"</formula>
    </cfRule>
    <cfRule type="expression" priority="9" dxfId="9" stopIfTrue="1">
      <formula>LEFT($L5,5)="Vence"</formula>
    </cfRule>
    <cfRule type="expression" priority="10" dxfId="0" stopIfTrue="1">
      <formula>LEFT($L5,8)="Cumplida"</formula>
    </cfRule>
    <cfRule type="expression" priority="11" dxfId="13" stopIfTrue="1">
      <formula>$L5="En plazo"</formula>
    </cfRule>
    <cfRule type="expression" priority="12" dxfId="5">
      <formula>$L5="Sin fecha límite"</formula>
    </cfRule>
  </conditionalFormatting>
  <conditionalFormatting sqref="E5:E104">
    <cfRule type="expression" priority="13" dxfId="1">
      <formula>$E5="Semana "&amp;SemanaActual</formula>
    </cfRule>
  </conditionalFormatting>
  <conditionalFormatting sqref="J5:J104">
    <cfRule type="dataBar" priority="14">
      <dataBar showValue="1">
        <cfvo type="num" val="0"/>
        <cfvo type="num" val="1"/>
        <color rgb="005B9BD5"/>
      </dataBar>
    </cfRule>
  </conditionalFormatting>
  <conditionalFormatting sqref="F4:I4">
    <cfRule type="expression" priority="15" dxfId="1">
      <formula>COLUMN(F4)-5=SemanaActual</formula>
    </cfRule>
  </conditionalFormatting>
  <conditionalFormatting sqref="F3:I3">
    <cfRule type="expression" priority="16" dxfId="1">
      <formula>COLUMN(F3)-5=SemanaActual</formula>
    </cfRule>
  </conditionalFormatting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AN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48" customWidth="1" min="3" max="3"/>
    <col hidden="1" width="22" customWidth="1" min="4" max="4"/>
    <col width="12" customWidth="1" min="5" max="5"/>
    <col width="12" customWidth="1" min="6" max="6"/>
    <col width="14" customWidth="1" min="7" max="7"/>
    <col width="12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  <col width="12" customWidth="1" min="14" max="14"/>
    <col width="24" customWidth="1" min="15" max="15"/>
    <col hidden="1" width="30" customWidth="1" min="16" max="16"/>
    <col width="36" customWidth="1" min="17" max="17"/>
    <col width="44" customWidth="1" min="18" max="18"/>
    <col width="14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</cols>
  <sheetData>
    <row r="1" ht="28" customHeight="1">
      <c r="A1" s="80" t="inlineStr">
        <is>
          <t>Cronograma – Riesgo Normativo</t>
        </is>
      </c>
      <c r="B1" s="80" t="n"/>
      <c r="C1" s="80" t="n"/>
      <c r="D1" s="80" t="n"/>
      <c r="E1" s="80" t="n"/>
      <c r="F1" s="80" t="n"/>
      <c r="G1" s="80" t="n"/>
      <c r="H1" s="80" t="n"/>
      <c r="I1" s="80" t="n"/>
      <c r="J1" s="80" t="n"/>
      <c r="K1" s="80" t="n"/>
      <c r="L1" s="80" t="n"/>
      <c r="M1" s="80" t="n"/>
      <c r="N1" s="80" t="n"/>
      <c r="O1" s="80" t="n"/>
      <c r="P1" s="80" t="n"/>
      <c r="Q1" s="80" t="n"/>
      <c r="R1" s="80" t="n"/>
      <c r="S1" s="80" t="n"/>
    </row>
    <row r="2" ht="44" customHeight="1">
      <c r="A2" s="48" t="inlineStr">
        <is>
          <t>Llene solo las celdas GRIS SUAVE; las AZUL CLARO son automáticas. En «Tipo» elija Macroactividad o Subactividad: las subactividades van en las filas de ABAJO de su macroactividad (se ven con ↳) y su promedio da el % de la macroactividad. Cuando termine algo, escriba la FECHA DE CUMPLIMIENTO: queda al 100% y ya no aparece vencido. Si quiere registrar avances parciales, escriba en cada semana el % total logrado hasta esa semana. Cada mes agregue sus actividades debajo de las anteriores (no borre los meses pasados: quedan como historial).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  <c r="L2" s="48" t="n"/>
      <c r="M2" s="48" t="n"/>
      <c r="N2" s="48" t="n"/>
      <c r="O2" s="48" t="n"/>
      <c r="P2" s="48" t="n"/>
      <c r="Q2" s="48" t="n"/>
      <c r="R2" s="48" t="n"/>
      <c r="S2" s="48" t="n"/>
    </row>
    <row r="3" ht="22" customHeight="1">
      <c r="A3" s="49" t="inlineStr">
        <is>
          <t>Llenar</t>
        </is>
      </c>
      <c r="B3" s="50" t="inlineStr">
        <is>
          <t>Automático</t>
        </is>
      </c>
      <c r="C3" s="81" t="inlineStr">
        <is>
          <t>Macroactividad (fila resaltada)</t>
        </is>
      </c>
      <c r="E3" s="6" t="inlineStr">
        <is>
          <t>Peso: solo macroactividades. Si lo deja vacío valen igual; si lo escribe, se ajusta solo a 100%.</t>
        </is>
      </c>
      <c r="F3" s="6" t="n"/>
      <c r="G3" s="6" t="n"/>
      <c r="H3" s="6" t="n"/>
      <c r="I3" s="6" t="n"/>
      <c r="J3" s="6" t="n"/>
      <c r="K3" s="52" t="inlineStr">
        <is>
          <t>Plazos del mes:</t>
        </is>
      </c>
      <c r="M3" s="43">
        <f>COUNTIFS($S$5:$S$1000,MesCiclo,$O$5:$O$1000,"Vencida*")&amp;" vencida(s)  ·  "&amp;COUNTIFS($S$5:$S$1000,MesCiclo,$O$5:$O$1000,"Vence*")&amp;" por vencer"</f>
        <v/>
      </c>
      <c r="N3" s="43" t="n"/>
      <c r="O3" s="43" t="n"/>
      <c r="Q3" s="45">
        <f>IF(COUNTIFS('Administración'!$D$5:$D$1000,"Riesgo Normativo",'Administración'!$S$5:$S$1000,MesCiclo,'Administración'!$V$5:$V$1000,"Macro")=0,"Sin actividades delegadas por la jefatura este mes","★ La jefatura le delegó "&amp;COUNTIFS('Administración'!$D$5:$D$1000,"Riesgo Normativo",'Administración'!$S$5:$S$1000,MesCiclo,'Administración'!$V$5:$V$1000,"Macro")&amp;" actividad(es) este mes · "&amp;(COUNTIFS('Administración'!$D$5:$D$1000,"Riesgo Normativo",'Administración'!$S$5:$S$1000,MesCiclo,'Administración'!$V$5:$V$1000,"Macro")-COUNTIFS('Administración'!$D$5:$D$1000,"Riesgo Normativo",'Administración'!$S$5:$S$1000,MesCiclo,'Administración'!$V$5:$V$1000,"Macro",'Administración'!$AH$5:$AH$1000,"&gt;0"))&amp;" pendiente(s) de agregar (elíjalas en la lista de «Actividad»). Cuentan en su avance del mes.")</f>
        <v/>
      </c>
      <c r="R3" s="45" t="n"/>
      <c r="S3" s="45" t="n"/>
    </row>
    <row r="4" ht="42" customHeight="1">
      <c r="A4" s="54" t="inlineStr">
        <is>
          <t>N°</t>
        </is>
      </c>
      <c r="B4" s="68" t="inlineStr">
        <is>
          <t>Tipo</t>
        </is>
      </c>
      <c r="C4" s="68" t="inlineStr">
        <is>
          <t>Actividad</t>
        </is>
      </c>
      <c r="D4" s="68" t="inlineStr">
        <is>
          <t>Delegar a</t>
        </is>
      </c>
      <c r="E4" s="68" t="inlineStr">
        <is>
          <t>Fecha de inicio</t>
        </is>
      </c>
      <c r="F4" s="68" t="inlineStr">
        <is>
          <t>Fecha límite</t>
        </is>
      </c>
      <c r="G4" s="68" t="inlineStr">
        <is>
          <t>Fecha de cumplimiento</t>
        </is>
      </c>
      <c r="H4" s="68" t="inlineStr">
        <is>
          <t>Peso (%)</t>
        </is>
      </c>
      <c r="I4" s="68" t="inlineStr">
        <is>
          <t>Avance Semana 1 (%)</t>
        </is>
      </c>
      <c r="J4" s="68" t="inlineStr">
        <is>
          <t>Avance Semana 2 (%)</t>
        </is>
      </c>
      <c r="K4" s="68" t="inlineStr">
        <is>
          <t>Avance Semana 3 (%)</t>
        </is>
      </c>
      <c r="L4" s="68" t="inlineStr">
        <is>
          <t>Avance Semana 4 (%)</t>
        </is>
      </c>
      <c r="M4" s="54" t="inlineStr">
        <is>
          <t>% de Avance Total Actual</t>
        </is>
      </c>
      <c r="N4" s="54" t="inlineStr">
        <is>
          <t>Estado</t>
        </is>
      </c>
      <c r="O4" s="54" t="inlineStr">
        <is>
          <t>Alerta de plazo</t>
        </is>
      </c>
      <c r="P4" s="54" t="inlineStr">
        <is>
          <t>Seguimiento de la delegación</t>
        </is>
      </c>
      <c r="Q4" s="68" t="inlineStr">
        <is>
          <t>Observaciones</t>
        </is>
      </c>
      <c r="R4" s="54" t="inlineStr">
        <is>
          <t>Revisión automática (alertas)</t>
        </is>
      </c>
      <c r="S4" s="54" t="inlineStr">
        <is>
          <t>Mes</t>
        </is>
      </c>
      <c r="T4" s="54" t="inlineStr">
        <is>
          <t>Orden en el mes (aux)</t>
        </is>
      </c>
      <c r="U4" s="54" t="inlineStr">
        <is>
          <t>Grupo (aux)</t>
        </is>
      </c>
      <c r="V4" s="54" t="inlineStr">
        <is>
          <t>Tipo (aux)</t>
        </is>
      </c>
      <c r="W4" s="54" t="inlineStr">
        <is>
          <t>N subactividades (aux)</t>
        </is>
      </c>
      <c r="X4" s="54" t="inlineStr">
        <is>
          <t>Avance propio (aux)</t>
        </is>
      </c>
      <c r="Y4" s="54" t="inlineStr">
        <is>
          <t>Propio S1 (aux)</t>
        </is>
      </c>
      <c r="Z4" s="54" t="inlineStr">
        <is>
          <t>Propio S2 (aux)</t>
        </is>
      </c>
      <c r="AA4" s="54" t="inlineStr">
        <is>
          <t>Propio S3 (aux)</t>
        </is>
      </c>
      <c r="AB4" s="54" t="inlineStr">
        <is>
          <t>Propio S4 (aux)</t>
        </is>
      </c>
      <c r="AC4" s="54" t="inlineStr">
        <is>
          <t>Efectivo S1 (aux)</t>
        </is>
      </c>
      <c r="AD4" s="54" t="inlineStr">
        <is>
          <t>Efectivo S2 (aux)</t>
        </is>
      </c>
      <c r="AE4" s="54" t="inlineStr">
        <is>
          <t>Efectivo S3 (aux)</t>
        </is>
      </c>
      <c r="AF4" s="54" t="inlineStr">
        <is>
          <t>Efectivo S4 (aux)</t>
        </is>
      </c>
      <c r="AG4" s="54" t="inlineStr">
        <is>
          <t>Peso efectivo (aux)</t>
        </is>
      </c>
      <c r="AH4" s="54" t="inlineStr">
        <is>
          <t>Fila en el puesto (aux)</t>
        </is>
      </c>
      <c r="AI4" s="54" t="inlineStr">
        <is>
          <t>N° delegada en el mes (aux)</t>
        </is>
      </c>
      <c r="AJ4" s="54" t="inlineStr">
        <is>
          <t>Clave delegada (aux)</t>
        </is>
      </c>
      <c r="AK4" s="54" t="inlineStr">
        <is>
          <t>Clave puesto-actividad (aux)</t>
        </is>
      </c>
      <c r="AL4" s="54" t="inlineStr">
        <is>
          <t>Fila en Administración (aux)</t>
        </is>
      </c>
      <c r="AM4" s="54" t="inlineStr">
        <is>
          <t>Inicio efectivo (aux)</t>
        </is>
      </c>
      <c r="AN4" s="54" t="inlineStr">
        <is>
          <t>Límite efectivo (aux)</t>
        </is>
      </c>
    </row>
    <row r="5">
      <c r="A5" s="56">
        <f>IF(NOT((COUNTA($B5:$D5)+COUNTA($G5:$L5)+COUNTA($Q5))&gt;0),"",IF($V5="Macro",COUNTIFS($V$5:$V5,"Macro",$S$5:$S5,$S5),IF(N($U5)=0,"?",COUNTIFS(INDEX($V$5:$V$1000,1):INDEX($V$5:$V$1000,$U5-4),"Macro",INDEX($S$5:$S$1000,1):INDEX($S$5:$S$1000,$U5-4),INDEX($S$5:$S$1000,$U5-4))&amp;"."&amp;COUNTIFS($U$5:$U5,$U5,$V$5:$V5,"Sub"))))</f>
        <v/>
      </c>
      <c r="B5" s="57" t="n"/>
      <c r="C5" s="58" t="n"/>
      <c r="D5" s="58" t="n"/>
      <c r="E5" s="59">
        <f>IF(N($AL5)&gt;0,INDEX(rIni_ADM,$AL5),"")</f>
        <v/>
      </c>
      <c r="F5" s="59">
        <f>IF(N($AL5)&gt;0,INDEX(rLim_ADM,$AL5),"")</f>
        <v/>
      </c>
      <c r="G5" s="59" t="n"/>
      <c r="H5" s="60" t="n"/>
      <c r="I5" s="60" t="n"/>
      <c r="J5" s="60" t="n"/>
      <c r="K5" s="60" t="n"/>
      <c r="L5" s="60" t="n"/>
      <c r="M5" s="61">
        <f>IF(NOT((COUNTA($B5:$D5)+COUNTA($G5:$L5)+COUNTA($Q5))&gt;0),"",IF(ISNUMBER($G5),1,IF(N($W5)&gt;0,AVERAGEIFS($X$5:$X$1000,$U$5:$U$1000,ROW(),$V$5:$V$1000,"Sub"),$X5)))</f>
        <v/>
      </c>
      <c r="N5" s="56">
        <f>IF($M5="","",IF($M5&gt;=1,"Completado",IF($M5&gt;0,"En curso","Pendiente")))</f>
        <v/>
      </c>
      <c r="O5" s="56">
        <f>IF(NOT((COUNTA($B5:$D5)+COUNTA($G5:$L5)+COUNTA($Q5))&gt;0),"",IF(ISNUMBER($G5),IF(AND(ISNUMBER($AN5),$G5&gt;$AN5),"Cumplida con "&amp;($G5-$AN5)&amp;IF($G5-$AN5=1," día"," días")&amp;" de retraso","Cumplida"),IF(N($M5)&gt;=1,"Cumplida",IF(NOT(ISNUMBER($AN5)),"Sin fecha límite",IF($AN5&lt;FechaRef,"Vencida hace "&amp;(FechaRef-$AN5)&amp;IF(FechaRef-$AN5=1," día"," días"),IF($AN5=FechaRef,"Vence hoy",IF($AN5-FechaRef&lt;=DiasAlerta,"Vence en "&amp;($AN5-FechaRef)&amp;IF($AN5-FechaRef=1," día"," días"),"En plazo")))))))</f>
        <v/>
      </c>
      <c r="P5" s="62" t="n"/>
      <c r="Q5" s="58" t="n"/>
      <c r="R5" s="63">
        <f>IF(NOT((COUNTA($B5:$D5)+COUNTA($G5:$L5)+COUNTA($Q5))&gt;0),"",IF((IF($C5="","Falta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",""))="","✔ OK","⚠ "&amp;LEFT(IF($C5="","Falta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",""),LEN(IF($C5="","Falta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",""))-3)))</f>
        <v/>
      </c>
      <c r="S5" s="64">
        <f>IF(NOT((COUNTA($B5:$D5)+COUNTA($G5:$L5)+COUNTA($Q5))&gt;0),"",IF(AND($V5="Sub",N($U5)&gt;0),IF(ISNUMBER(INDEX($AM$5:$AM$1000,$U5-4)),DATE(YEAR(INDEX($AM$5:$AM$1000,$U5-4)),MONTH(INDEX($AM$5:$AM$1000,$U5-4)),1),IF(ISNUMBER(INDEX($AN$5:$AN$1000,$U5-4)),DATE(YEAR(INDEX($AN$5:$AN$1000,$U5-4)),MONTH(INDEX($AN$5:$AN$1000,$U5-4)),1),MesCiclo)),IF(ISNUMBER($AM5),DATE(YEAR($AM5),MONTH($AM5),1),IF(ISNUMBER($AN5),DATE(YEAR($AN5),MONTH($AN5),1),MesCiclo))))</f>
        <v/>
      </c>
      <c r="T5" s="62">
        <f>IF(OR($S5="",$S5&lt;&gt;MesCiclo),"",COUNTIF($S$5:$S5,MesCiclo))</f>
        <v/>
      </c>
      <c r="U5" s="62">
        <f>IF($V5="","",IF($V5="Macro",ROW(),IFERROR(LOOKUP(2,1/($V$5:$V5="Macro"),ROW($V$5:$V5)),0)))</f>
        <v/>
      </c>
      <c r="V5" s="62">
        <f>IF(NOT((COUNTA($B5:$D5)+COUNTA($G5:$L5)+COUNTA($Q5))&gt;0),"",IF($B5="Subactividad","Sub","Macro"))</f>
        <v/>
      </c>
      <c r="W5" s="62">
        <f>IF($V5="Macro",COUNTIFS($U$5:$U$1000,ROW(),$V$5:$V$1000,"Sub"),"")</f>
        <v/>
      </c>
      <c r="X5" s="62">
        <f>IF($V5="","",IF(ISNUMBER($G5),1,IFERROR(LOOKUP(2,1/($I5:$L5&lt;&gt;""),$I5:$L5),0)))</f>
        <v/>
      </c>
      <c r="Y5" s="62">
        <f>IF($V5="","",IF(AND(ISNUMBER($G5),$G5&lt;=IF($S5=MesCiclo,InicioCiclo,$S5+MOD(2-WEEKDAY($S5),7))+6),1,IF(ISNUMBER($I5),$I5,0)))</f>
        <v/>
      </c>
      <c r="Z5" s="62">
        <f>IF($V5="","",IF(AND(ISNUMBER($G5),$G5&lt;=IF($S5=MesCiclo,InicioCiclo,$S5+MOD(2-WEEKDAY($S5),7))+13),1,IF(ISNUMBER($J5),$J5,$Y5)))</f>
        <v/>
      </c>
      <c r="AA5" s="62">
        <f>IF($V5="","",IF(AND(ISNUMBER($G5),$G5&lt;=IF($S5=MesCiclo,InicioCiclo,$S5+MOD(2-WEEKDAY($S5),7))+20),1,IF(ISNUMBER($K5),$K5,$Z5)))</f>
        <v/>
      </c>
      <c r="AB5" s="62">
        <f>IF($V5="","",IF(AND(ISNUMBER($G5),$G5&lt;=IF($S5=MesCiclo,InicioCiclo,$S5+MOD(2-WEEKDAY($S5),7))+27),1,IF(ISNUMBER($L5),$L5,$AA5)))</f>
        <v/>
      </c>
      <c r="AC5" s="62">
        <f>IF($V5="","",IF(AND(ISNUMBER($G5),$G5&lt;=IF($S5=MesCiclo,InicioCiclo,$S5+MOD(2-WEEKDAY($S5),7))+6),1,IF(N($W5)&gt;0,AVERAGEIFS($Y$5:$Y$1000,$U$5:$U$1000,ROW(),$V$5:$V$1000,"Sub"),$Y5)))</f>
        <v/>
      </c>
      <c r="AD5" s="62">
        <f>IF($V5="","",IF(AND(ISNUMBER($G5),$G5&lt;=IF($S5=MesCiclo,InicioCiclo,$S5+MOD(2-WEEKDAY($S5),7))+13),1,IF(N($W5)&gt;0,AVERAGEIFS($Z$5:$Z$1000,$U$5:$U$1000,ROW(),$V$5:$V$1000,"Sub"),$Z5)))</f>
        <v/>
      </c>
      <c r="AE5" s="62">
        <f>IF($V5="","",IF(AND(ISNUMBER($G5),$G5&lt;=IF($S5=MesCiclo,InicioCiclo,$S5+MOD(2-WEEKDAY($S5),7))+20),1,IF(N($W5)&gt;0,AVERAGEIFS($AA$5:$AA$1000,$U$5:$U$1000,ROW(),$V$5:$V$1000,"Sub"),$AA5)))</f>
        <v/>
      </c>
      <c r="AF5" s="62">
        <f>IF($V5="","",IF(AND(ISNUMBER($G5),$G5&lt;=IF($S5=MesCiclo,InicioCiclo,$S5+MOD(2-WEEKDAY($S5),7))+27),1,IF(N($W5)&gt;0,AVERAGEIFS($AB$5:$AB$1000,$U$5:$U$1000,ROW(),$V$5:$V$1000,"Sub"),$AB5)))</f>
        <v/>
      </c>
      <c r="AG5" s="62">
        <f>IF($V5&lt;&gt;"Macro","",IF(COUNTIFS($S$5:$S$1000,$S5,$V$5:$V$1000,"Macro",$H$5:$H$1000,"&gt;0")=0,1/COUNTIFS($S$5:$S$1000,$S5,$V$5:$V$1000,"Macro"),IF(AND(ISNUMBER($H5),N($H5)&gt;0),$H5,SUMIFS($H$5:$H$1000,$S$5:$S$1000,$S5,$V$5:$V$1000,"Macro")/COUNTIFS($S$5:$S$1000,$S5,$V$5:$V$1000,"Macro",$H$5:$H$1000,"&gt;0"))/(COUNTIFS($S$5:$S$1000,$S5,$V$5:$V$1000,"Macro")*SUMIFS($H$5:$H$1000,$S$5:$S$1000,$S5,$V$5:$V$1000,"Macro")/COUNTIFS($S$5:$S$1000,$S5,$V$5:$V$1000,"Macro",$H$5:$H$1000,"&gt;0"))))</f>
        <v/>
      </c>
      <c r="AH5" s="62" t="n"/>
      <c r="AI5" s="62" t="n"/>
      <c r="AJ5" s="62" t="n"/>
      <c r="AK5" s="62" t="n"/>
      <c r="AL5" s="62">
        <f>IF(LEFT($C5,11)="[Jefatura] ",IFERROR(MATCH("Riesgo Normativo|"&amp;MID($C5,12,500),rDname_ADM,0),0),"")</f>
        <v/>
      </c>
      <c r="AM5" s="62">
        <f>IF(N($AL5)&gt;0,INDEX(rIni_ADM,$AL5),IF(ISNUMBER($E5),$E5,""))</f>
        <v/>
      </c>
      <c r="AN5" s="62">
        <f>IF(N($AL5)&gt;0,INDEX(rLim_ADM,$AL5),IF(ISNUMBER($F5),$F5,""))</f>
        <v/>
      </c>
    </row>
    <row r="6">
      <c r="A6" s="56">
        <f>IF(NOT((COUNTA($B6:$D6)+COUNTA($G6:$L6)+COUNTA($Q6))&gt;0),"",IF($V6="Macro",COUNTIFS($V$5:$V6,"Macro",$S$5:$S6,$S6),IF(N($U6)=0,"?",COUNTIFS(INDEX($V$5:$V$1000,1):INDEX($V$5:$V$1000,$U6-4),"Macro",INDEX($S$5:$S$1000,1):INDEX($S$5:$S$1000,$U6-4),INDEX($S$5:$S$1000,$U6-4))&amp;"."&amp;COUNTIFS($U$5:$U6,$U6,$V$5:$V6,"Sub"))))</f>
        <v/>
      </c>
      <c r="B6" s="57" t="n"/>
      <c r="C6" s="58" t="n"/>
      <c r="D6" s="58" t="n"/>
      <c r="E6" s="59">
        <f>IF(N($AL6)&gt;0,INDEX(rIni_ADM,$AL6),"")</f>
        <v/>
      </c>
      <c r="F6" s="59">
        <f>IF(N($AL6)&gt;0,INDEX(rLim_ADM,$AL6),"")</f>
        <v/>
      </c>
      <c r="G6" s="59" t="n"/>
      <c r="H6" s="60" t="n"/>
      <c r="I6" s="60" t="n"/>
      <c r="J6" s="60" t="n"/>
      <c r="K6" s="60" t="n"/>
      <c r="L6" s="60" t="n"/>
      <c r="M6" s="61">
        <f>IF(NOT((COUNTA($B6:$D6)+COUNTA($G6:$L6)+COUNTA($Q6))&gt;0),"",IF(ISNUMBER($G6),1,IF(N($W6)&gt;0,AVERAGEIFS($X$5:$X$1000,$U$5:$U$1000,ROW(),$V$5:$V$1000,"Sub"),$X6)))</f>
        <v/>
      </c>
      <c r="N6" s="56">
        <f>IF($M6="","",IF($M6&gt;=1,"Completado",IF($M6&gt;0,"En curso","Pendiente")))</f>
        <v/>
      </c>
      <c r="O6" s="56">
        <f>IF(NOT((COUNTA($B6:$D6)+COUNTA($G6:$L6)+COUNTA($Q6))&gt;0),"",IF(ISNUMBER($G6),IF(AND(ISNUMBER($AN6),$G6&gt;$AN6),"Cumplida con "&amp;($G6-$AN6)&amp;IF($G6-$AN6=1," día"," días")&amp;" de retraso","Cumplida"),IF(N($M6)&gt;=1,"Cumplida",IF(NOT(ISNUMBER($AN6)),"Sin fecha límite",IF($AN6&lt;FechaRef,"Vencida hace "&amp;(FechaRef-$AN6)&amp;IF(FechaRef-$AN6=1," día"," días"),IF($AN6=FechaRef,"Vence hoy",IF($AN6-FechaRef&lt;=DiasAlerta,"Vence en "&amp;($AN6-FechaRef)&amp;IF($AN6-FechaRef=1," día"," días"),"En plazo")))))))</f>
        <v/>
      </c>
      <c r="P6" s="62" t="n"/>
      <c r="Q6" s="58" t="n"/>
      <c r="R6" s="63">
        <f>IF(NOT((COUNTA($B6:$D6)+COUNTA($G6:$L6)+COUNTA($Q6))&gt;0),"",IF((IF($C6="","Falta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",""))="","✔ OK","⚠ "&amp;LEFT(IF($C6="","Falta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",""),LEN(IF($C6="","Falta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",""))-3)))</f>
        <v/>
      </c>
      <c r="S6" s="64">
        <f>IF(NOT((COUNTA($B6:$D6)+COUNTA($G6:$L6)+COUNTA($Q6))&gt;0),"",IF(AND($V6="Sub",N($U6)&gt;0),IF(ISNUMBER(INDEX($AM$5:$AM$1000,$U6-4)),DATE(YEAR(INDEX($AM$5:$AM$1000,$U6-4)),MONTH(INDEX($AM$5:$AM$1000,$U6-4)),1),IF(ISNUMBER(INDEX($AN$5:$AN$1000,$U6-4)),DATE(YEAR(INDEX($AN$5:$AN$1000,$U6-4)),MONTH(INDEX($AN$5:$AN$1000,$U6-4)),1),MesCiclo)),IF(ISNUMBER($AM6),DATE(YEAR($AM6),MONTH($AM6),1),IF(ISNUMBER($AN6),DATE(YEAR($AN6),MONTH($AN6),1),MesCiclo))))</f>
        <v/>
      </c>
      <c r="T6" s="62">
        <f>IF(OR($S6="",$S6&lt;&gt;MesCiclo),"",COUNTIF($S$5:$S6,MesCiclo))</f>
        <v/>
      </c>
      <c r="U6" s="62">
        <f>IF($V6="","",IF($V6="Macro",ROW(),IFERROR(LOOKUP(2,1/($V$5:$V6="Macro"),ROW($V$5:$V6)),0)))</f>
        <v/>
      </c>
      <c r="V6" s="62">
        <f>IF(NOT((COUNTA($B6:$D6)+COUNTA($G6:$L6)+COUNTA($Q6))&gt;0),"",IF($B6="Subactividad","Sub","Macro"))</f>
        <v/>
      </c>
      <c r="W6" s="62">
        <f>IF($V6="Macro",COUNTIFS($U$5:$U$1000,ROW(),$V$5:$V$1000,"Sub"),"")</f>
        <v/>
      </c>
      <c r="X6" s="62">
        <f>IF($V6="","",IF(ISNUMBER($G6),1,IFERROR(LOOKUP(2,1/($I6:$L6&lt;&gt;""),$I6:$L6),0)))</f>
        <v/>
      </c>
      <c r="Y6" s="62">
        <f>IF($V6="","",IF(AND(ISNUMBER($G6),$G6&lt;=IF($S6=MesCiclo,InicioCiclo,$S6+MOD(2-WEEKDAY($S6),7))+6),1,IF(ISNUMBER($I6),$I6,0)))</f>
        <v/>
      </c>
      <c r="Z6" s="62">
        <f>IF($V6="","",IF(AND(ISNUMBER($G6),$G6&lt;=IF($S6=MesCiclo,InicioCiclo,$S6+MOD(2-WEEKDAY($S6),7))+13),1,IF(ISNUMBER($J6),$J6,$Y6)))</f>
        <v/>
      </c>
      <c r="AA6" s="62">
        <f>IF($V6="","",IF(AND(ISNUMBER($G6),$G6&lt;=IF($S6=MesCiclo,InicioCiclo,$S6+MOD(2-WEEKDAY($S6),7))+20),1,IF(ISNUMBER($K6),$K6,$Z6)))</f>
        <v/>
      </c>
      <c r="AB6" s="62">
        <f>IF($V6="","",IF(AND(ISNUMBER($G6),$G6&lt;=IF($S6=MesCiclo,InicioCiclo,$S6+MOD(2-WEEKDAY($S6),7))+27),1,IF(ISNUMBER($L6),$L6,$AA6)))</f>
        <v/>
      </c>
      <c r="AC6" s="62">
        <f>IF($V6="","",IF(AND(ISNUMBER($G6),$G6&lt;=IF($S6=MesCiclo,InicioCiclo,$S6+MOD(2-WEEKDAY($S6),7))+6),1,IF(N($W6)&gt;0,AVERAGEIFS($Y$5:$Y$1000,$U$5:$U$1000,ROW(),$V$5:$V$1000,"Sub"),$Y6)))</f>
        <v/>
      </c>
      <c r="AD6" s="62">
        <f>IF($V6="","",IF(AND(ISNUMBER($G6),$G6&lt;=IF($S6=MesCiclo,InicioCiclo,$S6+MOD(2-WEEKDAY($S6),7))+13),1,IF(N($W6)&gt;0,AVERAGEIFS($Z$5:$Z$1000,$U$5:$U$1000,ROW(),$V$5:$V$1000,"Sub"),$Z6)))</f>
        <v/>
      </c>
      <c r="AE6" s="62">
        <f>IF($V6="","",IF(AND(ISNUMBER($G6),$G6&lt;=IF($S6=MesCiclo,InicioCiclo,$S6+MOD(2-WEEKDAY($S6),7))+20),1,IF(N($W6)&gt;0,AVERAGEIFS($AA$5:$AA$1000,$U$5:$U$1000,ROW(),$V$5:$V$1000,"Sub"),$AA6)))</f>
        <v/>
      </c>
      <c r="AF6" s="62">
        <f>IF($V6="","",IF(AND(ISNUMBER($G6),$G6&lt;=IF($S6=MesCiclo,InicioCiclo,$S6+MOD(2-WEEKDAY($S6),7))+27),1,IF(N($W6)&gt;0,AVERAGEIFS($AB$5:$AB$1000,$U$5:$U$1000,ROW(),$V$5:$V$1000,"Sub"),$AB6)))</f>
        <v/>
      </c>
      <c r="AG6" s="62">
        <f>IF($V6&lt;&gt;"Macro","",IF(COUNTIFS($S$5:$S$1000,$S6,$V$5:$V$1000,"Macro",$H$5:$H$1000,"&gt;0")=0,1/COUNTIFS($S$5:$S$1000,$S6,$V$5:$V$1000,"Macro"),IF(AND(ISNUMBER($H6),N($H6)&gt;0),$H6,SUMIFS($H$5:$H$1000,$S$5:$S$1000,$S6,$V$5:$V$1000,"Macro")/COUNTIFS($S$5:$S$1000,$S6,$V$5:$V$1000,"Macro",$H$5:$H$1000,"&gt;0"))/(COUNTIFS($S$5:$S$1000,$S6,$V$5:$V$1000,"Macro")*SUMIFS($H$5:$H$1000,$S$5:$S$1000,$S6,$V$5:$V$1000,"Macro")/COUNTIFS($S$5:$S$1000,$S6,$V$5:$V$1000,"Macro",$H$5:$H$1000,"&gt;0"))))</f>
        <v/>
      </c>
      <c r="AH6" s="62" t="n"/>
      <c r="AI6" s="62" t="n"/>
      <c r="AJ6" s="62" t="n"/>
      <c r="AK6" s="62" t="n"/>
      <c r="AL6" s="62">
        <f>IF(LEFT($C6,11)="[Jefatura] ",IFERROR(MATCH("Riesgo Normativo|"&amp;MID($C6,12,500),rDname_ADM,0),0),"")</f>
        <v/>
      </c>
      <c r="AM6" s="62">
        <f>IF(N($AL6)&gt;0,INDEX(rIni_ADM,$AL6),IF(ISNUMBER($E6),$E6,""))</f>
        <v/>
      </c>
      <c r="AN6" s="62">
        <f>IF(N($AL6)&gt;0,INDEX(rLim_ADM,$AL6),IF(ISNUMBER($F6),$F6,""))</f>
        <v/>
      </c>
    </row>
    <row r="7">
      <c r="A7" s="56">
        <f>IF(NOT((COUNTA($B7:$D7)+COUNTA($G7:$L7)+COUNTA($Q7))&gt;0),"",IF($V7="Macro",COUNTIFS($V$5:$V7,"Macro",$S$5:$S7,$S7),IF(N($U7)=0,"?",COUNTIFS(INDEX($V$5:$V$1000,1):INDEX($V$5:$V$1000,$U7-4),"Macro",INDEX($S$5:$S$1000,1):INDEX($S$5:$S$1000,$U7-4),INDEX($S$5:$S$1000,$U7-4))&amp;"."&amp;COUNTIFS($U$5:$U7,$U7,$V$5:$V7,"Sub"))))</f>
        <v/>
      </c>
      <c r="B7" s="57" t="n"/>
      <c r="C7" s="58" t="n"/>
      <c r="D7" s="58" t="n"/>
      <c r="E7" s="59">
        <f>IF(N($AL7)&gt;0,INDEX(rIni_ADM,$AL7),"")</f>
        <v/>
      </c>
      <c r="F7" s="59">
        <f>IF(N($AL7)&gt;0,INDEX(rLim_ADM,$AL7),"")</f>
        <v/>
      </c>
      <c r="G7" s="59" t="n"/>
      <c r="H7" s="60" t="n"/>
      <c r="I7" s="60" t="n"/>
      <c r="J7" s="60" t="n"/>
      <c r="K7" s="60" t="n"/>
      <c r="L7" s="60" t="n"/>
      <c r="M7" s="61">
        <f>IF(NOT((COUNTA($B7:$D7)+COUNTA($G7:$L7)+COUNTA($Q7))&gt;0),"",IF(ISNUMBER($G7),1,IF(N($W7)&gt;0,AVERAGEIFS($X$5:$X$1000,$U$5:$U$1000,ROW(),$V$5:$V$1000,"Sub"),$X7)))</f>
        <v/>
      </c>
      <c r="N7" s="56">
        <f>IF($M7="","",IF($M7&gt;=1,"Completado",IF($M7&gt;0,"En curso","Pendiente")))</f>
        <v/>
      </c>
      <c r="O7" s="56">
        <f>IF(NOT((COUNTA($B7:$D7)+COUNTA($G7:$L7)+COUNTA($Q7))&gt;0),"",IF(ISNUMBER($G7),IF(AND(ISNUMBER($AN7),$G7&gt;$AN7),"Cumplida con "&amp;($G7-$AN7)&amp;IF($G7-$AN7=1," día"," días")&amp;" de retraso","Cumplida"),IF(N($M7)&gt;=1,"Cumplida",IF(NOT(ISNUMBER($AN7)),"Sin fecha límite",IF($AN7&lt;FechaRef,"Vencida hace "&amp;(FechaRef-$AN7)&amp;IF(FechaRef-$AN7=1," día"," días"),IF($AN7=FechaRef,"Vence hoy",IF($AN7-FechaRef&lt;=DiasAlerta,"Vence en "&amp;($AN7-FechaRef)&amp;IF($AN7-FechaRef=1," día"," días"),"En plazo")))))))</f>
        <v/>
      </c>
      <c r="P7" s="62" t="n"/>
      <c r="Q7" s="58" t="n"/>
      <c r="R7" s="63">
        <f>IF(NOT((COUNTA($B7:$D7)+COUNTA($G7:$L7)+COUNTA($Q7))&gt;0),"",IF((IF($C7="","Falta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",""))="","✔ OK","⚠ "&amp;LEFT(IF($C7="","Falta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",""),LEN(IF($C7="","Falta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",""))-3)))</f>
        <v/>
      </c>
      <c r="S7" s="64">
        <f>IF(NOT((COUNTA($B7:$D7)+COUNTA($G7:$L7)+COUNTA($Q7))&gt;0),"",IF(AND($V7="Sub",N($U7)&gt;0),IF(ISNUMBER(INDEX($AM$5:$AM$1000,$U7-4)),DATE(YEAR(INDEX($AM$5:$AM$1000,$U7-4)),MONTH(INDEX($AM$5:$AM$1000,$U7-4)),1),IF(ISNUMBER(INDEX($AN$5:$AN$1000,$U7-4)),DATE(YEAR(INDEX($AN$5:$AN$1000,$U7-4)),MONTH(INDEX($AN$5:$AN$1000,$U7-4)),1),MesCiclo)),IF(ISNUMBER($AM7),DATE(YEAR($AM7),MONTH($AM7),1),IF(ISNUMBER($AN7),DATE(YEAR($AN7),MONTH($AN7),1),MesCiclo))))</f>
        <v/>
      </c>
      <c r="T7" s="62">
        <f>IF(OR($S7="",$S7&lt;&gt;MesCiclo),"",COUNTIF($S$5:$S7,MesCiclo))</f>
        <v/>
      </c>
      <c r="U7" s="62">
        <f>IF($V7="","",IF($V7="Macro",ROW(),IFERROR(LOOKUP(2,1/($V$5:$V7="Macro"),ROW($V$5:$V7)),0)))</f>
        <v/>
      </c>
      <c r="V7" s="62">
        <f>IF(NOT((COUNTA($B7:$D7)+COUNTA($G7:$L7)+COUNTA($Q7))&gt;0),"",IF($B7="Subactividad","Sub","Macro"))</f>
        <v/>
      </c>
      <c r="W7" s="62">
        <f>IF($V7="Macro",COUNTIFS($U$5:$U$1000,ROW(),$V$5:$V$1000,"Sub"),"")</f>
        <v/>
      </c>
      <c r="X7" s="62">
        <f>IF($V7="","",IF(ISNUMBER($G7),1,IFERROR(LOOKUP(2,1/($I7:$L7&lt;&gt;""),$I7:$L7),0)))</f>
        <v/>
      </c>
      <c r="Y7" s="62">
        <f>IF($V7="","",IF(AND(ISNUMBER($G7),$G7&lt;=IF($S7=MesCiclo,InicioCiclo,$S7+MOD(2-WEEKDAY($S7),7))+6),1,IF(ISNUMBER($I7),$I7,0)))</f>
        <v/>
      </c>
      <c r="Z7" s="62">
        <f>IF($V7="","",IF(AND(ISNUMBER($G7),$G7&lt;=IF($S7=MesCiclo,InicioCiclo,$S7+MOD(2-WEEKDAY($S7),7))+13),1,IF(ISNUMBER($J7),$J7,$Y7)))</f>
        <v/>
      </c>
      <c r="AA7" s="62">
        <f>IF($V7="","",IF(AND(ISNUMBER($G7),$G7&lt;=IF($S7=MesCiclo,InicioCiclo,$S7+MOD(2-WEEKDAY($S7),7))+20),1,IF(ISNUMBER($K7),$K7,$Z7)))</f>
        <v/>
      </c>
      <c r="AB7" s="62">
        <f>IF($V7="","",IF(AND(ISNUMBER($G7),$G7&lt;=IF($S7=MesCiclo,InicioCiclo,$S7+MOD(2-WEEKDAY($S7),7))+27),1,IF(ISNUMBER($L7),$L7,$AA7)))</f>
        <v/>
      </c>
      <c r="AC7" s="62">
        <f>IF($V7="","",IF(AND(ISNUMBER($G7),$G7&lt;=IF($S7=MesCiclo,InicioCiclo,$S7+MOD(2-WEEKDAY($S7),7))+6),1,IF(N($W7)&gt;0,AVERAGEIFS($Y$5:$Y$1000,$U$5:$U$1000,ROW(),$V$5:$V$1000,"Sub"),$Y7)))</f>
        <v/>
      </c>
      <c r="AD7" s="62">
        <f>IF($V7="","",IF(AND(ISNUMBER($G7),$G7&lt;=IF($S7=MesCiclo,InicioCiclo,$S7+MOD(2-WEEKDAY($S7),7))+13),1,IF(N($W7)&gt;0,AVERAGEIFS($Z$5:$Z$1000,$U$5:$U$1000,ROW(),$V$5:$V$1000,"Sub"),$Z7)))</f>
        <v/>
      </c>
      <c r="AE7" s="62">
        <f>IF($V7="","",IF(AND(ISNUMBER($G7),$G7&lt;=IF($S7=MesCiclo,InicioCiclo,$S7+MOD(2-WEEKDAY($S7),7))+20),1,IF(N($W7)&gt;0,AVERAGEIFS($AA$5:$AA$1000,$U$5:$U$1000,ROW(),$V$5:$V$1000,"Sub"),$AA7)))</f>
        <v/>
      </c>
      <c r="AF7" s="62">
        <f>IF($V7="","",IF(AND(ISNUMBER($G7),$G7&lt;=IF($S7=MesCiclo,InicioCiclo,$S7+MOD(2-WEEKDAY($S7),7))+27),1,IF(N($W7)&gt;0,AVERAGEIFS($AB$5:$AB$1000,$U$5:$U$1000,ROW(),$V$5:$V$1000,"Sub"),$AB7)))</f>
        <v/>
      </c>
      <c r="AG7" s="62">
        <f>IF($V7&lt;&gt;"Macro","",IF(COUNTIFS($S$5:$S$1000,$S7,$V$5:$V$1000,"Macro",$H$5:$H$1000,"&gt;0")=0,1/COUNTIFS($S$5:$S$1000,$S7,$V$5:$V$1000,"Macro"),IF(AND(ISNUMBER($H7),N($H7)&gt;0),$H7,SUMIFS($H$5:$H$1000,$S$5:$S$1000,$S7,$V$5:$V$1000,"Macro")/COUNTIFS($S$5:$S$1000,$S7,$V$5:$V$1000,"Macro",$H$5:$H$1000,"&gt;0"))/(COUNTIFS($S$5:$S$1000,$S7,$V$5:$V$1000,"Macro")*SUMIFS($H$5:$H$1000,$S$5:$S$1000,$S7,$V$5:$V$1000,"Macro")/COUNTIFS($S$5:$S$1000,$S7,$V$5:$V$1000,"Macro",$H$5:$H$1000,"&gt;0"))))</f>
        <v/>
      </c>
      <c r="AH7" s="62" t="n"/>
      <c r="AI7" s="62" t="n"/>
      <c r="AJ7" s="62" t="n"/>
      <c r="AK7" s="62" t="n"/>
      <c r="AL7" s="62">
        <f>IF(LEFT($C7,11)="[Jefatura] ",IFERROR(MATCH("Riesgo Normativo|"&amp;MID($C7,12,500),rDname_ADM,0),0),"")</f>
        <v/>
      </c>
      <c r="AM7" s="62">
        <f>IF(N($AL7)&gt;0,INDEX(rIni_ADM,$AL7),IF(ISNUMBER($E7),$E7,""))</f>
        <v/>
      </c>
      <c r="AN7" s="62">
        <f>IF(N($AL7)&gt;0,INDEX(rLim_ADM,$AL7),IF(ISNUMBER($F7),$F7,""))</f>
        <v/>
      </c>
    </row>
    <row r="8">
      <c r="A8" s="56">
        <f>IF(NOT((COUNTA($B8:$D8)+COUNTA($G8:$L8)+COUNTA($Q8))&gt;0),"",IF($V8="Macro",COUNTIFS($V$5:$V8,"Macro",$S$5:$S8,$S8),IF(N($U8)=0,"?",COUNTIFS(INDEX($V$5:$V$1000,1):INDEX($V$5:$V$1000,$U8-4),"Macro",INDEX($S$5:$S$1000,1):INDEX($S$5:$S$1000,$U8-4),INDEX($S$5:$S$1000,$U8-4))&amp;"."&amp;COUNTIFS($U$5:$U8,$U8,$V$5:$V8,"Sub"))))</f>
        <v/>
      </c>
      <c r="B8" s="57" t="n"/>
      <c r="C8" s="58" t="n"/>
      <c r="D8" s="58" t="n"/>
      <c r="E8" s="59">
        <f>IF(N($AL8)&gt;0,INDEX(rIni_ADM,$AL8),"")</f>
        <v/>
      </c>
      <c r="F8" s="59">
        <f>IF(N($AL8)&gt;0,INDEX(rLim_ADM,$AL8),"")</f>
        <v/>
      </c>
      <c r="G8" s="59" t="n"/>
      <c r="H8" s="60" t="n"/>
      <c r="I8" s="60" t="n"/>
      <c r="J8" s="60" t="n"/>
      <c r="K8" s="60" t="n"/>
      <c r="L8" s="60" t="n"/>
      <c r="M8" s="61">
        <f>IF(NOT((COUNTA($B8:$D8)+COUNTA($G8:$L8)+COUNTA($Q8))&gt;0),"",IF(ISNUMBER($G8),1,IF(N($W8)&gt;0,AVERAGEIFS($X$5:$X$1000,$U$5:$U$1000,ROW(),$V$5:$V$1000,"Sub"),$X8)))</f>
        <v/>
      </c>
      <c r="N8" s="56">
        <f>IF($M8="","",IF($M8&gt;=1,"Completado",IF($M8&gt;0,"En curso","Pendiente")))</f>
        <v/>
      </c>
      <c r="O8" s="56">
        <f>IF(NOT((COUNTA($B8:$D8)+COUNTA($G8:$L8)+COUNTA($Q8))&gt;0),"",IF(ISNUMBER($G8),IF(AND(ISNUMBER($AN8),$G8&gt;$AN8),"Cumplida con "&amp;($G8-$AN8)&amp;IF($G8-$AN8=1," día"," días")&amp;" de retraso","Cumplida"),IF(N($M8)&gt;=1,"Cumplida",IF(NOT(ISNUMBER($AN8)),"Sin fecha límite",IF($AN8&lt;FechaRef,"Vencida hace "&amp;(FechaRef-$AN8)&amp;IF(FechaRef-$AN8=1," día"," días"),IF($AN8=FechaRef,"Vence hoy",IF($AN8-FechaRef&lt;=DiasAlerta,"Vence en "&amp;($AN8-FechaRef)&amp;IF($AN8-FechaRef=1," día"," días"),"En plazo")))))))</f>
        <v/>
      </c>
      <c r="P8" s="62" t="n"/>
      <c r="Q8" s="58" t="n"/>
      <c r="R8" s="63">
        <f>IF(NOT((COUNTA($B8:$D8)+COUNTA($G8:$L8)+COUNTA($Q8))&gt;0),"",IF((IF($C8="","Falta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",""))="","✔ OK","⚠ "&amp;LEFT(IF($C8="","Falta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",""),LEN(IF($C8="","Falta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",""))-3)))</f>
        <v/>
      </c>
      <c r="S8" s="64">
        <f>IF(NOT((COUNTA($B8:$D8)+COUNTA($G8:$L8)+COUNTA($Q8))&gt;0),"",IF(AND($V8="Sub",N($U8)&gt;0),IF(ISNUMBER(INDEX($AM$5:$AM$1000,$U8-4)),DATE(YEAR(INDEX($AM$5:$AM$1000,$U8-4)),MONTH(INDEX($AM$5:$AM$1000,$U8-4)),1),IF(ISNUMBER(INDEX($AN$5:$AN$1000,$U8-4)),DATE(YEAR(INDEX($AN$5:$AN$1000,$U8-4)),MONTH(INDEX($AN$5:$AN$1000,$U8-4)),1),MesCiclo)),IF(ISNUMBER($AM8),DATE(YEAR($AM8),MONTH($AM8),1),IF(ISNUMBER($AN8),DATE(YEAR($AN8),MONTH($AN8),1),MesCiclo))))</f>
        <v/>
      </c>
      <c r="T8" s="62">
        <f>IF(OR($S8="",$S8&lt;&gt;MesCiclo),"",COUNTIF($S$5:$S8,MesCiclo))</f>
        <v/>
      </c>
      <c r="U8" s="62">
        <f>IF($V8="","",IF($V8="Macro",ROW(),IFERROR(LOOKUP(2,1/($V$5:$V8="Macro"),ROW($V$5:$V8)),0)))</f>
        <v/>
      </c>
      <c r="V8" s="62">
        <f>IF(NOT((COUNTA($B8:$D8)+COUNTA($G8:$L8)+COUNTA($Q8))&gt;0),"",IF($B8="Subactividad","Sub","Macro"))</f>
        <v/>
      </c>
      <c r="W8" s="62">
        <f>IF($V8="Macro",COUNTIFS($U$5:$U$1000,ROW(),$V$5:$V$1000,"Sub"),"")</f>
        <v/>
      </c>
      <c r="X8" s="62">
        <f>IF($V8="","",IF(ISNUMBER($G8),1,IFERROR(LOOKUP(2,1/($I8:$L8&lt;&gt;""),$I8:$L8),0)))</f>
        <v/>
      </c>
      <c r="Y8" s="62">
        <f>IF($V8="","",IF(AND(ISNUMBER($G8),$G8&lt;=IF($S8=MesCiclo,InicioCiclo,$S8+MOD(2-WEEKDAY($S8),7))+6),1,IF(ISNUMBER($I8),$I8,0)))</f>
        <v/>
      </c>
      <c r="Z8" s="62">
        <f>IF($V8="","",IF(AND(ISNUMBER($G8),$G8&lt;=IF($S8=MesCiclo,InicioCiclo,$S8+MOD(2-WEEKDAY($S8),7))+13),1,IF(ISNUMBER($J8),$J8,$Y8)))</f>
        <v/>
      </c>
      <c r="AA8" s="62">
        <f>IF($V8="","",IF(AND(ISNUMBER($G8),$G8&lt;=IF($S8=MesCiclo,InicioCiclo,$S8+MOD(2-WEEKDAY($S8),7))+20),1,IF(ISNUMBER($K8),$K8,$Z8)))</f>
        <v/>
      </c>
      <c r="AB8" s="62">
        <f>IF($V8="","",IF(AND(ISNUMBER($G8),$G8&lt;=IF($S8=MesCiclo,InicioCiclo,$S8+MOD(2-WEEKDAY($S8),7))+27),1,IF(ISNUMBER($L8),$L8,$AA8)))</f>
        <v/>
      </c>
      <c r="AC8" s="62">
        <f>IF($V8="","",IF(AND(ISNUMBER($G8),$G8&lt;=IF($S8=MesCiclo,InicioCiclo,$S8+MOD(2-WEEKDAY($S8),7))+6),1,IF(N($W8)&gt;0,AVERAGEIFS($Y$5:$Y$1000,$U$5:$U$1000,ROW(),$V$5:$V$1000,"Sub"),$Y8)))</f>
        <v/>
      </c>
      <c r="AD8" s="62">
        <f>IF($V8="","",IF(AND(ISNUMBER($G8),$G8&lt;=IF($S8=MesCiclo,InicioCiclo,$S8+MOD(2-WEEKDAY($S8),7))+13),1,IF(N($W8)&gt;0,AVERAGEIFS($Z$5:$Z$1000,$U$5:$U$1000,ROW(),$V$5:$V$1000,"Sub"),$Z8)))</f>
        <v/>
      </c>
      <c r="AE8" s="62">
        <f>IF($V8="","",IF(AND(ISNUMBER($G8),$G8&lt;=IF($S8=MesCiclo,InicioCiclo,$S8+MOD(2-WEEKDAY($S8),7))+20),1,IF(N($W8)&gt;0,AVERAGEIFS($AA$5:$AA$1000,$U$5:$U$1000,ROW(),$V$5:$V$1000,"Sub"),$AA8)))</f>
        <v/>
      </c>
      <c r="AF8" s="62">
        <f>IF($V8="","",IF(AND(ISNUMBER($G8),$G8&lt;=IF($S8=MesCiclo,InicioCiclo,$S8+MOD(2-WEEKDAY($S8),7))+27),1,IF(N($W8)&gt;0,AVERAGEIFS($AB$5:$AB$1000,$U$5:$U$1000,ROW(),$V$5:$V$1000,"Sub"),$AB8)))</f>
        <v/>
      </c>
      <c r="AG8" s="62">
        <f>IF($V8&lt;&gt;"Macro","",IF(COUNTIFS($S$5:$S$1000,$S8,$V$5:$V$1000,"Macro",$H$5:$H$1000,"&gt;0")=0,1/COUNTIFS($S$5:$S$1000,$S8,$V$5:$V$1000,"Macro"),IF(AND(ISNUMBER($H8),N($H8)&gt;0),$H8,SUMIFS($H$5:$H$1000,$S$5:$S$1000,$S8,$V$5:$V$1000,"Macro")/COUNTIFS($S$5:$S$1000,$S8,$V$5:$V$1000,"Macro",$H$5:$H$1000,"&gt;0"))/(COUNTIFS($S$5:$S$1000,$S8,$V$5:$V$1000,"Macro")*SUMIFS($H$5:$H$1000,$S$5:$S$1000,$S8,$V$5:$V$1000,"Macro")/COUNTIFS($S$5:$S$1000,$S8,$V$5:$V$1000,"Macro",$H$5:$H$1000,"&gt;0"))))</f>
        <v/>
      </c>
      <c r="AH8" s="62" t="n"/>
      <c r="AI8" s="62" t="n"/>
      <c r="AJ8" s="62" t="n"/>
      <c r="AK8" s="62" t="n"/>
      <c r="AL8" s="62">
        <f>IF(LEFT($C8,11)="[Jefatura] ",IFERROR(MATCH("Riesgo Normativo|"&amp;MID($C8,12,500),rDname_ADM,0),0),"")</f>
        <v/>
      </c>
      <c r="AM8" s="62">
        <f>IF(N($AL8)&gt;0,INDEX(rIni_ADM,$AL8),IF(ISNUMBER($E8),$E8,""))</f>
        <v/>
      </c>
      <c r="AN8" s="62">
        <f>IF(N($AL8)&gt;0,INDEX(rLim_ADM,$AL8),IF(ISNUMBER($F8),$F8,""))</f>
        <v/>
      </c>
    </row>
    <row r="9">
      <c r="A9" s="56">
        <f>IF(NOT((COUNTA($B9:$D9)+COUNTA($G9:$L9)+COUNTA($Q9))&gt;0),"",IF($V9="Macro",COUNTIFS($V$5:$V9,"Macro",$S$5:$S9,$S9),IF(N($U9)=0,"?",COUNTIFS(INDEX($V$5:$V$1000,1):INDEX($V$5:$V$1000,$U9-4),"Macro",INDEX($S$5:$S$1000,1):INDEX($S$5:$S$1000,$U9-4),INDEX($S$5:$S$1000,$U9-4))&amp;"."&amp;COUNTIFS($U$5:$U9,$U9,$V$5:$V9,"Sub"))))</f>
        <v/>
      </c>
      <c r="B9" s="57" t="n"/>
      <c r="C9" s="58" t="n"/>
      <c r="D9" s="58" t="n"/>
      <c r="E9" s="59">
        <f>IF(N($AL9)&gt;0,INDEX(rIni_ADM,$AL9),"")</f>
        <v/>
      </c>
      <c r="F9" s="59">
        <f>IF(N($AL9)&gt;0,INDEX(rLim_ADM,$AL9),"")</f>
        <v/>
      </c>
      <c r="G9" s="59" t="n"/>
      <c r="H9" s="60" t="n"/>
      <c r="I9" s="60" t="n"/>
      <c r="J9" s="60" t="n"/>
      <c r="K9" s="60" t="n"/>
      <c r="L9" s="60" t="n"/>
      <c r="M9" s="61">
        <f>IF(NOT((COUNTA($B9:$D9)+COUNTA($G9:$L9)+COUNTA($Q9))&gt;0),"",IF(ISNUMBER($G9),1,IF(N($W9)&gt;0,AVERAGEIFS($X$5:$X$1000,$U$5:$U$1000,ROW(),$V$5:$V$1000,"Sub"),$X9)))</f>
        <v/>
      </c>
      <c r="N9" s="56">
        <f>IF($M9="","",IF($M9&gt;=1,"Completado",IF($M9&gt;0,"En curso","Pendiente")))</f>
        <v/>
      </c>
      <c r="O9" s="56">
        <f>IF(NOT((COUNTA($B9:$D9)+COUNTA($G9:$L9)+COUNTA($Q9))&gt;0),"",IF(ISNUMBER($G9),IF(AND(ISNUMBER($AN9),$G9&gt;$AN9),"Cumplida con "&amp;($G9-$AN9)&amp;IF($G9-$AN9=1," día"," días")&amp;" de retraso","Cumplida"),IF(N($M9)&gt;=1,"Cumplida",IF(NOT(ISNUMBER($AN9)),"Sin fecha límite",IF($AN9&lt;FechaRef,"Vencida hace "&amp;(FechaRef-$AN9)&amp;IF(FechaRef-$AN9=1," día"," días"),IF($AN9=FechaRef,"Vence hoy",IF($AN9-FechaRef&lt;=DiasAlerta,"Vence en "&amp;($AN9-FechaRef)&amp;IF($AN9-FechaRef=1," día"," días"),"En plazo")))))))</f>
        <v/>
      </c>
      <c r="P9" s="62" t="n"/>
      <c r="Q9" s="58" t="n"/>
      <c r="R9" s="63">
        <f>IF(NOT((COUNTA($B9:$D9)+COUNTA($G9:$L9)+COUNTA($Q9))&gt;0),"",IF((IF($C9="","Falta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",""))="","✔ OK","⚠ "&amp;LEFT(IF($C9="","Falta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",""),LEN(IF($C9="","Falta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",""))-3)))</f>
        <v/>
      </c>
      <c r="S9" s="64">
        <f>IF(NOT((COUNTA($B9:$D9)+COUNTA($G9:$L9)+COUNTA($Q9))&gt;0),"",IF(AND($V9="Sub",N($U9)&gt;0),IF(ISNUMBER(INDEX($AM$5:$AM$1000,$U9-4)),DATE(YEAR(INDEX($AM$5:$AM$1000,$U9-4)),MONTH(INDEX($AM$5:$AM$1000,$U9-4)),1),IF(ISNUMBER(INDEX($AN$5:$AN$1000,$U9-4)),DATE(YEAR(INDEX($AN$5:$AN$1000,$U9-4)),MONTH(INDEX($AN$5:$AN$1000,$U9-4)),1),MesCiclo)),IF(ISNUMBER($AM9),DATE(YEAR($AM9),MONTH($AM9),1),IF(ISNUMBER($AN9),DATE(YEAR($AN9),MONTH($AN9),1),MesCiclo))))</f>
        <v/>
      </c>
      <c r="T9" s="62">
        <f>IF(OR($S9="",$S9&lt;&gt;MesCiclo),"",COUNTIF($S$5:$S9,MesCiclo))</f>
        <v/>
      </c>
      <c r="U9" s="62">
        <f>IF($V9="","",IF($V9="Macro",ROW(),IFERROR(LOOKUP(2,1/($V$5:$V9="Macro"),ROW($V$5:$V9)),0)))</f>
        <v/>
      </c>
      <c r="V9" s="62">
        <f>IF(NOT((COUNTA($B9:$D9)+COUNTA($G9:$L9)+COUNTA($Q9))&gt;0),"",IF($B9="Subactividad","Sub","Macro"))</f>
        <v/>
      </c>
      <c r="W9" s="62">
        <f>IF($V9="Macro",COUNTIFS($U$5:$U$1000,ROW(),$V$5:$V$1000,"Sub"),"")</f>
        <v/>
      </c>
      <c r="X9" s="62">
        <f>IF($V9="","",IF(ISNUMBER($G9),1,IFERROR(LOOKUP(2,1/($I9:$L9&lt;&gt;""),$I9:$L9),0)))</f>
        <v/>
      </c>
      <c r="Y9" s="62">
        <f>IF($V9="","",IF(AND(ISNUMBER($G9),$G9&lt;=IF($S9=MesCiclo,InicioCiclo,$S9+MOD(2-WEEKDAY($S9),7))+6),1,IF(ISNUMBER($I9),$I9,0)))</f>
        <v/>
      </c>
      <c r="Z9" s="62">
        <f>IF($V9="","",IF(AND(ISNUMBER($G9),$G9&lt;=IF($S9=MesCiclo,InicioCiclo,$S9+MOD(2-WEEKDAY($S9),7))+13),1,IF(ISNUMBER($J9),$J9,$Y9)))</f>
        <v/>
      </c>
      <c r="AA9" s="62">
        <f>IF($V9="","",IF(AND(ISNUMBER($G9),$G9&lt;=IF($S9=MesCiclo,InicioCiclo,$S9+MOD(2-WEEKDAY($S9),7))+20),1,IF(ISNUMBER($K9),$K9,$Z9)))</f>
        <v/>
      </c>
      <c r="AB9" s="62">
        <f>IF($V9="","",IF(AND(ISNUMBER($G9),$G9&lt;=IF($S9=MesCiclo,InicioCiclo,$S9+MOD(2-WEEKDAY($S9),7))+27),1,IF(ISNUMBER($L9),$L9,$AA9)))</f>
        <v/>
      </c>
      <c r="AC9" s="62">
        <f>IF($V9="","",IF(AND(ISNUMBER($G9),$G9&lt;=IF($S9=MesCiclo,InicioCiclo,$S9+MOD(2-WEEKDAY($S9),7))+6),1,IF(N($W9)&gt;0,AVERAGEIFS($Y$5:$Y$1000,$U$5:$U$1000,ROW(),$V$5:$V$1000,"Sub"),$Y9)))</f>
        <v/>
      </c>
      <c r="AD9" s="62">
        <f>IF($V9="","",IF(AND(ISNUMBER($G9),$G9&lt;=IF($S9=MesCiclo,InicioCiclo,$S9+MOD(2-WEEKDAY($S9),7))+13),1,IF(N($W9)&gt;0,AVERAGEIFS($Z$5:$Z$1000,$U$5:$U$1000,ROW(),$V$5:$V$1000,"Sub"),$Z9)))</f>
        <v/>
      </c>
      <c r="AE9" s="62">
        <f>IF($V9="","",IF(AND(ISNUMBER($G9),$G9&lt;=IF($S9=MesCiclo,InicioCiclo,$S9+MOD(2-WEEKDAY($S9),7))+20),1,IF(N($W9)&gt;0,AVERAGEIFS($AA$5:$AA$1000,$U$5:$U$1000,ROW(),$V$5:$V$1000,"Sub"),$AA9)))</f>
        <v/>
      </c>
      <c r="AF9" s="62">
        <f>IF($V9="","",IF(AND(ISNUMBER($G9),$G9&lt;=IF($S9=MesCiclo,InicioCiclo,$S9+MOD(2-WEEKDAY($S9),7))+27),1,IF(N($W9)&gt;0,AVERAGEIFS($AB$5:$AB$1000,$U$5:$U$1000,ROW(),$V$5:$V$1000,"Sub"),$AB9)))</f>
        <v/>
      </c>
      <c r="AG9" s="62">
        <f>IF($V9&lt;&gt;"Macro","",IF(COUNTIFS($S$5:$S$1000,$S9,$V$5:$V$1000,"Macro",$H$5:$H$1000,"&gt;0")=0,1/COUNTIFS($S$5:$S$1000,$S9,$V$5:$V$1000,"Macro"),IF(AND(ISNUMBER($H9),N($H9)&gt;0),$H9,SUMIFS($H$5:$H$1000,$S$5:$S$1000,$S9,$V$5:$V$1000,"Macro")/COUNTIFS($S$5:$S$1000,$S9,$V$5:$V$1000,"Macro",$H$5:$H$1000,"&gt;0"))/(COUNTIFS($S$5:$S$1000,$S9,$V$5:$V$1000,"Macro")*SUMIFS($H$5:$H$1000,$S$5:$S$1000,$S9,$V$5:$V$1000,"Macro")/COUNTIFS($S$5:$S$1000,$S9,$V$5:$V$1000,"Macro",$H$5:$H$1000,"&gt;0"))))</f>
        <v/>
      </c>
      <c r="AH9" s="62" t="n"/>
      <c r="AI9" s="62" t="n"/>
      <c r="AJ9" s="62" t="n"/>
      <c r="AK9" s="62" t="n"/>
      <c r="AL9" s="62">
        <f>IF(LEFT($C9,11)="[Jefatura] ",IFERROR(MATCH("Riesgo Normativo|"&amp;MID($C9,12,500),rDname_ADM,0),0),"")</f>
        <v/>
      </c>
      <c r="AM9" s="62">
        <f>IF(N($AL9)&gt;0,INDEX(rIni_ADM,$AL9),IF(ISNUMBER($E9),$E9,""))</f>
        <v/>
      </c>
      <c r="AN9" s="62">
        <f>IF(N($AL9)&gt;0,INDEX(rLim_ADM,$AL9),IF(ISNUMBER($F9),$F9,""))</f>
        <v/>
      </c>
    </row>
    <row r="10">
      <c r="A10" s="56">
        <f>IF(NOT((COUNTA($B10:$D10)+COUNTA($G10:$L10)+COUNTA($Q10))&gt;0),"",IF($V10="Macro",COUNTIFS($V$5:$V10,"Macro",$S$5:$S10,$S10),IF(N($U10)=0,"?",COUNTIFS(INDEX($V$5:$V$1000,1):INDEX($V$5:$V$1000,$U10-4),"Macro",INDEX($S$5:$S$1000,1):INDEX($S$5:$S$1000,$U10-4),INDEX($S$5:$S$1000,$U10-4))&amp;"."&amp;COUNTIFS($U$5:$U10,$U10,$V$5:$V10,"Sub"))))</f>
        <v/>
      </c>
      <c r="B10" s="57" t="n"/>
      <c r="C10" s="58" t="n"/>
      <c r="D10" s="58" t="n"/>
      <c r="E10" s="59">
        <f>IF(N($AL10)&gt;0,INDEX(rIni_ADM,$AL10),"")</f>
        <v/>
      </c>
      <c r="F10" s="59">
        <f>IF(N($AL10)&gt;0,INDEX(rLim_ADM,$AL10),"")</f>
        <v/>
      </c>
      <c r="G10" s="59" t="n"/>
      <c r="H10" s="60" t="n"/>
      <c r="I10" s="60" t="n"/>
      <c r="J10" s="60" t="n"/>
      <c r="K10" s="60" t="n"/>
      <c r="L10" s="60" t="n"/>
      <c r="M10" s="61">
        <f>IF(NOT((COUNTA($B10:$D10)+COUNTA($G10:$L10)+COUNTA($Q10))&gt;0),"",IF(ISNUMBER($G10),1,IF(N($W10)&gt;0,AVERAGEIFS($X$5:$X$1000,$U$5:$U$1000,ROW(),$V$5:$V$1000,"Sub"),$X10)))</f>
        <v/>
      </c>
      <c r="N10" s="56">
        <f>IF($M10="","",IF($M10&gt;=1,"Completado",IF($M10&gt;0,"En curso","Pendiente")))</f>
        <v/>
      </c>
      <c r="O10" s="56">
        <f>IF(NOT((COUNTA($B10:$D10)+COUNTA($G10:$L10)+COUNTA($Q10))&gt;0),"",IF(ISNUMBER($G10),IF(AND(ISNUMBER($AN10),$G10&gt;$AN10),"Cumplida con "&amp;($G10-$AN10)&amp;IF($G10-$AN10=1," día"," días")&amp;" de retraso","Cumplida"),IF(N($M10)&gt;=1,"Cumplida",IF(NOT(ISNUMBER($AN10)),"Sin fecha límite",IF($AN10&lt;FechaRef,"Vencida hace "&amp;(FechaRef-$AN10)&amp;IF(FechaRef-$AN10=1," día"," días"),IF($AN10=FechaRef,"Vence hoy",IF($AN10-FechaRef&lt;=DiasAlerta,"Vence en "&amp;($AN10-FechaRef)&amp;IF($AN10-FechaRef=1," día"," días"),"En plazo")))))))</f>
        <v/>
      </c>
      <c r="P10" s="62" t="n"/>
      <c r="Q10" s="58" t="n"/>
      <c r="R10" s="63">
        <f>IF(NOT((COUNTA($B10:$D10)+COUNTA($G10:$L10)+COUNTA($Q10))&gt;0),"",IF((IF($C10="","Falta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",""))="","✔ OK","⚠ "&amp;LEFT(IF($C10="","Falta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",""),LEN(IF($C10="","Falta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",""))-3)))</f>
        <v/>
      </c>
      <c r="S10" s="64">
        <f>IF(NOT((COUNTA($B10:$D10)+COUNTA($G10:$L10)+COUNTA($Q10))&gt;0),"",IF(AND($V10="Sub",N($U10)&gt;0),IF(ISNUMBER(INDEX($AM$5:$AM$1000,$U10-4)),DATE(YEAR(INDEX($AM$5:$AM$1000,$U10-4)),MONTH(INDEX($AM$5:$AM$1000,$U10-4)),1),IF(ISNUMBER(INDEX($AN$5:$AN$1000,$U10-4)),DATE(YEAR(INDEX($AN$5:$AN$1000,$U10-4)),MONTH(INDEX($AN$5:$AN$1000,$U10-4)),1),MesCiclo)),IF(ISNUMBER($AM10),DATE(YEAR($AM10),MONTH($AM10),1),IF(ISNUMBER($AN10),DATE(YEAR($AN10),MONTH($AN10),1),MesCiclo))))</f>
        <v/>
      </c>
      <c r="T10" s="62">
        <f>IF(OR($S10="",$S10&lt;&gt;MesCiclo),"",COUNTIF($S$5:$S10,MesCiclo))</f>
        <v/>
      </c>
      <c r="U10" s="62">
        <f>IF($V10="","",IF($V10="Macro",ROW(),IFERROR(LOOKUP(2,1/($V$5:$V10="Macro"),ROW($V$5:$V10)),0)))</f>
        <v/>
      </c>
      <c r="V10" s="62">
        <f>IF(NOT((COUNTA($B10:$D10)+COUNTA($G10:$L10)+COUNTA($Q10))&gt;0),"",IF($B10="Subactividad","Sub","Macro"))</f>
        <v/>
      </c>
      <c r="W10" s="62">
        <f>IF($V10="Macro",COUNTIFS($U$5:$U$1000,ROW(),$V$5:$V$1000,"Sub"),"")</f>
        <v/>
      </c>
      <c r="X10" s="62">
        <f>IF($V10="","",IF(ISNUMBER($G10),1,IFERROR(LOOKUP(2,1/($I10:$L10&lt;&gt;""),$I10:$L10),0)))</f>
        <v/>
      </c>
      <c r="Y10" s="62">
        <f>IF($V10="","",IF(AND(ISNUMBER($G10),$G10&lt;=IF($S10=MesCiclo,InicioCiclo,$S10+MOD(2-WEEKDAY($S10),7))+6),1,IF(ISNUMBER($I10),$I10,0)))</f>
        <v/>
      </c>
      <c r="Z10" s="62">
        <f>IF($V10="","",IF(AND(ISNUMBER($G10),$G10&lt;=IF($S10=MesCiclo,InicioCiclo,$S10+MOD(2-WEEKDAY($S10),7))+13),1,IF(ISNUMBER($J10),$J10,$Y10)))</f>
        <v/>
      </c>
      <c r="AA10" s="62">
        <f>IF($V10="","",IF(AND(ISNUMBER($G10),$G10&lt;=IF($S10=MesCiclo,InicioCiclo,$S10+MOD(2-WEEKDAY($S10),7))+20),1,IF(ISNUMBER($K10),$K10,$Z10)))</f>
        <v/>
      </c>
      <c r="AB10" s="62">
        <f>IF($V10="","",IF(AND(ISNUMBER($G10),$G10&lt;=IF($S10=MesCiclo,InicioCiclo,$S10+MOD(2-WEEKDAY($S10),7))+27),1,IF(ISNUMBER($L10),$L10,$AA10)))</f>
        <v/>
      </c>
      <c r="AC10" s="62">
        <f>IF($V10="","",IF(AND(ISNUMBER($G10),$G10&lt;=IF($S10=MesCiclo,InicioCiclo,$S10+MOD(2-WEEKDAY($S10),7))+6),1,IF(N($W10)&gt;0,AVERAGEIFS($Y$5:$Y$1000,$U$5:$U$1000,ROW(),$V$5:$V$1000,"Sub"),$Y10)))</f>
        <v/>
      </c>
      <c r="AD10" s="62">
        <f>IF($V10="","",IF(AND(ISNUMBER($G10),$G10&lt;=IF($S10=MesCiclo,InicioCiclo,$S10+MOD(2-WEEKDAY($S10),7))+13),1,IF(N($W10)&gt;0,AVERAGEIFS($Z$5:$Z$1000,$U$5:$U$1000,ROW(),$V$5:$V$1000,"Sub"),$Z10)))</f>
        <v/>
      </c>
      <c r="AE10" s="62">
        <f>IF($V10="","",IF(AND(ISNUMBER($G10),$G10&lt;=IF($S10=MesCiclo,InicioCiclo,$S10+MOD(2-WEEKDAY($S10),7))+20),1,IF(N($W10)&gt;0,AVERAGEIFS($AA$5:$AA$1000,$U$5:$U$1000,ROW(),$V$5:$V$1000,"Sub"),$AA10)))</f>
        <v/>
      </c>
      <c r="AF10" s="62">
        <f>IF($V10="","",IF(AND(ISNUMBER($G10),$G10&lt;=IF($S10=MesCiclo,InicioCiclo,$S10+MOD(2-WEEKDAY($S10),7))+27),1,IF(N($W10)&gt;0,AVERAGEIFS($AB$5:$AB$1000,$U$5:$U$1000,ROW(),$V$5:$V$1000,"Sub"),$AB10)))</f>
        <v/>
      </c>
      <c r="AG10" s="62">
        <f>IF($V10&lt;&gt;"Macro","",IF(COUNTIFS($S$5:$S$1000,$S10,$V$5:$V$1000,"Macro",$H$5:$H$1000,"&gt;0")=0,1/COUNTIFS($S$5:$S$1000,$S10,$V$5:$V$1000,"Macro"),IF(AND(ISNUMBER($H10),N($H10)&gt;0),$H10,SUMIFS($H$5:$H$1000,$S$5:$S$1000,$S10,$V$5:$V$1000,"Macro")/COUNTIFS($S$5:$S$1000,$S10,$V$5:$V$1000,"Macro",$H$5:$H$1000,"&gt;0"))/(COUNTIFS($S$5:$S$1000,$S10,$V$5:$V$1000,"Macro")*SUMIFS($H$5:$H$1000,$S$5:$S$1000,$S10,$V$5:$V$1000,"Macro")/COUNTIFS($S$5:$S$1000,$S10,$V$5:$V$1000,"Macro",$H$5:$H$1000,"&gt;0"))))</f>
        <v/>
      </c>
      <c r="AH10" s="62" t="n"/>
      <c r="AI10" s="62" t="n"/>
      <c r="AJ10" s="62" t="n"/>
      <c r="AK10" s="62" t="n"/>
      <c r="AL10" s="62">
        <f>IF(LEFT($C10,11)="[Jefatura] ",IFERROR(MATCH("Riesgo Normativo|"&amp;MID($C10,12,500),rDname_ADM,0),0),"")</f>
        <v/>
      </c>
      <c r="AM10" s="62">
        <f>IF(N($AL10)&gt;0,INDEX(rIni_ADM,$AL10),IF(ISNUMBER($E10),$E10,""))</f>
        <v/>
      </c>
      <c r="AN10" s="62">
        <f>IF(N($AL10)&gt;0,INDEX(rLim_ADM,$AL10),IF(ISNUMBER($F10),$F10,""))</f>
        <v/>
      </c>
    </row>
    <row r="11">
      <c r="A11" s="56">
        <f>IF(NOT((COUNTA($B11:$D11)+COUNTA($G11:$L11)+COUNTA($Q11))&gt;0),"",IF($V11="Macro",COUNTIFS($V$5:$V11,"Macro",$S$5:$S11,$S11),IF(N($U11)=0,"?",COUNTIFS(INDEX($V$5:$V$1000,1):INDEX($V$5:$V$1000,$U11-4),"Macro",INDEX($S$5:$S$1000,1):INDEX($S$5:$S$1000,$U11-4),INDEX($S$5:$S$1000,$U11-4))&amp;"."&amp;COUNTIFS($U$5:$U11,$U11,$V$5:$V11,"Sub"))))</f>
        <v/>
      </c>
      <c r="B11" s="57" t="n"/>
      <c r="C11" s="58" t="n"/>
      <c r="D11" s="58" t="n"/>
      <c r="E11" s="59">
        <f>IF(N($AL11)&gt;0,INDEX(rIni_ADM,$AL11),"")</f>
        <v/>
      </c>
      <c r="F11" s="59">
        <f>IF(N($AL11)&gt;0,INDEX(rLim_ADM,$AL11),"")</f>
        <v/>
      </c>
      <c r="G11" s="59" t="n"/>
      <c r="H11" s="60" t="n"/>
      <c r="I11" s="60" t="n"/>
      <c r="J11" s="60" t="n"/>
      <c r="K11" s="60" t="n"/>
      <c r="L11" s="60" t="n"/>
      <c r="M11" s="61">
        <f>IF(NOT((COUNTA($B11:$D11)+COUNTA($G11:$L11)+COUNTA($Q11))&gt;0),"",IF(ISNUMBER($G11),1,IF(N($W11)&gt;0,AVERAGEIFS($X$5:$X$1000,$U$5:$U$1000,ROW(),$V$5:$V$1000,"Sub"),$X11)))</f>
        <v/>
      </c>
      <c r="N11" s="56">
        <f>IF($M11="","",IF($M11&gt;=1,"Completado",IF($M11&gt;0,"En curso","Pendiente")))</f>
        <v/>
      </c>
      <c r="O11" s="56">
        <f>IF(NOT((COUNTA($B11:$D11)+COUNTA($G11:$L11)+COUNTA($Q11))&gt;0),"",IF(ISNUMBER($G11),IF(AND(ISNUMBER($AN11),$G11&gt;$AN11),"Cumplida con "&amp;($G11-$AN11)&amp;IF($G11-$AN11=1," día"," días")&amp;" de retraso","Cumplida"),IF(N($M11)&gt;=1,"Cumplida",IF(NOT(ISNUMBER($AN11)),"Sin fecha límite",IF($AN11&lt;FechaRef,"Vencida hace "&amp;(FechaRef-$AN11)&amp;IF(FechaRef-$AN11=1," día"," días"),IF($AN11=FechaRef,"Vence hoy",IF($AN11-FechaRef&lt;=DiasAlerta,"Vence en "&amp;($AN11-FechaRef)&amp;IF($AN11-FechaRef=1," día"," días"),"En plazo")))))))</f>
        <v/>
      </c>
      <c r="P11" s="62" t="n"/>
      <c r="Q11" s="58" t="n"/>
      <c r="R11" s="63">
        <f>IF(NOT((COUNTA($B11:$D11)+COUNTA($G11:$L11)+COUNTA($Q11))&gt;0),"",IF((IF($C11="","Falta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",""))="","✔ OK","⚠ "&amp;LEFT(IF($C11="","Falta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",""),LEN(IF($C11="","Falta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",""))-3)))</f>
        <v/>
      </c>
      <c r="S11" s="64">
        <f>IF(NOT((COUNTA($B11:$D11)+COUNTA($G11:$L11)+COUNTA($Q11))&gt;0),"",IF(AND($V11="Sub",N($U11)&gt;0),IF(ISNUMBER(INDEX($AM$5:$AM$1000,$U11-4)),DATE(YEAR(INDEX($AM$5:$AM$1000,$U11-4)),MONTH(INDEX($AM$5:$AM$1000,$U11-4)),1),IF(ISNUMBER(INDEX($AN$5:$AN$1000,$U11-4)),DATE(YEAR(INDEX($AN$5:$AN$1000,$U11-4)),MONTH(INDEX($AN$5:$AN$1000,$U11-4)),1),MesCiclo)),IF(ISNUMBER($AM11),DATE(YEAR($AM11),MONTH($AM11),1),IF(ISNUMBER($AN11),DATE(YEAR($AN11),MONTH($AN11),1),MesCiclo))))</f>
        <v/>
      </c>
      <c r="T11" s="62">
        <f>IF(OR($S11="",$S11&lt;&gt;MesCiclo),"",COUNTIF($S$5:$S11,MesCiclo))</f>
        <v/>
      </c>
      <c r="U11" s="62">
        <f>IF($V11="","",IF($V11="Macro",ROW(),IFERROR(LOOKUP(2,1/($V$5:$V11="Macro"),ROW($V$5:$V11)),0)))</f>
        <v/>
      </c>
      <c r="V11" s="62">
        <f>IF(NOT((COUNTA($B11:$D11)+COUNTA($G11:$L11)+COUNTA($Q11))&gt;0),"",IF($B11="Subactividad","Sub","Macro"))</f>
        <v/>
      </c>
      <c r="W11" s="62">
        <f>IF($V11="Macro",COUNTIFS($U$5:$U$1000,ROW(),$V$5:$V$1000,"Sub"),"")</f>
        <v/>
      </c>
      <c r="X11" s="62">
        <f>IF($V11="","",IF(ISNUMBER($G11),1,IFERROR(LOOKUP(2,1/($I11:$L11&lt;&gt;""),$I11:$L11),0)))</f>
        <v/>
      </c>
      <c r="Y11" s="62">
        <f>IF($V11="","",IF(AND(ISNUMBER($G11),$G11&lt;=IF($S11=MesCiclo,InicioCiclo,$S11+MOD(2-WEEKDAY($S11),7))+6),1,IF(ISNUMBER($I11),$I11,0)))</f>
        <v/>
      </c>
      <c r="Z11" s="62">
        <f>IF($V11="","",IF(AND(ISNUMBER($G11),$G11&lt;=IF($S11=MesCiclo,InicioCiclo,$S11+MOD(2-WEEKDAY($S11),7))+13),1,IF(ISNUMBER($J11),$J11,$Y11)))</f>
        <v/>
      </c>
      <c r="AA11" s="62">
        <f>IF($V11="","",IF(AND(ISNUMBER($G11),$G11&lt;=IF($S11=MesCiclo,InicioCiclo,$S11+MOD(2-WEEKDAY($S11),7))+20),1,IF(ISNUMBER($K11),$K11,$Z11)))</f>
        <v/>
      </c>
      <c r="AB11" s="62">
        <f>IF($V11="","",IF(AND(ISNUMBER($G11),$G11&lt;=IF($S11=MesCiclo,InicioCiclo,$S11+MOD(2-WEEKDAY($S11),7))+27),1,IF(ISNUMBER($L11),$L11,$AA11)))</f>
        <v/>
      </c>
      <c r="AC11" s="62">
        <f>IF($V11="","",IF(AND(ISNUMBER($G11),$G11&lt;=IF($S11=MesCiclo,InicioCiclo,$S11+MOD(2-WEEKDAY($S11),7))+6),1,IF(N($W11)&gt;0,AVERAGEIFS($Y$5:$Y$1000,$U$5:$U$1000,ROW(),$V$5:$V$1000,"Sub"),$Y11)))</f>
        <v/>
      </c>
      <c r="AD11" s="62">
        <f>IF($V11="","",IF(AND(ISNUMBER($G11),$G11&lt;=IF($S11=MesCiclo,InicioCiclo,$S11+MOD(2-WEEKDAY($S11),7))+13),1,IF(N($W11)&gt;0,AVERAGEIFS($Z$5:$Z$1000,$U$5:$U$1000,ROW(),$V$5:$V$1000,"Sub"),$Z11)))</f>
        <v/>
      </c>
      <c r="AE11" s="62">
        <f>IF($V11="","",IF(AND(ISNUMBER($G11),$G11&lt;=IF($S11=MesCiclo,InicioCiclo,$S11+MOD(2-WEEKDAY($S11),7))+20),1,IF(N($W11)&gt;0,AVERAGEIFS($AA$5:$AA$1000,$U$5:$U$1000,ROW(),$V$5:$V$1000,"Sub"),$AA11)))</f>
        <v/>
      </c>
      <c r="AF11" s="62">
        <f>IF($V11="","",IF(AND(ISNUMBER($G11),$G11&lt;=IF($S11=MesCiclo,InicioCiclo,$S11+MOD(2-WEEKDAY($S11),7))+27),1,IF(N($W11)&gt;0,AVERAGEIFS($AB$5:$AB$1000,$U$5:$U$1000,ROW(),$V$5:$V$1000,"Sub"),$AB11)))</f>
        <v/>
      </c>
      <c r="AG11" s="62">
        <f>IF($V11&lt;&gt;"Macro","",IF(COUNTIFS($S$5:$S$1000,$S11,$V$5:$V$1000,"Macro",$H$5:$H$1000,"&gt;0")=0,1/COUNTIFS($S$5:$S$1000,$S11,$V$5:$V$1000,"Macro"),IF(AND(ISNUMBER($H11),N($H11)&gt;0),$H11,SUMIFS($H$5:$H$1000,$S$5:$S$1000,$S11,$V$5:$V$1000,"Macro")/COUNTIFS($S$5:$S$1000,$S11,$V$5:$V$1000,"Macro",$H$5:$H$1000,"&gt;0"))/(COUNTIFS($S$5:$S$1000,$S11,$V$5:$V$1000,"Macro")*SUMIFS($H$5:$H$1000,$S$5:$S$1000,$S11,$V$5:$V$1000,"Macro")/COUNTIFS($S$5:$S$1000,$S11,$V$5:$V$1000,"Macro",$H$5:$H$1000,"&gt;0"))))</f>
        <v/>
      </c>
      <c r="AH11" s="62" t="n"/>
      <c r="AI11" s="62" t="n"/>
      <c r="AJ11" s="62" t="n"/>
      <c r="AK11" s="62" t="n"/>
      <c r="AL11" s="62">
        <f>IF(LEFT($C11,11)="[Jefatura] ",IFERROR(MATCH("Riesgo Normativo|"&amp;MID($C11,12,500),rDname_ADM,0),0),"")</f>
        <v/>
      </c>
      <c r="AM11" s="62">
        <f>IF(N($AL11)&gt;0,INDEX(rIni_ADM,$AL11),IF(ISNUMBER($E11),$E11,""))</f>
        <v/>
      </c>
      <c r="AN11" s="62">
        <f>IF(N($AL11)&gt;0,INDEX(rLim_ADM,$AL11),IF(ISNUMBER($F11),$F11,""))</f>
        <v/>
      </c>
    </row>
    <row r="12">
      <c r="A12" s="56">
        <f>IF(NOT((COUNTA($B12:$D12)+COUNTA($G12:$L12)+COUNTA($Q12))&gt;0),"",IF($V12="Macro",COUNTIFS($V$5:$V12,"Macro",$S$5:$S12,$S12),IF(N($U12)=0,"?",COUNTIFS(INDEX($V$5:$V$1000,1):INDEX($V$5:$V$1000,$U12-4),"Macro",INDEX($S$5:$S$1000,1):INDEX($S$5:$S$1000,$U12-4),INDEX($S$5:$S$1000,$U12-4))&amp;"."&amp;COUNTIFS($U$5:$U12,$U12,$V$5:$V12,"Sub"))))</f>
        <v/>
      </c>
      <c r="B12" s="57" t="n"/>
      <c r="C12" s="58" t="n"/>
      <c r="D12" s="58" t="n"/>
      <c r="E12" s="59">
        <f>IF(N($AL12)&gt;0,INDEX(rIni_ADM,$AL12),"")</f>
        <v/>
      </c>
      <c r="F12" s="59">
        <f>IF(N($AL12)&gt;0,INDEX(rLim_ADM,$AL12),"")</f>
        <v/>
      </c>
      <c r="G12" s="59" t="n"/>
      <c r="H12" s="60" t="n"/>
      <c r="I12" s="60" t="n"/>
      <c r="J12" s="60" t="n"/>
      <c r="K12" s="60" t="n"/>
      <c r="L12" s="60" t="n"/>
      <c r="M12" s="61">
        <f>IF(NOT((COUNTA($B12:$D12)+COUNTA($G12:$L12)+COUNTA($Q12))&gt;0),"",IF(ISNUMBER($G12),1,IF(N($W12)&gt;0,AVERAGEIFS($X$5:$X$1000,$U$5:$U$1000,ROW(),$V$5:$V$1000,"Sub"),$X12)))</f>
        <v/>
      </c>
      <c r="N12" s="56">
        <f>IF($M12="","",IF($M12&gt;=1,"Completado",IF($M12&gt;0,"En curso","Pendiente")))</f>
        <v/>
      </c>
      <c r="O12" s="56">
        <f>IF(NOT((COUNTA($B12:$D12)+COUNTA($G12:$L12)+COUNTA($Q12))&gt;0),"",IF(ISNUMBER($G12),IF(AND(ISNUMBER($AN12),$G12&gt;$AN12),"Cumplida con "&amp;($G12-$AN12)&amp;IF($G12-$AN12=1," día"," días")&amp;" de retraso","Cumplida"),IF(N($M12)&gt;=1,"Cumplida",IF(NOT(ISNUMBER($AN12)),"Sin fecha límite",IF($AN12&lt;FechaRef,"Vencida hace "&amp;(FechaRef-$AN12)&amp;IF(FechaRef-$AN12=1," día"," días"),IF($AN12=FechaRef,"Vence hoy",IF($AN12-FechaRef&lt;=DiasAlerta,"Vence en "&amp;($AN12-FechaRef)&amp;IF($AN12-FechaRef=1," día"," días"),"En plazo")))))))</f>
        <v/>
      </c>
      <c r="P12" s="62" t="n"/>
      <c r="Q12" s="58" t="n"/>
      <c r="R12" s="63">
        <f>IF(NOT((COUNTA($B12:$D12)+COUNTA($G12:$L12)+COUNTA($Q12))&gt;0),"",IF((IF($C12="","Falta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",""))="","✔ OK","⚠ "&amp;LEFT(IF($C12="","Falta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",""),LEN(IF($C12="","Falta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",""))-3)))</f>
        <v/>
      </c>
      <c r="S12" s="64">
        <f>IF(NOT((COUNTA($B12:$D12)+COUNTA($G12:$L12)+COUNTA($Q12))&gt;0),"",IF(AND($V12="Sub",N($U12)&gt;0),IF(ISNUMBER(INDEX($AM$5:$AM$1000,$U12-4)),DATE(YEAR(INDEX($AM$5:$AM$1000,$U12-4)),MONTH(INDEX($AM$5:$AM$1000,$U12-4)),1),IF(ISNUMBER(INDEX($AN$5:$AN$1000,$U12-4)),DATE(YEAR(INDEX($AN$5:$AN$1000,$U12-4)),MONTH(INDEX($AN$5:$AN$1000,$U12-4)),1),MesCiclo)),IF(ISNUMBER($AM12),DATE(YEAR($AM12),MONTH($AM12),1),IF(ISNUMBER($AN12),DATE(YEAR($AN12),MONTH($AN12),1),MesCiclo))))</f>
        <v/>
      </c>
      <c r="T12" s="62">
        <f>IF(OR($S12="",$S12&lt;&gt;MesCiclo),"",COUNTIF($S$5:$S12,MesCiclo))</f>
        <v/>
      </c>
      <c r="U12" s="62">
        <f>IF($V12="","",IF($V12="Macro",ROW(),IFERROR(LOOKUP(2,1/($V$5:$V12="Macro"),ROW($V$5:$V12)),0)))</f>
        <v/>
      </c>
      <c r="V12" s="62">
        <f>IF(NOT((COUNTA($B12:$D12)+COUNTA($G12:$L12)+COUNTA($Q12))&gt;0),"",IF($B12="Subactividad","Sub","Macro"))</f>
        <v/>
      </c>
      <c r="W12" s="62">
        <f>IF($V12="Macro",COUNTIFS($U$5:$U$1000,ROW(),$V$5:$V$1000,"Sub"),"")</f>
        <v/>
      </c>
      <c r="X12" s="62">
        <f>IF($V12="","",IF(ISNUMBER($G12),1,IFERROR(LOOKUP(2,1/($I12:$L12&lt;&gt;""),$I12:$L12),0)))</f>
        <v/>
      </c>
      <c r="Y12" s="62">
        <f>IF($V12="","",IF(AND(ISNUMBER($G12),$G12&lt;=IF($S12=MesCiclo,InicioCiclo,$S12+MOD(2-WEEKDAY($S12),7))+6),1,IF(ISNUMBER($I12),$I12,0)))</f>
        <v/>
      </c>
      <c r="Z12" s="62">
        <f>IF($V12="","",IF(AND(ISNUMBER($G12),$G12&lt;=IF($S12=MesCiclo,InicioCiclo,$S12+MOD(2-WEEKDAY($S12),7))+13),1,IF(ISNUMBER($J12),$J12,$Y12)))</f>
        <v/>
      </c>
      <c r="AA12" s="62">
        <f>IF($V12="","",IF(AND(ISNUMBER($G12),$G12&lt;=IF($S12=MesCiclo,InicioCiclo,$S12+MOD(2-WEEKDAY($S12),7))+20),1,IF(ISNUMBER($K12),$K12,$Z12)))</f>
        <v/>
      </c>
      <c r="AB12" s="62">
        <f>IF($V12="","",IF(AND(ISNUMBER($G12),$G12&lt;=IF($S12=MesCiclo,InicioCiclo,$S12+MOD(2-WEEKDAY($S12),7))+27),1,IF(ISNUMBER($L12),$L12,$AA12)))</f>
        <v/>
      </c>
      <c r="AC12" s="62">
        <f>IF($V12="","",IF(AND(ISNUMBER($G12),$G12&lt;=IF($S12=MesCiclo,InicioCiclo,$S12+MOD(2-WEEKDAY($S12),7))+6),1,IF(N($W12)&gt;0,AVERAGEIFS($Y$5:$Y$1000,$U$5:$U$1000,ROW(),$V$5:$V$1000,"Sub"),$Y12)))</f>
        <v/>
      </c>
      <c r="AD12" s="62">
        <f>IF($V12="","",IF(AND(ISNUMBER($G12),$G12&lt;=IF($S12=MesCiclo,InicioCiclo,$S12+MOD(2-WEEKDAY($S12),7))+13),1,IF(N($W12)&gt;0,AVERAGEIFS($Z$5:$Z$1000,$U$5:$U$1000,ROW(),$V$5:$V$1000,"Sub"),$Z12)))</f>
        <v/>
      </c>
      <c r="AE12" s="62">
        <f>IF($V12="","",IF(AND(ISNUMBER($G12),$G12&lt;=IF($S12=MesCiclo,InicioCiclo,$S12+MOD(2-WEEKDAY($S12),7))+20),1,IF(N($W12)&gt;0,AVERAGEIFS($AA$5:$AA$1000,$U$5:$U$1000,ROW(),$V$5:$V$1000,"Sub"),$AA12)))</f>
        <v/>
      </c>
      <c r="AF12" s="62">
        <f>IF($V12="","",IF(AND(ISNUMBER($G12),$G12&lt;=IF($S12=MesCiclo,InicioCiclo,$S12+MOD(2-WEEKDAY($S12),7))+27),1,IF(N($W12)&gt;0,AVERAGEIFS($AB$5:$AB$1000,$U$5:$U$1000,ROW(),$V$5:$V$1000,"Sub"),$AB12)))</f>
        <v/>
      </c>
      <c r="AG12" s="62">
        <f>IF($V12&lt;&gt;"Macro","",IF(COUNTIFS($S$5:$S$1000,$S12,$V$5:$V$1000,"Macro",$H$5:$H$1000,"&gt;0")=0,1/COUNTIFS($S$5:$S$1000,$S12,$V$5:$V$1000,"Macro"),IF(AND(ISNUMBER($H12),N($H12)&gt;0),$H12,SUMIFS($H$5:$H$1000,$S$5:$S$1000,$S12,$V$5:$V$1000,"Macro")/COUNTIFS($S$5:$S$1000,$S12,$V$5:$V$1000,"Macro",$H$5:$H$1000,"&gt;0"))/(COUNTIFS($S$5:$S$1000,$S12,$V$5:$V$1000,"Macro")*SUMIFS($H$5:$H$1000,$S$5:$S$1000,$S12,$V$5:$V$1000,"Macro")/COUNTIFS($S$5:$S$1000,$S12,$V$5:$V$1000,"Macro",$H$5:$H$1000,"&gt;0"))))</f>
        <v/>
      </c>
      <c r="AH12" s="62" t="n"/>
      <c r="AI12" s="62" t="n"/>
      <c r="AJ12" s="62" t="n"/>
      <c r="AK12" s="62" t="n"/>
      <c r="AL12" s="62">
        <f>IF(LEFT($C12,11)="[Jefatura] ",IFERROR(MATCH("Riesgo Normativo|"&amp;MID($C12,12,500),rDname_ADM,0),0),"")</f>
        <v/>
      </c>
      <c r="AM12" s="62">
        <f>IF(N($AL12)&gt;0,INDEX(rIni_ADM,$AL12),IF(ISNUMBER($E12),$E12,""))</f>
        <v/>
      </c>
      <c r="AN12" s="62">
        <f>IF(N($AL12)&gt;0,INDEX(rLim_ADM,$AL12),IF(ISNUMBER($F12),$F12,""))</f>
        <v/>
      </c>
    </row>
    <row r="13">
      <c r="A13" s="56">
        <f>IF(NOT((COUNTA($B13:$D13)+COUNTA($G13:$L13)+COUNTA($Q13))&gt;0),"",IF($V13="Macro",COUNTIFS($V$5:$V13,"Macro",$S$5:$S13,$S13),IF(N($U13)=0,"?",COUNTIFS(INDEX($V$5:$V$1000,1):INDEX($V$5:$V$1000,$U13-4),"Macro",INDEX($S$5:$S$1000,1):INDEX($S$5:$S$1000,$U13-4),INDEX($S$5:$S$1000,$U13-4))&amp;"."&amp;COUNTIFS($U$5:$U13,$U13,$V$5:$V13,"Sub"))))</f>
        <v/>
      </c>
      <c r="B13" s="57" t="n"/>
      <c r="C13" s="58" t="n"/>
      <c r="D13" s="58" t="n"/>
      <c r="E13" s="59">
        <f>IF(N($AL13)&gt;0,INDEX(rIni_ADM,$AL13),"")</f>
        <v/>
      </c>
      <c r="F13" s="59">
        <f>IF(N($AL13)&gt;0,INDEX(rLim_ADM,$AL13),"")</f>
        <v/>
      </c>
      <c r="G13" s="59" t="n"/>
      <c r="H13" s="60" t="n"/>
      <c r="I13" s="60" t="n"/>
      <c r="J13" s="60" t="n"/>
      <c r="K13" s="60" t="n"/>
      <c r="L13" s="60" t="n"/>
      <c r="M13" s="61">
        <f>IF(NOT((COUNTA($B13:$D13)+COUNTA($G13:$L13)+COUNTA($Q13))&gt;0),"",IF(ISNUMBER($G13),1,IF(N($W13)&gt;0,AVERAGEIFS($X$5:$X$1000,$U$5:$U$1000,ROW(),$V$5:$V$1000,"Sub"),$X13)))</f>
        <v/>
      </c>
      <c r="N13" s="56">
        <f>IF($M13="","",IF($M13&gt;=1,"Completado",IF($M13&gt;0,"En curso","Pendiente")))</f>
        <v/>
      </c>
      <c r="O13" s="56">
        <f>IF(NOT((COUNTA($B13:$D13)+COUNTA($G13:$L13)+COUNTA($Q13))&gt;0),"",IF(ISNUMBER($G13),IF(AND(ISNUMBER($AN13),$G13&gt;$AN13),"Cumplida con "&amp;($G13-$AN13)&amp;IF($G13-$AN13=1," día"," días")&amp;" de retraso","Cumplida"),IF(N($M13)&gt;=1,"Cumplida",IF(NOT(ISNUMBER($AN13)),"Sin fecha límite",IF($AN13&lt;FechaRef,"Vencida hace "&amp;(FechaRef-$AN13)&amp;IF(FechaRef-$AN13=1," día"," días"),IF($AN13=FechaRef,"Vence hoy",IF($AN13-FechaRef&lt;=DiasAlerta,"Vence en "&amp;($AN13-FechaRef)&amp;IF($AN13-FechaRef=1," día"," días"),"En plazo")))))))</f>
        <v/>
      </c>
      <c r="P13" s="62" t="n"/>
      <c r="Q13" s="58" t="n"/>
      <c r="R13" s="63">
        <f>IF(NOT((COUNTA($B13:$D13)+COUNTA($G13:$L13)+COUNTA($Q13))&gt;0),"",IF((IF($C13="","Falta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",""))="","✔ OK","⚠ "&amp;LEFT(IF($C13="","Falta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",""),LEN(IF($C13="","Falta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",""))-3)))</f>
        <v/>
      </c>
      <c r="S13" s="64">
        <f>IF(NOT((COUNTA($B13:$D13)+COUNTA($G13:$L13)+COUNTA($Q13))&gt;0),"",IF(AND($V13="Sub",N($U13)&gt;0),IF(ISNUMBER(INDEX($AM$5:$AM$1000,$U13-4)),DATE(YEAR(INDEX($AM$5:$AM$1000,$U13-4)),MONTH(INDEX($AM$5:$AM$1000,$U13-4)),1),IF(ISNUMBER(INDEX($AN$5:$AN$1000,$U13-4)),DATE(YEAR(INDEX($AN$5:$AN$1000,$U13-4)),MONTH(INDEX($AN$5:$AN$1000,$U13-4)),1),MesCiclo)),IF(ISNUMBER($AM13),DATE(YEAR($AM13),MONTH($AM13),1),IF(ISNUMBER($AN13),DATE(YEAR($AN13),MONTH($AN13),1),MesCiclo))))</f>
        <v/>
      </c>
      <c r="T13" s="62">
        <f>IF(OR($S13="",$S13&lt;&gt;MesCiclo),"",COUNTIF($S$5:$S13,MesCiclo))</f>
        <v/>
      </c>
      <c r="U13" s="62">
        <f>IF($V13="","",IF($V13="Macro",ROW(),IFERROR(LOOKUP(2,1/($V$5:$V13="Macro"),ROW($V$5:$V13)),0)))</f>
        <v/>
      </c>
      <c r="V13" s="62">
        <f>IF(NOT((COUNTA($B13:$D13)+COUNTA($G13:$L13)+COUNTA($Q13))&gt;0),"",IF($B13="Subactividad","Sub","Macro"))</f>
        <v/>
      </c>
      <c r="W13" s="62">
        <f>IF($V13="Macro",COUNTIFS($U$5:$U$1000,ROW(),$V$5:$V$1000,"Sub"),"")</f>
        <v/>
      </c>
      <c r="X13" s="62">
        <f>IF($V13="","",IF(ISNUMBER($G13),1,IFERROR(LOOKUP(2,1/($I13:$L13&lt;&gt;""),$I13:$L13),0)))</f>
        <v/>
      </c>
      <c r="Y13" s="62">
        <f>IF($V13="","",IF(AND(ISNUMBER($G13),$G13&lt;=IF($S13=MesCiclo,InicioCiclo,$S13+MOD(2-WEEKDAY($S13),7))+6),1,IF(ISNUMBER($I13),$I13,0)))</f>
        <v/>
      </c>
      <c r="Z13" s="62">
        <f>IF($V13="","",IF(AND(ISNUMBER($G13),$G13&lt;=IF($S13=MesCiclo,InicioCiclo,$S13+MOD(2-WEEKDAY($S13),7))+13),1,IF(ISNUMBER($J13),$J13,$Y13)))</f>
        <v/>
      </c>
      <c r="AA13" s="62">
        <f>IF($V13="","",IF(AND(ISNUMBER($G13),$G13&lt;=IF($S13=MesCiclo,InicioCiclo,$S13+MOD(2-WEEKDAY($S13),7))+20),1,IF(ISNUMBER($K13),$K13,$Z13)))</f>
        <v/>
      </c>
      <c r="AB13" s="62">
        <f>IF($V13="","",IF(AND(ISNUMBER($G13),$G13&lt;=IF($S13=MesCiclo,InicioCiclo,$S13+MOD(2-WEEKDAY($S13),7))+27),1,IF(ISNUMBER($L13),$L13,$AA13)))</f>
        <v/>
      </c>
      <c r="AC13" s="62">
        <f>IF($V13="","",IF(AND(ISNUMBER($G13),$G13&lt;=IF($S13=MesCiclo,InicioCiclo,$S13+MOD(2-WEEKDAY($S13),7))+6),1,IF(N($W13)&gt;0,AVERAGEIFS($Y$5:$Y$1000,$U$5:$U$1000,ROW(),$V$5:$V$1000,"Sub"),$Y13)))</f>
        <v/>
      </c>
      <c r="AD13" s="62">
        <f>IF($V13="","",IF(AND(ISNUMBER($G13),$G13&lt;=IF($S13=MesCiclo,InicioCiclo,$S13+MOD(2-WEEKDAY($S13),7))+13),1,IF(N($W13)&gt;0,AVERAGEIFS($Z$5:$Z$1000,$U$5:$U$1000,ROW(),$V$5:$V$1000,"Sub"),$Z13)))</f>
        <v/>
      </c>
      <c r="AE13" s="62">
        <f>IF($V13="","",IF(AND(ISNUMBER($G13),$G13&lt;=IF($S13=MesCiclo,InicioCiclo,$S13+MOD(2-WEEKDAY($S13),7))+20),1,IF(N($W13)&gt;0,AVERAGEIFS($AA$5:$AA$1000,$U$5:$U$1000,ROW(),$V$5:$V$1000,"Sub"),$AA13)))</f>
        <v/>
      </c>
      <c r="AF13" s="62">
        <f>IF($V13="","",IF(AND(ISNUMBER($G13),$G13&lt;=IF($S13=MesCiclo,InicioCiclo,$S13+MOD(2-WEEKDAY($S13),7))+27),1,IF(N($W13)&gt;0,AVERAGEIFS($AB$5:$AB$1000,$U$5:$U$1000,ROW(),$V$5:$V$1000,"Sub"),$AB13)))</f>
        <v/>
      </c>
      <c r="AG13" s="62">
        <f>IF($V13&lt;&gt;"Macro","",IF(COUNTIFS($S$5:$S$1000,$S13,$V$5:$V$1000,"Macro",$H$5:$H$1000,"&gt;0")=0,1/COUNTIFS($S$5:$S$1000,$S13,$V$5:$V$1000,"Macro"),IF(AND(ISNUMBER($H13),N($H13)&gt;0),$H13,SUMIFS($H$5:$H$1000,$S$5:$S$1000,$S13,$V$5:$V$1000,"Macro")/COUNTIFS($S$5:$S$1000,$S13,$V$5:$V$1000,"Macro",$H$5:$H$1000,"&gt;0"))/(COUNTIFS($S$5:$S$1000,$S13,$V$5:$V$1000,"Macro")*SUMIFS($H$5:$H$1000,$S$5:$S$1000,$S13,$V$5:$V$1000,"Macro")/COUNTIFS($S$5:$S$1000,$S13,$V$5:$V$1000,"Macro",$H$5:$H$1000,"&gt;0"))))</f>
        <v/>
      </c>
      <c r="AH13" s="62" t="n"/>
      <c r="AI13" s="62" t="n"/>
      <c r="AJ13" s="62" t="n"/>
      <c r="AK13" s="62" t="n"/>
      <c r="AL13" s="62">
        <f>IF(LEFT($C13,11)="[Jefatura] ",IFERROR(MATCH("Riesgo Normativo|"&amp;MID($C13,12,500),rDname_ADM,0),0),"")</f>
        <v/>
      </c>
      <c r="AM13" s="62">
        <f>IF(N($AL13)&gt;0,INDEX(rIni_ADM,$AL13),IF(ISNUMBER($E13),$E13,""))</f>
        <v/>
      </c>
      <c r="AN13" s="62">
        <f>IF(N($AL13)&gt;0,INDEX(rLim_ADM,$AL13),IF(ISNUMBER($F13),$F13,""))</f>
        <v/>
      </c>
    </row>
    <row r="14">
      <c r="A14" s="56">
        <f>IF(NOT((COUNTA($B14:$D14)+COUNTA($G14:$L14)+COUNTA($Q14))&gt;0),"",IF($V14="Macro",COUNTIFS($V$5:$V14,"Macro",$S$5:$S14,$S14),IF(N($U14)=0,"?",COUNTIFS(INDEX($V$5:$V$1000,1):INDEX($V$5:$V$1000,$U14-4),"Macro",INDEX($S$5:$S$1000,1):INDEX($S$5:$S$1000,$U14-4),INDEX($S$5:$S$1000,$U14-4))&amp;"."&amp;COUNTIFS($U$5:$U14,$U14,$V$5:$V14,"Sub"))))</f>
        <v/>
      </c>
      <c r="B14" s="57" t="n"/>
      <c r="C14" s="58" t="n"/>
      <c r="D14" s="58" t="n"/>
      <c r="E14" s="59">
        <f>IF(N($AL14)&gt;0,INDEX(rIni_ADM,$AL14),"")</f>
        <v/>
      </c>
      <c r="F14" s="59">
        <f>IF(N($AL14)&gt;0,INDEX(rLim_ADM,$AL14),"")</f>
        <v/>
      </c>
      <c r="G14" s="59" t="n"/>
      <c r="H14" s="60" t="n"/>
      <c r="I14" s="60" t="n"/>
      <c r="J14" s="60" t="n"/>
      <c r="K14" s="60" t="n"/>
      <c r="L14" s="60" t="n"/>
      <c r="M14" s="61">
        <f>IF(NOT((COUNTA($B14:$D14)+COUNTA($G14:$L14)+COUNTA($Q14))&gt;0),"",IF(ISNUMBER($G14),1,IF(N($W14)&gt;0,AVERAGEIFS($X$5:$X$1000,$U$5:$U$1000,ROW(),$V$5:$V$1000,"Sub"),$X14)))</f>
        <v/>
      </c>
      <c r="N14" s="56">
        <f>IF($M14="","",IF($M14&gt;=1,"Completado",IF($M14&gt;0,"En curso","Pendiente")))</f>
        <v/>
      </c>
      <c r="O14" s="56">
        <f>IF(NOT((COUNTA($B14:$D14)+COUNTA($G14:$L14)+COUNTA($Q14))&gt;0),"",IF(ISNUMBER($G14),IF(AND(ISNUMBER($AN14),$G14&gt;$AN14),"Cumplida con "&amp;($G14-$AN14)&amp;IF($G14-$AN14=1," día"," días")&amp;" de retraso","Cumplida"),IF(N($M14)&gt;=1,"Cumplida",IF(NOT(ISNUMBER($AN14)),"Sin fecha límite",IF($AN14&lt;FechaRef,"Vencida hace "&amp;(FechaRef-$AN14)&amp;IF(FechaRef-$AN14=1," día"," días"),IF($AN14=FechaRef,"Vence hoy",IF($AN14-FechaRef&lt;=DiasAlerta,"Vence en "&amp;($AN14-FechaRef)&amp;IF($AN14-FechaRef=1," día"," días"),"En plazo")))))))</f>
        <v/>
      </c>
      <c r="P14" s="62" t="n"/>
      <c r="Q14" s="58" t="n"/>
      <c r="R14" s="63">
        <f>IF(NOT((COUNTA($B14:$D14)+COUNTA($G14:$L14)+COUNTA($Q14))&gt;0),"",IF((IF($C14="","Falta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",""))="","✔ OK","⚠ "&amp;LEFT(IF($C14="","Falta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",""),LEN(IF($C14="","Falta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",""))-3)))</f>
        <v/>
      </c>
      <c r="S14" s="64">
        <f>IF(NOT((COUNTA($B14:$D14)+COUNTA($G14:$L14)+COUNTA($Q14))&gt;0),"",IF(AND($V14="Sub",N($U14)&gt;0),IF(ISNUMBER(INDEX($AM$5:$AM$1000,$U14-4)),DATE(YEAR(INDEX($AM$5:$AM$1000,$U14-4)),MONTH(INDEX($AM$5:$AM$1000,$U14-4)),1),IF(ISNUMBER(INDEX($AN$5:$AN$1000,$U14-4)),DATE(YEAR(INDEX($AN$5:$AN$1000,$U14-4)),MONTH(INDEX($AN$5:$AN$1000,$U14-4)),1),MesCiclo)),IF(ISNUMBER($AM14),DATE(YEAR($AM14),MONTH($AM14),1),IF(ISNUMBER($AN14),DATE(YEAR($AN14),MONTH($AN14),1),MesCiclo))))</f>
        <v/>
      </c>
      <c r="T14" s="62">
        <f>IF(OR($S14="",$S14&lt;&gt;MesCiclo),"",COUNTIF($S$5:$S14,MesCiclo))</f>
        <v/>
      </c>
      <c r="U14" s="62">
        <f>IF($V14="","",IF($V14="Macro",ROW(),IFERROR(LOOKUP(2,1/($V$5:$V14="Macro"),ROW($V$5:$V14)),0)))</f>
        <v/>
      </c>
      <c r="V14" s="62">
        <f>IF(NOT((COUNTA($B14:$D14)+COUNTA($G14:$L14)+COUNTA($Q14))&gt;0),"",IF($B14="Subactividad","Sub","Macro"))</f>
        <v/>
      </c>
      <c r="W14" s="62">
        <f>IF($V14="Macro",COUNTIFS($U$5:$U$1000,ROW(),$V$5:$V$1000,"Sub"),"")</f>
        <v/>
      </c>
      <c r="X14" s="62">
        <f>IF($V14="","",IF(ISNUMBER($G14),1,IFERROR(LOOKUP(2,1/($I14:$L14&lt;&gt;""),$I14:$L14),0)))</f>
        <v/>
      </c>
      <c r="Y14" s="62">
        <f>IF($V14="","",IF(AND(ISNUMBER($G14),$G14&lt;=IF($S14=MesCiclo,InicioCiclo,$S14+MOD(2-WEEKDAY($S14),7))+6),1,IF(ISNUMBER($I14),$I14,0)))</f>
        <v/>
      </c>
      <c r="Z14" s="62">
        <f>IF($V14="","",IF(AND(ISNUMBER($G14),$G14&lt;=IF($S14=MesCiclo,InicioCiclo,$S14+MOD(2-WEEKDAY($S14),7))+13),1,IF(ISNUMBER($J14),$J14,$Y14)))</f>
        <v/>
      </c>
      <c r="AA14" s="62">
        <f>IF($V14="","",IF(AND(ISNUMBER($G14),$G14&lt;=IF($S14=MesCiclo,InicioCiclo,$S14+MOD(2-WEEKDAY($S14),7))+20),1,IF(ISNUMBER($K14),$K14,$Z14)))</f>
        <v/>
      </c>
      <c r="AB14" s="62">
        <f>IF($V14="","",IF(AND(ISNUMBER($G14),$G14&lt;=IF($S14=MesCiclo,InicioCiclo,$S14+MOD(2-WEEKDAY($S14),7))+27),1,IF(ISNUMBER($L14),$L14,$AA14)))</f>
        <v/>
      </c>
      <c r="AC14" s="62">
        <f>IF($V14="","",IF(AND(ISNUMBER($G14),$G14&lt;=IF($S14=MesCiclo,InicioCiclo,$S14+MOD(2-WEEKDAY($S14),7))+6),1,IF(N($W14)&gt;0,AVERAGEIFS($Y$5:$Y$1000,$U$5:$U$1000,ROW(),$V$5:$V$1000,"Sub"),$Y14)))</f>
        <v/>
      </c>
      <c r="AD14" s="62">
        <f>IF($V14="","",IF(AND(ISNUMBER($G14),$G14&lt;=IF($S14=MesCiclo,InicioCiclo,$S14+MOD(2-WEEKDAY($S14),7))+13),1,IF(N($W14)&gt;0,AVERAGEIFS($Z$5:$Z$1000,$U$5:$U$1000,ROW(),$V$5:$V$1000,"Sub"),$Z14)))</f>
        <v/>
      </c>
      <c r="AE14" s="62">
        <f>IF($V14="","",IF(AND(ISNUMBER($G14),$G14&lt;=IF($S14=MesCiclo,InicioCiclo,$S14+MOD(2-WEEKDAY($S14),7))+20),1,IF(N($W14)&gt;0,AVERAGEIFS($AA$5:$AA$1000,$U$5:$U$1000,ROW(),$V$5:$V$1000,"Sub"),$AA14)))</f>
        <v/>
      </c>
      <c r="AF14" s="62">
        <f>IF($V14="","",IF(AND(ISNUMBER($G14),$G14&lt;=IF($S14=MesCiclo,InicioCiclo,$S14+MOD(2-WEEKDAY($S14),7))+27),1,IF(N($W14)&gt;0,AVERAGEIFS($AB$5:$AB$1000,$U$5:$U$1000,ROW(),$V$5:$V$1000,"Sub"),$AB14)))</f>
        <v/>
      </c>
      <c r="AG14" s="62">
        <f>IF($V14&lt;&gt;"Macro","",IF(COUNTIFS($S$5:$S$1000,$S14,$V$5:$V$1000,"Macro",$H$5:$H$1000,"&gt;0")=0,1/COUNTIFS($S$5:$S$1000,$S14,$V$5:$V$1000,"Macro"),IF(AND(ISNUMBER($H14),N($H14)&gt;0),$H14,SUMIFS($H$5:$H$1000,$S$5:$S$1000,$S14,$V$5:$V$1000,"Macro")/COUNTIFS($S$5:$S$1000,$S14,$V$5:$V$1000,"Macro",$H$5:$H$1000,"&gt;0"))/(COUNTIFS($S$5:$S$1000,$S14,$V$5:$V$1000,"Macro")*SUMIFS($H$5:$H$1000,$S$5:$S$1000,$S14,$V$5:$V$1000,"Macro")/COUNTIFS($S$5:$S$1000,$S14,$V$5:$V$1000,"Macro",$H$5:$H$1000,"&gt;0"))))</f>
        <v/>
      </c>
      <c r="AH14" s="62" t="n"/>
      <c r="AI14" s="62" t="n"/>
      <c r="AJ14" s="62" t="n"/>
      <c r="AK14" s="62" t="n"/>
      <c r="AL14" s="62">
        <f>IF(LEFT($C14,11)="[Jefatura] ",IFERROR(MATCH("Riesgo Normativo|"&amp;MID($C14,12,500),rDname_ADM,0),0),"")</f>
        <v/>
      </c>
      <c r="AM14" s="62">
        <f>IF(N($AL14)&gt;0,INDEX(rIni_ADM,$AL14),IF(ISNUMBER($E14),$E14,""))</f>
        <v/>
      </c>
      <c r="AN14" s="62">
        <f>IF(N($AL14)&gt;0,INDEX(rLim_ADM,$AL14),IF(ISNUMBER($F14),$F14,""))</f>
        <v/>
      </c>
    </row>
    <row r="15">
      <c r="A15" s="56">
        <f>IF(NOT((COUNTA($B15:$D15)+COUNTA($G15:$L15)+COUNTA($Q15))&gt;0),"",IF($V15="Macro",COUNTIFS($V$5:$V15,"Macro",$S$5:$S15,$S15),IF(N($U15)=0,"?",COUNTIFS(INDEX($V$5:$V$1000,1):INDEX($V$5:$V$1000,$U15-4),"Macro",INDEX($S$5:$S$1000,1):INDEX($S$5:$S$1000,$U15-4),INDEX($S$5:$S$1000,$U15-4))&amp;"."&amp;COUNTIFS($U$5:$U15,$U15,$V$5:$V15,"Sub"))))</f>
        <v/>
      </c>
      <c r="B15" s="57" t="n"/>
      <c r="C15" s="58" t="n"/>
      <c r="D15" s="58" t="n"/>
      <c r="E15" s="59">
        <f>IF(N($AL15)&gt;0,INDEX(rIni_ADM,$AL15),"")</f>
        <v/>
      </c>
      <c r="F15" s="59">
        <f>IF(N($AL15)&gt;0,INDEX(rLim_ADM,$AL15),"")</f>
        <v/>
      </c>
      <c r="G15" s="59" t="n"/>
      <c r="H15" s="60" t="n"/>
      <c r="I15" s="60" t="n"/>
      <c r="J15" s="60" t="n"/>
      <c r="K15" s="60" t="n"/>
      <c r="L15" s="60" t="n"/>
      <c r="M15" s="61">
        <f>IF(NOT((COUNTA($B15:$D15)+COUNTA($G15:$L15)+COUNTA($Q15))&gt;0),"",IF(ISNUMBER($G15),1,IF(N($W15)&gt;0,AVERAGEIFS($X$5:$X$1000,$U$5:$U$1000,ROW(),$V$5:$V$1000,"Sub"),$X15)))</f>
        <v/>
      </c>
      <c r="N15" s="56">
        <f>IF($M15="","",IF($M15&gt;=1,"Completado",IF($M15&gt;0,"En curso","Pendiente")))</f>
        <v/>
      </c>
      <c r="O15" s="56">
        <f>IF(NOT((COUNTA($B15:$D15)+COUNTA($G15:$L15)+COUNTA($Q15))&gt;0),"",IF(ISNUMBER($G15),IF(AND(ISNUMBER($AN15),$G15&gt;$AN15),"Cumplida con "&amp;($G15-$AN15)&amp;IF($G15-$AN15=1," día"," días")&amp;" de retraso","Cumplida"),IF(N($M15)&gt;=1,"Cumplida",IF(NOT(ISNUMBER($AN15)),"Sin fecha límite",IF($AN15&lt;FechaRef,"Vencida hace "&amp;(FechaRef-$AN15)&amp;IF(FechaRef-$AN15=1," día"," días"),IF($AN15=FechaRef,"Vence hoy",IF($AN15-FechaRef&lt;=DiasAlerta,"Vence en "&amp;($AN15-FechaRef)&amp;IF($AN15-FechaRef=1," día"," días"),"En plazo")))))))</f>
        <v/>
      </c>
      <c r="P15" s="62" t="n"/>
      <c r="Q15" s="58" t="n"/>
      <c r="R15" s="63">
        <f>IF(NOT((COUNTA($B15:$D15)+COUNTA($G15:$L15)+COUNTA($Q15))&gt;0),"",IF((IF($C15="","Falta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",""))="","✔ OK","⚠ "&amp;LEFT(IF($C15="","Falta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",""),LEN(IF($C15="","Falta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",""))-3)))</f>
        <v/>
      </c>
      <c r="S15" s="64">
        <f>IF(NOT((COUNTA($B15:$D15)+COUNTA($G15:$L15)+COUNTA($Q15))&gt;0),"",IF(AND($V15="Sub",N($U15)&gt;0),IF(ISNUMBER(INDEX($AM$5:$AM$1000,$U15-4)),DATE(YEAR(INDEX($AM$5:$AM$1000,$U15-4)),MONTH(INDEX($AM$5:$AM$1000,$U15-4)),1),IF(ISNUMBER(INDEX($AN$5:$AN$1000,$U15-4)),DATE(YEAR(INDEX($AN$5:$AN$1000,$U15-4)),MONTH(INDEX($AN$5:$AN$1000,$U15-4)),1),MesCiclo)),IF(ISNUMBER($AM15),DATE(YEAR($AM15),MONTH($AM15),1),IF(ISNUMBER($AN15),DATE(YEAR($AN15),MONTH($AN15),1),MesCiclo))))</f>
        <v/>
      </c>
      <c r="T15" s="62">
        <f>IF(OR($S15="",$S15&lt;&gt;MesCiclo),"",COUNTIF($S$5:$S15,MesCiclo))</f>
        <v/>
      </c>
      <c r="U15" s="62">
        <f>IF($V15="","",IF($V15="Macro",ROW(),IFERROR(LOOKUP(2,1/($V$5:$V15="Macro"),ROW($V$5:$V15)),0)))</f>
        <v/>
      </c>
      <c r="V15" s="62">
        <f>IF(NOT((COUNTA($B15:$D15)+COUNTA($G15:$L15)+COUNTA($Q15))&gt;0),"",IF($B15="Subactividad","Sub","Macro"))</f>
        <v/>
      </c>
      <c r="W15" s="62">
        <f>IF($V15="Macro",COUNTIFS($U$5:$U$1000,ROW(),$V$5:$V$1000,"Sub"),"")</f>
        <v/>
      </c>
      <c r="X15" s="62">
        <f>IF($V15="","",IF(ISNUMBER($G15),1,IFERROR(LOOKUP(2,1/($I15:$L15&lt;&gt;""),$I15:$L15),0)))</f>
        <v/>
      </c>
      <c r="Y15" s="62">
        <f>IF($V15="","",IF(AND(ISNUMBER($G15),$G15&lt;=IF($S15=MesCiclo,InicioCiclo,$S15+MOD(2-WEEKDAY($S15),7))+6),1,IF(ISNUMBER($I15),$I15,0)))</f>
        <v/>
      </c>
      <c r="Z15" s="62">
        <f>IF($V15="","",IF(AND(ISNUMBER($G15),$G15&lt;=IF($S15=MesCiclo,InicioCiclo,$S15+MOD(2-WEEKDAY($S15),7))+13),1,IF(ISNUMBER($J15),$J15,$Y15)))</f>
        <v/>
      </c>
      <c r="AA15" s="62">
        <f>IF($V15="","",IF(AND(ISNUMBER($G15),$G15&lt;=IF($S15=MesCiclo,InicioCiclo,$S15+MOD(2-WEEKDAY($S15),7))+20),1,IF(ISNUMBER($K15),$K15,$Z15)))</f>
        <v/>
      </c>
      <c r="AB15" s="62">
        <f>IF($V15="","",IF(AND(ISNUMBER($G15),$G15&lt;=IF($S15=MesCiclo,InicioCiclo,$S15+MOD(2-WEEKDAY($S15),7))+27),1,IF(ISNUMBER($L15),$L15,$AA15)))</f>
        <v/>
      </c>
      <c r="AC15" s="62">
        <f>IF($V15="","",IF(AND(ISNUMBER($G15),$G15&lt;=IF($S15=MesCiclo,InicioCiclo,$S15+MOD(2-WEEKDAY($S15),7))+6),1,IF(N($W15)&gt;0,AVERAGEIFS($Y$5:$Y$1000,$U$5:$U$1000,ROW(),$V$5:$V$1000,"Sub"),$Y15)))</f>
        <v/>
      </c>
      <c r="AD15" s="62">
        <f>IF($V15="","",IF(AND(ISNUMBER($G15),$G15&lt;=IF($S15=MesCiclo,InicioCiclo,$S15+MOD(2-WEEKDAY($S15),7))+13),1,IF(N($W15)&gt;0,AVERAGEIFS($Z$5:$Z$1000,$U$5:$U$1000,ROW(),$V$5:$V$1000,"Sub"),$Z15)))</f>
        <v/>
      </c>
      <c r="AE15" s="62">
        <f>IF($V15="","",IF(AND(ISNUMBER($G15),$G15&lt;=IF($S15=MesCiclo,InicioCiclo,$S15+MOD(2-WEEKDAY($S15),7))+20),1,IF(N($W15)&gt;0,AVERAGEIFS($AA$5:$AA$1000,$U$5:$U$1000,ROW(),$V$5:$V$1000,"Sub"),$AA15)))</f>
        <v/>
      </c>
      <c r="AF15" s="62">
        <f>IF($V15="","",IF(AND(ISNUMBER($G15),$G15&lt;=IF($S15=MesCiclo,InicioCiclo,$S15+MOD(2-WEEKDAY($S15),7))+27),1,IF(N($W15)&gt;0,AVERAGEIFS($AB$5:$AB$1000,$U$5:$U$1000,ROW(),$V$5:$V$1000,"Sub"),$AB15)))</f>
        <v/>
      </c>
      <c r="AG15" s="62">
        <f>IF($V15&lt;&gt;"Macro","",IF(COUNTIFS($S$5:$S$1000,$S15,$V$5:$V$1000,"Macro",$H$5:$H$1000,"&gt;0")=0,1/COUNTIFS($S$5:$S$1000,$S15,$V$5:$V$1000,"Macro"),IF(AND(ISNUMBER($H15),N($H15)&gt;0),$H15,SUMIFS($H$5:$H$1000,$S$5:$S$1000,$S15,$V$5:$V$1000,"Macro")/COUNTIFS($S$5:$S$1000,$S15,$V$5:$V$1000,"Macro",$H$5:$H$1000,"&gt;0"))/(COUNTIFS($S$5:$S$1000,$S15,$V$5:$V$1000,"Macro")*SUMIFS($H$5:$H$1000,$S$5:$S$1000,$S15,$V$5:$V$1000,"Macro")/COUNTIFS($S$5:$S$1000,$S15,$V$5:$V$1000,"Macro",$H$5:$H$1000,"&gt;0"))))</f>
        <v/>
      </c>
      <c r="AH15" s="62" t="n"/>
      <c r="AI15" s="62" t="n"/>
      <c r="AJ15" s="62" t="n"/>
      <c r="AK15" s="62" t="n"/>
      <c r="AL15" s="62">
        <f>IF(LEFT($C15,11)="[Jefatura] ",IFERROR(MATCH("Riesgo Normativo|"&amp;MID($C15,12,500),rDname_ADM,0),0),"")</f>
        <v/>
      </c>
      <c r="AM15" s="62">
        <f>IF(N($AL15)&gt;0,INDEX(rIni_ADM,$AL15),IF(ISNUMBER($E15),$E15,""))</f>
        <v/>
      </c>
      <c r="AN15" s="62">
        <f>IF(N($AL15)&gt;0,INDEX(rLim_ADM,$AL15),IF(ISNUMBER($F15),$F15,""))</f>
        <v/>
      </c>
    </row>
    <row r="16">
      <c r="A16" s="56">
        <f>IF(NOT((COUNTA($B16:$D16)+COUNTA($G16:$L16)+COUNTA($Q16))&gt;0),"",IF($V16="Macro",COUNTIFS($V$5:$V16,"Macro",$S$5:$S16,$S16),IF(N($U16)=0,"?",COUNTIFS(INDEX($V$5:$V$1000,1):INDEX($V$5:$V$1000,$U16-4),"Macro",INDEX($S$5:$S$1000,1):INDEX($S$5:$S$1000,$U16-4),INDEX($S$5:$S$1000,$U16-4))&amp;"."&amp;COUNTIFS($U$5:$U16,$U16,$V$5:$V16,"Sub"))))</f>
        <v/>
      </c>
      <c r="B16" s="57" t="n"/>
      <c r="C16" s="58" t="n"/>
      <c r="D16" s="58" t="n"/>
      <c r="E16" s="59">
        <f>IF(N($AL16)&gt;0,INDEX(rIni_ADM,$AL16),"")</f>
        <v/>
      </c>
      <c r="F16" s="59">
        <f>IF(N($AL16)&gt;0,INDEX(rLim_ADM,$AL16),"")</f>
        <v/>
      </c>
      <c r="G16" s="59" t="n"/>
      <c r="H16" s="60" t="n"/>
      <c r="I16" s="60" t="n"/>
      <c r="J16" s="60" t="n"/>
      <c r="K16" s="60" t="n"/>
      <c r="L16" s="60" t="n"/>
      <c r="M16" s="61">
        <f>IF(NOT((COUNTA($B16:$D16)+COUNTA($G16:$L16)+COUNTA($Q16))&gt;0),"",IF(ISNUMBER($G16),1,IF(N($W16)&gt;0,AVERAGEIFS($X$5:$X$1000,$U$5:$U$1000,ROW(),$V$5:$V$1000,"Sub"),$X16)))</f>
        <v/>
      </c>
      <c r="N16" s="56">
        <f>IF($M16="","",IF($M16&gt;=1,"Completado",IF($M16&gt;0,"En curso","Pendiente")))</f>
        <v/>
      </c>
      <c r="O16" s="56">
        <f>IF(NOT((COUNTA($B16:$D16)+COUNTA($G16:$L16)+COUNTA($Q16))&gt;0),"",IF(ISNUMBER($G16),IF(AND(ISNUMBER($AN16),$G16&gt;$AN16),"Cumplida con "&amp;($G16-$AN16)&amp;IF($G16-$AN16=1," día"," días")&amp;" de retraso","Cumplida"),IF(N($M16)&gt;=1,"Cumplida",IF(NOT(ISNUMBER($AN16)),"Sin fecha límite",IF($AN16&lt;FechaRef,"Vencida hace "&amp;(FechaRef-$AN16)&amp;IF(FechaRef-$AN16=1," día"," días"),IF($AN16=FechaRef,"Vence hoy",IF($AN16-FechaRef&lt;=DiasAlerta,"Vence en "&amp;($AN16-FechaRef)&amp;IF($AN16-FechaRef=1," día"," días"),"En plazo")))))))</f>
        <v/>
      </c>
      <c r="P16" s="62" t="n"/>
      <c r="Q16" s="58" t="n"/>
      <c r="R16" s="63">
        <f>IF(NOT((COUNTA($B16:$D16)+COUNTA($G16:$L16)+COUNTA($Q16))&gt;0),"",IF((IF($C16="","Falta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",""))="","✔ OK","⚠ "&amp;LEFT(IF($C16="","Falta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",""),LEN(IF($C16="","Falta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",""))-3)))</f>
        <v/>
      </c>
      <c r="S16" s="64">
        <f>IF(NOT((COUNTA($B16:$D16)+COUNTA($G16:$L16)+COUNTA($Q16))&gt;0),"",IF(AND($V16="Sub",N($U16)&gt;0),IF(ISNUMBER(INDEX($AM$5:$AM$1000,$U16-4)),DATE(YEAR(INDEX($AM$5:$AM$1000,$U16-4)),MONTH(INDEX($AM$5:$AM$1000,$U16-4)),1),IF(ISNUMBER(INDEX($AN$5:$AN$1000,$U16-4)),DATE(YEAR(INDEX($AN$5:$AN$1000,$U16-4)),MONTH(INDEX($AN$5:$AN$1000,$U16-4)),1),MesCiclo)),IF(ISNUMBER($AM16),DATE(YEAR($AM16),MONTH($AM16),1),IF(ISNUMBER($AN16),DATE(YEAR($AN16),MONTH($AN16),1),MesCiclo))))</f>
        <v/>
      </c>
      <c r="T16" s="62">
        <f>IF(OR($S16="",$S16&lt;&gt;MesCiclo),"",COUNTIF($S$5:$S16,MesCiclo))</f>
        <v/>
      </c>
      <c r="U16" s="62">
        <f>IF($V16="","",IF($V16="Macro",ROW(),IFERROR(LOOKUP(2,1/($V$5:$V16="Macro"),ROW($V$5:$V16)),0)))</f>
        <v/>
      </c>
      <c r="V16" s="62">
        <f>IF(NOT((COUNTA($B16:$D16)+COUNTA($G16:$L16)+COUNTA($Q16))&gt;0),"",IF($B16="Subactividad","Sub","Macro"))</f>
        <v/>
      </c>
      <c r="W16" s="62">
        <f>IF($V16="Macro",COUNTIFS($U$5:$U$1000,ROW(),$V$5:$V$1000,"Sub"),"")</f>
        <v/>
      </c>
      <c r="X16" s="62">
        <f>IF($V16="","",IF(ISNUMBER($G16),1,IFERROR(LOOKUP(2,1/($I16:$L16&lt;&gt;""),$I16:$L16),0)))</f>
        <v/>
      </c>
      <c r="Y16" s="62">
        <f>IF($V16="","",IF(AND(ISNUMBER($G16),$G16&lt;=IF($S16=MesCiclo,InicioCiclo,$S16+MOD(2-WEEKDAY($S16),7))+6),1,IF(ISNUMBER($I16),$I16,0)))</f>
        <v/>
      </c>
      <c r="Z16" s="62">
        <f>IF($V16="","",IF(AND(ISNUMBER($G16),$G16&lt;=IF($S16=MesCiclo,InicioCiclo,$S16+MOD(2-WEEKDAY($S16),7))+13),1,IF(ISNUMBER($J16),$J16,$Y16)))</f>
        <v/>
      </c>
      <c r="AA16" s="62">
        <f>IF($V16="","",IF(AND(ISNUMBER($G16),$G16&lt;=IF($S16=MesCiclo,InicioCiclo,$S16+MOD(2-WEEKDAY($S16),7))+20),1,IF(ISNUMBER($K16),$K16,$Z16)))</f>
        <v/>
      </c>
      <c r="AB16" s="62">
        <f>IF($V16="","",IF(AND(ISNUMBER($G16),$G16&lt;=IF($S16=MesCiclo,InicioCiclo,$S16+MOD(2-WEEKDAY($S16),7))+27),1,IF(ISNUMBER($L16),$L16,$AA16)))</f>
        <v/>
      </c>
      <c r="AC16" s="62">
        <f>IF($V16="","",IF(AND(ISNUMBER($G16),$G16&lt;=IF($S16=MesCiclo,InicioCiclo,$S16+MOD(2-WEEKDAY($S16),7))+6),1,IF(N($W16)&gt;0,AVERAGEIFS($Y$5:$Y$1000,$U$5:$U$1000,ROW(),$V$5:$V$1000,"Sub"),$Y16)))</f>
        <v/>
      </c>
      <c r="AD16" s="62">
        <f>IF($V16="","",IF(AND(ISNUMBER($G16),$G16&lt;=IF($S16=MesCiclo,InicioCiclo,$S16+MOD(2-WEEKDAY($S16),7))+13),1,IF(N($W16)&gt;0,AVERAGEIFS($Z$5:$Z$1000,$U$5:$U$1000,ROW(),$V$5:$V$1000,"Sub"),$Z16)))</f>
        <v/>
      </c>
      <c r="AE16" s="62">
        <f>IF($V16="","",IF(AND(ISNUMBER($G16),$G16&lt;=IF($S16=MesCiclo,InicioCiclo,$S16+MOD(2-WEEKDAY($S16),7))+20),1,IF(N($W16)&gt;0,AVERAGEIFS($AA$5:$AA$1000,$U$5:$U$1000,ROW(),$V$5:$V$1000,"Sub"),$AA16)))</f>
        <v/>
      </c>
      <c r="AF16" s="62">
        <f>IF($V16="","",IF(AND(ISNUMBER($G16),$G16&lt;=IF($S16=MesCiclo,InicioCiclo,$S16+MOD(2-WEEKDAY($S16),7))+27),1,IF(N($W16)&gt;0,AVERAGEIFS($AB$5:$AB$1000,$U$5:$U$1000,ROW(),$V$5:$V$1000,"Sub"),$AB16)))</f>
        <v/>
      </c>
      <c r="AG16" s="62">
        <f>IF($V16&lt;&gt;"Macro","",IF(COUNTIFS($S$5:$S$1000,$S16,$V$5:$V$1000,"Macro",$H$5:$H$1000,"&gt;0")=0,1/COUNTIFS($S$5:$S$1000,$S16,$V$5:$V$1000,"Macro"),IF(AND(ISNUMBER($H16),N($H16)&gt;0),$H16,SUMIFS($H$5:$H$1000,$S$5:$S$1000,$S16,$V$5:$V$1000,"Macro")/COUNTIFS($S$5:$S$1000,$S16,$V$5:$V$1000,"Macro",$H$5:$H$1000,"&gt;0"))/(COUNTIFS($S$5:$S$1000,$S16,$V$5:$V$1000,"Macro")*SUMIFS($H$5:$H$1000,$S$5:$S$1000,$S16,$V$5:$V$1000,"Macro")/COUNTIFS($S$5:$S$1000,$S16,$V$5:$V$1000,"Macro",$H$5:$H$1000,"&gt;0"))))</f>
        <v/>
      </c>
      <c r="AH16" s="62" t="n"/>
      <c r="AI16" s="62" t="n"/>
      <c r="AJ16" s="62" t="n"/>
      <c r="AK16" s="62" t="n"/>
      <c r="AL16" s="62">
        <f>IF(LEFT($C16,11)="[Jefatura] ",IFERROR(MATCH("Riesgo Normativo|"&amp;MID($C16,12,500),rDname_ADM,0),0),"")</f>
        <v/>
      </c>
      <c r="AM16" s="62">
        <f>IF(N($AL16)&gt;0,INDEX(rIni_ADM,$AL16),IF(ISNUMBER($E16),$E16,""))</f>
        <v/>
      </c>
      <c r="AN16" s="62">
        <f>IF(N($AL16)&gt;0,INDEX(rLim_ADM,$AL16),IF(ISNUMBER($F16),$F16,""))</f>
        <v/>
      </c>
    </row>
    <row r="17">
      <c r="A17" s="56">
        <f>IF(NOT((COUNTA($B17:$D17)+COUNTA($G17:$L17)+COUNTA($Q17))&gt;0),"",IF($V17="Macro",COUNTIFS($V$5:$V17,"Macro",$S$5:$S17,$S17),IF(N($U17)=0,"?",COUNTIFS(INDEX($V$5:$V$1000,1):INDEX($V$5:$V$1000,$U17-4),"Macro",INDEX($S$5:$S$1000,1):INDEX($S$5:$S$1000,$U17-4),INDEX($S$5:$S$1000,$U17-4))&amp;"."&amp;COUNTIFS($U$5:$U17,$U17,$V$5:$V17,"Sub"))))</f>
        <v/>
      </c>
      <c r="B17" s="57" t="n"/>
      <c r="C17" s="58" t="n"/>
      <c r="D17" s="58" t="n"/>
      <c r="E17" s="59">
        <f>IF(N($AL17)&gt;0,INDEX(rIni_ADM,$AL17),"")</f>
        <v/>
      </c>
      <c r="F17" s="59">
        <f>IF(N($AL17)&gt;0,INDEX(rLim_ADM,$AL17),"")</f>
        <v/>
      </c>
      <c r="G17" s="59" t="n"/>
      <c r="H17" s="60" t="n"/>
      <c r="I17" s="60" t="n"/>
      <c r="J17" s="60" t="n"/>
      <c r="K17" s="60" t="n"/>
      <c r="L17" s="60" t="n"/>
      <c r="M17" s="61">
        <f>IF(NOT((COUNTA($B17:$D17)+COUNTA($G17:$L17)+COUNTA($Q17))&gt;0),"",IF(ISNUMBER($G17),1,IF(N($W17)&gt;0,AVERAGEIFS($X$5:$X$1000,$U$5:$U$1000,ROW(),$V$5:$V$1000,"Sub"),$X17)))</f>
        <v/>
      </c>
      <c r="N17" s="56">
        <f>IF($M17="","",IF($M17&gt;=1,"Completado",IF($M17&gt;0,"En curso","Pendiente")))</f>
        <v/>
      </c>
      <c r="O17" s="56">
        <f>IF(NOT((COUNTA($B17:$D17)+COUNTA($G17:$L17)+COUNTA($Q17))&gt;0),"",IF(ISNUMBER($G17),IF(AND(ISNUMBER($AN17),$G17&gt;$AN17),"Cumplida con "&amp;($G17-$AN17)&amp;IF($G17-$AN17=1," día"," días")&amp;" de retraso","Cumplida"),IF(N($M17)&gt;=1,"Cumplida",IF(NOT(ISNUMBER($AN17)),"Sin fecha límite",IF($AN17&lt;FechaRef,"Vencida hace "&amp;(FechaRef-$AN17)&amp;IF(FechaRef-$AN17=1," día"," días"),IF($AN17=FechaRef,"Vence hoy",IF($AN17-FechaRef&lt;=DiasAlerta,"Vence en "&amp;($AN17-FechaRef)&amp;IF($AN17-FechaRef=1," día"," días"),"En plazo")))))))</f>
        <v/>
      </c>
      <c r="P17" s="62" t="n"/>
      <c r="Q17" s="58" t="n"/>
      <c r="R17" s="63">
        <f>IF(NOT((COUNTA($B17:$D17)+COUNTA($G17:$L17)+COUNTA($Q17))&gt;0),"",IF((IF($C17="","Falta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",""))="","✔ OK","⚠ "&amp;LEFT(IF($C17="","Falta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",""),LEN(IF($C17="","Falta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",""))-3)))</f>
        <v/>
      </c>
      <c r="S17" s="64">
        <f>IF(NOT((COUNTA($B17:$D17)+COUNTA($G17:$L17)+COUNTA($Q17))&gt;0),"",IF(AND($V17="Sub",N($U17)&gt;0),IF(ISNUMBER(INDEX($AM$5:$AM$1000,$U17-4)),DATE(YEAR(INDEX($AM$5:$AM$1000,$U17-4)),MONTH(INDEX($AM$5:$AM$1000,$U17-4)),1),IF(ISNUMBER(INDEX($AN$5:$AN$1000,$U17-4)),DATE(YEAR(INDEX($AN$5:$AN$1000,$U17-4)),MONTH(INDEX($AN$5:$AN$1000,$U17-4)),1),MesCiclo)),IF(ISNUMBER($AM17),DATE(YEAR($AM17),MONTH($AM17),1),IF(ISNUMBER($AN17),DATE(YEAR($AN17),MONTH($AN17),1),MesCiclo))))</f>
        <v/>
      </c>
      <c r="T17" s="62">
        <f>IF(OR($S17="",$S17&lt;&gt;MesCiclo),"",COUNTIF($S$5:$S17,MesCiclo))</f>
        <v/>
      </c>
      <c r="U17" s="62">
        <f>IF($V17="","",IF($V17="Macro",ROW(),IFERROR(LOOKUP(2,1/($V$5:$V17="Macro"),ROW($V$5:$V17)),0)))</f>
        <v/>
      </c>
      <c r="V17" s="62">
        <f>IF(NOT((COUNTA($B17:$D17)+COUNTA($G17:$L17)+COUNTA($Q17))&gt;0),"",IF($B17="Subactividad","Sub","Macro"))</f>
        <v/>
      </c>
      <c r="W17" s="62">
        <f>IF($V17="Macro",COUNTIFS($U$5:$U$1000,ROW(),$V$5:$V$1000,"Sub"),"")</f>
        <v/>
      </c>
      <c r="X17" s="62">
        <f>IF($V17="","",IF(ISNUMBER($G17),1,IFERROR(LOOKUP(2,1/($I17:$L17&lt;&gt;""),$I17:$L17),0)))</f>
        <v/>
      </c>
      <c r="Y17" s="62">
        <f>IF($V17="","",IF(AND(ISNUMBER($G17),$G17&lt;=IF($S17=MesCiclo,InicioCiclo,$S17+MOD(2-WEEKDAY($S17),7))+6),1,IF(ISNUMBER($I17),$I17,0)))</f>
        <v/>
      </c>
      <c r="Z17" s="62">
        <f>IF($V17="","",IF(AND(ISNUMBER($G17),$G17&lt;=IF($S17=MesCiclo,InicioCiclo,$S17+MOD(2-WEEKDAY($S17),7))+13),1,IF(ISNUMBER($J17),$J17,$Y17)))</f>
        <v/>
      </c>
      <c r="AA17" s="62">
        <f>IF($V17="","",IF(AND(ISNUMBER($G17),$G17&lt;=IF($S17=MesCiclo,InicioCiclo,$S17+MOD(2-WEEKDAY($S17),7))+20),1,IF(ISNUMBER($K17),$K17,$Z17)))</f>
        <v/>
      </c>
      <c r="AB17" s="62">
        <f>IF($V17="","",IF(AND(ISNUMBER($G17),$G17&lt;=IF($S17=MesCiclo,InicioCiclo,$S17+MOD(2-WEEKDAY($S17),7))+27),1,IF(ISNUMBER($L17),$L17,$AA17)))</f>
        <v/>
      </c>
      <c r="AC17" s="62">
        <f>IF($V17="","",IF(AND(ISNUMBER($G17),$G17&lt;=IF($S17=MesCiclo,InicioCiclo,$S17+MOD(2-WEEKDAY($S17),7))+6),1,IF(N($W17)&gt;0,AVERAGEIFS($Y$5:$Y$1000,$U$5:$U$1000,ROW(),$V$5:$V$1000,"Sub"),$Y17)))</f>
        <v/>
      </c>
      <c r="AD17" s="62">
        <f>IF($V17="","",IF(AND(ISNUMBER($G17),$G17&lt;=IF($S17=MesCiclo,InicioCiclo,$S17+MOD(2-WEEKDAY($S17),7))+13),1,IF(N($W17)&gt;0,AVERAGEIFS($Z$5:$Z$1000,$U$5:$U$1000,ROW(),$V$5:$V$1000,"Sub"),$Z17)))</f>
        <v/>
      </c>
      <c r="AE17" s="62">
        <f>IF($V17="","",IF(AND(ISNUMBER($G17),$G17&lt;=IF($S17=MesCiclo,InicioCiclo,$S17+MOD(2-WEEKDAY($S17),7))+20),1,IF(N($W17)&gt;0,AVERAGEIFS($AA$5:$AA$1000,$U$5:$U$1000,ROW(),$V$5:$V$1000,"Sub"),$AA17)))</f>
        <v/>
      </c>
      <c r="AF17" s="62">
        <f>IF($V17="","",IF(AND(ISNUMBER($G17),$G17&lt;=IF($S17=MesCiclo,InicioCiclo,$S17+MOD(2-WEEKDAY($S17),7))+27),1,IF(N($W17)&gt;0,AVERAGEIFS($AB$5:$AB$1000,$U$5:$U$1000,ROW(),$V$5:$V$1000,"Sub"),$AB17)))</f>
        <v/>
      </c>
      <c r="AG17" s="62">
        <f>IF($V17&lt;&gt;"Macro","",IF(COUNTIFS($S$5:$S$1000,$S17,$V$5:$V$1000,"Macro",$H$5:$H$1000,"&gt;0")=0,1/COUNTIFS($S$5:$S$1000,$S17,$V$5:$V$1000,"Macro"),IF(AND(ISNUMBER($H17),N($H17)&gt;0),$H17,SUMIFS($H$5:$H$1000,$S$5:$S$1000,$S17,$V$5:$V$1000,"Macro")/COUNTIFS($S$5:$S$1000,$S17,$V$5:$V$1000,"Macro",$H$5:$H$1000,"&gt;0"))/(COUNTIFS($S$5:$S$1000,$S17,$V$5:$V$1000,"Macro")*SUMIFS($H$5:$H$1000,$S$5:$S$1000,$S17,$V$5:$V$1000,"Macro")/COUNTIFS($S$5:$S$1000,$S17,$V$5:$V$1000,"Macro",$H$5:$H$1000,"&gt;0"))))</f>
        <v/>
      </c>
      <c r="AH17" s="62" t="n"/>
      <c r="AI17" s="62" t="n"/>
      <c r="AJ17" s="62" t="n"/>
      <c r="AK17" s="62" t="n"/>
      <c r="AL17" s="62">
        <f>IF(LEFT($C17,11)="[Jefatura] ",IFERROR(MATCH("Riesgo Normativo|"&amp;MID($C17,12,500),rDname_ADM,0),0),"")</f>
        <v/>
      </c>
      <c r="AM17" s="62">
        <f>IF(N($AL17)&gt;0,INDEX(rIni_ADM,$AL17),IF(ISNUMBER($E17),$E17,""))</f>
        <v/>
      </c>
      <c r="AN17" s="62">
        <f>IF(N($AL17)&gt;0,INDEX(rLim_ADM,$AL17),IF(ISNUMBER($F17),$F17,""))</f>
        <v/>
      </c>
    </row>
    <row r="18">
      <c r="A18" s="56">
        <f>IF(NOT((COUNTA($B18:$D18)+COUNTA($G18:$L18)+COUNTA($Q18))&gt;0),"",IF($V18="Macro",COUNTIFS($V$5:$V18,"Macro",$S$5:$S18,$S18),IF(N($U18)=0,"?",COUNTIFS(INDEX($V$5:$V$1000,1):INDEX($V$5:$V$1000,$U18-4),"Macro",INDEX($S$5:$S$1000,1):INDEX($S$5:$S$1000,$U18-4),INDEX($S$5:$S$1000,$U18-4))&amp;"."&amp;COUNTIFS($U$5:$U18,$U18,$V$5:$V18,"Sub"))))</f>
        <v/>
      </c>
      <c r="B18" s="57" t="n"/>
      <c r="C18" s="58" t="n"/>
      <c r="D18" s="58" t="n"/>
      <c r="E18" s="59">
        <f>IF(N($AL18)&gt;0,INDEX(rIni_ADM,$AL18),"")</f>
        <v/>
      </c>
      <c r="F18" s="59">
        <f>IF(N($AL18)&gt;0,INDEX(rLim_ADM,$AL18),"")</f>
        <v/>
      </c>
      <c r="G18" s="59" t="n"/>
      <c r="H18" s="60" t="n"/>
      <c r="I18" s="60" t="n"/>
      <c r="J18" s="60" t="n"/>
      <c r="K18" s="60" t="n"/>
      <c r="L18" s="60" t="n"/>
      <c r="M18" s="61">
        <f>IF(NOT((COUNTA($B18:$D18)+COUNTA($G18:$L18)+COUNTA($Q18))&gt;0),"",IF(ISNUMBER($G18),1,IF(N($W18)&gt;0,AVERAGEIFS($X$5:$X$1000,$U$5:$U$1000,ROW(),$V$5:$V$1000,"Sub"),$X18)))</f>
        <v/>
      </c>
      <c r="N18" s="56">
        <f>IF($M18="","",IF($M18&gt;=1,"Completado",IF($M18&gt;0,"En curso","Pendiente")))</f>
        <v/>
      </c>
      <c r="O18" s="56">
        <f>IF(NOT((COUNTA($B18:$D18)+COUNTA($G18:$L18)+COUNTA($Q18))&gt;0),"",IF(ISNUMBER($G18),IF(AND(ISNUMBER($AN18),$G18&gt;$AN18),"Cumplida con "&amp;($G18-$AN18)&amp;IF($G18-$AN18=1," día"," días")&amp;" de retraso","Cumplida"),IF(N($M18)&gt;=1,"Cumplida",IF(NOT(ISNUMBER($AN18)),"Sin fecha límite",IF($AN18&lt;FechaRef,"Vencida hace "&amp;(FechaRef-$AN18)&amp;IF(FechaRef-$AN18=1," día"," días"),IF($AN18=FechaRef,"Vence hoy",IF($AN18-FechaRef&lt;=DiasAlerta,"Vence en "&amp;($AN18-FechaRef)&amp;IF($AN18-FechaRef=1," día"," días"),"En plazo")))))))</f>
        <v/>
      </c>
      <c r="P18" s="62" t="n"/>
      <c r="Q18" s="58" t="n"/>
      <c r="R18" s="63">
        <f>IF(NOT((COUNTA($B18:$D18)+COUNTA($G18:$L18)+COUNTA($Q18))&gt;0),"",IF((IF($C18="","Falta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",""))="","✔ OK","⚠ "&amp;LEFT(IF($C18="","Falta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",""),LEN(IF($C18="","Falta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",""))-3)))</f>
        <v/>
      </c>
      <c r="S18" s="64">
        <f>IF(NOT((COUNTA($B18:$D18)+COUNTA($G18:$L18)+COUNTA($Q18))&gt;0),"",IF(AND($V18="Sub",N($U18)&gt;0),IF(ISNUMBER(INDEX($AM$5:$AM$1000,$U18-4)),DATE(YEAR(INDEX($AM$5:$AM$1000,$U18-4)),MONTH(INDEX($AM$5:$AM$1000,$U18-4)),1),IF(ISNUMBER(INDEX($AN$5:$AN$1000,$U18-4)),DATE(YEAR(INDEX($AN$5:$AN$1000,$U18-4)),MONTH(INDEX($AN$5:$AN$1000,$U18-4)),1),MesCiclo)),IF(ISNUMBER($AM18),DATE(YEAR($AM18),MONTH($AM18),1),IF(ISNUMBER($AN18),DATE(YEAR($AN18),MONTH($AN18),1),MesCiclo))))</f>
        <v/>
      </c>
      <c r="T18" s="62">
        <f>IF(OR($S18="",$S18&lt;&gt;MesCiclo),"",COUNTIF($S$5:$S18,MesCiclo))</f>
        <v/>
      </c>
      <c r="U18" s="62">
        <f>IF($V18="","",IF($V18="Macro",ROW(),IFERROR(LOOKUP(2,1/($V$5:$V18="Macro"),ROW($V$5:$V18)),0)))</f>
        <v/>
      </c>
      <c r="V18" s="62">
        <f>IF(NOT((COUNTA($B18:$D18)+COUNTA($G18:$L18)+COUNTA($Q18))&gt;0),"",IF($B18="Subactividad","Sub","Macro"))</f>
        <v/>
      </c>
      <c r="W18" s="62">
        <f>IF($V18="Macro",COUNTIFS($U$5:$U$1000,ROW(),$V$5:$V$1000,"Sub"),"")</f>
        <v/>
      </c>
      <c r="X18" s="62">
        <f>IF($V18="","",IF(ISNUMBER($G18),1,IFERROR(LOOKUP(2,1/($I18:$L18&lt;&gt;""),$I18:$L18),0)))</f>
        <v/>
      </c>
      <c r="Y18" s="62">
        <f>IF($V18="","",IF(AND(ISNUMBER($G18),$G18&lt;=IF($S18=MesCiclo,InicioCiclo,$S18+MOD(2-WEEKDAY($S18),7))+6),1,IF(ISNUMBER($I18),$I18,0)))</f>
        <v/>
      </c>
      <c r="Z18" s="62">
        <f>IF($V18="","",IF(AND(ISNUMBER($G18),$G18&lt;=IF($S18=MesCiclo,InicioCiclo,$S18+MOD(2-WEEKDAY($S18),7))+13),1,IF(ISNUMBER($J18),$J18,$Y18)))</f>
        <v/>
      </c>
      <c r="AA18" s="62">
        <f>IF($V18="","",IF(AND(ISNUMBER($G18),$G18&lt;=IF($S18=MesCiclo,InicioCiclo,$S18+MOD(2-WEEKDAY($S18),7))+20),1,IF(ISNUMBER($K18),$K18,$Z18)))</f>
        <v/>
      </c>
      <c r="AB18" s="62">
        <f>IF($V18="","",IF(AND(ISNUMBER($G18),$G18&lt;=IF($S18=MesCiclo,InicioCiclo,$S18+MOD(2-WEEKDAY($S18),7))+27),1,IF(ISNUMBER($L18),$L18,$AA18)))</f>
        <v/>
      </c>
      <c r="AC18" s="62">
        <f>IF($V18="","",IF(AND(ISNUMBER($G18),$G18&lt;=IF($S18=MesCiclo,InicioCiclo,$S18+MOD(2-WEEKDAY($S18),7))+6),1,IF(N($W18)&gt;0,AVERAGEIFS($Y$5:$Y$1000,$U$5:$U$1000,ROW(),$V$5:$V$1000,"Sub"),$Y18)))</f>
        <v/>
      </c>
      <c r="AD18" s="62">
        <f>IF($V18="","",IF(AND(ISNUMBER($G18),$G18&lt;=IF($S18=MesCiclo,InicioCiclo,$S18+MOD(2-WEEKDAY($S18),7))+13),1,IF(N($W18)&gt;0,AVERAGEIFS($Z$5:$Z$1000,$U$5:$U$1000,ROW(),$V$5:$V$1000,"Sub"),$Z18)))</f>
        <v/>
      </c>
      <c r="AE18" s="62">
        <f>IF($V18="","",IF(AND(ISNUMBER($G18),$G18&lt;=IF($S18=MesCiclo,InicioCiclo,$S18+MOD(2-WEEKDAY($S18),7))+20),1,IF(N($W18)&gt;0,AVERAGEIFS($AA$5:$AA$1000,$U$5:$U$1000,ROW(),$V$5:$V$1000,"Sub"),$AA18)))</f>
        <v/>
      </c>
      <c r="AF18" s="62">
        <f>IF($V18="","",IF(AND(ISNUMBER($G18),$G18&lt;=IF($S18=MesCiclo,InicioCiclo,$S18+MOD(2-WEEKDAY($S18),7))+27),1,IF(N($W18)&gt;0,AVERAGEIFS($AB$5:$AB$1000,$U$5:$U$1000,ROW(),$V$5:$V$1000,"Sub"),$AB18)))</f>
        <v/>
      </c>
      <c r="AG18" s="62">
        <f>IF($V18&lt;&gt;"Macro","",IF(COUNTIFS($S$5:$S$1000,$S18,$V$5:$V$1000,"Macro",$H$5:$H$1000,"&gt;0")=0,1/COUNTIFS($S$5:$S$1000,$S18,$V$5:$V$1000,"Macro"),IF(AND(ISNUMBER($H18),N($H18)&gt;0),$H18,SUMIFS($H$5:$H$1000,$S$5:$S$1000,$S18,$V$5:$V$1000,"Macro")/COUNTIFS($S$5:$S$1000,$S18,$V$5:$V$1000,"Macro",$H$5:$H$1000,"&gt;0"))/(COUNTIFS($S$5:$S$1000,$S18,$V$5:$V$1000,"Macro")*SUMIFS($H$5:$H$1000,$S$5:$S$1000,$S18,$V$5:$V$1000,"Macro")/COUNTIFS($S$5:$S$1000,$S18,$V$5:$V$1000,"Macro",$H$5:$H$1000,"&gt;0"))))</f>
        <v/>
      </c>
      <c r="AH18" s="62" t="n"/>
      <c r="AI18" s="62" t="n"/>
      <c r="AJ18" s="62" t="n"/>
      <c r="AK18" s="62" t="n"/>
      <c r="AL18" s="62">
        <f>IF(LEFT($C18,11)="[Jefatura] ",IFERROR(MATCH("Riesgo Normativo|"&amp;MID($C18,12,500),rDname_ADM,0),0),"")</f>
        <v/>
      </c>
      <c r="AM18" s="62">
        <f>IF(N($AL18)&gt;0,INDEX(rIni_ADM,$AL18),IF(ISNUMBER($E18),$E18,""))</f>
        <v/>
      </c>
      <c r="AN18" s="62">
        <f>IF(N($AL18)&gt;0,INDEX(rLim_ADM,$AL18),IF(ISNUMBER($F18),$F18,""))</f>
        <v/>
      </c>
    </row>
    <row r="19">
      <c r="A19" s="56">
        <f>IF(NOT((COUNTA($B19:$D19)+COUNTA($G19:$L19)+COUNTA($Q19))&gt;0),"",IF($V19="Macro",COUNTIFS($V$5:$V19,"Macro",$S$5:$S19,$S19),IF(N($U19)=0,"?",COUNTIFS(INDEX($V$5:$V$1000,1):INDEX($V$5:$V$1000,$U19-4),"Macro",INDEX($S$5:$S$1000,1):INDEX($S$5:$S$1000,$U19-4),INDEX($S$5:$S$1000,$U19-4))&amp;"."&amp;COUNTIFS($U$5:$U19,$U19,$V$5:$V19,"Sub"))))</f>
        <v/>
      </c>
      <c r="B19" s="57" t="n"/>
      <c r="C19" s="58" t="n"/>
      <c r="D19" s="58" t="n"/>
      <c r="E19" s="59">
        <f>IF(N($AL19)&gt;0,INDEX(rIni_ADM,$AL19),"")</f>
        <v/>
      </c>
      <c r="F19" s="59">
        <f>IF(N($AL19)&gt;0,INDEX(rLim_ADM,$AL19),"")</f>
        <v/>
      </c>
      <c r="G19" s="59" t="n"/>
      <c r="H19" s="60" t="n"/>
      <c r="I19" s="60" t="n"/>
      <c r="J19" s="60" t="n"/>
      <c r="K19" s="60" t="n"/>
      <c r="L19" s="60" t="n"/>
      <c r="M19" s="61">
        <f>IF(NOT((COUNTA($B19:$D19)+COUNTA($G19:$L19)+COUNTA($Q19))&gt;0),"",IF(ISNUMBER($G19),1,IF(N($W19)&gt;0,AVERAGEIFS($X$5:$X$1000,$U$5:$U$1000,ROW(),$V$5:$V$1000,"Sub"),$X19)))</f>
        <v/>
      </c>
      <c r="N19" s="56">
        <f>IF($M19="","",IF($M19&gt;=1,"Completado",IF($M19&gt;0,"En curso","Pendiente")))</f>
        <v/>
      </c>
      <c r="O19" s="56">
        <f>IF(NOT((COUNTA($B19:$D19)+COUNTA($G19:$L19)+COUNTA($Q19))&gt;0),"",IF(ISNUMBER($G19),IF(AND(ISNUMBER($AN19),$G19&gt;$AN19),"Cumplida con "&amp;($G19-$AN19)&amp;IF($G19-$AN19=1," día"," días")&amp;" de retraso","Cumplida"),IF(N($M19)&gt;=1,"Cumplida",IF(NOT(ISNUMBER($AN19)),"Sin fecha límite",IF($AN19&lt;FechaRef,"Vencida hace "&amp;(FechaRef-$AN19)&amp;IF(FechaRef-$AN19=1," día"," días"),IF($AN19=FechaRef,"Vence hoy",IF($AN19-FechaRef&lt;=DiasAlerta,"Vence en "&amp;($AN19-FechaRef)&amp;IF($AN19-FechaRef=1," día"," días"),"En plazo")))))))</f>
        <v/>
      </c>
      <c r="P19" s="62" t="n"/>
      <c r="Q19" s="58" t="n"/>
      <c r="R19" s="63">
        <f>IF(NOT((COUNTA($B19:$D19)+COUNTA($G19:$L19)+COUNTA($Q19))&gt;0),"",IF((IF($C19="","Falta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",""))="","✔ OK","⚠ "&amp;LEFT(IF($C19="","Falta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",""),LEN(IF($C19="","Falta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",""))-3)))</f>
        <v/>
      </c>
      <c r="S19" s="64">
        <f>IF(NOT((COUNTA($B19:$D19)+COUNTA($G19:$L19)+COUNTA($Q19))&gt;0),"",IF(AND($V19="Sub",N($U19)&gt;0),IF(ISNUMBER(INDEX($AM$5:$AM$1000,$U19-4)),DATE(YEAR(INDEX($AM$5:$AM$1000,$U19-4)),MONTH(INDEX($AM$5:$AM$1000,$U19-4)),1),IF(ISNUMBER(INDEX($AN$5:$AN$1000,$U19-4)),DATE(YEAR(INDEX($AN$5:$AN$1000,$U19-4)),MONTH(INDEX($AN$5:$AN$1000,$U19-4)),1),MesCiclo)),IF(ISNUMBER($AM19),DATE(YEAR($AM19),MONTH($AM19),1),IF(ISNUMBER($AN19),DATE(YEAR($AN19),MONTH($AN19),1),MesCiclo))))</f>
        <v/>
      </c>
      <c r="T19" s="62">
        <f>IF(OR($S19="",$S19&lt;&gt;MesCiclo),"",COUNTIF($S$5:$S19,MesCiclo))</f>
        <v/>
      </c>
      <c r="U19" s="62">
        <f>IF($V19="","",IF($V19="Macro",ROW(),IFERROR(LOOKUP(2,1/($V$5:$V19="Macro"),ROW($V$5:$V19)),0)))</f>
        <v/>
      </c>
      <c r="V19" s="62">
        <f>IF(NOT((COUNTA($B19:$D19)+COUNTA($G19:$L19)+COUNTA($Q19))&gt;0),"",IF($B19="Subactividad","Sub","Macro"))</f>
        <v/>
      </c>
      <c r="W19" s="62">
        <f>IF($V19="Macro",COUNTIFS($U$5:$U$1000,ROW(),$V$5:$V$1000,"Sub"),"")</f>
        <v/>
      </c>
      <c r="X19" s="62">
        <f>IF($V19="","",IF(ISNUMBER($G19),1,IFERROR(LOOKUP(2,1/($I19:$L19&lt;&gt;""),$I19:$L19),0)))</f>
        <v/>
      </c>
      <c r="Y19" s="62">
        <f>IF($V19="","",IF(AND(ISNUMBER($G19),$G19&lt;=IF($S19=MesCiclo,InicioCiclo,$S19+MOD(2-WEEKDAY($S19),7))+6),1,IF(ISNUMBER($I19),$I19,0)))</f>
        <v/>
      </c>
      <c r="Z19" s="62">
        <f>IF($V19="","",IF(AND(ISNUMBER($G19),$G19&lt;=IF($S19=MesCiclo,InicioCiclo,$S19+MOD(2-WEEKDAY($S19),7))+13),1,IF(ISNUMBER($J19),$J19,$Y19)))</f>
        <v/>
      </c>
      <c r="AA19" s="62">
        <f>IF($V19="","",IF(AND(ISNUMBER($G19),$G19&lt;=IF($S19=MesCiclo,InicioCiclo,$S19+MOD(2-WEEKDAY($S19),7))+20),1,IF(ISNUMBER($K19),$K19,$Z19)))</f>
        <v/>
      </c>
      <c r="AB19" s="62">
        <f>IF($V19="","",IF(AND(ISNUMBER($G19),$G19&lt;=IF($S19=MesCiclo,InicioCiclo,$S19+MOD(2-WEEKDAY($S19),7))+27),1,IF(ISNUMBER($L19),$L19,$AA19)))</f>
        <v/>
      </c>
      <c r="AC19" s="62">
        <f>IF($V19="","",IF(AND(ISNUMBER($G19),$G19&lt;=IF($S19=MesCiclo,InicioCiclo,$S19+MOD(2-WEEKDAY($S19),7))+6),1,IF(N($W19)&gt;0,AVERAGEIFS($Y$5:$Y$1000,$U$5:$U$1000,ROW(),$V$5:$V$1000,"Sub"),$Y19)))</f>
        <v/>
      </c>
      <c r="AD19" s="62">
        <f>IF($V19="","",IF(AND(ISNUMBER($G19),$G19&lt;=IF($S19=MesCiclo,InicioCiclo,$S19+MOD(2-WEEKDAY($S19),7))+13),1,IF(N($W19)&gt;0,AVERAGEIFS($Z$5:$Z$1000,$U$5:$U$1000,ROW(),$V$5:$V$1000,"Sub"),$Z19)))</f>
        <v/>
      </c>
      <c r="AE19" s="62">
        <f>IF($V19="","",IF(AND(ISNUMBER($G19),$G19&lt;=IF($S19=MesCiclo,InicioCiclo,$S19+MOD(2-WEEKDAY($S19),7))+20),1,IF(N($W19)&gt;0,AVERAGEIFS($AA$5:$AA$1000,$U$5:$U$1000,ROW(),$V$5:$V$1000,"Sub"),$AA19)))</f>
        <v/>
      </c>
      <c r="AF19" s="62">
        <f>IF($V19="","",IF(AND(ISNUMBER($G19),$G19&lt;=IF($S19=MesCiclo,InicioCiclo,$S19+MOD(2-WEEKDAY($S19),7))+27),1,IF(N($W19)&gt;0,AVERAGEIFS($AB$5:$AB$1000,$U$5:$U$1000,ROW(),$V$5:$V$1000,"Sub"),$AB19)))</f>
        <v/>
      </c>
      <c r="AG19" s="62">
        <f>IF($V19&lt;&gt;"Macro","",IF(COUNTIFS($S$5:$S$1000,$S19,$V$5:$V$1000,"Macro",$H$5:$H$1000,"&gt;0")=0,1/COUNTIFS($S$5:$S$1000,$S19,$V$5:$V$1000,"Macro"),IF(AND(ISNUMBER($H19),N($H19)&gt;0),$H19,SUMIFS($H$5:$H$1000,$S$5:$S$1000,$S19,$V$5:$V$1000,"Macro")/COUNTIFS($S$5:$S$1000,$S19,$V$5:$V$1000,"Macro",$H$5:$H$1000,"&gt;0"))/(COUNTIFS($S$5:$S$1000,$S19,$V$5:$V$1000,"Macro")*SUMIFS($H$5:$H$1000,$S$5:$S$1000,$S19,$V$5:$V$1000,"Macro")/COUNTIFS($S$5:$S$1000,$S19,$V$5:$V$1000,"Macro",$H$5:$H$1000,"&gt;0"))))</f>
        <v/>
      </c>
      <c r="AH19" s="62" t="n"/>
      <c r="AI19" s="62" t="n"/>
      <c r="AJ19" s="62" t="n"/>
      <c r="AK19" s="62" t="n"/>
      <c r="AL19" s="62">
        <f>IF(LEFT($C19,11)="[Jefatura] ",IFERROR(MATCH("Riesgo Normativo|"&amp;MID($C19,12,500),rDname_ADM,0),0),"")</f>
        <v/>
      </c>
      <c r="AM19" s="62">
        <f>IF(N($AL19)&gt;0,INDEX(rIni_ADM,$AL19),IF(ISNUMBER($E19),$E19,""))</f>
        <v/>
      </c>
      <c r="AN19" s="62">
        <f>IF(N($AL19)&gt;0,INDEX(rLim_ADM,$AL19),IF(ISNUMBER($F19),$F19,""))</f>
        <v/>
      </c>
    </row>
    <row r="20">
      <c r="A20" s="56">
        <f>IF(NOT((COUNTA($B20:$D20)+COUNTA($G20:$L20)+COUNTA($Q20))&gt;0),"",IF($V20="Macro",COUNTIFS($V$5:$V20,"Macro",$S$5:$S20,$S20),IF(N($U20)=0,"?",COUNTIFS(INDEX($V$5:$V$1000,1):INDEX($V$5:$V$1000,$U20-4),"Macro",INDEX($S$5:$S$1000,1):INDEX($S$5:$S$1000,$U20-4),INDEX($S$5:$S$1000,$U20-4))&amp;"."&amp;COUNTIFS($U$5:$U20,$U20,$V$5:$V20,"Sub"))))</f>
        <v/>
      </c>
      <c r="B20" s="57" t="n"/>
      <c r="C20" s="58" t="n"/>
      <c r="D20" s="58" t="n"/>
      <c r="E20" s="59">
        <f>IF(N($AL20)&gt;0,INDEX(rIni_ADM,$AL20),"")</f>
        <v/>
      </c>
      <c r="F20" s="59">
        <f>IF(N($AL20)&gt;0,INDEX(rLim_ADM,$AL20),"")</f>
        <v/>
      </c>
      <c r="G20" s="59" t="n"/>
      <c r="H20" s="60" t="n"/>
      <c r="I20" s="60" t="n"/>
      <c r="J20" s="60" t="n"/>
      <c r="K20" s="60" t="n"/>
      <c r="L20" s="60" t="n"/>
      <c r="M20" s="61">
        <f>IF(NOT((COUNTA($B20:$D20)+COUNTA($G20:$L20)+COUNTA($Q20))&gt;0),"",IF(ISNUMBER($G20),1,IF(N($W20)&gt;0,AVERAGEIFS($X$5:$X$1000,$U$5:$U$1000,ROW(),$V$5:$V$1000,"Sub"),$X20)))</f>
        <v/>
      </c>
      <c r="N20" s="56">
        <f>IF($M20="","",IF($M20&gt;=1,"Completado",IF($M20&gt;0,"En curso","Pendiente")))</f>
        <v/>
      </c>
      <c r="O20" s="56">
        <f>IF(NOT((COUNTA($B20:$D20)+COUNTA($G20:$L20)+COUNTA($Q20))&gt;0),"",IF(ISNUMBER($G20),IF(AND(ISNUMBER($AN20),$G20&gt;$AN20),"Cumplida con "&amp;($G20-$AN20)&amp;IF($G20-$AN20=1," día"," días")&amp;" de retraso","Cumplida"),IF(N($M20)&gt;=1,"Cumplida",IF(NOT(ISNUMBER($AN20)),"Sin fecha límite",IF($AN20&lt;FechaRef,"Vencida hace "&amp;(FechaRef-$AN20)&amp;IF(FechaRef-$AN20=1," día"," días"),IF($AN20=FechaRef,"Vence hoy",IF($AN20-FechaRef&lt;=DiasAlerta,"Vence en "&amp;($AN20-FechaRef)&amp;IF($AN20-FechaRef=1," día"," días"),"En plazo")))))))</f>
        <v/>
      </c>
      <c r="P20" s="62" t="n"/>
      <c r="Q20" s="58" t="n"/>
      <c r="R20" s="63">
        <f>IF(NOT((COUNTA($B20:$D20)+COUNTA($G20:$L20)+COUNTA($Q20))&gt;0),"",IF((IF($C20="","Falta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",""))="","✔ OK","⚠ "&amp;LEFT(IF($C20="","Falta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",""),LEN(IF($C20="","Falta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",""))-3)))</f>
        <v/>
      </c>
      <c r="S20" s="64">
        <f>IF(NOT((COUNTA($B20:$D20)+COUNTA($G20:$L20)+COUNTA($Q20))&gt;0),"",IF(AND($V20="Sub",N($U20)&gt;0),IF(ISNUMBER(INDEX($AM$5:$AM$1000,$U20-4)),DATE(YEAR(INDEX($AM$5:$AM$1000,$U20-4)),MONTH(INDEX($AM$5:$AM$1000,$U20-4)),1),IF(ISNUMBER(INDEX($AN$5:$AN$1000,$U20-4)),DATE(YEAR(INDEX($AN$5:$AN$1000,$U20-4)),MONTH(INDEX($AN$5:$AN$1000,$U20-4)),1),MesCiclo)),IF(ISNUMBER($AM20),DATE(YEAR($AM20),MONTH($AM20),1),IF(ISNUMBER($AN20),DATE(YEAR($AN20),MONTH($AN20),1),MesCiclo))))</f>
        <v/>
      </c>
      <c r="T20" s="62">
        <f>IF(OR($S20="",$S20&lt;&gt;MesCiclo),"",COUNTIF($S$5:$S20,MesCiclo))</f>
        <v/>
      </c>
      <c r="U20" s="62">
        <f>IF($V20="","",IF($V20="Macro",ROW(),IFERROR(LOOKUP(2,1/($V$5:$V20="Macro"),ROW($V$5:$V20)),0)))</f>
        <v/>
      </c>
      <c r="V20" s="62">
        <f>IF(NOT((COUNTA($B20:$D20)+COUNTA($G20:$L20)+COUNTA($Q20))&gt;0),"",IF($B20="Subactividad","Sub","Macro"))</f>
        <v/>
      </c>
      <c r="W20" s="62">
        <f>IF($V20="Macro",COUNTIFS($U$5:$U$1000,ROW(),$V$5:$V$1000,"Sub"),"")</f>
        <v/>
      </c>
      <c r="X20" s="62">
        <f>IF($V20="","",IF(ISNUMBER($G20),1,IFERROR(LOOKUP(2,1/($I20:$L20&lt;&gt;""),$I20:$L20),0)))</f>
        <v/>
      </c>
      <c r="Y20" s="62">
        <f>IF($V20="","",IF(AND(ISNUMBER($G20),$G20&lt;=IF($S20=MesCiclo,InicioCiclo,$S20+MOD(2-WEEKDAY($S20),7))+6),1,IF(ISNUMBER($I20),$I20,0)))</f>
        <v/>
      </c>
      <c r="Z20" s="62">
        <f>IF($V20="","",IF(AND(ISNUMBER($G20),$G20&lt;=IF($S20=MesCiclo,InicioCiclo,$S20+MOD(2-WEEKDAY($S20),7))+13),1,IF(ISNUMBER($J20),$J20,$Y20)))</f>
        <v/>
      </c>
      <c r="AA20" s="62">
        <f>IF($V20="","",IF(AND(ISNUMBER($G20),$G20&lt;=IF($S20=MesCiclo,InicioCiclo,$S20+MOD(2-WEEKDAY($S20),7))+20),1,IF(ISNUMBER($K20),$K20,$Z20)))</f>
        <v/>
      </c>
      <c r="AB20" s="62">
        <f>IF($V20="","",IF(AND(ISNUMBER($G20),$G20&lt;=IF($S20=MesCiclo,InicioCiclo,$S20+MOD(2-WEEKDAY($S20),7))+27),1,IF(ISNUMBER($L20),$L20,$AA20)))</f>
        <v/>
      </c>
      <c r="AC20" s="62">
        <f>IF($V20="","",IF(AND(ISNUMBER($G20),$G20&lt;=IF($S20=MesCiclo,InicioCiclo,$S20+MOD(2-WEEKDAY($S20),7))+6),1,IF(N($W20)&gt;0,AVERAGEIFS($Y$5:$Y$1000,$U$5:$U$1000,ROW(),$V$5:$V$1000,"Sub"),$Y20)))</f>
        <v/>
      </c>
      <c r="AD20" s="62">
        <f>IF($V20="","",IF(AND(ISNUMBER($G20),$G20&lt;=IF($S20=MesCiclo,InicioCiclo,$S20+MOD(2-WEEKDAY($S20),7))+13),1,IF(N($W20)&gt;0,AVERAGEIFS($Z$5:$Z$1000,$U$5:$U$1000,ROW(),$V$5:$V$1000,"Sub"),$Z20)))</f>
        <v/>
      </c>
      <c r="AE20" s="62">
        <f>IF($V20="","",IF(AND(ISNUMBER($G20),$G20&lt;=IF($S20=MesCiclo,InicioCiclo,$S20+MOD(2-WEEKDAY($S20),7))+20),1,IF(N($W20)&gt;0,AVERAGEIFS($AA$5:$AA$1000,$U$5:$U$1000,ROW(),$V$5:$V$1000,"Sub"),$AA20)))</f>
        <v/>
      </c>
      <c r="AF20" s="62">
        <f>IF($V20="","",IF(AND(ISNUMBER($G20),$G20&lt;=IF($S20=MesCiclo,InicioCiclo,$S20+MOD(2-WEEKDAY($S20),7))+27),1,IF(N($W20)&gt;0,AVERAGEIFS($AB$5:$AB$1000,$U$5:$U$1000,ROW(),$V$5:$V$1000,"Sub"),$AB20)))</f>
        <v/>
      </c>
      <c r="AG20" s="62">
        <f>IF($V20&lt;&gt;"Macro","",IF(COUNTIFS($S$5:$S$1000,$S20,$V$5:$V$1000,"Macro",$H$5:$H$1000,"&gt;0")=0,1/COUNTIFS($S$5:$S$1000,$S20,$V$5:$V$1000,"Macro"),IF(AND(ISNUMBER($H20),N($H20)&gt;0),$H20,SUMIFS($H$5:$H$1000,$S$5:$S$1000,$S20,$V$5:$V$1000,"Macro")/COUNTIFS($S$5:$S$1000,$S20,$V$5:$V$1000,"Macro",$H$5:$H$1000,"&gt;0"))/(COUNTIFS($S$5:$S$1000,$S20,$V$5:$V$1000,"Macro")*SUMIFS($H$5:$H$1000,$S$5:$S$1000,$S20,$V$5:$V$1000,"Macro")/COUNTIFS($S$5:$S$1000,$S20,$V$5:$V$1000,"Macro",$H$5:$H$1000,"&gt;0"))))</f>
        <v/>
      </c>
      <c r="AH20" s="62" t="n"/>
      <c r="AI20" s="62" t="n"/>
      <c r="AJ20" s="62" t="n"/>
      <c r="AK20" s="62" t="n"/>
      <c r="AL20" s="62">
        <f>IF(LEFT($C20,11)="[Jefatura] ",IFERROR(MATCH("Riesgo Normativo|"&amp;MID($C20,12,500),rDname_ADM,0),0),"")</f>
        <v/>
      </c>
      <c r="AM20" s="62">
        <f>IF(N($AL20)&gt;0,INDEX(rIni_ADM,$AL20),IF(ISNUMBER($E20),$E20,""))</f>
        <v/>
      </c>
      <c r="AN20" s="62">
        <f>IF(N($AL20)&gt;0,INDEX(rLim_ADM,$AL20),IF(ISNUMBER($F20),$F20,""))</f>
        <v/>
      </c>
    </row>
    <row r="21">
      <c r="A21" s="56">
        <f>IF(NOT((COUNTA($B21:$D21)+COUNTA($G21:$L21)+COUNTA($Q21))&gt;0),"",IF($V21="Macro",COUNTIFS($V$5:$V21,"Macro",$S$5:$S21,$S21),IF(N($U21)=0,"?",COUNTIFS(INDEX($V$5:$V$1000,1):INDEX($V$5:$V$1000,$U21-4),"Macro",INDEX($S$5:$S$1000,1):INDEX($S$5:$S$1000,$U21-4),INDEX($S$5:$S$1000,$U21-4))&amp;"."&amp;COUNTIFS($U$5:$U21,$U21,$V$5:$V21,"Sub"))))</f>
        <v/>
      </c>
      <c r="B21" s="57" t="n"/>
      <c r="C21" s="58" t="n"/>
      <c r="D21" s="58" t="n"/>
      <c r="E21" s="59">
        <f>IF(N($AL21)&gt;0,INDEX(rIni_ADM,$AL21),"")</f>
        <v/>
      </c>
      <c r="F21" s="59">
        <f>IF(N($AL21)&gt;0,INDEX(rLim_ADM,$AL21),"")</f>
        <v/>
      </c>
      <c r="G21" s="59" t="n"/>
      <c r="H21" s="60" t="n"/>
      <c r="I21" s="60" t="n"/>
      <c r="J21" s="60" t="n"/>
      <c r="K21" s="60" t="n"/>
      <c r="L21" s="60" t="n"/>
      <c r="M21" s="61">
        <f>IF(NOT((COUNTA($B21:$D21)+COUNTA($G21:$L21)+COUNTA($Q21))&gt;0),"",IF(ISNUMBER($G21),1,IF(N($W21)&gt;0,AVERAGEIFS($X$5:$X$1000,$U$5:$U$1000,ROW(),$V$5:$V$1000,"Sub"),$X21)))</f>
        <v/>
      </c>
      <c r="N21" s="56">
        <f>IF($M21="","",IF($M21&gt;=1,"Completado",IF($M21&gt;0,"En curso","Pendiente")))</f>
        <v/>
      </c>
      <c r="O21" s="56">
        <f>IF(NOT((COUNTA($B21:$D21)+COUNTA($G21:$L21)+COUNTA($Q21))&gt;0),"",IF(ISNUMBER($G21),IF(AND(ISNUMBER($AN21),$G21&gt;$AN21),"Cumplida con "&amp;($G21-$AN21)&amp;IF($G21-$AN21=1," día"," días")&amp;" de retraso","Cumplida"),IF(N($M21)&gt;=1,"Cumplida",IF(NOT(ISNUMBER($AN21)),"Sin fecha límite",IF($AN21&lt;FechaRef,"Vencida hace "&amp;(FechaRef-$AN21)&amp;IF(FechaRef-$AN21=1," día"," días"),IF($AN21=FechaRef,"Vence hoy",IF($AN21-FechaRef&lt;=DiasAlerta,"Vence en "&amp;($AN21-FechaRef)&amp;IF($AN21-FechaRef=1," día"," días"),"En plazo")))))))</f>
        <v/>
      </c>
      <c r="P21" s="62" t="n"/>
      <c r="Q21" s="58" t="n"/>
      <c r="R21" s="63">
        <f>IF(NOT((COUNTA($B21:$D21)+COUNTA($G21:$L21)+COUNTA($Q21))&gt;0),"",IF((IF($C21="","Falta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",""))="","✔ OK","⚠ "&amp;LEFT(IF($C21="","Falta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",""),LEN(IF($C21="","Falta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",""))-3)))</f>
        <v/>
      </c>
      <c r="S21" s="64">
        <f>IF(NOT((COUNTA($B21:$D21)+COUNTA($G21:$L21)+COUNTA($Q21))&gt;0),"",IF(AND($V21="Sub",N($U21)&gt;0),IF(ISNUMBER(INDEX($AM$5:$AM$1000,$U21-4)),DATE(YEAR(INDEX($AM$5:$AM$1000,$U21-4)),MONTH(INDEX($AM$5:$AM$1000,$U21-4)),1),IF(ISNUMBER(INDEX($AN$5:$AN$1000,$U21-4)),DATE(YEAR(INDEX($AN$5:$AN$1000,$U21-4)),MONTH(INDEX($AN$5:$AN$1000,$U21-4)),1),MesCiclo)),IF(ISNUMBER($AM21),DATE(YEAR($AM21),MONTH($AM21),1),IF(ISNUMBER($AN21),DATE(YEAR($AN21),MONTH($AN21),1),MesCiclo))))</f>
        <v/>
      </c>
      <c r="T21" s="62">
        <f>IF(OR($S21="",$S21&lt;&gt;MesCiclo),"",COUNTIF($S$5:$S21,MesCiclo))</f>
        <v/>
      </c>
      <c r="U21" s="62">
        <f>IF($V21="","",IF($V21="Macro",ROW(),IFERROR(LOOKUP(2,1/($V$5:$V21="Macro"),ROW($V$5:$V21)),0)))</f>
        <v/>
      </c>
      <c r="V21" s="62">
        <f>IF(NOT((COUNTA($B21:$D21)+COUNTA($G21:$L21)+COUNTA($Q21))&gt;0),"",IF($B21="Subactividad","Sub","Macro"))</f>
        <v/>
      </c>
      <c r="W21" s="62">
        <f>IF($V21="Macro",COUNTIFS($U$5:$U$1000,ROW(),$V$5:$V$1000,"Sub"),"")</f>
        <v/>
      </c>
      <c r="X21" s="62">
        <f>IF($V21="","",IF(ISNUMBER($G21),1,IFERROR(LOOKUP(2,1/($I21:$L21&lt;&gt;""),$I21:$L21),0)))</f>
        <v/>
      </c>
      <c r="Y21" s="62">
        <f>IF($V21="","",IF(AND(ISNUMBER($G21),$G21&lt;=IF($S21=MesCiclo,InicioCiclo,$S21+MOD(2-WEEKDAY($S21),7))+6),1,IF(ISNUMBER($I21),$I21,0)))</f>
        <v/>
      </c>
      <c r="Z21" s="62">
        <f>IF($V21="","",IF(AND(ISNUMBER($G21),$G21&lt;=IF($S21=MesCiclo,InicioCiclo,$S21+MOD(2-WEEKDAY($S21),7))+13),1,IF(ISNUMBER($J21),$J21,$Y21)))</f>
        <v/>
      </c>
      <c r="AA21" s="62">
        <f>IF($V21="","",IF(AND(ISNUMBER($G21),$G21&lt;=IF($S21=MesCiclo,InicioCiclo,$S21+MOD(2-WEEKDAY($S21),7))+20),1,IF(ISNUMBER($K21),$K21,$Z21)))</f>
        <v/>
      </c>
      <c r="AB21" s="62">
        <f>IF($V21="","",IF(AND(ISNUMBER($G21),$G21&lt;=IF($S21=MesCiclo,InicioCiclo,$S21+MOD(2-WEEKDAY($S21),7))+27),1,IF(ISNUMBER($L21),$L21,$AA21)))</f>
        <v/>
      </c>
      <c r="AC21" s="62">
        <f>IF($V21="","",IF(AND(ISNUMBER($G21),$G21&lt;=IF($S21=MesCiclo,InicioCiclo,$S21+MOD(2-WEEKDAY($S21),7))+6),1,IF(N($W21)&gt;0,AVERAGEIFS($Y$5:$Y$1000,$U$5:$U$1000,ROW(),$V$5:$V$1000,"Sub"),$Y21)))</f>
        <v/>
      </c>
      <c r="AD21" s="62">
        <f>IF($V21="","",IF(AND(ISNUMBER($G21),$G21&lt;=IF($S21=MesCiclo,InicioCiclo,$S21+MOD(2-WEEKDAY($S21),7))+13),1,IF(N($W21)&gt;0,AVERAGEIFS($Z$5:$Z$1000,$U$5:$U$1000,ROW(),$V$5:$V$1000,"Sub"),$Z21)))</f>
        <v/>
      </c>
      <c r="AE21" s="62">
        <f>IF($V21="","",IF(AND(ISNUMBER($G21),$G21&lt;=IF($S21=MesCiclo,InicioCiclo,$S21+MOD(2-WEEKDAY($S21),7))+20),1,IF(N($W21)&gt;0,AVERAGEIFS($AA$5:$AA$1000,$U$5:$U$1000,ROW(),$V$5:$V$1000,"Sub"),$AA21)))</f>
        <v/>
      </c>
      <c r="AF21" s="62">
        <f>IF($V21="","",IF(AND(ISNUMBER($G21),$G21&lt;=IF($S21=MesCiclo,InicioCiclo,$S21+MOD(2-WEEKDAY($S21),7))+27),1,IF(N($W21)&gt;0,AVERAGEIFS($AB$5:$AB$1000,$U$5:$U$1000,ROW(),$V$5:$V$1000,"Sub"),$AB21)))</f>
        <v/>
      </c>
      <c r="AG21" s="62">
        <f>IF($V21&lt;&gt;"Macro","",IF(COUNTIFS($S$5:$S$1000,$S21,$V$5:$V$1000,"Macro",$H$5:$H$1000,"&gt;0")=0,1/COUNTIFS($S$5:$S$1000,$S21,$V$5:$V$1000,"Macro"),IF(AND(ISNUMBER($H21),N($H21)&gt;0),$H21,SUMIFS($H$5:$H$1000,$S$5:$S$1000,$S21,$V$5:$V$1000,"Macro")/COUNTIFS($S$5:$S$1000,$S21,$V$5:$V$1000,"Macro",$H$5:$H$1000,"&gt;0"))/(COUNTIFS($S$5:$S$1000,$S21,$V$5:$V$1000,"Macro")*SUMIFS($H$5:$H$1000,$S$5:$S$1000,$S21,$V$5:$V$1000,"Macro")/COUNTIFS($S$5:$S$1000,$S21,$V$5:$V$1000,"Macro",$H$5:$H$1000,"&gt;0"))))</f>
        <v/>
      </c>
      <c r="AH21" s="62" t="n"/>
      <c r="AI21" s="62" t="n"/>
      <c r="AJ21" s="62" t="n"/>
      <c r="AK21" s="62" t="n"/>
      <c r="AL21" s="62">
        <f>IF(LEFT($C21,11)="[Jefatura] ",IFERROR(MATCH("Riesgo Normativo|"&amp;MID($C21,12,500),rDname_ADM,0),0),"")</f>
        <v/>
      </c>
      <c r="AM21" s="62">
        <f>IF(N($AL21)&gt;0,INDEX(rIni_ADM,$AL21),IF(ISNUMBER($E21),$E21,""))</f>
        <v/>
      </c>
      <c r="AN21" s="62">
        <f>IF(N($AL21)&gt;0,INDEX(rLim_ADM,$AL21),IF(ISNUMBER($F21),$F21,""))</f>
        <v/>
      </c>
    </row>
    <row r="22">
      <c r="A22" s="56">
        <f>IF(NOT((COUNTA($B22:$D22)+COUNTA($G22:$L22)+COUNTA($Q22))&gt;0),"",IF($V22="Macro",COUNTIFS($V$5:$V22,"Macro",$S$5:$S22,$S22),IF(N($U22)=0,"?",COUNTIFS(INDEX($V$5:$V$1000,1):INDEX($V$5:$V$1000,$U22-4),"Macro",INDEX($S$5:$S$1000,1):INDEX($S$5:$S$1000,$U22-4),INDEX($S$5:$S$1000,$U22-4))&amp;"."&amp;COUNTIFS($U$5:$U22,$U22,$V$5:$V22,"Sub"))))</f>
        <v/>
      </c>
      <c r="B22" s="57" t="n"/>
      <c r="C22" s="58" t="n"/>
      <c r="D22" s="58" t="n"/>
      <c r="E22" s="59">
        <f>IF(N($AL22)&gt;0,INDEX(rIni_ADM,$AL22),"")</f>
        <v/>
      </c>
      <c r="F22" s="59">
        <f>IF(N($AL22)&gt;0,INDEX(rLim_ADM,$AL22),"")</f>
        <v/>
      </c>
      <c r="G22" s="59" t="n"/>
      <c r="H22" s="60" t="n"/>
      <c r="I22" s="60" t="n"/>
      <c r="J22" s="60" t="n"/>
      <c r="K22" s="60" t="n"/>
      <c r="L22" s="60" t="n"/>
      <c r="M22" s="61">
        <f>IF(NOT((COUNTA($B22:$D22)+COUNTA($G22:$L22)+COUNTA($Q22))&gt;0),"",IF(ISNUMBER($G22),1,IF(N($W22)&gt;0,AVERAGEIFS($X$5:$X$1000,$U$5:$U$1000,ROW(),$V$5:$V$1000,"Sub"),$X22)))</f>
        <v/>
      </c>
      <c r="N22" s="56">
        <f>IF($M22="","",IF($M22&gt;=1,"Completado",IF($M22&gt;0,"En curso","Pendiente")))</f>
        <v/>
      </c>
      <c r="O22" s="56">
        <f>IF(NOT((COUNTA($B22:$D22)+COUNTA($G22:$L22)+COUNTA($Q22))&gt;0),"",IF(ISNUMBER($G22),IF(AND(ISNUMBER($AN22),$G22&gt;$AN22),"Cumplida con "&amp;($G22-$AN22)&amp;IF($G22-$AN22=1," día"," días")&amp;" de retraso","Cumplida"),IF(N($M22)&gt;=1,"Cumplida",IF(NOT(ISNUMBER($AN22)),"Sin fecha límite",IF($AN22&lt;FechaRef,"Vencida hace "&amp;(FechaRef-$AN22)&amp;IF(FechaRef-$AN22=1," día"," días"),IF($AN22=FechaRef,"Vence hoy",IF($AN22-FechaRef&lt;=DiasAlerta,"Vence en "&amp;($AN22-FechaRef)&amp;IF($AN22-FechaRef=1," día"," días"),"En plazo")))))))</f>
        <v/>
      </c>
      <c r="P22" s="62" t="n"/>
      <c r="Q22" s="58" t="n"/>
      <c r="R22" s="63">
        <f>IF(NOT((COUNTA($B22:$D22)+COUNTA($G22:$L22)+COUNTA($Q22))&gt;0),"",IF((IF($C22="","Falta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",""))="","✔ OK","⚠ "&amp;LEFT(IF($C22="","Falta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",""),LEN(IF($C22="","Falta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",""))-3)))</f>
        <v/>
      </c>
      <c r="S22" s="64">
        <f>IF(NOT((COUNTA($B22:$D22)+COUNTA($G22:$L22)+COUNTA($Q22))&gt;0),"",IF(AND($V22="Sub",N($U22)&gt;0),IF(ISNUMBER(INDEX($AM$5:$AM$1000,$U22-4)),DATE(YEAR(INDEX($AM$5:$AM$1000,$U22-4)),MONTH(INDEX($AM$5:$AM$1000,$U22-4)),1),IF(ISNUMBER(INDEX($AN$5:$AN$1000,$U22-4)),DATE(YEAR(INDEX($AN$5:$AN$1000,$U22-4)),MONTH(INDEX($AN$5:$AN$1000,$U22-4)),1),MesCiclo)),IF(ISNUMBER($AM22),DATE(YEAR($AM22),MONTH($AM22),1),IF(ISNUMBER($AN22),DATE(YEAR($AN22),MONTH($AN22),1),MesCiclo))))</f>
        <v/>
      </c>
      <c r="T22" s="62">
        <f>IF(OR($S22="",$S22&lt;&gt;MesCiclo),"",COUNTIF($S$5:$S22,MesCiclo))</f>
        <v/>
      </c>
      <c r="U22" s="62">
        <f>IF($V22="","",IF($V22="Macro",ROW(),IFERROR(LOOKUP(2,1/($V$5:$V22="Macro"),ROW($V$5:$V22)),0)))</f>
        <v/>
      </c>
      <c r="V22" s="62">
        <f>IF(NOT((COUNTA($B22:$D22)+COUNTA($G22:$L22)+COUNTA($Q22))&gt;0),"",IF($B22="Subactividad","Sub","Macro"))</f>
        <v/>
      </c>
      <c r="W22" s="62">
        <f>IF($V22="Macro",COUNTIFS($U$5:$U$1000,ROW(),$V$5:$V$1000,"Sub"),"")</f>
        <v/>
      </c>
      <c r="X22" s="62">
        <f>IF($V22="","",IF(ISNUMBER($G22),1,IFERROR(LOOKUP(2,1/($I22:$L22&lt;&gt;""),$I22:$L22),0)))</f>
        <v/>
      </c>
      <c r="Y22" s="62">
        <f>IF($V22="","",IF(AND(ISNUMBER($G22),$G22&lt;=IF($S22=MesCiclo,InicioCiclo,$S22+MOD(2-WEEKDAY($S22),7))+6),1,IF(ISNUMBER($I22),$I22,0)))</f>
        <v/>
      </c>
      <c r="Z22" s="62">
        <f>IF($V22="","",IF(AND(ISNUMBER($G22),$G22&lt;=IF($S22=MesCiclo,InicioCiclo,$S22+MOD(2-WEEKDAY($S22),7))+13),1,IF(ISNUMBER($J22),$J22,$Y22)))</f>
        <v/>
      </c>
      <c r="AA22" s="62">
        <f>IF($V22="","",IF(AND(ISNUMBER($G22),$G22&lt;=IF($S22=MesCiclo,InicioCiclo,$S22+MOD(2-WEEKDAY($S22),7))+20),1,IF(ISNUMBER($K22),$K22,$Z22)))</f>
        <v/>
      </c>
      <c r="AB22" s="62">
        <f>IF($V22="","",IF(AND(ISNUMBER($G22),$G22&lt;=IF($S22=MesCiclo,InicioCiclo,$S22+MOD(2-WEEKDAY($S22),7))+27),1,IF(ISNUMBER($L22),$L22,$AA22)))</f>
        <v/>
      </c>
      <c r="AC22" s="62">
        <f>IF($V22="","",IF(AND(ISNUMBER($G22),$G22&lt;=IF($S22=MesCiclo,InicioCiclo,$S22+MOD(2-WEEKDAY($S22),7))+6),1,IF(N($W22)&gt;0,AVERAGEIFS($Y$5:$Y$1000,$U$5:$U$1000,ROW(),$V$5:$V$1000,"Sub"),$Y22)))</f>
        <v/>
      </c>
      <c r="AD22" s="62">
        <f>IF($V22="","",IF(AND(ISNUMBER($G22),$G22&lt;=IF($S22=MesCiclo,InicioCiclo,$S22+MOD(2-WEEKDAY($S22),7))+13),1,IF(N($W22)&gt;0,AVERAGEIFS($Z$5:$Z$1000,$U$5:$U$1000,ROW(),$V$5:$V$1000,"Sub"),$Z22)))</f>
        <v/>
      </c>
      <c r="AE22" s="62">
        <f>IF($V22="","",IF(AND(ISNUMBER($G22),$G22&lt;=IF($S22=MesCiclo,InicioCiclo,$S22+MOD(2-WEEKDAY($S22),7))+20),1,IF(N($W22)&gt;0,AVERAGEIFS($AA$5:$AA$1000,$U$5:$U$1000,ROW(),$V$5:$V$1000,"Sub"),$AA22)))</f>
        <v/>
      </c>
      <c r="AF22" s="62">
        <f>IF($V22="","",IF(AND(ISNUMBER($G22),$G22&lt;=IF($S22=MesCiclo,InicioCiclo,$S22+MOD(2-WEEKDAY($S22),7))+27),1,IF(N($W22)&gt;0,AVERAGEIFS($AB$5:$AB$1000,$U$5:$U$1000,ROW(),$V$5:$V$1000,"Sub"),$AB22)))</f>
        <v/>
      </c>
      <c r="AG22" s="62">
        <f>IF($V22&lt;&gt;"Macro","",IF(COUNTIFS($S$5:$S$1000,$S22,$V$5:$V$1000,"Macro",$H$5:$H$1000,"&gt;0")=0,1/COUNTIFS($S$5:$S$1000,$S22,$V$5:$V$1000,"Macro"),IF(AND(ISNUMBER($H22),N($H22)&gt;0),$H22,SUMIFS($H$5:$H$1000,$S$5:$S$1000,$S22,$V$5:$V$1000,"Macro")/COUNTIFS($S$5:$S$1000,$S22,$V$5:$V$1000,"Macro",$H$5:$H$1000,"&gt;0"))/(COUNTIFS($S$5:$S$1000,$S22,$V$5:$V$1000,"Macro")*SUMIFS($H$5:$H$1000,$S$5:$S$1000,$S22,$V$5:$V$1000,"Macro")/COUNTIFS($S$5:$S$1000,$S22,$V$5:$V$1000,"Macro",$H$5:$H$1000,"&gt;0"))))</f>
        <v/>
      </c>
      <c r="AH22" s="62" t="n"/>
      <c r="AI22" s="62" t="n"/>
      <c r="AJ22" s="62" t="n"/>
      <c r="AK22" s="62" t="n"/>
      <c r="AL22" s="62">
        <f>IF(LEFT($C22,11)="[Jefatura] ",IFERROR(MATCH("Riesgo Normativo|"&amp;MID($C22,12,500),rDname_ADM,0),0),"")</f>
        <v/>
      </c>
      <c r="AM22" s="62">
        <f>IF(N($AL22)&gt;0,INDEX(rIni_ADM,$AL22),IF(ISNUMBER($E22),$E22,""))</f>
        <v/>
      </c>
      <c r="AN22" s="62">
        <f>IF(N($AL22)&gt;0,INDEX(rLim_ADM,$AL22),IF(ISNUMBER($F22),$F22,""))</f>
        <v/>
      </c>
    </row>
    <row r="23">
      <c r="A23" s="56">
        <f>IF(NOT((COUNTA($B23:$D23)+COUNTA($G23:$L23)+COUNTA($Q23))&gt;0),"",IF($V23="Macro",COUNTIFS($V$5:$V23,"Macro",$S$5:$S23,$S23),IF(N($U23)=0,"?",COUNTIFS(INDEX($V$5:$V$1000,1):INDEX($V$5:$V$1000,$U23-4),"Macro",INDEX($S$5:$S$1000,1):INDEX($S$5:$S$1000,$U23-4),INDEX($S$5:$S$1000,$U23-4))&amp;"."&amp;COUNTIFS($U$5:$U23,$U23,$V$5:$V23,"Sub"))))</f>
        <v/>
      </c>
      <c r="B23" s="57" t="n"/>
      <c r="C23" s="58" t="n"/>
      <c r="D23" s="58" t="n"/>
      <c r="E23" s="59">
        <f>IF(N($AL23)&gt;0,INDEX(rIni_ADM,$AL23),"")</f>
        <v/>
      </c>
      <c r="F23" s="59">
        <f>IF(N($AL23)&gt;0,INDEX(rLim_ADM,$AL23),"")</f>
        <v/>
      </c>
      <c r="G23" s="59" t="n"/>
      <c r="H23" s="60" t="n"/>
      <c r="I23" s="60" t="n"/>
      <c r="J23" s="60" t="n"/>
      <c r="K23" s="60" t="n"/>
      <c r="L23" s="60" t="n"/>
      <c r="M23" s="61">
        <f>IF(NOT((COUNTA($B23:$D23)+COUNTA($G23:$L23)+COUNTA($Q23))&gt;0),"",IF(ISNUMBER($G23),1,IF(N($W23)&gt;0,AVERAGEIFS($X$5:$X$1000,$U$5:$U$1000,ROW(),$V$5:$V$1000,"Sub"),$X23)))</f>
        <v/>
      </c>
      <c r="N23" s="56">
        <f>IF($M23="","",IF($M23&gt;=1,"Completado",IF($M23&gt;0,"En curso","Pendiente")))</f>
        <v/>
      </c>
      <c r="O23" s="56">
        <f>IF(NOT((COUNTA($B23:$D23)+COUNTA($G23:$L23)+COUNTA($Q23))&gt;0),"",IF(ISNUMBER($G23),IF(AND(ISNUMBER($AN23),$G23&gt;$AN23),"Cumplida con "&amp;($G23-$AN23)&amp;IF($G23-$AN23=1," día"," días")&amp;" de retraso","Cumplida"),IF(N($M23)&gt;=1,"Cumplida",IF(NOT(ISNUMBER($AN23)),"Sin fecha límite",IF($AN23&lt;FechaRef,"Vencida hace "&amp;(FechaRef-$AN23)&amp;IF(FechaRef-$AN23=1," día"," días"),IF($AN23=FechaRef,"Vence hoy",IF($AN23-FechaRef&lt;=DiasAlerta,"Vence en "&amp;($AN23-FechaRef)&amp;IF($AN23-FechaRef=1," día"," días"),"En plazo")))))))</f>
        <v/>
      </c>
      <c r="P23" s="62" t="n"/>
      <c r="Q23" s="58" t="n"/>
      <c r="R23" s="63">
        <f>IF(NOT((COUNTA($B23:$D23)+COUNTA($G23:$L23)+COUNTA($Q23))&gt;0),"",IF((IF($C23="","Falta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",""))="","✔ OK","⚠ "&amp;LEFT(IF($C23="","Falta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",""),LEN(IF($C23="","Falta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",""))-3)))</f>
        <v/>
      </c>
      <c r="S23" s="64">
        <f>IF(NOT((COUNTA($B23:$D23)+COUNTA($G23:$L23)+COUNTA($Q23))&gt;0),"",IF(AND($V23="Sub",N($U23)&gt;0),IF(ISNUMBER(INDEX($AM$5:$AM$1000,$U23-4)),DATE(YEAR(INDEX($AM$5:$AM$1000,$U23-4)),MONTH(INDEX($AM$5:$AM$1000,$U23-4)),1),IF(ISNUMBER(INDEX($AN$5:$AN$1000,$U23-4)),DATE(YEAR(INDEX($AN$5:$AN$1000,$U23-4)),MONTH(INDEX($AN$5:$AN$1000,$U23-4)),1),MesCiclo)),IF(ISNUMBER($AM23),DATE(YEAR($AM23),MONTH($AM23),1),IF(ISNUMBER($AN23),DATE(YEAR($AN23),MONTH($AN23),1),MesCiclo))))</f>
        <v/>
      </c>
      <c r="T23" s="62">
        <f>IF(OR($S23="",$S23&lt;&gt;MesCiclo),"",COUNTIF($S$5:$S23,MesCiclo))</f>
        <v/>
      </c>
      <c r="U23" s="62">
        <f>IF($V23="","",IF($V23="Macro",ROW(),IFERROR(LOOKUP(2,1/($V$5:$V23="Macro"),ROW($V$5:$V23)),0)))</f>
        <v/>
      </c>
      <c r="V23" s="62">
        <f>IF(NOT((COUNTA($B23:$D23)+COUNTA($G23:$L23)+COUNTA($Q23))&gt;0),"",IF($B23="Subactividad","Sub","Macro"))</f>
        <v/>
      </c>
      <c r="W23" s="62">
        <f>IF($V23="Macro",COUNTIFS($U$5:$U$1000,ROW(),$V$5:$V$1000,"Sub"),"")</f>
        <v/>
      </c>
      <c r="X23" s="62">
        <f>IF($V23="","",IF(ISNUMBER($G23),1,IFERROR(LOOKUP(2,1/($I23:$L23&lt;&gt;""),$I23:$L23),0)))</f>
        <v/>
      </c>
      <c r="Y23" s="62">
        <f>IF($V23="","",IF(AND(ISNUMBER($G23),$G23&lt;=IF($S23=MesCiclo,InicioCiclo,$S23+MOD(2-WEEKDAY($S23),7))+6),1,IF(ISNUMBER($I23),$I23,0)))</f>
        <v/>
      </c>
      <c r="Z23" s="62">
        <f>IF($V23="","",IF(AND(ISNUMBER($G23),$G23&lt;=IF($S23=MesCiclo,InicioCiclo,$S23+MOD(2-WEEKDAY($S23),7))+13),1,IF(ISNUMBER($J23),$J23,$Y23)))</f>
        <v/>
      </c>
      <c r="AA23" s="62">
        <f>IF($V23="","",IF(AND(ISNUMBER($G23),$G23&lt;=IF($S23=MesCiclo,InicioCiclo,$S23+MOD(2-WEEKDAY($S23),7))+20),1,IF(ISNUMBER($K23),$K23,$Z23)))</f>
        <v/>
      </c>
      <c r="AB23" s="62">
        <f>IF($V23="","",IF(AND(ISNUMBER($G23),$G23&lt;=IF($S23=MesCiclo,InicioCiclo,$S23+MOD(2-WEEKDAY($S23),7))+27),1,IF(ISNUMBER($L23),$L23,$AA23)))</f>
        <v/>
      </c>
      <c r="AC23" s="62">
        <f>IF($V23="","",IF(AND(ISNUMBER($G23),$G23&lt;=IF($S23=MesCiclo,InicioCiclo,$S23+MOD(2-WEEKDAY($S23),7))+6),1,IF(N($W23)&gt;0,AVERAGEIFS($Y$5:$Y$1000,$U$5:$U$1000,ROW(),$V$5:$V$1000,"Sub"),$Y23)))</f>
        <v/>
      </c>
      <c r="AD23" s="62">
        <f>IF($V23="","",IF(AND(ISNUMBER($G23),$G23&lt;=IF($S23=MesCiclo,InicioCiclo,$S23+MOD(2-WEEKDAY($S23),7))+13),1,IF(N($W23)&gt;0,AVERAGEIFS($Z$5:$Z$1000,$U$5:$U$1000,ROW(),$V$5:$V$1000,"Sub"),$Z23)))</f>
        <v/>
      </c>
      <c r="AE23" s="62">
        <f>IF($V23="","",IF(AND(ISNUMBER($G23),$G23&lt;=IF($S23=MesCiclo,InicioCiclo,$S23+MOD(2-WEEKDAY($S23),7))+20),1,IF(N($W23)&gt;0,AVERAGEIFS($AA$5:$AA$1000,$U$5:$U$1000,ROW(),$V$5:$V$1000,"Sub"),$AA23)))</f>
        <v/>
      </c>
      <c r="AF23" s="62">
        <f>IF($V23="","",IF(AND(ISNUMBER($G23),$G23&lt;=IF($S23=MesCiclo,InicioCiclo,$S23+MOD(2-WEEKDAY($S23),7))+27),1,IF(N($W23)&gt;0,AVERAGEIFS($AB$5:$AB$1000,$U$5:$U$1000,ROW(),$V$5:$V$1000,"Sub"),$AB23)))</f>
        <v/>
      </c>
      <c r="AG23" s="62">
        <f>IF($V23&lt;&gt;"Macro","",IF(COUNTIFS($S$5:$S$1000,$S23,$V$5:$V$1000,"Macro",$H$5:$H$1000,"&gt;0")=0,1/COUNTIFS($S$5:$S$1000,$S23,$V$5:$V$1000,"Macro"),IF(AND(ISNUMBER($H23),N($H23)&gt;0),$H23,SUMIFS($H$5:$H$1000,$S$5:$S$1000,$S23,$V$5:$V$1000,"Macro")/COUNTIFS($S$5:$S$1000,$S23,$V$5:$V$1000,"Macro",$H$5:$H$1000,"&gt;0"))/(COUNTIFS($S$5:$S$1000,$S23,$V$5:$V$1000,"Macro")*SUMIFS($H$5:$H$1000,$S$5:$S$1000,$S23,$V$5:$V$1000,"Macro")/COUNTIFS($S$5:$S$1000,$S23,$V$5:$V$1000,"Macro",$H$5:$H$1000,"&gt;0"))))</f>
        <v/>
      </c>
      <c r="AH23" s="62" t="n"/>
      <c r="AI23" s="62" t="n"/>
      <c r="AJ23" s="62" t="n"/>
      <c r="AK23" s="62" t="n"/>
      <c r="AL23" s="62">
        <f>IF(LEFT($C23,11)="[Jefatura] ",IFERROR(MATCH("Riesgo Normativo|"&amp;MID($C23,12,500),rDname_ADM,0),0),"")</f>
        <v/>
      </c>
      <c r="AM23" s="62">
        <f>IF(N($AL23)&gt;0,INDEX(rIni_ADM,$AL23),IF(ISNUMBER($E23),$E23,""))</f>
        <v/>
      </c>
      <c r="AN23" s="62">
        <f>IF(N($AL23)&gt;0,INDEX(rLim_ADM,$AL23),IF(ISNUMBER($F23),$F23,""))</f>
        <v/>
      </c>
    </row>
    <row r="24">
      <c r="A24" s="56">
        <f>IF(NOT((COUNTA($B24:$D24)+COUNTA($G24:$L24)+COUNTA($Q24))&gt;0),"",IF($V24="Macro",COUNTIFS($V$5:$V24,"Macro",$S$5:$S24,$S24),IF(N($U24)=0,"?",COUNTIFS(INDEX($V$5:$V$1000,1):INDEX($V$5:$V$1000,$U24-4),"Macro",INDEX($S$5:$S$1000,1):INDEX($S$5:$S$1000,$U24-4),INDEX($S$5:$S$1000,$U24-4))&amp;"."&amp;COUNTIFS($U$5:$U24,$U24,$V$5:$V24,"Sub"))))</f>
        <v/>
      </c>
      <c r="B24" s="57" t="n"/>
      <c r="C24" s="58" t="n"/>
      <c r="D24" s="58" t="n"/>
      <c r="E24" s="59">
        <f>IF(N($AL24)&gt;0,INDEX(rIni_ADM,$AL24),"")</f>
        <v/>
      </c>
      <c r="F24" s="59">
        <f>IF(N($AL24)&gt;0,INDEX(rLim_ADM,$AL24),"")</f>
        <v/>
      </c>
      <c r="G24" s="59" t="n"/>
      <c r="H24" s="60" t="n"/>
      <c r="I24" s="60" t="n"/>
      <c r="J24" s="60" t="n"/>
      <c r="K24" s="60" t="n"/>
      <c r="L24" s="60" t="n"/>
      <c r="M24" s="61">
        <f>IF(NOT((COUNTA($B24:$D24)+COUNTA($G24:$L24)+COUNTA($Q24))&gt;0),"",IF(ISNUMBER($G24),1,IF(N($W24)&gt;0,AVERAGEIFS($X$5:$X$1000,$U$5:$U$1000,ROW(),$V$5:$V$1000,"Sub"),$X24)))</f>
        <v/>
      </c>
      <c r="N24" s="56">
        <f>IF($M24="","",IF($M24&gt;=1,"Completado",IF($M24&gt;0,"En curso","Pendiente")))</f>
        <v/>
      </c>
      <c r="O24" s="56">
        <f>IF(NOT((COUNTA($B24:$D24)+COUNTA($G24:$L24)+COUNTA($Q24))&gt;0),"",IF(ISNUMBER($G24),IF(AND(ISNUMBER($AN24),$G24&gt;$AN24),"Cumplida con "&amp;($G24-$AN24)&amp;IF($G24-$AN24=1," día"," días")&amp;" de retraso","Cumplida"),IF(N($M24)&gt;=1,"Cumplida",IF(NOT(ISNUMBER($AN24)),"Sin fecha límite",IF($AN24&lt;FechaRef,"Vencida hace "&amp;(FechaRef-$AN24)&amp;IF(FechaRef-$AN24=1," día"," días"),IF($AN24=FechaRef,"Vence hoy",IF($AN24-FechaRef&lt;=DiasAlerta,"Vence en "&amp;($AN24-FechaRef)&amp;IF($AN24-FechaRef=1," día"," días"),"En plazo")))))))</f>
        <v/>
      </c>
      <c r="P24" s="62" t="n"/>
      <c r="Q24" s="58" t="n"/>
      <c r="R24" s="63">
        <f>IF(NOT((COUNTA($B24:$D24)+COUNTA($G24:$L24)+COUNTA($Q24))&gt;0),"",IF((IF($C24="","Falta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",""))="","✔ OK","⚠ "&amp;LEFT(IF($C24="","Falta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",""),LEN(IF($C24="","Falta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",""))-3)))</f>
        <v/>
      </c>
      <c r="S24" s="64">
        <f>IF(NOT((COUNTA($B24:$D24)+COUNTA($G24:$L24)+COUNTA($Q24))&gt;0),"",IF(AND($V24="Sub",N($U24)&gt;0),IF(ISNUMBER(INDEX($AM$5:$AM$1000,$U24-4)),DATE(YEAR(INDEX($AM$5:$AM$1000,$U24-4)),MONTH(INDEX($AM$5:$AM$1000,$U24-4)),1),IF(ISNUMBER(INDEX($AN$5:$AN$1000,$U24-4)),DATE(YEAR(INDEX($AN$5:$AN$1000,$U24-4)),MONTH(INDEX($AN$5:$AN$1000,$U24-4)),1),MesCiclo)),IF(ISNUMBER($AM24),DATE(YEAR($AM24),MONTH($AM24),1),IF(ISNUMBER($AN24),DATE(YEAR($AN24),MONTH($AN24),1),MesCiclo))))</f>
        <v/>
      </c>
      <c r="T24" s="62">
        <f>IF(OR($S24="",$S24&lt;&gt;MesCiclo),"",COUNTIF($S$5:$S24,MesCiclo))</f>
        <v/>
      </c>
      <c r="U24" s="62">
        <f>IF($V24="","",IF($V24="Macro",ROW(),IFERROR(LOOKUP(2,1/($V$5:$V24="Macro"),ROW($V$5:$V24)),0)))</f>
        <v/>
      </c>
      <c r="V24" s="62">
        <f>IF(NOT((COUNTA($B24:$D24)+COUNTA($G24:$L24)+COUNTA($Q24))&gt;0),"",IF($B24="Subactividad","Sub","Macro"))</f>
        <v/>
      </c>
      <c r="W24" s="62">
        <f>IF($V24="Macro",COUNTIFS($U$5:$U$1000,ROW(),$V$5:$V$1000,"Sub"),"")</f>
        <v/>
      </c>
      <c r="X24" s="62">
        <f>IF($V24="","",IF(ISNUMBER($G24),1,IFERROR(LOOKUP(2,1/($I24:$L24&lt;&gt;""),$I24:$L24),0)))</f>
        <v/>
      </c>
      <c r="Y24" s="62">
        <f>IF($V24="","",IF(AND(ISNUMBER($G24),$G24&lt;=IF($S24=MesCiclo,InicioCiclo,$S24+MOD(2-WEEKDAY($S24),7))+6),1,IF(ISNUMBER($I24),$I24,0)))</f>
        <v/>
      </c>
      <c r="Z24" s="62">
        <f>IF($V24="","",IF(AND(ISNUMBER($G24),$G24&lt;=IF($S24=MesCiclo,InicioCiclo,$S24+MOD(2-WEEKDAY($S24),7))+13),1,IF(ISNUMBER($J24),$J24,$Y24)))</f>
        <v/>
      </c>
      <c r="AA24" s="62">
        <f>IF($V24="","",IF(AND(ISNUMBER($G24),$G24&lt;=IF($S24=MesCiclo,InicioCiclo,$S24+MOD(2-WEEKDAY($S24),7))+20),1,IF(ISNUMBER($K24),$K24,$Z24)))</f>
        <v/>
      </c>
      <c r="AB24" s="62">
        <f>IF($V24="","",IF(AND(ISNUMBER($G24),$G24&lt;=IF($S24=MesCiclo,InicioCiclo,$S24+MOD(2-WEEKDAY($S24),7))+27),1,IF(ISNUMBER($L24),$L24,$AA24)))</f>
        <v/>
      </c>
      <c r="AC24" s="62">
        <f>IF($V24="","",IF(AND(ISNUMBER($G24),$G24&lt;=IF($S24=MesCiclo,InicioCiclo,$S24+MOD(2-WEEKDAY($S24),7))+6),1,IF(N($W24)&gt;0,AVERAGEIFS($Y$5:$Y$1000,$U$5:$U$1000,ROW(),$V$5:$V$1000,"Sub"),$Y24)))</f>
        <v/>
      </c>
      <c r="AD24" s="62">
        <f>IF($V24="","",IF(AND(ISNUMBER($G24),$G24&lt;=IF($S24=MesCiclo,InicioCiclo,$S24+MOD(2-WEEKDAY($S24),7))+13),1,IF(N($W24)&gt;0,AVERAGEIFS($Z$5:$Z$1000,$U$5:$U$1000,ROW(),$V$5:$V$1000,"Sub"),$Z24)))</f>
        <v/>
      </c>
      <c r="AE24" s="62">
        <f>IF($V24="","",IF(AND(ISNUMBER($G24),$G24&lt;=IF($S24=MesCiclo,InicioCiclo,$S24+MOD(2-WEEKDAY($S24),7))+20),1,IF(N($W24)&gt;0,AVERAGEIFS($AA$5:$AA$1000,$U$5:$U$1000,ROW(),$V$5:$V$1000,"Sub"),$AA24)))</f>
        <v/>
      </c>
      <c r="AF24" s="62">
        <f>IF($V24="","",IF(AND(ISNUMBER($G24),$G24&lt;=IF($S24=MesCiclo,InicioCiclo,$S24+MOD(2-WEEKDAY($S24),7))+27),1,IF(N($W24)&gt;0,AVERAGEIFS($AB$5:$AB$1000,$U$5:$U$1000,ROW(),$V$5:$V$1000,"Sub"),$AB24)))</f>
        <v/>
      </c>
      <c r="AG24" s="62">
        <f>IF($V24&lt;&gt;"Macro","",IF(COUNTIFS($S$5:$S$1000,$S24,$V$5:$V$1000,"Macro",$H$5:$H$1000,"&gt;0")=0,1/COUNTIFS($S$5:$S$1000,$S24,$V$5:$V$1000,"Macro"),IF(AND(ISNUMBER($H24),N($H24)&gt;0),$H24,SUMIFS($H$5:$H$1000,$S$5:$S$1000,$S24,$V$5:$V$1000,"Macro")/COUNTIFS($S$5:$S$1000,$S24,$V$5:$V$1000,"Macro",$H$5:$H$1000,"&gt;0"))/(COUNTIFS($S$5:$S$1000,$S24,$V$5:$V$1000,"Macro")*SUMIFS($H$5:$H$1000,$S$5:$S$1000,$S24,$V$5:$V$1000,"Macro")/COUNTIFS($S$5:$S$1000,$S24,$V$5:$V$1000,"Macro",$H$5:$H$1000,"&gt;0"))))</f>
        <v/>
      </c>
      <c r="AH24" s="62" t="n"/>
      <c r="AI24" s="62" t="n"/>
      <c r="AJ24" s="62" t="n"/>
      <c r="AK24" s="62" t="n"/>
      <c r="AL24" s="62">
        <f>IF(LEFT($C24,11)="[Jefatura] ",IFERROR(MATCH("Riesgo Normativo|"&amp;MID($C24,12,500),rDname_ADM,0),0),"")</f>
        <v/>
      </c>
      <c r="AM24" s="62">
        <f>IF(N($AL24)&gt;0,INDEX(rIni_ADM,$AL24),IF(ISNUMBER($E24),$E24,""))</f>
        <v/>
      </c>
      <c r="AN24" s="62">
        <f>IF(N($AL24)&gt;0,INDEX(rLim_ADM,$AL24),IF(ISNUMBER($F24),$F24,""))</f>
        <v/>
      </c>
    </row>
    <row r="25">
      <c r="A25" s="56">
        <f>IF(NOT((COUNTA($B25:$D25)+COUNTA($G25:$L25)+COUNTA($Q25))&gt;0),"",IF($V25="Macro",COUNTIFS($V$5:$V25,"Macro",$S$5:$S25,$S25),IF(N($U25)=0,"?",COUNTIFS(INDEX($V$5:$V$1000,1):INDEX($V$5:$V$1000,$U25-4),"Macro",INDEX($S$5:$S$1000,1):INDEX($S$5:$S$1000,$U25-4),INDEX($S$5:$S$1000,$U25-4))&amp;"."&amp;COUNTIFS($U$5:$U25,$U25,$V$5:$V25,"Sub"))))</f>
        <v/>
      </c>
      <c r="B25" s="57" t="n"/>
      <c r="C25" s="58" t="n"/>
      <c r="D25" s="58" t="n"/>
      <c r="E25" s="59">
        <f>IF(N($AL25)&gt;0,INDEX(rIni_ADM,$AL25),"")</f>
        <v/>
      </c>
      <c r="F25" s="59">
        <f>IF(N($AL25)&gt;0,INDEX(rLim_ADM,$AL25),"")</f>
        <v/>
      </c>
      <c r="G25" s="59" t="n"/>
      <c r="H25" s="60" t="n"/>
      <c r="I25" s="60" t="n"/>
      <c r="J25" s="60" t="n"/>
      <c r="K25" s="60" t="n"/>
      <c r="L25" s="60" t="n"/>
      <c r="M25" s="61">
        <f>IF(NOT((COUNTA($B25:$D25)+COUNTA($G25:$L25)+COUNTA($Q25))&gt;0),"",IF(ISNUMBER($G25),1,IF(N($W25)&gt;0,AVERAGEIFS($X$5:$X$1000,$U$5:$U$1000,ROW(),$V$5:$V$1000,"Sub"),$X25)))</f>
        <v/>
      </c>
      <c r="N25" s="56">
        <f>IF($M25="","",IF($M25&gt;=1,"Completado",IF($M25&gt;0,"En curso","Pendiente")))</f>
        <v/>
      </c>
      <c r="O25" s="56">
        <f>IF(NOT((COUNTA($B25:$D25)+COUNTA($G25:$L25)+COUNTA($Q25))&gt;0),"",IF(ISNUMBER($G25),IF(AND(ISNUMBER($AN25),$G25&gt;$AN25),"Cumplida con "&amp;($G25-$AN25)&amp;IF($G25-$AN25=1," día"," días")&amp;" de retraso","Cumplida"),IF(N($M25)&gt;=1,"Cumplida",IF(NOT(ISNUMBER($AN25)),"Sin fecha límite",IF($AN25&lt;FechaRef,"Vencida hace "&amp;(FechaRef-$AN25)&amp;IF(FechaRef-$AN25=1," día"," días"),IF($AN25=FechaRef,"Vence hoy",IF($AN25-FechaRef&lt;=DiasAlerta,"Vence en "&amp;($AN25-FechaRef)&amp;IF($AN25-FechaRef=1," día"," días"),"En plazo")))))))</f>
        <v/>
      </c>
      <c r="P25" s="62" t="n"/>
      <c r="Q25" s="58" t="n"/>
      <c r="R25" s="63">
        <f>IF(NOT((COUNTA($B25:$D25)+COUNTA($G25:$L25)+COUNTA($Q25))&gt;0),"",IF((IF($C25="","Falta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",""))="","✔ OK","⚠ "&amp;LEFT(IF($C25="","Falta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",""),LEN(IF($C25="","Falta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",""))-3)))</f>
        <v/>
      </c>
      <c r="S25" s="64">
        <f>IF(NOT((COUNTA($B25:$D25)+COUNTA($G25:$L25)+COUNTA($Q25))&gt;0),"",IF(AND($V25="Sub",N($U25)&gt;0),IF(ISNUMBER(INDEX($AM$5:$AM$1000,$U25-4)),DATE(YEAR(INDEX($AM$5:$AM$1000,$U25-4)),MONTH(INDEX($AM$5:$AM$1000,$U25-4)),1),IF(ISNUMBER(INDEX($AN$5:$AN$1000,$U25-4)),DATE(YEAR(INDEX($AN$5:$AN$1000,$U25-4)),MONTH(INDEX($AN$5:$AN$1000,$U25-4)),1),MesCiclo)),IF(ISNUMBER($AM25),DATE(YEAR($AM25),MONTH($AM25),1),IF(ISNUMBER($AN25),DATE(YEAR($AN25),MONTH($AN25),1),MesCiclo))))</f>
        <v/>
      </c>
      <c r="T25" s="62">
        <f>IF(OR($S25="",$S25&lt;&gt;MesCiclo),"",COUNTIF($S$5:$S25,MesCiclo))</f>
        <v/>
      </c>
      <c r="U25" s="62">
        <f>IF($V25="","",IF($V25="Macro",ROW(),IFERROR(LOOKUP(2,1/($V$5:$V25="Macro"),ROW($V$5:$V25)),0)))</f>
        <v/>
      </c>
      <c r="V25" s="62">
        <f>IF(NOT((COUNTA($B25:$D25)+COUNTA($G25:$L25)+COUNTA($Q25))&gt;0),"",IF($B25="Subactividad","Sub","Macro"))</f>
        <v/>
      </c>
      <c r="W25" s="62">
        <f>IF($V25="Macro",COUNTIFS($U$5:$U$1000,ROW(),$V$5:$V$1000,"Sub"),"")</f>
        <v/>
      </c>
      <c r="X25" s="62">
        <f>IF($V25="","",IF(ISNUMBER($G25),1,IFERROR(LOOKUP(2,1/($I25:$L25&lt;&gt;""),$I25:$L25),0)))</f>
        <v/>
      </c>
      <c r="Y25" s="62">
        <f>IF($V25="","",IF(AND(ISNUMBER($G25),$G25&lt;=IF($S25=MesCiclo,InicioCiclo,$S25+MOD(2-WEEKDAY($S25),7))+6),1,IF(ISNUMBER($I25),$I25,0)))</f>
        <v/>
      </c>
      <c r="Z25" s="62">
        <f>IF($V25="","",IF(AND(ISNUMBER($G25),$G25&lt;=IF($S25=MesCiclo,InicioCiclo,$S25+MOD(2-WEEKDAY($S25),7))+13),1,IF(ISNUMBER($J25),$J25,$Y25)))</f>
        <v/>
      </c>
      <c r="AA25" s="62">
        <f>IF($V25="","",IF(AND(ISNUMBER($G25),$G25&lt;=IF($S25=MesCiclo,InicioCiclo,$S25+MOD(2-WEEKDAY($S25),7))+20),1,IF(ISNUMBER($K25),$K25,$Z25)))</f>
        <v/>
      </c>
      <c r="AB25" s="62">
        <f>IF($V25="","",IF(AND(ISNUMBER($G25),$G25&lt;=IF($S25=MesCiclo,InicioCiclo,$S25+MOD(2-WEEKDAY($S25),7))+27),1,IF(ISNUMBER($L25),$L25,$AA25)))</f>
        <v/>
      </c>
      <c r="AC25" s="62">
        <f>IF($V25="","",IF(AND(ISNUMBER($G25),$G25&lt;=IF($S25=MesCiclo,InicioCiclo,$S25+MOD(2-WEEKDAY($S25),7))+6),1,IF(N($W25)&gt;0,AVERAGEIFS($Y$5:$Y$1000,$U$5:$U$1000,ROW(),$V$5:$V$1000,"Sub"),$Y25)))</f>
        <v/>
      </c>
      <c r="AD25" s="62">
        <f>IF($V25="","",IF(AND(ISNUMBER($G25),$G25&lt;=IF($S25=MesCiclo,InicioCiclo,$S25+MOD(2-WEEKDAY($S25),7))+13),1,IF(N($W25)&gt;0,AVERAGEIFS($Z$5:$Z$1000,$U$5:$U$1000,ROW(),$V$5:$V$1000,"Sub"),$Z25)))</f>
        <v/>
      </c>
      <c r="AE25" s="62">
        <f>IF($V25="","",IF(AND(ISNUMBER($G25),$G25&lt;=IF($S25=MesCiclo,InicioCiclo,$S25+MOD(2-WEEKDAY($S25),7))+20),1,IF(N($W25)&gt;0,AVERAGEIFS($AA$5:$AA$1000,$U$5:$U$1000,ROW(),$V$5:$V$1000,"Sub"),$AA25)))</f>
        <v/>
      </c>
      <c r="AF25" s="62">
        <f>IF($V25="","",IF(AND(ISNUMBER($G25),$G25&lt;=IF($S25=MesCiclo,InicioCiclo,$S25+MOD(2-WEEKDAY($S25),7))+27),1,IF(N($W25)&gt;0,AVERAGEIFS($AB$5:$AB$1000,$U$5:$U$1000,ROW(),$V$5:$V$1000,"Sub"),$AB25)))</f>
        <v/>
      </c>
      <c r="AG25" s="62">
        <f>IF($V25&lt;&gt;"Macro","",IF(COUNTIFS($S$5:$S$1000,$S25,$V$5:$V$1000,"Macro",$H$5:$H$1000,"&gt;0")=0,1/COUNTIFS($S$5:$S$1000,$S25,$V$5:$V$1000,"Macro"),IF(AND(ISNUMBER($H25),N($H25)&gt;0),$H25,SUMIFS($H$5:$H$1000,$S$5:$S$1000,$S25,$V$5:$V$1000,"Macro")/COUNTIFS($S$5:$S$1000,$S25,$V$5:$V$1000,"Macro",$H$5:$H$1000,"&gt;0"))/(COUNTIFS($S$5:$S$1000,$S25,$V$5:$V$1000,"Macro")*SUMIFS($H$5:$H$1000,$S$5:$S$1000,$S25,$V$5:$V$1000,"Macro")/COUNTIFS($S$5:$S$1000,$S25,$V$5:$V$1000,"Macro",$H$5:$H$1000,"&gt;0"))))</f>
        <v/>
      </c>
      <c r="AH25" s="62" t="n"/>
      <c r="AI25" s="62" t="n"/>
      <c r="AJ25" s="62" t="n"/>
      <c r="AK25" s="62" t="n"/>
      <c r="AL25" s="62">
        <f>IF(LEFT($C25,11)="[Jefatura] ",IFERROR(MATCH("Riesgo Normativo|"&amp;MID($C25,12,500),rDname_ADM,0),0),"")</f>
        <v/>
      </c>
      <c r="AM25" s="62">
        <f>IF(N($AL25)&gt;0,INDEX(rIni_ADM,$AL25),IF(ISNUMBER($E25),$E25,""))</f>
        <v/>
      </c>
      <c r="AN25" s="62">
        <f>IF(N($AL25)&gt;0,INDEX(rLim_ADM,$AL25),IF(ISNUMBER($F25),$F25,""))</f>
        <v/>
      </c>
    </row>
    <row r="26">
      <c r="A26" s="56">
        <f>IF(NOT((COUNTA($B26:$D26)+COUNTA($G26:$L26)+COUNTA($Q26))&gt;0),"",IF($V26="Macro",COUNTIFS($V$5:$V26,"Macro",$S$5:$S26,$S26),IF(N($U26)=0,"?",COUNTIFS(INDEX($V$5:$V$1000,1):INDEX($V$5:$V$1000,$U26-4),"Macro",INDEX($S$5:$S$1000,1):INDEX($S$5:$S$1000,$U26-4),INDEX($S$5:$S$1000,$U26-4))&amp;"."&amp;COUNTIFS($U$5:$U26,$U26,$V$5:$V26,"Sub"))))</f>
        <v/>
      </c>
      <c r="B26" s="57" t="n"/>
      <c r="C26" s="58" t="n"/>
      <c r="D26" s="58" t="n"/>
      <c r="E26" s="59">
        <f>IF(N($AL26)&gt;0,INDEX(rIni_ADM,$AL26),"")</f>
        <v/>
      </c>
      <c r="F26" s="59">
        <f>IF(N($AL26)&gt;0,INDEX(rLim_ADM,$AL26),"")</f>
        <v/>
      </c>
      <c r="G26" s="59" t="n"/>
      <c r="H26" s="60" t="n"/>
      <c r="I26" s="60" t="n"/>
      <c r="J26" s="60" t="n"/>
      <c r="K26" s="60" t="n"/>
      <c r="L26" s="60" t="n"/>
      <c r="M26" s="61">
        <f>IF(NOT((COUNTA($B26:$D26)+COUNTA($G26:$L26)+COUNTA($Q26))&gt;0),"",IF(ISNUMBER($G26),1,IF(N($W26)&gt;0,AVERAGEIFS($X$5:$X$1000,$U$5:$U$1000,ROW(),$V$5:$V$1000,"Sub"),$X26)))</f>
        <v/>
      </c>
      <c r="N26" s="56">
        <f>IF($M26="","",IF($M26&gt;=1,"Completado",IF($M26&gt;0,"En curso","Pendiente")))</f>
        <v/>
      </c>
      <c r="O26" s="56">
        <f>IF(NOT((COUNTA($B26:$D26)+COUNTA($G26:$L26)+COUNTA($Q26))&gt;0),"",IF(ISNUMBER($G26),IF(AND(ISNUMBER($AN26),$G26&gt;$AN26),"Cumplida con "&amp;($G26-$AN26)&amp;IF($G26-$AN26=1," día"," días")&amp;" de retraso","Cumplida"),IF(N($M26)&gt;=1,"Cumplida",IF(NOT(ISNUMBER($AN26)),"Sin fecha límite",IF($AN26&lt;FechaRef,"Vencida hace "&amp;(FechaRef-$AN26)&amp;IF(FechaRef-$AN26=1," día"," días"),IF($AN26=FechaRef,"Vence hoy",IF($AN26-FechaRef&lt;=DiasAlerta,"Vence en "&amp;($AN26-FechaRef)&amp;IF($AN26-FechaRef=1," día"," días"),"En plazo")))))))</f>
        <v/>
      </c>
      <c r="P26" s="62" t="n"/>
      <c r="Q26" s="58" t="n"/>
      <c r="R26" s="63">
        <f>IF(NOT((COUNTA($B26:$D26)+COUNTA($G26:$L26)+COUNTA($Q26))&gt;0),"",IF((IF($C26="","Falta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",""))="","✔ OK","⚠ "&amp;LEFT(IF($C26="","Falta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",""),LEN(IF($C26="","Falta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",""))-3)))</f>
        <v/>
      </c>
      <c r="S26" s="64">
        <f>IF(NOT((COUNTA($B26:$D26)+COUNTA($G26:$L26)+COUNTA($Q26))&gt;0),"",IF(AND($V26="Sub",N($U26)&gt;0),IF(ISNUMBER(INDEX($AM$5:$AM$1000,$U26-4)),DATE(YEAR(INDEX($AM$5:$AM$1000,$U26-4)),MONTH(INDEX($AM$5:$AM$1000,$U26-4)),1),IF(ISNUMBER(INDEX($AN$5:$AN$1000,$U26-4)),DATE(YEAR(INDEX($AN$5:$AN$1000,$U26-4)),MONTH(INDEX($AN$5:$AN$1000,$U26-4)),1),MesCiclo)),IF(ISNUMBER($AM26),DATE(YEAR($AM26),MONTH($AM26),1),IF(ISNUMBER($AN26),DATE(YEAR($AN26),MONTH($AN26),1),MesCiclo))))</f>
        <v/>
      </c>
      <c r="T26" s="62">
        <f>IF(OR($S26="",$S26&lt;&gt;MesCiclo),"",COUNTIF($S$5:$S26,MesCiclo))</f>
        <v/>
      </c>
      <c r="U26" s="62">
        <f>IF($V26="","",IF($V26="Macro",ROW(),IFERROR(LOOKUP(2,1/($V$5:$V26="Macro"),ROW($V$5:$V26)),0)))</f>
        <v/>
      </c>
      <c r="V26" s="62">
        <f>IF(NOT((COUNTA($B26:$D26)+COUNTA($G26:$L26)+COUNTA($Q26))&gt;0),"",IF($B26="Subactividad","Sub","Macro"))</f>
        <v/>
      </c>
      <c r="W26" s="62">
        <f>IF($V26="Macro",COUNTIFS($U$5:$U$1000,ROW(),$V$5:$V$1000,"Sub"),"")</f>
        <v/>
      </c>
      <c r="X26" s="62">
        <f>IF($V26="","",IF(ISNUMBER($G26),1,IFERROR(LOOKUP(2,1/($I26:$L26&lt;&gt;""),$I26:$L26),0)))</f>
        <v/>
      </c>
      <c r="Y26" s="62">
        <f>IF($V26="","",IF(AND(ISNUMBER($G26),$G26&lt;=IF($S26=MesCiclo,InicioCiclo,$S26+MOD(2-WEEKDAY($S26),7))+6),1,IF(ISNUMBER($I26),$I26,0)))</f>
        <v/>
      </c>
      <c r="Z26" s="62">
        <f>IF($V26="","",IF(AND(ISNUMBER($G26),$G26&lt;=IF($S26=MesCiclo,InicioCiclo,$S26+MOD(2-WEEKDAY($S26),7))+13),1,IF(ISNUMBER($J26),$J26,$Y26)))</f>
        <v/>
      </c>
      <c r="AA26" s="62">
        <f>IF($V26="","",IF(AND(ISNUMBER($G26),$G26&lt;=IF($S26=MesCiclo,InicioCiclo,$S26+MOD(2-WEEKDAY($S26),7))+20),1,IF(ISNUMBER($K26),$K26,$Z26)))</f>
        <v/>
      </c>
      <c r="AB26" s="62">
        <f>IF($V26="","",IF(AND(ISNUMBER($G26),$G26&lt;=IF($S26=MesCiclo,InicioCiclo,$S26+MOD(2-WEEKDAY($S26),7))+27),1,IF(ISNUMBER($L26),$L26,$AA26)))</f>
        <v/>
      </c>
      <c r="AC26" s="62">
        <f>IF($V26="","",IF(AND(ISNUMBER($G26),$G26&lt;=IF($S26=MesCiclo,InicioCiclo,$S26+MOD(2-WEEKDAY($S26),7))+6),1,IF(N($W26)&gt;0,AVERAGEIFS($Y$5:$Y$1000,$U$5:$U$1000,ROW(),$V$5:$V$1000,"Sub"),$Y26)))</f>
        <v/>
      </c>
      <c r="AD26" s="62">
        <f>IF($V26="","",IF(AND(ISNUMBER($G26),$G26&lt;=IF($S26=MesCiclo,InicioCiclo,$S26+MOD(2-WEEKDAY($S26),7))+13),1,IF(N($W26)&gt;0,AVERAGEIFS($Z$5:$Z$1000,$U$5:$U$1000,ROW(),$V$5:$V$1000,"Sub"),$Z26)))</f>
        <v/>
      </c>
      <c r="AE26" s="62">
        <f>IF($V26="","",IF(AND(ISNUMBER($G26),$G26&lt;=IF($S26=MesCiclo,InicioCiclo,$S26+MOD(2-WEEKDAY($S26),7))+20),1,IF(N($W26)&gt;0,AVERAGEIFS($AA$5:$AA$1000,$U$5:$U$1000,ROW(),$V$5:$V$1000,"Sub"),$AA26)))</f>
        <v/>
      </c>
      <c r="AF26" s="62">
        <f>IF($V26="","",IF(AND(ISNUMBER($G26),$G26&lt;=IF($S26=MesCiclo,InicioCiclo,$S26+MOD(2-WEEKDAY($S26),7))+27),1,IF(N($W26)&gt;0,AVERAGEIFS($AB$5:$AB$1000,$U$5:$U$1000,ROW(),$V$5:$V$1000,"Sub"),$AB26)))</f>
        <v/>
      </c>
      <c r="AG26" s="62">
        <f>IF($V26&lt;&gt;"Macro","",IF(COUNTIFS($S$5:$S$1000,$S26,$V$5:$V$1000,"Macro",$H$5:$H$1000,"&gt;0")=0,1/COUNTIFS($S$5:$S$1000,$S26,$V$5:$V$1000,"Macro"),IF(AND(ISNUMBER($H26),N($H26)&gt;0),$H26,SUMIFS($H$5:$H$1000,$S$5:$S$1000,$S26,$V$5:$V$1000,"Macro")/COUNTIFS($S$5:$S$1000,$S26,$V$5:$V$1000,"Macro",$H$5:$H$1000,"&gt;0"))/(COUNTIFS($S$5:$S$1000,$S26,$V$5:$V$1000,"Macro")*SUMIFS($H$5:$H$1000,$S$5:$S$1000,$S26,$V$5:$V$1000,"Macro")/COUNTIFS($S$5:$S$1000,$S26,$V$5:$V$1000,"Macro",$H$5:$H$1000,"&gt;0"))))</f>
        <v/>
      </c>
      <c r="AH26" s="62" t="n"/>
      <c r="AI26" s="62" t="n"/>
      <c r="AJ26" s="62" t="n"/>
      <c r="AK26" s="62" t="n"/>
      <c r="AL26" s="62">
        <f>IF(LEFT($C26,11)="[Jefatura] ",IFERROR(MATCH("Riesgo Normativo|"&amp;MID($C26,12,500),rDname_ADM,0),0),"")</f>
        <v/>
      </c>
      <c r="AM26" s="62">
        <f>IF(N($AL26)&gt;0,INDEX(rIni_ADM,$AL26),IF(ISNUMBER($E26),$E26,""))</f>
        <v/>
      </c>
      <c r="AN26" s="62">
        <f>IF(N($AL26)&gt;0,INDEX(rLim_ADM,$AL26),IF(ISNUMBER($F26),$F26,""))</f>
        <v/>
      </c>
    </row>
    <row r="27">
      <c r="A27" s="56">
        <f>IF(NOT((COUNTA($B27:$D27)+COUNTA($G27:$L27)+COUNTA($Q27))&gt;0),"",IF($V27="Macro",COUNTIFS($V$5:$V27,"Macro",$S$5:$S27,$S27),IF(N($U27)=0,"?",COUNTIFS(INDEX($V$5:$V$1000,1):INDEX($V$5:$V$1000,$U27-4),"Macro",INDEX($S$5:$S$1000,1):INDEX($S$5:$S$1000,$U27-4),INDEX($S$5:$S$1000,$U27-4))&amp;"."&amp;COUNTIFS($U$5:$U27,$U27,$V$5:$V27,"Sub"))))</f>
        <v/>
      </c>
      <c r="B27" s="57" t="n"/>
      <c r="C27" s="58" t="n"/>
      <c r="D27" s="58" t="n"/>
      <c r="E27" s="59">
        <f>IF(N($AL27)&gt;0,INDEX(rIni_ADM,$AL27),"")</f>
        <v/>
      </c>
      <c r="F27" s="59">
        <f>IF(N($AL27)&gt;0,INDEX(rLim_ADM,$AL27),"")</f>
        <v/>
      </c>
      <c r="G27" s="59" t="n"/>
      <c r="H27" s="60" t="n"/>
      <c r="I27" s="60" t="n"/>
      <c r="J27" s="60" t="n"/>
      <c r="K27" s="60" t="n"/>
      <c r="L27" s="60" t="n"/>
      <c r="M27" s="61">
        <f>IF(NOT((COUNTA($B27:$D27)+COUNTA($G27:$L27)+COUNTA($Q27))&gt;0),"",IF(ISNUMBER($G27),1,IF(N($W27)&gt;0,AVERAGEIFS($X$5:$X$1000,$U$5:$U$1000,ROW(),$V$5:$V$1000,"Sub"),$X27)))</f>
        <v/>
      </c>
      <c r="N27" s="56">
        <f>IF($M27="","",IF($M27&gt;=1,"Completado",IF($M27&gt;0,"En curso","Pendiente")))</f>
        <v/>
      </c>
      <c r="O27" s="56">
        <f>IF(NOT((COUNTA($B27:$D27)+COUNTA($G27:$L27)+COUNTA($Q27))&gt;0),"",IF(ISNUMBER($G27),IF(AND(ISNUMBER($AN27),$G27&gt;$AN27),"Cumplida con "&amp;($G27-$AN27)&amp;IF($G27-$AN27=1," día"," días")&amp;" de retraso","Cumplida"),IF(N($M27)&gt;=1,"Cumplida",IF(NOT(ISNUMBER($AN27)),"Sin fecha límite",IF($AN27&lt;FechaRef,"Vencida hace "&amp;(FechaRef-$AN27)&amp;IF(FechaRef-$AN27=1," día"," días"),IF($AN27=FechaRef,"Vence hoy",IF($AN27-FechaRef&lt;=DiasAlerta,"Vence en "&amp;($AN27-FechaRef)&amp;IF($AN27-FechaRef=1," día"," días"),"En plazo")))))))</f>
        <v/>
      </c>
      <c r="P27" s="62" t="n"/>
      <c r="Q27" s="58" t="n"/>
      <c r="R27" s="63">
        <f>IF(NOT((COUNTA($B27:$D27)+COUNTA($G27:$L27)+COUNTA($Q27))&gt;0),"",IF((IF($C27="","Falta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",""))="","✔ OK","⚠ "&amp;LEFT(IF($C27="","Falta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",""),LEN(IF($C27="","Falta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",""))-3)))</f>
        <v/>
      </c>
      <c r="S27" s="64">
        <f>IF(NOT((COUNTA($B27:$D27)+COUNTA($G27:$L27)+COUNTA($Q27))&gt;0),"",IF(AND($V27="Sub",N($U27)&gt;0),IF(ISNUMBER(INDEX($AM$5:$AM$1000,$U27-4)),DATE(YEAR(INDEX($AM$5:$AM$1000,$U27-4)),MONTH(INDEX($AM$5:$AM$1000,$U27-4)),1),IF(ISNUMBER(INDEX($AN$5:$AN$1000,$U27-4)),DATE(YEAR(INDEX($AN$5:$AN$1000,$U27-4)),MONTH(INDEX($AN$5:$AN$1000,$U27-4)),1),MesCiclo)),IF(ISNUMBER($AM27),DATE(YEAR($AM27),MONTH($AM27),1),IF(ISNUMBER($AN27),DATE(YEAR($AN27),MONTH($AN27),1),MesCiclo))))</f>
        <v/>
      </c>
      <c r="T27" s="62">
        <f>IF(OR($S27="",$S27&lt;&gt;MesCiclo),"",COUNTIF($S$5:$S27,MesCiclo))</f>
        <v/>
      </c>
      <c r="U27" s="62">
        <f>IF($V27="","",IF($V27="Macro",ROW(),IFERROR(LOOKUP(2,1/($V$5:$V27="Macro"),ROW($V$5:$V27)),0)))</f>
        <v/>
      </c>
      <c r="V27" s="62">
        <f>IF(NOT((COUNTA($B27:$D27)+COUNTA($G27:$L27)+COUNTA($Q27))&gt;0),"",IF($B27="Subactividad","Sub","Macro"))</f>
        <v/>
      </c>
      <c r="W27" s="62">
        <f>IF($V27="Macro",COUNTIFS($U$5:$U$1000,ROW(),$V$5:$V$1000,"Sub"),"")</f>
        <v/>
      </c>
      <c r="X27" s="62">
        <f>IF($V27="","",IF(ISNUMBER($G27),1,IFERROR(LOOKUP(2,1/($I27:$L27&lt;&gt;""),$I27:$L27),0)))</f>
        <v/>
      </c>
      <c r="Y27" s="62">
        <f>IF($V27="","",IF(AND(ISNUMBER($G27),$G27&lt;=IF($S27=MesCiclo,InicioCiclo,$S27+MOD(2-WEEKDAY($S27),7))+6),1,IF(ISNUMBER($I27),$I27,0)))</f>
        <v/>
      </c>
      <c r="Z27" s="62">
        <f>IF($V27="","",IF(AND(ISNUMBER($G27),$G27&lt;=IF($S27=MesCiclo,InicioCiclo,$S27+MOD(2-WEEKDAY($S27),7))+13),1,IF(ISNUMBER($J27),$J27,$Y27)))</f>
        <v/>
      </c>
      <c r="AA27" s="62">
        <f>IF($V27="","",IF(AND(ISNUMBER($G27),$G27&lt;=IF($S27=MesCiclo,InicioCiclo,$S27+MOD(2-WEEKDAY($S27),7))+20),1,IF(ISNUMBER($K27),$K27,$Z27)))</f>
        <v/>
      </c>
      <c r="AB27" s="62">
        <f>IF($V27="","",IF(AND(ISNUMBER($G27),$G27&lt;=IF($S27=MesCiclo,InicioCiclo,$S27+MOD(2-WEEKDAY($S27),7))+27),1,IF(ISNUMBER($L27),$L27,$AA27)))</f>
        <v/>
      </c>
      <c r="AC27" s="62">
        <f>IF($V27="","",IF(AND(ISNUMBER($G27),$G27&lt;=IF($S27=MesCiclo,InicioCiclo,$S27+MOD(2-WEEKDAY($S27),7))+6),1,IF(N($W27)&gt;0,AVERAGEIFS($Y$5:$Y$1000,$U$5:$U$1000,ROW(),$V$5:$V$1000,"Sub"),$Y27)))</f>
        <v/>
      </c>
      <c r="AD27" s="62">
        <f>IF($V27="","",IF(AND(ISNUMBER($G27),$G27&lt;=IF($S27=MesCiclo,InicioCiclo,$S27+MOD(2-WEEKDAY($S27),7))+13),1,IF(N($W27)&gt;0,AVERAGEIFS($Z$5:$Z$1000,$U$5:$U$1000,ROW(),$V$5:$V$1000,"Sub"),$Z27)))</f>
        <v/>
      </c>
      <c r="AE27" s="62">
        <f>IF($V27="","",IF(AND(ISNUMBER($G27),$G27&lt;=IF($S27=MesCiclo,InicioCiclo,$S27+MOD(2-WEEKDAY($S27),7))+20),1,IF(N($W27)&gt;0,AVERAGEIFS($AA$5:$AA$1000,$U$5:$U$1000,ROW(),$V$5:$V$1000,"Sub"),$AA27)))</f>
        <v/>
      </c>
      <c r="AF27" s="62">
        <f>IF($V27="","",IF(AND(ISNUMBER($G27),$G27&lt;=IF($S27=MesCiclo,InicioCiclo,$S27+MOD(2-WEEKDAY($S27),7))+27),1,IF(N($W27)&gt;0,AVERAGEIFS($AB$5:$AB$1000,$U$5:$U$1000,ROW(),$V$5:$V$1000,"Sub"),$AB27)))</f>
        <v/>
      </c>
      <c r="AG27" s="62">
        <f>IF($V27&lt;&gt;"Macro","",IF(COUNTIFS($S$5:$S$1000,$S27,$V$5:$V$1000,"Macro",$H$5:$H$1000,"&gt;0")=0,1/COUNTIFS($S$5:$S$1000,$S27,$V$5:$V$1000,"Macro"),IF(AND(ISNUMBER($H27),N($H27)&gt;0),$H27,SUMIFS($H$5:$H$1000,$S$5:$S$1000,$S27,$V$5:$V$1000,"Macro")/COUNTIFS($S$5:$S$1000,$S27,$V$5:$V$1000,"Macro",$H$5:$H$1000,"&gt;0"))/(COUNTIFS($S$5:$S$1000,$S27,$V$5:$V$1000,"Macro")*SUMIFS($H$5:$H$1000,$S$5:$S$1000,$S27,$V$5:$V$1000,"Macro")/COUNTIFS($S$5:$S$1000,$S27,$V$5:$V$1000,"Macro",$H$5:$H$1000,"&gt;0"))))</f>
        <v/>
      </c>
      <c r="AH27" s="62" t="n"/>
      <c r="AI27" s="62" t="n"/>
      <c r="AJ27" s="62" t="n"/>
      <c r="AK27" s="62" t="n"/>
      <c r="AL27" s="62">
        <f>IF(LEFT($C27,11)="[Jefatura] ",IFERROR(MATCH("Riesgo Normativo|"&amp;MID($C27,12,500),rDname_ADM,0),0),"")</f>
        <v/>
      </c>
      <c r="AM27" s="62">
        <f>IF(N($AL27)&gt;0,INDEX(rIni_ADM,$AL27),IF(ISNUMBER($E27),$E27,""))</f>
        <v/>
      </c>
      <c r="AN27" s="62">
        <f>IF(N($AL27)&gt;0,INDEX(rLim_ADM,$AL27),IF(ISNUMBER($F27),$F27,""))</f>
        <v/>
      </c>
    </row>
    <row r="28">
      <c r="A28" s="56">
        <f>IF(NOT((COUNTA($B28:$D28)+COUNTA($G28:$L28)+COUNTA($Q28))&gt;0),"",IF($V28="Macro",COUNTIFS($V$5:$V28,"Macro",$S$5:$S28,$S28),IF(N($U28)=0,"?",COUNTIFS(INDEX($V$5:$V$1000,1):INDEX($V$5:$V$1000,$U28-4),"Macro",INDEX($S$5:$S$1000,1):INDEX($S$5:$S$1000,$U28-4),INDEX($S$5:$S$1000,$U28-4))&amp;"."&amp;COUNTIFS($U$5:$U28,$U28,$V$5:$V28,"Sub"))))</f>
        <v/>
      </c>
      <c r="B28" s="57" t="n"/>
      <c r="C28" s="58" t="n"/>
      <c r="D28" s="58" t="n"/>
      <c r="E28" s="59">
        <f>IF(N($AL28)&gt;0,INDEX(rIni_ADM,$AL28),"")</f>
        <v/>
      </c>
      <c r="F28" s="59">
        <f>IF(N($AL28)&gt;0,INDEX(rLim_ADM,$AL28),"")</f>
        <v/>
      </c>
      <c r="G28" s="59" t="n"/>
      <c r="H28" s="60" t="n"/>
      <c r="I28" s="60" t="n"/>
      <c r="J28" s="60" t="n"/>
      <c r="K28" s="60" t="n"/>
      <c r="L28" s="60" t="n"/>
      <c r="M28" s="61">
        <f>IF(NOT((COUNTA($B28:$D28)+COUNTA($G28:$L28)+COUNTA($Q28))&gt;0),"",IF(ISNUMBER($G28),1,IF(N($W28)&gt;0,AVERAGEIFS($X$5:$X$1000,$U$5:$U$1000,ROW(),$V$5:$V$1000,"Sub"),$X28)))</f>
        <v/>
      </c>
      <c r="N28" s="56">
        <f>IF($M28="","",IF($M28&gt;=1,"Completado",IF($M28&gt;0,"En curso","Pendiente")))</f>
        <v/>
      </c>
      <c r="O28" s="56">
        <f>IF(NOT((COUNTA($B28:$D28)+COUNTA($G28:$L28)+COUNTA($Q28))&gt;0),"",IF(ISNUMBER($G28),IF(AND(ISNUMBER($AN28),$G28&gt;$AN28),"Cumplida con "&amp;($G28-$AN28)&amp;IF($G28-$AN28=1," día"," días")&amp;" de retraso","Cumplida"),IF(N($M28)&gt;=1,"Cumplida",IF(NOT(ISNUMBER($AN28)),"Sin fecha límite",IF($AN28&lt;FechaRef,"Vencida hace "&amp;(FechaRef-$AN28)&amp;IF(FechaRef-$AN28=1," día"," días"),IF($AN28=FechaRef,"Vence hoy",IF($AN28-FechaRef&lt;=DiasAlerta,"Vence en "&amp;($AN28-FechaRef)&amp;IF($AN28-FechaRef=1," día"," días"),"En plazo")))))))</f>
        <v/>
      </c>
      <c r="P28" s="62" t="n"/>
      <c r="Q28" s="58" t="n"/>
      <c r="R28" s="63">
        <f>IF(NOT((COUNTA($B28:$D28)+COUNTA($G28:$L28)+COUNTA($Q28))&gt;0),"",IF((IF($C28="","Falta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",""))="","✔ OK","⚠ "&amp;LEFT(IF($C28="","Falta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",""),LEN(IF($C28="","Falta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",""))-3)))</f>
        <v/>
      </c>
      <c r="S28" s="64">
        <f>IF(NOT((COUNTA($B28:$D28)+COUNTA($G28:$L28)+COUNTA($Q28))&gt;0),"",IF(AND($V28="Sub",N($U28)&gt;0),IF(ISNUMBER(INDEX($AM$5:$AM$1000,$U28-4)),DATE(YEAR(INDEX($AM$5:$AM$1000,$U28-4)),MONTH(INDEX($AM$5:$AM$1000,$U28-4)),1),IF(ISNUMBER(INDEX($AN$5:$AN$1000,$U28-4)),DATE(YEAR(INDEX($AN$5:$AN$1000,$U28-4)),MONTH(INDEX($AN$5:$AN$1000,$U28-4)),1),MesCiclo)),IF(ISNUMBER($AM28),DATE(YEAR($AM28),MONTH($AM28),1),IF(ISNUMBER($AN28),DATE(YEAR($AN28),MONTH($AN28),1),MesCiclo))))</f>
        <v/>
      </c>
      <c r="T28" s="62">
        <f>IF(OR($S28="",$S28&lt;&gt;MesCiclo),"",COUNTIF($S$5:$S28,MesCiclo))</f>
        <v/>
      </c>
      <c r="U28" s="62">
        <f>IF($V28="","",IF($V28="Macro",ROW(),IFERROR(LOOKUP(2,1/($V$5:$V28="Macro"),ROW($V$5:$V28)),0)))</f>
        <v/>
      </c>
      <c r="V28" s="62">
        <f>IF(NOT((COUNTA($B28:$D28)+COUNTA($G28:$L28)+COUNTA($Q28))&gt;0),"",IF($B28="Subactividad","Sub","Macro"))</f>
        <v/>
      </c>
      <c r="W28" s="62">
        <f>IF($V28="Macro",COUNTIFS($U$5:$U$1000,ROW(),$V$5:$V$1000,"Sub"),"")</f>
        <v/>
      </c>
      <c r="X28" s="62">
        <f>IF($V28="","",IF(ISNUMBER($G28),1,IFERROR(LOOKUP(2,1/($I28:$L28&lt;&gt;""),$I28:$L28),0)))</f>
        <v/>
      </c>
      <c r="Y28" s="62">
        <f>IF($V28="","",IF(AND(ISNUMBER($G28),$G28&lt;=IF($S28=MesCiclo,InicioCiclo,$S28+MOD(2-WEEKDAY($S28),7))+6),1,IF(ISNUMBER($I28),$I28,0)))</f>
        <v/>
      </c>
      <c r="Z28" s="62">
        <f>IF($V28="","",IF(AND(ISNUMBER($G28),$G28&lt;=IF($S28=MesCiclo,InicioCiclo,$S28+MOD(2-WEEKDAY($S28),7))+13),1,IF(ISNUMBER($J28),$J28,$Y28)))</f>
        <v/>
      </c>
      <c r="AA28" s="62">
        <f>IF($V28="","",IF(AND(ISNUMBER($G28),$G28&lt;=IF($S28=MesCiclo,InicioCiclo,$S28+MOD(2-WEEKDAY($S28),7))+20),1,IF(ISNUMBER($K28),$K28,$Z28)))</f>
        <v/>
      </c>
      <c r="AB28" s="62">
        <f>IF($V28="","",IF(AND(ISNUMBER($G28),$G28&lt;=IF($S28=MesCiclo,InicioCiclo,$S28+MOD(2-WEEKDAY($S28),7))+27),1,IF(ISNUMBER($L28),$L28,$AA28)))</f>
        <v/>
      </c>
      <c r="AC28" s="62">
        <f>IF($V28="","",IF(AND(ISNUMBER($G28),$G28&lt;=IF($S28=MesCiclo,InicioCiclo,$S28+MOD(2-WEEKDAY($S28),7))+6),1,IF(N($W28)&gt;0,AVERAGEIFS($Y$5:$Y$1000,$U$5:$U$1000,ROW(),$V$5:$V$1000,"Sub"),$Y28)))</f>
        <v/>
      </c>
      <c r="AD28" s="62">
        <f>IF($V28="","",IF(AND(ISNUMBER($G28),$G28&lt;=IF($S28=MesCiclo,InicioCiclo,$S28+MOD(2-WEEKDAY($S28),7))+13),1,IF(N($W28)&gt;0,AVERAGEIFS($Z$5:$Z$1000,$U$5:$U$1000,ROW(),$V$5:$V$1000,"Sub"),$Z28)))</f>
        <v/>
      </c>
      <c r="AE28" s="62">
        <f>IF($V28="","",IF(AND(ISNUMBER($G28),$G28&lt;=IF($S28=MesCiclo,InicioCiclo,$S28+MOD(2-WEEKDAY($S28),7))+20),1,IF(N($W28)&gt;0,AVERAGEIFS($AA$5:$AA$1000,$U$5:$U$1000,ROW(),$V$5:$V$1000,"Sub"),$AA28)))</f>
        <v/>
      </c>
      <c r="AF28" s="62">
        <f>IF($V28="","",IF(AND(ISNUMBER($G28),$G28&lt;=IF($S28=MesCiclo,InicioCiclo,$S28+MOD(2-WEEKDAY($S28),7))+27),1,IF(N($W28)&gt;0,AVERAGEIFS($AB$5:$AB$1000,$U$5:$U$1000,ROW(),$V$5:$V$1000,"Sub"),$AB28)))</f>
        <v/>
      </c>
      <c r="AG28" s="62">
        <f>IF($V28&lt;&gt;"Macro","",IF(COUNTIFS($S$5:$S$1000,$S28,$V$5:$V$1000,"Macro",$H$5:$H$1000,"&gt;0")=0,1/COUNTIFS($S$5:$S$1000,$S28,$V$5:$V$1000,"Macro"),IF(AND(ISNUMBER($H28),N($H28)&gt;0),$H28,SUMIFS($H$5:$H$1000,$S$5:$S$1000,$S28,$V$5:$V$1000,"Macro")/COUNTIFS($S$5:$S$1000,$S28,$V$5:$V$1000,"Macro",$H$5:$H$1000,"&gt;0"))/(COUNTIFS($S$5:$S$1000,$S28,$V$5:$V$1000,"Macro")*SUMIFS($H$5:$H$1000,$S$5:$S$1000,$S28,$V$5:$V$1000,"Macro")/COUNTIFS($S$5:$S$1000,$S28,$V$5:$V$1000,"Macro",$H$5:$H$1000,"&gt;0"))))</f>
        <v/>
      </c>
      <c r="AH28" s="62" t="n"/>
      <c r="AI28" s="62" t="n"/>
      <c r="AJ28" s="62" t="n"/>
      <c r="AK28" s="62" t="n"/>
      <c r="AL28" s="62">
        <f>IF(LEFT($C28,11)="[Jefatura] ",IFERROR(MATCH("Riesgo Normativo|"&amp;MID($C28,12,500),rDname_ADM,0),0),"")</f>
        <v/>
      </c>
      <c r="AM28" s="62">
        <f>IF(N($AL28)&gt;0,INDEX(rIni_ADM,$AL28),IF(ISNUMBER($E28),$E28,""))</f>
        <v/>
      </c>
      <c r="AN28" s="62">
        <f>IF(N($AL28)&gt;0,INDEX(rLim_ADM,$AL28),IF(ISNUMBER($F28),$F28,""))</f>
        <v/>
      </c>
    </row>
    <row r="29">
      <c r="A29" s="56">
        <f>IF(NOT((COUNTA($B29:$D29)+COUNTA($G29:$L29)+COUNTA($Q29))&gt;0),"",IF($V29="Macro",COUNTIFS($V$5:$V29,"Macro",$S$5:$S29,$S29),IF(N($U29)=0,"?",COUNTIFS(INDEX($V$5:$V$1000,1):INDEX($V$5:$V$1000,$U29-4),"Macro",INDEX($S$5:$S$1000,1):INDEX($S$5:$S$1000,$U29-4),INDEX($S$5:$S$1000,$U29-4))&amp;"."&amp;COUNTIFS($U$5:$U29,$U29,$V$5:$V29,"Sub"))))</f>
        <v/>
      </c>
      <c r="B29" s="57" t="n"/>
      <c r="C29" s="58" t="n"/>
      <c r="D29" s="58" t="n"/>
      <c r="E29" s="59">
        <f>IF(N($AL29)&gt;0,INDEX(rIni_ADM,$AL29),"")</f>
        <v/>
      </c>
      <c r="F29" s="59">
        <f>IF(N($AL29)&gt;0,INDEX(rLim_ADM,$AL29),"")</f>
        <v/>
      </c>
      <c r="G29" s="59" t="n"/>
      <c r="H29" s="60" t="n"/>
      <c r="I29" s="60" t="n"/>
      <c r="J29" s="60" t="n"/>
      <c r="K29" s="60" t="n"/>
      <c r="L29" s="60" t="n"/>
      <c r="M29" s="61">
        <f>IF(NOT((COUNTA($B29:$D29)+COUNTA($G29:$L29)+COUNTA($Q29))&gt;0),"",IF(ISNUMBER($G29),1,IF(N($W29)&gt;0,AVERAGEIFS($X$5:$X$1000,$U$5:$U$1000,ROW(),$V$5:$V$1000,"Sub"),$X29)))</f>
        <v/>
      </c>
      <c r="N29" s="56">
        <f>IF($M29="","",IF($M29&gt;=1,"Completado",IF($M29&gt;0,"En curso","Pendiente")))</f>
        <v/>
      </c>
      <c r="O29" s="56">
        <f>IF(NOT((COUNTA($B29:$D29)+COUNTA($G29:$L29)+COUNTA($Q29))&gt;0),"",IF(ISNUMBER($G29),IF(AND(ISNUMBER($AN29),$G29&gt;$AN29),"Cumplida con "&amp;($G29-$AN29)&amp;IF($G29-$AN29=1," día"," días")&amp;" de retraso","Cumplida"),IF(N($M29)&gt;=1,"Cumplida",IF(NOT(ISNUMBER($AN29)),"Sin fecha límite",IF($AN29&lt;FechaRef,"Vencida hace "&amp;(FechaRef-$AN29)&amp;IF(FechaRef-$AN29=1," día"," días"),IF($AN29=FechaRef,"Vence hoy",IF($AN29-FechaRef&lt;=DiasAlerta,"Vence en "&amp;($AN29-FechaRef)&amp;IF($AN29-FechaRef=1," día"," días"),"En plazo")))))))</f>
        <v/>
      </c>
      <c r="P29" s="62" t="n"/>
      <c r="Q29" s="58" t="n"/>
      <c r="R29" s="63">
        <f>IF(NOT((COUNTA($B29:$D29)+COUNTA($G29:$L29)+COUNTA($Q29))&gt;0),"",IF((IF($C29="","Falta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",""))="","✔ OK","⚠ "&amp;LEFT(IF($C29="","Falta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",""),LEN(IF($C29="","Falta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",""))-3)))</f>
        <v/>
      </c>
      <c r="S29" s="64">
        <f>IF(NOT((COUNTA($B29:$D29)+COUNTA($G29:$L29)+COUNTA($Q29))&gt;0),"",IF(AND($V29="Sub",N($U29)&gt;0),IF(ISNUMBER(INDEX($AM$5:$AM$1000,$U29-4)),DATE(YEAR(INDEX($AM$5:$AM$1000,$U29-4)),MONTH(INDEX($AM$5:$AM$1000,$U29-4)),1),IF(ISNUMBER(INDEX($AN$5:$AN$1000,$U29-4)),DATE(YEAR(INDEX($AN$5:$AN$1000,$U29-4)),MONTH(INDEX($AN$5:$AN$1000,$U29-4)),1),MesCiclo)),IF(ISNUMBER($AM29),DATE(YEAR($AM29),MONTH($AM29),1),IF(ISNUMBER($AN29),DATE(YEAR($AN29),MONTH($AN29),1),MesCiclo))))</f>
        <v/>
      </c>
      <c r="T29" s="62">
        <f>IF(OR($S29="",$S29&lt;&gt;MesCiclo),"",COUNTIF($S$5:$S29,MesCiclo))</f>
        <v/>
      </c>
      <c r="U29" s="62">
        <f>IF($V29="","",IF($V29="Macro",ROW(),IFERROR(LOOKUP(2,1/($V$5:$V29="Macro"),ROW($V$5:$V29)),0)))</f>
        <v/>
      </c>
      <c r="V29" s="62">
        <f>IF(NOT((COUNTA($B29:$D29)+COUNTA($G29:$L29)+COUNTA($Q29))&gt;0),"",IF($B29="Subactividad","Sub","Macro"))</f>
        <v/>
      </c>
      <c r="W29" s="62">
        <f>IF($V29="Macro",COUNTIFS($U$5:$U$1000,ROW(),$V$5:$V$1000,"Sub"),"")</f>
        <v/>
      </c>
      <c r="X29" s="62">
        <f>IF($V29="","",IF(ISNUMBER($G29),1,IFERROR(LOOKUP(2,1/($I29:$L29&lt;&gt;""),$I29:$L29),0)))</f>
        <v/>
      </c>
      <c r="Y29" s="62">
        <f>IF($V29="","",IF(AND(ISNUMBER($G29),$G29&lt;=IF($S29=MesCiclo,InicioCiclo,$S29+MOD(2-WEEKDAY($S29),7))+6),1,IF(ISNUMBER($I29),$I29,0)))</f>
        <v/>
      </c>
      <c r="Z29" s="62">
        <f>IF($V29="","",IF(AND(ISNUMBER($G29),$G29&lt;=IF($S29=MesCiclo,InicioCiclo,$S29+MOD(2-WEEKDAY($S29),7))+13),1,IF(ISNUMBER($J29),$J29,$Y29)))</f>
        <v/>
      </c>
      <c r="AA29" s="62">
        <f>IF($V29="","",IF(AND(ISNUMBER($G29),$G29&lt;=IF($S29=MesCiclo,InicioCiclo,$S29+MOD(2-WEEKDAY($S29),7))+20),1,IF(ISNUMBER($K29),$K29,$Z29)))</f>
        <v/>
      </c>
      <c r="AB29" s="62">
        <f>IF($V29="","",IF(AND(ISNUMBER($G29),$G29&lt;=IF($S29=MesCiclo,InicioCiclo,$S29+MOD(2-WEEKDAY($S29),7))+27),1,IF(ISNUMBER($L29),$L29,$AA29)))</f>
        <v/>
      </c>
      <c r="AC29" s="62">
        <f>IF($V29="","",IF(AND(ISNUMBER($G29),$G29&lt;=IF($S29=MesCiclo,InicioCiclo,$S29+MOD(2-WEEKDAY($S29),7))+6),1,IF(N($W29)&gt;0,AVERAGEIFS($Y$5:$Y$1000,$U$5:$U$1000,ROW(),$V$5:$V$1000,"Sub"),$Y29)))</f>
        <v/>
      </c>
      <c r="AD29" s="62">
        <f>IF($V29="","",IF(AND(ISNUMBER($G29),$G29&lt;=IF($S29=MesCiclo,InicioCiclo,$S29+MOD(2-WEEKDAY($S29),7))+13),1,IF(N($W29)&gt;0,AVERAGEIFS($Z$5:$Z$1000,$U$5:$U$1000,ROW(),$V$5:$V$1000,"Sub"),$Z29)))</f>
        <v/>
      </c>
      <c r="AE29" s="62">
        <f>IF($V29="","",IF(AND(ISNUMBER($G29),$G29&lt;=IF($S29=MesCiclo,InicioCiclo,$S29+MOD(2-WEEKDAY($S29),7))+20),1,IF(N($W29)&gt;0,AVERAGEIFS($AA$5:$AA$1000,$U$5:$U$1000,ROW(),$V$5:$V$1000,"Sub"),$AA29)))</f>
        <v/>
      </c>
      <c r="AF29" s="62">
        <f>IF($V29="","",IF(AND(ISNUMBER($G29),$G29&lt;=IF($S29=MesCiclo,InicioCiclo,$S29+MOD(2-WEEKDAY($S29),7))+27),1,IF(N($W29)&gt;0,AVERAGEIFS($AB$5:$AB$1000,$U$5:$U$1000,ROW(),$V$5:$V$1000,"Sub"),$AB29)))</f>
        <v/>
      </c>
      <c r="AG29" s="62">
        <f>IF($V29&lt;&gt;"Macro","",IF(COUNTIFS($S$5:$S$1000,$S29,$V$5:$V$1000,"Macro",$H$5:$H$1000,"&gt;0")=0,1/COUNTIFS($S$5:$S$1000,$S29,$V$5:$V$1000,"Macro"),IF(AND(ISNUMBER($H29),N($H29)&gt;0),$H29,SUMIFS($H$5:$H$1000,$S$5:$S$1000,$S29,$V$5:$V$1000,"Macro")/COUNTIFS($S$5:$S$1000,$S29,$V$5:$V$1000,"Macro",$H$5:$H$1000,"&gt;0"))/(COUNTIFS($S$5:$S$1000,$S29,$V$5:$V$1000,"Macro")*SUMIFS($H$5:$H$1000,$S$5:$S$1000,$S29,$V$5:$V$1000,"Macro")/COUNTIFS($S$5:$S$1000,$S29,$V$5:$V$1000,"Macro",$H$5:$H$1000,"&gt;0"))))</f>
        <v/>
      </c>
      <c r="AH29" s="62" t="n"/>
      <c r="AI29" s="62" t="n"/>
      <c r="AJ29" s="62" t="n"/>
      <c r="AK29" s="62" t="n"/>
      <c r="AL29" s="62">
        <f>IF(LEFT($C29,11)="[Jefatura] ",IFERROR(MATCH("Riesgo Normativo|"&amp;MID($C29,12,500),rDname_ADM,0),0),"")</f>
        <v/>
      </c>
      <c r="AM29" s="62">
        <f>IF(N($AL29)&gt;0,INDEX(rIni_ADM,$AL29),IF(ISNUMBER($E29),$E29,""))</f>
        <v/>
      </c>
      <c r="AN29" s="62">
        <f>IF(N($AL29)&gt;0,INDEX(rLim_ADM,$AL29),IF(ISNUMBER($F29),$F29,""))</f>
        <v/>
      </c>
    </row>
    <row r="30">
      <c r="A30" s="56">
        <f>IF(NOT((COUNTA($B30:$D30)+COUNTA($G30:$L30)+COUNTA($Q30))&gt;0),"",IF($V30="Macro",COUNTIFS($V$5:$V30,"Macro",$S$5:$S30,$S30),IF(N($U30)=0,"?",COUNTIFS(INDEX($V$5:$V$1000,1):INDEX($V$5:$V$1000,$U30-4),"Macro",INDEX($S$5:$S$1000,1):INDEX($S$5:$S$1000,$U30-4),INDEX($S$5:$S$1000,$U30-4))&amp;"."&amp;COUNTIFS($U$5:$U30,$U30,$V$5:$V30,"Sub"))))</f>
        <v/>
      </c>
      <c r="B30" s="57" t="n"/>
      <c r="C30" s="58" t="n"/>
      <c r="D30" s="58" t="n"/>
      <c r="E30" s="59">
        <f>IF(N($AL30)&gt;0,INDEX(rIni_ADM,$AL30),"")</f>
        <v/>
      </c>
      <c r="F30" s="59">
        <f>IF(N($AL30)&gt;0,INDEX(rLim_ADM,$AL30),"")</f>
        <v/>
      </c>
      <c r="G30" s="59" t="n"/>
      <c r="H30" s="60" t="n"/>
      <c r="I30" s="60" t="n"/>
      <c r="J30" s="60" t="n"/>
      <c r="K30" s="60" t="n"/>
      <c r="L30" s="60" t="n"/>
      <c r="M30" s="61">
        <f>IF(NOT((COUNTA($B30:$D30)+COUNTA($G30:$L30)+COUNTA($Q30))&gt;0),"",IF(ISNUMBER($G30),1,IF(N($W30)&gt;0,AVERAGEIFS($X$5:$X$1000,$U$5:$U$1000,ROW(),$V$5:$V$1000,"Sub"),$X30)))</f>
        <v/>
      </c>
      <c r="N30" s="56">
        <f>IF($M30="","",IF($M30&gt;=1,"Completado",IF($M30&gt;0,"En curso","Pendiente")))</f>
        <v/>
      </c>
      <c r="O30" s="56">
        <f>IF(NOT((COUNTA($B30:$D30)+COUNTA($G30:$L30)+COUNTA($Q30))&gt;0),"",IF(ISNUMBER($G30),IF(AND(ISNUMBER($AN30),$G30&gt;$AN30),"Cumplida con "&amp;($G30-$AN30)&amp;IF($G30-$AN30=1," día"," días")&amp;" de retraso","Cumplida"),IF(N($M30)&gt;=1,"Cumplida",IF(NOT(ISNUMBER($AN30)),"Sin fecha límite",IF($AN30&lt;FechaRef,"Vencida hace "&amp;(FechaRef-$AN30)&amp;IF(FechaRef-$AN30=1," día"," días"),IF($AN30=FechaRef,"Vence hoy",IF($AN30-FechaRef&lt;=DiasAlerta,"Vence en "&amp;($AN30-FechaRef)&amp;IF($AN30-FechaRef=1," día"," días"),"En plazo")))))))</f>
        <v/>
      </c>
      <c r="P30" s="62" t="n"/>
      <c r="Q30" s="58" t="n"/>
      <c r="R30" s="63">
        <f>IF(NOT((COUNTA($B30:$D30)+COUNTA($G30:$L30)+COUNTA($Q30))&gt;0),"",IF((IF($C30="","Falta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",""))="","✔ OK","⚠ "&amp;LEFT(IF($C30="","Falta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",""),LEN(IF($C30="","Falta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",""))-3)))</f>
        <v/>
      </c>
      <c r="S30" s="64">
        <f>IF(NOT((COUNTA($B30:$D30)+COUNTA($G30:$L30)+COUNTA($Q30))&gt;0),"",IF(AND($V30="Sub",N($U30)&gt;0),IF(ISNUMBER(INDEX($AM$5:$AM$1000,$U30-4)),DATE(YEAR(INDEX($AM$5:$AM$1000,$U30-4)),MONTH(INDEX($AM$5:$AM$1000,$U30-4)),1),IF(ISNUMBER(INDEX($AN$5:$AN$1000,$U30-4)),DATE(YEAR(INDEX($AN$5:$AN$1000,$U30-4)),MONTH(INDEX($AN$5:$AN$1000,$U30-4)),1),MesCiclo)),IF(ISNUMBER($AM30),DATE(YEAR($AM30),MONTH($AM30),1),IF(ISNUMBER($AN30),DATE(YEAR($AN30),MONTH($AN30),1),MesCiclo))))</f>
        <v/>
      </c>
      <c r="T30" s="62">
        <f>IF(OR($S30="",$S30&lt;&gt;MesCiclo),"",COUNTIF($S$5:$S30,MesCiclo))</f>
        <v/>
      </c>
      <c r="U30" s="62">
        <f>IF($V30="","",IF($V30="Macro",ROW(),IFERROR(LOOKUP(2,1/($V$5:$V30="Macro"),ROW($V$5:$V30)),0)))</f>
        <v/>
      </c>
      <c r="V30" s="62">
        <f>IF(NOT((COUNTA($B30:$D30)+COUNTA($G30:$L30)+COUNTA($Q30))&gt;0),"",IF($B30="Subactividad","Sub","Macro"))</f>
        <v/>
      </c>
      <c r="W30" s="62">
        <f>IF($V30="Macro",COUNTIFS($U$5:$U$1000,ROW(),$V$5:$V$1000,"Sub"),"")</f>
        <v/>
      </c>
      <c r="X30" s="62">
        <f>IF($V30="","",IF(ISNUMBER($G30),1,IFERROR(LOOKUP(2,1/($I30:$L30&lt;&gt;""),$I30:$L30),0)))</f>
        <v/>
      </c>
      <c r="Y30" s="62">
        <f>IF($V30="","",IF(AND(ISNUMBER($G30),$G30&lt;=IF($S30=MesCiclo,InicioCiclo,$S30+MOD(2-WEEKDAY($S30),7))+6),1,IF(ISNUMBER($I30),$I30,0)))</f>
        <v/>
      </c>
      <c r="Z30" s="62">
        <f>IF($V30="","",IF(AND(ISNUMBER($G30),$G30&lt;=IF($S30=MesCiclo,InicioCiclo,$S30+MOD(2-WEEKDAY($S30),7))+13),1,IF(ISNUMBER($J30),$J30,$Y30)))</f>
        <v/>
      </c>
      <c r="AA30" s="62">
        <f>IF($V30="","",IF(AND(ISNUMBER($G30),$G30&lt;=IF($S30=MesCiclo,InicioCiclo,$S30+MOD(2-WEEKDAY($S30),7))+20),1,IF(ISNUMBER($K30),$K30,$Z30)))</f>
        <v/>
      </c>
      <c r="AB30" s="62">
        <f>IF($V30="","",IF(AND(ISNUMBER($G30),$G30&lt;=IF($S30=MesCiclo,InicioCiclo,$S30+MOD(2-WEEKDAY($S30),7))+27),1,IF(ISNUMBER($L30),$L30,$AA30)))</f>
        <v/>
      </c>
      <c r="AC30" s="62">
        <f>IF($V30="","",IF(AND(ISNUMBER($G30),$G30&lt;=IF($S30=MesCiclo,InicioCiclo,$S30+MOD(2-WEEKDAY($S30),7))+6),1,IF(N($W30)&gt;0,AVERAGEIFS($Y$5:$Y$1000,$U$5:$U$1000,ROW(),$V$5:$V$1000,"Sub"),$Y30)))</f>
        <v/>
      </c>
      <c r="AD30" s="62">
        <f>IF($V30="","",IF(AND(ISNUMBER($G30),$G30&lt;=IF($S30=MesCiclo,InicioCiclo,$S30+MOD(2-WEEKDAY($S30),7))+13),1,IF(N($W30)&gt;0,AVERAGEIFS($Z$5:$Z$1000,$U$5:$U$1000,ROW(),$V$5:$V$1000,"Sub"),$Z30)))</f>
        <v/>
      </c>
      <c r="AE30" s="62">
        <f>IF($V30="","",IF(AND(ISNUMBER($G30),$G30&lt;=IF($S30=MesCiclo,InicioCiclo,$S30+MOD(2-WEEKDAY($S30),7))+20),1,IF(N($W30)&gt;0,AVERAGEIFS($AA$5:$AA$1000,$U$5:$U$1000,ROW(),$V$5:$V$1000,"Sub"),$AA30)))</f>
        <v/>
      </c>
      <c r="AF30" s="62">
        <f>IF($V30="","",IF(AND(ISNUMBER($G30),$G30&lt;=IF($S30=MesCiclo,InicioCiclo,$S30+MOD(2-WEEKDAY($S30),7))+27),1,IF(N($W30)&gt;0,AVERAGEIFS($AB$5:$AB$1000,$U$5:$U$1000,ROW(),$V$5:$V$1000,"Sub"),$AB30)))</f>
        <v/>
      </c>
      <c r="AG30" s="62">
        <f>IF($V30&lt;&gt;"Macro","",IF(COUNTIFS($S$5:$S$1000,$S30,$V$5:$V$1000,"Macro",$H$5:$H$1000,"&gt;0")=0,1/COUNTIFS($S$5:$S$1000,$S30,$V$5:$V$1000,"Macro"),IF(AND(ISNUMBER($H30),N($H30)&gt;0),$H30,SUMIFS($H$5:$H$1000,$S$5:$S$1000,$S30,$V$5:$V$1000,"Macro")/COUNTIFS($S$5:$S$1000,$S30,$V$5:$V$1000,"Macro",$H$5:$H$1000,"&gt;0"))/(COUNTIFS($S$5:$S$1000,$S30,$V$5:$V$1000,"Macro")*SUMIFS($H$5:$H$1000,$S$5:$S$1000,$S30,$V$5:$V$1000,"Macro")/COUNTIFS($S$5:$S$1000,$S30,$V$5:$V$1000,"Macro",$H$5:$H$1000,"&gt;0"))))</f>
        <v/>
      </c>
      <c r="AH30" s="62" t="n"/>
      <c r="AI30" s="62" t="n"/>
      <c r="AJ30" s="62" t="n"/>
      <c r="AK30" s="62" t="n"/>
      <c r="AL30" s="62">
        <f>IF(LEFT($C30,11)="[Jefatura] ",IFERROR(MATCH("Riesgo Normativo|"&amp;MID($C30,12,500),rDname_ADM,0),0),"")</f>
        <v/>
      </c>
      <c r="AM30" s="62">
        <f>IF(N($AL30)&gt;0,INDEX(rIni_ADM,$AL30),IF(ISNUMBER($E30),$E30,""))</f>
        <v/>
      </c>
      <c r="AN30" s="62">
        <f>IF(N($AL30)&gt;0,INDEX(rLim_ADM,$AL30),IF(ISNUMBER($F30),$F30,""))</f>
        <v/>
      </c>
    </row>
    <row r="31">
      <c r="A31" s="56">
        <f>IF(NOT((COUNTA($B31:$D31)+COUNTA($G31:$L31)+COUNTA($Q31))&gt;0),"",IF($V31="Macro",COUNTIFS($V$5:$V31,"Macro",$S$5:$S31,$S31),IF(N($U31)=0,"?",COUNTIFS(INDEX($V$5:$V$1000,1):INDEX($V$5:$V$1000,$U31-4),"Macro",INDEX($S$5:$S$1000,1):INDEX($S$5:$S$1000,$U31-4),INDEX($S$5:$S$1000,$U31-4))&amp;"."&amp;COUNTIFS($U$5:$U31,$U31,$V$5:$V31,"Sub"))))</f>
        <v/>
      </c>
      <c r="B31" s="57" t="n"/>
      <c r="C31" s="58" t="n"/>
      <c r="D31" s="58" t="n"/>
      <c r="E31" s="59">
        <f>IF(N($AL31)&gt;0,INDEX(rIni_ADM,$AL31),"")</f>
        <v/>
      </c>
      <c r="F31" s="59">
        <f>IF(N($AL31)&gt;0,INDEX(rLim_ADM,$AL31),"")</f>
        <v/>
      </c>
      <c r="G31" s="59" t="n"/>
      <c r="H31" s="60" t="n"/>
      <c r="I31" s="60" t="n"/>
      <c r="J31" s="60" t="n"/>
      <c r="K31" s="60" t="n"/>
      <c r="L31" s="60" t="n"/>
      <c r="M31" s="61">
        <f>IF(NOT((COUNTA($B31:$D31)+COUNTA($G31:$L31)+COUNTA($Q31))&gt;0),"",IF(ISNUMBER($G31),1,IF(N($W31)&gt;0,AVERAGEIFS($X$5:$X$1000,$U$5:$U$1000,ROW(),$V$5:$V$1000,"Sub"),$X31)))</f>
        <v/>
      </c>
      <c r="N31" s="56">
        <f>IF($M31="","",IF($M31&gt;=1,"Completado",IF($M31&gt;0,"En curso","Pendiente")))</f>
        <v/>
      </c>
      <c r="O31" s="56">
        <f>IF(NOT((COUNTA($B31:$D31)+COUNTA($G31:$L31)+COUNTA($Q31))&gt;0),"",IF(ISNUMBER($G31),IF(AND(ISNUMBER($AN31),$G31&gt;$AN31),"Cumplida con "&amp;($G31-$AN31)&amp;IF($G31-$AN31=1," día"," días")&amp;" de retraso","Cumplida"),IF(N($M31)&gt;=1,"Cumplida",IF(NOT(ISNUMBER($AN31)),"Sin fecha límite",IF($AN31&lt;FechaRef,"Vencida hace "&amp;(FechaRef-$AN31)&amp;IF(FechaRef-$AN31=1," día"," días"),IF($AN31=FechaRef,"Vence hoy",IF($AN31-FechaRef&lt;=DiasAlerta,"Vence en "&amp;($AN31-FechaRef)&amp;IF($AN31-FechaRef=1," día"," días"),"En plazo")))))))</f>
        <v/>
      </c>
      <c r="P31" s="62" t="n"/>
      <c r="Q31" s="58" t="n"/>
      <c r="R31" s="63">
        <f>IF(NOT((COUNTA($B31:$D31)+COUNTA($G31:$L31)+COUNTA($Q31))&gt;0),"",IF((IF($C31="","Falta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",""))="","✔ OK","⚠ "&amp;LEFT(IF($C31="","Falta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",""),LEN(IF($C31="","Falta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",""))-3)))</f>
        <v/>
      </c>
      <c r="S31" s="64">
        <f>IF(NOT((COUNTA($B31:$D31)+COUNTA($G31:$L31)+COUNTA($Q31))&gt;0),"",IF(AND($V31="Sub",N($U31)&gt;0),IF(ISNUMBER(INDEX($AM$5:$AM$1000,$U31-4)),DATE(YEAR(INDEX($AM$5:$AM$1000,$U31-4)),MONTH(INDEX($AM$5:$AM$1000,$U31-4)),1),IF(ISNUMBER(INDEX($AN$5:$AN$1000,$U31-4)),DATE(YEAR(INDEX($AN$5:$AN$1000,$U31-4)),MONTH(INDEX($AN$5:$AN$1000,$U31-4)),1),MesCiclo)),IF(ISNUMBER($AM31),DATE(YEAR($AM31),MONTH($AM31),1),IF(ISNUMBER($AN31),DATE(YEAR($AN31),MONTH($AN31),1),MesCiclo))))</f>
        <v/>
      </c>
      <c r="T31" s="62">
        <f>IF(OR($S31="",$S31&lt;&gt;MesCiclo),"",COUNTIF($S$5:$S31,MesCiclo))</f>
        <v/>
      </c>
      <c r="U31" s="62">
        <f>IF($V31="","",IF($V31="Macro",ROW(),IFERROR(LOOKUP(2,1/($V$5:$V31="Macro"),ROW($V$5:$V31)),0)))</f>
        <v/>
      </c>
      <c r="V31" s="62">
        <f>IF(NOT((COUNTA($B31:$D31)+COUNTA($G31:$L31)+COUNTA($Q31))&gt;0),"",IF($B31="Subactividad","Sub","Macro"))</f>
        <v/>
      </c>
      <c r="W31" s="62">
        <f>IF($V31="Macro",COUNTIFS($U$5:$U$1000,ROW(),$V$5:$V$1000,"Sub"),"")</f>
        <v/>
      </c>
      <c r="X31" s="62">
        <f>IF($V31="","",IF(ISNUMBER($G31),1,IFERROR(LOOKUP(2,1/($I31:$L31&lt;&gt;""),$I31:$L31),0)))</f>
        <v/>
      </c>
      <c r="Y31" s="62">
        <f>IF($V31="","",IF(AND(ISNUMBER($G31),$G31&lt;=IF($S31=MesCiclo,InicioCiclo,$S31+MOD(2-WEEKDAY($S31),7))+6),1,IF(ISNUMBER($I31),$I31,0)))</f>
        <v/>
      </c>
      <c r="Z31" s="62">
        <f>IF($V31="","",IF(AND(ISNUMBER($G31),$G31&lt;=IF($S31=MesCiclo,InicioCiclo,$S31+MOD(2-WEEKDAY($S31),7))+13),1,IF(ISNUMBER($J31),$J31,$Y31)))</f>
        <v/>
      </c>
      <c r="AA31" s="62">
        <f>IF($V31="","",IF(AND(ISNUMBER($G31),$G31&lt;=IF($S31=MesCiclo,InicioCiclo,$S31+MOD(2-WEEKDAY($S31),7))+20),1,IF(ISNUMBER($K31),$K31,$Z31)))</f>
        <v/>
      </c>
      <c r="AB31" s="62">
        <f>IF($V31="","",IF(AND(ISNUMBER($G31),$G31&lt;=IF($S31=MesCiclo,InicioCiclo,$S31+MOD(2-WEEKDAY($S31),7))+27),1,IF(ISNUMBER($L31),$L31,$AA31)))</f>
        <v/>
      </c>
      <c r="AC31" s="62">
        <f>IF($V31="","",IF(AND(ISNUMBER($G31),$G31&lt;=IF($S31=MesCiclo,InicioCiclo,$S31+MOD(2-WEEKDAY($S31),7))+6),1,IF(N($W31)&gt;0,AVERAGEIFS($Y$5:$Y$1000,$U$5:$U$1000,ROW(),$V$5:$V$1000,"Sub"),$Y31)))</f>
        <v/>
      </c>
      <c r="AD31" s="62">
        <f>IF($V31="","",IF(AND(ISNUMBER($G31),$G31&lt;=IF($S31=MesCiclo,InicioCiclo,$S31+MOD(2-WEEKDAY($S31),7))+13),1,IF(N($W31)&gt;0,AVERAGEIFS($Z$5:$Z$1000,$U$5:$U$1000,ROW(),$V$5:$V$1000,"Sub"),$Z31)))</f>
        <v/>
      </c>
      <c r="AE31" s="62">
        <f>IF($V31="","",IF(AND(ISNUMBER($G31),$G31&lt;=IF($S31=MesCiclo,InicioCiclo,$S31+MOD(2-WEEKDAY($S31),7))+20),1,IF(N($W31)&gt;0,AVERAGEIFS($AA$5:$AA$1000,$U$5:$U$1000,ROW(),$V$5:$V$1000,"Sub"),$AA31)))</f>
        <v/>
      </c>
      <c r="AF31" s="62">
        <f>IF($V31="","",IF(AND(ISNUMBER($G31),$G31&lt;=IF($S31=MesCiclo,InicioCiclo,$S31+MOD(2-WEEKDAY($S31),7))+27),1,IF(N($W31)&gt;0,AVERAGEIFS($AB$5:$AB$1000,$U$5:$U$1000,ROW(),$V$5:$V$1000,"Sub"),$AB31)))</f>
        <v/>
      </c>
      <c r="AG31" s="62">
        <f>IF($V31&lt;&gt;"Macro","",IF(COUNTIFS($S$5:$S$1000,$S31,$V$5:$V$1000,"Macro",$H$5:$H$1000,"&gt;0")=0,1/COUNTIFS($S$5:$S$1000,$S31,$V$5:$V$1000,"Macro"),IF(AND(ISNUMBER($H31),N($H31)&gt;0),$H31,SUMIFS($H$5:$H$1000,$S$5:$S$1000,$S31,$V$5:$V$1000,"Macro")/COUNTIFS($S$5:$S$1000,$S31,$V$5:$V$1000,"Macro",$H$5:$H$1000,"&gt;0"))/(COUNTIFS($S$5:$S$1000,$S31,$V$5:$V$1000,"Macro")*SUMIFS($H$5:$H$1000,$S$5:$S$1000,$S31,$V$5:$V$1000,"Macro")/COUNTIFS($S$5:$S$1000,$S31,$V$5:$V$1000,"Macro",$H$5:$H$1000,"&gt;0"))))</f>
        <v/>
      </c>
      <c r="AH31" s="62" t="n"/>
      <c r="AI31" s="62" t="n"/>
      <c r="AJ31" s="62" t="n"/>
      <c r="AK31" s="62" t="n"/>
      <c r="AL31" s="62">
        <f>IF(LEFT($C31,11)="[Jefatura] ",IFERROR(MATCH("Riesgo Normativo|"&amp;MID($C31,12,500),rDname_ADM,0),0),"")</f>
        <v/>
      </c>
      <c r="AM31" s="62">
        <f>IF(N($AL31)&gt;0,INDEX(rIni_ADM,$AL31),IF(ISNUMBER($E31),$E31,""))</f>
        <v/>
      </c>
      <c r="AN31" s="62">
        <f>IF(N($AL31)&gt;0,INDEX(rLim_ADM,$AL31),IF(ISNUMBER($F31),$F31,""))</f>
        <v/>
      </c>
    </row>
    <row r="32">
      <c r="A32" s="56">
        <f>IF(NOT((COUNTA($B32:$D32)+COUNTA($G32:$L32)+COUNTA($Q32))&gt;0),"",IF($V32="Macro",COUNTIFS($V$5:$V32,"Macro",$S$5:$S32,$S32),IF(N($U32)=0,"?",COUNTIFS(INDEX($V$5:$V$1000,1):INDEX($V$5:$V$1000,$U32-4),"Macro",INDEX($S$5:$S$1000,1):INDEX($S$5:$S$1000,$U32-4),INDEX($S$5:$S$1000,$U32-4))&amp;"."&amp;COUNTIFS($U$5:$U32,$U32,$V$5:$V32,"Sub"))))</f>
        <v/>
      </c>
      <c r="B32" s="57" t="n"/>
      <c r="C32" s="58" t="n"/>
      <c r="D32" s="58" t="n"/>
      <c r="E32" s="59">
        <f>IF(N($AL32)&gt;0,INDEX(rIni_ADM,$AL32),"")</f>
        <v/>
      </c>
      <c r="F32" s="59">
        <f>IF(N($AL32)&gt;0,INDEX(rLim_ADM,$AL32),"")</f>
        <v/>
      </c>
      <c r="G32" s="59" t="n"/>
      <c r="H32" s="60" t="n"/>
      <c r="I32" s="60" t="n"/>
      <c r="J32" s="60" t="n"/>
      <c r="K32" s="60" t="n"/>
      <c r="L32" s="60" t="n"/>
      <c r="M32" s="61">
        <f>IF(NOT((COUNTA($B32:$D32)+COUNTA($G32:$L32)+COUNTA($Q32))&gt;0),"",IF(ISNUMBER($G32),1,IF(N($W32)&gt;0,AVERAGEIFS($X$5:$X$1000,$U$5:$U$1000,ROW(),$V$5:$V$1000,"Sub"),$X32)))</f>
        <v/>
      </c>
      <c r="N32" s="56">
        <f>IF($M32="","",IF($M32&gt;=1,"Completado",IF($M32&gt;0,"En curso","Pendiente")))</f>
        <v/>
      </c>
      <c r="O32" s="56">
        <f>IF(NOT((COUNTA($B32:$D32)+COUNTA($G32:$L32)+COUNTA($Q32))&gt;0),"",IF(ISNUMBER($G32),IF(AND(ISNUMBER($AN32),$G32&gt;$AN32),"Cumplida con "&amp;($G32-$AN32)&amp;IF($G32-$AN32=1," día"," días")&amp;" de retraso","Cumplida"),IF(N($M32)&gt;=1,"Cumplida",IF(NOT(ISNUMBER($AN32)),"Sin fecha límite",IF($AN32&lt;FechaRef,"Vencida hace "&amp;(FechaRef-$AN32)&amp;IF(FechaRef-$AN32=1," día"," días"),IF($AN32=FechaRef,"Vence hoy",IF($AN32-FechaRef&lt;=DiasAlerta,"Vence en "&amp;($AN32-FechaRef)&amp;IF($AN32-FechaRef=1," día"," días"),"En plazo")))))))</f>
        <v/>
      </c>
      <c r="P32" s="62" t="n"/>
      <c r="Q32" s="58" t="n"/>
      <c r="R32" s="63">
        <f>IF(NOT((COUNTA($B32:$D32)+COUNTA($G32:$L32)+COUNTA($Q32))&gt;0),"",IF((IF($C32="","Falta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",""))="","✔ OK","⚠ "&amp;LEFT(IF($C32="","Falta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",""),LEN(IF($C32="","Falta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",""))-3)))</f>
        <v/>
      </c>
      <c r="S32" s="64">
        <f>IF(NOT((COUNTA($B32:$D32)+COUNTA($G32:$L32)+COUNTA($Q32))&gt;0),"",IF(AND($V32="Sub",N($U32)&gt;0),IF(ISNUMBER(INDEX($AM$5:$AM$1000,$U32-4)),DATE(YEAR(INDEX($AM$5:$AM$1000,$U32-4)),MONTH(INDEX($AM$5:$AM$1000,$U32-4)),1),IF(ISNUMBER(INDEX($AN$5:$AN$1000,$U32-4)),DATE(YEAR(INDEX($AN$5:$AN$1000,$U32-4)),MONTH(INDEX($AN$5:$AN$1000,$U32-4)),1),MesCiclo)),IF(ISNUMBER($AM32),DATE(YEAR($AM32),MONTH($AM32),1),IF(ISNUMBER($AN32),DATE(YEAR($AN32),MONTH($AN32),1),MesCiclo))))</f>
        <v/>
      </c>
      <c r="T32" s="62">
        <f>IF(OR($S32="",$S32&lt;&gt;MesCiclo),"",COUNTIF($S$5:$S32,MesCiclo))</f>
        <v/>
      </c>
      <c r="U32" s="62">
        <f>IF($V32="","",IF($V32="Macro",ROW(),IFERROR(LOOKUP(2,1/($V$5:$V32="Macro"),ROW($V$5:$V32)),0)))</f>
        <v/>
      </c>
      <c r="V32" s="62">
        <f>IF(NOT((COUNTA($B32:$D32)+COUNTA($G32:$L32)+COUNTA($Q32))&gt;0),"",IF($B32="Subactividad","Sub","Macro"))</f>
        <v/>
      </c>
      <c r="W32" s="62">
        <f>IF($V32="Macro",COUNTIFS($U$5:$U$1000,ROW(),$V$5:$V$1000,"Sub"),"")</f>
        <v/>
      </c>
      <c r="X32" s="62">
        <f>IF($V32="","",IF(ISNUMBER($G32),1,IFERROR(LOOKUP(2,1/($I32:$L32&lt;&gt;""),$I32:$L32),0)))</f>
        <v/>
      </c>
      <c r="Y32" s="62">
        <f>IF($V32="","",IF(AND(ISNUMBER($G32),$G32&lt;=IF($S32=MesCiclo,InicioCiclo,$S32+MOD(2-WEEKDAY($S32),7))+6),1,IF(ISNUMBER($I32),$I32,0)))</f>
        <v/>
      </c>
      <c r="Z32" s="62">
        <f>IF($V32="","",IF(AND(ISNUMBER($G32),$G32&lt;=IF($S32=MesCiclo,InicioCiclo,$S32+MOD(2-WEEKDAY($S32),7))+13),1,IF(ISNUMBER($J32),$J32,$Y32)))</f>
        <v/>
      </c>
      <c r="AA32" s="62">
        <f>IF($V32="","",IF(AND(ISNUMBER($G32),$G32&lt;=IF($S32=MesCiclo,InicioCiclo,$S32+MOD(2-WEEKDAY($S32),7))+20),1,IF(ISNUMBER($K32),$K32,$Z32)))</f>
        <v/>
      </c>
      <c r="AB32" s="62">
        <f>IF($V32="","",IF(AND(ISNUMBER($G32),$G32&lt;=IF($S32=MesCiclo,InicioCiclo,$S32+MOD(2-WEEKDAY($S32),7))+27),1,IF(ISNUMBER($L32),$L32,$AA32)))</f>
        <v/>
      </c>
      <c r="AC32" s="62">
        <f>IF($V32="","",IF(AND(ISNUMBER($G32),$G32&lt;=IF($S32=MesCiclo,InicioCiclo,$S32+MOD(2-WEEKDAY($S32),7))+6),1,IF(N($W32)&gt;0,AVERAGEIFS($Y$5:$Y$1000,$U$5:$U$1000,ROW(),$V$5:$V$1000,"Sub"),$Y32)))</f>
        <v/>
      </c>
      <c r="AD32" s="62">
        <f>IF($V32="","",IF(AND(ISNUMBER($G32),$G32&lt;=IF($S32=MesCiclo,InicioCiclo,$S32+MOD(2-WEEKDAY($S32),7))+13),1,IF(N($W32)&gt;0,AVERAGEIFS($Z$5:$Z$1000,$U$5:$U$1000,ROW(),$V$5:$V$1000,"Sub"),$Z32)))</f>
        <v/>
      </c>
      <c r="AE32" s="62">
        <f>IF($V32="","",IF(AND(ISNUMBER($G32),$G32&lt;=IF($S32=MesCiclo,InicioCiclo,$S32+MOD(2-WEEKDAY($S32),7))+20),1,IF(N($W32)&gt;0,AVERAGEIFS($AA$5:$AA$1000,$U$5:$U$1000,ROW(),$V$5:$V$1000,"Sub"),$AA32)))</f>
        <v/>
      </c>
      <c r="AF32" s="62">
        <f>IF($V32="","",IF(AND(ISNUMBER($G32),$G32&lt;=IF($S32=MesCiclo,InicioCiclo,$S32+MOD(2-WEEKDAY($S32),7))+27),1,IF(N($W32)&gt;0,AVERAGEIFS($AB$5:$AB$1000,$U$5:$U$1000,ROW(),$V$5:$V$1000,"Sub"),$AB32)))</f>
        <v/>
      </c>
      <c r="AG32" s="62">
        <f>IF($V32&lt;&gt;"Macro","",IF(COUNTIFS($S$5:$S$1000,$S32,$V$5:$V$1000,"Macro",$H$5:$H$1000,"&gt;0")=0,1/COUNTIFS($S$5:$S$1000,$S32,$V$5:$V$1000,"Macro"),IF(AND(ISNUMBER($H32),N($H32)&gt;0),$H32,SUMIFS($H$5:$H$1000,$S$5:$S$1000,$S32,$V$5:$V$1000,"Macro")/COUNTIFS($S$5:$S$1000,$S32,$V$5:$V$1000,"Macro",$H$5:$H$1000,"&gt;0"))/(COUNTIFS($S$5:$S$1000,$S32,$V$5:$V$1000,"Macro")*SUMIFS($H$5:$H$1000,$S$5:$S$1000,$S32,$V$5:$V$1000,"Macro")/COUNTIFS($S$5:$S$1000,$S32,$V$5:$V$1000,"Macro",$H$5:$H$1000,"&gt;0"))))</f>
        <v/>
      </c>
      <c r="AH32" s="62" t="n"/>
      <c r="AI32" s="62" t="n"/>
      <c r="AJ32" s="62" t="n"/>
      <c r="AK32" s="62" t="n"/>
      <c r="AL32" s="62">
        <f>IF(LEFT($C32,11)="[Jefatura] ",IFERROR(MATCH("Riesgo Normativo|"&amp;MID($C32,12,500),rDname_ADM,0),0),"")</f>
        <v/>
      </c>
      <c r="AM32" s="62">
        <f>IF(N($AL32)&gt;0,INDEX(rIni_ADM,$AL32),IF(ISNUMBER($E32),$E32,""))</f>
        <v/>
      </c>
      <c r="AN32" s="62">
        <f>IF(N($AL32)&gt;0,INDEX(rLim_ADM,$AL32),IF(ISNUMBER($F32),$F32,""))</f>
        <v/>
      </c>
    </row>
    <row r="33">
      <c r="A33" s="56">
        <f>IF(NOT((COUNTA($B33:$D33)+COUNTA($G33:$L33)+COUNTA($Q33))&gt;0),"",IF($V33="Macro",COUNTIFS($V$5:$V33,"Macro",$S$5:$S33,$S33),IF(N($U33)=0,"?",COUNTIFS(INDEX($V$5:$V$1000,1):INDEX($V$5:$V$1000,$U33-4),"Macro",INDEX($S$5:$S$1000,1):INDEX($S$5:$S$1000,$U33-4),INDEX($S$5:$S$1000,$U33-4))&amp;"."&amp;COUNTIFS($U$5:$U33,$U33,$V$5:$V33,"Sub"))))</f>
        <v/>
      </c>
      <c r="B33" s="57" t="n"/>
      <c r="C33" s="58" t="n"/>
      <c r="D33" s="58" t="n"/>
      <c r="E33" s="59">
        <f>IF(N($AL33)&gt;0,INDEX(rIni_ADM,$AL33),"")</f>
        <v/>
      </c>
      <c r="F33" s="59">
        <f>IF(N($AL33)&gt;0,INDEX(rLim_ADM,$AL33),"")</f>
        <v/>
      </c>
      <c r="G33" s="59" t="n"/>
      <c r="H33" s="60" t="n"/>
      <c r="I33" s="60" t="n"/>
      <c r="J33" s="60" t="n"/>
      <c r="K33" s="60" t="n"/>
      <c r="L33" s="60" t="n"/>
      <c r="M33" s="61">
        <f>IF(NOT((COUNTA($B33:$D33)+COUNTA($G33:$L33)+COUNTA($Q33))&gt;0),"",IF(ISNUMBER($G33),1,IF(N($W33)&gt;0,AVERAGEIFS($X$5:$X$1000,$U$5:$U$1000,ROW(),$V$5:$V$1000,"Sub"),$X33)))</f>
        <v/>
      </c>
      <c r="N33" s="56">
        <f>IF($M33="","",IF($M33&gt;=1,"Completado",IF($M33&gt;0,"En curso","Pendiente")))</f>
        <v/>
      </c>
      <c r="O33" s="56">
        <f>IF(NOT((COUNTA($B33:$D33)+COUNTA($G33:$L33)+COUNTA($Q33))&gt;0),"",IF(ISNUMBER($G33),IF(AND(ISNUMBER($AN33),$G33&gt;$AN33),"Cumplida con "&amp;($G33-$AN33)&amp;IF($G33-$AN33=1," día"," días")&amp;" de retraso","Cumplida"),IF(N($M33)&gt;=1,"Cumplida",IF(NOT(ISNUMBER($AN33)),"Sin fecha límite",IF($AN33&lt;FechaRef,"Vencida hace "&amp;(FechaRef-$AN33)&amp;IF(FechaRef-$AN33=1," día"," días"),IF($AN33=FechaRef,"Vence hoy",IF($AN33-FechaRef&lt;=DiasAlerta,"Vence en "&amp;($AN33-FechaRef)&amp;IF($AN33-FechaRef=1," día"," días"),"En plazo")))))))</f>
        <v/>
      </c>
      <c r="P33" s="62" t="n"/>
      <c r="Q33" s="58" t="n"/>
      <c r="R33" s="63">
        <f>IF(NOT((COUNTA($B33:$D33)+COUNTA($G33:$L33)+COUNTA($Q33))&gt;0),"",IF((IF($C33="","Falta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",""))="","✔ OK","⚠ "&amp;LEFT(IF($C33="","Falta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",""),LEN(IF($C33="","Falta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",""))-3)))</f>
        <v/>
      </c>
      <c r="S33" s="64">
        <f>IF(NOT((COUNTA($B33:$D33)+COUNTA($G33:$L33)+COUNTA($Q33))&gt;0),"",IF(AND($V33="Sub",N($U33)&gt;0),IF(ISNUMBER(INDEX($AM$5:$AM$1000,$U33-4)),DATE(YEAR(INDEX($AM$5:$AM$1000,$U33-4)),MONTH(INDEX($AM$5:$AM$1000,$U33-4)),1),IF(ISNUMBER(INDEX($AN$5:$AN$1000,$U33-4)),DATE(YEAR(INDEX($AN$5:$AN$1000,$U33-4)),MONTH(INDEX($AN$5:$AN$1000,$U33-4)),1),MesCiclo)),IF(ISNUMBER($AM33),DATE(YEAR($AM33),MONTH($AM33),1),IF(ISNUMBER($AN33),DATE(YEAR($AN33),MONTH($AN33),1),MesCiclo))))</f>
        <v/>
      </c>
      <c r="T33" s="62">
        <f>IF(OR($S33="",$S33&lt;&gt;MesCiclo),"",COUNTIF($S$5:$S33,MesCiclo))</f>
        <v/>
      </c>
      <c r="U33" s="62">
        <f>IF($V33="","",IF($V33="Macro",ROW(),IFERROR(LOOKUP(2,1/($V$5:$V33="Macro"),ROW($V$5:$V33)),0)))</f>
        <v/>
      </c>
      <c r="V33" s="62">
        <f>IF(NOT((COUNTA($B33:$D33)+COUNTA($G33:$L33)+COUNTA($Q33))&gt;0),"",IF($B33="Subactividad","Sub","Macro"))</f>
        <v/>
      </c>
      <c r="W33" s="62">
        <f>IF($V33="Macro",COUNTIFS($U$5:$U$1000,ROW(),$V$5:$V$1000,"Sub"),"")</f>
        <v/>
      </c>
      <c r="X33" s="62">
        <f>IF($V33="","",IF(ISNUMBER($G33),1,IFERROR(LOOKUP(2,1/($I33:$L33&lt;&gt;""),$I33:$L33),0)))</f>
        <v/>
      </c>
      <c r="Y33" s="62">
        <f>IF($V33="","",IF(AND(ISNUMBER($G33),$G33&lt;=IF($S33=MesCiclo,InicioCiclo,$S33+MOD(2-WEEKDAY($S33),7))+6),1,IF(ISNUMBER($I33),$I33,0)))</f>
        <v/>
      </c>
      <c r="Z33" s="62">
        <f>IF($V33="","",IF(AND(ISNUMBER($G33),$G33&lt;=IF($S33=MesCiclo,InicioCiclo,$S33+MOD(2-WEEKDAY($S33),7))+13),1,IF(ISNUMBER($J33),$J33,$Y33)))</f>
        <v/>
      </c>
      <c r="AA33" s="62">
        <f>IF($V33="","",IF(AND(ISNUMBER($G33),$G33&lt;=IF($S33=MesCiclo,InicioCiclo,$S33+MOD(2-WEEKDAY($S33),7))+20),1,IF(ISNUMBER($K33),$K33,$Z33)))</f>
        <v/>
      </c>
      <c r="AB33" s="62">
        <f>IF($V33="","",IF(AND(ISNUMBER($G33),$G33&lt;=IF($S33=MesCiclo,InicioCiclo,$S33+MOD(2-WEEKDAY($S33),7))+27),1,IF(ISNUMBER($L33),$L33,$AA33)))</f>
        <v/>
      </c>
      <c r="AC33" s="62">
        <f>IF($V33="","",IF(AND(ISNUMBER($G33),$G33&lt;=IF($S33=MesCiclo,InicioCiclo,$S33+MOD(2-WEEKDAY($S33),7))+6),1,IF(N($W33)&gt;0,AVERAGEIFS($Y$5:$Y$1000,$U$5:$U$1000,ROW(),$V$5:$V$1000,"Sub"),$Y33)))</f>
        <v/>
      </c>
      <c r="AD33" s="62">
        <f>IF($V33="","",IF(AND(ISNUMBER($G33),$G33&lt;=IF($S33=MesCiclo,InicioCiclo,$S33+MOD(2-WEEKDAY($S33),7))+13),1,IF(N($W33)&gt;0,AVERAGEIFS($Z$5:$Z$1000,$U$5:$U$1000,ROW(),$V$5:$V$1000,"Sub"),$Z33)))</f>
        <v/>
      </c>
      <c r="AE33" s="62">
        <f>IF($V33="","",IF(AND(ISNUMBER($G33),$G33&lt;=IF($S33=MesCiclo,InicioCiclo,$S33+MOD(2-WEEKDAY($S33),7))+20),1,IF(N($W33)&gt;0,AVERAGEIFS($AA$5:$AA$1000,$U$5:$U$1000,ROW(),$V$5:$V$1000,"Sub"),$AA33)))</f>
        <v/>
      </c>
      <c r="AF33" s="62">
        <f>IF($V33="","",IF(AND(ISNUMBER($G33),$G33&lt;=IF($S33=MesCiclo,InicioCiclo,$S33+MOD(2-WEEKDAY($S33),7))+27),1,IF(N($W33)&gt;0,AVERAGEIFS($AB$5:$AB$1000,$U$5:$U$1000,ROW(),$V$5:$V$1000,"Sub"),$AB33)))</f>
        <v/>
      </c>
      <c r="AG33" s="62">
        <f>IF($V33&lt;&gt;"Macro","",IF(COUNTIFS($S$5:$S$1000,$S33,$V$5:$V$1000,"Macro",$H$5:$H$1000,"&gt;0")=0,1/COUNTIFS($S$5:$S$1000,$S33,$V$5:$V$1000,"Macro"),IF(AND(ISNUMBER($H33),N($H33)&gt;0),$H33,SUMIFS($H$5:$H$1000,$S$5:$S$1000,$S33,$V$5:$V$1000,"Macro")/COUNTIFS($S$5:$S$1000,$S33,$V$5:$V$1000,"Macro",$H$5:$H$1000,"&gt;0"))/(COUNTIFS($S$5:$S$1000,$S33,$V$5:$V$1000,"Macro")*SUMIFS($H$5:$H$1000,$S$5:$S$1000,$S33,$V$5:$V$1000,"Macro")/COUNTIFS($S$5:$S$1000,$S33,$V$5:$V$1000,"Macro",$H$5:$H$1000,"&gt;0"))))</f>
        <v/>
      </c>
      <c r="AH33" s="62" t="n"/>
      <c r="AI33" s="62" t="n"/>
      <c r="AJ33" s="62" t="n"/>
      <c r="AK33" s="62" t="n"/>
      <c r="AL33" s="62">
        <f>IF(LEFT($C33,11)="[Jefatura] ",IFERROR(MATCH("Riesgo Normativo|"&amp;MID($C33,12,500),rDname_ADM,0),0),"")</f>
        <v/>
      </c>
      <c r="AM33" s="62">
        <f>IF(N($AL33)&gt;0,INDEX(rIni_ADM,$AL33),IF(ISNUMBER($E33),$E33,""))</f>
        <v/>
      </c>
      <c r="AN33" s="62">
        <f>IF(N($AL33)&gt;0,INDEX(rLim_ADM,$AL33),IF(ISNUMBER($F33),$F33,""))</f>
        <v/>
      </c>
    </row>
    <row r="34">
      <c r="A34" s="56">
        <f>IF(NOT((COUNTA($B34:$D34)+COUNTA($G34:$L34)+COUNTA($Q34))&gt;0),"",IF($V34="Macro",COUNTIFS($V$5:$V34,"Macro",$S$5:$S34,$S34),IF(N($U34)=0,"?",COUNTIFS(INDEX($V$5:$V$1000,1):INDEX($V$5:$V$1000,$U34-4),"Macro",INDEX($S$5:$S$1000,1):INDEX($S$5:$S$1000,$U34-4),INDEX($S$5:$S$1000,$U34-4))&amp;"."&amp;COUNTIFS($U$5:$U34,$U34,$V$5:$V34,"Sub"))))</f>
        <v/>
      </c>
      <c r="B34" s="57" t="n"/>
      <c r="C34" s="58" t="n"/>
      <c r="D34" s="58" t="n"/>
      <c r="E34" s="59">
        <f>IF(N($AL34)&gt;0,INDEX(rIni_ADM,$AL34),"")</f>
        <v/>
      </c>
      <c r="F34" s="59">
        <f>IF(N($AL34)&gt;0,INDEX(rLim_ADM,$AL34),"")</f>
        <v/>
      </c>
      <c r="G34" s="59" t="n"/>
      <c r="H34" s="60" t="n"/>
      <c r="I34" s="60" t="n"/>
      <c r="J34" s="60" t="n"/>
      <c r="K34" s="60" t="n"/>
      <c r="L34" s="60" t="n"/>
      <c r="M34" s="61">
        <f>IF(NOT((COUNTA($B34:$D34)+COUNTA($G34:$L34)+COUNTA($Q34))&gt;0),"",IF(ISNUMBER($G34),1,IF(N($W34)&gt;0,AVERAGEIFS($X$5:$X$1000,$U$5:$U$1000,ROW(),$V$5:$V$1000,"Sub"),$X34)))</f>
        <v/>
      </c>
      <c r="N34" s="56">
        <f>IF($M34="","",IF($M34&gt;=1,"Completado",IF($M34&gt;0,"En curso","Pendiente")))</f>
        <v/>
      </c>
      <c r="O34" s="56">
        <f>IF(NOT((COUNTA($B34:$D34)+COUNTA($G34:$L34)+COUNTA($Q34))&gt;0),"",IF(ISNUMBER($G34),IF(AND(ISNUMBER($AN34),$G34&gt;$AN34),"Cumplida con "&amp;($G34-$AN34)&amp;IF($G34-$AN34=1," día"," días")&amp;" de retraso","Cumplida"),IF(N($M34)&gt;=1,"Cumplida",IF(NOT(ISNUMBER($AN34)),"Sin fecha límite",IF($AN34&lt;FechaRef,"Vencida hace "&amp;(FechaRef-$AN34)&amp;IF(FechaRef-$AN34=1," día"," días"),IF($AN34=FechaRef,"Vence hoy",IF($AN34-FechaRef&lt;=DiasAlerta,"Vence en "&amp;($AN34-FechaRef)&amp;IF($AN34-FechaRef=1," día"," días"),"En plazo")))))))</f>
        <v/>
      </c>
      <c r="P34" s="62" t="n"/>
      <c r="Q34" s="58" t="n"/>
      <c r="R34" s="63">
        <f>IF(NOT((COUNTA($B34:$D34)+COUNTA($G34:$L34)+COUNTA($Q34))&gt;0),"",IF((IF($C34="","Falta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",""))="","✔ OK","⚠ "&amp;LEFT(IF($C34="","Falta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",""),LEN(IF($C34="","Falta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",""))-3)))</f>
        <v/>
      </c>
      <c r="S34" s="64">
        <f>IF(NOT((COUNTA($B34:$D34)+COUNTA($G34:$L34)+COUNTA($Q34))&gt;0),"",IF(AND($V34="Sub",N($U34)&gt;0),IF(ISNUMBER(INDEX($AM$5:$AM$1000,$U34-4)),DATE(YEAR(INDEX($AM$5:$AM$1000,$U34-4)),MONTH(INDEX($AM$5:$AM$1000,$U34-4)),1),IF(ISNUMBER(INDEX($AN$5:$AN$1000,$U34-4)),DATE(YEAR(INDEX($AN$5:$AN$1000,$U34-4)),MONTH(INDEX($AN$5:$AN$1000,$U34-4)),1),MesCiclo)),IF(ISNUMBER($AM34),DATE(YEAR($AM34),MONTH($AM34),1),IF(ISNUMBER($AN34),DATE(YEAR($AN34),MONTH($AN34),1),MesCiclo))))</f>
        <v/>
      </c>
      <c r="T34" s="62">
        <f>IF(OR($S34="",$S34&lt;&gt;MesCiclo),"",COUNTIF($S$5:$S34,MesCiclo))</f>
        <v/>
      </c>
      <c r="U34" s="62">
        <f>IF($V34="","",IF($V34="Macro",ROW(),IFERROR(LOOKUP(2,1/($V$5:$V34="Macro"),ROW($V$5:$V34)),0)))</f>
        <v/>
      </c>
      <c r="V34" s="62">
        <f>IF(NOT((COUNTA($B34:$D34)+COUNTA($G34:$L34)+COUNTA($Q34))&gt;0),"",IF($B34="Subactividad","Sub","Macro"))</f>
        <v/>
      </c>
      <c r="W34" s="62">
        <f>IF($V34="Macro",COUNTIFS($U$5:$U$1000,ROW(),$V$5:$V$1000,"Sub"),"")</f>
        <v/>
      </c>
      <c r="X34" s="62">
        <f>IF($V34="","",IF(ISNUMBER($G34),1,IFERROR(LOOKUP(2,1/($I34:$L34&lt;&gt;""),$I34:$L34),0)))</f>
        <v/>
      </c>
      <c r="Y34" s="62">
        <f>IF($V34="","",IF(AND(ISNUMBER($G34),$G34&lt;=IF($S34=MesCiclo,InicioCiclo,$S34+MOD(2-WEEKDAY($S34),7))+6),1,IF(ISNUMBER($I34),$I34,0)))</f>
        <v/>
      </c>
      <c r="Z34" s="62">
        <f>IF($V34="","",IF(AND(ISNUMBER($G34),$G34&lt;=IF($S34=MesCiclo,InicioCiclo,$S34+MOD(2-WEEKDAY($S34),7))+13),1,IF(ISNUMBER($J34),$J34,$Y34)))</f>
        <v/>
      </c>
      <c r="AA34" s="62">
        <f>IF($V34="","",IF(AND(ISNUMBER($G34),$G34&lt;=IF($S34=MesCiclo,InicioCiclo,$S34+MOD(2-WEEKDAY($S34),7))+20),1,IF(ISNUMBER($K34),$K34,$Z34)))</f>
        <v/>
      </c>
      <c r="AB34" s="62">
        <f>IF($V34="","",IF(AND(ISNUMBER($G34),$G34&lt;=IF($S34=MesCiclo,InicioCiclo,$S34+MOD(2-WEEKDAY($S34),7))+27),1,IF(ISNUMBER($L34),$L34,$AA34)))</f>
        <v/>
      </c>
      <c r="AC34" s="62">
        <f>IF($V34="","",IF(AND(ISNUMBER($G34),$G34&lt;=IF($S34=MesCiclo,InicioCiclo,$S34+MOD(2-WEEKDAY($S34),7))+6),1,IF(N($W34)&gt;0,AVERAGEIFS($Y$5:$Y$1000,$U$5:$U$1000,ROW(),$V$5:$V$1000,"Sub"),$Y34)))</f>
        <v/>
      </c>
      <c r="AD34" s="62">
        <f>IF($V34="","",IF(AND(ISNUMBER($G34),$G34&lt;=IF($S34=MesCiclo,InicioCiclo,$S34+MOD(2-WEEKDAY($S34),7))+13),1,IF(N($W34)&gt;0,AVERAGEIFS($Z$5:$Z$1000,$U$5:$U$1000,ROW(),$V$5:$V$1000,"Sub"),$Z34)))</f>
        <v/>
      </c>
      <c r="AE34" s="62">
        <f>IF($V34="","",IF(AND(ISNUMBER($G34),$G34&lt;=IF($S34=MesCiclo,InicioCiclo,$S34+MOD(2-WEEKDAY($S34),7))+20),1,IF(N($W34)&gt;0,AVERAGEIFS($AA$5:$AA$1000,$U$5:$U$1000,ROW(),$V$5:$V$1000,"Sub"),$AA34)))</f>
        <v/>
      </c>
      <c r="AF34" s="62">
        <f>IF($V34="","",IF(AND(ISNUMBER($G34),$G34&lt;=IF($S34=MesCiclo,InicioCiclo,$S34+MOD(2-WEEKDAY($S34),7))+27),1,IF(N($W34)&gt;0,AVERAGEIFS($AB$5:$AB$1000,$U$5:$U$1000,ROW(),$V$5:$V$1000,"Sub"),$AB34)))</f>
        <v/>
      </c>
      <c r="AG34" s="62">
        <f>IF($V34&lt;&gt;"Macro","",IF(COUNTIFS($S$5:$S$1000,$S34,$V$5:$V$1000,"Macro",$H$5:$H$1000,"&gt;0")=0,1/COUNTIFS($S$5:$S$1000,$S34,$V$5:$V$1000,"Macro"),IF(AND(ISNUMBER($H34),N($H34)&gt;0),$H34,SUMIFS($H$5:$H$1000,$S$5:$S$1000,$S34,$V$5:$V$1000,"Macro")/COUNTIFS($S$5:$S$1000,$S34,$V$5:$V$1000,"Macro",$H$5:$H$1000,"&gt;0"))/(COUNTIFS($S$5:$S$1000,$S34,$V$5:$V$1000,"Macro")*SUMIFS($H$5:$H$1000,$S$5:$S$1000,$S34,$V$5:$V$1000,"Macro")/COUNTIFS($S$5:$S$1000,$S34,$V$5:$V$1000,"Macro",$H$5:$H$1000,"&gt;0"))))</f>
        <v/>
      </c>
      <c r="AH34" s="62" t="n"/>
      <c r="AI34" s="62" t="n"/>
      <c r="AJ34" s="62" t="n"/>
      <c r="AK34" s="62" t="n"/>
      <c r="AL34" s="62">
        <f>IF(LEFT($C34,11)="[Jefatura] ",IFERROR(MATCH("Riesgo Normativo|"&amp;MID($C34,12,500),rDname_ADM,0),0),"")</f>
        <v/>
      </c>
      <c r="AM34" s="62">
        <f>IF(N($AL34)&gt;0,INDEX(rIni_ADM,$AL34),IF(ISNUMBER($E34),$E34,""))</f>
        <v/>
      </c>
      <c r="AN34" s="62">
        <f>IF(N($AL34)&gt;0,INDEX(rLim_ADM,$AL34),IF(ISNUMBER($F34),$F34,""))</f>
        <v/>
      </c>
    </row>
    <row r="35">
      <c r="A35" s="56">
        <f>IF(NOT((COUNTA($B35:$D35)+COUNTA($G35:$L35)+COUNTA($Q35))&gt;0),"",IF($V35="Macro",COUNTIFS($V$5:$V35,"Macro",$S$5:$S35,$S35),IF(N($U35)=0,"?",COUNTIFS(INDEX($V$5:$V$1000,1):INDEX($V$5:$V$1000,$U35-4),"Macro",INDEX($S$5:$S$1000,1):INDEX($S$5:$S$1000,$U35-4),INDEX($S$5:$S$1000,$U35-4))&amp;"."&amp;COUNTIFS($U$5:$U35,$U35,$V$5:$V35,"Sub"))))</f>
        <v/>
      </c>
      <c r="B35" s="57" t="n"/>
      <c r="C35" s="58" t="n"/>
      <c r="D35" s="58" t="n"/>
      <c r="E35" s="59">
        <f>IF(N($AL35)&gt;0,INDEX(rIni_ADM,$AL35),"")</f>
        <v/>
      </c>
      <c r="F35" s="59">
        <f>IF(N($AL35)&gt;0,INDEX(rLim_ADM,$AL35),"")</f>
        <v/>
      </c>
      <c r="G35" s="59" t="n"/>
      <c r="H35" s="60" t="n"/>
      <c r="I35" s="60" t="n"/>
      <c r="J35" s="60" t="n"/>
      <c r="K35" s="60" t="n"/>
      <c r="L35" s="60" t="n"/>
      <c r="M35" s="61">
        <f>IF(NOT((COUNTA($B35:$D35)+COUNTA($G35:$L35)+COUNTA($Q35))&gt;0),"",IF(ISNUMBER($G35),1,IF(N($W35)&gt;0,AVERAGEIFS($X$5:$X$1000,$U$5:$U$1000,ROW(),$V$5:$V$1000,"Sub"),$X35)))</f>
        <v/>
      </c>
      <c r="N35" s="56">
        <f>IF($M35="","",IF($M35&gt;=1,"Completado",IF($M35&gt;0,"En curso","Pendiente")))</f>
        <v/>
      </c>
      <c r="O35" s="56">
        <f>IF(NOT((COUNTA($B35:$D35)+COUNTA($G35:$L35)+COUNTA($Q35))&gt;0),"",IF(ISNUMBER($G35),IF(AND(ISNUMBER($AN35),$G35&gt;$AN35),"Cumplida con "&amp;($G35-$AN35)&amp;IF($G35-$AN35=1," día"," días")&amp;" de retraso","Cumplida"),IF(N($M35)&gt;=1,"Cumplida",IF(NOT(ISNUMBER($AN35)),"Sin fecha límite",IF($AN35&lt;FechaRef,"Vencida hace "&amp;(FechaRef-$AN35)&amp;IF(FechaRef-$AN35=1," día"," días"),IF($AN35=FechaRef,"Vence hoy",IF($AN35-FechaRef&lt;=DiasAlerta,"Vence en "&amp;($AN35-FechaRef)&amp;IF($AN35-FechaRef=1," día"," días"),"En plazo")))))))</f>
        <v/>
      </c>
      <c r="P35" s="62" t="n"/>
      <c r="Q35" s="58" t="n"/>
      <c r="R35" s="63">
        <f>IF(NOT((COUNTA($B35:$D35)+COUNTA($G35:$L35)+COUNTA($Q35))&gt;0),"",IF((IF($C35="","Falta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",""))="","✔ OK","⚠ "&amp;LEFT(IF($C35="","Falta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",""),LEN(IF($C35="","Falta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",""))-3)))</f>
        <v/>
      </c>
      <c r="S35" s="64">
        <f>IF(NOT((COUNTA($B35:$D35)+COUNTA($G35:$L35)+COUNTA($Q35))&gt;0),"",IF(AND($V35="Sub",N($U35)&gt;0),IF(ISNUMBER(INDEX($AM$5:$AM$1000,$U35-4)),DATE(YEAR(INDEX($AM$5:$AM$1000,$U35-4)),MONTH(INDEX($AM$5:$AM$1000,$U35-4)),1),IF(ISNUMBER(INDEX($AN$5:$AN$1000,$U35-4)),DATE(YEAR(INDEX($AN$5:$AN$1000,$U35-4)),MONTH(INDEX($AN$5:$AN$1000,$U35-4)),1),MesCiclo)),IF(ISNUMBER($AM35),DATE(YEAR($AM35),MONTH($AM35),1),IF(ISNUMBER($AN35),DATE(YEAR($AN35),MONTH($AN35),1),MesCiclo))))</f>
        <v/>
      </c>
      <c r="T35" s="62">
        <f>IF(OR($S35="",$S35&lt;&gt;MesCiclo),"",COUNTIF($S$5:$S35,MesCiclo))</f>
        <v/>
      </c>
      <c r="U35" s="62">
        <f>IF($V35="","",IF($V35="Macro",ROW(),IFERROR(LOOKUP(2,1/($V$5:$V35="Macro"),ROW($V$5:$V35)),0)))</f>
        <v/>
      </c>
      <c r="V35" s="62">
        <f>IF(NOT((COUNTA($B35:$D35)+COUNTA($G35:$L35)+COUNTA($Q35))&gt;0),"",IF($B35="Subactividad","Sub","Macro"))</f>
        <v/>
      </c>
      <c r="W35" s="62">
        <f>IF($V35="Macro",COUNTIFS($U$5:$U$1000,ROW(),$V$5:$V$1000,"Sub"),"")</f>
        <v/>
      </c>
      <c r="X35" s="62">
        <f>IF($V35="","",IF(ISNUMBER($G35),1,IFERROR(LOOKUP(2,1/($I35:$L35&lt;&gt;""),$I35:$L35),0)))</f>
        <v/>
      </c>
      <c r="Y35" s="62">
        <f>IF($V35="","",IF(AND(ISNUMBER($G35),$G35&lt;=IF($S35=MesCiclo,InicioCiclo,$S35+MOD(2-WEEKDAY($S35),7))+6),1,IF(ISNUMBER($I35),$I35,0)))</f>
        <v/>
      </c>
      <c r="Z35" s="62">
        <f>IF($V35="","",IF(AND(ISNUMBER($G35),$G35&lt;=IF($S35=MesCiclo,InicioCiclo,$S35+MOD(2-WEEKDAY($S35),7))+13),1,IF(ISNUMBER($J35),$J35,$Y35)))</f>
        <v/>
      </c>
      <c r="AA35" s="62">
        <f>IF($V35="","",IF(AND(ISNUMBER($G35),$G35&lt;=IF($S35=MesCiclo,InicioCiclo,$S35+MOD(2-WEEKDAY($S35),7))+20),1,IF(ISNUMBER($K35),$K35,$Z35)))</f>
        <v/>
      </c>
      <c r="AB35" s="62">
        <f>IF($V35="","",IF(AND(ISNUMBER($G35),$G35&lt;=IF($S35=MesCiclo,InicioCiclo,$S35+MOD(2-WEEKDAY($S35),7))+27),1,IF(ISNUMBER($L35),$L35,$AA35)))</f>
        <v/>
      </c>
      <c r="AC35" s="62">
        <f>IF($V35="","",IF(AND(ISNUMBER($G35),$G35&lt;=IF($S35=MesCiclo,InicioCiclo,$S35+MOD(2-WEEKDAY($S35),7))+6),1,IF(N($W35)&gt;0,AVERAGEIFS($Y$5:$Y$1000,$U$5:$U$1000,ROW(),$V$5:$V$1000,"Sub"),$Y35)))</f>
        <v/>
      </c>
      <c r="AD35" s="62">
        <f>IF($V35="","",IF(AND(ISNUMBER($G35),$G35&lt;=IF($S35=MesCiclo,InicioCiclo,$S35+MOD(2-WEEKDAY($S35),7))+13),1,IF(N($W35)&gt;0,AVERAGEIFS($Z$5:$Z$1000,$U$5:$U$1000,ROW(),$V$5:$V$1000,"Sub"),$Z35)))</f>
        <v/>
      </c>
      <c r="AE35" s="62">
        <f>IF($V35="","",IF(AND(ISNUMBER($G35),$G35&lt;=IF($S35=MesCiclo,InicioCiclo,$S35+MOD(2-WEEKDAY($S35),7))+20),1,IF(N($W35)&gt;0,AVERAGEIFS($AA$5:$AA$1000,$U$5:$U$1000,ROW(),$V$5:$V$1000,"Sub"),$AA35)))</f>
        <v/>
      </c>
      <c r="AF35" s="62">
        <f>IF($V35="","",IF(AND(ISNUMBER($G35),$G35&lt;=IF($S35=MesCiclo,InicioCiclo,$S35+MOD(2-WEEKDAY($S35),7))+27),1,IF(N($W35)&gt;0,AVERAGEIFS($AB$5:$AB$1000,$U$5:$U$1000,ROW(),$V$5:$V$1000,"Sub"),$AB35)))</f>
        <v/>
      </c>
      <c r="AG35" s="62">
        <f>IF($V35&lt;&gt;"Macro","",IF(COUNTIFS($S$5:$S$1000,$S35,$V$5:$V$1000,"Macro",$H$5:$H$1000,"&gt;0")=0,1/COUNTIFS($S$5:$S$1000,$S35,$V$5:$V$1000,"Macro"),IF(AND(ISNUMBER($H35),N($H35)&gt;0),$H35,SUMIFS($H$5:$H$1000,$S$5:$S$1000,$S35,$V$5:$V$1000,"Macro")/COUNTIFS($S$5:$S$1000,$S35,$V$5:$V$1000,"Macro",$H$5:$H$1000,"&gt;0"))/(COUNTIFS($S$5:$S$1000,$S35,$V$5:$V$1000,"Macro")*SUMIFS($H$5:$H$1000,$S$5:$S$1000,$S35,$V$5:$V$1000,"Macro")/COUNTIFS($S$5:$S$1000,$S35,$V$5:$V$1000,"Macro",$H$5:$H$1000,"&gt;0"))))</f>
        <v/>
      </c>
      <c r="AH35" s="62" t="n"/>
      <c r="AI35" s="62" t="n"/>
      <c r="AJ35" s="62" t="n"/>
      <c r="AK35" s="62" t="n"/>
      <c r="AL35" s="62">
        <f>IF(LEFT($C35,11)="[Jefatura] ",IFERROR(MATCH("Riesgo Normativo|"&amp;MID($C35,12,500),rDname_ADM,0),0),"")</f>
        <v/>
      </c>
      <c r="AM35" s="62">
        <f>IF(N($AL35)&gt;0,INDEX(rIni_ADM,$AL35),IF(ISNUMBER($E35),$E35,""))</f>
        <v/>
      </c>
      <c r="AN35" s="62">
        <f>IF(N($AL35)&gt;0,INDEX(rLim_ADM,$AL35),IF(ISNUMBER($F35),$F35,""))</f>
        <v/>
      </c>
    </row>
    <row r="36">
      <c r="A36" s="56">
        <f>IF(NOT((COUNTA($B36:$D36)+COUNTA($G36:$L36)+COUNTA($Q36))&gt;0),"",IF($V36="Macro",COUNTIFS($V$5:$V36,"Macro",$S$5:$S36,$S36),IF(N($U36)=0,"?",COUNTIFS(INDEX($V$5:$V$1000,1):INDEX($V$5:$V$1000,$U36-4),"Macro",INDEX($S$5:$S$1000,1):INDEX($S$5:$S$1000,$U36-4),INDEX($S$5:$S$1000,$U36-4))&amp;"."&amp;COUNTIFS($U$5:$U36,$U36,$V$5:$V36,"Sub"))))</f>
        <v/>
      </c>
      <c r="B36" s="57" t="n"/>
      <c r="C36" s="58" t="n"/>
      <c r="D36" s="58" t="n"/>
      <c r="E36" s="59">
        <f>IF(N($AL36)&gt;0,INDEX(rIni_ADM,$AL36),"")</f>
        <v/>
      </c>
      <c r="F36" s="59">
        <f>IF(N($AL36)&gt;0,INDEX(rLim_ADM,$AL36),"")</f>
        <v/>
      </c>
      <c r="G36" s="59" t="n"/>
      <c r="H36" s="60" t="n"/>
      <c r="I36" s="60" t="n"/>
      <c r="J36" s="60" t="n"/>
      <c r="K36" s="60" t="n"/>
      <c r="L36" s="60" t="n"/>
      <c r="M36" s="61">
        <f>IF(NOT((COUNTA($B36:$D36)+COUNTA($G36:$L36)+COUNTA($Q36))&gt;0),"",IF(ISNUMBER($G36),1,IF(N($W36)&gt;0,AVERAGEIFS($X$5:$X$1000,$U$5:$U$1000,ROW(),$V$5:$V$1000,"Sub"),$X36)))</f>
        <v/>
      </c>
      <c r="N36" s="56">
        <f>IF($M36="","",IF($M36&gt;=1,"Completado",IF($M36&gt;0,"En curso","Pendiente")))</f>
        <v/>
      </c>
      <c r="O36" s="56">
        <f>IF(NOT((COUNTA($B36:$D36)+COUNTA($G36:$L36)+COUNTA($Q36))&gt;0),"",IF(ISNUMBER($G36),IF(AND(ISNUMBER($AN36),$G36&gt;$AN36),"Cumplida con "&amp;($G36-$AN36)&amp;IF($G36-$AN36=1," día"," días")&amp;" de retraso","Cumplida"),IF(N($M36)&gt;=1,"Cumplida",IF(NOT(ISNUMBER($AN36)),"Sin fecha límite",IF($AN36&lt;FechaRef,"Vencida hace "&amp;(FechaRef-$AN36)&amp;IF(FechaRef-$AN36=1," día"," días"),IF($AN36=FechaRef,"Vence hoy",IF($AN36-FechaRef&lt;=DiasAlerta,"Vence en "&amp;($AN36-FechaRef)&amp;IF($AN36-FechaRef=1," día"," días"),"En plazo")))))))</f>
        <v/>
      </c>
      <c r="P36" s="62" t="n"/>
      <c r="Q36" s="58" t="n"/>
      <c r="R36" s="63">
        <f>IF(NOT((COUNTA($B36:$D36)+COUNTA($G36:$L36)+COUNTA($Q36))&gt;0),"",IF((IF($C36="","Falta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",""))="","✔ OK","⚠ "&amp;LEFT(IF($C36="","Falta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",""),LEN(IF($C36="","Falta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",""))-3)))</f>
        <v/>
      </c>
      <c r="S36" s="64">
        <f>IF(NOT((COUNTA($B36:$D36)+COUNTA($G36:$L36)+COUNTA($Q36))&gt;0),"",IF(AND($V36="Sub",N($U36)&gt;0),IF(ISNUMBER(INDEX($AM$5:$AM$1000,$U36-4)),DATE(YEAR(INDEX($AM$5:$AM$1000,$U36-4)),MONTH(INDEX($AM$5:$AM$1000,$U36-4)),1),IF(ISNUMBER(INDEX($AN$5:$AN$1000,$U36-4)),DATE(YEAR(INDEX($AN$5:$AN$1000,$U36-4)),MONTH(INDEX($AN$5:$AN$1000,$U36-4)),1),MesCiclo)),IF(ISNUMBER($AM36),DATE(YEAR($AM36),MONTH($AM36),1),IF(ISNUMBER($AN36),DATE(YEAR($AN36),MONTH($AN36),1),MesCiclo))))</f>
        <v/>
      </c>
      <c r="T36" s="62">
        <f>IF(OR($S36="",$S36&lt;&gt;MesCiclo),"",COUNTIF($S$5:$S36,MesCiclo))</f>
        <v/>
      </c>
      <c r="U36" s="62">
        <f>IF($V36="","",IF($V36="Macro",ROW(),IFERROR(LOOKUP(2,1/($V$5:$V36="Macro"),ROW($V$5:$V36)),0)))</f>
        <v/>
      </c>
      <c r="V36" s="62">
        <f>IF(NOT((COUNTA($B36:$D36)+COUNTA($G36:$L36)+COUNTA($Q36))&gt;0),"",IF($B36="Subactividad","Sub","Macro"))</f>
        <v/>
      </c>
      <c r="W36" s="62">
        <f>IF($V36="Macro",COUNTIFS($U$5:$U$1000,ROW(),$V$5:$V$1000,"Sub"),"")</f>
        <v/>
      </c>
      <c r="X36" s="62">
        <f>IF($V36="","",IF(ISNUMBER($G36),1,IFERROR(LOOKUP(2,1/($I36:$L36&lt;&gt;""),$I36:$L36),0)))</f>
        <v/>
      </c>
      <c r="Y36" s="62">
        <f>IF($V36="","",IF(AND(ISNUMBER($G36),$G36&lt;=IF($S36=MesCiclo,InicioCiclo,$S36+MOD(2-WEEKDAY($S36),7))+6),1,IF(ISNUMBER($I36),$I36,0)))</f>
        <v/>
      </c>
      <c r="Z36" s="62">
        <f>IF($V36="","",IF(AND(ISNUMBER($G36),$G36&lt;=IF($S36=MesCiclo,InicioCiclo,$S36+MOD(2-WEEKDAY($S36),7))+13),1,IF(ISNUMBER($J36),$J36,$Y36)))</f>
        <v/>
      </c>
      <c r="AA36" s="62">
        <f>IF($V36="","",IF(AND(ISNUMBER($G36),$G36&lt;=IF($S36=MesCiclo,InicioCiclo,$S36+MOD(2-WEEKDAY($S36),7))+20),1,IF(ISNUMBER($K36),$K36,$Z36)))</f>
        <v/>
      </c>
      <c r="AB36" s="62">
        <f>IF($V36="","",IF(AND(ISNUMBER($G36),$G36&lt;=IF($S36=MesCiclo,InicioCiclo,$S36+MOD(2-WEEKDAY($S36),7))+27),1,IF(ISNUMBER($L36),$L36,$AA36)))</f>
        <v/>
      </c>
      <c r="AC36" s="62">
        <f>IF($V36="","",IF(AND(ISNUMBER($G36),$G36&lt;=IF($S36=MesCiclo,InicioCiclo,$S36+MOD(2-WEEKDAY($S36),7))+6),1,IF(N($W36)&gt;0,AVERAGEIFS($Y$5:$Y$1000,$U$5:$U$1000,ROW(),$V$5:$V$1000,"Sub"),$Y36)))</f>
        <v/>
      </c>
      <c r="AD36" s="62">
        <f>IF($V36="","",IF(AND(ISNUMBER($G36),$G36&lt;=IF($S36=MesCiclo,InicioCiclo,$S36+MOD(2-WEEKDAY($S36),7))+13),1,IF(N($W36)&gt;0,AVERAGEIFS($Z$5:$Z$1000,$U$5:$U$1000,ROW(),$V$5:$V$1000,"Sub"),$Z36)))</f>
        <v/>
      </c>
      <c r="AE36" s="62">
        <f>IF($V36="","",IF(AND(ISNUMBER($G36),$G36&lt;=IF($S36=MesCiclo,InicioCiclo,$S36+MOD(2-WEEKDAY($S36),7))+20),1,IF(N($W36)&gt;0,AVERAGEIFS($AA$5:$AA$1000,$U$5:$U$1000,ROW(),$V$5:$V$1000,"Sub"),$AA36)))</f>
        <v/>
      </c>
      <c r="AF36" s="62">
        <f>IF($V36="","",IF(AND(ISNUMBER($G36),$G36&lt;=IF($S36=MesCiclo,InicioCiclo,$S36+MOD(2-WEEKDAY($S36),7))+27),1,IF(N($W36)&gt;0,AVERAGEIFS($AB$5:$AB$1000,$U$5:$U$1000,ROW(),$V$5:$V$1000,"Sub"),$AB36)))</f>
        <v/>
      </c>
      <c r="AG36" s="62">
        <f>IF($V36&lt;&gt;"Macro","",IF(COUNTIFS($S$5:$S$1000,$S36,$V$5:$V$1000,"Macro",$H$5:$H$1000,"&gt;0")=0,1/COUNTIFS($S$5:$S$1000,$S36,$V$5:$V$1000,"Macro"),IF(AND(ISNUMBER($H36),N($H36)&gt;0),$H36,SUMIFS($H$5:$H$1000,$S$5:$S$1000,$S36,$V$5:$V$1000,"Macro")/COUNTIFS($S$5:$S$1000,$S36,$V$5:$V$1000,"Macro",$H$5:$H$1000,"&gt;0"))/(COUNTIFS($S$5:$S$1000,$S36,$V$5:$V$1000,"Macro")*SUMIFS($H$5:$H$1000,$S$5:$S$1000,$S36,$V$5:$V$1000,"Macro")/COUNTIFS($S$5:$S$1000,$S36,$V$5:$V$1000,"Macro",$H$5:$H$1000,"&gt;0"))))</f>
        <v/>
      </c>
      <c r="AH36" s="62" t="n"/>
      <c r="AI36" s="62" t="n"/>
      <c r="AJ36" s="62" t="n"/>
      <c r="AK36" s="62" t="n"/>
      <c r="AL36" s="62">
        <f>IF(LEFT($C36,11)="[Jefatura] ",IFERROR(MATCH("Riesgo Normativo|"&amp;MID($C36,12,500),rDname_ADM,0),0),"")</f>
        <v/>
      </c>
      <c r="AM36" s="62">
        <f>IF(N($AL36)&gt;0,INDEX(rIni_ADM,$AL36),IF(ISNUMBER($E36),$E36,""))</f>
        <v/>
      </c>
      <c r="AN36" s="62">
        <f>IF(N($AL36)&gt;0,INDEX(rLim_ADM,$AL36),IF(ISNUMBER($F36),$F36,""))</f>
        <v/>
      </c>
    </row>
    <row r="37">
      <c r="A37" s="56">
        <f>IF(NOT((COUNTA($B37:$D37)+COUNTA($G37:$L37)+COUNTA($Q37))&gt;0),"",IF($V37="Macro",COUNTIFS($V$5:$V37,"Macro",$S$5:$S37,$S37),IF(N($U37)=0,"?",COUNTIFS(INDEX($V$5:$V$1000,1):INDEX($V$5:$V$1000,$U37-4),"Macro",INDEX($S$5:$S$1000,1):INDEX($S$5:$S$1000,$U37-4),INDEX($S$5:$S$1000,$U37-4))&amp;"."&amp;COUNTIFS($U$5:$U37,$U37,$V$5:$V37,"Sub"))))</f>
        <v/>
      </c>
      <c r="B37" s="57" t="n"/>
      <c r="C37" s="58" t="n"/>
      <c r="D37" s="58" t="n"/>
      <c r="E37" s="59">
        <f>IF(N($AL37)&gt;0,INDEX(rIni_ADM,$AL37),"")</f>
        <v/>
      </c>
      <c r="F37" s="59">
        <f>IF(N($AL37)&gt;0,INDEX(rLim_ADM,$AL37),"")</f>
        <v/>
      </c>
      <c r="G37" s="59" t="n"/>
      <c r="H37" s="60" t="n"/>
      <c r="I37" s="60" t="n"/>
      <c r="J37" s="60" t="n"/>
      <c r="K37" s="60" t="n"/>
      <c r="L37" s="60" t="n"/>
      <c r="M37" s="61">
        <f>IF(NOT((COUNTA($B37:$D37)+COUNTA($G37:$L37)+COUNTA($Q37))&gt;0),"",IF(ISNUMBER($G37),1,IF(N($W37)&gt;0,AVERAGEIFS($X$5:$X$1000,$U$5:$U$1000,ROW(),$V$5:$V$1000,"Sub"),$X37)))</f>
        <v/>
      </c>
      <c r="N37" s="56">
        <f>IF($M37="","",IF($M37&gt;=1,"Completado",IF($M37&gt;0,"En curso","Pendiente")))</f>
        <v/>
      </c>
      <c r="O37" s="56">
        <f>IF(NOT((COUNTA($B37:$D37)+COUNTA($G37:$L37)+COUNTA($Q37))&gt;0),"",IF(ISNUMBER($G37),IF(AND(ISNUMBER($AN37),$G37&gt;$AN37),"Cumplida con "&amp;($G37-$AN37)&amp;IF($G37-$AN37=1," día"," días")&amp;" de retraso","Cumplida"),IF(N($M37)&gt;=1,"Cumplida",IF(NOT(ISNUMBER($AN37)),"Sin fecha límite",IF($AN37&lt;FechaRef,"Vencida hace "&amp;(FechaRef-$AN37)&amp;IF(FechaRef-$AN37=1," día"," días"),IF($AN37=FechaRef,"Vence hoy",IF($AN37-FechaRef&lt;=DiasAlerta,"Vence en "&amp;($AN37-FechaRef)&amp;IF($AN37-FechaRef=1," día"," días"),"En plazo")))))))</f>
        <v/>
      </c>
      <c r="P37" s="62" t="n"/>
      <c r="Q37" s="58" t="n"/>
      <c r="R37" s="63">
        <f>IF(NOT((COUNTA($B37:$D37)+COUNTA($G37:$L37)+COUNTA($Q37))&gt;0),"",IF((IF($C37="","Falta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",""))="","✔ OK","⚠ "&amp;LEFT(IF($C37="","Falta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",""),LEN(IF($C37="","Falta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",""))-3)))</f>
        <v/>
      </c>
      <c r="S37" s="64">
        <f>IF(NOT((COUNTA($B37:$D37)+COUNTA($G37:$L37)+COUNTA($Q37))&gt;0),"",IF(AND($V37="Sub",N($U37)&gt;0),IF(ISNUMBER(INDEX($AM$5:$AM$1000,$U37-4)),DATE(YEAR(INDEX($AM$5:$AM$1000,$U37-4)),MONTH(INDEX($AM$5:$AM$1000,$U37-4)),1),IF(ISNUMBER(INDEX($AN$5:$AN$1000,$U37-4)),DATE(YEAR(INDEX($AN$5:$AN$1000,$U37-4)),MONTH(INDEX($AN$5:$AN$1000,$U37-4)),1),MesCiclo)),IF(ISNUMBER($AM37),DATE(YEAR($AM37),MONTH($AM37),1),IF(ISNUMBER($AN37),DATE(YEAR($AN37),MONTH($AN37),1),MesCiclo))))</f>
        <v/>
      </c>
      <c r="T37" s="62">
        <f>IF(OR($S37="",$S37&lt;&gt;MesCiclo),"",COUNTIF($S$5:$S37,MesCiclo))</f>
        <v/>
      </c>
      <c r="U37" s="62">
        <f>IF($V37="","",IF($V37="Macro",ROW(),IFERROR(LOOKUP(2,1/($V$5:$V37="Macro"),ROW($V$5:$V37)),0)))</f>
        <v/>
      </c>
      <c r="V37" s="62">
        <f>IF(NOT((COUNTA($B37:$D37)+COUNTA($G37:$L37)+COUNTA($Q37))&gt;0),"",IF($B37="Subactividad","Sub","Macro"))</f>
        <v/>
      </c>
      <c r="W37" s="62">
        <f>IF($V37="Macro",COUNTIFS($U$5:$U$1000,ROW(),$V$5:$V$1000,"Sub"),"")</f>
        <v/>
      </c>
      <c r="X37" s="62">
        <f>IF($V37="","",IF(ISNUMBER($G37),1,IFERROR(LOOKUP(2,1/($I37:$L37&lt;&gt;""),$I37:$L37),0)))</f>
        <v/>
      </c>
      <c r="Y37" s="62">
        <f>IF($V37="","",IF(AND(ISNUMBER($G37),$G37&lt;=IF($S37=MesCiclo,InicioCiclo,$S37+MOD(2-WEEKDAY($S37),7))+6),1,IF(ISNUMBER($I37),$I37,0)))</f>
        <v/>
      </c>
      <c r="Z37" s="62">
        <f>IF($V37="","",IF(AND(ISNUMBER($G37),$G37&lt;=IF($S37=MesCiclo,InicioCiclo,$S37+MOD(2-WEEKDAY($S37),7))+13),1,IF(ISNUMBER($J37),$J37,$Y37)))</f>
        <v/>
      </c>
      <c r="AA37" s="62">
        <f>IF($V37="","",IF(AND(ISNUMBER($G37),$G37&lt;=IF($S37=MesCiclo,InicioCiclo,$S37+MOD(2-WEEKDAY($S37),7))+20),1,IF(ISNUMBER($K37),$K37,$Z37)))</f>
        <v/>
      </c>
      <c r="AB37" s="62">
        <f>IF($V37="","",IF(AND(ISNUMBER($G37),$G37&lt;=IF($S37=MesCiclo,InicioCiclo,$S37+MOD(2-WEEKDAY($S37),7))+27),1,IF(ISNUMBER($L37),$L37,$AA37)))</f>
        <v/>
      </c>
      <c r="AC37" s="62">
        <f>IF($V37="","",IF(AND(ISNUMBER($G37),$G37&lt;=IF($S37=MesCiclo,InicioCiclo,$S37+MOD(2-WEEKDAY($S37),7))+6),1,IF(N($W37)&gt;0,AVERAGEIFS($Y$5:$Y$1000,$U$5:$U$1000,ROW(),$V$5:$V$1000,"Sub"),$Y37)))</f>
        <v/>
      </c>
      <c r="AD37" s="62">
        <f>IF($V37="","",IF(AND(ISNUMBER($G37),$G37&lt;=IF($S37=MesCiclo,InicioCiclo,$S37+MOD(2-WEEKDAY($S37),7))+13),1,IF(N($W37)&gt;0,AVERAGEIFS($Z$5:$Z$1000,$U$5:$U$1000,ROW(),$V$5:$V$1000,"Sub"),$Z37)))</f>
        <v/>
      </c>
      <c r="AE37" s="62">
        <f>IF($V37="","",IF(AND(ISNUMBER($G37),$G37&lt;=IF($S37=MesCiclo,InicioCiclo,$S37+MOD(2-WEEKDAY($S37),7))+20),1,IF(N($W37)&gt;0,AVERAGEIFS($AA$5:$AA$1000,$U$5:$U$1000,ROW(),$V$5:$V$1000,"Sub"),$AA37)))</f>
        <v/>
      </c>
      <c r="AF37" s="62">
        <f>IF($V37="","",IF(AND(ISNUMBER($G37),$G37&lt;=IF($S37=MesCiclo,InicioCiclo,$S37+MOD(2-WEEKDAY($S37),7))+27),1,IF(N($W37)&gt;0,AVERAGEIFS($AB$5:$AB$1000,$U$5:$U$1000,ROW(),$V$5:$V$1000,"Sub"),$AB37)))</f>
        <v/>
      </c>
      <c r="AG37" s="62">
        <f>IF($V37&lt;&gt;"Macro","",IF(COUNTIFS($S$5:$S$1000,$S37,$V$5:$V$1000,"Macro",$H$5:$H$1000,"&gt;0")=0,1/COUNTIFS($S$5:$S$1000,$S37,$V$5:$V$1000,"Macro"),IF(AND(ISNUMBER($H37),N($H37)&gt;0),$H37,SUMIFS($H$5:$H$1000,$S$5:$S$1000,$S37,$V$5:$V$1000,"Macro")/COUNTIFS($S$5:$S$1000,$S37,$V$5:$V$1000,"Macro",$H$5:$H$1000,"&gt;0"))/(COUNTIFS($S$5:$S$1000,$S37,$V$5:$V$1000,"Macro")*SUMIFS($H$5:$H$1000,$S$5:$S$1000,$S37,$V$5:$V$1000,"Macro")/COUNTIFS($S$5:$S$1000,$S37,$V$5:$V$1000,"Macro",$H$5:$H$1000,"&gt;0"))))</f>
        <v/>
      </c>
      <c r="AH37" s="62" t="n"/>
      <c r="AI37" s="62" t="n"/>
      <c r="AJ37" s="62" t="n"/>
      <c r="AK37" s="62" t="n"/>
      <c r="AL37" s="62">
        <f>IF(LEFT($C37,11)="[Jefatura] ",IFERROR(MATCH("Riesgo Normativo|"&amp;MID($C37,12,500),rDname_ADM,0),0),"")</f>
        <v/>
      </c>
      <c r="AM37" s="62">
        <f>IF(N($AL37)&gt;0,INDEX(rIni_ADM,$AL37),IF(ISNUMBER($E37),$E37,""))</f>
        <v/>
      </c>
      <c r="AN37" s="62">
        <f>IF(N($AL37)&gt;0,INDEX(rLim_ADM,$AL37),IF(ISNUMBER($F37),$F37,""))</f>
        <v/>
      </c>
    </row>
    <row r="38">
      <c r="A38" s="56">
        <f>IF(NOT((COUNTA($B38:$D38)+COUNTA($G38:$L38)+COUNTA($Q38))&gt;0),"",IF($V38="Macro",COUNTIFS($V$5:$V38,"Macro",$S$5:$S38,$S38),IF(N($U38)=0,"?",COUNTIFS(INDEX($V$5:$V$1000,1):INDEX($V$5:$V$1000,$U38-4),"Macro",INDEX($S$5:$S$1000,1):INDEX($S$5:$S$1000,$U38-4),INDEX($S$5:$S$1000,$U38-4))&amp;"."&amp;COUNTIFS($U$5:$U38,$U38,$V$5:$V38,"Sub"))))</f>
        <v/>
      </c>
      <c r="B38" s="57" t="n"/>
      <c r="C38" s="58" t="n"/>
      <c r="D38" s="58" t="n"/>
      <c r="E38" s="59">
        <f>IF(N($AL38)&gt;0,INDEX(rIni_ADM,$AL38),"")</f>
        <v/>
      </c>
      <c r="F38" s="59">
        <f>IF(N($AL38)&gt;0,INDEX(rLim_ADM,$AL38),"")</f>
        <v/>
      </c>
      <c r="G38" s="59" t="n"/>
      <c r="H38" s="60" t="n"/>
      <c r="I38" s="60" t="n"/>
      <c r="J38" s="60" t="n"/>
      <c r="K38" s="60" t="n"/>
      <c r="L38" s="60" t="n"/>
      <c r="M38" s="61">
        <f>IF(NOT((COUNTA($B38:$D38)+COUNTA($G38:$L38)+COUNTA($Q38))&gt;0),"",IF(ISNUMBER($G38),1,IF(N($W38)&gt;0,AVERAGEIFS($X$5:$X$1000,$U$5:$U$1000,ROW(),$V$5:$V$1000,"Sub"),$X38)))</f>
        <v/>
      </c>
      <c r="N38" s="56">
        <f>IF($M38="","",IF($M38&gt;=1,"Completado",IF($M38&gt;0,"En curso","Pendiente")))</f>
        <v/>
      </c>
      <c r="O38" s="56">
        <f>IF(NOT((COUNTA($B38:$D38)+COUNTA($G38:$L38)+COUNTA($Q38))&gt;0),"",IF(ISNUMBER($G38),IF(AND(ISNUMBER($AN38),$G38&gt;$AN38),"Cumplida con "&amp;($G38-$AN38)&amp;IF($G38-$AN38=1," día"," días")&amp;" de retraso","Cumplida"),IF(N($M38)&gt;=1,"Cumplida",IF(NOT(ISNUMBER($AN38)),"Sin fecha límite",IF($AN38&lt;FechaRef,"Vencida hace "&amp;(FechaRef-$AN38)&amp;IF(FechaRef-$AN38=1," día"," días"),IF($AN38=FechaRef,"Vence hoy",IF($AN38-FechaRef&lt;=DiasAlerta,"Vence en "&amp;($AN38-FechaRef)&amp;IF($AN38-FechaRef=1," día"," días"),"En plazo")))))))</f>
        <v/>
      </c>
      <c r="P38" s="62" t="n"/>
      <c r="Q38" s="58" t="n"/>
      <c r="R38" s="63">
        <f>IF(NOT((COUNTA($B38:$D38)+COUNTA($G38:$L38)+COUNTA($Q38))&gt;0),"",IF((IF($C38="","Falta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",""))="","✔ OK","⚠ "&amp;LEFT(IF($C38="","Falta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",""),LEN(IF($C38="","Falta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",""))-3)))</f>
        <v/>
      </c>
      <c r="S38" s="64">
        <f>IF(NOT((COUNTA($B38:$D38)+COUNTA($G38:$L38)+COUNTA($Q38))&gt;0),"",IF(AND($V38="Sub",N($U38)&gt;0),IF(ISNUMBER(INDEX($AM$5:$AM$1000,$U38-4)),DATE(YEAR(INDEX($AM$5:$AM$1000,$U38-4)),MONTH(INDEX($AM$5:$AM$1000,$U38-4)),1),IF(ISNUMBER(INDEX($AN$5:$AN$1000,$U38-4)),DATE(YEAR(INDEX($AN$5:$AN$1000,$U38-4)),MONTH(INDEX($AN$5:$AN$1000,$U38-4)),1),MesCiclo)),IF(ISNUMBER($AM38),DATE(YEAR($AM38),MONTH($AM38),1),IF(ISNUMBER($AN38),DATE(YEAR($AN38),MONTH($AN38),1),MesCiclo))))</f>
        <v/>
      </c>
      <c r="T38" s="62">
        <f>IF(OR($S38="",$S38&lt;&gt;MesCiclo),"",COUNTIF($S$5:$S38,MesCiclo))</f>
        <v/>
      </c>
      <c r="U38" s="62">
        <f>IF($V38="","",IF($V38="Macro",ROW(),IFERROR(LOOKUP(2,1/($V$5:$V38="Macro"),ROW($V$5:$V38)),0)))</f>
        <v/>
      </c>
      <c r="V38" s="62">
        <f>IF(NOT((COUNTA($B38:$D38)+COUNTA($G38:$L38)+COUNTA($Q38))&gt;0),"",IF($B38="Subactividad","Sub","Macro"))</f>
        <v/>
      </c>
      <c r="W38" s="62">
        <f>IF($V38="Macro",COUNTIFS($U$5:$U$1000,ROW(),$V$5:$V$1000,"Sub"),"")</f>
        <v/>
      </c>
      <c r="X38" s="62">
        <f>IF($V38="","",IF(ISNUMBER($G38),1,IFERROR(LOOKUP(2,1/($I38:$L38&lt;&gt;""),$I38:$L38),0)))</f>
        <v/>
      </c>
      <c r="Y38" s="62">
        <f>IF($V38="","",IF(AND(ISNUMBER($G38),$G38&lt;=IF($S38=MesCiclo,InicioCiclo,$S38+MOD(2-WEEKDAY($S38),7))+6),1,IF(ISNUMBER($I38),$I38,0)))</f>
        <v/>
      </c>
      <c r="Z38" s="62">
        <f>IF($V38="","",IF(AND(ISNUMBER($G38),$G38&lt;=IF($S38=MesCiclo,InicioCiclo,$S38+MOD(2-WEEKDAY($S38),7))+13),1,IF(ISNUMBER($J38),$J38,$Y38)))</f>
        <v/>
      </c>
      <c r="AA38" s="62">
        <f>IF($V38="","",IF(AND(ISNUMBER($G38),$G38&lt;=IF($S38=MesCiclo,InicioCiclo,$S38+MOD(2-WEEKDAY($S38),7))+20),1,IF(ISNUMBER($K38),$K38,$Z38)))</f>
        <v/>
      </c>
      <c r="AB38" s="62">
        <f>IF($V38="","",IF(AND(ISNUMBER($G38),$G38&lt;=IF($S38=MesCiclo,InicioCiclo,$S38+MOD(2-WEEKDAY($S38),7))+27),1,IF(ISNUMBER($L38),$L38,$AA38)))</f>
        <v/>
      </c>
      <c r="AC38" s="62">
        <f>IF($V38="","",IF(AND(ISNUMBER($G38),$G38&lt;=IF($S38=MesCiclo,InicioCiclo,$S38+MOD(2-WEEKDAY($S38),7))+6),1,IF(N($W38)&gt;0,AVERAGEIFS($Y$5:$Y$1000,$U$5:$U$1000,ROW(),$V$5:$V$1000,"Sub"),$Y38)))</f>
        <v/>
      </c>
      <c r="AD38" s="62">
        <f>IF($V38="","",IF(AND(ISNUMBER($G38),$G38&lt;=IF($S38=MesCiclo,InicioCiclo,$S38+MOD(2-WEEKDAY($S38),7))+13),1,IF(N($W38)&gt;0,AVERAGEIFS($Z$5:$Z$1000,$U$5:$U$1000,ROW(),$V$5:$V$1000,"Sub"),$Z38)))</f>
        <v/>
      </c>
      <c r="AE38" s="62">
        <f>IF($V38="","",IF(AND(ISNUMBER($G38),$G38&lt;=IF($S38=MesCiclo,InicioCiclo,$S38+MOD(2-WEEKDAY($S38),7))+20),1,IF(N($W38)&gt;0,AVERAGEIFS($AA$5:$AA$1000,$U$5:$U$1000,ROW(),$V$5:$V$1000,"Sub"),$AA38)))</f>
        <v/>
      </c>
      <c r="AF38" s="62">
        <f>IF($V38="","",IF(AND(ISNUMBER($G38),$G38&lt;=IF($S38=MesCiclo,InicioCiclo,$S38+MOD(2-WEEKDAY($S38),7))+27),1,IF(N($W38)&gt;0,AVERAGEIFS($AB$5:$AB$1000,$U$5:$U$1000,ROW(),$V$5:$V$1000,"Sub"),$AB38)))</f>
        <v/>
      </c>
      <c r="AG38" s="62">
        <f>IF($V38&lt;&gt;"Macro","",IF(COUNTIFS($S$5:$S$1000,$S38,$V$5:$V$1000,"Macro",$H$5:$H$1000,"&gt;0")=0,1/COUNTIFS($S$5:$S$1000,$S38,$V$5:$V$1000,"Macro"),IF(AND(ISNUMBER($H38),N($H38)&gt;0),$H38,SUMIFS($H$5:$H$1000,$S$5:$S$1000,$S38,$V$5:$V$1000,"Macro")/COUNTIFS($S$5:$S$1000,$S38,$V$5:$V$1000,"Macro",$H$5:$H$1000,"&gt;0"))/(COUNTIFS($S$5:$S$1000,$S38,$V$5:$V$1000,"Macro")*SUMIFS($H$5:$H$1000,$S$5:$S$1000,$S38,$V$5:$V$1000,"Macro")/COUNTIFS($S$5:$S$1000,$S38,$V$5:$V$1000,"Macro",$H$5:$H$1000,"&gt;0"))))</f>
        <v/>
      </c>
      <c r="AH38" s="62" t="n"/>
      <c r="AI38" s="62" t="n"/>
      <c r="AJ38" s="62" t="n"/>
      <c r="AK38" s="62" t="n"/>
      <c r="AL38" s="62">
        <f>IF(LEFT($C38,11)="[Jefatura] ",IFERROR(MATCH("Riesgo Normativo|"&amp;MID($C38,12,500),rDname_ADM,0),0),"")</f>
        <v/>
      </c>
      <c r="AM38" s="62">
        <f>IF(N($AL38)&gt;0,INDEX(rIni_ADM,$AL38),IF(ISNUMBER($E38),$E38,""))</f>
        <v/>
      </c>
      <c r="AN38" s="62">
        <f>IF(N($AL38)&gt;0,INDEX(rLim_ADM,$AL38),IF(ISNUMBER($F38),$F38,""))</f>
        <v/>
      </c>
    </row>
    <row r="39">
      <c r="A39" s="56">
        <f>IF(NOT((COUNTA($B39:$D39)+COUNTA($G39:$L39)+COUNTA($Q39))&gt;0),"",IF($V39="Macro",COUNTIFS($V$5:$V39,"Macro",$S$5:$S39,$S39),IF(N($U39)=0,"?",COUNTIFS(INDEX($V$5:$V$1000,1):INDEX($V$5:$V$1000,$U39-4),"Macro",INDEX($S$5:$S$1000,1):INDEX($S$5:$S$1000,$U39-4),INDEX($S$5:$S$1000,$U39-4))&amp;"."&amp;COUNTIFS($U$5:$U39,$U39,$V$5:$V39,"Sub"))))</f>
        <v/>
      </c>
      <c r="B39" s="57" t="n"/>
      <c r="C39" s="58" t="n"/>
      <c r="D39" s="58" t="n"/>
      <c r="E39" s="59">
        <f>IF(N($AL39)&gt;0,INDEX(rIni_ADM,$AL39),"")</f>
        <v/>
      </c>
      <c r="F39" s="59">
        <f>IF(N($AL39)&gt;0,INDEX(rLim_ADM,$AL39),"")</f>
        <v/>
      </c>
      <c r="G39" s="59" t="n"/>
      <c r="H39" s="60" t="n"/>
      <c r="I39" s="60" t="n"/>
      <c r="J39" s="60" t="n"/>
      <c r="K39" s="60" t="n"/>
      <c r="L39" s="60" t="n"/>
      <c r="M39" s="61">
        <f>IF(NOT((COUNTA($B39:$D39)+COUNTA($G39:$L39)+COUNTA($Q39))&gt;0),"",IF(ISNUMBER($G39),1,IF(N($W39)&gt;0,AVERAGEIFS($X$5:$X$1000,$U$5:$U$1000,ROW(),$V$5:$V$1000,"Sub"),$X39)))</f>
        <v/>
      </c>
      <c r="N39" s="56">
        <f>IF($M39="","",IF($M39&gt;=1,"Completado",IF($M39&gt;0,"En curso","Pendiente")))</f>
        <v/>
      </c>
      <c r="O39" s="56">
        <f>IF(NOT((COUNTA($B39:$D39)+COUNTA($G39:$L39)+COUNTA($Q39))&gt;0),"",IF(ISNUMBER($G39),IF(AND(ISNUMBER($AN39),$G39&gt;$AN39),"Cumplida con "&amp;($G39-$AN39)&amp;IF($G39-$AN39=1," día"," días")&amp;" de retraso","Cumplida"),IF(N($M39)&gt;=1,"Cumplida",IF(NOT(ISNUMBER($AN39)),"Sin fecha límite",IF($AN39&lt;FechaRef,"Vencida hace "&amp;(FechaRef-$AN39)&amp;IF(FechaRef-$AN39=1," día"," días"),IF($AN39=FechaRef,"Vence hoy",IF($AN39-FechaRef&lt;=DiasAlerta,"Vence en "&amp;($AN39-FechaRef)&amp;IF($AN39-FechaRef=1," día"," días"),"En plazo")))))))</f>
        <v/>
      </c>
      <c r="P39" s="62" t="n"/>
      <c r="Q39" s="58" t="n"/>
      <c r="R39" s="63">
        <f>IF(NOT((COUNTA($B39:$D39)+COUNTA($G39:$L39)+COUNTA($Q39))&gt;0),"",IF((IF($C39="","Falta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",""))="","✔ OK","⚠ "&amp;LEFT(IF($C39="","Falta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",""),LEN(IF($C39="","Falta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",""))-3)))</f>
        <v/>
      </c>
      <c r="S39" s="64">
        <f>IF(NOT((COUNTA($B39:$D39)+COUNTA($G39:$L39)+COUNTA($Q39))&gt;0),"",IF(AND($V39="Sub",N($U39)&gt;0),IF(ISNUMBER(INDEX($AM$5:$AM$1000,$U39-4)),DATE(YEAR(INDEX($AM$5:$AM$1000,$U39-4)),MONTH(INDEX($AM$5:$AM$1000,$U39-4)),1),IF(ISNUMBER(INDEX($AN$5:$AN$1000,$U39-4)),DATE(YEAR(INDEX($AN$5:$AN$1000,$U39-4)),MONTH(INDEX($AN$5:$AN$1000,$U39-4)),1),MesCiclo)),IF(ISNUMBER($AM39),DATE(YEAR($AM39),MONTH($AM39),1),IF(ISNUMBER($AN39),DATE(YEAR($AN39),MONTH($AN39),1),MesCiclo))))</f>
        <v/>
      </c>
      <c r="T39" s="62">
        <f>IF(OR($S39="",$S39&lt;&gt;MesCiclo),"",COUNTIF($S$5:$S39,MesCiclo))</f>
        <v/>
      </c>
      <c r="U39" s="62">
        <f>IF($V39="","",IF($V39="Macro",ROW(),IFERROR(LOOKUP(2,1/($V$5:$V39="Macro"),ROW($V$5:$V39)),0)))</f>
        <v/>
      </c>
      <c r="V39" s="62">
        <f>IF(NOT((COUNTA($B39:$D39)+COUNTA($G39:$L39)+COUNTA($Q39))&gt;0),"",IF($B39="Subactividad","Sub","Macro"))</f>
        <v/>
      </c>
      <c r="W39" s="62">
        <f>IF($V39="Macro",COUNTIFS($U$5:$U$1000,ROW(),$V$5:$V$1000,"Sub"),"")</f>
        <v/>
      </c>
      <c r="X39" s="62">
        <f>IF($V39="","",IF(ISNUMBER($G39),1,IFERROR(LOOKUP(2,1/($I39:$L39&lt;&gt;""),$I39:$L39),0)))</f>
        <v/>
      </c>
      <c r="Y39" s="62">
        <f>IF($V39="","",IF(AND(ISNUMBER($G39),$G39&lt;=IF($S39=MesCiclo,InicioCiclo,$S39+MOD(2-WEEKDAY($S39),7))+6),1,IF(ISNUMBER($I39),$I39,0)))</f>
        <v/>
      </c>
      <c r="Z39" s="62">
        <f>IF($V39="","",IF(AND(ISNUMBER($G39),$G39&lt;=IF($S39=MesCiclo,InicioCiclo,$S39+MOD(2-WEEKDAY($S39),7))+13),1,IF(ISNUMBER($J39),$J39,$Y39)))</f>
        <v/>
      </c>
      <c r="AA39" s="62">
        <f>IF($V39="","",IF(AND(ISNUMBER($G39),$G39&lt;=IF($S39=MesCiclo,InicioCiclo,$S39+MOD(2-WEEKDAY($S39),7))+20),1,IF(ISNUMBER($K39),$K39,$Z39)))</f>
        <v/>
      </c>
      <c r="AB39" s="62">
        <f>IF($V39="","",IF(AND(ISNUMBER($G39),$G39&lt;=IF($S39=MesCiclo,InicioCiclo,$S39+MOD(2-WEEKDAY($S39),7))+27),1,IF(ISNUMBER($L39),$L39,$AA39)))</f>
        <v/>
      </c>
      <c r="AC39" s="62">
        <f>IF($V39="","",IF(AND(ISNUMBER($G39),$G39&lt;=IF($S39=MesCiclo,InicioCiclo,$S39+MOD(2-WEEKDAY($S39),7))+6),1,IF(N($W39)&gt;0,AVERAGEIFS($Y$5:$Y$1000,$U$5:$U$1000,ROW(),$V$5:$V$1000,"Sub"),$Y39)))</f>
        <v/>
      </c>
      <c r="AD39" s="62">
        <f>IF($V39="","",IF(AND(ISNUMBER($G39),$G39&lt;=IF($S39=MesCiclo,InicioCiclo,$S39+MOD(2-WEEKDAY($S39),7))+13),1,IF(N($W39)&gt;0,AVERAGEIFS($Z$5:$Z$1000,$U$5:$U$1000,ROW(),$V$5:$V$1000,"Sub"),$Z39)))</f>
        <v/>
      </c>
      <c r="AE39" s="62">
        <f>IF($V39="","",IF(AND(ISNUMBER($G39),$G39&lt;=IF($S39=MesCiclo,InicioCiclo,$S39+MOD(2-WEEKDAY($S39),7))+20),1,IF(N($W39)&gt;0,AVERAGEIFS($AA$5:$AA$1000,$U$5:$U$1000,ROW(),$V$5:$V$1000,"Sub"),$AA39)))</f>
        <v/>
      </c>
      <c r="AF39" s="62">
        <f>IF($V39="","",IF(AND(ISNUMBER($G39),$G39&lt;=IF($S39=MesCiclo,InicioCiclo,$S39+MOD(2-WEEKDAY($S39),7))+27),1,IF(N($W39)&gt;0,AVERAGEIFS($AB$5:$AB$1000,$U$5:$U$1000,ROW(),$V$5:$V$1000,"Sub"),$AB39)))</f>
        <v/>
      </c>
      <c r="AG39" s="62">
        <f>IF($V39&lt;&gt;"Macro","",IF(COUNTIFS($S$5:$S$1000,$S39,$V$5:$V$1000,"Macro",$H$5:$H$1000,"&gt;0")=0,1/COUNTIFS($S$5:$S$1000,$S39,$V$5:$V$1000,"Macro"),IF(AND(ISNUMBER($H39),N($H39)&gt;0),$H39,SUMIFS($H$5:$H$1000,$S$5:$S$1000,$S39,$V$5:$V$1000,"Macro")/COUNTIFS($S$5:$S$1000,$S39,$V$5:$V$1000,"Macro",$H$5:$H$1000,"&gt;0"))/(COUNTIFS($S$5:$S$1000,$S39,$V$5:$V$1000,"Macro")*SUMIFS($H$5:$H$1000,$S$5:$S$1000,$S39,$V$5:$V$1000,"Macro")/COUNTIFS($S$5:$S$1000,$S39,$V$5:$V$1000,"Macro",$H$5:$H$1000,"&gt;0"))))</f>
        <v/>
      </c>
      <c r="AH39" s="62" t="n"/>
      <c r="AI39" s="62" t="n"/>
      <c r="AJ39" s="62" t="n"/>
      <c r="AK39" s="62" t="n"/>
      <c r="AL39" s="62">
        <f>IF(LEFT($C39,11)="[Jefatura] ",IFERROR(MATCH("Riesgo Normativo|"&amp;MID($C39,12,500),rDname_ADM,0),0),"")</f>
        <v/>
      </c>
      <c r="AM39" s="62">
        <f>IF(N($AL39)&gt;0,INDEX(rIni_ADM,$AL39),IF(ISNUMBER($E39),$E39,""))</f>
        <v/>
      </c>
      <c r="AN39" s="62">
        <f>IF(N($AL39)&gt;0,INDEX(rLim_ADM,$AL39),IF(ISNUMBER($F39),$F39,""))</f>
        <v/>
      </c>
    </row>
    <row r="40">
      <c r="A40" s="56">
        <f>IF(NOT((COUNTA($B40:$D40)+COUNTA($G40:$L40)+COUNTA($Q40))&gt;0),"",IF($V40="Macro",COUNTIFS($V$5:$V40,"Macro",$S$5:$S40,$S40),IF(N($U40)=0,"?",COUNTIFS(INDEX($V$5:$V$1000,1):INDEX($V$5:$V$1000,$U40-4),"Macro",INDEX($S$5:$S$1000,1):INDEX($S$5:$S$1000,$U40-4),INDEX($S$5:$S$1000,$U40-4))&amp;"."&amp;COUNTIFS($U$5:$U40,$U40,$V$5:$V40,"Sub"))))</f>
        <v/>
      </c>
      <c r="B40" s="57" t="n"/>
      <c r="C40" s="58" t="n"/>
      <c r="D40" s="58" t="n"/>
      <c r="E40" s="59">
        <f>IF(N($AL40)&gt;0,INDEX(rIni_ADM,$AL40),"")</f>
        <v/>
      </c>
      <c r="F40" s="59">
        <f>IF(N($AL40)&gt;0,INDEX(rLim_ADM,$AL40),"")</f>
        <v/>
      </c>
      <c r="G40" s="59" t="n"/>
      <c r="H40" s="60" t="n"/>
      <c r="I40" s="60" t="n"/>
      <c r="J40" s="60" t="n"/>
      <c r="K40" s="60" t="n"/>
      <c r="L40" s="60" t="n"/>
      <c r="M40" s="61">
        <f>IF(NOT((COUNTA($B40:$D40)+COUNTA($G40:$L40)+COUNTA($Q40))&gt;0),"",IF(ISNUMBER($G40),1,IF(N($W40)&gt;0,AVERAGEIFS($X$5:$X$1000,$U$5:$U$1000,ROW(),$V$5:$V$1000,"Sub"),$X40)))</f>
        <v/>
      </c>
      <c r="N40" s="56">
        <f>IF($M40="","",IF($M40&gt;=1,"Completado",IF($M40&gt;0,"En curso","Pendiente")))</f>
        <v/>
      </c>
      <c r="O40" s="56">
        <f>IF(NOT((COUNTA($B40:$D40)+COUNTA($G40:$L40)+COUNTA($Q40))&gt;0),"",IF(ISNUMBER($G40),IF(AND(ISNUMBER($AN40),$G40&gt;$AN40),"Cumplida con "&amp;($G40-$AN40)&amp;IF($G40-$AN40=1," día"," días")&amp;" de retraso","Cumplida"),IF(N($M40)&gt;=1,"Cumplida",IF(NOT(ISNUMBER($AN40)),"Sin fecha límite",IF($AN40&lt;FechaRef,"Vencida hace "&amp;(FechaRef-$AN40)&amp;IF(FechaRef-$AN40=1," día"," días"),IF($AN40=FechaRef,"Vence hoy",IF($AN40-FechaRef&lt;=DiasAlerta,"Vence en "&amp;($AN40-FechaRef)&amp;IF($AN40-FechaRef=1," día"," días"),"En plazo")))))))</f>
        <v/>
      </c>
      <c r="P40" s="62" t="n"/>
      <c r="Q40" s="58" t="n"/>
      <c r="R40" s="63">
        <f>IF(NOT((COUNTA($B40:$D40)+COUNTA($G40:$L40)+COUNTA($Q40))&gt;0),"",IF((IF($C40="","Falta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",""))="","✔ OK","⚠ "&amp;LEFT(IF($C40="","Falta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",""),LEN(IF($C40="","Falta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",""))-3)))</f>
        <v/>
      </c>
      <c r="S40" s="64">
        <f>IF(NOT((COUNTA($B40:$D40)+COUNTA($G40:$L40)+COUNTA($Q40))&gt;0),"",IF(AND($V40="Sub",N($U40)&gt;0),IF(ISNUMBER(INDEX($AM$5:$AM$1000,$U40-4)),DATE(YEAR(INDEX($AM$5:$AM$1000,$U40-4)),MONTH(INDEX($AM$5:$AM$1000,$U40-4)),1),IF(ISNUMBER(INDEX($AN$5:$AN$1000,$U40-4)),DATE(YEAR(INDEX($AN$5:$AN$1000,$U40-4)),MONTH(INDEX($AN$5:$AN$1000,$U40-4)),1),MesCiclo)),IF(ISNUMBER($AM40),DATE(YEAR($AM40),MONTH($AM40),1),IF(ISNUMBER($AN40),DATE(YEAR($AN40),MONTH($AN40),1),MesCiclo))))</f>
        <v/>
      </c>
      <c r="T40" s="62">
        <f>IF(OR($S40="",$S40&lt;&gt;MesCiclo),"",COUNTIF($S$5:$S40,MesCiclo))</f>
        <v/>
      </c>
      <c r="U40" s="62">
        <f>IF($V40="","",IF($V40="Macro",ROW(),IFERROR(LOOKUP(2,1/($V$5:$V40="Macro"),ROW($V$5:$V40)),0)))</f>
        <v/>
      </c>
      <c r="V40" s="62">
        <f>IF(NOT((COUNTA($B40:$D40)+COUNTA($G40:$L40)+COUNTA($Q40))&gt;0),"",IF($B40="Subactividad","Sub","Macro"))</f>
        <v/>
      </c>
      <c r="W40" s="62">
        <f>IF($V40="Macro",COUNTIFS($U$5:$U$1000,ROW(),$V$5:$V$1000,"Sub"),"")</f>
        <v/>
      </c>
      <c r="X40" s="62">
        <f>IF($V40="","",IF(ISNUMBER($G40),1,IFERROR(LOOKUP(2,1/($I40:$L40&lt;&gt;""),$I40:$L40),0)))</f>
        <v/>
      </c>
      <c r="Y40" s="62">
        <f>IF($V40="","",IF(AND(ISNUMBER($G40),$G40&lt;=IF($S40=MesCiclo,InicioCiclo,$S40+MOD(2-WEEKDAY($S40),7))+6),1,IF(ISNUMBER($I40),$I40,0)))</f>
        <v/>
      </c>
      <c r="Z40" s="62">
        <f>IF($V40="","",IF(AND(ISNUMBER($G40),$G40&lt;=IF($S40=MesCiclo,InicioCiclo,$S40+MOD(2-WEEKDAY($S40),7))+13),1,IF(ISNUMBER($J40),$J40,$Y40)))</f>
        <v/>
      </c>
      <c r="AA40" s="62">
        <f>IF($V40="","",IF(AND(ISNUMBER($G40),$G40&lt;=IF($S40=MesCiclo,InicioCiclo,$S40+MOD(2-WEEKDAY($S40),7))+20),1,IF(ISNUMBER($K40),$K40,$Z40)))</f>
        <v/>
      </c>
      <c r="AB40" s="62">
        <f>IF($V40="","",IF(AND(ISNUMBER($G40),$G40&lt;=IF($S40=MesCiclo,InicioCiclo,$S40+MOD(2-WEEKDAY($S40),7))+27),1,IF(ISNUMBER($L40),$L40,$AA40)))</f>
        <v/>
      </c>
      <c r="AC40" s="62">
        <f>IF($V40="","",IF(AND(ISNUMBER($G40),$G40&lt;=IF($S40=MesCiclo,InicioCiclo,$S40+MOD(2-WEEKDAY($S40),7))+6),1,IF(N($W40)&gt;0,AVERAGEIFS($Y$5:$Y$1000,$U$5:$U$1000,ROW(),$V$5:$V$1000,"Sub"),$Y40)))</f>
        <v/>
      </c>
      <c r="AD40" s="62">
        <f>IF($V40="","",IF(AND(ISNUMBER($G40),$G40&lt;=IF($S40=MesCiclo,InicioCiclo,$S40+MOD(2-WEEKDAY($S40),7))+13),1,IF(N($W40)&gt;0,AVERAGEIFS($Z$5:$Z$1000,$U$5:$U$1000,ROW(),$V$5:$V$1000,"Sub"),$Z40)))</f>
        <v/>
      </c>
      <c r="AE40" s="62">
        <f>IF($V40="","",IF(AND(ISNUMBER($G40),$G40&lt;=IF($S40=MesCiclo,InicioCiclo,$S40+MOD(2-WEEKDAY($S40),7))+20),1,IF(N($W40)&gt;0,AVERAGEIFS($AA$5:$AA$1000,$U$5:$U$1000,ROW(),$V$5:$V$1000,"Sub"),$AA40)))</f>
        <v/>
      </c>
      <c r="AF40" s="62">
        <f>IF($V40="","",IF(AND(ISNUMBER($G40),$G40&lt;=IF($S40=MesCiclo,InicioCiclo,$S40+MOD(2-WEEKDAY($S40),7))+27),1,IF(N($W40)&gt;0,AVERAGEIFS($AB$5:$AB$1000,$U$5:$U$1000,ROW(),$V$5:$V$1000,"Sub"),$AB40)))</f>
        <v/>
      </c>
      <c r="AG40" s="62">
        <f>IF($V40&lt;&gt;"Macro","",IF(COUNTIFS($S$5:$S$1000,$S40,$V$5:$V$1000,"Macro",$H$5:$H$1000,"&gt;0")=0,1/COUNTIFS($S$5:$S$1000,$S40,$V$5:$V$1000,"Macro"),IF(AND(ISNUMBER($H40),N($H40)&gt;0),$H40,SUMIFS($H$5:$H$1000,$S$5:$S$1000,$S40,$V$5:$V$1000,"Macro")/COUNTIFS($S$5:$S$1000,$S40,$V$5:$V$1000,"Macro",$H$5:$H$1000,"&gt;0"))/(COUNTIFS($S$5:$S$1000,$S40,$V$5:$V$1000,"Macro")*SUMIFS($H$5:$H$1000,$S$5:$S$1000,$S40,$V$5:$V$1000,"Macro")/COUNTIFS($S$5:$S$1000,$S40,$V$5:$V$1000,"Macro",$H$5:$H$1000,"&gt;0"))))</f>
        <v/>
      </c>
      <c r="AH40" s="62" t="n"/>
      <c r="AI40" s="62" t="n"/>
      <c r="AJ40" s="62" t="n"/>
      <c r="AK40" s="62" t="n"/>
      <c r="AL40" s="62">
        <f>IF(LEFT($C40,11)="[Jefatura] ",IFERROR(MATCH("Riesgo Normativo|"&amp;MID($C40,12,500),rDname_ADM,0),0),"")</f>
        <v/>
      </c>
      <c r="AM40" s="62">
        <f>IF(N($AL40)&gt;0,INDEX(rIni_ADM,$AL40),IF(ISNUMBER($E40),$E40,""))</f>
        <v/>
      </c>
      <c r="AN40" s="62">
        <f>IF(N($AL40)&gt;0,INDEX(rLim_ADM,$AL40),IF(ISNUMBER($F40),$F40,""))</f>
        <v/>
      </c>
    </row>
    <row r="41">
      <c r="A41" s="56">
        <f>IF(NOT((COUNTA($B41:$D41)+COUNTA($G41:$L41)+COUNTA($Q41))&gt;0),"",IF($V41="Macro",COUNTIFS($V$5:$V41,"Macro",$S$5:$S41,$S41),IF(N($U41)=0,"?",COUNTIFS(INDEX($V$5:$V$1000,1):INDEX($V$5:$V$1000,$U41-4),"Macro",INDEX($S$5:$S$1000,1):INDEX($S$5:$S$1000,$U41-4),INDEX($S$5:$S$1000,$U41-4))&amp;"."&amp;COUNTIFS($U$5:$U41,$U41,$V$5:$V41,"Sub"))))</f>
        <v/>
      </c>
      <c r="B41" s="57" t="n"/>
      <c r="C41" s="58" t="n"/>
      <c r="D41" s="58" t="n"/>
      <c r="E41" s="59">
        <f>IF(N($AL41)&gt;0,INDEX(rIni_ADM,$AL41),"")</f>
        <v/>
      </c>
      <c r="F41" s="59">
        <f>IF(N($AL41)&gt;0,INDEX(rLim_ADM,$AL41),"")</f>
        <v/>
      </c>
      <c r="G41" s="59" t="n"/>
      <c r="H41" s="60" t="n"/>
      <c r="I41" s="60" t="n"/>
      <c r="J41" s="60" t="n"/>
      <c r="K41" s="60" t="n"/>
      <c r="L41" s="60" t="n"/>
      <c r="M41" s="61">
        <f>IF(NOT((COUNTA($B41:$D41)+COUNTA($G41:$L41)+COUNTA($Q41))&gt;0),"",IF(ISNUMBER($G41),1,IF(N($W41)&gt;0,AVERAGEIFS($X$5:$X$1000,$U$5:$U$1000,ROW(),$V$5:$V$1000,"Sub"),$X41)))</f>
        <v/>
      </c>
      <c r="N41" s="56">
        <f>IF($M41="","",IF($M41&gt;=1,"Completado",IF($M41&gt;0,"En curso","Pendiente")))</f>
        <v/>
      </c>
      <c r="O41" s="56">
        <f>IF(NOT((COUNTA($B41:$D41)+COUNTA($G41:$L41)+COUNTA($Q41))&gt;0),"",IF(ISNUMBER($G41),IF(AND(ISNUMBER($AN41),$G41&gt;$AN41),"Cumplida con "&amp;($G41-$AN41)&amp;IF($G41-$AN41=1," día"," días")&amp;" de retraso","Cumplida"),IF(N($M41)&gt;=1,"Cumplida",IF(NOT(ISNUMBER($AN41)),"Sin fecha límite",IF($AN41&lt;FechaRef,"Vencida hace "&amp;(FechaRef-$AN41)&amp;IF(FechaRef-$AN41=1," día"," días"),IF($AN41=FechaRef,"Vence hoy",IF($AN41-FechaRef&lt;=DiasAlerta,"Vence en "&amp;($AN41-FechaRef)&amp;IF($AN41-FechaRef=1," día"," días"),"En plazo")))))))</f>
        <v/>
      </c>
      <c r="P41" s="62" t="n"/>
      <c r="Q41" s="58" t="n"/>
      <c r="R41" s="63">
        <f>IF(NOT((COUNTA($B41:$D41)+COUNTA($G41:$L41)+COUNTA($Q41))&gt;0),"",IF((IF($C41="","Falta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",""))="","✔ OK","⚠ "&amp;LEFT(IF($C41="","Falta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",""),LEN(IF($C41="","Falta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",""))-3)))</f>
        <v/>
      </c>
      <c r="S41" s="64">
        <f>IF(NOT((COUNTA($B41:$D41)+COUNTA($G41:$L41)+COUNTA($Q41))&gt;0),"",IF(AND($V41="Sub",N($U41)&gt;0),IF(ISNUMBER(INDEX($AM$5:$AM$1000,$U41-4)),DATE(YEAR(INDEX($AM$5:$AM$1000,$U41-4)),MONTH(INDEX($AM$5:$AM$1000,$U41-4)),1),IF(ISNUMBER(INDEX($AN$5:$AN$1000,$U41-4)),DATE(YEAR(INDEX($AN$5:$AN$1000,$U41-4)),MONTH(INDEX($AN$5:$AN$1000,$U41-4)),1),MesCiclo)),IF(ISNUMBER($AM41),DATE(YEAR($AM41),MONTH($AM41),1),IF(ISNUMBER($AN41),DATE(YEAR($AN41),MONTH($AN41),1),MesCiclo))))</f>
        <v/>
      </c>
      <c r="T41" s="62">
        <f>IF(OR($S41="",$S41&lt;&gt;MesCiclo),"",COUNTIF($S$5:$S41,MesCiclo))</f>
        <v/>
      </c>
      <c r="U41" s="62">
        <f>IF($V41="","",IF($V41="Macro",ROW(),IFERROR(LOOKUP(2,1/($V$5:$V41="Macro"),ROW($V$5:$V41)),0)))</f>
        <v/>
      </c>
      <c r="V41" s="62">
        <f>IF(NOT((COUNTA($B41:$D41)+COUNTA($G41:$L41)+COUNTA($Q41))&gt;0),"",IF($B41="Subactividad","Sub","Macro"))</f>
        <v/>
      </c>
      <c r="W41" s="62">
        <f>IF($V41="Macro",COUNTIFS($U$5:$U$1000,ROW(),$V$5:$V$1000,"Sub"),"")</f>
        <v/>
      </c>
      <c r="X41" s="62">
        <f>IF($V41="","",IF(ISNUMBER($G41),1,IFERROR(LOOKUP(2,1/($I41:$L41&lt;&gt;""),$I41:$L41),0)))</f>
        <v/>
      </c>
      <c r="Y41" s="62">
        <f>IF($V41="","",IF(AND(ISNUMBER($G41),$G41&lt;=IF($S41=MesCiclo,InicioCiclo,$S41+MOD(2-WEEKDAY($S41),7))+6),1,IF(ISNUMBER($I41),$I41,0)))</f>
        <v/>
      </c>
      <c r="Z41" s="62">
        <f>IF($V41="","",IF(AND(ISNUMBER($G41),$G41&lt;=IF($S41=MesCiclo,InicioCiclo,$S41+MOD(2-WEEKDAY($S41),7))+13),1,IF(ISNUMBER($J41),$J41,$Y41)))</f>
        <v/>
      </c>
      <c r="AA41" s="62">
        <f>IF($V41="","",IF(AND(ISNUMBER($G41),$G41&lt;=IF($S41=MesCiclo,InicioCiclo,$S41+MOD(2-WEEKDAY($S41),7))+20),1,IF(ISNUMBER($K41),$K41,$Z41)))</f>
        <v/>
      </c>
      <c r="AB41" s="62">
        <f>IF($V41="","",IF(AND(ISNUMBER($G41),$G41&lt;=IF($S41=MesCiclo,InicioCiclo,$S41+MOD(2-WEEKDAY($S41),7))+27),1,IF(ISNUMBER($L41),$L41,$AA41)))</f>
        <v/>
      </c>
      <c r="AC41" s="62">
        <f>IF($V41="","",IF(AND(ISNUMBER($G41),$G41&lt;=IF($S41=MesCiclo,InicioCiclo,$S41+MOD(2-WEEKDAY($S41),7))+6),1,IF(N($W41)&gt;0,AVERAGEIFS($Y$5:$Y$1000,$U$5:$U$1000,ROW(),$V$5:$V$1000,"Sub"),$Y41)))</f>
        <v/>
      </c>
      <c r="AD41" s="62">
        <f>IF($V41="","",IF(AND(ISNUMBER($G41),$G41&lt;=IF($S41=MesCiclo,InicioCiclo,$S41+MOD(2-WEEKDAY($S41),7))+13),1,IF(N($W41)&gt;0,AVERAGEIFS($Z$5:$Z$1000,$U$5:$U$1000,ROW(),$V$5:$V$1000,"Sub"),$Z41)))</f>
        <v/>
      </c>
      <c r="AE41" s="62">
        <f>IF($V41="","",IF(AND(ISNUMBER($G41),$G41&lt;=IF($S41=MesCiclo,InicioCiclo,$S41+MOD(2-WEEKDAY($S41),7))+20),1,IF(N($W41)&gt;0,AVERAGEIFS($AA$5:$AA$1000,$U$5:$U$1000,ROW(),$V$5:$V$1000,"Sub"),$AA41)))</f>
        <v/>
      </c>
      <c r="AF41" s="62">
        <f>IF($V41="","",IF(AND(ISNUMBER($G41),$G41&lt;=IF($S41=MesCiclo,InicioCiclo,$S41+MOD(2-WEEKDAY($S41),7))+27),1,IF(N($W41)&gt;0,AVERAGEIFS($AB$5:$AB$1000,$U$5:$U$1000,ROW(),$V$5:$V$1000,"Sub"),$AB41)))</f>
        <v/>
      </c>
      <c r="AG41" s="62">
        <f>IF($V41&lt;&gt;"Macro","",IF(COUNTIFS($S$5:$S$1000,$S41,$V$5:$V$1000,"Macro",$H$5:$H$1000,"&gt;0")=0,1/COUNTIFS($S$5:$S$1000,$S41,$V$5:$V$1000,"Macro"),IF(AND(ISNUMBER($H41),N($H41)&gt;0),$H41,SUMIFS($H$5:$H$1000,$S$5:$S$1000,$S41,$V$5:$V$1000,"Macro")/COUNTIFS($S$5:$S$1000,$S41,$V$5:$V$1000,"Macro",$H$5:$H$1000,"&gt;0"))/(COUNTIFS($S$5:$S$1000,$S41,$V$5:$V$1000,"Macro")*SUMIFS($H$5:$H$1000,$S$5:$S$1000,$S41,$V$5:$V$1000,"Macro")/COUNTIFS($S$5:$S$1000,$S41,$V$5:$V$1000,"Macro",$H$5:$H$1000,"&gt;0"))))</f>
        <v/>
      </c>
      <c r="AH41" s="62" t="n"/>
      <c r="AI41" s="62" t="n"/>
      <c r="AJ41" s="62" t="n"/>
      <c r="AK41" s="62" t="n"/>
      <c r="AL41" s="62">
        <f>IF(LEFT($C41,11)="[Jefatura] ",IFERROR(MATCH("Riesgo Normativo|"&amp;MID($C41,12,500),rDname_ADM,0),0),"")</f>
        <v/>
      </c>
      <c r="AM41" s="62">
        <f>IF(N($AL41)&gt;0,INDEX(rIni_ADM,$AL41),IF(ISNUMBER($E41),$E41,""))</f>
        <v/>
      </c>
      <c r="AN41" s="62">
        <f>IF(N($AL41)&gt;0,INDEX(rLim_ADM,$AL41),IF(ISNUMBER($F41),$F41,""))</f>
        <v/>
      </c>
    </row>
    <row r="42">
      <c r="A42" s="56">
        <f>IF(NOT((COUNTA($B42:$D42)+COUNTA($G42:$L42)+COUNTA($Q42))&gt;0),"",IF($V42="Macro",COUNTIFS($V$5:$V42,"Macro",$S$5:$S42,$S42),IF(N($U42)=0,"?",COUNTIFS(INDEX($V$5:$V$1000,1):INDEX($V$5:$V$1000,$U42-4),"Macro",INDEX($S$5:$S$1000,1):INDEX($S$5:$S$1000,$U42-4),INDEX($S$5:$S$1000,$U42-4))&amp;"."&amp;COUNTIFS($U$5:$U42,$U42,$V$5:$V42,"Sub"))))</f>
        <v/>
      </c>
      <c r="B42" s="57" t="n"/>
      <c r="C42" s="58" t="n"/>
      <c r="D42" s="58" t="n"/>
      <c r="E42" s="59">
        <f>IF(N($AL42)&gt;0,INDEX(rIni_ADM,$AL42),"")</f>
        <v/>
      </c>
      <c r="F42" s="59">
        <f>IF(N($AL42)&gt;0,INDEX(rLim_ADM,$AL42),"")</f>
        <v/>
      </c>
      <c r="G42" s="59" t="n"/>
      <c r="H42" s="60" t="n"/>
      <c r="I42" s="60" t="n"/>
      <c r="J42" s="60" t="n"/>
      <c r="K42" s="60" t="n"/>
      <c r="L42" s="60" t="n"/>
      <c r="M42" s="61">
        <f>IF(NOT((COUNTA($B42:$D42)+COUNTA($G42:$L42)+COUNTA($Q42))&gt;0),"",IF(ISNUMBER($G42),1,IF(N($W42)&gt;0,AVERAGEIFS($X$5:$X$1000,$U$5:$U$1000,ROW(),$V$5:$V$1000,"Sub"),$X42)))</f>
        <v/>
      </c>
      <c r="N42" s="56">
        <f>IF($M42="","",IF($M42&gt;=1,"Completado",IF($M42&gt;0,"En curso","Pendiente")))</f>
        <v/>
      </c>
      <c r="O42" s="56">
        <f>IF(NOT((COUNTA($B42:$D42)+COUNTA($G42:$L42)+COUNTA($Q42))&gt;0),"",IF(ISNUMBER($G42),IF(AND(ISNUMBER($AN42),$G42&gt;$AN42),"Cumplida con "&amp;($G42-$AN42)&amp;IF($G42-$AN42=1," día"," días")&amp;" de retraso","Cumplida"),IF(N($M42)&gt;=1,"Cumplida",IF(NOT(ISNUMBER($AN42)),"Sin fecha límite",IF($AN42&lt;FechaRef,"Vencida hace "&amp;(FechaRef-$AN42)&amp;IF(FechaRef-$AN42=1," día"," días"),IF($AN42=FechaRef,"Vence hoy",IF($AN42-FechaRef&lt;=DiasAlerta,"Vence en "&amp;($AN42-FechaRef)&amp;IF($AN42-FechaRef=1," día"," días"),"En plazo")))))))</f>
        <v/>
      </c>
      <c r="P42" s="62" t="n"/>
      <c r="Q42" s="58" t="n"/>
      <c r="R42" s="63">
        <f>IF(NOT((COUNTA($B42:$D42)+COUNTA($G42:$L42)+COUNTA($Q42))&gt;0),"",IF((IF($C42="","Falta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",""))="","✔ OK","⚠ "&amp;LEFT(IF($C42="","Falta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",""),LEN(IF($C42="","Falta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",""))-3)))</f>
        <v/>
      </c>
      <c r="S42" s="64">
        <f>IF(NOT((COUNTA($B42:$D42)+COUNTA($G42:$L42)+COUNTA($Q42))&gt;0),"",IF(AND($V42="Sub",N($U42)&gt;0),IF(ISNUMBER(INDEX($AM$5:$AM$1000,$U42-4)),DATE(YEAR(INDEX($AM$5:$AM$1000,$U42-4)),MONTH(INDEX($AM$5:$AM$1000,$U42-4)),1),IF(ISNUMBER(INDEX($AN$5:$AN$1000,$U42-4)),DATE(YEAR(INDEX($AN$5:$AN$1000,$U42-4)),MONTH(INDEX($AN$5:$AN$1000,$U42-4)),1),MesCiclo)),IF(ISNUMBER($AM42),DATE(YEAR($AM42),MONTH($AM42),1),IF(ISNUMBER($AN42),DATE(YEAR($AN42),MONTH($AN42),1),MesCiclo))))</f>
        <v/>
      </c>
      <c r="T42" s="62">
        <f>IF(OR($S42="",$S42&lt;&gt;MesCiclo),"",COUNTIF($S$5:$S42,MesCiclo))</f>
        <v/>
      </c>
      <c r="U42" s="62">
        <f>IF($V42="","",IF($V42="Macro",ROW(),IFERROR(LOOKUP(2,1/($V$5:$V42="Macro"),ROW($V$5:$V42)),0)))</f>
        <v/>
      </c>
      <c r="V42" s="62">
        <f>IF(NOT((COUNTA($B42:$D42)+COUNTA($G42:$L42)+COUNTA($Q42))&gt;0),"",IF($B42="Subactividad","Sub","Macro"))</f>
        <v/>
      </c>
      <c r="W42" s="62">
        <f>IF($V42="Macro",COUNTIFS($U$5:$U$1000,ROW(),$V$5:$V$1000,"Sub"),"")</f>
        <v/>
      </c>
      <c r="X42" s="62">
        <f>IF($V42="","",IF(ISNUMBER($G42),1,IFERROR(LOOKUP(2,1/($I42:$L42&lt;&gt;""),$I42:$L42),0)))</f>
        <v/>
      </c>
      <c r="Y42" s="62">
        <f>IF($V42="","",IF(AND(ISNUMBER($G42),$G42&lt;=IF($S42=MesCiclo,InicioCiclo,$S42+MOD(2-WEEKDAY($S42),7))+6),1,IF(ISNUMBER($I42),$I42,0)))</f>
        <v/>
      </c>
      <c r="Z42" s="62">
        <f>IF($V42="","",IF(AND(ISNUMBER($G42),$G42&lt;=IF($S42=MesCiclo,InicioCiclo,$S42+MOD(2-WEEKDAY($S42),7))+13),1,IF(ISNUMBER($J42),$J42,$Y42)))</f>
        <v/>
      </c>
      <c r="AA42" s="62">
        <f>IF($V42="","",IF(AND(ISNUMBER($G42),$G42&lt;=IF($S42=MesCiclo,InicioCiclo,$S42+MOD(2-WEEKDAY($S42),7))+20),1,IF(ISNUMBER($K42),$K42,$Z42)))</f>
        <v/>
      </c>
      <c r="AB42" s="62">
        <f>IF($V42="","",IF(AND(ISNUMBER($G42),$G42&lt;=IF($S42=MesCiclo,InicioCiclo,$S42+MOD(2-WEEKDAY($S42),7))+27),1,IF(ISNUMBER($L42),$L42,$AA42)))</f>
        <v/>
      </c>
      <c r="AC42" s="62">
        <f>IF($V42="","",IF(AND(ISNUMBER($G42),$G42&lt;=IF($S42=MesCiclo,InicioCiclo,$S42+MOD(2-WEEKDAY($S42),7))+6),1,IF(N($W42)&gt;0,AVERAGEIFS($Y$5:$Y$1000,$U$5:$U$1000,ROW(),$V$5:$V$1000,"Sub"),$Y42)))</f>
        <v/>
      </c>
      <c r="AD42" s="62">
        <f>IF($V42="","",IF(AND(ISNUMBER($G42),$G42&lt;=IF($S42=MesCiclo,InicioCiclo,$S42+MOD(2-WEEKDAY($S42),7))+13),1,IF(N($W42)&gt;0,AVERAGEIFS($Z$5:$Z$1000,$U$5:$U$1000,ROW(),$V$5:$V$1000,"Sub"),$Z42)))</f>
        <v/>
      </c>
      <c r="AE42" s="62">
        <f>IF($V42="","",IF(AND(ISNUMBER($G42),$G42&lt;=IF($S42=MesCiclo,InicioCiclo,$S42+MOD(2-WEEKDAY($S42),7))+20),1,IF(N($W42)&gt;0,AVERAGEIFS($AA$5:$AA$1000,$U$5:$U$1000,ROW(),$V$5:$V$1000,"Sub"),$AA42)))</f>
        <v/>
      </c>
      <c r="AF42" s="62">
        <f>IF($V42="","",IF(AND(ISNUMBER($G42),$G42&lt;=IF($S42=MesCiclo,InicioCiclo,$S42+MOD(2-WEEKDAY($S42),7))+27),1,IF(N($W42)&gt;0,AVERAGEIFS($AB$5:$AB$1000,$U$5:$U$1000,ROW(),$V$5:$V$1000,"Sub"),$AB42)))</f>
        <v/>
      </c>
      <c r="AG42" s="62">
        <f>IF($V42&lt;&gt;"Macro","",IF(COUNTIFS($S$5:$S$1000,$S42,$V$5:$V$1000,"Macro",$H$5:$H$1000,"&gt;0")=0,1/COUNTIFS($S$5:$S$1000,$S42,$V$5:$V$1000,"Macro"),IF(AND(ISNUMBER($H42),N($H42)&gt;0),$H42,SUMIFS($H$5:$H$1000,$S$5:$S$1000,$S42,$V$5:$V$1000,"Macro")/COUNTIFS($S$5:$S$1000,$S42,$V$5:$V$1000,"Macro",$H$5:$H$1000,"&gt;0"))/(COUNTIFS($S$5:$S$1000,$S42,$V$5:$V$1000,"Macro")*SUMIFS($H$5:$H$1000,$S$5:$S$1000,$S42,$V$5:$V$1000,"Macro")/COUNTIFS($S$5:$S$1000,$S42,$V$5:$V$1000,"Macro",$H$5:$H$1000,"&gt;0"))))</f>
        <v/>
      </c>
      <c r="AH42" s="62" t="n"/>
      <c r="AI42" s="62" t="n"/>
      <c r="AJ42" s="62" t="n"/>
      <c r="AK42" s="62" t="n"/>
      <c r="AL42" s="62">
        <f>IF(LEFT($C42,11)="[Jefatura] ",IFERROR(MATCH("Riesgo Normativo|"&amp;MID($C42,12,500),rDname_ADM,0),0),"")</f>
        <v/>
      </c>
      <c r="AM42" s="62">
        <f>IF(N($AL42)&gt;0,INDEX(rIni_ADM,$AL42),IF(ISNUMBER($E42),$E42,""))</f>
        <v/>
      </c>
      <c r="AN42" s="62">
        <f>IF(N($AL42)&gt;0,INDEX(rLim_ADM,$AL42),IF(ISNUMBER($F42),$F42,""))</f>
        <v/>
      </c>
    </row>
    <row r="43">
      <c r="A43" s="56">
        <f>IF(NOT((COUNTA($B43:$D43)+COUNTA($G43:$L43)+COUNTA($Q43))&gt;0),"",IF($V43="Macro",COUNTIFS($V$5:$V43,"Macro",$S$5:$S43,$S43),IF(N($U43)=0,"?",COUNTIFS(INDEX($V$5:$V$1000,1):INDEX($V$5:$V$1000,$U43-4),"Macro",INDEX($S$5:$S$1000,1):INDEX($S$5:$S$1000,$U43-4),INDEX($S$5:$S$1000,$U43-4))&amp;"."&amp;COUNTIFS($U$5:$U43,$U43,$V$5:$V43,"Sub"))))</f>
        <v/>
      </c>
      <c r="B43" s="57" t="n"/>
      <c r="C43" s="58" t="n"/>
      <c r="D43" s="58" t="n"/>
      <c r="E43" s="59">
        <f>IF(N($AL43)&gt;0,INDEX(rIni_ADM,$AL43),"")</f>
        <v/>
      </c>
      <c r="F43" s="59">
        <f>IF(N($AL43)&gt;0,INDEX(rLim_ADM,$AL43),"")</f>
        <v/>
      </c>
      <c r="G43" s="59" t="n"/>
      <c r="H43" s="60" t="n"/>
      <c r="I43" s="60" t="n"/>
      <c r="J43" s="60" t="n"/>
      <c r="K43" s="60" t="n"/>
      <c r="L43" s="60" t="n"/>
      <c r="M43" s="61">
        <f>IF(NOT((COUNTA($B43:$D43)+COUNTA($G43:$L43)+COUNTA($Q43))&gt;0),"",IF(ISNUMBER($G43),1,IF(N($W43)&gt;0,AVERAGEIFS($X$5:$X$1000,$U$5:$U$1000,ROW(),$V$5:$V$1000,"Sub"),$X43)))</f>
        <v/>
      </c>
      <c r="N43" s="56">
        <f>IF($M43="","",IF($M43&gt;=1,"Completado",IF($M43&gt;0,"En curso","Pendiente")))</f>
        <v/>
      </c>
      <c r="O43" s="56">
        <f>IF(NOT((COUNTA($B43:$D43)+COUNTA($G43:$L43)+COUNTA($Q43))&gt;0),"",IF(ISNUMBER($G43),IF(AND(ISNUMBER($AN43),$G43&gt;$AN43),"Cumplida con "&amp;($G43-$AN43)&amp;IF($G43-$AN43=1," día"," días")&amp;" de retraso","Cumplida"),IF(N($M43)&gt;=1,"Cumplida",IF(NOT(ISNUMBER($AN43)),"Sin fecha límite",IF($AN43&lt;FechaRef,"Vencida hace "&amp;(FechaRef-$AN43)&amp;IF(FechaRef-$AN43=1," día"," días"),IF($AN43=FechaRef,"Vence hoy",IF($AN43-FechaRef&lt;=DiasAlerta,"Vence en "&amp;($AN43-FechaRef)&amp;IF($AN43-FechaRef=1," día"," días"),"En plazo")))))))</f>
        <v/>
      </c>
      <c r="P43" s="62" t="n"/>
      <c r="Q43" s="58" t="n"/>
      <c r="R43" s="63">
        <f>IF(NOT((COUNTA($B43:$D43)+COUNTA($G43:$L43)+COUNTA($Q43))&gt;0),"",IF((IF($C43="","Falta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",""))="","✔ OK","⚠ "&amp;LEFT(IF($C43="","Falta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",""),LEN(IF($C43="","Falta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",""))-3)))</f>
        <v/>
      </c>
      <c r="S43" s="64">
        <f>IF(NOT((COUNTA($B43:$D43)+COUNTA($G43:$L43)+COUNTA($Q43))&gt;0),"",IF(AND($V43="Sub",N($U43)&gt;0),IF(ISNUMBER(INDEX($AM$5:$AM$1000,$U43-4)),DATE(YEAR(INDEX($AM$5:$AM$1000,$U43-4)),MONTH(INDEX($AM$5:$AM$1000,$U43-4)),1),IF(ISNUMBER(INDEX($AN$5:$AN$1000,$U43-4)),DATE(YEAR(INDEX($AN$5:$AN$1000,$U43-4)),MONTH(INDEX($AN$5:$AN$1000,$U43-4)),1),MesCiclo)),IF(ISNUMBER($AM43),DATE(YEAR($AM43),MONTH($AM43),1),IF(ISNUMBER($AN43),DATE(YEAR($AN43),MONTH($AN43),1),MesCiclo))))</f>
        <v/>
      </c>
      <c r="T43" s="62">
        <f>IF(OR($S43="",$S43&lt;&gt;MesCiclo),"",COUNTIF($S$5:$S43,MesCiclo))</f>
        <v/>
      </c>
      <c r="U43" s="62">
        <f>IF($V43="","",IF($V43="Macro",ROW(),IFERROR(LOOKUP(2,1/($V$5:$V43="Macro"),ROW($V$5:$V43)),0)))</f>
        <v/>
      </c>
      <c r="V43" s="62">
        <f>IF(NOT((COUNTA($B43:$D43)+COUNTA($G43:$L43)+COUNTA($Q43))&gt;0),"",IF($B43="Subactividad","Sub","Macro"))</f>
        <v/>
      </c>
      <c r="W43" s="62">
        <f>IF($V43="Macro",COUNTIFS($U$5:$U$1000,ROW(),$V$5:$V$1000,"Sub"),"")</f>
        <v/>
      </c>
      <c r="X43" s="62">
        <f>IF($V43="","",IF(ISNUMBER($G43),1,IFERROR(LOOKUP(2,1/($I43:$L43&lt;&gt;""),$I43:$L43),0)))</f>
        <v/>
      </c>
      <c r="Y43" s="62">
        <f>IF($V43="","",IF(AND(ISNUMBER($G43),$G43&lt;=IF($S43=MesCiclo,InicioCiclo,$S43+MOD(2-WEEKDAY($S43),7))+6),1,IF(ISNUMBER($I43),$I43,0)))</f>
        <v/>
      </c>
      <c r="Z43" s="62">
        <f>IF($V43="","",IF(AND(ISNUMBER($G43),$G43&lt;=IF($S43=MesCiclo,InicioCiclo,$S43+MOD(2-WEEKDAY($S43),7))+13),1,IF(ISNUMBER($J43),$J43,$Y43)))</f>
        <v/>
      </c>
      <c r="AA43" s="62">
        <f>IF($V43="","",IF(AND(ISNUMBER($G43),$G43&lt;=IF($S43=MesCiclo,InicioCiclo,$S43+MOD(2-WEEKDAY($S43),7))+20),1,IF(ISNUMBER($K43),$K43,$Z43)))</f>
        <v/>
      </c>
      <c r="AB43" s="62">
        <f>IF($V43="","",IF(AND(ISNUMBER($G43),$G43&lt;=IF($S43=MesCiclo,InicioCiclo,$S43+MOD(2-WEEKDAY($S43),7))+27),1,IF(ISNUMBER($L43),$L43,$AA43)))</f>
        <v/>
      </c>
      <c r="AC43" s="62">
        <f>IF($V43="","",IF(AND(ISNUMBER($G43),$G43&lt;=IF($S43=MesCiclo,InicioCiclo,$S43+MOD(2-WEEKDAY($S43),7))+6),1,IF(N($W43)&gt;0,AVERAGEIFS($Y$5:$Y$1000,$U$5:$U$1000,ROW(),$V$5:$V$1000,"Sub"),$Y43)))</f>
        <v/>
      </c>
      <c r="AD43" s="62">
        <f>IF($V43="","",IF(AND(ISNUMBER($G43),$G43&lt;=IF($S43=MesCiclo,InicioCiclo,$S43+MOD(2-WEEKDAY($S43),7))+13),1,IF(N($W43)&gt;0,AVERAGEIFS($Z$5:$Z$1000,$U$5:$U$1000,ROW(),$V$5:$V$1000,"Sub"),$Z43)))</f>
        <v/>
      </c>
      <c r="AE43" s="62">
        <f>IF($V43="","",IF(AND(ISNUMBER($G43),$G43&lt;=IF($S43=MesCiclo,InicioCiclo,$S43+MOD(2-WEEKDAY($S43),7))+20),1,IF(N($W43)&gt;0,AVERAGEIFS($AA$5:$AA$1000,$U$5:$U$1000,ROW(),$V$5:$V$1000,"Sub"),$AA43)))</f>
        <v/>
      </c>
      <c r="AF43" s="62">
        <f>IF($V43="","",IF(AND(ISNUMBER($G43),$G43&lt;=IF($S43=MesCiclo,InicioCiclo,$S43+MOD(2-WEEKDAY($S43),7))+27),1,IF(N($W43)&gt;0,AVERAGEIFS($AB$5:$AB$1000,$U$5:$U$1000,ROW(),$V$5:$V$1000,"Sub"),$AB43)))</f>
        <v/>
      </c>
      <c r="AG43" s="62">
        <f>IF($V43&lt;&gt;"Macro","",IF(COUNTIFS($S$5:$S$1000,$S43,$V$5:$V$1000,"Macro",$H$5:$H$1000,"&gt;0")=0,1/COUNTIFS($S$5:$S$1000,$S43,$V$5:$V$1000,"Macro"),IF(AND(ISNUMBER($H43),N($H43)&gt;0),$H43,SUMIFS($H$5:$H$1000,$S$5:$S$1000,$S43,$V$5:$V$1000,"Macro")/COUNTIFS($S$5:$S$1000,$S43,$V$5:$V$1000,"Macro",$H$5:$H$1000,"&gt;0"))/(COUNTIFS($S$5:$S$1000,$S43,$V$5:$V$1000,"Macro")*SUMIFS($H$5:$H$1000,$S$5:$S$1000,$S43,$V$5:$V$1000,"Macro")/COUNTIFS($S$5:$S$1000,$S43,$V$5:$V$1000,"Macro",$H$5:$H$1000,"&gt;0"))))</f>
        <v/>
      </c>
      <c r="AH43" s="62" t="n"/>
      <c r="AI43" s="62" t="n"/>
      <c r="AJ43" s="62" t="n"/>
      <c r="AK43" s="62" t="n"/>
      <c r="AL43" s="62">
        <f>IF(LEFT($C43,11)="[Jefatura] ",IFERROR(MATCH("Riesgo Normativo|"&amp;MID($C43,12,500),rDname_ADM,0),0),"")</f>
        <v/>
      </c>
      <c r="AM43" s="62">
        <f>IF(N($AL43)&gt;0,INDEX(rIni_ADM,$AL43),IF(ISNUMBER($E43),$E43,""))</f>
        <v/>
      </c>
      <c r="AN43" s="62">
        <f>IF(N($AL43)&gt;0,INDEX(rLim_ADM,$AL43),IF(ISNUMBER($F43),$F43,""))</f>
        <v/>
      </c>
    </row>
    <row r="44">
      <c r="A44" s="56">
        <f>IF(NOT((COUNTA($B44:$D44)+COUNTA($G44:$L44)+COUNTA($Q44))&gt;0),"",IF($V44="Macro",COUNTIFS($V$5:$V44,"Macro",$S$5:$S44,$S44),IF(N($U44)=0,"?",COUNTIFS(INDEX($V$5:$V$1000,1):INDEX($V$5:$V$1000,$U44-4),"Macro",INDEX($S$5:$S$1000,1):INDEX($S$5:$S$1000,$U44-4),INDEX($S$5:$S$1000,$U44-4))&amp;"."&amp;COUNTIFS($U$5:$U44,$U44,$V$5:$V44,"Sub"))))</f>
        <v/>
      </c>
      <c r="B44" s="57" t="n"/>
      <c r="C44" s="58" t="n"/>
      <c r="D44" s="58" t="n"/>
      <c r="E44" s="59">
        <f>IF(N($AL44)&gt;0,INDEX(rIni_ADM,$AL44),"")</f>
        <v/>
      </c>
      <c r="F44" s="59">
        <f>IF(N($AL44)&gt;0,INDEX(rLim_ADM,$AL44),"")</f>
        <v/>
      </c>
      <c r="G44" s="59" t="n"/>
      <c r="H44" s="60" t="n"/>
      <c r="I44" s="60" t="n"/>
      <c r="J44" s="60" t="n"/>
      <c r="K44" s="60" t="n"/>
      <c r="L44" s="60" t="n"/>
      <c r="M44" s="61">
        <f>IF(NOT((COUNTA($B44:$D44)+COUNTA($G44:$L44)+COUNTA($Q44))&gt;0),"",IF(ISNUMBER($G44),1,IF(N($W44)&gt;0,AVERAGEIFS($X$5:$X$1000,$U$5:$U$1000,ROW(),$V$5:$V$1000,"Sub"),$X44)))</f>
        <v/>
      </c>
      <c r="N44" s="56">
        <f>IF($M44="","",IF($M44&gt;=1,"Completado",IF($M44&gt;0,"En curso","Pendiente")))</f>
        <v/>
      </c>
      <c r="O44" s="56">
        <f>IF(NOT((COUNTA($B44:$D44)+COUNTA($G44:$L44)+COUNTA($Q44))&gt;0),"",IF(ISNUMBER($G44),IF(AND(ISNUMBER($AN44),$G44&gt;$AN44),"Cumplida con "&amp;($G44-$AN44)&amp;IF($G44-$AN44=1," día"," días")&amp;" de retraso","Cumplida"),IF(N($M44)&gt;=1,"Cumplida",IF(NOT(ISNUMBER($AN44)),"Sin fecha límite",IF($AN44&lt;FechaRef,"Vencida hace "&amp;(FechaRef-$AN44)&amp;IF(FechaRef-$AN44=1," día"," días"),IF($AN44=FechaRef,"Vence hoy",IF($AN44-FechaRef&lt;=DiasAlerta,"Vence en "&amp;($AN44-FechaRef)&amp;IF($AN44-FechaRef=1," día"," días"),"En plazo")))))))</f>
        <v/>
      </c>
      <c r="P44" s="62" t="n"/>
      <c r="Q44" s="58" t="n"/>
      <c r="R44" s="63">
        <f>IF(NOT((COUNTA($B44:$D44)+COUNTA($G44:$L44)+COUNTA($Q44))&gt;0),"",IF((IF($C44="","Falta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",""))="","✔ OK","⚠ "&amp;LEFT(IF($C44="","Falta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",""),LEN(IF($C44="","Falta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",""))-3)))</f>
        <v/>
      </c>
      <c r="S44" s="64">
        <f>IF(NOT((COUNTA($B44:$D44)+COUNTA($G44:$L44)+COUNTA($Q44))&gt;0),"",IF(AND($V44="Sub",N($U44)&gt;0),IF(ISNUMBER(INDEX($AM$5:$AM$1000,$U44-4)),DATE(YEAR(INDEX($AM$5:$AM$1000,$U44-4)),MONTH(INDEX($AM$5:$AM$1000,$U44-4)),1),IF(ISNUMBER(INDEX($AN$5:$AN$1000,$U44-4)),DATE(YEAR(INDEX($AN$5:$AN$1000,$U44-4)),MONTH(INDEX($AN$5:$AN$1000,$U44-4)),1),MesCiclo)),IF(ISNUMBER($AM44),DATE(YEAR($AM44),MONTH($AM44),1),IF(ISNUMBER($AN44),DATE(YEAR($AN44),MONTH($AN44),1),MesCiclo))))</f>
        <v/>
      </c>
      <c r="T44" s="62">
        <f>IF(OR($S44="",$S44&lt;&gt;MesCiclo),"",COUNTIF($S$5:$S44,MesCiclo))</f>
        <v/>
      </c>
      <c r="U44" s="62">
        <f>IF($V44="","",IF($V44="Macro",ROW(),IFERROR(LOOKUP(2,1/($V$5:$V44="Macro"),ROW($V$5:$V44)),0)))</f>
        <v/>
      </c>
      <c r="V44" s="62">
        <f>IF(NOT((COUNTA($B44:$D44)+COUNTA($G44:$L44)+COUNTA($Q44))&gt;0),"",IF($B44="Subactividad","Sub","Macro"))</f>
        <v/>
      </c>
      <c r="W44" s="62">
        <f>IF($V44="Macro",COUNTIFS($U$5:$U$1000,ROW(),$V$5:$V$1000,"Sub"),"")</f>
        <v/>
      </c>
      <c r="X44" s="62">
        <f>IF($V44="","",IF(ISNUMBER($G44),1,IFERROR(LOOKUP(2,1/($I44:$L44&lt;&gt;""),$I44:$L44),0)))</f>
        <v/>
      </c>
      <c r="Y44" s="62">
        <f>IF($V44="","",IF(AND(ISNUMBER($G44),$G44&lt;=IF($S44=MesCiclo,InicioCiclo,$S44+MOD(2-WEEKDAY($S44),7))+6),1,IF(ISNUMBER($I44),$I44,0)))</f>
        <v/>
      </c>
      <c r="Z44" s="62">
        <f>IF($V44="","",IF(AND(ISNUMBER($G44),$G44&lt;=IF($S44=MesCiclo,InicioCiclo,$S44+MOD(2-WEEKDAY($S44),7))+13),1,IF(ISNUMBER($J44),$J44,$Y44)))</f>
        <v/>
      </c>
      <c r="AA44" s="62">
        <f>IF($V44="","",IF(AND(ISNUMBER($G44),$G44&lt;=IF($S44=MesCiclo,InicioCiclo,$S44+MOD(2-WEEKDAY($S44),7))+20),1,IF(ISNUMBER($K44),$K44,$Z44)))</f>
        <v/>
      </c>
      <c r="AB44" s="62">
        <f>IF($V44="","",IF(AND(ISNUMBER($G44),$G44&lt;=IF($S44=MesCiclo,InicioCiclo,$S44+MOD(2-WEEKDAY($S44),7))+27),1,IF(ISNUMBER($L44),$L44,$AA44)))</f>
        <v/>
      </c>
      <c r="AC44" s="62">
        <f>IF($V44="","",IF(AND(ISNUMBER($G44),$G44&lt;=IF($S44=MesCiclo,InicioCiclo,$S44+MOD(2-WEEKDAY($S44),7))+6),1,IF(N($W44)&gt;0,AVERAGEIFS($Y$5:$Y$1000,$U$5:$U$1000,ROW(),$V$5:$V$1000,"Sub"),$Y44)))</f>
        <v/>
      </c>
      <c r="AD44" s="62">
        <f>IF($V44="","",IF(AND(ISNUMBER($G44),$G44&lt;=IF($S44=MesCiclo,InicioCiclo,$S44+MOD(2-WEEKDAY($S44),7))+13),1,IF(N($W44)&gt;0,AVERAGEIFS($Z$5:$Z$1000,$U$5:$U$1000,ROW(),$V$5:$V$1000,"Sub"),$Z44)))</f>
        <v/>
      </c>
      <c r="AE44" s="62">
        <f>IF($V44="","",IF(AND(ISNUMBER($G44),$G44&lt;=IF($S44=MesCiclo,InicioCiclo,$S44+MOD(2-WEEKDAY($S44),7))+20),1,IF(N($W44)&gt;0,AVERAGEIFS($AA$5:$AA$1000,$U$5:$U$1000,ROW(),$V$5:$V$1000,"Sub"),$AA44)))</f>
        <v/>
      </c>
      <c r="AF44" s="62">
        <f>IF($V44="","",IF(AND(ISNUMBER($G44),$G44&lt;=IF($S44=MesCiclo,InicioCiclo,$S44+MOD(2-WEEKDAY($S44),7))+27),1,IF(N($W44)&gt;0,AVERAGEIFS($AB$5:$AB$1000,$U$5:$U$1000,ROW(),$V$5:$V$1000,"Sub"),$AB44)))</f>
        <v/>
      </c>
      <c r="AG44" s="62">
        <f>IF($V44&lt;&gt;"Macro","",IF(COUNTIFS($S$5:$S$1000,$S44,$V$5:$V$1000,"Macro",$H$5:$H$1000,"&gt;0")=0,1/COUNTIFS($S$5:$S$1000,$S44,$V$5:$V$1000,"Macro"),IF(AND(ISNUMBER($H44),N($H44)&gt;0),$H44,SUMIFS($H$5:$H$1000,$S$5:$S$1000,$S44,$V$5:$V$1000,"Macro")/COUNTIFS($S$5:$S$1000,$S44,$V$5:$V$1000,"Macro",$H$5:$H$1000,"&gt;0"))/(COUNTIFS($S$5:$S$1000,$S44,$V$5:$V$1000,"Macro")*SUMIFS($H$5:$H$1000,$S$5:$S$1000,$S44,$V$5:$V$1000,"Macro")/COUNTIFS($S$5:$S$1000,$S44,$V$5:$V$1000,"Macro",$H$5:$H$1000,"&gt;0"))))</f>
        <v/>
      </c>
      <c r="AH44" s="62" t="n"/>
      <c r="AI44" s="62" t="n"/>
      <c r="AJ44" s="62" t="n"/>
      <c r="AK44" s="62" t="n"/>
      <c r="AL44" s="62">
        <f>IF(LEFT($C44,11)="[Jefatura] ",IFERROR(MATCH("Riesgo Normativo|"&amp;MID($C44,12,500),rDname_ADM,0),0),"")</f>
        <v/>
      </c>
      <c r="AM44" s="62">
        <f>IF(N($AL44)&gt;0,INDEX(rIni_ADM,$AL44),IF(ISNUMBER($E44),$E44,""))</f>
        <v/>
      </c>
      <c r="AN44" s="62">
        <f>IF(N($AL44)&gt;0,INDEX(rLim_ADM,$AL44),IF(ISNUMBER($F44),$F44,""))</f>
        <v/>
      </c>
    </row>
    <row r="45">
      <c r="A45" s="56">
        <f>IF(NOT((COUNTA($B45:$D45)+COUNTA($G45:$L45)+COUNTA($Q45))&gt;0),"",IF($V45="Macro",COUNTIFS($V$5:$V45,"Macro",$S$5:$S45,$S45),IF(N($U45)=0,"?",COUNTIFS(INDEX($V$5:$V$1000,1):INDEX($V$5:$V$1000,$U45-4),"Macro",INDEX($S$5:$S$1000,1):INDEX($S$5:$S$1000,$U45-4),INDEX($S$5:$S$1000,$U45-4))&amp;"."&amp;COUNTIFS($U$5:$U45,$U45,$V$5:$V45,"Sub"))))</f>
        <v/>
      </c>
      <c r="B45" s="57" t="n"/>
      <c r="C45" s="58" t="n"/>
      <c r="D45" s="58" t="n"/>
      <c r="E45" s="59">
        <f>IF(N($AL45)&gt;0,INDEX(rIni_ADM,$AL45),"")</f>
        <v/>
      </c>
      <c r="F45" s="59">
        <f>IF(N($AL45)&gt;0,INDEX(rLim_ADM,$AL45),"")</f>
        <v/>
      </c>
      <c r="G45" s="59" t="n"/>
      <c r="H45" s="60" t="n"/>
      <c r="I45" s="60" t="n"/>
      <c r="J45" s="60" t="n"/>
      <c r="K45" s="60" t="n"/>
      <c r="L45" s="60" t="n"/>
      <c r="M45" s="61">
        <f>IF(NOT((COUNTA($B45:$D45)+COUNTA($G45:$L45)+COUNTA($Q45))&gt;0),"",IF(ISNUMBER($G45),1,IF(N($W45)&gt;0,AVERAGEIFS($X$5:$X$1000,$U$5:$U$1000,ROW(),$V$5:$V$1000,"Sub"),$X45)))</f>
        <v/>
      </c>
      <c r="N45" s="56">
        <f>IF($M45="","",IF($M45&gt;=1,"Completado",IF($M45&gt;0,"En curso","Pendiente")))</f>
        <v/>
      </c>
      <c r="O45" s="56">
        <f>IF(NOT((COUNTA($B45:$D45)+COUNTA($G45:$L45)+COUNTA($Q45))&gt;0),"",IF(ISNUMBER($G45),IF(AND(ISNUMBER($AN45),$G45&gt;$AN45),"Cumplida con "&amp;($G45-$AN45)&amp;IF($G45-$AN45=1," día"," días")&amp;" de retraso","Cumplida"),IF(N($M45)&gt;=1,"Cumplida",IF(NOT(ISNUMBER($AN45)),"Sin fecha límite",IF($AN45&lt;FechaRef,"Vencida hace "&amp;(FechaRef-$AN45)&amp;IF(FechaRef-$AN45=1," día"," días"),IF($AN45=FechaRef,"Vence hoy",IF($AN45-FechaRef&lt;=DiasAlerta,"Vence en "&amp;($AN45-FechaRef)&amp;IF($AN45-FechaRef=1," día"," días"),"En plazo")))))))</f>
        <v/>
      </c>
      <c r="P45" s="62" t="n"/>
      <c r="Q45" s="58" t="n"/>
      <c r="R45" s="63">
        <f>IF(NOT((COUNTA($B45:$D45)+COUNTA($G45:$L45)+COUNTA($Q45))&gt;0),"",IF((IF($C45="","Falta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",""))="","✔ OK","⚠ "&amp;LEFT(IF($C45="","Falta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",""),LEN(IF($C45="","Falta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",""))-3)))</f>
        <v/>
      </c>
      <c r="S45" s="64">
        <f>IF(NOT((COUNTA($B45:$D45)+COUNTA($G45:$L45)+COUNTA($Q45))&gt;0),"",IF(AND($V45="Sub",N($U45)&gt;0),IF(ISNUMBER(INDEX($AM$5:$AM$1000,$U45-4)),DATE(YEAR(INDEX($AM$5:$AM$1000,$U45-4)),MONTH(INDEX($AM$5:$AM$1000,$U45-4)),1),IF(ISNUMBER(INDEX($AN$5:$AN$1000,$U45-4)),DATE(YEAR(INDEX($AN$5:$AN$1000,$U45-4)),MONTH(INDEX($AN$5:$AN$1000,$U45-4)),1),MesCiclo)),IF(ISNUMBER($AM45),DATE(YEAR($AM45),MONTH($AM45),1),IF(ISNUMBER($AN45),DATE(YEAR($AN45),MONTH($AN45),1),MesCiclo))))</f>
        <v/>
      </c>
      <c r="T45" s="62">
        <f>IF(OR($S45="",$S45&lt;&gt;MesCiclo),"",COUNTIF($S$5:$S45,MesCiclo))</f>
        <v/>
      </c>
      <c r="U45" s="62">
        <f>IF($V45="","",IF($V45="Macro",ROW(),IFERROR(LOOKUP(2,1/($V$5:$V45="Macro"),ROW($V$5:$V45)),0)))</f>
        <v/>
      </c>
      <c r="V45" s="62">
        <f>IF(NOT((COUNTA($B45:$D45)+COUNTA($G45:$L45)+COUNTA($Q45))&gt;0),"",IF($B45="Subactividad","Sub","Macro"))</f>
        <v/>
      </c>
      <c r="W45" s="62">
        <f>IF($V45="Macro",COUNTIFS($U$5:$U$1000,ROW(),$V$5:$V$1000,"Sub"),"")</f>
        <v/>
      </c>
      <c r="X45" s="62">
        <f>IF($V45="","",IF(ISNUMBER($G45),1,IFERROR(LOOKUP(2,1/($I45:$L45&lt;&gt;""),$I45:$L45),0)))</f>
        <v/>
      </c>
      <c r="Y45" s="62">
        <f>IF($V45="","",IF(AND(ISNUMBER($G45),$G45&lt;=IF($S45=MesCiclo,InicioCiclo,$S45+MOD(2-WEEKDAY($S45),7))+6),1,IF(ISNUMBER($I45),$I45,0)))</f>
        <v/>
      </c>
      <c r="Z45" s="62">
        <f>IF($V45="","",IF(AND(ISNUMBER($G45),$G45&lt;=IF($S45=MesCiclo,InicioCiclo,$S45+MOD(2-WEEKDAY($S45),7))+13),1,IF(ISNUMBER($J45),$J45,$Y45)))</f>
        <v/>
      </c>
      <c r="AA45" s="62">
        <f>IF($V45="","",IF(AND(ISNUMBER($G45),$G45&lt;=IF($S45=MesCiclo,InicioCiclo,$S45+MOD(2-WEEKDAY($S45),7))+20),1,IF(ISNUMBER($K45),$K45,$Z45)))</f>
        <v/>
      </c>
      <c r="AB45" s="62">
        <f>IF($V45="","",IF(AND(ISNUMBER($G45),$G45&lt;=IF($S45=MesCiclo,InicioCiclo,$S45+MOD(2-WEEKDAY($S45),7))+27),1,IF(ISNUMBER($L45),$L45,$AA45)))</f>
        <v/>
      </c>
      <c r="AC45" s="62">
        <f>IF($V45="","",IF(AND(ISNUMBER($G45),$G45&lt;=IF($S45=MesCiclo,InicioCiclo,$S45+MOD(2-WEEKDAY($S45),7))+6),1,IF(N($W45)&gt;0,AVERAGEIFS($Y$5:$Y$1000,$U$5:$U$1000,ROW(),$V$5:$V$1000,"Sub"),$Y45)))</f>
        <v/>
      </c>
      <c r="AD45" s="62">
        <f>IF($V45="","",IF(AND(ISNUMBER($G45),$G45&lt;=IF($S45=MesCiclo,InicioCiclo,$S45+MOD(2-WEEKDAY($S45),7))+13),1,IF(N($W45)&gt;0,AVERAGEIFS($Z$5:$Z$1000,$U$5:$U$1000,ROW(),$V$5:$V$1000,"Sub"),$Z45)))</f>
        <v/>
      </c>
      <c r="AE45" s="62">
        <f>IF($V45="","",IF(AND(ISNUMBER($G45),$G45&lt;=IF($S45=MesCiclo,InicioCiclo,$S45+MOD(2-WEEKDAY($S45),7))+20),1,IF(N($W45)&gt;0,AVERAGEIFS($AA$5:$AA$1000,$U$5:$U$1000,ROW(),$V$5:$V$1000,"Sub"),$AA45)))</f>
        <v/>
      </c>
      <c r="AF45" s="62">
        <f>IF($V45="","",IF(AND(ISNUMBER($G45),$G45&lt;=IF($S45=MesCiclo,InicioCiclo,$S45+MOD(2-WEEKDAY($S45),7))+27),1,IF(N($W45)&gt;0,AVERAGEIFS($AB$5:$AB$1000,$U$5:$U$1000,ROW(),$V$5:$V$1000,"Sub"),$AB45)))</f>
        <v/>
      </c>
      <c r="AG45" s="62">
        <f>IF($V45&lt;&gt;"Macro","",IF(COUNTIFS($S$5:$S$1000,$S45,$V$5:$V$1000,"Macro",$H$5:$H$1000,"&gt;0")=0,1/COUNTIFS($S$5:$S$1000,$S45,$V$5:$V$1000,"Macro"),IF(AND(ISNUMBER($H45),N($H45)&gt;0),$H45,SUMIFS($H$5:$H$1000,$S$5:$S$1000,$S45,$V$5:$V$1000,"Macro")/COUNTIFS($S$5:$S$1000,$S45,$V$5:$V$1000,"Macro",$H$5:$H$1000,"&gt;0"))/(COUNTIFS($S$5:$S$1000,$S45,$V$5:$V$1000,"Macro")*SUMIFS($H$5:$H$1000,$S$5:$S$1000,$S45,$V$5:$V$1000,"Macro")/COUNTIFS($S$5:$S$1000,$S45,$V$5:$V$1000,"Macro",$H$5:$H$1000,"&gt;0"))))</f>
        <v/>
      </c>
      <c r="AH45" s="62" t="n"/>
      <c r="AI45" s="62" t="n"/>
      <c r="AJ45" s="62" t="n"/>
      <c r="AK45" s="62" t="n"/>
      <c r="AL45" s="62">
        <f>IF(LEFT($C45,11)="[Jefatura] ",IFERROR(MATCH("Riesgo Normativo|"&amp;MID($C45,12,500),rDname_ADM,0),0),"")</f>
        <v/>
      </c>
      <c r="AM45" s="62">
        <f>IF(N($AL45)&gt;0,INDEX(rIni_ADM,$AL45),IF(ISNUMBER($E45),$E45,""))</f>
        <v/>
      </c>
      <c r="AN45" s="62">
        <f>IF(N($AL45)&gt;0,INDEX(rLim_ADM,$AL45),IF(ISNUMBER($F45),$F45,""))</f>
        <v/>
      </c>
    </row>
    <row r="46">
      <c r="A46" s="56">
        <f>IF(NOT((COUNTA($B46:$D46)+COUNTA($G46:$L46)+COUNTA($Q46))&gt;0),"",IF($V46="Macro",COUNTIFS($V$5:$V46,"Macro",$S$5:$S46,$S46),IF(N($U46)=0,"?",COUNTIFS(INDEX($V$5:$V$1000,1):INDEX($V$5:$V$1000,$U46-4),"Macro",INDEX($S$5:$S$1000,1):INDEX($S$5:$S$1000,$U46-4),INDEX($S$5:$S$1000,$U46-4))&amp;"."&amp;COUNTIFS($U$5:$U46,$U46,$V$5:$V46,"Sub"))))</f>
        <v/>
      </c>
      <c r="B46" s="57" t="n"/>
      <c r="C46" s="58" t="n"/>
      <c r="D46" s="58" t="n"/>
      <c r="E46" s="59">
        <f>IF(N($AL46)&gt;0,INDEX(rIni_ADM,$AL46),"")</f>
        <v/>
      </c>
      <c r="F46" s="59">
        <f>IF(N($AL46)&gt;0,INDEX(rLim_ADM,$AL46),"")</f>
        <v/>
      </c>
      <c r="G46" s="59" t="n"/>
      <c r="H46" s="60" t="n"/>
      <c r="I46" s="60" t="n"/>
      <c r="J46" s="60" t="n"/>
      <c r="K46" s="60" t="n"/>
      <c r="L46" s="60" t="n"/>
      <c r="M46" s="61">
        <f>IF(NOT((COUNTA($B46:$D46)+COUNTA($G46:$L46)+COUNTA($Q46))&gt;0),"",IF(ISNUMBER($G46),1,IF(N($W46)&gt;0,AVERAGEIFS($X$5:$X$1000,$U$5:$U$1000,ROW(),$V$5:$V$1000,"Sub"),$X46)))</f>
        <v/>
      </c>
      <c r="N46" s="56">
        <f>IF($M46="","",IF($M46&gt;=1,"Completado",IF($M46&gt;0,"En curso","Pendiente")))</f>
        <v/>
      </c>
      <c r="O46" s="56">
        <f>IF(NOT((COUNTA($B46:$D46)+COUNTA($G46:$L46)+COUNTA($Q46))&gt;0),"",IF(ISNUMBER($G46),IF(AND(ISNUMBER($AN46),$G46&gt;$AN46),"Cumplida con "&amp;($G46-$AN46)&amp;IF($G46-$AN46=1," día"," días")&amp;" de retraso","Cumplida"),IF(N($M46)&gt;=1,"Cumplida",IF(NOT(ISNUMBER($AN46)),"Sin fecha límite",IF($AN46&lt;FechaRef,"Vencida hace "&amp;(FechaRef-$AN46)&amp;IF(FechaRef-$AN46=1," día"," días"),IF($AN46=FechaRef,"Vence hoy",IF($AN46-FechaRef&lt;=DiasAlerta,"Vence en "&amp;($AN46-FechaRef)&amp;IF($AN46-FechaRef=1," día"," días"),"En plazo")))))))</f>
        <v/>
      </c>
      <c r="P46" s="62" t="n"/>
      <c r="Q46" s="58" t="n"/>
      <c r="R46" s="63">
        <f>IF(NOT((COUNTA($B46:$D46)+COUNTA($G46:$L46)+COUNTA($Q46))&gt;0),"",IF((IF($C46="","Falta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",""))="","✔ OK","⚠ "&amp;LEFT(IF($C46="","Falta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",""),LEN(IF($C46="","Falta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",""))-3)))</f>
        <v/>
      </c>
      <c r="S46" s="64">
        <f>IF(NOT((COUNTA($B46:$D46)+COUNTA($G46:$L46)+COUNTA($Q46))&gt;0),"",IF(AND($V46="Sub",N($U46)&gt;0),IF(ISNUMBER(INDEX($AM$5:$AM$1000,$U46-4)),DATE(YEAR(INDEX($AM$5:$AM$1000,$U46-4)),MONTH(INDEX($AM$5:$AM$1000,$U46-4)),1),IF(ISNUMBER(INDEX($AN$5:$AN$1000,$U46-4)),DATE(YEAR(INDEX($AN$5:$AN$1000,$U46-4)),MONTH(INDEX($AN$5:$AN$1000,$U46-4)),1),MesCiclo)),IF(ISNUMBER($AM46),DATE(YEAR($AM46),MONTH($AM46),1),IF(ISNUMBER($AN46),DATE(YEAR($AN46),MONTH($AN46),1),MesCiclo))))</f>
        <v/>
      </c>
      <c r="T46" s="62">
        <f>IF(OR($S46="",$S46&lt;&gt;MesCiclo),"",COUNTIF($S$5:$S46,MesCiclo))</f>
        <v/>
      </c>
      <c r="U46" s="62">
        <f>IF($V46="","",IF($V46="Macro",ROW(),IFERROR(LOOKUP(2,1/($V$5:$V46="Macro"),ROW($V$5:$V46)),0)))</f>
        <v/>
      </c>
      <c r="V46" s="62">
        <f>IF(NOT((COUNTA($B46:$D46)+COUNTA($G46:$L46)+COUNTA($Q46))&gt;0),"",IF($B46="Subactividad","Sub","Macro"))</f>
        <v/>
      </c>
      <c r="W46" s="62">
        <f>IF($V46="Macro",COUNTIFS($U$5:$U$1000,ROW(),$V$5:$V$1000,"Sub"),"")</f>
        <v/>
      </c>
      <c r="X46" s="62">
        <f>IF($V46="","",IF(ISNUMBER($G46),1,IFERROR(LOOKUP(2,1/($I46:$L46&lt;&gt;""),$I46:$L46),0)))</f>
        <v/>
      </c>
      <c r="Y46" s="62">
        <f>IF($V46="","",IF(AND(ISNUMBER($G46),$G46&lt;=IF($S46=MesCiclo,InicioCiclo,$S46+MOD(2-WEEKDAY($S46),7))+6),1,IF(ISNUMBER($I46),$I46,0)))</f>
        <v/>
      </c>
      <c r="Z46" s="62">
        <f>IF($V46="","",IF(AND(ISNUMBER($G46),$G46&lt;=IF($S46=MesCiclo,InicioCiclo,$S46+MOD(2-WEEKDAY($S46),7))+13),1,IF(ISNUMBER($J46),$J46,$Y46)))</f>
        <v/>
      </c>
      <c r="AA46" s="62">
        <f>IF($V46="","",IF(AND(ISNUMBER($G46),$G46&lt;=IF($S46=MesCiclo,InicioCiclo,$S46+MOD(2-WEEKDAY($S46),7))+20),1,IF(ISNUMBER($K46),$K46,$Z46)))</f>
        <v/>
      </c>
      <c r="AB46" s="62">
        <f>IF($V46="","",IF(AND(ISNUMBER($G46),$G46&lt;=IF($S46=MesCiclo,InicioCiclo,$S46+MOD(2-WEEKDAY($S46),7))+27),1,IF(ISNUMBER($L46),$L46,$AA46)))</f>
        <v/>
      </c>
      <c r="AC46" s="62">
        <f>IF($V46="","",IF(AND(ISNUMBER($G46),$G46&lt;=IF($S46=MesCiclo,InicioCiclo,$S46+MOD(2-WEEKDAY($S46),7))+6),1,IF(N($W46)&gt;0,AVERAGEIFS($Y$5:$Y$1000,$U$5:$U$1000,ROW(),$V$5:$V$1000,"Sub"),$Y46)))</f>
        <v/>
      </c>
      <c r="AD46" s="62">
        <f>IF($V46="","",IF(AND(ISNUMBER($G46),$G46&lt;=IF($S46=MesCiclo,InicioCiclo,$S46+MOD(2-WEEKDAY($S46),7))+13),1,IF(N($W46)&gt;0,AVERAGEIFS($Z$5:$Z$1000,$U$5:$U$1000,ROW(),$V$5:$V$1000,"Sub"),$Z46)))</f>
        <v/>
      </c>
      <c r="AE46" s="62">
        <f>IF($V46="","",IF(AND(ISNUMBER($G46),$G46&lt;=IF($S46=MesCiclo,InicioCiclo,$S46+MOD(2-WEEKDAY($S46),7))+20),1,IF(N($W46)&gt;0,AVERAGEIFS($AA$5:$AA$1000,$U$5:$U$1000,ROW(),$V$5:$V$1000,"Sub"),$AA46)))</f>
        <v/>
      </c>
      <c r="AF46" s="62">
        <f>IF($V46="","",IF(AND(ISNUMBER($G46),$G46&lt;=IF($S46=MesCiclo,InicioCiclo,$S46+MOD(2-WEEKDAY($S46),7))+27),1,IF(N($W46)&gt;0,AVERAGEIFS($AB$5:$AB$1000,$U$5:$U$1000,ROW(),$V$5:$V$1000,"Sub"),$AB46)))</f>
        <v/>
      </c>
      <c r="AG46" s="62">
        <f>IF($V46&lt;&gt;"Macro","",IF(COUNTIFS($S$5:$S$1000,$S46,$V$5:$V$1000,"Macro",$H$5:$H$1000,"&gt;0")=0,1/COUNTIFS($S$5:$S$1000,$S46,$V$5:$V$1000,"Macro"),IF(AND(ISNUMBER($H46),N($H46)&gt;0),$H46,SUMIFS($H$5:$H$1000,$S$5:$S$1000,$S46,$V$5:$V$1000,"Macro")/COUNTIFS($S$5:$S$1000,$S46,$V$5:$V$1000,"Macro",$H$5:$H$1000,"&gt;0"))/(COUNTIFS($S$5:$S$1000,$S46,$V$5:$V$1000,"Macro")*SUMIFS($H$5:$H$1000,$S$5:$S$1000,$S46,$V$5:$V$1000,"Macro")/COUNTIFS($S$5:$S$1000,$S46,$V$5:$V$1000,"Macro",$H$5:$H$1000,"&gt;0"))))</f>
        <v/>
      </c>
      <c r="AH46" s="62" t="n"/>
      <c r="AI46" s="62" t="n"/>
      <c r="AJ46" s="62" t="n"/>
      <c r="AK46" s="62" t="n"/>
      <c r="AL46" s="62">
        <f>IF(LEFT($C46,11)="[Jefatura] ",IFERROR(MATCH("Riesgo Normativo|"&amp;MID($C46,12,500),rDname_ADM,0),0),"")</f>
        <v/>
      </c>
      <c r="AM46" s="62">
        <f>IF(N($AL46)&gt;0,INDEX(rIni_ADM,$AL46),IF(ISNUMBER($E46),$E46,""))</f>
        <v/>
      </c>
      <c r="AN46" s="62">
        <f>IF(N($AL46)&gt;0,INDEX(rLim_ADM,$AL46),IF(ISNUMBER($F46),$F46,""))</f>
        <v/>
      </c>
    </row>
    <row r="47">
      <c r="A47" s="56">
        <f>IF(NOT((COUNTA($B47:$D47)+COUNTA($G47:$L47)+COUNTA($Q47))&gt;0),"",IF($V47="Macro",COUNTIFS($V$5:$V47,"Macro",$S$5:$S47,$S47),IF(N($U47)=0,"?",COUNTIFS(INDEX($V$5:$V$1000,1):INDEX($V$5:$V$1000,$U47-4),"Macro",INDEX($S$5:$S$1000,1):INDEX($S$5:$S$1000,$U47-4),INDEX($S$5:$S$1000,$U47-4))&amp;"."&amp;COUNTIFS($U$5:$U47,$U47,$V$5:$V47,"Sub"))))</f>
        <v/>
      </c>
      <c r="B47" s="57" t="n"/>
      <c r="C47" s="58" t="n"/>
      <c r="D47" s="58" t="n"/>
      <c r="E47" s="59">
        <f>IF(N($AL47)&gt;0,INDEX(rIni_ADM,$AL47),"")</f>
        <v/>
      </c>
      <c r="F47" s="59">
        <f>IF(N($AL47)&gt;0,INDEX(rLim_ADM,$AL47),"")</f>
        <v/>
      </c>
      <c r="G47" s="59" t="n"/>
      <c r="H47" s="60" t="n"/>
      <c r="I47" s="60" t="n"/>
      <c r="J47" s="60" t="n"/>
      <c r="K47" s="60" t="n"/>
      <c r="L47" s="60" t="n"/>
      <c r="M47" s="61">
        <f>IF(NOT((COUNTA($B47:$D47)+COUNTA($G47:$L47)+COUNTA($Q47))&gt;0),"",IF(ISNUMBER($G47),1,IF(N($W47)&gt;0,AVERAGEIFS($X$5:$X$1000,$U$5:$U$1000,ROW(),$V$5:$V$1000,"Sub"),$X47)))</f>
        <v/>
      </c>
      <c r="N47" s="56">
        <f>IF($M47="","",IF($M47&gt;=1,"Completado",IF($M47&gt;0,"En curso","Pendiente")))</f>
        <v/>
      </c>
      <c r="O47" s="56">
        <f>IF(NOT((COUNTA($B47:$D47)+COUNTA($G47:$L47)+COUNTA($Q47))&gt;0),"",IF(ISNUMBER($G47),IF(AND(ISNUMBER($AN47),$G47&gt;$AN47),"Cumplida con "&amp;($G47-$AN47)&amp;IF($G47-$AN47=1," día"," días")&amp;" de retraso","Cumplida"),IF(N($M47)&gt;=1,"Cumplida",IF(NOT(ISNUMBER($AN47)),"Sin fecha límite",IF($AN47&lt;FechaRef,"Vencida hace "&amp;(FechaRef-$AN47)&amp;IF(FechaRef-$AN47=1," día"," días"),IF($AN47=FechaRef,"Vence hoy",IF($AN47-FechaRef&lt;=DiasAlerta,"Vence en "&amp;($AN47-FechaRef)&amp;IF($AN47-FechaRef=1," día"," días"),"En plazo")))))))</f>
        <v/>
      </c>
      <c r="P47" s="62" t="n"/>
      <c r="Q47" s="58" t="n"/>
      <c r="R47" s="63">
        <f>IF(NOT((COUNTA($B47:$D47)+COUNTA($G47:$L47)+COUNTA($Q47))&gt;0),"",IF((IF($C47="","Falta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",""))="","✔ OK","⚠ "&amp;LEFT(IF($C47="","Falta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",""),LEN(IF($C47="","Falta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",""))-3)))</f>
        <v/>
      </c>
      <c r="S47" s="64">
        <f>IF(NOT((COUNTA($B47:$D47)+COUNTA($G47:$L47)+COUNTA($Q47))&gt;0),"",IF(AND($V47="Sub",N($U47)&gt;0),IF(ISNUMBER(INDEX($AM$5:$AM$1000,$U47-4)),DATE(YEAR(INDEX($AM$5:$AM$1000,$U47-4)),MONTH(INDEX($AM$5:$AM$1000,$U47-4)),1),IF(ISNUMBER(INDEX($AN$5:$AN$1000,$U47-4)),DATE(YEAR(INDEX($AN$5:$AN$1000,$U47-4)),MONTH(INDEX($AN$5:$AN$1000,$U47-4)),1),MesCiclo)),IF(ISNUMBER($AM47),DATE(YEAR($AM47),MONTH($AM47),1),IF(ISNUMBER($AN47),DATE(YEAR($AN47),MONTH($AN47),1),MesCiclo))))</f>
        <v/>
      </c>
      <c r="T47" s="62">
        <f>IF(OR($S47="",$S47&lt;&gt;MesCiclo),"",COUNTIF($S$5:$S47,MesCiclo))</f>
        <v/>
      </c>
      <c r="U47" s="62">
        <f>IF($V47="","",IF($V47="Macro",ROW(),IFERROR(LOOKUP(2,1/($V$5:$V47="Macro"),ROW($V$5:$V47)),0)))</f>
        <v/>
      </c>
      <c r="V47" s="62">
        <f>IF(NOT((COUNTA($B47:$D47)+COUNTA($G47:$L47)+COUNTA($Q47))&gt;0),"",IF($B47="Subactividad","Sub","Macro"))</f>
        <v/>
      </c>
      <c r="W47" s="62">
        <f>IF($V47="Macro",COUNTIFS($U$5:$U$1000,ROW(),$V$5:$V$1000,"Sub"),"")</f>
        <v/>
      </c>
      <c r="X47" s="62">
        <f>IF($V47="","",IF(ISNUMBER($G47),1,IFERROR(LOOKUP(2,1/($I47:$L47&lt;&gt;""),$I47:$L47),0)))</f>
        <v/>
      </c>
      <c r="Y47" s="62">
        <f>IF($V47="","",IF(AND(ISNUMBER($G47),$G47&lt;=IF($S47=MesCiclo,InicioCiclo,$S47+MOD(2-WEEKDAY($S47),7))+6),1,IF(ISNUMBER($I47),$I47,0)))</f>
        <v/>
      </c>
      <c r="Z47" s="62">
        <f>IF($V47="","",IF(AND(ISNUMBER($G47),$G47&lt;=IF($S47=MesCiclo,InicioCiclo,$S47+MOD(2-WEEKDAY($S47),7))+13),1,IF(ISNUMBER($J47),$J47,$Y47)))</f>
        <v/>
      </c>
      <c r="AA47" s="62">
        <f>IF($V47="","",IF(AND(ISNUMBER($G47),$G47&lt;=IF($S47=MesCiclo,InicioCiclo,$S47+MOD(2-WEEKDAY($S47),7))+20),1,IF(ISNUMBER($K47),$K47,$Z47)))</f>
        <v/>
      </c>
      <c r="AB47" s="62">
        <f>IF($V47="","",IF(AND(ISNUMBER($G47),$G47&lt;=IF($S47=MesCiclo,InicioCiclo,$S47+MOD(2-WEEKDAY($S47),7))+27),1,IF(ISNUMBER($L47),$L47,$AA47)))</f>
        <v/>
      </c>
      <c r="AC47" s="62">
        <f>IF($V47="","",IF(AND(ISNUMBER($G47),$G47&lt;=IF($S47=MesCiclo,InicioCiclo,$S47+MOD(2-WEEKDAY($S47),7))+6),1,IF(N($W47)&gt;0,AVERAGEIFS($Y$5:$Y$1000,$U$5:$U$1000,ROW(),$V$5:$V$1000,"Sub"),$Y47)))</f>
        <v/>
      </c>
      <c r="AD47" s="62">
        <f>IF($V47="","",IF(AND(ISNUMBER($G47),$G47&lt;=IF($S47=MesCiclo,InicioCiclo,$S47+MOD(2-WEEKDAY($S47),7))+13),1,IF(N($W47)&gt;0,AVERAGEIFS($Z$5:$Z$1000,$U$5:$U$1000,ROW(),$V$5:$V$1000,"Sub"),$Z47)))</f>
        <v/>
      </c>
      <c r="AE47" s="62">
        <f>IF($V47="","",IF(AND(ISNUMBER($G47),$G47&lt;=IF($S47=MesCiclo,InicioCiclo,$S47+MOD(2-WEEKDAY($S47),7))+20),1,IF(N($W47)&gt;0,AVERAGEIFS($AA$5:$AA$1000,$U$5:$U$1000,ROW(),$V$5:$V$1000,"Sub"),$AA47)))</f>
        <v/>
      </c>
      <c r="AF47" s="62">
        <f>IF($V47="","",IF(AND(ISNUMBER($G47),$G47&lt;=IF($S47=MesCiclo,InicioCiclo,$S47+MOD(2-WEEKDAY($S47),7))+27),1,IF(N($W47)&gt;0,AVERAGEIFS($AB$5:$AB$1000,$U$5:$U$1000,ROW(),$V$5:$V$1000,"Sub"),$AB47)))</f>
        <v/>
      </c>
      <c r="AG47" s="62">
        <f>IF($V47&lt;&gt;"Macro","",IF(COUNTIFS($S$5:$S$1000,$S47,$V$5:$V$1000,"Macro",$H$5:$H$1000,"&gt;0")=0,1/COUNTIFS($S$5:$S$1000,$S47,$V$5:$V$1000,"Macro"),IF(AND(ISNUMBER($H47),N($H47)&gt;0),$H47,SUMIFS($H$5:$H$1000,$S$5:$S$1000,$S47,$V$5:$V$1000,"Macro")/COUNTIFS($S$5:$S$1000,$S47,$V$5:$V$1000,"Macro",$H$5:$H$1000,"&gt;0"))/(COUNTIFS($S$5:$S$1000,$S47,$V$5:$V$1000,"Macro")*SUMIFS($H$5:$H$1000,$S$5:$S$1000,$S47,$V$5:$V$1000,"Macro")/COUNTIFS($S$5:$S$1000,$S47,$V$5:$V$1000,"Macro",$H$5:$H$1000,"&gt;0"))))</f>
        <v/>
      </c>
      <c r="AH47" s="62" t="n"/>
      <c r="AI47" s="62" t="n"/>
      <c r="AJ47" s="62" t="n"/>
      <c r="AK47" s="62" t="n"/>
      <c r="AL47" s="62">
        <f>IF(LEFT($C47,11)="[Jefatura] ",IFERROR(MATCH("Riesgo Normativo|"&amp;MID($C47,12,500),rDname_ADM,0),0),"")</f>
        <v/>
      </c>
      <c r="AM47" s="62">
        <f>IF(N($AL47)&gt;0,INDEX(rIni_ADM,$AL47),IF(ISNUMBER($E47),$E47,""))</f>
        <v/>
      </c>
      <c r="AN47" s="62">
        <f>IF(N($AL47)&gt;0,INDEX(rLim_ADM,$AL47),IF(ISNUMBER($F47),$F47,""))</f>
        <v/>
      </c>
    </row>
    <row r="48">
      <c r="A48" s="56">
        <f>IF(NOT((COUNTA($B48:$D48)+COUNTA($G48:$L48)+COUNTA($Q48))&gt;0),"",IF($V48="Macro",COUNTIFS($V$5:$V48,"Macro",$S$5:$S48,$S48),IF(N($U48)=0,"?",COUNTIFS(INDEX($V$5:$V$1000,1):INDEX($V$5:$V$1000,$U48-4),"Macro",INDEX($S$5:$S$1000,1):INDEX($S$5:$S$1000,$U48-4),INDEX($S$5:$S$1000,$U48-4))&amp;"."&amp;COUNTIFS($U$5:$U48,$U48,$V$5:$V48,"Sub"))))</f>
        <v/>
      </c>
      <c r="B48" s="57" t="n"/>
      <c r="C48" s="58" t="n"/>
      <c r="D48" s="58" t="n"/>
      <c r="E48" s="59">
        <f>IF(N($AL48)&gt;0,INDEX(rIni_ADM,$AL48),"")</f>
        <v/>
      </c>
      <c r="F48" s="59">
        <f>IF(N($AL48)&gt;0,INDEX(rLim_ADM,$AL48),"")</f>
        <v/>
      </c>
      <c r="G48" s="59" t="n"/>
      <c r="H48" s="60" t="n"/>
      <c r="I48" s="60" t="n"/>
      <c r="J48" s="60" t="n"/>
      <c r="K48" s="60" t="n"/>
      <c r="L48" s="60" t="n"/>
      <c r="M48" s="61">
        <f>IF(NOT((COUNTA($B48:$D48)+COUNTA($G48:$L48)+COUNTA($Q48))&gt;0),"",IF(ISNUMBER($G48),1,IF(N($W48)&gt;0,AVERAGEIFS($X$5:$X$1000,$U$5:$U$1000,ROW(),$V$5:$V$1000,"Sub"),$X48)))</f>
        <v/>
      </c>
      <c r="N48" s="56">
        <f>IF($M48="","",IF($M48&gt;=1,"Completado",IF($M48&gt;0,"En curso","Pendiente")))</f>
        <v/>
      </c>
      <c r="O48" s="56">
        <f>IF(NOT((COUNTA($B48:$D48)+COUNTA($G48:$L48)+COUNTA($Q48))&gt;0),"",IF(ISNUMBER($G48),IF(AND(ISNUMBER($AN48),$G48&gt;$AN48),"Cumplida con "&amp;($G48-$AN48)&amp;IF($G48-$AN48=1," día"," días")&amp;" de retraso","Cumplida"),IF(N($M48)&gt;=1,"Cumplida",IF(NOT(ISNUMBER($AN48)),"Sin fecha límite",IF($AN48&lt;FechaRef,"Vencida hace "&amp;(FechaRef-$AN48)&amp;IF(FechaRef-$AN48=1," día"," días"),IF($AN48=FechaRef,"Vence hoy",IF($AN48-FechaRef&lt;=DiasAlerta,"Vence en "&amp;($AN48-FechaRef)&amp;IF($AN48-FechaRef=1," día"," días"),"En plazo")))))))</f>
        <v/>
      </c>
      <c r="P48" s="62" t="n"/>
      <c r="Q48" s="58" t="n"/>
      <c r="R48" s="63">
        <f>IF(NOT((COUNTA($B48:$D48)+COUNTA($G48:$L48)+COUNTA($Q48))&gt;0),"",IF((IF($C48="","Falta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",""))="","✔ OK","⚠ "&amp;LEFT(IF($C48="","Falta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",""),LEN(IF($C48="","Falta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",""))-3)))</f>
        <v/>
      </c>
      <c r="S48" s="64">
        <f>IF(NOT((COUNTA($B48:$D48)+COUNTA($G48:$L48)+COUNTA($Q48))&gt;0),"",IF(AND($V48="Sub",N($U48)&gt;0),IF(ISNUMBER(INDEX($AM$5:$AM$1000,$U48-4)),DATE(YEAR(INDEX($AM$5:$AM$1000,$U48-4)),MONTH(INDEX($AM$5:$AM$1000,$U48-4)),1),IF(ISNUMBER(INDEX($AN$5:$AN$1000,$U48-4)),DATE(YEAR(INDEX($AN$5:$AN$1000,$U48-4)),MONTH(INDEX($AN$5:$AN$1000,$U48-4)),1),MesCiclo)),IF(ISNUMBER($AM48),DATE(YEAR($AM48),MONTH($AM48),1),IF(ISNUMBER($AN48),DATE(YEAR($AN48),MONTH($AN48),1),MesCiclo))))</f>
        <v/>
      </c>
      <c r="T48" s="62">
        <f>IF(OR($S48="",$S48&lt;&gt;MesCiclo),"",COUNTIF($S$5:$S48,MesCiclo))</f>
        <v/>
      </c>
      <c r="U48" s="62">
        <f>IF($V48="","",IF($V48="Macro",ROW(),IFERROR(LOOKUP(2,1/($V$5:$V48="Macro"),ROW($V$5:$V48)),0)))</f>
        <v/>
      </c>
      <c r="V48" s="62">
        <f>IF(NOT((COUNTA($B48:$D48)+COUNTA($G48:$L48)+COUNTA($Q48))&gt;0),"",IF($B48="Subactividad","Sub","Macro"))</f>
        <v/>
      </c>
      <c r="W48" s="62">
        <f>IF($V48="Macro",COUNTIFS($U$5:$U$1000,ROW(),$V$5:$V$1000,"Sub"),"")</f>
        <v/>
      </c>
      <c r="X48" s="62">
        <f>IF($V48="","",IF(ISNUMBER($G48),1,IFERROR(LOOKUP(2,1/($I48:$L48&lt;&gt;""),$I48:$L48),0)))</f>
        <v/>
      </c>
      <c r="Y48" s="62">
        <f>IF($V48="","",IF(AND(ISNUMBER($G48),$G48&lt;=IF($S48=MesCiclo,InicioCiclo,$S48+MOD(2-WEEKDAY($S48),7))+6),1,IF(ISNUMBER($I48),$I48,0)))</f>
        <v/>
      </c>
      <c r="Z48" s="62">
        <f>IF($V48="","",IF(AND(ISNUMBER($G48),$G48&lt;=IF($S48=MesCiclo,InicioCiclo,$S48+MOD(2-WEEKDAY($S48),7))+13),1,IF(ISNUMBER($J48),$J48,$Y48)))</f>
        <v/>
      </c>
      <c r="AA48" s="62">
        <f>IF($V48="","",IF(AND(ISNUMBER($G48),$G48&lt;=IF($S48=MesCiclo,InicioCiclo,$S48+MOD(2-WEEKDAY($S48),7))+20),1,IF(ISNUMBER($K48),$K48,$Z48)))</f>
        <v/>
      </c>
      <c r="AB48" s="62">
        <f>IF($V48="","",IF(AND(ISNUMBER($G48),$G48&lt;=IF($S48=MesCiclo,InicioCiclo,$S48+MOD(2-WEEKDAY($S48),7))+27),1,IF(ISNUMBER($L48),$L48,$AA48)))</f>
        <v/>
      </c>
      <c r="AC48" s="62">
        <f>IF($V48="","",IF(AND(ISNUMBER($G48),$G48&lt;=IF($S48=MesCiclo,InicioCiclo,$S48+MOD(2-WEEKDAY($S48),7))+6),1,IF(N($W48)&gt;0,AVERAGEIFS($Y$5:$Y$1000,$U$5:$U$1000,ROW(),$V$5:$V$1000,"Sub"),$Y48)))</f>
        <v/>
      </c>
      <c r="AD48" s="62">
        <f>IF($V48="","",IF(AND(ISNUMBER($G48),$G48&lt;=IF($S48=MesCiclo,InicioCiclo,$S48+MOD(2-WEEKDAY($S48),7))+13),1,IF(N($W48)&gt;0,AVERAGEIFS($Z$5:$Z$1000,$U$5:$U$1000,ROW(),$V$5:$V$1000,"Sub"),$Z48)))</f>
        <v/>
      </c>
      <c r="AE48" s="62">
        <f>IF($V48="","",IF(AND(ISNUMBER($G48),$G48&lt;=IF($S48=MesCiclo,InicioCiclo,$S48+MOD(2-WEEKDAY($S48),7))+20),1,IF(N($W48)&gt;0,AVERAGEIFS($AA$5:$AA$1000,$U$5:$U$1000,ROW(),$V$5:$V$1000,"Sub"),$AA48)))</f>
        <v/>
      </c>
      <c r="AF48" s="62">
        <f>IF($V48="","",IF(AND(ISNUMBER($G48),$G48&lt;=IF($S48=MesCiclo,InicioCiclo,$S48+MOD(2-WEEKDAY($S48),7))+27),1,IF(N($W48)&gt;0,AVERAGEIFS($AB$5:$AB$1000,$U$5:$U$1000,ROW(),$V$5:$V$1000,"Sub"),$AB48)))</f>
        <v/>
      </c>
      <c r="AG48" s="62">
        <f>IF($V48&lt;&gt;"Macro","",IF(COUNTIFS($S$5:$S$1000,$S48,$V$5:$V$1000,"Macro",$H$5:$H$1000,"&gt;0")=0,1/COUNTIFS($S$5:$S$1000,$S48,$V$5:$V$1000,"Macro"),IF(AND(ISNUMBER($H48),N($H48)&gt;0),$H48,SUMIFS($H$5:$H$1000,$S$5:$S$1000,$S48,$V$5:$V$1000,"Macro")/COUNTIFS($S$5:$S$1000,$S48,$V$5:$V$1000,"Macro",$H$5:$H$1000,"&gt;0"))/(COUNTIFS($S$5:$S$1000,$S48,$V$5:$V$1000,"Macro")*SUMIFS($H$5:$H$1000,$S$5:$S$1000,$S48,$V$5:$V$1000,"Macro")/COUNTIFS($S$5:$S$1000,$S48,$V$5:$V$1000,"Macro",$H$5:$H$1000,"&gt;0"))))</f>
        <v/>
      </c>
      <c r="AH48" s="62" t="n"/>
      <c r="AI48" s="62" t="n"/>
      <c r="AJ48" s="62" t="n"/>
      <c r="AK48" s="62" t="n"/>
      <c r="AL48" s="62">
        <f>IF(LEFT($C48,11)="[Jefatura] ",IFERROR(MATCH("Riesgo Normativo|"&amp;MID($C48,12,500),rDname_ADM,0),0),"")</f>
        <v/>
      </c>
      <c r="AM48" s="62">
        <f>IF(N($AL48)&gt;0,INDEX(rIni_ADM,$AL48),IF(ISNUMBER($E48),$E48,""))</f>
        <v/>
      </c>
      <c r="AN48" s="62">
        <f>IF(N($AL48)&gt;0,INDEX(rLim_ADM,$AL48),IF(ISNUMBER($F48),$F48,""))</f>
        <v/>
      </c>
    </row>
    <row r="49">
      <c r="A49" s="56">
        <f>IF(NOT((COUNTA($B49:$D49)+COUNTA($G49:$L49)+COUNTA($Q49))&gt;0),"",IF($V49="Macro",COUNTIFS($V$5:$V49,"Macro",$S$5:$S49,$S49),IF(N($U49)=0,"?",COUNTIFS(INDEX($V$5:$V$1000,1):INDEX($V$5:$V$1000,$U49-4),"Macro",INDEX($S$5:$S$1000,1):INDEX($S$5:$S$1000,$U49-4),INDEX($S$5:$S$1000,$U49-4))&amp;"."&amp;COUNTIFS($U$5:$U49,$U49,$V$5:$V49,"Sub"))))</f>
        <v/>
      </c>
      <c r="B49" s="57" t="n"/>
      <c r="C49" s="58" t="n"/>
      <c r="D49" s="58" t="n"/>
      <c r="E49" s="59">
        <f>IF(N($AL49)&gt;0,INDEX(rIni_ADM,$AL49),"")</f>
        <v/>
      </c>
      <c r="F49" s="59">
        <f>IF(N($AL49)&gt;0,INDEX(rLim_ADM,$AL49),"")</f>
        <v/>
      </c>
      <c r="G49" s="59" t="n"/>
      <c r="H49" s="60" t="n"/>
      <c r="I49" s="60" t="n"/>
      <c r="J49" s="60" t="n"/>
      <c r="K49" s="60" t="n"/>
      <c r="L49" s="60" t="n"/>
      <c r="M49" s="61">
        <f>IF(NOT((COUNTA($B49:$D49)+COUNTA($G49:$L49)+COUNTA($Q49))&gt;0),"",IF(ISNUMBER($G49),1,IF(N($W49)&gt;0,AVERAGEIFS($X$5:$X$1000,$U$5:$U$1000,ROW(),$V$5:$V$1000,"Sub"),$X49)))</f>
        <v/>
      </c>
      <c r="N49" s="56">
        <f>IF($M49="","",IF($M49&gt;=1,"Completado",IF($M49&gt;0,"En curso","Pendiente")))</f>
        <v/>
      </c>
      <c r="O49" s="56">
        <f>IF(NOT((COUNTA($B49:$D49)+COUNTA($G49:$L49)+COUNTA($Q49))&gt;0),"",IF(ISNUMBER($G49),IF(AND(ISNUMBER($AN49),$G49&gt;$AN49),"Cumplida con "&amp;($G49-$AN49)&amp;IF($G49-$AN49=1," día"," días")&amp;" de retraso","Cumplida"),IF(N($M49)&gt;=1,"Cumplida",IF(NOT(ISNUMBER($AN49)),"Sin fecha límite",IF($AN49&lt;FechaRef,"Vencida hace "&amp;(FechaRef-$AN49)&amp;IF(FechaRef-$AN49=1," día"," días"),IF($AN49=FechaRef,"Vence hoy",IF($AN49-FechaRef&lt;=DiasAlerta,"Vence en "&amp;($AN49-FechaRef)&amp;IF($AN49-FechaRef=1," día"," días"),"En plazo")))))))</f>
        <v/>
      </c>
      <c r="P49" s="62" t="n"/>
      <c r="Q49" s="58" t="n"/>
      <c r="R49" s="63">
        <f>IF(NOT((COUNTA($B49:$D49)+COUNTA($G49:$L49)+COUNTA($Q49))&gt;0),"",IF((IF($C49="","Falta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",""))="","✔ OK","⚠ "&amp;LEFT(IF($C49="","Falta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",""),LEN(IF($C49="","Falta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",""))-3)))</f>
        <v/>
      </c>
      <c r="S49" s="64">
        <f>IF(NOT((COUNTA($B49:$D49)+COUNTA($G49:$L49)+COUNTA($Q49))&gt;0),"",IF(AND($V49="Sub",N($U49)&gt;0),IF(ISNUMBER(INDEX($AM$5:$AM$1000,$U49-4)),DATE(YEAR(INDEX($AM$5:$AM$1000,$U49-4)),MONTH(INDEX($AM$5:$AM$1000,$U49-4)),1),IF(ISNUMBER(INDEX($AN$5:$AN$1000,$U49-4)),DATE(YEAR(INDEX($AN$5:$AN$1000,$U49-4)),MONTH(INDEX($AN$5:$AN$1000,$U49-4)),1),MesCiclo)),IF(ISNUMBER($AM49),DATE(YEAR($AM49),MONTH($AM49),1),IF(ISNUMBER($AN49),DATE(YEAR($AN49),MONTH($AN49),1),MesCiclo))))</f>
        <v/>
      </c>
      <c r="T49" s="62">
        <f>IF(OR($S49="",$S49&lt;&gt;MesCiclo),"",COUNTIF($S$5:$S49,MesCiclo))</f>
        <v/>
      </c>
      <c r="U49" s="62">
        <f>IF($V49="","",IF($V49="Macro",ROW(),IFERROR(LOOKUP(2,1/($V$5:$V49="Macro"),ROW($V$5:$V49)),0)))</f>
        <v/>
      </c>
      <c r="V49" s="62">
        <f>IF(NOT((COUNTA($B49:$D49)+COUNTA($G49:$L49)+COUNTA($Q49))&gt;0),"",IF($B49="Subactividad","Sub","Macro"))</f>
        <v/>
      </c>
      <c r="W49" s="62">
        <f>IF($V49="Macro",COUNTIFS($U$5:$U$1000,ROW(),$V$5:$V$1000,"Sub"),"")</f>
        <v/>
      </c>
      <c r="X49" s="62">
        <f>IF($V49="","",IF(ISNUMBER($G49),1,IFERROR(LOOKUP(2,1/($I49:$L49&lt;&gt;""),$I49:$L49),0)))</f>
        <v/>
      </c>
      <c r="Y49" s="62">
        <f>IF($V49="","",IF(AND(ISNUMBER($G49),$G49&lt;=IF($S49=MesCiclo,InicioCiclo,$S49+MOD(2-WEEKDAY($S49),7))+6),1,IF(ISNUMBER($I49),$I49,0)))</f>
        <v/>
      </c>
      <c r="Z49" s="62">
        <f>IF($V49="","",IF(AND(ISNUMBER($G49),$G49&lt;=IF($S49=MesCiclo,InicioCiclo,$S49+MOD(2-WEEKDAY($S49),7))+13),1,IF(ISNUMBER($J49),$J49,$Y49)))</f>
        <v/>
      </c>
      <c r="AA49" s="62">
        <f>IF($V49="","",IF(AND(ISNUMBER($G49),$G49&lt;=IF($S49=MesCiclo,InicioCiclo,$S49+MOD(2-WEEKDAY($S49),7))+20),1,IF(ISNUMBER($K49),$K49,$Z49)))</f>
        <v/>
      </c>
      <c r="AB49" s="62">
        <f>IF($V49="","",IF(AND(ISNUMBER($G49),$G49&lt;=IF($S49=MesCiclo,InicioCiclo,$S49+MOD(2-WEEKDAY($S49),7))+27),1,IF(ISNUMBER($L49),$L49,$AA49)))</f>
        <v/>
      </c>
      <c r="AC49" s="62">
        <f>IF($V49="","",IF(AND(ISNUMBER($G49),$G49&lt;=IF($S49=MesCiclo,InicioCiclo,$S49+MOD(2-WEEKDAY($S49),7))+6),1,IF(N($W49)&gt;0,AVERAGEIFS($Y$5:$Y$1000,$U$5:$U$1000,ROW(),$V$5:$V$1000,"Sub"),$Y49)))</f>
        <v/>
      </c>
      <c r="AD49" s="62">
        <f>IF($V49="","",IF(AND(ISNUMBER($G49),$G49&lt;=IF($S49=MesCiclo,InicioCiclo,$S49+MOD(2-WEEKDAY($S49),7))+13),1,IF(N($W49)&gt;0,AVERAGEIFS($Z$5:$Z$1000,$U$5:$U$1000,ROW(),$V$5:$V$1000,"Sub"),$Z49)))</f>
        <v/>
      </c>
      <c r="AE49" s="62">
        <f>IF($V49="","",IF(AND(ISNUMBER($G49),$G49&lt;=IF($S49=MesCiclo,InicioCiclo,$S49+MOD(2-WEEKDAY($S49),7))+20),1,IF(N($W49)&gt;0,AVERAGEIFS($AA$5:$AA$1000,$U$5:$U$1000,ROW(),$V$5:$V$1000,"Sub"),$AA49)))</f>
        <v/>
      </c>
      <c r="AF49" s="62">
        <f>IF($V49="","",IF(AND(ISNUMBER($G49),$G49&lt;=IF($S49=MesCiclo,InicioCiclo,$S49+MOD(2-WEEKDAY($S49),7))+27),1,IF(N($W49)&gt;0,AVERAGEIFS($AB$5:$AB$1000,$U$5:$U$1000,ROW(),$V$5:$V$1000,"Sub"),$AB49)))</f>
        <v/>
      </c>
      <c r="AG49" s="62">
        <f>IF($V49&lt;&gt;"Macro","",IF(COUNTIFS($S$5:$S$1000,$S49,$V$5:$V$1000,"Macro",$H$5:$H$1000,"&gt;0")=0,1/COUNTIFS($S$5:$S$1000,$S49,$V$5:$V$1000,"Macro"),IF(AND(ISNUMBER($H49),N($H49)&gt;0),$H49,SUMIFS($H$5:$H$1000,$S$5:$S$1000,$S49,$V$5:$V$1000,"Macro")/COUNTIFS($S$5:$S$1000,$S49,$V$5:$V$1000,"Macro",$H$5:$H$1000,"&gt;0"))/(COUNTIFS($S$5:$S$1000,$S49,$V$5:$V$1000,"Macro")*SUMIFS($H$5:$H$1000,$S$5:$S$1000,$S49,$V$5:$V$1000,"Macro")/COUNTIFS($S$5:$S$1000,$S49,$V$5:$V$1000,"Macro",$H$5:$H$1000,"&gt;0"))))</f>
        <v/>
      </c>
      <c r="AH49" s="62" t="n"/>
      <c r="AI49" s="62" t="n"/>
      <c r="AJ49" s="62" t="n"/>
      <c r="AK49" s="62" t="n"/>
      <c r="AL49" s="62">
        <f>IF(LEFT($C49,11)="[Jefatura] ",IFERROR(MATCH("Riesgo Normativo|"&amp;MID($C49,12,500),rDname_ADM,0),0),"")</f>
        <v/>
      </c>
      <c r="AM49" s="62">
        <f>IF(N($AL49)&gt;0,INDEX(rIni_ADM,$AL49),IF(ISNUMBER($E49),$E49,""))</f>
        <v/>
      </c>
      <c r="AN49" s="62">
        <f>IF(N($AL49)&gt;0,INDEX(rLim_ADM,$AL49),IF(ISNUMBER($F49),$F49,""))</f>
        <v/>
      </c>
    </row>
    <row r="50">
      <c r="A50" s="56">
        <f>IF(NOT((COUNTA($B50:$D50)+COUNTA($G50:$L50)+COUNTA($Q50))&gt;0),"",IF($V50="Macro",COUNTIFS($V$5:$V50,"Macro",$S$5:$S50,$S50),IF(N($U50)=0,"?",COUNTIFS(INDEX($V$5:$V$1000,1):INDEX($V$5:$V$1000,$U50-4),"Macro",INDEX($S$5:$S$1000,1):INDEX($S$5:$S$1000,$U50-4),INDEX($S$5:$S$1000,$U50-4))&amp;"."&amp;COUNTIFS($U$5:$U50,$U50,$V$5:$V50,"Sub"))))</f>
        <v/>
      </c>
      <c r="B50" s="57" t="n"/>
      <c r="C50" s="58" t="n"/>
      <c r="D50" s="58" t="n"/>
      <c r="E50" s="59">
        <f>IF(N($AL50)&gt;0,INDEX(rIni_ADM,$AL50),"")</f>
        <v/>
      </c>
      <c r="F50" s="59">
        <f>IF(N($AL50)&gt;0,INDEX(rLim_ADM,$AL50),"")</f>
        <v/>
      </c>
      <c r="G50" s="59" t="n"/>
      <c r="H50" s="60" t="n"/>
      <c r="I50" s="60" t="n"/>
      <c r="J50" s="60" t="n"/>
      <c r="K50" s="60" t="n"/>
      <c r="L50" s="60" t="n"/>
      <c r="M50" s="61">
        <f>IF(NOT((COUNTA($B50:$D50)+COUNTA($G50:$L50)+COUNTA($Q50))&gt;0),"",IF(ISNUMBER($G50),1,IF(N($W50)&gt;0,AVERAGEIFS($X$5:$X$1000,$U$5:$U$1000,ROW(),$V$5:$V$1000,"Sub"),$X50)))</f>
        <v/>
      </c>
      <c r="N50" s="56">
        <f>IF($M50="","",IF($M50&gt;=1,"Completado",IF($M50&gt;0,"En curso","Pendiente")))</f>
        <v/>
      </c>
      <c r="O50" s="56">
        <f>IF(NOT((COUNTA($B50:$D50)+COUNTA($G50:$L50)+COUNTA($Q50))&gt;0),"",IF(ISNUMBER($G50),IF(AND(ISNUMBER($AN50),$G50&gt;$AN50),"Cumplida con "&amp;($G50-$AN50)&amp;IF($G50-$AN50=1," día"," días")&amp;" de retraso","Cumplida"),IF(N($M50)&gt;=1,"Cumplida",IF(NOT(ISNUMBER($AN50)),"Sin fecha límite",IF($AN50&lt;FechaRef,"Vencida hace "&amp;(FechaRef-$AN50)&amp;IF(FechaRef-$AN50=1," día"," días"),IF($AN50=FechaRef,"Vence hoy",IF($AN50-FechaRef&lt;=DiasAlerta,"Vence en "&amp;($AN50-FechaRef)&amp;IF($AN50-FechaRef=1," día"," días"),"En plazo")))))))</f>
        <v/>
      </c>
      <c r="P50" s="62" t="n"/>
      <c r="Q50" s="58" t="n"/>
      <c r="R50" s="63">
        <f>IF(NOT((COUNTA($B50:$D50)+COUNTA($G50:$L50)+COUNTA($Q50))&gt;0),"",IF((IF($C50="","Falta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",""))="","✔ OK","⚠ "&amp;LEFT(IF($C50="","Falta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",""),LEN(IF($C50="","Falta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",""))-3)))</f>
        <v/>
      </c>
      <c r="S50" s="64">
        <f>IF(NOT((COUNTA($B50:$D50)+COUNTA($G50:$L50)+COUNTA($Q50))&gt;0),"",IF(AND($V50="Sub",N($U50)&gt;0),IF(ISNUMBER(INDEX($AM$5:$AM$1000,$U50-4)),DATE(YEAR(INDEX($AM$5:$AM$1000,$U50-4)),MONTH(INDEX($AM$5:$AM$1000,$U50-4)),1),IF(ISNUMBER(INDEX($AN$5:$AN$1000,$U50-4)),DATE(YEAR(INDEX($AN$5:$AN$1000,$U50-4)),MONTH(INDEX($AN$5:$AN$1000,$U50-4)),1),MesCiclo)),IF(ISNUMBER($AM50),DATE(YEAR($AM50),MONTH($AM50),1),IF(ISNUMBER($AN50),DATE(YEAR($AN50),MONTH($AN50),1),MesCiclo))))</f>
        <v/>
      </c>
      <c r="T50" s="62">
        <f>IF(OR($S50="",$S50&lt;&gt;MesCiclo),"",COUNTIF($S$5:$S50,MesCiclo))</f>
        <v/>
      </c>
      <c r="U50" s="62">
        <f>IF($V50="","",IF($V50="Macro",ROW(),IFERROR(LOOKUP(2,1/($V$5:$V50="Macro"),ROW($V$5:$V50)),0)))</f>
        <v/>
      </c>
      <c r="V50" s="62">
        <f>IF(NOT((COUNTA($B50:$D50)+COUNTA($G50:$L50)+COUNTA($Q50))&gt;0),"",IF($B50="Subactividad","Sub","Macro"))</f>
        <v/>
      </c>
      <c r="W50" s="62">
        <f>IF($V50="Macro",COUNTIFS($U$5:$U$1000,ROW(),$V$5:$V$1000,"Sub"),"")</f>
        <v/>
      </c>
      <c r="X50" s="62">
        <f>IF($V50="","",IF(ISNUMBER($G50),1,IFERROR(LOOKUP(2,1/($I50:$L50&lt;&gt;""),$I50:$L50),0)))</f>
        <v/>
      </c>
      <c r="Y50" s="62">
        <f>IF($V50="","",IF(AND(ISNUMBER($G50),$G50&lt;=IF($S50=MesCiclo,InicioCiclo,$S50+MOD(2-WEEKDAY($S50),7))+6),1,IF(ISNUMBER($I50),$I50,0)))</f>
        <v/>
      </c>
      <c r="Z50" s="62">
        <f>IF($V50="","",IF(AND(ISNUMBER($G50),$G50&lt;=IF($S50=MesCiclo,InicioCiclo,$S50+MOD(2-WEEKDAY($S50),7))+13),1,IF(ISNUMBER($J50),$J50,$Y50)))</f>
        <v/>
      </c>
      <c r="AA50" s="62">
        <f>IF($V50="","",IF(AND(ISNUMBER($G50),$G50&lt;=IF($S50=MesCiclo,InicioCiclo,$S50+MOD(2-WEEKDAY($S50),7))+20),1,IF(ISNUMBER($K50),$K50,$Z50)))</f>
        <v/>
      </c>
      <c r="AB50" s="62">
        <f>IF($V50="","",IF(AND(ISNUMBER($G50),$G50&lt;=IF($S50=MesCiclo,InicioCiclo,$S50+MOD(2-WEEKDAY($S50),7))+27),1,IF(ISNUMBER($L50),$L50,$AA50)))</f>
        <v/>
      </c>
      <c r="AC50" s="62">
        <f>IF($V50="","",IF(AND(ISNUMBER($G50),$G50&lt;=IF($S50=MesCiclo,InicioCiclo,$S50+MOD(2-WEEKDAY($S50),7))+6),1,IF(N($W50)&gt;0,AVERAGEIFS($Y$5:$Y$1000,$U$5:$U$1000,ROW(),$V$5:$V$1000,"Sub"),$Y50)))</f>
        <v/>
      </c>
      <c r="AD50" s="62">
        <f>IF($V50="","",IF(AND(ISNUMBER($G50),$G50&lt;=IF($S50=MesCiclo,InicioCiclo,$S50+MOD(2-WEEKDAY($S50),7))+13),1,IF(N($W50)&gt;0,AVERAGEIFS($Z$5:$Z$1000,$U$5:$U$1000,ROW(),$V$5:$V$1000,"Sub"),$Z50)))</f>
        <v/>
      </c>
      <c r="AE50" s="62">
        <f>IF($V50="","",IF(AND(ISNUMBER($G50),$G50&lt;=IF($S50=MesCiclo,InicioCiclo,$S50+MOD(2-WEEKDAY($S50),7))+20),1,IF(N($W50)&gt;0,AVERAGEIFS($AA$5:$AA$1000,$U$5:$U$1000,ROW(),$V$5:$V$1000,"Sub"),$AA50)))</f>
        <v/>
      </c>
      <c r="AF50" s="62">
        <f>IF($V50="","",IF(AND(ISNUMBER($G50),$G50&lt;=IF($S50=MesCiclo,InicioCiclo,$S50+MOD(2-WEEKDAY($S50),7))+27),1,IF(N($W50)&gt;0,AVERAGEIFS($AB$5:$AB$1000,$U$5:$U$1000,ROW(),$V$5:$V$1000,"Sub"),$AB50)))</f>
        <v/>
      </c>
      <c r="AG50" s="62">
        <f>IF($V50&lt;&gt;"Macro","",IF(COUNTIFS($S$5:$S$1000,$S50,$V$5:$V$1000,"Macro",$H$5:$H$1000,"&gt;0")=0,1/COUNTIFS($S$5:$S$1000,$S50,$V$5:$V$1000,"Macro"),IF(AND(ISNUMBER($H50),N($H50)&gt;0),$H50,SUMIFS($H$5:$H$1000,$S$5:$S$1000,$S50,$V$5:$V$1000,"Macro")/COUNTIFS($S$5:$S$1000,$S50,$V$5:$V$1000,"Macro",$H$5:$H$1000,"&gt;0"))/(COUNTIFS($S$5:$S$1000,$S50,$V$5:$V$1000,"Macro")*SUMIFS($H$5:$H$1000,$S$5:$S$1000,$S50,$V$5:$V$1000,"Macro")/COUNTIFS($S$5:$S$1000,$S50,$V$5:$V$1000,"Macro",$H$5:$H$1000,"&gt;0"))))</f>
        <v/>
      </c>
      <c r="AH50" s="62" t="n"/>
      <c r="AI50" s="62" t="n"/>
      <c r="AJ50" s="62" t="n"/>
      <c r="AK50" s="62" t="n"/>
      <c r="AL50" s="62">
        <f>IF(LEFT($C50,11)="[Jefatura] ",IFERROR(MATCH("Riesgo Normativo|"&amp;MID($C50,12,500),rDname_ADM,0),0),"")</f>
        <v/>
      </c>
      <c r="AM50" s="62">
        <f>IF(N($AL50)&gt;0,INDEX(rIni_ADM,$AL50),IF(ISNUMBER($E50),$E50,""))</f>
        <v/>
      </c>
      <c r="AN50" s="62">
        <f>IF(N($AL50)&gt;0,INDEX(rLim_ADM,$AL50),IF(ISNUMBER($F50),$F50,""))</f>
        <v/>
      </c>
    </row>
    <row r="51">
      <c r="A51" s="56">
        <f>IF(NOT((COUNTA($B51:$D51)+COUNTA($G51:$L51)+COUNTA($Q51))&gt;0),"",IF($V51="Macro",COUNTIFS($V$5:$V51,"Macro",$S$5:$S51,$S51),IF(N($U51)=0,"?",COUNTIFS(INDEX($V$5:$V$1000,1):INDEX($V$5:$V$1000,$U51-4),"Macro",INDEX($S$5:$S$1000,1):INDEX($S$5:$S$1000,$U51-4),INDEX($S$5:$S$1000,$U51-4))&amp;"."&amp;COUNTIFS($U$5:$U51,$U51,$V$5:$V51,"Sub"))))</f>
        <v/>
      </c>
      <c r="B51" s="57" t="n"/>
      <c r="C51" s="58" t="n"/>
      <c r="D51" s="58" t="n"/>
      <c r="E51" s="59">
        <f>IF(N($AL51)&gt;0,INDEX(rIni_ADM,$AL51),"")</f>
        <v/>
      </c>
      <c r="F51" s="59">
        <f>IF(N($AL51)&gt;0,INDEX(rLim_ADM,$AL51),"")</f>
        <v/>
      </c>
      <c r="G51" s="59" t="n"/>
      <c r="H51" s="60" t="n"/>
      <c r="I51" s="60" t="n"/>
      <c r="J51" s="60" t="n"/>
      <c r="K51" s="60" t="n"/>
      <c r="L51" s="60" t="n"/>
      <c r="M51" s="61">
        <f>IF(NOT((COUNTA($B51:$D51)+COUNTA($G51:$L51)+COUNTA($Q51))&gt;0),"",IF(ISNUMBER($G51),1,IF(N($W51)&gt;0,AVERAGEIFS($X$5:$X$1000,$U$5:$U$1000,ROW(),$V$5:$V$1000,"Sub"),$X51)))</f>
        <v/>
      </c>
      <c r="N51" s="56">
        <f>IF($M51="","",IF($M51&gt;=1,"Completado",IF($M51&gt;0,"En curso","Pendiente")))</f>
        <v/>
      </c>
      <c r="O51" s="56">
        <f>IF(NOT((COUNTA($B51:$D51)+COUNTA($G51:$L51)+COUNTA($Q51))&gt;0),"",IF(ISNUMBER($G51),IF(AND(ISNUMBER($AN51),$G51&gt;$AN51),"Cumplida con "&amp;($G51-$AN51)&amp;IF($G51-$AN51=1," día"," días")&amp;" de retraso","Cumplida"),IF(N($M51)&gt;=1,"Cumplida",IF(NOT(ISNUMBER($AN51)),"Sin fecha límite",IF($AN51&lt;FechaRef,"Vencida hace "&amp;(FechaRef-$AN51)&amp;IF(FechaRef-$AN51=1," día"," días"),IF($AN51=FechaRef,"Vence hoy",IF($AN51-FechaRef&lt;=DiasAlerta,"Vence en "&amp;($AN51-FechaRef)&amp;IF($AN51-FechaRef=1," día"," días"),"En plazo")))))))</f>
        <v/>
      </c>
      <c r="P51" s="62" t="n"/>
      <c r="Q51" s="58" t="n"/>
      <c r="R51" s="63">
        <f>IF(NOT((COUNTA($B51:$D51)+COUNTA($G51:$L51)+COUNTA($Q51))&gt;0),"",IF((IF($C51="","Falta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",""))="","✔ OK","⚠ "&amp;LEFT(IF($C51="","Falta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",""),LEN(IF($C51="","Falta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",""))-3)))</f>
        <v/>
      </c>
      <c r="S51" s="64">
        <f>IF(NOT((COUNTA($B51:$D51)+COUNTA($G51:$L51)+COUNTA($Q51))&gt;0),"",IF(AND($V51="Sub",N($U51)&gt;0),IF(ISNUMBER(INDEX($AM$5:$AM$1000,$U51-4)),DATE(YEAR(INDEX($AM$5:$AM$1000,$U51-4)),MONTH(INDEX($AM$5:$AM$1000,$U51-4)),1),IF(ISNUMBER(INDEX($AN$5:$AN$1000,$U51-4)),DATE(YEAR(INDEX($AN$5:$AN$1000,$U51-4)),MONTH(INDEX($AN$5:$AN$1000,$U51-4)),1),MesCiclo)),IF(ISNUMBER($AM51),DATE(YEAR($AM51),MONTH($AM51),1),IF(ISNUMBER($AN51),DATE(YEAR($AN51),MONTH($AN51),1),MesCiclo))))</f>
        <v/>
      </c>
      <c r="T51" s="62">
        <f>IF(OR($S51="",$S51&lt;&gt;MesCiclo),"",COUNTIF($S$5:$S51,MesCiclo))</f>
        <v/>
      </c>
      <c r="U51" s="62">
        <f>IF($V51="","",IF($V51="Macro",ROW(),IFERROR(LOOKUP(2,1/($V$5:$V51="Macro"),ROW($V$5:$V51)),0)))</f>
        <v/>
      </c>
      <c r="V51" s="62">
        <f>IF(NOT((COUNTA($B51:$D51)+COUNTA($G51:$L51)+COUNTA($Q51))&gt;0),"",IF($B51="Subactividad","Sub","Macro"))</f>
        <v/>
      </c>
      <c r="W51" s="62">
        <f>IF($V51="Macro",COUNTIFS($U$5:$U$1000,ROW(),$V$5:$V$1000,"Sub"),"")</f>
        <v/>
      </c>
      <c r="X51" s="62">
        <f>IF($V51="","",IF(ISNUMBER($G51),1,IFERROR(LOOKUP(2,1/($I51:$L51&lt;&gt;""),$I51:$L51),0)))</f>
        <v/>
      </c>
      <c r="Y51" s="62">
        <f>IF($V51="","",IF(AND(ISNUMBER($G51),$G51&lt;=IF($S51=MesCiclo,InicioCiclo,$S51+MOD(2-WEEKDAY($S51),7))+6),1,IF(ISNUMBER($I51),$I51,0)))</f>
        <v/>
      </c>
      <c r="Z51" s="62">
        <f>IF($V51="","",IF(AND(ISNUMBER($G51),$G51&lt;=IF($S51=MesCiclo,InicioCiclo,$S51+MOD(2-WEEKDAY($S51),7))+13),1,IF(ISNUMBER($J51),$J51,$Y51)))</f>
        <v/>
      </c>
      <c r="AA51" s="62">
        <f>IF($V51="","",IF(AND(ISNUMBER($G51),$G51&lt;=IF($S51=MesCiclo,InicioCiclo,$S51+MOD(2-WEEKDAY($S51),7))+20),1,IF(ISNUMBER($K51),$K51,$Z51)))</f>
        <v/>
      </c>
      <c r="AB51" s="62">
        <f>IF($V51="","",IF(AND(ISNUMBER($G51),$G51&lt;=IF($S51=MesCiclo,InicioCiclo,$S51+MOD(2-WEEKDAY($S51),7))+27),1,IF(ISNUMBER($L51),$L51,$AA51)))</f>
        <v/>
      </c>
      <c r="AC51" s="62">
        <f>IF($V51="","",IF(AND(ISNUMBER($G51),$G51&lt;=IF($S51=MesCiclo,InicioCiclo,$S51+MOD(2-WEEKDAY($S51),7))+6),1,IF(N($W51)&gt;0,AVERAGEIFS($Y$5:$Y$1000,$U$5:$U$1000,ROW(),$V$5:$V$1000,"Sub"),$Y51)))</f>
        <v/>
      </c>
      <c r="AD51" s="62">
        <f>IF($V51="","",IF(AND(ISNUMBER($G51),$G51&lt;=IF($S51=MesCiclo,InicioCiclo,$S51+MOD(2-WEEKDAY($S51),7))+13),1,IF(N($W51)&gt;0,AVERAGEIFS($Z$5:$Z$1000,$U$5:$U$1000,ROW(),$V$5:$V$1000,"Sub"),$Z51)))</f>
        <v/>
      </c>
      <c r="AE51" s="62">
        <f>IF($V51="","",IF(AND(ISNUMBER($G51),$G51&lt;=IF($S51=MesCiclo,InicioCiclo,$S51+MOD(2-WEEKDAY($S51),7))+20),1,IF(N($W51)&gt;0,AVERAGEIFS($AA$5:$AA$1000,$U$5:$U$1000,ROW(),$V$5:$V$1000,"Sub"),$AA51)))</f>
        <v/>
      </c>
      <c r="AF51" s="62">
        <f>IF($V51="","",IF(AND(ISNUMBER($G51),$G51&lt;=IF($S51=MesCiclo,InicioCiclo,$S51+MOD(2-WEEKDAY($S51),7))+27),1,IF(N($W51)&gt;0,AVERAGEIFS($AB$5:$AB$1000,$U$5:$U$1000,ROW(),$V$5:$V$1000,"Sub"),$AB51)))</f>
        <v/>
      </c>
      <c r="AG51" s="62">
        <f>IF($V51&lt;&gt;"Macro","",IF(COUNTIFS($S$5:$S$1000,$S51,$V$5:$V$1000,"Macro",$H$5:$H$1000,"&gt;0")=0,1/COUNTIFS($S$5:$S$1000,$S51,$V$5:$V$1000,"Macro"),IF(AND(ISNUMBER($H51),N($H51)&gt;0),$H51,SUMIFS($H$5:$H$1000,$S$5:$S$1000,$S51,$V$5:$V$1000,"Macro")/COUNTIFS($S$5:$S$1000,$S51,$V$5:$V$1000,"Macro",$H$5:$H$1000,"&gt;0"))/(COUNTIFS($S$5:$S$1000,$S51,$V$5:$V$1000,"Macro")*SUMIFS($H$5:$H$1000,$S$5:$S$1000,$S51,$V$5:$V$1000,"Macro")/COUNTIFS($S$5:$S$1000,$S51,$V$5:$V$1000,"Macro",$H$5:$H$1000,"&gt;0"))))</f>
        <v/>
      </c>
      <c r="AH51" s="62" t="n"/>
      <c r="AI51" s="62" t="n"/>
      <c r="AJ51" s="62" t="n"/>
      <c r="AK51" s="62" t="n"/>
      <c r="AL51" s="62">
        <f>IF(LEFT($C51,11)="[Jefatura] ",IFERROR(MATCH("Riesgo Normativo|"&amp;MID($C51,12,500),rDname_ADM,0),0),"")</f>
        <v/>
      </c>
      <c r="AM51" s="62">
        <f>IF(N($AL51)&gt;0,INDEX(rIni_ADM,$AL51),IF(ISNUMBER($E51),$E51,""))</f>
        <v/>
      </c>
      <c r="AN51" s="62">
        <f>IF(N($AL51)&gt;0,INDEX(rLim_ADM,$AL51),IF(ISNUMBER($F51),$F51,""))</f>
        <v/>
      </c>
    </row>
    <row r="52">
      <c r="A52" s="56">
        <f>IF(NOT((COUNTA($B52:$D52)+COUNTA($G52:$L52)+COUNTA($Q52))&gt;0),"",IF($V52="Macro",COUNTIFS($V$5:$V52,"Macro",$S$5:$S52,$S52),IF(N($U52)=0,"?",COUNTIFS(INDEX($V$5:$V$1000,1):INDEX($V$5:$V$1000,$U52-4),"Macro",INDEX($S$5:$S$1000,1):INDEX($S$5:$S$1000,$U52-4),INDEX($S$5:$S$1000,$U52-4))&amp;"."&amp;COUNTIFS($U$5:$U52,$U52,$V$5:$V52,"Sub"))))</f>
        <v/>
      </c>
      <c r="B52" s="57" t="n"/>
      <c r="C52" s="58" t="n"/>
      <c r="D52" s="58" t="n"/>
      <c r="E52" s="59">
        <f>IF(N($AL52)&gt;0,INDEX(rIni_ADM,$AL52),"")</f>
        <v/>
      </c>
      <c r="F52" s="59">
        <f>IF(N($AL52)&gt;0,INDEX(rLim_ADM,$AL52),"")</f>
        <v/>
      </c>
      <c r="G52" s="59" t="n"/>
      <c r="H52" s="60" t="n"/>
      <c r="I52" s="60" t="n"/>
      <c r="J52" s="60" t="n"/>
      <c r="K52" s="60" t="n"/>
      <c r="L52" s="60" t="n"/>
      <c r="M52" s="61">
        <f>IF(NOT((COUNTA($B52:$D52)+COUNTA($G52:$L52)+COUNTA($Q52))&gt;0),"",IF(ISNUMBER($G52),1,IF(N($W52)&gt;0,AVERAGEIFS($X$5:$X$1000,$U$5:$U$1000,ROW(),$V$5:$V$1000,"Sub"),$X52)))</f>
        <v/>
      </c>
      <c r="N52" s="56">
        <f>IF($M52="","",IF($M52&gt;=1,"Completado",IF($M52&gt;0,"En curso","Pendiente")))</f>
        <v/>
      </c>
      <c r="O52" s="56">
        <f>IF(NOT((COUNTA($B52:$D52)+COUNTA($G52:$L52)+COUNTA($Q52))&gt;0),"",IF(ISNUMBER($G52),IF(AND(ISNUMBER($AN52),$G52&gt;$AN52),"Cumplida con "&amp;($G52-$AN52)&amp;IF($G52-$AN52=1," día"," días")&amp;" de retraso","Cumplida"),IF(N($M52)&gt;=1,"Cumplida",IF(NOT(ISNUMBER($AN52)),"Sin fecha límite",IF($AN52&lt;FechaRef,"Vencida hace "&amp;(FechaRef-$AN52)&amp;IF(FechaRef-$AN52=1," día"," días"),IF($AN52=FechaRef,"Vence hoy",IF($AN52-FechaRef&lt;=DiasAlerta,"Vence en "&amp;($AN52-FechaRef)&amp;IF($AN52-FechaRef=1," día"," días"),"En plazo")))))))</f>
        <v/>
      </c>
      <c r="P52" s="62" t="n"/>
      <c r="Q52" s="58" t="n"/>
      <c r="R52" s="63">
        <f>IF(NOT((COUNTA($B52:$D52)+COUNTA($G52:$L52)+COUNTA($Q52))&gt;0),"",IF((IF($C52="","Falta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",""))="","✔ OK","⚠ "&amp;LEFT(IF($C52="","Falta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",""),LEN(IF($C52="","Falta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",""))-3)))</f>
        <v/>
      </c>
      <c r="S52" s="64">
        <f>IF(NOT((COUNTA($B52:$D52)+COUNTA($G52:$L52)+COUNTA($Q52))&gt;0),"",IF(AND($V52="Sub",N($U52)&gt;0),IF(ISNUMBER(INDEX($AM$5:$AM$1000,$U52-4)),DATE(YEAR(INDEX($AM$5:$AM$1000,$U52-4)),MONTH(INDEX($AM$5:$AM$1000,$U52-4)),1),IF(ISNUMBER(INDEX($AN$5:$AN$1000,$U52-4)),DATE(YEAR(INDEX($AN$5:$AN$1000,$U52-4)),MONTH(INDEX($AN$5:$AN$1000,$U52-4)),1),MesCiclo)),IF(ISNUMBER($AM52),DATE(YEAR($AM52),MONTH($AM52),1),IF(ISNUMBER($AN52),DATE(YEAR($AN52),MONTH($AN52),1),MesCiclo))))</f>
        <v/>
      </c>
      <c r="T52" s="62">
        <f>IF(OR($S52="",$S52&lt;&gt;MesCiclo),"",COUNTIF($S$5:$S52,MesCiclo))</f>
        <v/>
      </c>
      <c r="U52" s="62">
        <f>IF($V52="","",IF($V52="Macro",ROW(),IFERROR(LOOKUP(2,1/($V$5:$V52="Macro"),ROW($V$5:$V52)),0)))</f>
        <v/>
      </c>
      <c r="V52" s="62">
        <f>IF(NOT((COUNTA($B52:$D52)+COUNTA($G52:$L52)+COUNTA($Q52))&gt;0),"",IF($B52="Subactividad","Sub","Macro"))</f>
        <v/>
      </c>
      <c r="W52" s="62">
        <f>IF($V52="Macro",COUNTIFS($U$5:$U$1000,ROW(),$V$5:$V$1000,"Sub"),"")</f>
        <v/>
      </c>
      <c r="X52" s="62">
        <f>IF($V52="","",IF(ISNUMBER($G52),1,IFERROR(LOOKUP(2,1/($I52:$L52&lt;&gt;""),$I52:$L52),0)))</f>
        <v/>
      </c>
      <c r="Y52" s="62">
        <f>IF($V52="","",IF(AND(ISNUMBER($G52),$G52&lt;=IF($S52=MesCiclo,InicioCiclo,$S52+MOD(2-WEEKDAY($S52),7))+6),1,IF(ISNUMBER($I52),$I52,0)))</f>
        <v/>
      </c>
      <c r="Z52" s="62">
        <f>IF($V52="","",IF(AND(ISNUMBER($G52),$G52&lt;=IF($S52=MesCiclo,InicioCiclo,$S52+MOD(2-WEEKDAY($S52),7))+13),1,IF(ISNUMBER($J52),$J52,$Y52)))</f>
        <v/>
      </c>
      <c r="AA52" s="62">
        <f>IF($V52="","",IF(AND(ISNUMBER($G52),$G52&lt;=IF($S52=MesCiclo,InicioCiclo,$S52+MOD(2-WEEKDAY($S52),7))+20),1,IF(ISNUMBER($K52),$K52,$Z52)))</f>
        <v/>
      </c>
      <c r="AB52" s="62">
        <f>IF($V52="","",IF(AND(ISNUMBER($G52),$G52&lt;=IF($S52=MesCiclo,InicioCiclo,$S52+MOD(2-WEEKDAY($S52),7))+27),1,IF(ISNUMBER($L52),$L52,$AA52)))</f>
        <v/>
      </c>
      <c r="AC52" s="62">
        <f>IF($V52="","",IF(AND(ISNUMBER($G52),$G52&lt;=IF($S52=MesCiclo,InicioCiclo,$S52+MOD(2-WEEKDAY($S52),7))+6),1,IF(N($W52)&gt;0,AVERAGEIFS($Y$5:$Y$1000,$U$5:$U$1000,ROW(),$V$5:$V$1000,"Sub"),$Y52)))</f>
        <v/>
      </c>
      <c r="AD52" s="62">
        <f>IF($V52="","",IF(AND(ISNUMBER($G52),$G52&lt;=IF($S52=MesCiclo,InicioCiclo,$S52+MOD(2-WEEKDAY($S52),7))+13),1,IF(N($W52)&gt;0,AVERAGEIFS($Z$5:$Z$1000,$U$5:$U$1000,ROW(),$V$5:$V$1000,"Sub"),$Z52)))</f>
        <v/>
      </c>
      <c r="AE52" s="62">
        <f>IF($V52="","",IF(AND(ISNUMBER($G52),$G52&lt;=IF($S52=MesCiclo,InicioCiclo,$S52+MOD(2-WEEKDAY($S52),7))+20),1,IF(N($W52)&gt;0,AVERAGEIFS($AA$5:$AA$1000,$U$5:$U$1000,ROW(),$V$5:$V$1000,"Sub"),$AA52)))</f>
        <v/>
      </c>
      <c r="AF52" s="62">
        <f>IF($V52="","",IF(AND(ISNUMBER($G52),$G52&lt;=IF($S52=MesCiclo,InicioCiclo,$S52+MOD(2-WEEKDAY($S52),7))+27),1,IF(N($W52)&gt;0,AVERAGEIFS($AB$5:$AB$1000,$U$5:$U$1000,ROW(),$V$5:$V$1000,"Sub"),$AB52)))</f>
        <v/>
      </c>
      <c r="AG52" s="62">
        <f>IF($V52&lt;&gt;"Macro","",IF(COUNTIFS($S$5:$S$1000,$S52,$V$5:$V$1000,"Macro",$H$5:$H$1000,"&gt;0")=0,1/COUNTIFS($S$5:$S$1000,$S52,$V$5:$V$1000,"Macro"),IF(AND(ISNUMBER($H52),N($H52)&gt;0),$H52,SUMIFS($H$5:$H$1000,$S$5:$S$1000,$S52,$V$5:$V$1000,"Macro")/COUNTIFS($S$5:$S$1000,$S52,$V$5:$V$1000,"Macro",$H$5:$H$1000,"&gt;0"))/(COUNTIFS($S$5:$S$1000,$S52,$V$5:$V$1000,"Macro")*SUMIFS($H$5:$H$1000,$S$5:$S$1000,$S52,$V$5:$V$1000,"Macro")/COUNTIFS($S$5:$S$1000,$S52,$V$5:$V$1000,"Macro",$H$5:$H$1000,"&gt;0"))))</f>
        <v/>
      </c>
      <c r="AH52" s="62" t="n"/>
      <c r="AI52" s="62" t="n"/>
      <c r="AJ52" s="62" t="n"/>
      <c r="AK52" s="62" t="n"/>
      <c r="AL52" s="62">
        <f>IF(LEFT($C52,11)="[Jefatura] ",IFERROR(MATCH("Riesgo Normativo|"&amp;MID($C52,12,500),rDname_ADM,0),0),"")</f>
        <v/>
      </c>
      <c r="AM52" s="62">
        <f>IF(N($AL52)&gt;0,INDEX(rIni_ADM,$AL52),IF(ISNUMBER($E52),$E52,""))</f>
        <v/>
      </c>
      <c r="AN52" s="62">
        <f>IF(N($AL52)&gt;0,INDEX(rLim_ADM,$AL52),IF(ISNUMBER($F52),$F52,""))</f>
        <v/>
      </c>
    </row>
    <row r="53">
      <c r="A53" s="56">
        <f>IF(NOT((COUNTA($B53:$D53)+COUNTA($G53:$L53)+COUNTA($Q53))&gt;0),"",IF($V53="Macro",COUNTIFS($V$5:$V53,"Macro",$S$5:$S53,$S53),IF(N($U53)=0,"?",COUNTIFS(INDEX($V$5:$V$1000,1):INDEX($V$5:$V$1000,$U53-4),"Macro",INDEX($S$5:$S$1000,1):INDEX($S$5:$S$1000,$U53-4),INDEX($S$5:$S$1000,$U53-4))&amp;"."&amp;COUNTIFS($U$5:$U53,$U53,$V$5:$V53,"Sub"))))</f>
        <v/>
      </c>
      <c r="B53" s="57" t="n"/>
      <c r="C53" s="58" t="n"/>
      <c r="D53" s="58" t="n"/>
      <c r="E53" s="59">
        <f>IF(N($AL53)&gt;0,INDEX(rIni_ADM,$AL53),"")</f>
        <v/>
      </c>
      <c r="F53" s="59">
        <f>IF(N($AL53)&gt;0,INDEX(rLim_ADM,$AL53),"")</f>
        <v/>
      </c>
      <c r="G53" s="59" t="n"/>
      <c r="H53" s="60" t="n"/>
      <c r="I53" s="60" t="n"/>
      <c r="J53" s="60" t="n"/>
      <c r="K53" s="60" t="n"/>
      <c r="L53" s="60" t="n"/>
      <c r="M53" s="61">
        <f>IF(NOT((COUNTA($B53:$D53)+COUNTA($G53:$L53)+COUNTA($Q53))&gt;0),"",IF(ISNUMBER($G53),1,IF(N($W53)&gt;0,AVERAGEIFS($X$5:$X$1000,$U$5:$U$1000,ROW(),$V$5:$V$1000,"Sub"),$X53)))</f>
        <v/>
      </c>
      <c r="N53" s="56">
        <f>IF($M53="","",IF($M53&gt;=1,"Completado",IF($M53&gt;0,"En curso","Pendiente")))</f>
        <v/>
      </c>
      <c r="O53" s="56">
        <f>IF(NOT((COUNTA($B53:$D53)+COUNTA($G53:$L53)+COUNTA($Q53))&gt;0),"",IF(ISNUMBER($G53),IF(AND(ISNUMBER($AN53),$G53&gt;$AN53),"Cumplida con "&amp;($G53-$AN53)&amp;IF($G53-$AN53=1," día"," días")&amp;" de retraso","Cumplida"),IF(N($M53)&gt;=1,"Cumplida",IF(NOT(ISNUMBER($AN53)),"Sin fecha límite",IF($AN53&lt;FechaRef,"Vencida hace "&amp;(FechaRef-$AN53)&amp;IF(FechaRef-$AN53=1," día"," días"),IF($AN53=FechaRef,"Vence hoy",IF($AN53-FechaRef&lt;=DiasAlerta,"Vence en "&amp;($AN53-FechaRef)&amp;IF($AN53-FechaRef=1," día"," días"),"En plazo")))))))</f>
        <v/>
      </c>
      <c r="P53" s="62" t="n"/>
      <c r="Q53" s="58" t="n"/>
      <c r="R53" s="63">
        <f>IF(NOT((COUNTA($B53:$D53)+COUNTA($G53:$L53)+COUNTA($Q53))&gt;0),"",IF((IF($C53="","Falta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",""))="","✔ OK","⚠ "&amp;LEFT(IF($C53="","Falta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",""),LEN(IF($C53="","Falta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",""))-3)))</f>
        <v/>
      </c>
      <c r="S53" s="64">
        <f>IF(NOT((COUNTA($B53:$D53)+COUNTA($G53:$L53)+COUNTA($Q53))&gt;0),"",IF(AND($V53="Sub",N($U53)&gt;0),IF(ISNUMBER(INDEX($AM$5:$AM$1000,$U53-4)),DATE(YEAR(INDEX($AM$5:$AM$1000,$U53-4)),MONTH(INDEX($AM$5:$AM$1000,$U53-4)),1),IF(ISNUMBER(INDEX($AN$5:$AN$1000,$U53-4)),DATE(YEAR(INDEX($AN$5:$AN$1000,$U53-4)),MONTH(INDEX($AN$5:$AN$1000,$U53-4)),1),MesCiclo)),IF(ISNUMBER($AM53),DATE(YEAR($AM53),MONTH($AM53),1),IF(ISNUMBER($AN53),DATE(YEAR($AN53),MONTH($AN53),1),MesCiclo))))</f>
        <v/>
      </c>
      <c r="T53" s="62">
        <f>IF(OR($S53="",$S53&lt;&gt;MesCiclo),"",COUNTIF($S$5:$S53,MesCiclo))</f>
        <v/>
      </c>
      <c r="U53" s="62">
        <f>IF($V53="","",IF($V53="Macro",ROW(),IFERROR(LOOKUP(2,1/($V$5:$V53="Macro"),ROW($V$5:$V53)),0)))</f>
        <v/>
      </c>
      <c r="V53" s="62">
        <f>IF(NOT((COUNTA($B53:$D53)+COUNTA($G53:$L53)+COUNTA($Q53))&gt;0),"",IF($B53="Subactividad","Sub","Macro"))</f>
        <v/>
      </c>
      <c r="W53" s="62">
        <f>IF($V53="Macro",COUNTIFS($U$5:$U$1000,ROW(),$V$5:$V$1000,"Sub"),"")</f>
        <v/>
      </c>
      <c r="X53" s="62">
        <f>IF($V53="","",IF(ISNUMBER($G53),1,IFERROR(LOOKUP(2,1/($I53:$L53&lt;&gt;""),$I53:$L53),0)))</f>
        <v/>
      </c>
      <c r="Y53" s="62">
        <f>IF($V53="","",IF(AND(ISNUMBER($G53),$G53&lt;=IF($S53=MesCiclo,InicioCiclo,$S53+MOD(2-WEEKDAY($S53),7))+6),1,IF(ISNUMBER($I53),$I53,0)))</f>
        <v/>
      </c>
      <c r="Z53" s="62">
        <f>IF($V53="","",IF(AND(ISNUMBER($G53),$G53&lt;=IF($S53=MesCiclo,InicioCiclo,$S53+MOD(2-WEEKDAY($S53),7))+13),1,IF(ISNUMBER($J53),$J53,$Y53)))</f>
        <v/>
      </c>
      <c r="AA53" s="62">
        <f>IF($V53="","",IF(AND(ISNUMBER($G53),$G53&lt;=IF($S53=MesCiclo,InicioCiclo,$S53+MOD(2-WEEKDAY($S53),7))+20),1,IF(ISNUMBER($K53),$K53,$Z53)))</f>
        <v/>
      </c>
      <c r="AB53" s="62">
        <f>IF($V53="","",IF(AND(ISNUMBER($G53),$G53&lt;=IF($S53=MesCiclo,InicioCiclo,$S53+MOD(2-WEEKDAY($S53),7))+27),1,IF(ISNUMBER($L53),$L53,$AA53)))</f>
        <v/>
      </c>
      <c r="AC53" s="62">
        <f>IF($V53="","",IF(AND(ISNUMBER($G53),$G53&lt;=IF($S53=MesCiclo,InicioCiclo,$S53+MOD(2-WEEKDAY($S53),7))+6),1,IF(N($W53)&gt;0,AVERAGEIFS($Y$5:$Y$1000,$U$5:$U$1000,ROW(),$V$5:$V$1000,"Sub"),$Y53)))</f>
        <v/>
      </c>
      <c r="AD53" s="62">
        <f>IF($V53="","",IF(AND(ISNUMBER($G53),$G53&lt;=IF($S53=MesCiclo,InicioCiclo,$S53+MOD(2-WEEKDAY($S53),7))+13),1,IF(N($W53)&gt;0,AVERAGEIFS($Z$5:$Z$1000,$U$5:$U$1000,ROW(),$V$5:$V$1000,"Sub"),$Z53)))</f>
        <v/>
      </c>
      <c r="AE53" s="62">
        <f>IF($V53="","",IF(AND(ISNUMBER($G53),$G53&lt;=IF($S53=MesCiclo,InicioCiclo,$S53+MOD(2-WEEKDAY($S53),7))+20),1,IF(N($W53)&gt;0,AVERAGEIFS($AA$5:$AA$1000,$U$5:$U$1000,ROW(),$V$5:$V$1000,"Sub"),$AA53)))</f>
        <v/>
      </c>
      <c r="AF53" s="62">
        <f>IF($V53="","",IF(AND(ISNUMBER($G53),$G53&lt;=IF($S53=MesCiclo,InicioCiclo,$S53+MOD(2-WEEKDAY($S53),7))+27),1,IF(N($W53)&gt;0,AVERAGEIFS($AB$5:$AB$1000,$U$5:$U$1000,ROW(),$V$5:$V$1000,"Sub"),$AB53)))</f>
        <v/>
      </c>
      <c r="AG53" s="62">
        <f>IF($V53&lt;&gt;"Macro","",IF(COUNTIFS($S$5:$S$1000,$S53,$V$5:$V$1000,"Macro",$H$5:$H$1000,"&gt;0")=0,1/COUNTIFS($S$5:$S$1000,$S53,$V$5:$V$1000,"Macro"),IF(AND(ISNUMBER($H53),N($H53)&gt;0),$H53,SUMIFS($H$5:$H$1000,$S$5:$S$1000,$S53,$V$5:$V$1000,"Macro")/COUNTIFS($S$5:$S$1000,$S53,$V$5:$V$1000,"Macro",$H$5:$H$1000,"&gt;0"))/(COUNTIFS($S$5:$S$1000,$S53,$V$5:$V$1000,"Macro")*SUMIFS($H$5:$H$1000,$S$5:$S$1000,$S53,$V$5:$V$1000,"Macro")/COUNTIFS($S$5:$S$1000,$S53,$V$5:$V$1000,"Macro",$H$5:$H$1000,"&gt;0"))))</f>
        <v/>
      </c>
      <c r="AH53" s="62" t="n"/>
      <c r="AI53" s="62" t="n"/>
      <c r="AJ53" s="62" t="n"/>
      <c r="AK53" s="62" t="n"/>
      <c r="AL53" s="62">
        <f>IF(LEFT($C53,11)="[Jefatura] ",IFERROR(MATCH("Riesgo Normativo|"&amp;MID($C53,12,500),rDname_ADM,0),0),"")</f>
        <v/>
      </c>
      <c r="AM53" s="62">
        <f>IF(N($AL53)&gt;0,INDEX(rIni_ADM,$AL53),IF(ISNUMBER($E53),$E53,""))</f>
        <v/>
      </c>
      <c r="AN53" s="62">
        <f>IF(N($AL53)&gt;0,INDEX(rLim_ADM,$AL53),IF(ISNUMBER($F53),$F53,""))</f>
        <v/>
      </c>
    </row>
    <row r="54">
      <c r="A54" s="56">
        <f>IF(NOT((COUNTA($B54:$D54)+COUNTA($G54:$L54)+COUNTA($Q54))&gt;0),"",IF($V54="Macro",COUNTIFS($V$5:$V54,"Macro",$S$5:$S54,$S54),IF(N($U54)=0,"?",COUNTIFS(INDEX($V$5:$V$1000,1):INDEX($V$5:$V$1000,$U54-4),"Macro",INDEX($S$5:$S$1000,1):INDEX($S$5:$S$1000,$U54-4),INDEX($S$5:$S$1000,$U54-4))&amp;"."&amp;COUNTIFS($U$5:$U54,$U54,$V$5:$V54,"Sub"))))</f>
        <v/>
      </c>
      <c r="B54" s="57" t="n"/>
      <c r="C54" s="58" t="n"/>
      <c r="D54" s="58" t="n"/>
      <c r="E54" s="59">
        <f>IF(N($AL54)&gt;0,INDEX(rIni_ADM,$AL54),"")</f>
        <v/>
      </c>
      <c r="F54" s="59">
        <f>IF(N($AL54)&gt;0,INDEX(rLim_ADM,$AL54),"")</f>
        <v/>
      </c>
      <c r="G54" s="59" t="n"/>
      <c r="H54" s="60" t="n"/>
      <c r="I54" s="60" t="n"/>
      <c r="J54" s="60" t="n"/>
      <c r="K54" s="60" t="n"/>
      <c r="L54" s="60" t="n"/>
      <c r="M54" s="61">
        <f>IF(NOT((COUNTA($B54:$D54)+COUNTA($G54:$L54)+COUNTA($Q54))&gt;0),"",IF(ISNUMBER($G54),1,IF(N($W54)&gt;0,AVERAGEIFS($X$5:$X$1000,$U$5:$U$1000,ROW(),$V$5:$V$1000,"Sub"),$X54)))</f>
        <v/>
      </c>
      <c r="N54" s="56">
        <f>IF($M54="","",IF($M54&gt;=1,"Completado",IF($M54&gt;0,"En curso","Pendiente")))</f>
        <v/>
      </c>
      <c r="O54" s="56">
        <f>IF(NOT((COUNTA($B54:$D54)+COUNTA($G54:$L54)+COUNTA($Q54))&gt;0),"",IF(ISNUMBER($G54),IF(AND(ISNUMBER($AN54),$G54&gt;$AN54),"Cumplida con "&amp;($G54-$AN54)&amp;IF($G54-$AN54=1," día"," días")&amp;" de retraso","Cumplida"),IF(N($M54)&gt;=1,"Cumplida",IF(NOT(ISNUMBER($AN54)),"Sin fecha límite",IF($AN54&lt;FechaRef,"Vencida hace "&amp;(FechaRef-$AN54)&amp;IF(FechaRef-$AN54=1," día"," días"),IF($AN54=FechaRef,"Vence hoy",IF($AN54-FechaRef&lt;=DiasAlerta,"Vence en "&amp;($AN54-FechaRef)&amp;IF($AN54-FechaRef=1," día"," días"),"En plazo")))))))</f>
        <v/>
      </c>
      <c r="P54" s="62" t="n"/>
      <c r="Q54" s="58" t="n"/>
      <c r="R54" s="63">
        <f>IF(NOT((COUNTA($B54:$D54)+COUNTA($G54:$L54)+COUNTA($Q54))&gt;0),"",IF((IF($C54="","Falta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",""))="","✔ OK","⚠ "&amp;LEFT(IF($C54="","Falta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",""),LEN(IF($C54="","Falta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",""))-3)))</f>
        <v/>
      </c>
      <c r="S54" s="64">
        <f>IF(NOT((COUNTA($B54:$D54)+COUNTA($G54:$L54)+COUNTA($Q54))&gt;0),"",IF(AND($V54="Sub",N($U54)&gt;0),IF(ISNUMBER(INDEX($AM$5:$AM$1000,$U54-4)),DATE(YEAR(INDEX($AM$5:$AM$1000,$U54-4)),MONTH(INDEX($AM$5:$AM$1000,$U54-4)),1),IF(ISNUMBER(INDEX($AN$5:$AN$1000,$U54-4)),DATE(YEAR(INDEX($AN$5:$AN$1000,$U54-4)),MONTH(INDEX($AN$5:$AN$1000,$U54-4)),1),MesCiclo)),IF(ISNUMBER($AM54),DATE(YEAR($AM54),MONTH($AM54),1),IF(ISNUMBER($AN54),DATE(YEAR($AN54),MONTH($AN54),1),MesCiclo))))</f>
        <v/>
      </c>
      <c r="T54" s="62">
        <f>IF(OR($S54="",$S54&lt;&gt;MesCiclo),"",COUNTIF($S$5:$S54,MesCiclo))</f>
        <v/>
      </c>
      <c r="U54" s="62">
        <f>IF($V54="","",IF($V54="Macro",ROW(),IFERROR(LOOKUP(2,1/($V$5:$V54="Macro"),ROW($V$5:$V54)),0)))</f>
        <v/>
      </c>
      <c r="V54" s="62">
        <f>IF(NOT((COUNTA($B54:$D54)+COUNTA($G54:$L54)+COUNTA($Q54))&gt;0),"",IF($B54="Subactividad","Sub","Macro"))</f>
        <v/>
      </c>
      <c r="W54" s="62">
        <f>IF($V54="Macro",COUNTIFS($U$5:$U$1000,ROW(),$V$5:$V$1000,"Sub"),"")</f>
        <v/>
      </c>
      <c r="X54" s="62">
        <f>IF($V54="","",IF(ISNUMBER($G54),1,IFERROR(LOOKUP(2,1/($I54:$L54&lt;&gt;""),$I54:$L54),0)))</f>
        <v/>
      </c>
      <c r="Y54" s="62">
        <f>IF($V54="","",IF(AND(ISNUMBER($G54),$G54&lt;=IF($S54=MesCiclo,InicioCiclo,$S54+MOD(2-WEEKDAY($S54),7))+6),1,IF(ISNUMBER($I54),$I54,0)))</f>
        <v/>
      </c>
      <c r="Z54" s="62">
        <f>IF($V54="","",IF(AND(ISNUMBER($G54),$G54&lt;=IF($S54=MesCiclo,InicioCiclo,$S54+MOD(2-WEEKDAY($S54),7))+13),1,IF(ISNUMBER($J54),$J54,$Y54)))</f>
        <v/>
      </c>
      <c r="AA54" s="62">
        <f>IF($V54="","",IF(AND(ISNUMBER($G54),$G54&lt;=IF($S54=MesCiclo,InicioCiclo,$S54+MOD(2-WEEKDAY($S54),7))+20),1,IF(ISNUMBER($K54),$K54,$Z54)))</f>
        <v/>
      </c>
      <c r="AB54" s="62">
        <f>IF($V54="","",IF(AND(ISNUMBER($G54),$G54&lt;=IF($S54=MesCiclo,InicioCiclo,$S54+MOD(2-WEEKDAY($S54),7))+27),1,IF(ISNUMBER($L54),$L54,$AA54)))</f>
        <v/>
      </c>
      <c r="AC54" s="62">
        <f>IF($V54="","",IF(AND(ISNUMBER($G54),$G54&lt;=IF($S54=MesCiclo,InicioCiclo,$S54+MOD(2-WEEKDAY($S54),7))+6),1,IF(N($W54)&gt;0,AVERAGEIFS($Y$5:$Y$1000,$U$5:$U$1000,ROW(),$V$5:$V$1000,"Sub"),$Y54)))</f>
        <v/>
      </c>
      <c r="AD54" s="62">
        <f>IF($V54="","",IF(AND(ISNUMBER($G54),$G54&lt;=IF($S54=MesCiclo,InicioCiclo,$S54+MOD(2-WEEKDAY($S54),7))+13),1,IF(N($W54)&gt;0,AVERAGEIFS($Z$5:$Z$1000,$U$5:$U$1000,ROW(),$V$5:$V$1000,"Sub"),$Z54)))</f>
        <v/>
      </c>
      <c r="AE54" s="62">
        <f>IF($V54="","",IF(AND(ISNUMBER($G54),$G54&lt;=IF($S54=MesCiclo,InicioCiclo,$S54+MOD(2-WEEKDAY($S54),7))+20),1,IF(N($W54)&gt;0,AVERAGEIFS($AA$5:$AA$1000,$U$5:$U$1000,ROW(),$V$5:$V$1000,"Sub"),$AA54)))</f>
        <v/>
      </c>
      <c r="AF54" s="62">
        <f>IF($V54="","",IF(AND(ISNUMBER($G54),$G54&lt;=IF($S54=MesCiclo,InicioCiclo,$S54+MOD(2-WEEKDAY($S54),7))+27),1,IF(N($W54)&gt;0,AVERAGEIFS($AB$5:$AB$1000,$U$5:$U$1000,ROW(),$V$5:$V$1000,"Sub"),$AB54)))</f>
        <v/>
      </c>
      <c r="AG54" s="62">
        <f>IF($V54&lt;&gt;"Macro","",IF(COUNTIFS($S$5:$S$1000,$S54,$V$5:$V$1000,"Macro",$H$5:$H$1000,"&gt;0")=0,1/COUNTIFS($S$5:$S$1000,$S54,$V$5:$V$1000,"Macro"),IF(AND(ISNUMBER($H54),N($H54)&gt;0),$H54,SUMIFS($H$5:$H$1000,$S$5:$S$1000,$S54,$V$5:$V$1000,"Macro")/COUNTIFS($S$5:$S$1000,$S54,$V$5:$V$1000,"Macro",$H$5:$H$1000,"&gt;0"))/(COUNTIFS($S$5:$S$1000,$S54,$V$5:$V$1000,"Macro")*SUMIFS($H$5:$H$1000,$S$5:$S$1000,$S54,$V$5:$V$1000,"Macro")/COUNTIFS($S$5:$S$1000,$S54,$V$5:$V$1000,"Macro",$H$5:$H$1000,"&gt;0"))))</f>
        <v/>
      </c>
      <c r="AH54" s="62" t="n"/>
      <c r="AI54" s="62" t="n"/>
      <c r="AJ54" s="62" t="n"/>
      <c r="AK54" s="62" t="n"/>
      <c r="AL54" s="62">
        <f>IF(LEFT($C54,11)="[Jefatura] ",IFERROR(MATCH("Riesgo Normativo|"&amp;MID($C54,12,500),rDname_ADM,0),0),"")</f>
        <v/>
      </c>
      <c r="AM54" s="62">
        <f>IF(N($AL54)&gt;0,INDEX(rIni_ADM,$AL54),IF(ISNUMBER($E54),$E54,""))</f>
        <v/>
      </c>
      <c r="AN54" s="62">
        <f>IF(N($AL54)&gt;0,INDEX(rLim_ADM,$AL54),IF(ISNUMBER($F54),$F54,""))</f>
        <v/>
      </c>
    </row>
    <row r="55">
      <c r="A55" s="56">
        <f>IF(NOT((COUNTA($B55:$D55)+COUNTA($G55:$L55)+COUNTA($Q55))&gt;0),"",IF($V55="Macro",COUNTIFS($V$5:$V55,"Macro",$S$5:$S55,$S55),IF(N($U55)=0,"?",COUNTIFS(INDEX($V$5:$V$1000,1):INDEX($V$5:$V$1000,$U55-4),"Macro",INDEX($S$5:$S$1000,1):INDEX($S$5:$S$1000,$U55-4),INDEX($S$5:$S$1000,$U55-4))&amp;"."&amp;COUNTIFS($U$5:$U55,$U55,$V$5:$V55,"Sub"))))</f>
        <v/>
      </c>
      <c r="B55" s="57" t="n"/>
      <c r="C55" s="58" t="n"/>
      <c r="D55" s="58" t="n"/>
      <c r="E55" s="59">
        <f>IF(N($AL55)&gt;0,INDEX(rIni_ADM,$AL55),"")</f>
        <v/>
      </c>
      <c r="F55" s="59">
        <f>IF(N($AL55)&gt;0,INDEX(rLim_ADM,$AL55),"")</f>
        <v/>
      </c>
      <c r="G55" s="59" t="n"/>
      <c r="H55" s="60" t="n"/>
      <c r="I55" s="60" t="n"/>
      <c r="J55" s="60" t="n"/>
      <c r="K55" s="60" t="n"/>
      <c r="L55" s="60" t="n"/>
      <c r="M55" s="61">
        <f>IF(NOT((COUNTA($B55:$D55)+COUNTA($G55:$L55)+COUNTA($Q55))&gt;0),"",IF(ISNUMBER($G55),1,IF(N($W55)&gt;0,AVERAGEIFS($X$5:$X$1000,$U$5:$U$1000,ROW(),$V$5:$V$1000,"Sub"),$X55)))</f>
        <v/>
      </c>
      <c r="N55" s="56">
        <f>IF($M55="","",IF($M55&gt;=1,"Completado",IF($M55&gt;0,"En curso","Pendiente")))</f>
        <v/>
      </c>
      <c r="O55" s="56">
        <f>IF(NOT((COUNTA($B55:$D55)+COUNTA($G55:$L55)+COUNTA($Q55))&gt;0),"",IF(ISNUMBER($G55),IF(AND(ISNUMBER($AN55),$G55&gt;$AN55),"Cumplida con "&amp;($G55-$AN55)&amp;IF($G55-$AN55=1," día"," días")&amp;" de retraso","Cumplida"),IF(N($M55)&gt;=1,"Cumplida",IF(NOT(ISNUMBER($AN55)),"Sin fecha límite",IF($AN55&lt;FechaRef,"Vencida hace "&amp;(FechaRef-$AN55)&amp;IF(FechaRef-$AN55=1," día"," días"),IF($AN55=FechaRef,"Vence hoy",IF($AN55-FechaRef&lt;=DiasAlerta,"Vence en "&amp;($AN55-FechaRef)&amp;IF($AN55-FechaRef=1," día"," días"),"En plazo")))))))</f>
        <v/>
      </c>
      <c r="P55" s="62" t="n"/>
      <c r="Q55" s="58" t="n"/>
      <c r="R55" s="63">
        <f>IF(NOT((COUNTA($B55:$D55)+COUNTA($G55:$L55)+COUNTA($Q55))&gt;0),"",IF((IF($C55="","Falta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",""))="","✔ OK","⚠ "&amp;LEFT(IF($C55="","Falta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",""),LEN(IF($C55="","Falta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",""))-3)))</f>
        <v/>
      </c>
      <c r="S55" s="64">
        <f>IF(NOT((COUNTA($B55:$D55)+COUNTA($G55:$L55)+COUNTA($Q55))&gt;0),"",IF(AND($V55="Sub",N($U55)&gt;0),IF(ISNUMBER(INDEX($AM$5:$AM$1000,$U55-4)),DATE(YEAR(INDEX($AM$5:$AM$1000,$U55-4)),MONTH(INDEX($AM$5:$AM$1000,$U55-4)),1),IF(ISNUMBER(INDEX($AN$5:$AN$1000,$U55-4)),DATE(YEAR(INDEX($AN$5:$AN$1000,$U55-4)),MONTH(INDEX($AN$5:$AN$1000,$U55-4)),1),MesCiclo)),IF(ISNUMBER($AM55),DATE(YEAR($AM55),MONTH($AM55),1),IF(ISNUMBER($AN55),DATE(YEAR($AN55),MONTH($AN55),1),MesCiclo))))</f>
        <v/>
      </c>
      <c r="T55" s="62">
        <f>IF(OR($S55="",$S55&lt;&gt;MesCiclo),"",COUNTIF($S$5:$S55,MesCiclo))</f>
        <v/>
      </c>
      <c r="U55" s="62">
        <f>IF($V55="","",IF($V55="Macro",ROW(),IFERROR(LOOKUP(2,1/($V$5:$V55="Macro"),ROW($V$5:$V55)),0)))</f>
        <v/>
      </c>
      <c r="V55" s="62">
        <f>IF(NOT((COUNTA($B55:$D55)+COUNTA($G55:$L55)+COUNTA($Q55))&gt;0),"",IF($B55="Subactividad","Sub","Macro"))</f>
        <v/>
      </c>
      <c r="W55" s="62">
        <f>IF($V55="Macro",COUNTIFS($U$5:$U$1000,ROW(),$V$5:$V$1000,"Sub"),"")</f>
        <v/>
      </c>
      <c r="X55" s="62">
        <f>IF($V55="","",IF(ISNUMBER($G55),1,IFERROR(LOOKUP(2,1/($I55:$L55&lt;&gt;""),$I55:$L55),0)))</f>
        <v/>
      </c>
      <c r="Y55" s="62">
        <f>IF($V55="","",IF(AND(ISNUMBER($G55),$G55&lt;=IF($S55=MesCiclo,InicioCiclo,$S55+MOD(2-WEEKDAY($S55),7))+6),1,IF(ISNUMBER($I55),$I55,0)))</f>
        <v/>
      </c>
      <c r="Z55" s="62">
        <f>IF($V55="","",IF(AND(ISNUMBER($G55),$G55&lt;=IF($S55=MesCiclo,InicioCiclo,$S55+MOD(2-WEEKDAY($S55),7))+13),1,IF(ISNUMBER($J55),$J55,$Y55)))</f>
        <v/>
      </c>
      <c r="AA55" s="62">
        <f>IF($V55="","",IF(AND(ISNUMBER($G55),$G55&lt;=IF($S55=MesCiclo,InicioCiclo,$S55+MOD(2-WEEKDAY($S55),7))+20),1,IF(ISNUMBER($K55),$K55,$Z55)))</f>
        <v/>
      </c>
      <c r="AB55" s="62">
        <f>IF($V55="","",IF(AND(ISNUMBER($G55),$G55&lt;=IF($S55=MesCiclo,InicioCiclo,$S55+MOD(2-WEEKDAY($S55),7))+27),1,IF(ISNUMBER($L55),$L55,$AA55)))</f>
        <v/>
      </c>
      <c r="AC55" s="62">
        <f>IF($V55="","",IF(AND(ISNUMBER($G55),$G55&lt;=IF($S55=MesCiclo,InicioCiclo,$S55+MOD(2-WEEKDAY($S55),7))+6),1,IF(N($W55)&gt;0,AVERAGEIFS($Y$5:$Y$1000,$U$5:$U$1000,ROW(),$V$5:$V$1000,"Sub"),$Y55)))</f>
        <v/>
      </c>
      <c r="AD55" s="62">
        <f>IF($V55="","",IF(AND(ISNUMBER($G55),$G55&lt;=IF($S55=MesCiclo,InicioCiclo,$S55+MOD(2-WEEKDAY($S55),7))+13),1,IF(N($W55)&gt;0,AVERAGEIFS($Z$5:$Z$1000,$U$5:$U$1000,ROW(),$V$5:$V$1000,"Sub"),$Z55)))</f>
        <v/>
      </c>
      <c r="AE55" s="62">
        <f>IF($V55="","",IF(AND(ISNUMBER($G55),$G55&lt;=IF($S55=MesCiclo,InicioCiclo,$S55+MOD(2-WEEKDAY($S55),7))+20),1,IF(N($W55)&gt;0,AVERAGEIFS($AA$5:$AA$1000,$U$5:$U$1000,ROW(),$V$5:$V$1000,"Sub"),$AA55)))</f>
        <v/>
      </c>
      <c r="AF55" s="62">
        <f>IF($V55="","",IF(AND(ISNUMBER($G55),$G55&lt;=IF($S55=MesCiclo,InicioCiclo,$S55+MOD(2-WEEKDAY($S55),7))+27),1,IF(N($W55)&gt;0,AVERAGEIFS($AB$5:$AB$1000,$U$5:$U$1000,ROW(),$V$5:$V$1000,"Sub"),$AB55)))</f>
        <v/>
      </c>
      <c r="AG55" s="62">
        <f>IF($V55&lt;&gt;"Macro","",IF(COUNTIFS($S$5:$S$1000,$S55,$V$5:$V$1000,"Macro",$H$5:$H$1000,"&gt;0")=0,1/COUNTIFS($S$5:$S$1000,$S55,$V$5:$V$1000,"Macro"),IF(AND(ISNUMBER($H55),N($H55)&gt;0),$H55,SUMIFS($H$5:$H$1000,$S$5:$S$1000,$S55,$V$5:$V$1000,"Macro")/COUNTIFS($S$5:$S$1000,$S55,$V$5:$V$1000,"Macro",$H$5:$H$1000,"&gt;0"))/(COUNTIFS($S$5:$S$1000,$S55,$V$5:$V$1000,"Macro")*SUMIFS($H$5:$H$1000,$S$5:$S$1000,$S55,$V$5:$V$1000,"Macro")/COUNTIFS($S$5:$S$1000,$S55,$V$5:$V$1000,"Macro",$H$5:$H$1000,"&gt;0"))))</f>
        <v/>
      </c>
      <c r="AH55" s="62" t="n"/>
      <c r="AI55" s="62" t="n"/>
      <c r="AJ55" s="62" t="n"/>
      <c r="AK55" s="62" t="n"/>
      <c r="AL55" s="62">
        <f>IF(LEFT($C55,11)="[Jefatura] ",IFERROR(MATCH("Riesgo Normativo|"&amp;MID($C55,12,500),rDname_ADM,0),0),"")</f>
        <v/>
      </c>
      <c r="AM55" s="62">
        <f>IF(N($AL55)&gt;0,INDEX(rIni_ADM,$AL55),IF(ISNUMBER($E55),$E55,""))</f>
        <v/>
      </c>
      <c r="AN55" s="62">
        <f>IF(N($AL55)&gt;0,INDEX(rLim_ADM,$AL55),IF(ISNUMBER($F55),$F55,""))</f>
        <v/>
      </c>
    </row>
    <row r="56">
      <c r="A56" s="56">
        <f>IF(NOT((COUNTA($B56:$D56)+COUNTA($G56:$L56)+COUNTA($Q56))&gt;0),"",IF($V56="Macro",COUNTIFS($V$5:$V56,"Macro",$S$5:$S56,$S56),IF(N($U56)=0,"?",COUNTIFS(INDEX($V$5:$V$1000,1):INDEX($V$5:$V$1000,$U56-4),"Macro",INDEX($S$5:$S$1000,1):INDEX($S$5:$S$1000,$U56-4),INDEX($S$5:$S$1000,$U56-4))&amp;"."&amp;COUNTIFS($U$5:$U56,$U56,$V$5:$V56,"Sub"))))</f>
        <v/>
      </c>
      <c r="B56" s="57" t="n"/>
      <c r="C56" s="58" t="n"/>
      <c r="D56" s="58" t="n"/>
      <c r="E56" s="59">
        <f>IF(N($AL56)&gt;0,INDEX(rIni_ADM,$AL56),"")</f>
        <v/>
      </c>
      <c r="F56" s="59">
        <f>IF(N($AL56)&gt;0,INDEX(rLim_ADM,$AL56),"")</f>
        <v/>
      </c>
      <c r="G56" s="59" t="n"/>
      <c r="H56" s="60" t="n"/>
      <c r="I56" s="60" t="n"/>
      <c r="J56" s="60" t="n"/>
      <c r="K56" s="60" t="n"/>
      <c r="L56" s="60" t="n"/>
      <c r="M56" s="61">
        <f>IF(NOT((COUNTA($B56:$D56)+COUNTA($G56:$L56)+COUNTA($Q56))&gt;0),"",IF(ISNUMBER($G56),1,IF(N($W56)&gt;0,AVERAGEIFS($X$5:$X$1000,$U$5:$U$1000,ROW(),$V$5:$V$1000,"Sub"),$X56)))</f>
        <v/>
      </c>
      <c r="N56" s="56">
        <f>IF($M56="","",IF($M56&gt;=1,"Completado",IF($M56&gt;0,"En curso","Pendiente")))</f>
        <v/>
      </c>
      <c r="O56" s="56">
        <f>IF(NOT((COUNTA($B56:$D56)+COUNTA($G56:$L56)+COUNTA($Q56))&gt;0),"",IF(ISNUMBER($G56),IF(AND(ISNUMBER($AN56),$G56&gt;$AN56),"Cumplida con "&amp;($G56-$AN56)&amp;IF($G56-$AN56=1," día"," días")&amp;" de retraso","Cumplida"),IF(N($M56)&gt;=1,"Cumplida",IF(NOT(ISNUMBER($AN56)),"Sin fecha límite",IF($AN56&lt;FechaRef,"Vencida hace "&amp;(FechaRef-$AN56)&amp;IF(FechaRef-$AN56=1," día"," días"),IF($AN56=FechaRef,"Vence hoy",IF($AN56-FechaRef&lt;=DiasAlerta,"Vence en "&amp;($AN56-FechaRef)&amp;IF($AN56-FechaRef=1," día"," días"),"En plazo")))))))</f>
        <v/>
      </c>
      <c r="P56" s="62" t="n"/>
      <c r="Q56" s="58" t="n"/>
      <c r="R56" s="63">
        <f>IF(NOT((COUNTA($B56:$D56)+COUNTA($G56:$L56)+COUNTA($Q56))&gt;0),"",IF((IF($C56="","Falta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",""))="","✔ OK","⚠ "&amp;LEFT(IF($C56="","Falta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",""),LEN(IF($C56="","Falta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",""))-3)))</f>
        <v/>
      </c>
      <c r="S56" s="64">
        <f>IF(NOT((COUNTA($B56:$D56)+COUNTA($G56:$L56)+COUNTA($Q56))&gt;0),"",IF(AND($V56="Sub",N($U56)&gt;0),IF(ISNUMBER(INDEX($AM$5:$AM$1000,$U56-4)),DATE(YEAR(INDEX($AM$5:$AM$1000,$U56-4)),MONTH(INDEX($AM$5:$AM$1000,$U56-4)),1),IF(ISNUMBER(INDEX($AN$5:$AN$1000,$U56-4)),DATE(YEAR(INDEX($AN$5:$AN$1000,$U56-4)),MONTH(INDEX($AN$5:$AN$1000,$U56-4)),1),MesCiclo)),IF(ISNUMBER($AM56),DATE(YEAR($AM56),MONTH($AM56),1),IF(ISNUMBER($AN56),DATE(YEAR($AN56),MONTH($AN56),1),MesCiclo))))</f>
        <v/>
      </c>
      <c r="T56" s="62">
        <f>IF(OR($S56="",$S56&lt;&gt;MesCiclo),"",COUNTIF($S$5:$S56,MesCiclo))</f>
        <v/>
      </c>
      <c r="U56" s="62">
        <f>IF($V56="","",IF($V56="Macro",ROW(),IFERROR(LOOKUP(2,1/($V$5:$V56="Macro"),ROW($V$5:$V56)),0)))</f>
        <v/>
      </c>
      <c r="V56" s="62">
        <f>IF(NOT((COUNTA($B56:$D56)+COUNTA($G56:$L56)+COUNTA($Q56))&gt;0),"",IF($B56="Subactividad","Sub","Macro"))</f>
        <v/>
      </c>
      <c r="W56" s="62">
        <f>IF($V56="Macro",COUNTIFS($U$5:$U$1000,ROW(),$V$5:$V$1000,"Sub"),"")</f>
        <v/>
      </c>
      <c r="X56" s="62">
        <f>IF($V56="","",IF(ISNUMBER($G56),1,IFERROR(LOOKUP(2,1/($I56:$L56&lt;&gt;""),$I56:$L56),0)))</f>
        <v/>
      </c>
      <c r="Y56" s="62">
        <f>IF($V56="","",IF(AND(ISNUMBER($G56),$G56&lt;=IF($S56=MesCiclo,InicioCiclo,$S56+MOD(2-WEEKDAY($S56),7))+6),1,IF(ISNUMBER($I56),$I56,0)))</f>
        <v/>
      </c>
      <c r="Z56" s="62">
        <f>IF($V56="","",IF(AND(ISNUMBER($G56),$G56&lt;=IF($S56=MesCiclo,InicioCiclo,$S56+MOD(2-WEEKDAY($S56),7))+13),1,IF(ISNUMBER($J56),$J56,$Y56)))</f>
        <v/>
      </c>
      <c r="AA56" s="62">
        <f>IF($V56="","",IF(AND(ISNUMBER($G56),$G56&lt;=IF($S56=MesCiclo,InicioCiclo,$S56+MOD(2-WEEKDAY($S56),7))+20),1,IF(ISNUMBER($K56),$K56,$Z56)))</f>
        <v/>
      </c>
      <c r="AB56" s="62">
        <f>IF($V56="","",IF(AND(ISNUMBER($G56),$G56&lt;=IF($S56=MesCiclo,InicioCiclo,$S56+MOD(2-WEEKDAY($S56),7))+27),1,IF(ISNUMBER($L56),$L56,$AA56)))</f>
        <v/>
      </c>
      <c r="AC56" s="62">
        <f>IF($V56="","",IF(AND(ISNUMBER($G56),$G56&lt;=IF($S56=MesCiclo,InicioCiclo,$S56+MOD(2-WEEKDAY($S56),7))+6),1,IF(N($W56)&gt;0,AVERAGEIFS($Y$5:$Y$1000,$U$5:$U$1000,ROW(),$V$5:$V$1000,"Sub"),$Y56)))</f>
        <v/>
      </c>
      <c r="AD56" s="62">
        <f>IF($V56="","",IF(AND(ISNUMBER($G56),$G56&lt;=IF($S56=MesCiclo,InicioCiclo,$S56+MOD(2-WEEKDAY($S56),7))+13),1,IF(N($W56)&gt;0,AVERAGEIFS($Z$5:$Z$1000,$U$5:$U$1000,ROW(),$V$5:$V$1000,"Sub"),$Z56)))</f>
        <v/>
      </c>
      <c r="AE56" s="62">
        <f>IF($V56="","",IF(AND(ISNUMBER($G56),$G56&lt;=IF($S56=MesCiclo,InicioCiclo,$S56+MOD(2-WEEKDAY($S56),7))+20),1,IF(N($W56)&gt;0,AVERAGEIFS($AA$5:$AA$1000,$U$5:$U$1000,ROW(),$V$5:$V$1000,"Sub"),$AA56)))</f>
        <v/>
      </c>
      <c r="AF56" s="62">
        <f>IF($V56="","",IF(AND(ISNUMBER($G56),$G56&lt;=IF($S56=MesCiclo,InicioCiclo,$S56+MOD(2-WEEKDAY($S56),7))+27),1,IF(N($W56)&gt;0,AVERAGEIFS($AB$5:$AB$1000,$U$5:$U$1000,ROW(),$V$5:$V$1000,"Sub"),$AB56)))</f>
        <v/>
      </c>
      <c r="AG56" s="62">
        <f>IF($V56&lt;&gt;"Macro","",IF(COUNTIFS($S$5:$S$1000,$S56,$V$5:$V$1000,"Macro",$H$5:$H$1000,"&gt;0")=0,1/COUNTIFS($S$5:$S$1000,$S56,$V$5:$V$1000,"Macro"),IF(AND(ISNUMBER($H56),N($H56)&gt;0),$H56,SUMIFS($H$5:$H$1000,$S$5:$S$1000,$S56,$V$5:$V$1000,"Macro")/COUNTIFS($S$5:$S$1000,$S56,$V$5:$V$1000,"Macro",$H$5:$H$1000,"&gt;0"))/(COUNTIFS($S$5:$S$1000,$S56,$V$5:$V$1000,"Macro")*SUMIFS($H$5:$H$1000,$S$5:$S$1000,$S56,$V$5:$V$1000,"Macro")/COUNTIFS($S$5:$S$1000,$S56,$V$5:$V$1000,"Macro",$H$5:$H$1000,"&gt;0"))))</f>
        <v/>
      </c>
      <c r="AH56" s="62" t="n"/>
      <c r="AI56" s="62" t="n"/>
      <c r="AJ56" s="62" t="n"/>
      <c r="AK56" s="62" t="n"/>
      <c r="AL56" s="62">
        <f>IF(LEFT($C56,11)="[Jefatura] ",IFERROR(MATCH("Riesgo Normativo|"&amp;MID($C56,12,500),rDname_ADM,0),0),"")</f>
        <v/>
      </c>
      <c r="AM56" s="62">
        <f>IF(N($AL56)&gt;0,INDEX(rIni_ADM,$AL56),IF(ISNUMBER($E56),$E56,""))</f>
        <v/>
      </c>
      <c r="AN56" s="62">
        <f>IF(N($AL56)&gt;0,INDEX(rLim_ADM,$AL56),IF(ISNUMBER($F56),$F56,""))</f>
        <v/>
      </c>
    </row>
    <row r="57">
      <c r="A57" s="56">
        <f>IF(NOT((COUNTA($B57:$D57)+COUNTA($G57:$L57)+COUNTA($Q57))&gt;0),"",IF($V57="Macro",COUNTIFS($V$5:$V57,"Macro",$S$5:$S57,$S57),IF(N($U57)=0,"?",COUNTIFS(INDEX($V$5:$V$1000,1):INDEX($V$5:$V$1000,$U57-4),"Macro",INDEX($S$5:$S$1000,1):INDEX($S$5:$S$1000,$U57-4),INDEX($S$5:$S$1000,$U57-4))&amp;"."&amp;COUNTIFS($U$5:$U57,$U57,$V$5:$V57,"Sub"))))</f>
        <v/>
      </c>
      <c r="B57" s="57" t="n"/>
      <c r="C57" s="58" t="n"/>
      <c r="D57" s="58" t="n"/>
      <c r="E57" s="59">
        <f>IF(N($AL57)&gt;0,INDEX(rIni_ADM,$AL57),"")</f>
        <v/>
      </c>
      <c r="F57" s="59">
        <f>IF(N($AL57)&gt;0,INDEX(rLim_ADM,$AL57),"")</f>
        <v/>
      </c>
      <c r="G57" s="59" t="n"/>
      <c r="H57" s="60" t="n"/>
      <c r="I57" s="60" t="n"/>
      <c r="J57" s="60" t="n"/>
      <c r="K57" s="60" t="n"/>
      <c r="L57" s="60" t="n"/>
      <c r="M57" s="61">
        <f>IF(NOT((COUNTA($B57:$D57)+COUNTA($G57:$L57)+COUNTA($Q57))&gt;0),"",IF(ISNUMBER($G57),1,IF(N($W57)&gt;0,AVERAGEIFS($X$5:$X$1000,$U$5:$U$1000,ROW(),$V$5:$V$1000,"Sub"),$X57)))</f>
        <v/>
      </c>
      <c r="N57" s="56">
        <f>IF($M57="","",IF($M57&gt;=1,"Completado",IF($M57&gt;0,"En curso","Pendiente")))</f>
        <v/>
      </c>
      <c r="O57" s="56">
        <f>IF(NOT((COUNTA($B57:$D57)+COUNTA($G57:$L57)+COUNTA($Q57))&gt;0),"",IF(ISNUMBER($G57),IF(AND(ISNUMBER($AN57),$G57&gt;$AN57),"Cumplida con "&amp;($G57-$AN57)&amp;IF($G57-$AN57=1," día"," días")&amp;" de retraso","Cumplida"),IF(N($M57)&gt;=1,"Cumplida",IF(NOT(ISNUMBER($AN57)),"Sin fecha límite",IF($AN57&lt;FechaRef,"Vencida hace "&amp;(FechaRef-$AN57)&amp;IF(FechaRef-$AN57=1," día"," días"),IF($AN57=FechaRef,"Vence hoy",IF($AN57-FechaRef&lt;=DiasAlerta,"Vence en "&amp;($AN57-FechaRef)&amp;IF($AN57-FechaRef=1," día"," días"),"En plazo")))))))</f>
        <v/>
      </c>
      <c r="P57" s="62" t="n"/>
      <c r="Q57" s="58" t="n"/>
      <c r="R57" s="63">
        <f>IF(NOT((COUNTA($B57:$D57)+COUNTA($G57:$L57)+COUNTA($Q57))&gt;0),"",IF((IF($C57="","Falta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",""))="","✔ OK","⚠ "&amp;LEFT(IF($C57="","Falta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",""),LEN(IF($C57="","Falta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",""))-3)))</f>
        <v/>
      </c>
      <c r="S57" s="64">
        <f>IF(NOT((COUNTA($B57:$D57)+COUNTA($G57:$L57)+COUNTA($Q57))&gt;0),"",IF(AND($V57="Sub",N($U57)&gt;0),IF(ISNUMBER(INDEX($AM$5:$AM$1000,$U57-4)),DATE(YEAR(INDEX($AM$5:$AM$1000,$U57-4)),MONTH(INDEX($AM$5:$AM$1000,$U57-4)),1),IF(ISNUMBER(INDEX($AN$5:$AN$1000,$U57-4)),DATE(YEAR(INDEX($AN$5:$AN$1000,$U57-4)),MONTH(INDEX($AN$5:$AN$1000,$U57-4)),1),MesCiclo)),IF(ISNUMBER($AM57),DATE(YEAR($AM57),MONTH($AM57),1),IF(ISNUMBER($AN57),DATE(YEAR($AN57),MONTH($AN57),1),MesCiclo))))</f>
        <v/>
      </c>
      <c r="T57" s="62">
        <f>IF(OR($S57="",$S57&lt;&gt;MesCiclo),"",COUNTIF($S$5:$S57,MesCiclo))</f>
        <v/>
      </c>
      <c r="U57" s="62">
        <f>IF($V57="","",IF($V57="Macro",ROW(),IFERROR(LOOKUP(2,1/($V$5:$V57="Macro"),ROW($V$5:$V57)),0)))</f>
        <v/>
      </c>
      <c r="V57" s="62">
        <f>IF(NOT((COUNTA($B57:$D57)+COUNTA($G57:$L57)+COUNTA($Q57))&gt;0),"",IF($B57="Subactividad","Sub","Macro"))</f>
        <v/>
      </c>
      <c r="W57" s="62">
        <f>IF($V57="Macro",COUNTIFS($U$5:$U$1000,ROW(),$V$5:$V$1000,"Sub"),"")</f>
        <v/>
      </c>
      <c r="X57" s="62">
        <f>IF($V57="","",IF(ISNUMBER($G57),1,IFERROR(LOOKUP(2,1/($I57:$L57&lt;&gt;""),$I57:$L57),0)))</f>
        <v/>
      </c>
      <c r="Y57" s="62">
        <f>IF($V57="","",IF(AND(ISNUMBER($G57),$G57&lt;=IF($S57=MesCiclo,InicioCiclo,$S57+MOD(2-WEEKDAY($S57),7))+6),1,IF(ISNUMBER($I57),$I57,0)))</f>
        <v/>
      </c>
      <c r="Z57" s="62">
        <f>IF($V57="","",IF(AND(ISNUMBER($G57),$G57&lt;=IF($S57=MesCiclo,InicioCiclo,$S57+MOD(2-WEEKDAY($S57),7))+13),1,IF(ISNUMBER($J57),$J57,$Y57)))</f>
        <v/>
      </c>
      <c r="AA57" s="62">
        <f>IF($V57="","",IF(AND(ISNUMBER($G57),$G57&lt;=IF($S57=MesCiclo,InicioCiclo,$S57+MOD(2-WEEKDAY($S57),7))+20),1,IF(ISNUMBER($K57),$K57,$Z57)))</f>
        <v/>
      </c>
      <c r="AB57" s="62">
        <f>IF($V57="","",IF(AND(ISNUMBER($G57),$G57&lt;=IF($S57=MesCiclo,InicioCiclo,$S57+MOD(2-WEEKDAY($S57),7))+27),1,IF(ISNUMBER($L57),$L57,$AA57)))</f>
        <v/>
      </c>
      <c r="AC57" s="62">
        <f>IF($V57="","",IF(AND(ISNUMBER($G57),$G57&lt;=IF($S57=MesCiclo,InicioCiclo,$S57+MOD(2-WEEKDAY($S57),7))+6),1,IF(N($W57)&gt;0,AVERAGEIFS($Y$5:$Y$1000,$U$5:$U$1000,ROW(),$V$5:$V$1000,"Sub"),$Y57)))</f>
        <v/>
      </c>
      <c r="AD57" s="62">
        <f>IF($V57="","",IF(AND(ISNUMBER($G57),$G57&lt;=IF($S57=MesCiclo,InicioCiclo,$S57+MOD(2-WEEKDAY($S57),7))+13),1,IF(N($W57)&gt;0,AVERAGEIFS($Z$5:$Z$1000,$U$5:$U$1000,ROW(),$V$5:$V$1000,"Sub"),$Z57)))</f>
        <v/>
      </c>
      <c r="AE57" s="62">
        <f>IF($V57="","",IF(AND(ISNUMBER($G57),$G57&lt;=IF($S57=MesCiclo,InicioCiclo,$S57+MOD(2-WEEKDAY($S57),7))+20),1,IF(N($W57)&gt;0,AVERAGEIFS($AA$5:$AA$1000,$U$5:$U$1000,ROW(),$V$5:$V$1000,"Sub"),$AA57)))</f>
        <v/>
      </c>
      <c r="AF57" s="62">
        <f>IF($V57="","",IF(AND(ISNUMBER($G57),$G57&lt;=IF($S57=MesCiclo,InicioCiclo,$S57+MOD(2-WEEKDAY($S57),7))+27),1,IF(N($W57)&gt;0,AVERAGEIFS($AB$5:$AB$1000,$U$5:$U$1000,ROW(),$V$5:$V$1000,"Sub"),$AB57)))</f>
        <v/>
      </c>
      <c r="AG57" s="62">
        <f>IF($V57&lt;&gt;"Macro","",IF(COUNTIFS($S$5:$S$1000,$S57,$V$5:$V$1000,"Macro",$H$5:$H$1000,"&gt;0")=0,1/COUNTIFS($S$5:$S$1000,$S57,$V$5:$V$1000,"Macro"),IF(AND(ISNUMBER($H57),N($H57)&gt;0),$H57,SUMIFS($H$5:$H$1000,$S$5:$S$1000,$S57,$V$5:$V$1000,"Macro")/COUNTIFS($S$5:$S$1000,$S57,$V$5:$V$1000,"Macro",$H$5:$H$1000,"&gt;0"))/(COUNTIFS($S$5:$S$1000,$S57,$V$5:$V$1000,"Macro")*SUMIFS($H$5:$H$1000,$S$5:$S$1000,$S57,$V$5:$V$1000,"Macro")/COUNTIFS($S$5:$S$1000,$S57,$V$5:$V$1000,"Macro",$H$5:$H$1000,"&gt;0"))))</f>
        <v/>
      </c>
      <c r="AH57" s="62" t="n"/>
      <c r="AI57" s="62" t="n"/>
      <c r="AJ57" s="62" t="n"/>
      <c r="AK57" s="62" t="n"/>
      <c r="AL57" s="62">
        <f>IF(LEFT($C57,11)="[Jefatura] ",IFERROR(MATCH("Riesgo Normativo|"&amp;MID($C57,12,500),rDname_ADM,0),0),"")</f>
        <v/>
      </c>
      <c r="AM57" s="62">
        <f>IF(N($AL57)&gt;0,INDEX(rIni_ADM,$AL57),IF(ISNUMBER($E57),$E57,""))</f>
        <v/>
      </c>
      <c r="AN57" s="62">
        <f>IF(N($AL57)&gt;0,INDEX(rLim_ADM,$AL57),IF(ISNUMBER($F57),$F57,""))</f>
        <v/>
      </c>
    </row>
    <row r="58">
      <c r="A58" s="56">
        <f>IF(NOT((COUNTA($B58:$D58)+COUNTA($G58:$L58)+COUNTA($Q58))&gt;0),"",IF($V58="Macro",COUNTIFS($V$5:$V58,"Macro",$S$5:$S58,$S58),IF(N($U58)=0,"?",COUNTIFS(INDEX($V$5:$V$1000,1):INDEX($V$5:$V$1000,$U58-4),"Macro",INDEX($S$5:$S$1000,1):INDEX($S$5:$S$1000,$U58-4),INDEX($S$5:$S$1000,$U58-4))&amp;"."&amp;COUNTIFS($U$5:$U58,$U58,$V$5:$V58,"Sub"))))</f>
        <v/>
      </c>
      <c r="B58" s="57" t="n"/>
      <c r="C58" s="58" t="n"/>
      <c r="D58" s="58" t="n"/>
      <c r="E58" s="59">
        <f>IF(N($AL58)&gt;0,INDEX(rIni_ADM,$AL58),"")</f>
        <v/>
      </c>
      <c r="F58" s="59">
        <f>IF(N($AL58)&gt;0,INDEX(rLim_ADM,$AL58),"")</f>
        <v/>
      </c>
      <c r="G58" s="59" t="n"/>
      <c r="H58" s="60" t="n"/>
      <c r="I58" s="60" t="n"/>
      <c r="J58" s="60" t="n"/>
      <c r="K58" s="60" t="n"/>
      <c r="L58" s="60" t="n"/>
      <c r="M58" s="61">
        <f>IF(NOT((COUNTA($B58:$D58)+COUNTA($G58:$L58)+COUNTA($Q58))&gt;0),"",IF(ISNUMBER($G58),1,IF(N($W58)&gt;0,AVERAGEIFS($X$5:$X$1000,$U$5:$U$1000,ROW(),$V$5:$V$1000,"Sub"),$X58)))</f>
        <v/>
      </c>
      <c r="N58" s="56">
        <f>IF($M58="","",IF($M58&gt;=1,"Completado",IF($M58&gt;0,"En curso","Pendiente")))</f>
        <v/>
      </c>
      <c r="O58" s="56">
        <f>IF(NOT((COUNTA($B58:$D58)+COUNTA($G58:$L58)+COUNTA($Q58))&gt;0),"",IF(ISNUMBER($G58),IF(AND(ISNUMBER($AN58),$G58&gt;$AN58),"Cumplida con "&amp;($G58-$AN58)&amp;IF($G58-$AN58=1," día"," días")&amp;" de retraso","Cumplida"),IF(N($M58)&gt;=1,"Cumplida",IF(NOT(ISNUMBER($AN58)),"Sin fecha límite",IF($AN58&lt;FechaRef,"Vencida hace "&amp;(FechaRef-$AN58)&amp;IF(FechaRef-$AN58=1," día"," días"),IF($AN58=FechaRef,"Vence hoy",IF($AN58-FechaRef&lt;=DiasAlerta,"Vence en "&amp;($AN58-FechaRef)&amp;IF($AN58-FechaRef=1," día"," días"),"En plazo")))))))</f>
        <v/>
      </c>
      <c r="P58" s="62" t="n"/>
      <c r="Q58" s="58" t="n"/>
      <c r="R58" s="63">
        <f>IF(NOT((COUNTA($B58:$D58)+COUNTA($G58:$L58)+COUNTA($Q58))&gt;0),"",IF((IF($C58="","Falta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",""))="","✔ OK","⚠ "&amp;LEFT(IF($C58="","Falta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",""),LEN(IF($C58="","Falta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",""))-3)))</f>
        <v/>
      </c>
      <c r="S58" s="64">
        <f>IF(NOT((COUNTA($B58:$D58)+COUNTA($G58:$L58)+COUNTA($Q58))&gt;0),"",IF(AND($V58="Sub",N($U58)&gt;0),IF(ISNUMBER(INDEX($AM$5:$AM$1000,$U58-4)),DATE(YEAR(INDEX($AM$5:$AM$1000,$U58-4)),MONTH(INDEX($AM$5:$AM$1000,$U58-4)),1),IF(ISNUMBER(INDEX($AN$5:$AN$1000,$U58-4)),DATE(YEAR(INDEX($AN$5:$AN$1000,$U58-4)),MONTH(INDEX($AN$5:$AN$1000,$U58-4)),1),MesCiclo)),IF(ISNUMBER($AM58),DATE(YEAR($AM58),MONTH($AM58),1),IF(ISNUMBER($AN58),DATE(YEAR($AN58),MONTH($AN58),1),MesCiclo))))</f>
        <v/>
      </c>
      <c r="T58" s="62">
        <f>IF(OR($S58="",$S58&lt;&gt;MesCiclo),"",COUNTIF($S$5:$S58,MesCiclo))</f>
        <v/>
      </c>
      <c r="U58" s="62">
        <f>IF($V58="","",IF($V58="Macro",ROW(),IFERROR(LOOKUP(2,1/($V$5:$V58="Macro"),ROW($V$5:$V58)),0)))</f>
        <v/>
      </c>
      <c r="V58" s="62">
        <f>IF(NOT((COUNTA($B58:$D58)+COUNTA($G58:$L58)+COUNTA($Q58))&gt;0),"",IF($B58="Subactividad","Sub","Macro"))</f>
        <v/>
      </c>
      <c r="W58" s="62">
        <f>IF($V58="Macro",COUNTIFS($U$5:$U$1000,ROW(),$V$5:$V$1000,"Sub"),"")</f>
        <v/>
      </c>
      <c r="X58" s="62">
        <f>IF($V58="","",IF(ISNUMBER($G58),1,IFERROR(LOOKUP(2,1/($I58:$L58&lt;&gt;""),$I58:$L58),0)))</f>
        <v/>
      </c>
      <c r="Y58" s="62">
        <f>IF($V58="","",IF(AND(ISNUMBER($G58),$G58&lt;=IF($S58=MesCiclo,InicioCiclo,$S58+MOD(2-WEEKDAY($S58),7))+6),1,IF(ISNUMBER($I58),$I58,0)))</f>
        <v/>
      </c>
      <c r="Z58" s="62">
        <f>IF($V58="","",IF(AND(ISNUMBER($G58),$G58&lt;=IF($S58=MesCiclo,InicioCiclo,$S58+MOD(2-WEEKDAY($S58),7))+13),1,IF(ISNUMBER($J58),$J58,$Y58)))</f>
        <v/>
      </c>
      <c r="AA58" s="62">
        <f>IF($V58="","",IF(AND(ISNUMBER($G58),$G58&lt;=IF($S58=MesCiclo,InicioCiclo,$S58+MOD(2-WEEKDAY($S58),7))+20),1,IF(ISNUMBER($K58),$K58,$Z58)))</f>
        <v/>
      </c>
      <c r="AB58" s="62">
        <f>IF($V58="","",IF(AND(ISNUMBER($G58),$G58&lt;=IF($S58=MesCiclo,InicioCiclo,$S58+MOD(2-WEEKDAY($S58),7))+27),1,IF(ISNUMBER($L58),$L58,$AA58)))</f>
        <v/>
      </c>
      <c r="AC58" s="62">
        <f>IF($V58="","",IF(AND(ISNUMBER($G58),$G58&lt;=IF($S58=MesCiclo,InicioCiclo,$S58+MOD(2-WEEKDAY($S58),7))+6),1,IF(N($W58)&gt;0,AVERAGEIFS($Y$5:$Y$1000,$U$5:$U$1000,ROW(),$V$5:$V$1000,"Sub"),$Y58)))</f>
        <v/>
      </c>
      <c r="AD58" s="62">
        <f>IF($V58="","",IF(AND(ISNUMBER($G58),$G58&lt;=IF($S58=MesCiclo,InicioCiclo,$S58+MOD(2-WEEKDAY($S58),7))+13),1,IF(N($W58)&gt;0,AVERAGEIFS($Z$5:$Z$1000,$U$5:$U$1000,ROW(),$V$5:$V$1000,"Sub"),$Z58)))</f>
        <v/>
      </c>
      <c r="AE58" s="62">
        <f>IF($V58="","",IF(AND(ISNUMBER($G58),$G58&lt;=IF($S58=MesCiclo,InicioCiclo,$S58+MOD(2-WEEKDAY($S58),7))+20),1,IF(N($W58)&gt;0,AVERAGEIFS($AA$5:$AA$1000,$U$5:$U$1000,ROW(),$V$5:$V$1000,"Sub"),$AA58)))</f>
        <v/>
      </c>
      <c r="AF58" s="62">
        <f>IF($V58="","",IF(AND(ISNUMBER($G58),$G58&lt;=IF($S58=MesCiclo,InicioCiclo,$S58+MOD(2-WEEKDAY($S58),7))+27),1,IF(N($W58)&gt;0,AVERAGEIFS($AB$5:$AB$1000,$U$5:$U$1000,ROW(),$V$5:$V$1000,"Sub"),$AB58)))</f>
        <v/>
      </c>
      <c r="AG58" s="62">
        <f>IF($V58&lt;&gt;"Macro","",IF(COUNTIFS($S$5:$S$1000,$S58,$V$5:$V$1000,"Macro",$H$5:$H$1000,"&gt;0")=0,1/COUNTIFS($S$5:$S$1000,$S58,$V$5:$V$1000,"Macro"),IF(AND(ISNUMBER($H58),N($H58)&gt;0),$H58,SUMIFS($H$5:$H$1000,$S$5:$S$1000,$S58,$V$5:$V$1000,"Macro")/COUNTIFS($S$5:$S$1000,$S58,$V$5:$V$1000,"Macro",$H$5:$H$1000,"&gt;0"))/(COUNTIFS($S$5:$S$1000,$S58,$V$5:$V$1000,"Macro")*SUMIFS($H$5:$H$1000,$S$5:$S$1000,$S58,$V$5:$V$1000,"Macro")/COUNTIFS($S$5:$S$1000,$S58,$V$5:$V$1000,"Macro",$H$5:$H$1000,"&gt;0"))))</f>
        <v/>
      </c>
      <c r="AH58" s="62" t="n"/>
      <c r="AI58" s="62" t="n"/>
      <c r="AJ58" s="62" t="n"/>
      <c r="AK58" s="62" t="n"/>
      <c r="AL58" s="62">
        <f>IF(LEFT($C58,11)="[Jefatura] ",IFERROR(MATCH("Riesgo Normativo|"&amp;MID($C58,12,500),rDname_ADM,0),0),"")</f>
        <v/>
      </c>
      <c r="AM58" s="62">
        <f>IF(N($AL58)&gt;0,INDEX(rIni_ADM,$AL58),IF(ISNUMBER($E58),$E58,""))</f>
        <v/>
      </c>
      <c r="AN58" s="62">
        <f>IF(N($AL58)&gt;0,INDEX(rLim_ADM,$AL58),IF(ISNUMBER($F58),$F58,""))</f>
        <v/>
      </c>
    </row>
    <row r="59">
      <c r="A59" s="56">
        <f>IF(NOT((COUNTA($B59:$D59)+COUNTA($G59:$L59)+COUNTA($Q59))&gt;0),"",IF($V59="Macro",COUNTIFS($V$5:$V59,"Macro",$S$5:$S59,$S59),IF(N($U59)=0,"?",COUNTIFS(INDEX($V$5:$V$1000,1):INDEX($V$5:$V$1000,$U59-4),"Macro",INDEX($S$5:$S$1000,1):INDEX($S$5:$S$1000,$U59-4),INDEX($S$5:$S$1000,$U59-4))&amp;"."&amp;COUNTIFS($U$5:$U59,$U59,$V$5:$V59,"Sub"))))</f>
        <v/>
      </c>
      <c r="B59" s="57" t="n"/>
      <c r="C59" s="58" t="n"/>
      <c r="D59" s="58" t="n"/>
      <c r="E59" s="59">
        <f>IF(N($AL59)&gt;0,INDEX(rIni_ADM,$AL59),"")</f>
        <v/>
      </c>
      <c r="F59" s="59">
        <f>IF(N($AL59)&gt;0,INDEX(rLim_ADM,$AL59),"")</f>
        <v/>
      </c>
      <c r="G59" s="59" t="n"/>
      <c r="H59" s="60" t="n"/>
      <c r="I59" s="60" t="n"/>
      <c r="J59" s="60" t="n"/>
      <c r="K59" s="60" t="n"/>
      <c r="L59" s="60" t="n"/>
      <c r="M59" s="61">
        <f>IF(NOT((COUNTA($B59:$D59)+COUNTA($G59:$L59)+COUNTA($Q59))&gt;0),"",IF(ISNUMBER($G59),1,IF(N($W59)&gt;0,AVERAGEIFS($X$5:$X$1000,$U$5:$U$1000,ROW(),$V$5:$V$1000,"Sub"),$X59)))</f>
        <v/>
      </c>
      <c r="N59" s="56">
        <f>IF($M59="","",IF($M59&gt;=1,"Completado",IF($M59&gt;0,"En curso","Pendiente")))</f>
        <v/>
      </c>
      <c r="O59" s="56">
        <f>IF(NOT((COUNTA($B59:$D59)+COUNTA($G59:$L59)+COUNTA($Q59))&gt;0),"",IF(ISNUMBER($G59),IF(AND(ISNUMBER($AN59),$G59&gt;$AN59),"Cumplida con "&amp;($G59-$AN59)&amp;IF($G59-$AN59=1," día"," días")&amp;" de retraso","Cumplida"),IF(N($M59)&gt;=1,"Cumplida",IF(NOT(ISNUMBER($AN59)),"Sin fecha límite",IF($AN59&lt;FechaRef,"Vencida hace "&amp;(FechaRef-$AN59)&amp;IF(FechaRef-$AN59=1," día"," días"),IF($AN59=FechaRef,"Vence hoy",IF($AN59-FechaRef&lt;=DiasAlerta,"Vence en "&amp;($AN59-FechaRef)&amp;IF($AN59-FechaRef=1," día"," días"),"En plazo")))))))</f>
        <v/>
      </c>
      <c r="P59" s="62" t="n"/>
      <c r="Q59" s="58" t="n"/>
      <c r="R59" s="63">
        <f>IF(NOT((COUNTA($B59:$D59)+COUNTA($G59:$L59)+COUNTA($Q59))&gt;0),"",IF((IF($C59="","Falta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",""))="","✔ OK","⚠ "&amp;LEFT(IF($C59="","Falta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",""),LEN(IF($C59="","Falta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",""))-3)))</f>
        <v/>
      </c>
      <c r="S59" s="64">
        <f>IF(NOT((COUNTA($B59:$D59)+COUNTA($G59:$L59)+COUNTA($Q59))&gt;0),"",IF(AND($V59="Sub",N($U59)&gt;0),IF(ISNUMBER(INDEX($AM$5:$AM$1000,$U59-4)),DATE(YEAR(INDEX($AM$5:$AM$1000,$U59-4)),MONTH(INDEX($AM$5:$AM$1000,$U59-4)),1),IF(ISNUMBER(INDEX($AN$5:$AN$1000,$U59-4)),DATE(YEAR(INDEX($AN$5:$AN$1000,$U59-4)),MONTH(INDEX($AN$5:$AN$1000,$U59-4)),1),MesCiclo)),IF(ISNUMBER($AM59),DATE(YEAR($AM59),MONTH($AM59),1),IF(ISNUMBER($AN59),DATE(YEAR($AN59),MONTH($AN59),1),MesCiclo))))</f>
        <v/>
      </c>
      <c r="T59" s="62">
        <f>IF(OR($S59="",$S59&lt;&gt;MesCiclo),"",COUNTIF($S$5:$S59,MesCiclo))</f>
        <v/>
      </c>
      <c r="U59" s="62">
        <f>IF($V59="","",IF($V59="Macro",ROW(),IFERROR(LOOKUP(2,1/($V$5:$V59="Macro"),ROW($V$5:$V59)),0)))</f>
        <v/>
      </c>
      <c r="V59" s="62">
        <f>IF(NOT((COUNTA($B59:$D59)+COUNTA($G59:$L59)+COUNTA($Q59))&gt;0),"",IF($B59="Subactividad","Sub","Macro"))</f>
        <v/>
      </c>
      <c r="W59" s="62">
        <f>IF($V59="Macro",COUNTIFS($U$5:$U$1000,ROW(),$V$5:$V$1000,"Sub"),"")</f>
        <v/>
      </c>
      <c r="X59" s="62">
        <f>IF($V59="","",IF(ISNUMBER($G59),1,IFERROR(LOOKUP(2,1/($I59:$L59&lt;&gt;""),$I59:$L59),0)))</f>
        <v/>
      </c>
      <c r="Y59" s="62">
        <f>IF($V59="","",IF(AND(ISNUMBER($G59),$G59&lt;=IF($S59=MesCiclo,InicioCiclo,$S59+MOD(2-WEEKDAY($S59),7))+6),1,IF(ISNUMBER($I59),$I59,0)))</f>
        <v/>
      </c>
      <c r="Z59" s="62">
        <f>IF($V59="","",IF(AND(ISNUMBER($G59),$G59&lt;=IF($S59=MesCiclo,InicioCiclo,$S59+MOD(2-WEEKDAY($S59),7))+13),1,IF(ISNUMBER($J59),$J59,$Y59)))</f>
        <v/>
      </c>
      <c r="AA59" s="62">
        <f>IF($V59="","",IF(AND(ISNUMBER($G59),$G59&lt;=IF($S59=MesCiclo,InicioCiclo,$S59+MOD(2-WEEKDAY($S59),7))+20),1,IF(ISNUMBER($K59),$K59,$Z59)))</f>
        <v/>
      </c>
      <c r="AB59" s="62">
        <f>IF($V59="","",IF(AND(ISNUMBER($G59),$G59&lt;=IF($S59=MesCiclo,InicioCiclo,$S59+MOD(2-WEEKDAY($S59),7))+27),1,IF(ISNUMBER($L59),$L59,$AA59)))</f>
        <v/>
      </c>
      <c r="AC59" s="62">
        <f>IF($V59="","",IF(AND(ISNUMBER($G59),$G59&lt;=IF($S59=MesCiclo,InicioCiclo,$S59+MOD(2-WEEKDAY($S59),7))+6),1,IF(N($W59)&gt;0,AVERAGEIFS($Y$5:$Y$1000,$U$5:$U$1000,ROW(),$V$5:$V$1000,"Sub"),$Y59)))</f>
        <v/>
      </c>
      <c r="AD59" s="62">
        <f>IF($V59="","",IF(AND(ISNUMBER($G59),$G59&lt;=IF($S59=MesCiclo,InicioCiclo,$S59+MOD(2-WEEKDAY($S59),7))+13),1,IF(N($W59)&gt;0,AVERAGEIFS($Z$5:$Z$1000,$U$5:$U$1000,ROW(),$V$5:$V$1000,"Sub"),$Z59)))</f>
        <v/>
      </c>
      <c r="AE59" s="62">
        <f>IF($V59="","",IF(AND(ISNUMBER($G59),$G59&lt;=IF($S59=MesCiclo,InicioCiclo,$S59+MOD(2-WEEKDAY($S59),7))+20),1,IF(N($W59)&gt;0,AVERAGEIFS($AA$5:$AA$1000,$U$5:$U$1000,ROW(),$V$5:$V$1000,"Sub"),$AA59)))</f>
        <v/>
      </c>
      <c r="AF59" s="62">
        <f>IF($V59="","",IF(AND(ISNUMBER($G59),$G59&lt;=IF($S59=MesCiclo,InicioCiclo,$S59+MOD(2-WEEKDAY($S59),7))+27),1,IF(N($W59)&gt;0,AVERAGEIFS($AB$5:$AB$1000,$U$5:$U$1000,ROW(),$V$5:$V$1000,"Sub"),$AB59)))</f>
        <v/>
      </c>
      <c r="AG59" s="62">
        <f>IF($V59&lt;&gt;"Macro","",IF(COUNTIFS($S$5:$S$1000,$S59,$V$5:$V$1000,"Macro",$H$5:$H$1000,"&gt;0")=0,1/COUNTIFS($S$5:$S$1000,$S59,$V$5:$V$1000,"Macro"),IF(AND(ISNUMBER($H59),N($H59)&gt;0),$H59,SUMIFS($H$5:$H$1000,$S$5:$S$1000,$S59,$V$5:$V$1000,"Macro")/COUNTIFS($S$5:$S$1000,$S59,$V$5:$V$1000,"Macro",$H$5:$H$1000,"&gt;0"))/(COUNTIFS($S$5:$S$1000,$S59,$V$5:$V$1000,"Macro")*SUMIFS($H$5:$H$1000,$S$5:$S$1000,$S59,$V$5:$V$1000,"Macro")/COUNTIFS($S$5:$S$1000,$S59,$V$5:$V$1000,"Macro",$H$5:$H$1000,"&gt;0"))))</f>
        <v/>
      </c>
      <c r="AH59" s="62" t="n"/>
      <c r="AI59" s="62" t="n"/>
      <c r="AJ59" s="62" t="n"/>
      <c r="AK59" s="62" t="n"/>
      <c r="AL59" s="62">
        <f>IF(LEFT($C59,11)="[Jefatura] ",IFERROR(MATCH("Riesgo Normativo|"&amp;MID($C59,12,500),rDname_ADM,0),0),"")</f>
        <v/>
      </c>
      <c r="AM59" s="62">
        <f>IF(N($AL59)&gt;0,INDEX(rIni_ADM,$AL59),IF(ISNUMBER($E59),$E59,""))</f>
        <v/>
      </c>
      <c r="AN59" s="62">
        <f>IF(N($AL59)&gt;0,INDEX(rLim_ADM,$AL59),IF(ISNUMBER($F59),$F59,""))</f>
        <v/>
      </c>
    </row>
    <row r="60">
      <c r="A60" s="56">
        <f>IF(NOT((COUNTA($B60:$D60)+COUNTA($G60:$L60)+COUNTA($Q60))&gt;0),"",IF($V60="Macro",COUNTIFS($V$5:$V60,"Macro",$S$5:$S60,$S60),IF(N($U60)=0,"?",COUNTIFS(INDEX($V$5:$V$1000,1):INDEX($V$5:$V$1000,$U60-4),"Macro",INDEX($S$5:$S$1000,1):INDEX($S$5:$S$1000,$U60-4),INDEX($S$5:$S$1000,$U60-4))&amp;"."&amp;COUNTIFS($U$5:$U60,$U60,$V$5:$V60,"Sub"))))</f>
        <v/>
      </c>
      <c r="B60" s="57" t="n"/>
      <c r="C60" s="58" t="n"/>
      <c r="D60" s="58" t="n"/>
      <c r="E60" s="59">
        <f>IF(N($AL60)&gt;0,INDEX(rIni_ADM,$AL60),"")</f>
        <v/>
      </c>
      <c r="F60" s="59">
        <f>IF(N($AL60)&gt;0,INDEX(rLim_ADM,$AL60),"")</f>
        <v/>
      </c>
      <c r="G60" s="59" t="n"/>
      <c r="H60" s="60" t="n"/>
      <c r="I60" s="60" t="n"/>
      <c r="J60" s="60" t="n"/>
      <c r="K60" s="60" t="n"/>
      <c r="L60" s="60" t="n"/>
      <c r="M60" s="61">
        <f>IF(NOT((COUNTA($B60:$D60)+COUNTA($G60:$L60)+COUNTA($Q60))&gt;0),"",IF(ISNUMBER($G60),1,IF(N($W60)&gt;0,AVERAGEIFS($X$5:$X$1000,$U$5:$U$1000,ROW(),$V$5:$V$1000,"Sub"),$X60)))</f>
        <v/>
      </c>
      <c r="N60" s="56">
        <f>IF($M60="","",IF($M60&gt;=1,"Completado",IF($M60&gt;0,"En curso","Pendiente")))</f>
        <v/>
      </c>
      <c r="O60" s="56">
        <f>IF(NOT((COUNTA($B60:$D60)+COUNTA($G60:$L60)+COUNTA($Q60))&gt;0),"",IF(ISNUMBER($G60),IF(AND(ISNUMBER($AN60),$G60&gt;$AN60),"Cumplida con "&amp;($G60-$AN60)&amp;IF($G60-$AN60=1," día"," días")&amp;" de retraso","Cumplida"),IF(N($M60)&gt;=1,"Cumplida",IF(NOT(ISNUMBER($AN60)),"Sin fecha límite",IF($AN60&lt;FechaRef,"Vencida hace "&amp;(FechaRef-$AN60)&amp;IF(FechaRef-$AN60=1," día"," días"),IF($AN60=FechaRef,"Vence hoy",IF($AN60-FechaRef&lt;=DiasAlerta,"Vence en "&amp;($AN60-FechaRef)&amp;IF($AN60-FechaRef=1," día"," días"),"En plazo")))))))</f>
        <v/>
      </c>
      <c r="P60" s="62" t="n"/>
      <c r="Q60" s="58" t="n"/>
      <c r="R60" s="63">
        <f>IF(NOT((COUNTA($B60:$D60)+COUNTA($G60:$L60)+COUNTA($Q60))&gt;0),"",IF((IF($C60="","Falta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",""))="","✔ OK","⚠ "&amp;LEFT(IF($C60="","Falta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",""),LEN(IF($C60="","Falta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",""))-3)))</f>
        <v/>
      </c>
      <c r="S60" s="64">
        <f>IF(NOT((COUNTA($B60:$D60)+COUNTA($G60:$L60)+COUNTA($Q60))&gt;0),"",IF(AND($V60="Sub",N($U60)&gt;0),IF(ISNUMBER(INDEX($AM$5:$AM$1000,$U60-4)),DATE(YEAR(INDEX($AM$5:$AM$1000,$U60-4)),MONTH(INDEX($AM$5:$AM$1000,$U60-4)),1),IF(ISNUMBER(INDEX($AN$5:$AN$1000,$U60-4)),DATE(YEAR(INDEX($AN$5:$AN$1000,$U60-4)),MONTH(INDEX($AN$5:$AN$1000,$U60-4)),1),MesCiclo)),IF(ISNUMBER($AM60),DATE(YEAR($AM60),MONTH($AM60),1),IF(ISNUMBER($AN60),DATE(YEAR($AN60),MONTH($AN60),1),MesCiclo))))</f>
        <v/>
      </c>
      <c r="T60" s="62">
        <f>IF(OR($S60="",$S60&lt;&gt;MesCiclo),"",COUNTIF($S$5:$S60,MesCiclo))</f>
        <v/>
      </c>
      <c r="U60" s="62">
        <f>IF($V60="","",IF($V60="Macro",ROW(),IFERROR(LOOKUP(2,1/($V$5:$V60="Macro"),ROW($V$5:$V60)),0)))</f>
        <v/>
      </c>
      <c r="V60" s="62">
        <f>IF(NOT((COUNTA($B60:$D60)+COUNTA($G60:$L60)+COUNTA($Q60))&gt;0),"",IF($B60="Subactividad","Sub","Macro"))</f>
        <v/>
      </c>
      <c r="W60" s="62">
        <f>IF($V60="Macro",COUNTIFS($U$5:$U$1000,ROW(),$V$5:$V$1000,"Sub"),"")</f>
        <v/>
      </c>
      <c r="X60" s="62">
        <f>IF($V60="","",IF(ISNUMBER($G60),1,IFERROR(LOOKUP(2,1/($I60:$L60&lt;&gt;""),$I60:$L60),0)))</f>
        <v/>
      </c>
      <c r="Y60" s="62">
        <f>IF($V60="","",IF(AND(ISNUMBER($G60),$G60&lt;=IF($S60=MesCiclo,InicioCiclo,$S60+MOD(2-WEEKDAY($S60),7))+6),1,IF(ISNUMBER($I60),$I60,0)))</f>
        <v/>
      </c>
      <c r="Z60" s="62">
        <f>IF($V60="","",IF(AND(ISNUMBER($G60),$G60&lt;=IF($S60=MesCiclo,InicioCiclo,$S60+MOD(2-WEEKDAY($S60),7))+13),1,IF(ISNUMBER($J60),$J60,$Y60)))</f>
        <v/>
      </c>
      <c r="AA60" s="62">
        <f>IF($V60="","",IF(AND(ISNUMBER($G60),$G60&lt;=IF($S60=MesCiclo,InicioCiclo,$S60+MOD(2-WEEKDAY($S60),7))+20),1,IF(ISNUMBER($K60),$K60,$Z60)))</f>
        <v/>
      </c>
      <c r="AB60" s="62">
        <f>IF($V60="","",IF(AND(ISNUMBER($G60),$G60&lt;=IF($S60=MesCiclo,InicioCiclo,$S60+MOD(2-WEEKDAY($S60),7))+27),1,IF(ISNUMBER($L60),$L60,$AA60)))</f>
        <v/>
      </c>
      <c r="AC60" s="62">
        <f>IF($V60="","",IF(AND(ISNUMBER($G60),$G60&lt;=IF($S60=MesCiclo,InicioCiclo,$S60+MOD(2-WEEKDAY($S60),7))+6),1,IF(N($W60)&gt;0,AVERAGEIFS($Y$5:$Y$1000,$U$5:$U$1000,ROW(),$V$5:$V$1000,"Sub"),$Y60)))</f>
        <v/>
      </c>
      <c r="AD60" s="62">
        <f>IF($V60="","",IF(AND(ISNUMBER($G60),$G60&lt;=IF($S60=MesCiclo,InicioCiclo,$S60+MOD(2-WEEKDAY($S60),7))+13),1,IF(N($W60)&gt;0,AVERAGEIFS($Z$5:$Z$1000,$U$5:$U$1000,ROW(),$V$5:$V$1000,"Sub"),$Z60)))</f>
        <v/>
      </c>
      <c r="AE60" s="62">
        <f>IF($V60="","",IF(AND(ISNUMBER($G60),$G60&lt;=IF($S60=MesCiclo,InicioCiclo,$S60+MOD(2-WEEKDAY($S60),7))+20),1,IF(N($W60)&gt;0,AVERAGEIFS($AA$5:$AA$1000,$U$5:$U$1000,ROW(),$V$5:$V$1000,"Sub"),$AA60)))</f>
        <v/>
      </c>
      <c r="AF60" s="62">
        <f>IF($V60="","",IF(AND(ISNUMBER($G60),$G60&lt;=IF($S60=MesCiclo,InicioCiclo,$S60+MOD(2-WEEKDAY($S60),7))+27),1,IF(N($W60)&gt;0,AVERAGEIFS($AB$5:$AB$1000,$U$5:$U$1000,ROW(),$V$5:$V$1000,"Sub"),$AB60)))</f>
        <v/>
      </c>
      <c r="AG60" s="62">
        <f>IF($V60&lt;&gt;"Macro","",IF(COUNTIFS($S$5:$S$1000,$S60,$V$5:$V$1000,"Macro",$H$5:$H$1000,"&gt;0")=0,1/COUNTIFS($S$5:$S$1000,$S60,$V$5:$V$1000,"Macro"),IF(AND(ISNUMBER($H60),N($H60)&gt;0),$H60,SUMIFS($H$5:$H$1000,$S$5:$S$1000,$S60,$V$5:$V$1000,"Macro")/COUNTIFS($S$5:$S$1000,$S60,$V$5:$V$1000,"Macro",$H$5:$H$1000,"&gt;0"))/(COUNTIFS($S$5:$S$1000,$S60,$V$5:$V$1000,"Macro")*SUMIFS($H$5:$H$1000,$S$5:$S$1000,$S60,$V$5:$V$1000,"Macro")/COUNTIFS($S$5:$S$1000,$S60,$V$5:$V$1000,"Macro",$H$5:$H$1000,"&gt;0"))))</f>
        <v/>
      </c>
      <c r="AH60" s="62" t="n"/>
      <c r="AI60" s="62" t="n"/>
      <c r="AJ60" s="62" t="n"/>
      <c r="AK60" s="62" t="n"/>
      <c r="AL60" s="62">
        <f>IF(LEFT($C60,11)="[Jefatura] ",IFERROR(MATCH("Riesgo Normativo|"&amp;MID($C60,12,500),rDname_ADM,0),0),"")</f>
        <v/>
      </c>
      <c r="AM60" s="62">
        <f>IF(N($AL60)&gt;0,INDEX(rIni_ADM,$AL60),IF(ISNUMBER($E60),$E60,""))</f>
        <v/>
      </c>
      <c r="AN60" s="62">
        <f>IF(N($AL60)&gt;0,INDEX(rLim_ADM,$AL60),IF(ISNUMBER($F60),$F60,""))</f>
        <v/>
      </c>
    </row>
    <row r="61">
      <c r="A61" s="56">
        <f>IF(NOT((COUNTA($B61:$D61)+COUNTA($G61:$L61)+COUNTA($Q61))&gt;0),"",IF($V61="Macro",COUNTIFS($V$5:$V61,"Macro",$S$5:$S61,$S61),IF(N($U61)=0,"?",COUNTIFS(INDEX($V$5:$V$1000,1):INDEX($V$5:$V$1000,$U61-4),"Macro",INDEX($S$5:$S$1000,1):INDEX($S$5:$S$1000,$U61-4),INDEX($S$5:$S$1000,$U61-4))&amp;"."&amp;COUNTIFS($U$5:$U61,$U61,$V$5:$V61,"Sub"))))</f>
        <v/>
      </c>
      <c r="B61" s="57" t="n"/>
      <c r="C61" s="58" t="n"/>
      <c r="D61" s="58" t="n"/>
      <c r="E61" s="59">
        <f>IF(N($AL61)&gt;0,INDEX(rIni_ADM,$AL61),"")</f>
        <v/>
      </c>
      <c r="F61" s="59">
        <f>IF(N($AL61)&gt;0,INDEX(rLim_ADM,$AL61),"")</f>
        <v/>
      </c>
      <c r="G61" s="59" t="n"/>
      <c r="H61" s="60" t="n"/>
      <c r="I61" s="60" t="n"/>
      <c r="J61" s="60" t="n"/>
      <c r="K61" s="60" t="n"/>
      <c r="L61" s="60" t="n"/>
      <c r="M61" s="61">
        <f>IF(NOT((COUNTA($B61:$D61)+COUNTA($G61:$L61)+COUNTA($Q61))&gt;0),"",IF(ISNUMBER($G61),1,IF(N($W61)&gt;0,AVERAGEIFS($X$5:$X$1000,$U$5:$U$1000,ROW(),$V$5:$V$1000,"Sub"),$X61)))</f>
        <v/>
      </c>
      <c r="N61" s="56">
        <f>IF($M61="","",IF($M61&gt;=1,"Completado",IF($M61&gt;0,"En curso","Pendiente")))</f>
        <v/>
      </c>
      <c r="O61" s="56">
        <f>IF(NOT((COUNTA($B61:$D61)+COUNTA($G61:$L61)+COUNTA($Q61))&gt;0),"",IF(ISNUMBER($G61),IF(AND(ISNUMBER($AN61),$G61&gt;$AN61),"Cumplida con "&amp;($G61-$AN61)&amp;IF($G61-$AN61=1," día"," días")&amp;" de retraso","Cumplida"),IF(N($M61)&gt;=1,"Cumplida",IF(NOT(ISNUMBER($AN61)),"Sin fecha límite",IF($AN61&lt;FechaRef,"Vencida hace "&amp;(FechaRef-$AN61)&amp;IF(FechaRef-$AN61=1," día"," días"),IF($AN61=FechaRef,"Vence hoy",IF($AN61-FechaRef&lt;=DiasAlerta,"Vence en "&amp;($AN61-FechaRef)&amp;IF($AN61-FechaRef=1," día"," días"),"En plazo")))))))</f>
        <v/>
      </c>
      <c r="P61" s="62" t="n"/>
      <c r="Q61" s="58" t="n"/>
      <c r="R61" s="63">
        <f>IF(NOT((COUNTA($B61:$D61)+COUNTA($G61:$L61)+COUNTA($Q61))&gt;0),"",IF((IF($C61="","Falta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",""))="","✔ OK","⚠ "&amp;LEFT(IF($C61="","Falta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",""),LEN(IF($C61="","Falta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",""))-3)))</f>
        <v/>
      </c>
      <c r="S61" s="64">
        <f>IF(NOT((COUNTA($B61:$D61)+COUNTA($G61:$L61)+COUNTA($Q61))&gt;0),"",IF(AND($V61="Sub",N($U61)&gt;0),IF(ISNUMBER(INDEX($AM$5:$AM$1000,$U61-4)),DATE(YEAR(INDEX($AM$5:$AM$1000,$U61-4)),MONTH(INDEX($AM$5:$AM$1000,$U61-4)),1),IF(ISNUMBER(INDEX($AN$5:$AN$1000,$U61-4)),DATE(YEAR(INDEX($AN$5:$AN$1000,$U61-4)),MONTH(INDEX($AN$5:$AN$1000,$U61-4)),1),MesCiclo)),IF(ISNUMBER($AM61),DATE(YEAR($AM61),MONTH($AM61),1),IF(ISNUMBER($AN61),DATE(YEAR($AN61),MONTH($AN61),1),MesCiclo))))</f>
        <v/>
      </c>
      <c r="T61" s="62">
        <f>IF(OR($S61="",$S61&lt;&gt;MesCiclo),"",COUNTIF($S$5:$S61,MesCiclo))</f>
        <v/>
      </c>
      <c r="U61" s="62">
        <f>IF($V61="","",IF($V61="Macro",ROW(),IFERROR(LOOKUP(2,1/($V$5:$V61="Macro"),ROW($V$5:$V61)),0)))</f>
        <v/>
      </c>
      <c r="V61" s="62">
        <f>IF(NOT((COUNTA($B61:$D61)+COUNTA($G61:$L61)+COUNTA($Q61))&gt;0),"",IF($B61="Subactividad","Sub","Macro"))</f>
        <v/>
      </c>
      <c r="W61" s="62">
        <f>IF($V61="Macro",COUNTIFS($U$5:$U$1000,ROW(),$V$5:$V$1000,"Sub"),"")</f>
        <v/>
      </c>
      <c r="X61" s="62">
        <f>IF($V61="","",IF(ISNUMBER($G61),1,IFERROR(LOOKUP(2,1/($I61:$L61&lt;&gt;""),$I61:$L61),0)))</f>
        <v/>
      </c>
      <c r="Y61" s="62">
        <f>IF($V61="","",IF(AND(ISNUMBER($G61),$G61&lt;=IF($S61=MesCiclo,InicioCiclo,$S61+MOD(2-WEEKDAY($S61),7))+6),1,IF(ISNUMBER($I61),$I61,0)))</f>
        <v/>
      </c>
      <c r="Z61" s="62">
        <f>IF($V61="","",IF(AND(ISNUMBER($G61),$G61&lt;=IF($S61=MesCiclo,InicioCiclo,$S61+MOD(2-WEEKDAY($S61),7))+13),1,IF(ISNUMBER($J61),$J61,$Y61)))</f>
        <v/>
      </c>
      <c r="AA61" s="62">
        <f>IF($V61="","",IF(AND(ISNUMBER($G61),$G61&lt;=IF($S61=MesCiclo,InicioCiclo,$S61+MOD(2-WEEKDAY($S61),7))+20),1,IF(ISNUMBER($K61),$K61,$Z61)))</f>
        <v/>
      </c>
      <c r="AB61" s="62">
        <f>IF($V61="","",IF(AND(ISNUMBER($G61),$G61&lt;=IF($S61=MesCiclo,InicioCiclo,$S61+MOD(2-WEEKDAY($S61),7))+27),1,IF(ISNUMBER($L61),$L61,$AA61)))</f>
        <v/>
      </c>
      <c r="AC61" s="62">
        <f>IF($V61="","",IF(AND(ISNUMBER($G61),$G61&lt;=IF($S61=MesCiclo,InicioCiclo,$S61+MOD(2-WEEKDAY($S61),7))+6),1,IF(N($W61)&gt;0,AVERAGEIFS($Y$5:$Y$1000,$U$5:$U$1000,ROW(),$V$5:$V$1000,"Sub"),$Y61)))</f>
        <v/>
      </c>
      <c r="AD61" s="62">
        <f>IF($V61="","",IF(AND(ISNUMBER($G61),$G61&lt;=IF($S61=MesCiclo,InicioCiclo,$S61+MOD(2-WEEKDAY($S61),7))+13),1,IF(N($W61)&gt;0,AVERAGEIFS($Z$5:$Z$1000,$U$5:$U$1000,ROW(),$V$5:$V$1000,"Sub"),$Z61)))</f>
        <v/>
      </c>
      <c r="AE61" s="62">
        <f>IF($V61="","",IF(AND(ISNUMBER($G61),$G61&lt;=IF($S61=MesCiclo,InicioCiclo,$S61+MOD(2-WEEKDAY($S61),7))+20),1,IF(N($W61)&gt;0,AVERAGEIFS($AA$5:$AA$1000,$U$5:$U$1000,ROW(),$V$5:$V$1000,"Sub"),$AA61)))</f>
        <v/>
      </c>
      <c r="AF61" s="62">
        <f>IF($V61="","",IF(AND(ISNUMBER($G61),$G61&lt;=IF($S61=MesCiclo,InicioCiclo,$S61+MOD(2-WEEKDAY($S61),7))+27),1,IF(N($W61)&gt;0,AVERAGEIFS($AB$5:$AB$1000,$U$5:$U$1000,ROW(),$V$5:$V$1000,"Sub"),$AB61)))</f>
        <v/>
      </c>
      <c r="AG61" s="62">
        <f>IF($V61&lt;&gt;"Macro","",IF(COUNTIFS($S$5:$S$1000,$S61,$V$5:$V$1000,"Macro",$H$5:$H$1000,"&gt;0")=0,1/COUNTIFS($S$5:$S$1000,$S61,$V$5:$V$1000,"Macro"),IF(AND(ISNUMBER($H61),N($H61)&gt;0),$H61,SUMIFS($H$5:$H$1000,$S$5:$S$1000,$S61,$V$5:$V$1000,"Macro")/COUNTIFS($S$5:$S$1000,$S61,$V$5:$V$1000,"Macro",$H$5:$H$1000,"&gt;0"))/(COUNTIFS($S$5:$S$1000,$S61,$V$5:$V$1000,"Macro")*SUMIFS($H$5:$H$1000,$S$5:$S$1000,$S61,$V$5:$V$1000,"Macro")/COUNTIFS($S$5:$S$1000,$S61,$V$5:$V$1000,"Macro",$H$5:$H$1000,"&gt;0"))))</f>
        <v/>
      </c>
      <c r="AH61" s="62" t="n"/>
      <c r="AI61" s="62" t="n"/>
      <c r="AJ61" s="62" t="n"/>
      <c r="AK61" s="62" t="n"/>
      <c r="AL61" s="62">
        <f>IF(LEFT($C61,11)="[Jefatura] ",IFERROR(MATCH("Riesgo Normativo|"&amp;MID($C61,12,500),rDname_ADM,0),0),"")</f>
        <v/>
      </c>
      <c r="AM61" s="62">
        <f>IF(N($AL61)&gt;0,INDEX(rIni_ADM,$AL61),IF(ISNUMBER($E61),$E61,""))</f>
        <v/>
      </c>
      <c r="AN61" s="62">
        <f>IF(N($AL61)&gt;0,INDEX(rLim_ADM,$AL61),IF(ISNUMBER($F61),$F61,""))</f>
        <v/>
      </c>
    </row>
    <row r="62">
      <c r="A62" s="56">
        <f>IF(NOT((COUNTA($B62:$D62)+COUNTA($G62:$L62)+COUNTA($Q62))&gt;0),"",IF($V62="Macro",COUNTIFS($V$5:$V62,"Macro",$S$5:$S62,$S62),IF(N($U62)=0,"?",COUNTIFS(INDEX($V$5:$V$1000,1):INDEX($V$5:$V$1000,$U62-4),"Macro",INDEX($S$5:$S$1000,1):INDEX($S$5:$S$1000,$U62-4),INDEX($S$5:$S$1000,$U62-4))&amp;"."&amp;COUNTIFS($U$5:$U62,$U62,$V$5:$V62,"Sub"))))</f>
        <v/>
      </c>
      <c r="B62" s="57" t="n"/>
      <c r="C62" s="58" t="n"/>
      <c r="D62" s="58" t="n"/>
      <c r="E62" s="59">
        <f>IF(N($AL62)&gt;0,INDEX(rIni_ADM,$AL62),"")</f>
        <v/>
      </c>
      <c r="F62" s="59">
        <f>IF(N($AL62)&gt;0,INDEX(rLim_ADM,$AL62),"")</f>
        <v/>
      </c>
      <c r="G62" s="59" t="n"/>
      <c r="H62" s="60" t="n"/>
      <c r="I62" s="60" t="n"/>
      <c r="J62" s="60" t="n"/>
      <c r="K62" s="60" t="n"/>
      <c r="L62" s="60" t="n"/>
      <c r="M62" s="61">
        <f>IF(NOT((COUNTA($B62:$D62)+COUNTA($G62:$L62)+COUNTA($Q62))&gt;0),"",IF(ISNUMBER($G62),1,IF(N($W62)&gt;0,AVERAGEIFS($X$5:$X$1000,$U$5:$U$1000,ROW(),$V$5:$V$1000,"Sub"),$X62)))</f>
        <v/>
      </c>
      <c r="N62" s="56">
        <f>IF($M62="","",IF($M62&gt;=1,"Completado",IF($M62&gt;0,"En curso","Pendiente")))</f>
        <v/>
      </c>
      <c r="O62" s="56">
        <f>IF(NOT((COUNTA($B62:$D62)+COUNTA($G62:$L62)+COUNTA($Q62))&gt;0),"",IF(ISNUMBER($G62),IF(AND(ISNUMBER($AN62),$G62&gt;$AN62),"Cumplida con "&amp;($G62-$AN62)&amp;IF($G62-$AN62=1," día"," días")&amp;" de retraso","Cumplida"),IF(N($M62)&gt;=1,"Cumplida",IF(NOT(ISNUMBER($AN62)),"Sin fecha límite",IF($AN62&lt;FechaRef,"Vencida hace "&amp;(FechaRef-$AN62)&amp;IF(FechaRef-$AN62=1," día"," días"),IF($AN62=FechaRef,"Vence hoy",IF($AN62-FechaRef&lt;=DiasAlerta,"Vence en "&amp;($AN62-FechaRef)&amp;IF($AN62-FechaRef=1," día"," días"),"En plazo")))))))</f>
        <v/>
      </c>
      <c r="P62" s="62" t="n"/>
      <c r="Q62" s="58" t="n"/>
      <c r="R62" s="63">
        <f>IF(NOT((COUNTA($B62:$D62)+COUNTA($G62:$L62)+COUNTA($Q62))&gt;0),"",IF((IF($C62="","Falta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",""))="","✔ OK","⚠ "&amp;LEFT(IF($C62="","Falta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",""),LEN(IF($C62="","Falta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",""))-3)))</f>
        <v/>
      </c>
      <c r="S62" s="64">
        <f>IF(NOT((COUNTA($B62:$D62)+COUNTA($G62:$L62)+COUNTA($Q62))&gt;0),"",IF(AND($V62="Sub",N($U62)&gt;0),IF(ISNUMBER(INDEX($AM$5:$AM$1000,$U62-4)),DATE(YEAR(INDEX($AM$5:$AM$1000,$U62-4)),MONTH(INDEX($AM$5:$AM$1000,$U62-4)),1),IF(ISNUMBER(INDEX($AN$5:$AN$1000,$U62-4)),DATE(YEAR(INDEX($AN$5:$AN$1000,$U62-4)),MONTH(INDEX($AN$5:$AN$1000,$U62-4)),1),MesCiclo)),IF(ISNUMBER($AM62),DATE(YEAR($AM62),MONTH($AM62),1),IF(ISNUMBER($AN62),DATE(YEAR($AN62),MONTH($AN62),1),MesCiclo))))</f>
        <v/>
      </c>
      <c r="T62" s="62">
        <f>IF(OR($S62="",$S62&lt;&gt;MesCiclo),"",COUNTIF($S$5:$S62,MesCiclo))</f>
        <v/>
      </c>
      <c r="U62" s="62">
        <f>IF($V62="","",IF($V62="Macro",ROW(),IFERROR(LOOKUP(2,1/($V$5:$V62="Macro"),ROW($V$5:$V62)),0)))</f>
        <v/>
      </c>
      <c r="V62" s="62">
        <f>IF(NOT((COUNTA($B62:$D62)+COUNTA($G62:$L62)+COUNTA($Q62))&gt;0),"",IF($B62="Subactividad","Sub","Macro"))</f>
        <v/>
      </c>
      <c r="W62" s="62">
        <f>IF($V62="Macro",COUNTIFS($U$5:$U$1000,ROW(),$V$5:$V$1000,"Sub"),"")</f>
        <v/>
      </c>
      <c r="X62" s="62">
        <f>IF($V62="","",IF(ISNUMBER($G62),1,IFERROR(LOOKUP(2,1/($I62:$L62&lt;&gt;""),$I62:$L62),0)))</f>
        <v/>
      </c>
      <c r="Y62" s="62">
        <f>IF($V62="","",IF(AND(ISNUMBER($G62),$G62&lt;=IF($S62=MesCiclo,InicioCiclo,$S62+MOD(2-WEEKDAY($S62),7))+6),1,IF(ISNUMBER($I62),$I62,0)))</f>
        <v/>
      </c>
      <c r="Z62" s="62">
        <f>IF($V62="","",IF(AND(ISNUMBER($G62),$G62&lt;=IF($S62=MesCiclo,InicioCiclo,$S62+MOD(2-WEEKDAY($S62),7))+13),1,IF(ISNUMBER($J62),$J62,$Y62)))</f>
        <v/>
      </c>
      <c r="AA62" s="62">
        <f>IF($V62="","",IF(AND(ISNUMBER($G62),$G62&lt;=IF($S62=MesCiclo,InicioCiclo,$S62+MOD(2-WEEKDAY($S62),7))+20),1,IF(ISNUMBER($K62),$K62,$Z62)))</f>
        <v/>
      </c>
      <c r="AB62" s="62">
        <f>IF($V62="","",IF(AND(ISNUMBER($G62),$G62&lt;=IF($S62=MesCiclo,InicioCiclo,$S62+MOD(2-WEEKDAY($S62),7))+27),1,IF(ISNUMBER($L62),$L62,$AA62)))</f>
        <v/>
      </c>
      <c r="AC62" s="62">
        <f>IF($V62="","",IF(AND(ISNUMBER($G62),$G62&lt;=IF($S62=MesCiclo,InicioCiclo,$S62+MOD(2-WEEKDAY($S62),7))+6),1,IF(N($W62)&gt;0,AVERAGEIFS($Y$5:$Y$1000,$U$5:$U$1000,ROW(),$V$5:$V$1000,"Sub"),$Y62)))</f>
        <v/>
      </c>
      <c r="AD62" s="62">
        <f>IF($V62="","",IF(AND(ISNUMBER($G62),$G62&lt;=IF($S62=MesCiclo,InicioCiclo,$S62+MOD(2-WEEKDAY($S62),7))+13),1,IF(N($W62)&gt;0,AVERAGEIFS($Z$5:$Z$1000,$U$5:$U$1000,ROW(),$V$5:$V$1000,"Sub"),$Z62)))</f>
        <v/>
      </c>
      <c r="AE62" s="62">
        <f>IF($V62="","",IF(AND(ISNUMBER($G62),$G62&lt;=IF($S62=MesCiclo,InicioCiclo,$S62+MOD(2-WEEKDAY($S62),7))+20),1,IF(N($W62)&gt;0,AVERAGEIFS($AA$5:$AA$1000,$U$5:$U$1000,ROW(),$V$5:$V$1000,"Sub"),$AA62)))</f>
        <v/>
      </c>
      <c r="AF62" s="62">
        <f>IF($V62="","",IF(AND(ISNUMBER($G62),$G62&lt;=IF($S62=MesCiclo,InicioCiclo,$S62+MOD(2-WEEKDAY($S62),7))+27),1,IF(N($W62)&gt;0,AVERAGEIFS($AB$5:$AB$1000,$U$5:$U$1000,ROW(),$V$5:$V$1000,"Sub"),$AB62)))</f>
        <v/>
      </c>
      <c r="AG62" s="62">
        <f>IF($V62&lt;&gt;"Macro","",IF(COUNTIFS($S$5:$S$1000,$S62,$V$5:$V$1000,"Macro",$H$5:$H$1000,"&gt;0")=0,1/COUNTIFS($S$5:$S$1000,$S62,$V$5:$V$1000,"Macro"),IF(AND(ISNUMBER($H62),N($H62)&gt;0),$H62,SUMIFS($H$5:$H$1000,$S$5:$S$1000,$S62,$V$5:$V$1000,"Macro")/COUNTIFS($S$5:$S$1000,$S62,$V$5:$V$1000,"Macro",$H$5:$H$1000,"&gt;0"))/(COUNTIFS($S$5:$S$1000,$S62,$V$5:$V$1000,"Macro")*SUMIFS($H$5:$H$1000,$S$5:$S$1000,$S62,$V$5:$V$1000,"Macro")/COUNTIFS($S$5:$S$1000,$S62,$V$5:$V$1000,"Macro",$H$5:$H$1000,"&gt;0"))))</f>
        <v/>
      </c>
      <c r="AH62" s="62" t="n"/>
      <c r="AI62" s="62" t="n"/>
      <c r="AJ62" s="62" t="n"/>
      <c r="AK62" s="62" t="n"/>
      <c r="AL62" s="62">
        <f>IF(LEFT($C62,11)="[Jefatura] ",IFERROR(MATCH("Riesgo Normativo|"&amp;MID($C62,12,500),rDname_ADM,0),0),"")</f>
        <v/>
      </c>
      <c r="AM62" s="62">
        <f>IF(N($AL62)&gt;0,INDEX(rIni_ADM,$AL62),IF(ISNUMBER($E62),$E62,""))</f>
        <v/>
      </c>
      <c r="AN62" s="62">
        <f>IF(N($AL62)&gt;0,INDEX(rLim_ADM,$AL62),IF(ISNUMBER($F62),$F62,""))</f>
        <v/>
      </c>
    </row>
    <row r="63">
      <c r="A63" s="56">
        <f>IF(NOT((COUNTA($B63:$D63)+COUNTA($G63:$L63)+COUNTA($Q63))&gt;0),"",IF($V63="Macro",COUNTIFS($V$5:$V63,"Macro",$S$5:$S63,$S63),IF(N($U63)=0,"?",COUNTIFS(INDEX($V$5:$V$1000,1):INDEX($V$5:$V$1000,$U63-4),"Macro",INDEX($S$5:$S$1000,1):INDEX($S$5:$S$1000,$U63-4),INDEX($S$5:$S$1000,$U63-4))&amp;"."&amp;COUNTIFS($U$5:$U63,$U63,$V$5:$V63,"Sub"))))</f>
        <v/>
      </c>
      <c r="B63" s="57" t="n"/>
      <c r="C63" s="58" t="n"/>
      <c r="D63" s="58" t="n"/>
      <c r="E63" s="59">
        <f>IF(N($AL63)&gt;0,INDEX(rIni_ADM,$AL63),"")</f>
        <v/>
      </c>
      <c r="F63" s="59">
        <f>IF(N($AL63)&gt;0,INDEX(rLim_ADM,$AL63),"")</f>
        <v/>
      </c>
      <c r="G63" s="59" t="n"/>
      <c r="H63" s="60" t="n"/>
      <c r="I63" s="60" t="n"/>
      <c r="J63" s="60" t="n"/>
      <c r="K63" s="60" t="n"/>
      <c r="L63" s="60" t="n"/>
      <c r="M63" s="61">
        <f>IF(NOT((COUNTA($B63:$D63)+COUNTA($G63:$L63)+COUNTA($Q63))&gt;0),"",IF(ISNUMBER($G63),1,IF(N($W63)&gt;0,AVERAGEIFS($X$5:$X$1000,$U$5:$U$1000,ROW(),$V$5:$V$1000,"Sub"),$X63)))</f>
        <v/>
      </c>
      <c r="N63" s="56">
        <f>IF($M63="","",IF($M63&gt;=1,"Completado",IF($M63&gt;0,"En curso","Pendiente")))</f>
        <v/>
      </c>
      <c r="O63" s="56">
        <f>IF(NOT((COUNTA($B63:$D63)+COUNTA($G63:$L63)+COUNTA($Q63))&gt;0),"",IF(ISNUMBER($G63),IF(AND(ISNUMBER($AN63),$G63&gt;$AN63),"Cumplida con "&amp;($G63-$AN63)&amp;IF($G63-$AN63=1," día"," días")&amp;" de retraso","Cumplida"),IF(N($M63)&gt;=1,"Cumplida",IF(NOT(ISNUMBER($AN63)),"Sin fecha límite",IF($AN63&lt;FechaRef,"Vencida hace "&amp;(FechaRef-$AN63)&amp;IF(FechaRef-$AN63=1," día"," días"),IF($AN63=FechaRef,"Vence hoy",IF($AN63-FechaRef&lt;=DiasAlerta,"Vence en "&amp;($AN63-FechaRef)&amp;IF($AN63-FechaRef=1," día"," días"),"En plazo")))))))</f>
        <v/>
      </c>
      <c r="P63" s="62" t="n"/>
      <c r="Q63" s="58" t="n"/>
      <c r="R63" s="63">
        <f>IF(NOT((COUNTA($B63:$D63)+COUNTA($G63:$L63)+COUNTA($Q63))&gt;0),"",IF((IF($C63="","Falta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",""))="","✔ OK","⚠ "&amp;LEFT(IF($C63="","Falta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",""),LEN(IF($C63="","Falta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",""))-3)))</f>
        <v/>
      </c>
      <c r="S63" s="64">
        <f>IF(NOT((COUNTA($B63:$D63)+COUNTA($G63:$L63)+COUNTA($Q63))&gt;0),"",IF(AND($V63="Sub",N($U63)&gt;0),IF(ISNUMBER(INDEX($AM$5:$AM$1000,$U63-4)),DATE(YEAR(INDEX($AM$5:$AM$1000,$U63-4)),MONTH(INDEX($AM$5:$AM$1000,$U63-4)),1),IF(ISNUMBER(INDEX($AN$5:$AN$1000,$U63-4)),DATE(YEAR(INDEX($AN$5:$AN$1000,$U63-4)),MONTH(INDEX($AN$5:$AN$1000,$U63-4)),1),MesCiclo)),IF(ISNUMBER($AM63),DATE(YEAR($AM63),MONTH($AM63),1),IF(ISNUMBER($AN63),DATE(YEAR($AN63),MONTH($AN63),1),MesCiclo))))</f>
        <v/>
      </c>
      <c r="T63" s="62">
        <f>IF(OR($S63="",$S63&lt;&gt;MesCiclo),"",COUNTIF($S$5:$S63,MesCiclo))</f>
        <v/>
      </c>
      <c r="U63" s="62">
        <f>IF($V63="","",IF($V63="Macro",ROW(),IFERROR(LOOKUP(2,1/($V$5:$V63="Macro"),ROW($V$5:$V63)),0)))</f>
        <v/>
      </c>
      <c r="V63" s="62">
        <f>IF(NOT((COUNTA($B63:$D63)+COUNTA($G63:$L63)+COUNTA($Q63))&gt;0),"",IF($B63="Subactividad","Sub","Macro"))</f>
        <v/>
      </c>
      <c r="W63" s="62">
        <f>IF($V63="Macro",COUNTIFS($U$5:$U$1000,ROW(),$V$5:$V$1000,"Sub"),"")</f>
        <v/>
      </c>
      <c r="X63" s="62">
        <f>IF($V63="","",IF(ISNUMBER($G63),1,IFERROR(LOOKUP(2,1/($I63:$L63&lt;&gt;""),$I63:$L63),0)))</f>
        <v/>
      </c>
      <c r="Y63" s="62">
        <f>IF($V63="","",IF(AND(ISNUMBER($G63),$G63&lt;=IF($S63=MesCiclo,InicioCiclo,$S63+MOD(2-WEEKDAY($S63),7))+6),1,IF(ISNUMBER($I63),$I63,0)))</f>
        <v/>
      </c>
      <c r="Z63" s="62">
        <f>IF($V63="","",IF(AND(ISNUMBER($G63),$G63&lt;=IF($S63=MesCiclo,InicioCiclo,$S63+MOD(2-WEEKDAY($S63),7))+13),1,IF(ISNUMBER($J63),$J63,$Y63)))</f>
        <v/>
      </c>
      <c r="AA63" s="62">
        <f>IF($V63="","",IF(AND(ISNUMBER($G63),$G63&lt;=IF($S63=MesCiclo,InicioCiclo,$S63+MOD(2-WEEKDAY($S63),7))+20),1,IF(ISNUMBER($K63),$K63,$Z63)))</f>
        <v/>
      </c>
      <c r="AB63" s="62">
        <f>IF($V63="","",IF(AND(ISNUMBER($G63),$G63&lt;=IF($S63=MesCiclo,InicioCiclo,$S63+MOD(2-WEEKDAY($S63),7))+27),1,IF(ISNUMBER($L63),$L63,$AA63)))</f>
        <v/>
      </c>
      <c r="AC63" s="62">
        <f>IF($V63="","",IF(AND(ISNUMBER($G63),$G63&lt;=IF($S63=MesCiclo,InicioCiclo,$S63+MOD(2-WEEKDAY($S63),7))+6),1,IF(N($W63)&gt;0,AVERAGEIFS($Y$5:$Y$1000,$U$5:$U$1000,ROW(),$V$5:$V$1000,"Sub"),$Y63)))</f>
        <v/>
      </c>
      <c r="AD63" s="62">
        <f>IF($V63="","",IF(AND(ISNUMBER($G63),$G63&lt;=IF($S63=MesCiclo,InicioCiclo,$S63+MOD(2-WEEKDAY($S63),7))+13),1,IF(N($W63)&gt;0,AVERAGEIFS($Z$5:$Z$1000,$U$5:$U$1000,ROW(),$V$5:$V$1000,"Sub"),$Z63)))</f>
        <v/>
      </c>
      <c r="AE63" s="62">
        <f>IF($V63="","",IF(AND(ISNUMBER($G63),$G63&lt;=IF($S63=MesCiclo,InicioCiclo,$S63+MOD(2-WEEKDAY($S63),7))+20),1,IF(N($W63)&gt;0,AVERAGEIFS($AA$5:$AA$1000,$U$5:$U$1000,ROW(),$V$5:$V$1000,"Sub"),$AA63)))</f>
        <v/>
      </c>
      <c r="AF63" s="62">
        <f>IF($V63="","",IF(AND(ISNUMBER($G63),$G63&lt;=IF($S63=MesCiclo,InicioCiclo,$S63+MOD(2-WEEKDAY($S63),7))+27),1,IF(N($W63)&gt;0,AVERAGEIFS($AB$5:$AB$1000,$U$5:$U$1000,ROW(),$V$5:$V$1000,"Sub"),$AB63)))</f>
        <v/>
      </c>
      <c r="AG63" s="62">
        <f>IF($V63&lt;&gt;"Macro","",IF(COUNTIFS($S$5:$S$1000,$S63,$V$5:$V$1000,"Macro",$H$5:$H$1000,"&gt;0")=0,1/COUNTIFS($S$5:$S$1000,$S63,$V$5:$V$1000,"Macro"),IF(AND(ISNUMBER($H63),N($H63)&gt;0),$H63,SUMIFS($H$5:$H$1000,$S$5:$S$1000,$S63,$V$5:$V$1000,"Macro")/COUNTIFS($S$5:$S$1000,$S63,$V$5:$V$1000,"Macro",$H$5:$H$1000,"&gt;0"))/(COUNTIFS($S$5:$S$1000,$S63,$V$5:$V$1000,"Macro")*SUMIFS($H$5:$H$1000,$S$5:$S$1000,$S63,$V$5:$V$1000,"Macro")/COUNTIFS($S$5:$S$1000,$S63,$V$5:$V$1000,"Macro",$H$5:$H$1000,"&gt;0"))))</f>
        <v/>
      </c>
      <c r="AH63" s="62" t="n"/>
      <c r="AI63" s="62" t="n"/>
      <c r="AJ63" s="62" t="n"/>
      <c r="AK63" s="62" t="n"/>
      <c r="AL63" s="62">
        <f>IF(LEFT($C63,11)="[Jefatura] ",IFERROR(MATCH("Riesgo Normativo|"&amp;MID($C63,12,500),rDname_ADM,0),0),"")</f>
        <v/>
      </c>
      <c r="AM63" s="62">
        <f>IF(N($AL63)&gt;0,INDEX(rIni_ADM,$AL63),IF(ISNUMBER($E63),$E63,""))</f>
        <v/>
      </c>
      <c r="AN63" s="62">
        <f>IF(N($AL63)&gt;0,INDEX(rLim_ADM,$AL63),IF(ISNUMBER($F63),$F63,""))</f>
        <v/>
      </c>
    </row>
    <row r="64">
      <c r="A64" s="56">
        <f>IF(NOT((COUNTA($B64:$D64)+COUNTA($G64:$L64)+COUNTA($Q64))&gt;0),"",IF($V64="Macro",COUNTIFS($V$5:$V64,"Macro",$S$5:$S64,$S64),IF(N($U64)=0,"?",COUNTIFS(INDEX($V$5:$V$1000,1):INDEX($V$5:$V$1000,$U64-4),"Macro",INDEX($S$5:$S$1000,1):INDEX($S$5:$S$1000,$U64-4),INDEX($S$5:$S$1000,$U64-4))&amp;"."&amp;COUNTIFS($U$5:$U64,$U64,$V$5:$V64,"Sub"))))</f>
        <v/>
      </c>
      <c r="B64" s="57" t="n"/>
      <c r="C64" s="58" t="n"/>
      <c r="D64" s="58" t="n"/>
      <c r="E64" s="59">
        <f>IF(N($AL64)&gt;0,INDEX(rIni_ADM,$AL64),"")</f>
        <v/>
      </c>
      <c r="F64" s="59">
        <f>IF(N($AL64)&gt;0,INDEX(rLim_ADM,$AL64),"")</f>
        <v/>
      </c>
      <c r="G64" s="59" t="n"/>
      <c r="H64" s="60" t="n"/>
      <c r="I64" s="60" t="n"/>
      <c r="J64" s="60" t="n"/>
      <c r="K64" s="60" t="n"/>
      <c r="L64" s="60" t="n"/>
      <c r="M64" s="61">
        <f>IF(NOT((COUNTA($B64:$D64)+COUNTA($G64:$L64)+COUNTA($Q64))&gt;0),"",IF(ISNUMBER($G64),1,IF(N($W64)&gt;0,AVERAGEIFS($X$5:$X$1000,$U$5:$U$1000,ROW(),$V$5:$V$1000,"Sub"),$X64)))</f>
        <v/>
      </c>
      <c r="N64" s="56">
        <f>IF($M64="","",IF($M64&gt;=1,"Completado",IF($M64&gt;0,"En curso","Pendiente")))</f>
        <v/>
      </c>
      <c r="O64" s="56">
        <f>IF(NOT((COUNTA($B64:$D64)+COUNTA($G64:$L64)+COUNTA($Q64))&gt;0),"",IF(ISNUMBER($G64),IF(AND(ISNUMBER($AN64),$G64&gt;$AN64),"Cumplida con "&amp;($G64-$AN64)&amp;IF($G64-$AN64=1," día"," días")&amp;" de retraso","Cumplida"),IF(N($M64)&gt;=1,"Cumplida",IF(NOT(ISNUMBER($AN64)),"Sin fecha límite",IF($AN64&lt;FechaRef,"Vencida hace "&amp;(FechaRef-$AN64)&amp;IF(FechaRef-$AN64=1," día"," días"),IF($AN64=FechaRef,"Vence hoy",IF($AN64-FechaRef&lt;=DiasAlerta,"Vence en "&amp;($AN64-FechaRef)&amp;IF($AN64-FechaRef=1," día"," días"),"En plazo")))))))</f>
        <v/>
      </c>
      <c r="P64" s="62" t="n"/>
      <c r="Q64" s="58" t="n"/>
      <c r="R64" s="63">
        <f>IF(NOT((COUNTA($B64:$D64)+COUNTA($G64:$L64)+COUNTA($Q64))&gt;0),"",IF((IF($C64="","Falta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",""))="","✔ OK","⚠ "&amp;LEFT(IF($C64="","Falta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",""),LEN(IF($C64="","Falta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",""))-3)))</f>
        <v/>
      </c>
      <c r="S64" s="64">
        <f>IF(NOT((COUNTA($B64:$D64)+COUNTA($G64:$L64)+COUNTA($Q64))&gt;0),"",IF(AND($V64="Sub",N($U64)&gt;0),IF(ISNUMBER(INDEX($AM$5:$AM$1000,$U64-4)),DATE(YEAR(INDEX($AM$5:$AM$1000,$U64-4)),MONTH(INDEX($AM$5:$AM$1000,$U64-4)),1),IF(ISNUMBER(INDEX($AN$5:$AN$1000,$U64-4)),DATE(YEAR(INDEX($AN$5:$AN$1000,$U64-4)),MONTH(INDEX($AN$5:$AN$1000,$U64-4)),1),MesCiclo)),IF(ISNUMBER($AM64),DATE(YEAR($AM64),MONTH($AM64),1),IF(ISNUMBER($AN64),DATE(YEAR($AN64),MONTH($AN64),1),MesCiclo))))</f>
        <v/>
      </c>
      <c r="T64" s="62">
        <f>IF(OR($S64="",$S64&lt;&gt;MesCiclo),"",COUNTIF($S$5:$S64,MesCiclo))</f>
        <v/>
      </c>
      <c r="U64" s="62">
        <f>IF($V64="","",IF($V64="Macro",ROW(),IFERROR(LOOKUP(2,1/($V$5:$V64="Macro"),ROW($V$5:$V64)),0)))</f>
        <v/>
      </c>
      <c r="V64" s="62">
        <f>IF(NOT((COUNTA($B64:$D64)+COUNTA($G64:$L64)+COUNTA($Q64))&gt;0),"",IF($B64="Subactividad","Sub","Macro"))</f>
        <v/>
      </c>
      <c r="W64" s="62">
        <f>IF($V64="Macro",COUNTIFS($U$5:$U$1000,ROW(),$V$5:$V$1000,"Sub"),"")</f>
        <v/>
      </c>
      <c r="X64" s="62">
        <f>IF($V64="","",IF(ISNUMBER($G64),1,IFERROR(LOOKUP(2,1/($I64:$L64&lt;&gt;""),$I64:$L64),0)))</f>
        <v/>
      </c>
      <c r="Y64" s="62">
        <f>IF($V64="","",IF(AND(ISNUMBER($G64),$G64&lt;=IF($S64=MesCiclo,InicioCiclo,$S64+MOD(2-WEEKDAY($S64),7))+6),1,IF(ISNUMBER($I64),$I64,0)))</f>
        <v/>
      </c>
      <c r="Z64" s="62">
        <f>IF($V64="","",IF(AND(ISNUMBER($G64),$G64&lt;=IF($S64=MesCiclo,InicioCiclo,$S64+MOD(2-WEEKDAY($S64),7))+13),1,IF(ISNUMBER($J64),$J64,$Y64)))</f>
        <v/>
      </c>
      <c r="AA64" s="62">
        <f>IF($V64="","",IF(AND(ISNUMBER($G64),$G64&lt;=IF($S64=MesCiclo,InicioCiclo,$S64+MOD(2-WEEKDAY($S64),7))+20),1,IF(ISNUMBER($K64),$K64,$Z64)))</f>
        <v/>
      </c>
      <c r="AB64" s="62">
        <f>IF($V64="","",IF(AND(ISNUMBER($G64),$G64&lt;=IF($S64=MesCiclo,InicioCiclo,$S64+MOD(2-WEEKDAY($S64),7))+27),1,IF(ISNUMBER($L64),$L64,$AA64)))</f>
        <v/>
      </c>
      <c r="AC64" s="62">
        <f>IF($V64="","",IF(AND(ISNUMBER($G64),$G64&lt;=IF($S64=MesCiclo,InicioCiclo,$S64+MOD(2-WEEKDAY($S64),7))+6),1,IF(N($W64)&gt;0,AVERAGEIFS($Y$5:$Y$1000,$U$5:$U$1000,ROW(),$V$5:$V$1000,"Sub"),$Y64)))</f>
        <v/>
      </c>
      <c r="AD64" s="62">
        <f>IF($V64="","",IF(AND(ISNUMBER($G64),$G64&lt;=IF($S64=MesCiclo,InicioCiclo,$S64+MOD(2-WEEKDAY($S64),7))+13),1,IF(N($W64)&gt;0,AVERAGEIFS($Z$5:$Z$1000,$U$5:$U$1000,ROW(),$V$5:$V$1000,"Sub"),$Z64)))</f>
        <v/>
      </c>
      <c r="AE64" s="62">
        <f>IF($V64="","",IF(AND(ISNUMBER($G64),$G64&lt;=IF($S64=MesCiclo,InicioCiclo,$S64+MOD(2-WEEKDAY($S64),7))+20),1,IF(N($W64)&gt;0,AVERAGEIFS($AA$5:$AA$1000,$U$5:$U$1000,ROW(),$V$5:$V$1000,"Sub"),$AA64)))</f>
        <v/>
      </c>
      <c r="AF64" s="62">
        <f>IF($V64="","",IF(AND(ISNUMBER($G64),$G64&lt;=IF($S64=MesCiclo,InicioCiclo,$S64+MOD(2-WEEKDAY($S64),7))+27),1,IF(N($W64)&gt;0,AVERAGEIFS($AB$5:$AB$1000,$U$5:$U$1000,ROW(),$V$5:$V$1000,"Sub"),$AB64)))</f>
        <v/>
      </c>
      <c r="AG64" s="62">
        <f>IF($V64&lt;&gt;"Macro","",IF(COUNTIFS($S$5:$S$1000,$S64,$V$5:$V$1000,"Macro",$H$5:$H$1000,"&gt;0")=0,1/COUNTIFS($S$5:$S$1000,$S64,$V$5:$V$1000,"Macro"),IF(AND(ISNUMBER($H64),N($H64)&gt;0),$H64,SUMIFS($H$5:$H$1000,$S$5:$S$1000,$S64,$V$5:$V$1000,"Macro")/COUNTIFS($S$5:$S$1000,$S64,$V$5:$V$1000,"Macro",$H$5:$H$1000,"&gt;0"))/(COUNTIFS($S$5:$S$1000,$S64,$V$5:$V$1000,"Macro")*SUMIFS($H$5:$H$1000,$S$5:$S$1000,$S64,$V$5:$V$1000,"Macro")/COUNTIFS($S$5:$S$1000,$S64,$V$5:$V$1000,"Macro",$H$5:$H$1000,"&gt;0"))))</f>
        <v/>
      </c>
      <c r="AH64" s="62" t="n"/>
      <c r="AI64" s="62" t="n"/>
      <c r="AJ64" s="62" t="n"/>
      <c r="AK64" s="62" t="n"/>
      <c r="AL64" s="62">
        <f>IF(LEFT($C64,11)="[Jefatura] ",IFERROR(MATCH("Riesgo Normativo|"&amp;MID($C64,12,500),rDname_ADM,0),0),"")</f>
        <v/>
      </c>
      <c r="AM64" s="62">
        <f>IF(N($AL64)&gt;0,INDEX(rIni_ADM,$AL64),IF(ISNUMBER($E64),$E64,""))</f>
        <v/>
      </c>
      <c r="AN64" s="62">
        <f>IF(N($AL64)&gt;0,INDEX(rLim_ADM,$AL64),IF(ISNUMBER($F64),$F64,""))</f>
        <v/>
      </c>
    </row>
    <row r="65">
      <c r="A65" s="56">
        <f>IF(NOT((COUNTA($B65:$D65)+COUNTA($G65:$L65)+COUNTA($Q65))&gt;0),"",IF($V65="Macro",COUNTIFS($V$5:$V65,"Macro",$S$5:$S65,$S65),IF(N($U65)=0,"?",COUNTIFS(INDEX($V$5:$V$1000,1):INDEX($V$5:$V$1000,$U65-4),"Macro",INDEX($S$5:$S$1000,1):INDEX($S$5:$S$1000,$U65-4),INDEX($S$5:$S$1000,$U65-4))&amp;"."&amp;COUNTIFS($U$5:$U65,$U65,$V$5:$V65,"Sub"))))</f>
        <v/>
      </c>
      <c r="B65" s="57" t="n"/>
      <c r="C65" s="58" t="n"/>
      <c r="D65" s="58" t="n"/>
      <c r="E65" s="59">
        <f>IF(N($AL65)&gt;0,INDEX(rIni_ADM,$AL65),"")</f>
        <v/>
      </c>
      <c r="F65" s="59">
        <f>IF(N($AL65)&gt;0,INDEX(rLim_ADM,$AL65),"")</f>
        <v/>
      </c>
      <c r="G65" s="59" t="n"/>
      <c r="H65" s="60" t="n"/>
      <c r="I65" s="60" t="n"/>
      <c r="J65" s="60" t="n"/>
      <c r="K65" s="60" t="n"/>
      <c r="L65" s="60" t="n"/>
      <c r="M65" s="61">
        <f>IF(NOT((COUNTA($B65:$D65)+COUNTA($G65:$L65)+COUNTA($Q65))&gt;0),"",IF(ISNUMBER($G65),1,IF(N($W65)&gt;0,AVERAGEIFS($X$5:$X$1000,$U$5:$U$1000,ROW(),$V$5:$V$1000,"Sub"),$X65)))</f>
        <v/>
      </c>
      <c r="N65" s="56">
        <f>IF($M65="","",IF($M65&gt;=1,"Completado",IF($M65&gt;0,"En curso","Pendiente")))</f>
        <v/>
      </c>
      <c r="O65" s="56">
        <f>IF(NOT((COUNTA($B65:$D65)+COUNTA($G65:$L65)+COUNTA($Q65))&gt;0),"",IF(ISNUMBER($G65),IF(AND(ISNUMBER($AN65),$G65&gt;$AN65),"Cumplida con "&amp;($G65-$AN65)&amp;IF($G65-$AN65=1," día"," días")&amp;" de retraso","Cumplida"),IF(N($M65)&gt;=1,"Cumplida",IF(NOT(ISNUMBER($AN65)),"Sin fecha límite",IF($AN65&lt;FechaRef,"Vencida hace "&amp;(FechaRef-$AN65)&amp;IF(FechaRef-$AN65=1," día"," días"),IF($AN65=FechaRef,"Vence hoy",IF($AN65-FechaRef&lt;=DiasAlerta,"Vence en "&amp;($AN65-FechaRef)&amp;IF($AN65-FechaRef=1," día"," días"),"En plazo")))))))</f>
        <v/>
      </c>
      <c r="P65" s="62" t="n"/>
      <c r="Q65" s="58" t="n"/>
      <c r="R65" s="63">
        <f>IF(NOT((COUNTA($B65:$D65)+COUNTA($G65:$L65)+COUNTA($Q65))&gt;0),"",IF((IF($C65="","Falta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",""))="","✔ OK","⚠ "&amp;LEFT(IF($C65="","Falta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",""),LEN(IF($C65="","Falta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",""))-3)))</f>
        <v/>
      </c>
      <c r="S65" s="64">
        <f>IF(NOT((COUNTA($B65:$D65)+COUNTA($G65:$L65)+COUNTA($Q65))&gt;0),"",IF(AND($V65="Sub",N($U65)&gt;0),IF(ISNUMBER(INDEX($AM$5:$AM$1000,$U65-4)),DATE(YEAR(INDEX($AM$5:$AM$1000,$U65-4)),MONTH(INDEX($AM$5:$AM$1000,$U65-4)),1),IF(ISNUMBER(INDEX($AN$5:$AN$1000,$U65-4)),DATE(YEAR(INDEX($AN$5:$AN$1000,$U65-4)),MONTH(INDEX($AN$5:$AN$1000,$U65-4)),1),MesCiclo)),IF(ISNUMBER($AM65),DATE(YEAR($AM65),MONTH($AM65),1),IF(ISNUMBER($AN65),DATE(YEAR($AN65),MONTH($AN65),1),MesCiclo))))</f>
        <v/>
      </c>
      <c r="T65" s="62">
        <f>IF(OR($S65="",$S65&lt;&gt;MesCiclo),"",COUNTIF($S$5:$S65,MesCiclo))</f>
        <v/>
      </c>
      <c r="U65" s="62">
        <f>IF($V65="","",IF($V65="Macro",ROW(),IFERROR(LOOKUP(2,1/($V$5:$V65="Macro"),ROW($V$5:$V65)),0)))</f>
        <v/>
      </c>
      <c r="V65" s="62">
        <f>IF(NOT((COUNTA($B65:$D65)+COUNTA($G65:$L65)+COUNTA($Q65))&gt;0),"",IF($B65="Subactividad","Sub","Macro"))</f>
        <v/>
      </c>
      <c r="W65" s="62">
        <f>IF($V65="Macro",COUNTIFS($U$5:$U$1000,ROW(),$V$5:$V$1000,"Sub"),"")</f>
        <v/>
      </c>
      <c r="X65" s="62">
        <f>IF($V65="","",IF(ISNUMBER($G65),1,IFERROR(LOOKUP(2,1/($I65:$L65&lt;&gt;""),$I65:$L65),0)))</f>
        <v/>
      </c>
      <c r="Y65" s="62">
        <f>IF($V65="","",IF(AND(ISNUMBER($G65),$G65&lt;=IF($S65=MesCiclo,InicioCiclo,$S65+MOD(2-WEEKDAY($S65),7))+6),1,IF(ISNUMBER($I65),$I65,0)))</f>
        <v/>
      </c>
      <c r="Z65" s="62">
        <f>IF($V65="","",IF(AND(ISNUMBER($G65),$G65&lt;=IF($S65=MesCiclo,InicioCiclo,$S65+MOD(2-WEEKDAY($S65),7))+13),1,IF(ISNUMBER($J65),$J65,$Y65)))</f>
        <v/>
      </c>
      <c r="AA65" s="62">
        <f>IF($V65="","",IF(AND(ISNUMBER($G65),$G65&lt;=IF($S65=MesCiclo,InicioCiclo,$S65+MOD(2-WEEKDAY($S65),7))+20),1,IF(ISNUMBER($K65),$K65,$Z65)))</f>
        <v/>
      </c>
      <c r="AB65" s="62">
        <f>IF($V65="","",IF(AND(ISNUMBER($G65),$G65&lt;=IF($S65=MesCiclo,InicioCiclo,$S65+MOD(2-WEEKDAY($S65),7))+27),1,IF(ISNUMBER($L65),$L65,$AA65)))</f>
        <v/>
      </c>
      <c r="AC65" s="62">
        <f>IF($V65="","",IF(AND(ISNUMBER($G65),$G65&lt;=IF($S65=MesCiclo,InicioCiclo,$S65+MOD(2-WEEKDAY($S65),7))+6),1,IF(N($W65)&gt;0,AVERAGEIFS($Y$5:$Y$1000,$U$5:$U$1000,ROW(),$V$5:$V$1000,"Sub"),$Y65)))</f>
        <v/>
      </c>
      <c r="AD65" s="62">
        <f>IF($V65="","",IF(AND(ISNUMBER($G65),$G65&lt;=IF($S65=MesCiclo,InicioCiclo,$S65+MOD(2-WEEKDAY($S65),7))+13),1,IF(N($W65)&gt;0,AVERAGEIFS($Z$5:$Z$1000,$U$5:$U$1000,ROW(),$V$5:$V$1000,"Sub"),$Z65)))</f>
        <v/>
      </c>
      <c r="AE65" s="62">
        <f>IF($V65="","",IF(AND(ISNUMBER($G65),$G65&lt;=IF($S65=MesCiclo,InicioCiclo,$S65+MOD(2-WEEKDAY($S65),7))+20),1,IF(N($W65)&gt;0,AVERAGEIFS($AA$5:$AA$1000,$U$5:$U$1000,ROW(),$V$5:$V$1000,"Sub"),$AA65)))</f>
        <v/>
      </c>
      <c r="AF65" s="62">
        <f>IF($V65="","",IF(AND(ISNUMBER($G65),$G65&lt;=IF($S65=MesCiclo,InicioCiclo,$S65+MOD(2-WEEKDAY($S65),7))+27),1,IF(N($W65)&gt;0,AVERAGEIFS($AB$5:$AB$1000,$U$5:$U$1000,ROW(),$V$5:$V$1000,"Sub"),$AB65)))</f>
        <v/>
      </c>
      <c r="AG65" s="62">
        <f>IF($V65&lt;&gt;"Macro","",IF(COUNTIFS($S$5:$S$1000,$S65,$V$5:$V$1000,"Macro",$H$5:$H$1000,"&gt;0")=0,1/COUNTIFS($S$5:$S$1000,$S65,$V$5:$V$1000,"Macro"),IF(AND(ISNUMBER($H65),N($H65)&gt;0),$H65,SUMIFS($H$5:$H$1000,$S$5:$S$1000,$S65,$V$5:$V$1000,"Macro")/COUNTIFS($S$5:$S$1000,$S65,$V$5:$V$1000,"Macro",$H$5:$H$1000,"&gt;0"))/(COUNTIFS($S$5:$S$1000,$S65,$V$5:$V$1000,"Macro")*SUMIFS($H$5:$H$1000,$S$5:$S$1000,$S65,$V$5:$V$1000,"Macro")/COUNTIFS($S$5:$S$1000,$S65,$V$5:$V$1000,"Macro",$H$5:$H$1000,"&gt;0"))))</f>
        <v/>
      </c>
      <c r="AH65" s="62" t="n"/>
      <c r="AI65" s="62" t="n"/>
      <c r="AJ65" s="62" t="n"/>
      <c r="AK65" s="62" t="n"/>
      <c r="AL65" s="62">
        <f>IF(LEFT($C65,11)="[Jefatura] ",IFERROR(MATCH("Riesgo Normativo|"&amp;MID($C65,12,500),rDname_ADM,0),0),"")</f>
        <v/>
      </c>
      <c r="AM65" s="62">
        <f>IF(N($AL65)&gt;0,INDEX(rIni_ADM,$AL65),IF(ISNUMBER($E65),$E65,""))</f>
        <v/>
      </c>
      <c r="AN65" s="62">
        <f>IF(N($AL65)&gt;0,INDEX(rLim_ADM,$AL65),IF(ISNUMBER($F65),$F65,""))</f>
        <v/>
      </c>
    </row>
    <row r="66">
      <c r="A66" s="56">
        <f>IF(NOT((COUNTA($B66:$D66)+COUNTA($G66:$L66)+COUNTA($Q66))&gt;0),"",IF($V66="Macro",COUNTIFS($V$5:$V66,"Macro",$S$5:$S66,$S66),IF(N($U66)=0,"?",COUNTIFS(INDEX($V$5:$V$1000,1):INDEX($V$5:$V$1000,$U66-4),"Macro",INDEX($S$5:$S$1000,1):INDEX($S$5:$S$1000,$U66-4),INDEX($S$5:$S$1000,$U66-4))&amp;"."&amp;COUNTIFS($U$5:$U66,$U66,$V$5:$V66,"Sub"))))</f>
        <v/>
      </c>
      <c r="B66" s="57" t="n"/>
      <c r="C66" s="58" t="n"/>
      <c r="D66" s="58" t="n"/>
      <c r="E66" s="59">
        <f>IF(N($AL66)&gt;0,INDEX(rIni_ADM,$AL66),"")</f>
        <v/>
      </c>
      <c r="F66" s="59">
        <f>IF(N($AL66)&gt;0,INDEX(rLim_ADM,$AL66),"")</f>
        <v/>
      </c>
      <c r="G66" s="59" t="n"/>
      <c r="H66" s="60" t="n"/>
      <c r="I66" s="60" t="n"/>
      <c r="J66" s="60" t="n"/>
      <c r="K66" s="60" t="n"/>
      <c r="L66" s="60" t="n"/>
      <c r="M66" s="61">
        <f>IF(NOT((COUNTA($B66:$D66)+COUNTA($G66:$L66)+COUNTA($Q66))&gt;0),"",IF(ISNUMBER($G66),1,IF(N($W66)&gt;0,AVERAGEIFS($X$5:$X$1000,$U$5:$U$1000,ROW(),$V$5:$V$1000,"Sub"),$X66)))</f>
        <v/>
      </c>
      <c r="N66" s="56">
        <f>IF($M66="","",IF($M66&gt;=1,"Completado",IF($M66&gt;0,"En curso","Pendiente")))</f>
        <v/>
      </c>
      <c r="O66" s="56">
        <f>IF(NOT((COUNTA($B66:$D66)+COUNTA($G66:$L66)+COUNTA($Q66))&gt;0),"",IF(ISNUMBER($G66),IF(AND(ISNUMBER($AN66),$G66&gt;$AN66),"Cumplida con "&amp;($G66-$AN66)&amp;IF($G66-$AN66=1," día"," días")&amp;" de retraso","Cumplida"),IF(N($M66)&gt;=1,"Cumplida",IF(NOT(ISNUMBER($AN66)),"Sin fecha límite",IF($AN66&lt;FechaRef,"Vencida hace "&amp;(FechaRef-$AN66)&amp;IF(FechaRef-$AN66=1," día"," días"),IF($AN66=FechaRef,"Vence hoy",IF($AN66-FechaRef&lt;=DiasAlerta,"Vence en "&amp;($AN66-FechaRef)&amp;IF($AN66-FechaRef=1," día"," días"),"En plazo")))))))</f>
        <v/>
      </c>
      <c r="P66" s="62" t="n"/>
      <c r="Q66" s="58" t="n"/>
      <c r="R66" s="63">
        <f>IF(NOT((COUNTA($B66:$D66)+COUNTA($G66:$L66)+COUNTA($Q66))&gt;0),"",IF((IF($C66="","Falta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",""))="","✔ OK","⚠ "&amp;LEFT(IF($C66="","Falta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",""),LEN(IF($C66="","Falta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",""))-3)))</f>
        <v/>
      </c>
      <c r="S66" s="64">
        <f>IF(NOT((COUNTA($B66:$D66)+COUNTA($G66:$L66)+COUNTA($Q66))&gt;0),"",IF(AND($V66="Sub",N($U66)&gt;0),IF(ISNUMBER(INDEX($AM$5:$AM$1000,$U66-4)),DATE(YEAR(INDEX($AM$5:$AM$1000,$U66-4)),MONTH(INDEX($AM$5:$AM$1000,$U66-4)),1),IF(ISNUMBER(INDEX($AN$5:$AN$1000,$U66-4)),DATE(YEAR(INDEX($AN$5:$AN$1000,$U66-4)),MONTH(INDEX($AN$5:$AN$1000,$U66-4)),1),MesCiclo)),IF(ISNUMBER($AM66),DATE(YEAR($AM66),MONTH($AM66),1),IF(ISNUMBER($AN66),DATE(YEAR($AN66),MONTH($AN66),1),MesCiclo))))</f>
        <v/>
      </c>
      <c r="T66" s="62">
        <f>IF(OR($S66="",$S66&lt;&gt;MesCiclo),"",COUNTIF($S$5:$S66,MesCiclo))</f>
        <v/>
      </c>
      <c r="U66" s="62">
        <f>IF($V66="","",IF($V66="Macro",ROW(),IFERROR(LOOKUP(2,1/($V$5:$V66="Macro"),ROW($V$5:$V66)),0)))</f>
        <v/>
      </c>
      <c r="V66" s="62">
        <f>IF(NOT((COUNTA($B66:$D66)+COUNTA($G66:$L66)+COUNTA($Q66))&gt;0),"",IF($B66="Subactividad","Sub","Macro"))</f>
        <v/>
      </c>
      <c r="W66" s="62">
        <f>IF($V66="Macro",COUNTIFS($U$5:$U$1000,ROW(),$V$5:$V$1000,"Sub"),"")</f>
        <v/>
      </c>
      <c r="X66" s="62">
        <f>IF($V66="","",IF(ISNUMBER($G66),1,IFERROR(LOOKUP(2,1/($I66:$L66&lt;&gt;""),$I66:$L66),0)))</f>
        <v/>
      </c>
      <c r="Y66" s="62">
        <f>IF($V66="","",IF(AND(ISNUMBER($G66),$G66&lt;=IF($S66=MesCiclo,InicioCiclo,$S66+MOD(2-WEEKDAY($S66),7))+6),1,IF(ISNUMBER($I66),$I66,0)))</f>
        <v/>
      </c>
      <c r="Z66" s="62">
        <f>IF($V66="","",IF(AND(ISNUMBER($G66),$G66&lt;=IF($S66=MesCiclo,InicioCiclo,$S66+MOD(2-WEEKDAY($S66),7))+13),1,IF(ISNUMBER($J66),$J66,$Y66)))</f>
        <v/>
      </c>
      <c r="AA66" s="62">
        <f>IF($V66="","",IF(AND(ISNUMBER($G66),$G66&lt;=IF($S66=MesCiclo,InicioCiclo,$S66+MOD(2-WEEKDAY($S66),7))+20),1,IF(ISNUMBER($K66),$K66,$Z66)))</f>
        <v/>
      </c>
      <c r="AB66" s="62">
        <f>IF($V66="","",IF(AND(ISNUMBER($G66),$G66&lt;=IF($S66=MesCiclo,InicioCiclo,$S66+MOD(2-WEEKDAY($S66),7))+27),1,IF(ISNUMBER($L66),$L66,$AA66)))</f>
        <v/>
      </c>
      <c r="AC66" s="62">
        <f>IF($V66="","",IF(AND(ISNUMBER($G66),$G66&lt;=IF($S66=MesCiclo,InicioCiclo,$S66+MOD(2-WEEKDAY($S66),7))+6),1,IF(N($W66)&gt;0,AVERAGEIFS($Y$5:$Y$1000,$U$5:$U$1000,ROW(),$V$5:$V$1000,"Sub"),$Y66)))</f>
        <v/>
      </c>
      <c r="AD66" s="62">
        <f>IF($V66="","",IF(AND(ISNUMBER($G66),$G66&lt;=IF($S66=MesCiclo,InicioCiclo,$S66+MOD(2-WEEKDAY($S66),7))+13),1,IF(N($W66)&gt;0,AVERAGEIFS($Z$5:$Z$1000,$U$5:$U$1000,ROW(),$V$5:$V$1000,"Sub"),$Z66)))</f>
        <v/>
      </c>
      <c r="AE66" s="62">
        <f>IF($V66="","",IF(AND(ISNUMBER($G66),$G66&lt;=IF($S66=MesCiclo,InicioCiclo,$S66+MOD(2-WEEKDAY($S66),7))+20),1,IF(N($W66)&gt;0,AVERAGEIFS($AA$5:$AA$1000,$U$5:$U$1000,ROW(),$V$5:$V$1000,"Sub"),$AA66)))</f>
        <v/>
      </c>
      <c r="AF66" s="62">
        <f>IF($V66="","",IF(AND(ISNUMBER($G66),$G66&lt;=IF($S66=MesCiclo,InicioCiclo,$S66+MOD(2-WEEKDAY($S66),7))+27),1,IF(N($W66)&gt;0,AVERAGEIFS($AB$5:$AB$1000,$U$5:$U$1000,ROW(),$V$5:$V$1000,"Sub"),$AB66)))</f>
        <v/>
      </c>
      <c r="AG66" s="62">
        <f>IF($V66&lt;&gt;"Macro","",IF(COUNTIFS($S$5:$S$1000,$S66,$V$5:$V$1000,"Macro",$H$5:$H$1000,"&gt;0")=0,1/COUNTIFS($S$5:$S$1000,$S66,$V$5:$V$1000,"Macro"),IF(AND(ISNUMBER($H66),N($H66)&gt;0),$H66,SUMIFS($H$5:$H$1000,$S$5:$S$1000,$S66,$V$5:$V$1000,"Macro")/COUNTIFS($S$5:$S$1000,$S66,$V$5:$V$1000,"Macro",$H$5:$H$1000,"&gt;0"))/(COUNTIFS($S$5:$S$1000,$S66,$V$5:$V$1000,"Macro")*SUMIFS($H$5:$H$1000,$S$5:$S$1000,$S66,$V$5:$V$1000,"Macro")/COUNTIFS($S$5:$S$1000,$S66,$V$5:$V$1000,"Macro",$H$5:$H$1000,"&gt;0"))))</f>
        <v/>
      </c>
      <c r="AH66" s="62" t="n"/>
      <c r="AI66" s="62" t="n"/>
      <c r="AJ66" s="62" t="n"/>
      <c r="AK66" s="62" t="n"/>
      <c r="AL66" s="62">
        <f>IF(LEFT($C66,11)="[Jefatura] ",IFERROR(MATCH("Riesgo Normativo|"&amp;MID($C66,12,500),rDname_ADM,0),0),"")</f>
        <v/>
      </c>
      <c r="AM66" s="62">
        <f>IF(N($AL66)&gt;0,INDEX(rIni_ADM,$AL66),IF(ISNUMBER($E66),$E66,""))</f>
        <v/>
      </c>
      <c r="AN66" s="62">
        <f>IF(N($AL66)&gt;0,INDEX(rLim_ADM,$AL66),IF(ISNUMBER($F66),$F66,""))</f>
        <v/>
      </c>
    </row>
    <row r="67">
      <c r="A67" s="56">
        <f>IF(NOT((COUNTA($B67:$D67)+COUNTA($G67:$L67)+COUNTA($Q67))&gt;0),"",IF($V67="Macro",COUNTIFS($V$5:$V67,"Macro",$S$5:$S67,$S67),IF(N($U67)=0,"?",COUNTIFS(INDEX($V$5:$V$1000,1):INDEX($V$5:$V$1000,$U67-4),"Macro",INDEX($S$5:$S$1000,1):INDEX($S$5:$S$1000,$U67-4),INDEX($S$5:$S$1000,$U67-4))&amp;"."&amp;COUNTIFS($U$5:$U67,$U67,$V$5:$V67,"Sub"))))</f>
        <v/>
      </c>
      <c r="B67" s="57" t="n"/>
      <c r="C67" s="58" t="n"/>
      <c r="D67" s="58" t="n"/>
      <c r="E67" s="59">
        <f>IF(N($AL67)&gt;0,INDEX(rIni_ADM,$AL67),"")</f>
        <v/>
      </c>
      <c r="F67" s="59">
        <f>IF(N($AL67)&gt;0,INDEX(rLim_ADM,$AL67),"")</f>
        <v/>
      </c>
      <c r="G67" s="59" t="n"/>
      <c r="H67" s="60" t="n"/>
      <c r="I67" s="60" t="n"/>
      <c r="J67" s="60" t="n"/>
      <c r="K67" s="60" t="n"/>
      <c r="L67" s="60" t="n"/>
      <c r="M67" s="61">
        <f>IF(NOT((COUNTA($B67:$D67)+COUNTA($G67:$L67)+COUNTA($Q67))&gt;0),"",IF(ISNUMBER($G67),1,IF(N($W67)&gt;0,AVERAGEIFS($X$5:$X$1000,$U$5:$U$1000,ROW(),$V$5:$V$1000,"Sub"),$X67)))</f>
        <v/>
      </c>
      <c r="N67" s="56">
        <f>IF($M67="","",IF($M67&gt;=1,"Completado",IF($M67&gt;0,"En curso","Pendiente")))</f>
        <v/>
      </c>
      <c r="O67" s="56">
        <f>IF(NOT((COUNTA($B67:$D67)+COUNTA($G67:$L67)+COUNTA($Q67))&gt;0),"",IF(ISNUMBER($G67),IF(AND(ISNUMBER($AN67),$G67&gt;$AN67),"Cumplida con "&amp;($G67-$AN67)&amp;IF($G67-$AN67=1," día"," días")&amp;" de retraso","Cumplida"),IF(N($M67)&gt;=1,"Cumplida",IF(NOT(ISNUMBER($AN67)),"Sin fecha límite",IF($AN67&lt;FechaRef,"Vencida hace "&amp;(FechaRef-$AN67)&amp;IF(FechaRef-$AN67=1," día"," días"),IF($AN67=FechaRef,"Vence hoy",IF($AN67-FechaRef&lt;=DiasAlerta,"Vence en "&amp;($AN67-FechaRef)&amp;IF($AN67-FechaRef=1," día"," días"),"En plazo")))))))</f>
        <v/>
      </c>
      <c r="P67" s="62" t="n"/>
      <c r="Q67" s="58" t="n"/>
      <c r="R67" s="63">
        <f>IF(NOT((COUNTA($B67:$D67)+COUNTA($G67:$L67)+COUNTA($Q67))&gt;0),"",IF((IF($C67="","Falta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",""))="","✔ OK","⚠ "&amp;LEFT(IF($C67="","Falta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",""),LEN(IF($C67="","Falta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",""))-3)))</f>
        <v/>
      </c>
      <c r="S67" s="64">
        <f>IF(NOT((COUNTA($B67:$D67)+COUNTA($G67:$L67)+COUNTA($Q67))&gt;0),"",IF(AND($V67="Sub",N($U67)&gt;0),IF(ISNUMBER(INDEX($AM$5:$AM$1000,$U67-4)),DATE(YEAR(INDEX($AM$5:$AM$1000,$U67-4)),MONTH(INDEX($AM$5:$AM$1000,$U67-4)),1),IF(ISNUMBER(INDEX($AN$5:$AN$1000,$U67-4)),DATE(YEAR(INDEX($AN$5:$AN$1000,$U67-4)),MONTH(INDEX($AN$5:$AN$1000,$U67-4)),1),MesCiclo)),IF(ISNUMBER($AM67),DATE(YEAR($AM67),MONTH($AM67),1),IF(ISNUMBER($AN67),DATE(YEAR($AN67),MONTH($AN67),1),MesCiclo))))</f>
        <v/>
      </c>
      <c r="T67" s="62">
        <f>IF(OR($S67="",$S67&lt;&gt;MesCiclo),"",COUNTIF($S$5:$S67,MesCiclo))</f>
        <v/>
      </c>
      <c r="U67" s="62">
        <f>IF($V67="","",IF($V67="Macro",ROW(),IFERROR(LOOKUP(2,1/($V$5:$V67="Macro"),ROW($V$5:$V67)),0)))</f>
        <v/>
      </c>
      <c r="V67" s="62">
        <f>IF(NOT((COUNTA($B67:$D67)+COUNTA($G67:$L67)+COUNTA($Q67))&gt;0),"",IF($B67="Subactividad","Sub","Macro"))</f>
        <v/>
      </c>
      <c r="W67" s="62">
        <f>IF($V67="Macro",COUNTIFS($U$5:$U$1000,ROW(),$V$5:$V$1000,"Sub"),"")</f>
        <v/>
      </c>
      <c r="X67" s="62">
        <f>IF($V67="","",IF(ISNUMBER($G67),1,IFERROR(LOOKUP(2,1/($I67:$L67&lt;&gt;""),$I67:$L67),0)))</f>
        <v/>
      </c>
      <c r="Y67" s="62">
        <f>IF($V67="","",IF(AND(ISNUMBER($G67),$G67&lt;=IF($S67=MesCiclo,InicioCiclo,$S67+MOD(2-WEEKDAY($S67),7))+6),1,IF(ISNUMBER($I67),$I67,0)))</f>
        <v/>
      </c>
      <c r="Z67" s="62">
        <f>IF($V67="","",IF(AND(ISNUMBER($G67),$G67&lt;=IF($S67=MesCiclo,InicioCiclo,$S67+MOD(2-WEEKDAY($S67),7))+13),1,IF(ISNUMBER($J67),$J67,$Y67)))</f>
        <v/>
      </c>
      <c r="AA67" s="62">
        <f>IF($V67="","",IF(AND(ISNUMBER($G67),$G67&lt;=IF($S67=MesCiclo,InicioCiclo,$S67+MOD(2-WEEKDAY($S67),7))+20),1,IF(ISNUMBER($K67),$K67,$Z67)))</f>
        <v/>
      </c>
      <c r="AB67" s="62">
        <f>IF($V67="","",IF(AND(ISNUMBER($G67),$G67&lt;=IF($S67=MesCiclo,InicioCiclo,$S67+MOD(2-WEEKDAY($S67),7))+27),1,IF(ISNUMBER($L67),$L67,$AA67)))</f>
        <v/>
      </c>
      <c r="AC67" s="62">
        <f>IF($V67="","",IF(AND(ISNUMBER($G67),$G67&lt;=IF($S67=MesCiclo,InicioCiclo,$S67+MOD(2-WEEKDAY($S67),7))+6),1,IF(N($W67)&gt;0,AVERAGEIFS($Y$5:$Y$1000,$U$5:$U$1000,ROW(),$V$5:$V$1000,"Sub"),$Y67)))</f>
        <v/>
      </c>
      <c r="AD67" s="62">
        <f>IF($V67="","",IF(AND(ISNUMBER($G67),$G67&lt;=IF($S67=MesCiclo,InicioCiclo,$S67+MOD(2-WEEKDAY($S67),7))+13),1,IF(N($W67)&gt;0,AVERAGEIFS($Z$5:$Z$1000,$U$5:$U$1000,ROW(),$V$5:$V$1000,"Sub"),$Z67)))</f>
        <v/>
      </c>
      <c r="AE67" s="62">
        <f>IF($V67="","",IF(AND(ISNUMBER($G67),$G67&lt;=IF($S67=MesCiclo,InicioCiclo,$S67+MOD(2-WEEKDAY($S67),7))+20),1,IF(N($W67)&gt;0,AVERAGEIFS($AA$5:$AA$1000,$U$5:$U$1000,ROW(),$V$5:$V$1000,"Sub"),$AA67)))</f>
        <v/>
      </c>
      <c r="AF67" s="62">
        <f>IF($V67="","",IF(AND(ISNUMBER($G67),$G67&lt;=IF($S67=MesCiclo,InicioCiclo,$S67+MOD(2-WEEKDAY($S67),7))+27),1,IF(N($W67)&gt;0,AVERAGEIFS($AB$5:$AB$1000,$U$5:$U$1000,ROW(),$V$5:$V$1000,"Sub"),$AB67)))</f>
        <v/>
      </c>
      <c r="AG67" s="62">
        <f>IF($V67&lt;&gt;"Macro","",IF(COUNTIFS($S$5:$S$1000,$S67,$V$5:$V$1000,"Macro",$H$5:$H$1000,"&gt;0")=0,1/COUNTIFS($S$5:$S$1000,$S67,$V$5:$V$1000,"Macro"),IF(AND(ISNUMBER($H67),N($H67)&gt;0),$H67,SUMIFS($H$5:$H$1000,$S$5:$S$1000,$S67,$V$5:$V$1000,"Macro")/COUNTIFS($S$5:$S$1000,$S67,$V$5:$V$1000,"Macro",$H$5:$H$1000,"&gt;0"))/(COUNTIFS($S$5:$S$1000,$S67,$V$5:$V$1000,"Macro")*SUMIFS($H$5:$H$1000,$S$5:$S$1000,$S67,$V$5:$V$1000,"Macro")/COUNTIFS($S$5:$S$1000,$S67,$V$5:$V$1000,"Macro",$H$5:$H$1000,"&gt;0"))))</f>
        <v/>
      </c>
      <c r="AH67" s="62" t="n"/>
      <c r="AI67" s="62" t="n"/>
      <c r="AJ67" s="62" t="n"/>
      <c r="AK67" s="62" t="n"/>
      <c r="AL67" s="62">
        <f>IF(LEFT($C67,11)="[Jefatura] ",IFERROR(MATCH("Riesgo Normativo|"&amp;MID($C67,12,500),rDname_ADM,0),0),"")</f>
        <v/>
      </c>
      <c r="AM67" s="62">
        <f>IF(N($AL67)&gt;0,INDEX(rIni_ADM,$AL67),IF(ISNUMBER($E67),$E67,""))</f>
        <v/>
      </c>
      <c r="AN67" s="62">
        <f>IF(N($AL67)&gt;0,INDEX(rLim_ADM,$AL67),IF(ISNUMBER($F67),$F67,""))</f>
        <v/>
      </c>
    </row>
    <row r="68">
      <c r="A68" s="56">
        <f>IF(NOT((COUNTA($B68:$D68)+COUNTA($G68:$L68)+COUNTA($Q68))&gt;0),"",IF($V68="Macro",COUNTIFS($V$5:$V68,"Macro",$S$5:$S68,$S68),IF(N($U68)=0,"?",COUNTIFS(INDEX($V$5:$V$1000,1):INDEX($V$5:$V$1000,$U68-4),"Macro",INDEX($S$5:$S$1000,1):INDEX($S$5:$S$1000,$U68-4),INDEX($S$5:$S$1000,$U68-4))&amp;"."&amp;COUNTIFS($U$5:$U68,$U68,$V$5:$V68,"Sub"))))</f>
        <v/>
      </c>
      <c r="B68" s="57" t="n"/>
      <c r="C68" s="58" t="n"/>
      <c r="D68" s="58" t="n"/>
      <c r="E68" s="59">
        <f>IF(N($AL68)&gt;0,INDEX(rIni_ADM,$AL68),"")</f>
        <v/>
      </c>
      <c r="F68" s="59">
        <f>IF(N($AL68)&gt;0,INDEX(rLim_ADM,$AL68),"")</f>
        <v/>
      </c>
      <c r="G68" s="59" t="n"/>
      <c r="H68" s="60" t="n"/>
      <c r="I68" s="60" t="n"/>
      <c r="J68" s="60" t="n"/>
      <c r="K68" s="60" t="n"/>
      <c r="L68" s="60" t="n"/>
      <c r="M68" s="61">
        <f>IF(NOT((COUNTA($B68:$D68)+COUNTA($G68:$L68)+COUNTA($Q68))&gt;0),"",IF(ISNUMBER($G68),1,IF(N($W68)&gt;0,AVERAGEIFS($X$5:$X$1000,$U$5:$U$1000,ROW(),$V$5:$V$1000,"Sub"),$X68)))</f>
        <v/>
      </c>
      <c r="N68" s="56">
        <f>IF($M68="","",IF($M68&gt;=1,"Completado",IF($M68&gt;0,"En curso","Pendiente")))</f>
        <v/>
      </c>
      <c r="O68" s="56">
        <f>IF(NOT((COUNTA($B68:$D68)+COUNTA($G68:$L68)+COUNTA($Q68))&gt;0),"",IF(ISNUMBER($G68),IF(AND(ISNUMBER($AN68),$G68&gt;$AN68),"Cumplida con "&amp;($G68-$AN68)&amp;IF($G68-$AN68=1," día"," días")&amp;" de retraso","Cumplida"),IF(N($M68)&gt;=1,"Cumplida",IF(NOT(ISNUMBER($AN68)),"Sin fecha límite",IF($AN68&lt;FechaRef,"Vencida hace "&amp;(FechaRef-$AN68)&amp;IF(FechaRef-$AN68=1," día"," días"),IF($AN68=FechaRef,"Vence hoy",IF($AN68-FechaRef&lt;=DiasAlerta,"Vence en "&amp;($AN68-FechaRef)&amp;IF($AN68-FechaRef=1," día"," días"),"En plazo")))))))</f>
        <v/>
      </c>
      <c r="P68" s="62" t="n"/>
      <c r="Q68" s="58" t="n"/>
      <c r="R68" s="63">
        <f>IF(NOT((COUNTA($B68:$D68)+COUNTA($G68:$L68)+COUNTA($Q68))&gt;0),"",IF((IF($C68="","Falta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",""))="","✔ OK","⚠ "&amp;LEFT(IF($C68="","Falta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",""),LEN(IF($C68="","Falta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",""))-3)))</f>
        <v/>
      </c>
      <c r="S68" s="64">
        <f>IF(NOT((COUNTA($B68:$D68)+COUNTA($G68:$L68)+COUNTA($Q68))&gt;0),"",IF(AND($V68="Sub",N($U68)&gt;0),IF(ISNUMBER(INDEX($AM$5:$AM$1000,$U68-4)),DATE(YEAR(INDEX($AM$5:$AM$1000,$U68-4)),MONTH(INDEX($AM$5:$AM$1000,$U68-4)),1),IF(ISNUMBER(INDEX($AN$5:$AN$1000,$U68-4)),DATE(YEAR(INDEX($AN$5:$AN$1000,$U68-4)),MONTH(INDEX($AN$5:$AN$1000,$U68-4)),1),MesCiclo)),IF(ISNUMBER($AM68),DATE(YEAR($AM68),MONTH($AM68),1),IF(ISNUMBER($AN68),DATE(YEAR($AN68),MONTH($AN68),1),MesCiclo))))</f>
        <v/>
      </c>
      <c r="T68" s="62">
        <f>IF(OR($S68="",$S68&lt;&gt;MesCiclo),"",COUNTIF($S$5:$S68,MesCiclo))</f>
        <v/>
      </c>
      <c r="U68" s="62">
        <f>IF($V68="","",IF($V68="Macro",ROW(),IFERROR(LOOKUP(2,1/($V$5:$V68="Macro"),ROW($V$5:$V68)),0)))</f>
        <v/>
      </c>
      <c r="V68" s="62">
        <f>IF(NOT((COUNTA($B68:$D68)+COUNTA($G68:$L68)+COUNTA($Q68))&gt;0),"",IF($B68="Subactividad","Sub","Macro"))</f>
        <v/>
      </c>
      <c r="W68" s="62">
        <f>IF($V68="Macro",COUNTIFS($U$5:$U$1000,ROW(),$V$5:$V$1000,"Sub"),"")</f>
        <v/>
      </c>
      <c r="X68" s="62">
        <f>IF($V68="","",IF(ISNUMBER($G68),1,IFERROR(LOOKUP(2,1/($I68:$L68&lt;&gt;""),$I68:$L68),0)))</f>
        <v/>
      </c>
      <c r="Y68" s="62">
        <f>IF($V68="","",IF(AND(ISNUMBER($G68),$G68&lt;=IF($S68=MesCiclo,InicioCiclo,$S68+MOD(2-WEEKDAY($S68),7))+6),1,IF(ISNUMBER($I68),$I68,0)))</f>
        <v/>
      </c>
      <c r="Z68" s="62">
        <f>IF($V68="","",IF(AND(ISNUMBER($G68),$G68&lt;=IF($S68=MesCiclo,InicioCiclo,$S68+MOD(2-WEEKDAY($S68),7))+13),1,IF(ISNUMBER($J68),$J68,$Y68)))</f>
        <v/>
      </c>
      <c r="AA68" s="62">
        <f>IF($V68="","",IF(AND(ISNUMBER($G68),$G68&lt;=IF($S68=MesCiclo,InicioCiclo,$S68+MOD(2-WEEKDAY($S68),7))+20),1,IF(ISNUMBER($K68),$K68,$Z68)))</f>
        <v/>
      </c>
      <c r="AB68" s="62">
        <f>IF($V68="","",IF(AND(ISNUMBER($G68),$G68&lt;=IF($S68=MesCiclo,InicioCiclo,$S68+MOD(2-WEEKDAY($S68),7))+27),1,IF(ISNUMBER($L68),$L68,$AA68)))</f>
        <v/>
      </c>
      <c r="AC68" s="62">
        <f>IF($V68="","",IF(AND(ISNUMBER($G68),$G68&lt;=IF($S68=MesCiclo,InicioCiclo,$S68+MOD(2-WEEKDAY($S68),7))+6),1,IF(N($W68)&gt;0,AVERAGEIFS($Y$5:$Y$1000,$U$5:$U$1000,ROW(),$V$5:$V$1000,"Sub"),$Y68)))</f>
        <v/>
      </c>
      <c r="AD68" s="62">
        <f>IF($V68="","",IF(AND(ISNUMBER($G68),$G68&lt;=IF($S68=MesCiclo,InicioCiclo,$S68+MOD(2-WEEKDAY($S68),7))+13),1,IF(N($W68)&gt;0,AVERAGEIFS($Z$5:$Z$1000,$U$5:$U$1000,ROW(),$V$5:$V$1000,"Sub"),$Z68)))</f>
        <v/>
      </c>
      <c r="AE68" s="62">
        <f>IF($V68="","",IF(AND(ISNUMBER($G68),$G68&lt;=IF($S68=MesCiclo,InicioCiclo,$S68+MOD(2-WEEKDAY($S68),7))+20),1,IF(N($W68)&gt;0,AVERAGEIFS($AA$5:$AA$1000,$U$5:$U$1000,ROW(),$V$5:$V$1000,"Sub"),$AA68)))</f>
        <v/>
      </c>
      <c r="AF68" s="62">
        <f>IF($V68="","",IF(AND(ISNUMBER($G68),$G68&lt;=IF($S68=MesCiclo,InicioCiclo,$S68+MOD(2-WEEKDAY($S68),7))+27),1,IF(N($W68)&gt;0,AVERAGEIFS($AB$5:$AB$1000,$U$5:$U$1000,ROW(),$V$5:$V$1000,"Sub"),$AB68)))</f>
        <v/>
      </c>
      <c r="AG68" s="62">
        <f>IF($V68&lt;&gt;"Macro","",IF(COUNTIFS($S$5:$S$1000,$S68,$V$5:$V$1000,"Macro",$H$5:$H$1000,"&gt;0")=0,1/COUNTIFS($S$5:$S$1000,$S68,$V$5:$V$1000,"Macro"),IF(AND(ISNUMBER($H68),N($H68)&gt;0),$H68,SUMIFS($H$5:$H$1000,$S$5:$S$1000,$S68,$V$5:$V$1000,"Macro")/COUNTIFS($S$5:$S$1000,$S68,$V$5:$V$1000,"Macro",$H$5:$H$1000,"&gt;0"))/(COUNTIFS($S$5:$S$1000,$S68,$V$5:$V$1000,"Macro")*SUMIFS($H$5:$H$1000,$S$5:$S$1000,$S68,$V$5:$V$1000,"Macro")/COUNTIFS($S$5:$S$1000,$S68,$V$5:$V$1000,"Macro",$H$5:$H$1000,"&gt;0"))))</f>
        <v/>
      </c>
      <c r="AH68" s="62" t="n"/>
      <c r="AI68" s="62" t="n"/>
      <c r="AJ68" s="62" t="n"/>
      <c r="AK68" s="62" t="n"/>
      <c r="AL68" s="62">
        <f>IF(LEFT($C68,11)="[Jefatura] ",IFERROR(MATCH("Riesgo Normativo|"&amp;MID($C68,12,500),rDname_ADM,0),0),"")</f>
        <v/>
      </c>
      <c r="AM68" s="62">
        <f>IF(N($AL68)&gt;0,INDEX(rIni_ADM,$AL68),IF(ISNUMBER($E68),$E68,""))</f>
        <v/>
      </c>
      <c r="AN68" s="62">
        <f>IF(N($AL68)&gt;0,INDEX(rLim_ADM,$AL68),IF(ISNUMBER($F68),$F68,""))</f>
        <v/>
      </c>
    </row>
    <row r="69">
      <c r="A69" s="56">
        <f>IF(NOT((COUNTA($B69:$D69)+COUNTA($G69:$L69)+COUNTA($Q69))&gt;0),"",IF($V69="Macro",COUNTIFS($V$5:$V69,"Macro",$S$5:$S69,$S69),IF(N($U69)=0,"?",COUNTIFS(INDEX($V$5:$V$1000,1):INDEX($V$5:$V$1000,$U69-4),"Macro",INDEX($S$5:$S$1000,1):INDEX($S$5:$S$1000,$U69-4),INDEX($S$5:$S$1000,$U69-4))&amp;"."&amp;COUNTIFS($U$5:$U69,$U69,$V$5:$V69,"Sub"))))</f>
        <v/>
      </c>
      <c r="B69" s="57" t="n"/>
      <c r="C69" s="58" t="n"/>
      <c r="D69" s="58" t="n"/>
      <c r="E69" s="59">
        <f>IF(N($AL69)&gt;0,INDEX(rIni_ADM,$AL69),"")</f>
        <v/>
      </c>
      <c r="F69" s="59">
        <f>IF(N($AL69)&gt;0,INDEX(rLim_ADM,$AL69),"")</f>
        <v/>
      </c>
      <c r="G69" s="59" t="n"/>
      <c r="H69" s="60" t="n"/>
      <c r="I69" s="60" t="n"/>
      <c r="J69" s="60" t="n"/>
      <c r="K69" s="60" t="n"/>
      <c r="L69" s="60" t="n"/>
      <c r="M69" s="61">
        <f>IF(NOT((COUNTA($B69:$D69)+COUNTA($G69:$L69)+COUNTA($Q69))&gt;0),"",IF(ISNUMBER($G69),1,IF(N($W69)&gt;0,AVERAGEIFS($X$5:$X$1000,$U$5:$U$1000,ROW(),$V$5:$V$1000,"Sub"),$X69)))</f>
        <v/>
      </c>
      <c r="N69" s="56">
        <f>IF($M69="","",IF($M69&gt;=1,"Completado",IF($M69&gt;0,"En curso","Pendiente")))</f>
        <v/>
      </c>
      <c r="O69" s="56">
        <f>IF(NOT((COUNTA($B69:$D69)+COUNTA($G69:$L69)+COUNTA($Q69))&gt;0),"",IF(ISNUMBER($G69),IF(AND(ISNUMBER($AN69),$G69&gt;$AN69),"Cumplida con "&amp;($G69-$AN69)&amp;IF($G69-$AN69=1," día"," días")&amp;" de retraso","Cumplida"),IF(N($M69)&gt;=1,"Cumplida",IF(NOT(ISNUMBER($AN69)),"Sin fecha límite",IF($AN69&lt;FechaRef,"Vencida hace "&amp;(FechaRef-$AN69)&amp;IF(FechaRef-$AN69=1," día"," días"),IF($AN69=FechaRef,"Vence hoy",IF($AN69-FechaRef&lt;=DiasAlerta,"Vence en "&amp;($AN69-FechaRef)&amp;IF($AN69-FechaRef=1," día"," días"),"En plazo")))))))</f>
        <v/>
      </c>
      <c r="P69" s="62" t="n"/>
      <c r="Q69" s="58" t="n"/>
      <c r="R69" s="63">
        <f>IF(NOT((COUNTA($B69:$D69)+COUNTA($G69:$L69)+COUNTA($Q69))&gt;0),"",IF((IF($C69="","Falta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",""))="","✔ OK","⚠ "&amp;LEFT(IF($C69="","Falta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",""),LEN(IF($C69="","Falta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",""))-3)))</f>
        <v/>
      </c>
      <c r="S69" s="64">
        <f>IF(NOT((COUNTA($B69:$D69)+COUNTA($G69:$L69)+COUNTA($Q69))&gt;0),"",IF(AND($V69="Sub",N($U69)&gt;0),IF(ISNUMBER(INDEX($AM$5:$AM$1000,$U69-4)),DATE(YEAR(INDEX($AM$5:$AM$1000,$U69-4)),MONTH(INDEX($AM$5:$AM$1000,$U69-4)),1),IF(ISNUMBER(INDEX($AN$5:$AN$1000,$U69-4)),DATE(YEAR(INDEX($AN$5:$AN$1000,$U69-4)),MONTH(INDEX($AN$5:$AN$1000,$U69-4)),1),MesCiclo)),IF(ISNUMBER($AM69),DATE(YEAR($AM69),MONTH($AM69),1),IF(ISNUMBER($AN69),DATE(YEAR($AN69),MONTH($AN69),1),MesCiclo))))</f>
        <v/>
      </c>
      <c r="T69" s="62">
        <f>IF(OR($S69="",$S69&lt;&gt;MesCiclo),"",COUNTIF($S$5:$S69,MesCiclo))</f>
        <v/>
      </c>
      <c r="U69" s="62">
        <f>IF($V69="","",IF($V69="Macro",ROW(),IFERROR(LOOKUP(2,1/($V$5:$V69="Macro"),ROW($V$5:$V69)),0)))</f>
        <v/>
      </c>
      <c r="V69" s="62">
        <f>IF(NOT((COUNTA($B69:$D69)+COUNTA($G69:$L69)+COUNTA($Q69))&gt;0),"",IF($B69="Subactividad","Sub","Macro"))</f>
        <v/>
      </c>
      <c r="W69" s="62">
        <f>IF($V69="Macro",COUNTIFS($U$5:$U$1000,ROW(),$V$5:$V$1000,"Sub"),"")</f>
        <v/>
      </c>
      <c r="X69" s="62">
        <f>IF($V69="","",IF(ISNUMBER($G69),1,IFERROR(LOOKUP(2,1/($I69:$L69&lt;&gt;""),$I69:$L69),0)))</f>
        <v/>
      </c>
      <c r="Y69" s="62">
        <f>IF($V69="","",IF(AND(ISNUMBER($G69),$G69&lt;=IF($S69=MesCiclo,InicioCiclo,$S69+MOD(2-WEEKDAY($S69),7))+6),1,IF(ISNUMBER($I69),$I69,0)))</f>
        <v/>
      </c>
      <c r="Z69" s="62">
        <f>IF($V69="","",IF(AND(ISNUMBER($G69),$G69&lt;=IF($S69=MesCiclo,InicioCiclo,$S69+MOD(2-WEEKDAY($S69),7))+13),1,IF(ISNUMBER($J69),$J69,$Y69)))</f>
        <v/>
      </c>
      <c r="AA69" s="62">
        <f>IF($V69="","",IF(AND(ISNUMBER($G69),$G69&lt;=IF($S69=MesCiclo,InicioCiclo,$S69+MOD(2-WEEKDAY($S69),7))+20),1,IF(ISNUMBER($K69),$K69,$Z69)))</f>
        <v/>
      </c>
      <c r="AB69" s="62">
        <f>IF($V69="","",IF(AND(ISNUMBER($G69),$G69&lt;=IF($S69=MesCiclo,InicioCiclo,$S69+MOD(2-WEEKDAY($S69),7))+27),1,IF(ISNUMBER($L69),$L69,$AA69)))</f>
        <v/>
      </c>
      <c r="AC69" s="62">
        <f>IF($V69="","",IF(AND(ISNUMBER($G69),$G69&lt;=IF($S69=MesCiclo,InicioCiclo,$S69+MOD(2-WEEKDAY($S69),7))+6),1,IF(N($W69)&gt;0,AVERAGEIFS($Y$5:$Y$1000,$U$5:$U$1000,ROW(),$V$5:$V$1000,"Sub"),$Y69)))</f>
        <v/>
      </c>
      <c r="AD69" s="62">
        <f>IF($V69="","",IF(AND(ISNUMBER($G69),$G69&lt;=IF($S69=MesCiclo,InicioCiclo,$S69+MOD(2-WEEKDAY($S69),7))+13),1,IF(N($W69)&gt;0,AVERAGEIFS($Z$5:$Z$1000,$U$5:$U$1000,ROW(),$V$5:$V$1000,"Sub"),$Z69)))</f>
        <v/>
      </c>
      <c r="AE69" s="62">
        <f>IF($V69="","",IF(AND(ISNUMBER($G69),$G69&lt;=IF($S69=MesCiclo,InicioCiclo,$S69+MOD(2-WEEKDAY($S69),7))+20),1,IF(N($W69)&gt;0,AVERAGEIFS($AA$5:$AA$1000,$U$5:$U$1000,ROW(),$V$5:$V$1000,"Sub"),$AA69)))</f>
        <v/>
      </c>
      <c r="AF69" s="62">
        <f>IF($V69="","",IF(AND(ISNUMBER($G69),$G69&lt;=IF($S69=MesCiclo,InicioCiclo,$S69+MOD(2-WEEKDAY($S69),7))+27),1,IF(N($W69)&gt;0,AVERAGEIFS($AB$5:$AB$1000,$U$5:$U$1000,ROW(),$V$5:$V$1000,"Sub"),$AB69)))</f>
        <v/>
      </c>
      <c r="AG69" s="62">
        <f>IF($V69&lt;&gt;"Macro","",IF(COUNTIFS($S$5:$S$1000,$S69,$V$5:$V$1000,"Macro",$H$5:$H$1000,"&gt;0")=0,1/COUNTIFS($S$5:$S$1000,$S69,$V$5:$V$1000,"Macro"),IF(AND(ISNUMBER($H69),N($H69)&gt;0),$H69,SUMIFS($H$5:$H$1000,$S$5:$S$1000,$S69,$V$5:$V$1000,"Macro")/COUNTIFS($S$5:$S$1000,$S69,$V$5:$V$1000,"Macro",$H$5:$H$1000,"&gt;0"))/(COUNTIFS($S$5:$S$1000,$S69,$V$5:$V$1000,"Macro")*SUMIFS($H$5:$H$1000,$S$5:$S$1000,$S69,$V$5:$V$1000,"Macro")/COUNTIFS($S$5:$S$1000,$S69,$V$5:$V$1000,"Macro",$H$5:$H$1000,"&gt;0"))))</f>
        <v/>
      </c>
      <c r="AH69" s="62" t="n"/>
      <c r="AI69" s="62" t="n"/>
      <c r="AJ69" s="62" t="n"/>
      <c r="AK69" s="62" t="n"/>
      <c r="AL69" s="62">
        <f>IF(LEFT($C69,11)="[Jefatura] ",IFERROR(MATCH("Riesgo Normativo|"&amp;MID($C69,12,500),rDname_ADM,0),0),"")</f>
        <v/>
      </c>
      <c r="AM69" s="62">
        <f>IF(N($AL69)&gt;0,INDEX(rIni_ADM,$AL69),IF(ISNUMBER($E69),$E69,""))</f>
        <v/>
      </c>
      <c r="AN69" s="62">
        <f>IF(N($AL69)&gt;0,INDEX(rLim_ADM,$AL69),IF(ISNUMBER($F69),$F69,""))</f>
        <v/>
      </c>
    </row>
    <row r="70">
      <c r="A70" s="56">
        <f>IF(NOT((COUNTA($B70:$D70)+COUNTA($G70:$L70)+COUNTA($Q70))&gt;0),"",IF($V70="Macro",COUNTIFS($V$5:$V70,"Macro",$S$5:$S70,$S70),IF(N($U70)=0,"?",COUNTIFS(INDEX($V$5:$V$1000,1):INDEX($V$5:$V$1000,$U70-4),"Macro",INDEX($S$5:$S$1000,1):INDEX($S$5:$S$1000,$U70-4),INDEX($S$5:$S$1000,$U70-4))&amp;"."&amp;COUNTIFS($U$5:$U70,$U70,$V$5:$V70,"Sub"))))</f>
        <v/>
      </c>
      <c r="B70" s="57" t="n"/>
      <c r="C70" s="58" t="n"/>
      <c r="D70" s="58" t="n"/>
      <c r="E70" s="59">
        <f>IF(N($AL70)&gt;0,INDEX(rIni_ADM,$AL70),"")</f>
        <v/>
      </c>
      <c r="F70" s="59">
        <f>IF(N($AL70)&gt;0,INDEX(rLim_ADM,$AL70),"")</f>
        <v/>
      </c>
      <c r="G70" s="59" t="n"/>
      <c r="H70" s="60" t="n"/>
      <c r="I70" s="60" t="n"/>
      <c r="J70" s="60" t="n"/>
      <c r="K70" s="60" t="n"/>
      <c r="L70" s="60" t="n"/>
      <c r="M70" s="61">
        <f>IF(NOT((COUNTA($B70:$D70)+COUNTA($G70:$L70)+COUNTA($Q70))&gt;0),"",IF(ISNUMBER($G70),1,IF(N($W70)&gt;0,AVERAGEIFS($X$5:$X$1000,$U$5:$U$1000,ROW(),$V$5:$V$1000,"Sub"),$X70)))</f>
        <v/>
      </c>
      <c r="N70" s="56">
        <f>IF($M70="","",IF($M70&gt;=1,"Completado",IF($M70&gt;0,"En curso","Pendiente")))</f>
        <v/>
      </c>
      <c r="O70" s="56">
        <f>IF(NOT((COUNTA($B70:$D70)+COUNTA($G70:$L70)+COUNTA($Q70))&gt;0),"",IF(ISNUMBER($G70),IF(AND(ISNUMBER($AN70),$G70&gt;$AN70),"Cumplida con "&amp;($G70-$AN70)&amp;IF($G70-$AN70=1," día"," días")&amp;" de retraso","Cumplida"),IF(N($M70)&gt;=1,"Cumplida",IF(NOT(ISNUMBER($AN70)),"Sin fecha límite",IF($AN70&lt;FechaRef,"Vencida hace "&amp;(FechaRef-$AN70)&amp;IF(FechaRef-$AN70=1," día"," días"),IF($AN70=FechaRef,"Vence hoy",IF($AN70-FechaRef&lt;=DiasAlerta,"Vence en "&amp;($AN70-FechaRef)&amp;IF($AN70-FechaRef=1," día"," días"),"En plazo")))))))</f>
        <v/>
      </c>
      <c r="P70" s="62" t="n"/>
      <c r="Q70" s="58" t="n"/>
      <c r="R70" s="63">
        <f>IF(NOT((COUNTA($B70:$D70)+COUNTA($G70:$L70)+COUNTA($Q70))&gt;0),"",IF((IF($C70="","Falta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",""))="","✔ OK","⚠ "&amp;LEFT(IF($C70="","Falta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",""),LEN(IF($C70="","Falta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",""))-3)))</f>
        <v/>
      </c>
      <c r="S70" s="64">
        <f>IF(NOT((COUNTA($B70:$D70)+COUNTA($G70:$L70)+COUNTA($Q70))&gt;0),"",IF(AND($V70="Sub",N($U70)&gt;0),IF(ISNUMBER(INDEX($AM$5:$AM$1000,$U70-4)),DATE(YEAR(INDEX($AM$5:$AM$1000,$U70-4)),MONTH(INDEX($AM$5:$AM$1000,$U70-4)),1),IF(ISNUMBER(INDEX($AN$5:$AN$1000,$U70-4)),DATE(YEAR(INDEX($AN$5:$AN$1000,$U70-4)),MONTH(INDEX($AN$5:$AN$1000,$U70-4)),1),MesCiclo)),IF(ISNUMBER($AM70),DATE(YEAR($AM70),MONTH($AM70),1),IF(ISNUMBER($AN70),DATE(YEAR($AN70),MONTH($AN70),1),MesCiclo))))</f>
        <v/>
      </c>
      <c r="T70" s="62">
        <f>IF(OR($S70="",$S70&lt;&gt;MesCiclo),"",COUNTIF($S$5:$S70,MesCiclo))</f>
        <v/>
      </c>
      <c r="U70" s="62">
        <f>IF($V70="","",IF($V70="Macro",ROW(),IFERROR(LOOKUP(2,1/($V$5:$V70="Macro"),ROW($V$5:$V70)),0)))</f>
        <v/>
      </c>
      <c r="V70" s="62">
        <f>IF(NOT((COUNTA($B70:$D70)+COUNTA($G70:$L70)+COUNTA($Q70))&gt;0),"",IF($B70="Subactividad","Sub","Macro"))</f>
        <v/>
      </c>
      <c r="W70" s="62">
        <f>IF($V70="Macro",COUNTIFS($U$5:$U$1000,ROW(),$V$5:$V$1000,"Sub"),"")</f>
        <v/>
      </c>
      <c r="X70" s="62">
        <f>IF($V70="","",IF(ISNUMBER($G70),1,IFERROR(LOOKUP(2,1/($I70:$L70&lt;&gt;""),$I70:$L70),0)))</f>
        <v/>
      </c>
      <c r="Y70" s="62">
        <f>IF($V70="","",IF(AND(ISNUMBER($G70),$G70&lt;=IF($S70=MesCiclo,InicioCiclo,$S70+MOD(2-WEEKDAY($S70),7))+6),1,IF(ISNUMBER($I70),$I70,0)))</f>
        <v/>
      </c>
      <c r="Z70" s="62">
        <f>IF($V70="","",IF(AND(ISNUMBER($G70),$G70&lt;=IF($S70=MesCiclo,InicioCiclo,$S70+MOD(2-WEEKDAY($S70),7))+13),1,IF(ISNUMBER($J70),$J70,$Y70)))</f>
        <v/>
      </c>
      <c r="AA70" s="62">
        <f>IF($V70="","",IF(AND(ISNUMBER($G70),$G70&lt;=IF($S70=MesCiclo,InicioCiclo,$S70+MOD(2-WEEKDAY($S70),7))+20),1,IF(ISNUMBER($K70),$K70,$Z70)))</f>
        <v/>
      </c>
      <c r="AB70" s="62">
        <f>IF($V70="","",IF(AND(ISNUMBER($G70),$G70&lt;=IF($S70=MesCiclo,InicioCiclo,$S70+MOD(2-WEEKDAY($S70),7))+27),1,IF(ISNUMBER($L70),$L70,$AA70)))</f>
        <v/>
      </c>
      <c r="AC70" s="62">
        <f>IF($V70="","",IF(AND(ISNUMBER($G70),$G70&lt;=IF($S70=MesCiclo,InicioCiclo,$S70+MOD(2-WEEKDAY($S70),7))+6),1,IF(N($W70)&gt;0,AVERAGEIFS($Y$5:$Y$1000,$U$5:$U$1000,ROW(),$V$5:$V$1000,"Sub"),$Y70)))</f>
        <v/>
      </c>
      <c r="AD70" s="62">
        <f>IF($V70="","",IF(AND(ISNUMBER($G70),$G70&lt;=IF($S70=MesCiclo,InicioCiclo,$S70+MOD(2-WEEKDAY($S70),7))+13),1,IF(N($W70)&gt;0,AVERAGEIFS($Z$5:$Z$1000,$U$5:$U$1000,ROW(),$V$5:$V$1000,"Sub"),$Z70)))</f>
        <v/>
      </c>
      <c r="AE70" s="62">
        <f>IF($V70="","",IF(AND(ISNUMBER($G70),$G70&lt;=IF($S70=MesCiclo,InicioCiclo,$S70+MOD(2-WEEKDAY($S70),7))+20),1,IF(N($W70)&gt;0,AVERAGEIFS($AA$5:$AA$1000,$U$5:$U$1000,ROW(),$V$5:$V$1000,"Sub"),$AA70)))</f>
        <v/>
      </c>
      <c r="AF70" s="62">
        <f>IF($V70="","",IF(AND(ISNUMBER($G70),$G70&lt;=IF($S70=MesCiclo,InicioCiclo,$S70+MOD(2-WEEKDAY($S70),7))+27),1,IF(N($W70)&gt;0,AVERAGEIFS($AB$5:$AB$1000,$U$5:$U$1000,ROW(),$V$5:$V$1000,"Sub"),$AB70)))</f>
        <v/>
      </c>
      <c r="AG70" s="62">
        <f>IF($V70&lt;&gt;"Macro","",IF(COUNTIFS($S$5:$S$1000,$S70,$V$5:$V$1000,"Macro",$H$5:$H$1000,"&gt;0")=0,1/COUNTIFS($S$5:$S$1000,$S70,$V$5:$V$1000,"Macro"),IF(AND(ISNUMBER($H70),N($H70)&gt;0),$H70,SUMIFS($H$5:$H$1000,$S$5:$S$1000,$S70,$V$5:$V$1000,"Macro")/COUNTIFS($S$5:$S$1000,$S70,$V$5:$V$1000,"Macro",$H$5:$H$1000,"&gt;0"))/(COUNTIFS($S$5:$S$1000,$S70,$V$5:$V$1000,"Macro")*SUMIFS($H$5:$H$1000,$S$5:$S$1000,$S70,$V$5:$V$1000,"Macro")/COUNTIFS($S$5:$S$1000,$S70,$V$5:$V$1000,"Macro",$H$5:$H$1000,"&gt;0"))))</f>
        <v/>
      </c>
      <c r="AH70" s="62" t="n"/>
      <c r="AI70" s="62" t="n"/>
      <c r="AJ70" s="62" t="n"/>
      <c r="AK70" s="62" t="n"/>
      <c r="AL70" s="62">
        <f>IF(LEFT($C70,11)="[Jefatura] ",IFERROR(MATCH("Riesgo Normativo|"&amp;MID($C70,12,500),rDname_ADM,0),0),"")</f>
        <v/>
      </c>
      <c r="AM70" s="62">
        <f>IF(N($AL70)&gt;0,INDEX(rIni_ADM,$AL70),IF(ISNUMBER($E70),$E70,""))</f>
        <v/>
      </c>
      <c r="AN70" s="62">
        <f>IF(N($AL70)&gt;0,INDEX(rLim_ADM,$AL70),IF(ISNUMBER($F70),$F70,""))</f>
        <v/>
      </c>
    </row>
    <row r="71">
      <c r="A71" s="56">
        <f>IF(NOT((COUNTA($B71:$D71)+COUNTA($G71:$L71)+COUNTA($Q71))&gt;0),"",IF($V71="Macro",COUNTIFS($V$5:$V71,"Macro",$S$5:$S71,$S71),IF(N($U71)=0,"?",COUNTIFS(INDEX($V$5:$V$1000,1):INDEX($V$5:$V$1000,$U71-4),"Macro",INDEX($S$5:$S$1000,1):INDEX($S$5:$S$1000,$U71-4),INDEX($S$5:$S$1000,$U71-4))&amp;"."&amp;COUNTIFS($U$5:$U71,$U71,$V$5:$V71,"Sub"))))</f>
        <v/>
      </c>
      <c r="B71" s="57" t="n"/>
      <c r="C71" s="58" t="n"/>
      <c r="D71" s="58" t="n"/>
      <c r="E71" s="59">
        <f>IF(N($AL71)&gt;0,INDEX(rIni_ADM,$AL71),"")</f>
        <v/>
      </c>
      <c r="F71" s="59">
        <f>IF(N($AL71)&gt;0,INDEX(rLim_ADM,$AL71),"")</f>
        <v/>
      </c>
      <c r="G71" s="59" t="n"/>
      <c r="H71" s="60" t="n"/>
      <c r="I71" s="60" t="n"/>
      <c r="J71" s="60" t="n"/>
      <c r="K71" s="60" t="n"/>
      <c r="L71" s="60" t="n"/>
      <c r="M71" s="61">
        <f>IF(NOT((COUNTA($B71:$D71)+COUNTA($G71:$L71)+COUNTA($Q71))&gt;0),"",IF(ISNUMBER($G71),1,IF(N($W71)&gt;0,AVERAGEIFS($X$5:$X$1000,$U$5:$U$1000,ROW(),$V$5:$V$1000,"Sub"),$X71)))</f>
        <v/>
      </c>
      <c r="N71" s="56">
        <f>IF($M71="","",IF($M71&gt;=1,"Completado",IF($M71&gt;0,"En curso","Pendiente")))</f>
        <v/>
      </c>
      <c r="O71" s="56">
        <f>IF(NOT((COUNTA($B71:$D71)+COUNTA($G71:$L71)+COUNTA($Q71))&gt;0),"",IF(ISNUMBER($G71),IF(AND(ISNUMBER($AN71),$G71&gt;$AN71),"Cumplida con "&amp;($G71-$AN71)&amp;IF($G71-$AN71=1," día"," días")&amp;" de retraso","Cumplida"),IF(N($M71)&gt;=1,"Cumplida",IF(NOT(ISNUMBER($AN71)),"Sin fecha límite",IF($AN71&lt;FechaRef,"Vencida hace "&amp;(FechaRef-$AN71)&amp;IF(FechaRef-$AN71=1," día"," días"),IF($AN71=FechaRef,"Vence hoy",IF($AN71-FechaRef&lt;=DiasAlerta,"Vence en "&amp;($AN71-FechaRef)&amp;IF($AN71-FechaRef=1," día"," días"),"En plazo")))))))</f>
        <v/>
      </c>
      <c r="P71" s="62" t="n"/>
      <c r="Q71" s="58" t="n"/>
      <c r="R71" s="63">
        <f>IF(NOT((COUNTA($B71:$D71)+COUNTA($G71:$L71)+COUNTA($Q71))&gt;0),"",IF((IF($C71="","Falta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",""))="","✔ OK","⚠ "&amp;LEFT(IF($C71="","Falta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",""),LEN(IF($C71="","Falta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",""))-3)))</f>
        <v/>
      </c>
      <c r="S71" s="64">
        <f>IF(NOT((COUNTA($B71:$D71)+COUNTA($G71:$L71)+COUNTA($Q71))&gt;0),"",IF(AND($V71="Sub",N($U71)&gt;0),IF(ISNUMBER(INDEX($AM$5:$AM$1000,$U71-4)),DATE(YEAR(INDEX($AM$5:$AM$1000,$U71-4)),MONTH(INDEX($AM$5:$AM$1000,$U71-4)),1),IF(ISNUMBER(INDEX($AN$5:$AN$1000,$U71-4)),DATE(YEAR(INDEX($AN$5:$AN$1000,$U71-4)),MONTH(INDEX($AN$5:$AN$1000,$U71-4)),1),MesCiclo)),IF(ISNUMBER($AM71),DATE(YEAR($AM71),MONTH($AM71),1),IF(ISNUMBER($AN71),DATE(YEAR($AN71),MONTH($AN71),1),MesCiclo))))</f>
        <v/>
      </c>
      <c r="T71" s="62">
        <f>IF(OR($S71="",$S71&lt;&gt;MesCiclo),"",COUNTIF($S$5:$S71,MesCiclo))</f>
        <v/>
      </c>
      <c r="U71" s="62">
        <f>IF($V71="","",IF($V71="Macro",ROW(),IFERROR(LOOKUP(2,1/($V$5:$V71="Macro"),ROW($V$5:$V71)),0)))</f>
        <v/>
      </c>
      <c r="V71" s="62">
        <f>IF(NOT((COUNTA($B71:$D71)+COUNTA($G71:$L71)+COUNTA($Q71))&gt;0),"",IF($B71="Subactividad","Sub","Macro"))</f>
        <v/>
      </c>
      <c r="W71" s="62">
        <f>IF($V71="Macro",COUNTIFS($U$5:$U$1000,ROW(),$V$5:$V$1000,"Sub"),"")</f>
        <v/>
      </c>
      <c r="X71" s="62">
        <f>IF($V71="","",IF(ISNUMBER($G71),1,IFERROR(LOOKUP(2,1/($I71:$L71&lt;&gt;""),$I71:$L71),0)))</f>
        <v/>
      </c>
      <c r="Y71" s="62">
        <f>IF($V71="","",IF(AND(ISNUMBER($G71),$G71&lt;=IF($S71=MesCiclo,InicioCiclo,$S71+MOD(2-WEEKDAY($S71),7))+6),1,IF(ISNUMBER($I71),$I71,0)))</f>
        <v/>
      </c>
      <c r="Z71" s="62">
        <f>IF($V71="","",IF(AND(ISNUMBER($G71),$G71&lt;=IF($S71=MesCiclo,InicioCiclo,$S71+MOD(2-WEEKDAY($S71),7))+13),1,IF(ISNUMBER($J71),$J71,$Y71)))</f>
        <v/>
      </c>
      <c r="AA71" s="62">
        <f>IF($V71="","",IF(AND(ISNUMBER($G71),$G71&lt;=IF($S71=MesCiclo,InicioCiclo,$S71+MOD(2-WEEKDAY($S71),7))+20),1,IF(ISNUMBER($K71),$K71,$Z71)))</f>
        <v/>
      </c>
      <c r="AB71" s="62">
        <f>IF($V71="","",IF(AND(ISNUMBER($G71),$G71&lt;=IF($S71=MesCiclo,InicioCiclo,$S71+MOD(2-WEEKDAY($S71),7))+27),1,IF(ISNUMBER($L71),$L71,$AA71)))</f>
        <v/>
      </c>
      <c r="AC71" s="62">
        <f>IF($V71="","",IF(AND(ISNUMBER($G71),$G71&lt;=IF($S71=MesCiclo,InicioCiclo,$S71+MOD(2-WEEKDAY($S71),7))+6),1,IF(N($W71)&gt;0,AVERAGEIFS($Y$5:$Y$1000,$U$5:$U$1000,ROW(),$V$5:$V$1000,"Sub"),$Y71)))</f>
        <v/>
      </c>
      <c r="AD71" s="62">
        <f>IF($V71="","",IF(AND(ISNUMBER($G71),$G71&lt;=IF($S71=MesCiclo,InicioCiclo,$S71+MOD(2-WEEKDAY($S71),7))+13),1,IF(N($W71)&gt;0,AVERAGEIFS($Z$5:$Z$1000,$U$5:$U$1000,ROW(),$V$5:$V$1000,"Sub"),$Z71)))</f>
        <v/>
      </c>
      <c r="AE71" s="62">
        <f>IF($V71="","",IF(AND(ISNUMBER($G71),$G71&lt;=IF($S71=MesCiclo,InicioCiclo,$S71+MOD(2-WEEKDAY($S71),7))+20),1,IF(N($W71)&gt;0,AVERAGEIFS($AA$5:$AA$1000,$U$5:$U$1000,ROW(),$V$5:$V$1000,"Sub"),$AA71)))</f>
        <v/>
      </c>
      <c r="AF71" s="62">
        <f>IF($V71="","",IF(AND(ISNUMBER($G71),$G71&lt;=IF($S71=MesCiclo,InicioCiclo,$S71+MOD(2-WEEKDAY($S71),7))+27),1,IF(N($W71)&gt;0,AVERAGEIFS($AB$5:$AB$1000,$U$5:$U$1000,ROW(),$V$5:$V$1000,"Sub"),$AB71)))</f>
        <v/>
      </c>
      <c r="AG71" s="62">
        <f>IF($V71&lt;&gt;"Macro","",IF(COUNTIFS($S$5:$S$1000,$S71,$V$5:$V$1000,"Macro",$H$5:$H$1000,"&gt;0")=0,1/COUNTIFS($S$5:$S$1000,$S71,$V$5:$V$1000,"Macro"),IF(AND(ISNUMBER($H71),N($H71)&gt;0),$H71,SUMIFS($H$5:$H$1000,$S$5:$S$1000,$S71,$V$5:$V$1000,"Macro")/COUNTIFS($S$5:$S$1000,$S71,$V$5:$V$1000,"Macro",$H$5:$H$1000,"&gt;0"))/(COUNTIFS($S$5:$S$1000,$S71,$V$5:$V$1000,"Macro")*SUMIFS($H$5:$H$1000,$S$5:$S$1000,$S71,$V$5:$V$1000,"Macro")/COUNTIFS($S$5:$S$1000,$S71,$V$5:$V$1000,"Macro",$H$5:$H$1000,"&gt;0"))))</f>
        <v/>
      </c>
      <c r="AH71" s="62" t="n"/>
      <c r="AI71" s="62" t="n"/>
      <c r="AJ71" s="62" t="n"/>
      <c r="AK71" s="62" t="n"/>
      <c r="AL71" s="62">
        <f>IF(LEFT($C71,11)="[Jefatura] ",IFERROR(MATCH("Riesgo Normativo|"&amp;MID($C71,12,500),rDname_ADM,0),0),"")</f>
        <v/>
      </c>
      <c r="AM71" s="62">
        <f>IF(N($AL71)&gt;0,INDEX(rIni_ADM,$AL71),IF(ISNUMBER($E71),$E71,""))</f>
        <v/>
      </c>
      <c r="AN71" s="62">
        <f>IF(N($AL71)&gt;0,INDEX(rLim_ADM,$AL71),IF(ISNUMBER($F71),$F71,""))</f>
        <v/>
      </c>
    </row>
    <row r="72">
      <c r="A72" s="56">
        <f>IF(NOT((COUNTA($B72:$D72)+COUNTA($G72:$L72)+COUNTA($Q72))&gt;0),"",IF($V72="Macro",COUNTIFS($V$5:$V72,"Macro",$S$5:$S72,$S72),IF(N($U72)=0,"?",COUNTIFS(INDEX($V$5:$V$1000,1):INDEX($V$5:$V$1000,$U72-4),"Macro",INDEX($S$5:$S$1000,1):INDEX($S$5:$S$1000,$U72-4),INDEX($S$5:$S$1000,$U72-4))&amp;"."&amp;COUNTIFS($U$5:$U72,$U72,$V$5:$V72,"Sub"))))</f>
        <v/>
      </c>
      <c r="B72" s="57" t="n"/>
      <c r="C72" s="58" t="n"/>
      <c r="D72" s="58" t="n"/>
      <c r="E72" s="59">
        <f>IF(N($AL72)&gt;0,INDEX(rIni_ADM,$AL72),"")</f>
        <v/>
      </c>
      <c r="F72" s="59">
        <f>IF(N($AL72)&gt;0,INDEX(rLim_ADM,$AL72),"")</f>
        <v/>
      </c>
      <c r="G72" s="59" t="n"/>
      <c r="H72" s="60" t="n"/>
      <c r="I72" s="60" t="n"/>
      <c r="J72" s="60" t="n"/>
      <c r="K72" s="60" t="n"/>
      <c r="L72" s="60" t="n"/>
      <c r="M72" s="61">
        <f>IF(NOT((COUNTA($B72:$D72)+COUNTA($G72:$L72)+COUNTA($Q72))&gt;0),"",IF(ISNUMBER($G72),1,IF(N($W72)&gt;0,AVERAGEIFS($X$5:$X$1000,$U$5:$U$1000,ROW(),$V$5:$V$1000,"Sub"),$X72)))</f>
        <v/>
      </c>
      <c r="N72" s="56">
        <f>IF($M72="","",IF($M72&gt;=1,"Completado",IF($M72&gt;0,"En curso","Pendiente")))</f>
        <v/>
      </c>
      <c r="O72" s="56">
        <f>IF(NOT((COUNTA($B72:$D72)+COUNTA($G72:$L72)+COUNTA($Q72))&gt;0),"",IF(ISNUMBER($G72),IF(AND(ISNUMBER($AN72),$G72&gt;$AN72),"Cumplida con "&amp;($G72-$AN72)&amp;IF($G72-$AN72=1," día"," días")&amp;" de retraso","Cumplida"),IF(N($M72)&gt;=1,"Cumplida",IF(NOT(ISNUMBER($AN72)),"Sin fecha límite",IF($AN72&lt;FechaRef,"Vencida hace "&amp;(FechaRef-$AN72)&amp;IF(FechaRef-$AN72=1," día"," días"),IF($AN72=FechaRef,"Vence hoy",IF($AN72-FechaRef&lt;=DiasAlerta,"Vence en "&amp;($AN72-FechaRef)&amp;IF($AN72-FechaRef=1," día"," días"),"En plazo")))))))</f>
        <v/>
      </c>
      <c r="P72" s="62" t="n"/>
      <c r="Q72" s="58" t="n"/>
      <c r="R72" s="63">
        <f>IF(NOT((COUNTA($B72:$D72)+COUNTA($G72:$L72)+COUNTA($Q72))&gt;0),"",IF((IF($C72="","Falta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",""))="","✔ OK","⚠ "&amp;LEFT(IF($C72="","Falta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",""),LEN(IF($C72="","Falta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",""))-3)))</f>
        <v/>
      </c>
      <c r="S72" s="64">
        <f>IF(NOT((COUNTA($B72:$D72)+COUNTA($G72:$L72)+COUNTA($Q72))&gt;0),"",IF(AND($V72="Sub",N($U72)&gt;0),IF(ISNUMBER(INDEX($AM$5:$AM$1000,$U72-4)),DATE(YEAR(INDEX($AM$5:$AM$1000,$U72-4)),MONTH(INDEX($AM$5:$AM$1000,$U72-4)),1),IF(ISNUMBER(INDEX($AN$5:$AN$1000,$U72-4)),DATE(YEAR(INDEX($AN$5:$AN$1000,$U72-4)),MONTH(INDEX($AN$5:$AN$1000,$U72-4)),1),MesCiclo)),IF(ISNUMBER($AM72),DATE(YEAR($AM72),MONTH($AM72),1),IF(ISNUMBER($AN72),DATE(YEAR($AN72),MONTH($AN72),1),MesCiclo))))</f>
        <v/>
      </c>
      <c r="T72" s="62">
        <f>IF(OR($S72="",$S72&lt;&gt;MesCiclo),"",COUNTIF($S$5:$S72,MesCiclo))</f>
        <v/>
      </c>
      <c r="U72" s="62">
        <f>IF($V72="","",IF($V72="Macro",ROW(),IFERROR(LOOKUP(2,1/($V$5:$V72="Macro"),ROW($V$5:$V72)),0)))</f>
        <v/>
      </c>
      <c r="V72" s="62">
        <f>IF(NOT((COUNTA($B72:$D72)+COUNTA($G72:$L72)+COUNTA($Q72))&gt;0),"",IF($B72="Subactividad","Sub","Macro"))</f>
        <v/>
      </c>
      <c r="W72" s="62">
        <f>IF($V72="Macro",COUNTIFS($U$5:$U$1000,ROW(),$V$5:$V$1000,"Sub"),"")</f>
        <v/>
      </c>
      <c r="X72" s="62">
        <f>IF($V72="","",IF(ISNUMBER($G72),1,IFERROR(LOOKUP(2,1/($I72:$L72&lt;&gt;""),$I72:$L72),0)))</f>
        <v/>
      </c>
      <c r="Y72" s="62">
        <f>IF($V72="","",IF(AND(ISNUMBER($G72),$G72&lt;=IF($S72=MesCiclo,InicioCiclo,$S72+MOD(2-WEEKDAY($S72),7))+6),1,IF(ISNUMBER($I72),$I72,0)))</f>
        <v/>
      </c>
      <c r="Z72" s="62">
        <f>IF($V72="","",IF(AND(ISNUMBER($G72),$G72&lt;=IF($S72=MesCiclo,InicioCiclo,$S72+MOD(2-WEEKDAY($S72),7))+13),1,IF(ISNUMBER($J72),$J72,$Y72)))</f>
        <v/>
      </c>
      <c r="AA72" s="62">
        <f>IF($V72="","",IF(AND(ISNUMBER($G72),$G72&lt;=IF($S72=MesCiclo,InicioCiclo,$S72+MOD(2-WEEKDAY($S72),7))+20),1,IF(ISNUMBER($K72),$K72,$Z72)))</f>
        <v/>
      </c>
      <c r="AB72" s="62">
        <f>IF($V72="","",IF(AND(ISNUMBER($G72),$G72&lt;=IF($S72=MesCiclo,InicioCiclo,$S72+MOD(2-WEEKDAY($S72),7))+27),1,IF(ISNUMBER($L72),$L72,$AA72)))</f>
        <v/>
      </c>
      <c r="AC72" s="62">
        <f>IF($V72="","",IF(AND(ISNUMBER($G72),$G72&lt;=IF($S72=MesCiclo,InicioCiclo,$S72+MOD(2-WEEKDAY($S72),7))+6),1,IF(N($W72)&gt;0,AVERAGEIFS($Y$5:$Y$1000,$U$5:$U$1000,ROW(),$V$5:$V$1000,"Sub"),$Y72)))</f>
        <v/>
      </c>
      <c r="AD72" s="62">
        <f>IF($V72="","",IF(AND(ISNUMBER($G72),$G72&lt;=IF($S72=MesCiclo,InicioCiclo,$S72+MOD(2-WEEKDAY($S72),7))+13),1,IF(N($W72)&gt;0,AVERAGEIFS($Z$5:$Z$1000,$U$5:$U$1000,ROW(),$V$5:$V$1000,"Sub"),$Z72)))</f>
        <v/>
      </c>
      <c r="AE72" s="62">
        <f>IF($V72="","",IF(AND(ISNUMBER($G72),$G72&lt;=IF($S72=MesCiclo,InicioCiclo,$S72+MOD(2-WEEKDAY($S72),7))+20),1,IF(N($W72)&gt;0,AVERAGEIFS($AA$5:$AA$1000,$U$5:$U$1000,ROW(),$V$5:$V$1000,"Sub"),$AA72)))</f>
        <v/>
      </c>
      <c r="AF72" s="62">
        <f>IF($V72="","",IF(AND(ISNUMBER($G72),$G72&lt;=IF($S72=MesCiclo,InicioCiclo,$S72+MOD(2-WEEKDAY($S72),7))+27),1,IF(N($W72)&gt;0,AVERAGEIFS($AB$5:$AB$1000,$U$5:$U$1000,ROW(),$V$5:$V$1000,"Sub"),$AB72)))</f>
        <v/>
      </c>
      <c r="AG72" s="62">
        <f>IF($V72&lt;&gt;"Macro","",IF(COUNTIFS($S$5:$S$1000,$S72,$V$5:$V$1000,"Macro",$H$5:$H$1000,"&gt;0")=0,1/COUNTIFS($S$5:$S$1000,$S72,$V$5:$V$1000,"Macro"),IF(AND(ISNUMBER($H72),N($H72)&gt;0),$H72,SUMIFS($H$5:$H$1000,$S$5:$S$1000,$S72,$V$5:$V$1000,"Macro")/COUNTIFS($S$5:$S$1000,$S72,$V$5:$V$1000,"Macro",$H$5:$H$1000,"&gt;0"))/(COUNTIFS($S$5:$S$1000,$S72,$V$5:$V$1000,"Macro")*SUMIFS($H$5:$H$1000,$S$5:$S$1000,$S72,$V$5:$V$1000,"Macro")/COUNTIFS($S$5:$S$1000,$S72,$V$5:$V$1000,"Macro",$H$5:$H$1000,"&gt;0"))))</f>
        <v/>
      </c>
      <c r="AH72" s="62" t="n"/>
      <c r="AI72" s="62" t="n"/>
      <c r="AJ72" s="62" t="n"/>
      <c r="AK72" s="62" t="n"/>
      <c r="AL72" s="62">
        <f>IF(LEFT($C72,11)="[Jefatura] ",IFERROR(MATCH("Riesgo Normativo|"&amp;MID($C72,12,500),rDname_ADM,0),0),"")</f>
        <v/>
      </c>
      <c r="AM72" s="62">
        <f>IF(N($AL72)&gt;0,INDEX(rIni_ADM,$AL72),IF(ISNUMBER($E72),$E72,""))</f>
        <v/>
      </c>
      <c r="AN72" s="62">
        <f>IF(N($AL72)&gt;0,INDEX(rLim_ADM,$AL72),IF(ISNUMBER($F72),$F72,""))</f>
        <v/>
      </c>
    </row>
    <row r="73">
      <c r="A73" s="56">
        <f>IF(NOT((COUNTA($B73:$D73)+COUNTA($G73:$L73)+COUNTA($Q73))&gt;0),"",IF($V73="Macro",COUNTIFS($V$5:$V73,"Macro",$S$5:$S73,$S73),IF(N($U73)=0,"?",COUNTIFS(INDEX($V$5:$V$1000,1):INDEX($V$5:$V$1000,$U73-4),"Macro",INDEX($S$5:$S$1000,1):INDEX($S$5:$S$1000,$U73-4),INDEX($S$5:$S$1000,$U73-4))&amp;"."&amp;COUNTIFS($U$5:$U73,$U73,$V$5:$V73,"Sub"))))</f>
        <v/>
      </c>
      <c r="B73" s="57" t="n"/>
      <c r="C73" s="58" t="n"/>
      <c r="D73" s="58" t="n"/>
      <c r="E73" s="59">
        <f>IF(N($AL73)&gt;0,INDEX(rIni_ADM,$AL73),"")</f>
        <v/>
      </c>
      <c r="F73" s="59">
        <f>IF(N($AL73)&gt;0,INDEX(rLim_ADM,$AL73),"")</f>
        <v/>
      </c>
      <c r="G73" s="59" t="n"/>
      <c r="H73" s="60" t="n"/>
      <c r="I73" s="60" t="n"/>
      <c r="J73" s="60" t="n"/>
      <c r="K73" s="60" t="n"/>
      <c r="L73" s="60" t="n"/>
      <c r="M73" s="61">
        <f>IF(NOT((COUNTA($B73:$D73)+COUNTA($G73:$L73)+COUNTA($Q73))&gt;0),"",IF(ISNUMBER($G73),1,IF(N($W73)&gt;0,AVERAGEIFS($X$5:$X$1000,$U$5:$U$1000,ROW(),$V$5:$V$1000,"Sub"),$X73)))</f>
        <v/>
      </c>
      <c r="N73" s="56">
        <f>IF($M73="","",IF($M73&gt;=1,"Completado",IF($M73&gt;0,"En curso","Pendiente")))</f>
        <v/>
      </c>
      <c r="O73" s="56">
        <f>IF(NOT((COUNTA($B73:$D73)+COUNTA($G73:$L73)+COUNTA($Q73))&gt;0),"",IF(ISNUMBER($G73),IF(AND(ISNUMBER($AN73),$G73&gt;$AN73),"Cumplida con "&amp;($G73-$AN73)&amp;IF($G73-$AN73=1," día"," días")&amp;" de retraso","Cumplida"),IF(N($M73)&gt;=1,"Cumplida",IF(NOT(ISNUMBER($AN73)),"Sin fecha límite",IF($AN73&lt;FechaRef,"Vencida hace "&amp;(FechaRef-$AN73)&amp;IF(FechaRef-$AN73=1," día"," días"),IF($AN73=FechaRef,"Vence hoy",IF($AN73-FechaRef&lt;=DiasAlerta,"Vence en "&amp;($AN73-FechaRef)&amp;IF($AN73-FechaRef=1," día"," días"),"En plazo")))))))</f>
        <v/>
      </c>
      <c r="P73" s="62" t="n"/>
      <c r="Q73" s="58" t="n"/>
      <c r="R73" s="63">
        <f>IF(NOT((COUNTA($B73:$D73)+COUNTA($G73:$L73)+COUNTA($Q73))&gt;0),"",IF((IF($C73="","Falta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",""))="","✔ OK","⚠ "&amp;LEFT(IF($C73="","Falta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",""),LEN(IF($C73="","Falta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",""))-3)))</f>
        <v/>
      </c>
      <c r="S73" s="64">
        <f>IF(NOT((COUNTA($B73:$D73)+COUNTA($G73:$L73)+COUNTA($Q73))&gt;0),"",IF(AND($V73="Sub",N($U73)&gt;0),IF(ISNUMBER(INDEX($AM$5:$AM$1000,$U73-4)),DATE(YEAR(INDEX($AM$5:$AM$1000,$U73-4)),MONTH(INDEX($AM$5:$AM$1000,$U73-4)),1),IF(ISNUMBER(INDEX($AN$5:$AN$1000,$U73-4)),DATE(YEAR(INDEX($AN$5:$AN$1000,$U73-4)),MONTH(INDEX($AN$5:$AN$1000,$U73-4)),1),MesCiclo)),IF(ISNUMBER($AM73),DATE(YEAR($AM73),MONTH($AM73),1),IF(ISNUMBER($AN73),DATE(YEAR($AN73),MONTH($AN73),1),MesCiclo))))</f>
        <v/>
      </c>
      <c r="T73" s="62">
        <f>IF(OR($S73="",$S73&lt;&gt;MesCiclo),"",COUNTIF($S$5:$S73,MesCiclo))</f>
        <v/>
      </c>
      <c r="U73" s="62">
        <f>IF($V73="","",IF($V73="Macro",ROW(),IFERROR(LOOKUP(2,1/($V$5:$V73="Macro"),ROW($V$5:$V73)),0)))</f>
        <v/>
      </c>
      <c r="V73" s="62">
        <f>IF(NOT((COUNTA($B73:$D73)+COUNTA($G73:$L73)+COUNTA($Q73))&gt;0),"",IF($B73="Subactividad","Sub","Macro"))</f>
        <v/>
      </c>
      <c r="W73" s="62">
        <f>IF($V73="Macro",COUNTIFS($U$5:$U$1000,ROW(),$V$5:$V$1000,"Sub"),"")</f>
        <v/>
      </c>
      <c r="X73" s="62">
        <f>IF($V73="","",IF(ISNUMBER($G73),1,IFERROR(LOOKUP(2,1/($I73:$L73&lt;&gt;""),$I73:$L73),0)))</f>
        <v/>
      </c>
      <c r="Y73" s="62">
        <f>IF($V73="","",IF(AND(ISNUMBER($G73),$G73&lt;=IF($S73=MesCiclo,InicioCiclo,$S73+MOD(2-WEEKDAY($S73),7))+6),1,IF(ISNUMBER($I73),$I73,0)))</f>
        <v/>
      </c>
      <c r="Z73" s="62">
        <f>IF($V73="","",IF(AND(ISNUMBER($G73),$G73&lt;=IF($S73=MesCiclo,InicioCiclo,$S73+MOD(2-WEEKDAY($S73),7))+13),1,IF(ISNUMBER($J73),$J73,$Y73)))</f>
        <v/>
      </c>
      <c r="AA73" s="62">
        <f>IF($V73="","",IF(AND(ISNUMBER($G73),$G73&lt;=IF($S73=MesCiclo,InicioCiclo,$S73+MOD(2-WEEKDAY($S73),7))+20),1,IF(ISNUMBER($K73),$K73,$Z73)))</f>
        <v/>
      </c>
      <c r="AB73" s="62">
        <f>IF($V73="","",IF(AND(ISNUMBER($G73),$G73&lt;=IF($S73=MesCiclo,InicioCiclo,$S73+MOD(2-WEEKDAY($S73),7))+27),1,IF(ISNUMBER($L73),$L73,$AA73)))</f>
        <v/>
      </c>
      <c r="AC73" s="62">
        <f>IF($V73="","",IF(AND(ISNUMBER($G73),$G73&lt;=IF($S73=MesCiclo,InicioCiclo,$S73+MOD(2-WEEKDAY($S73),7))+6),1,IF(N($W73)&gt;0,AVERAGEIFS($Y$5:$Y$1000,$U$5:$U$1000,ROW(),$V$5:$V$1000,"Sub"),$Y73)))</f>
        <v/>
      </c>
      <c r="AD73" s="62">
        <f>IF($V73="","",IF(AND(ISNUMBER($G73),$G73&lt;=IF($S73=MesCiclo,InicioCiclo,$S73+MOD(2-WEEKDAY($S73),7))+13),1,IF(N($W73)&gt;0,AVERAGEIFS($Z$5:$Z$1000,$U$5:$U$1000,ROW(),$V$5:$V$1000,"Sub"),$Z73)))</f>
        <v/>
      </c>
      <c r="AE73" s="62">
        <f>IF($V73="","",IF(AND(ISNUMBER($G73),$G73&lt;=IF($S73=MesCiclo,InicioCiclo,$S73+MOD(2-WEEKDAY($S73),7))+20),1,IF(N($W73)&gt;0,AVERAGEIFS($AA$5:$AA$1000,$U$5:$U$1000,ROW(),$V$5:$V$1000,"Sub"),$AA73)))</f>
        <v/>
      </c>
      <c r="AF73" s="62">
        <f>IF($V73="","",IF(AND(ISNUMBER($G73),$G73&lt;=IF($S73=MesCiclo,InicioCiclo,$S73+MOD(2-WEEKDAY($S73),7))+27),1,IF(N($W73)&gt;0,AVERAGEIFS($AB$5:$AB$1000,$U$5:$U$1000,ROW(),$V$5:$V$1000,"Sub"),$AB73)))</f>
        <v/>
      </c>
      <c r="AG73" s="62">
        <f>IF($V73&lt;&gt;"Macro","",IF(COUNTIFS($S$5:$S$1000,$S73,$V$5:$V$1000,"Macro",$H$5:$H$1000,"&gt;0")=0,1/COUNTIFS($S$5:$S$1000,$S73,$V$5:$V$1000,"Macro"),IF(AND(ISNUMBER($H73),N($H73)&gt;0),$H73,SUMIFS($H$5:$H$1000,$S$5:$S$1000,$S73,$V$5:$V$1000,"Macro")/COUNTIFS($S$5:$S$1000,$S73,$V$5:$V$1000,"Macro",$H$5:$H$1000,"&gt;0"))/(COUNTIFS($S$5:$S$1000,$S73,$V$5:$V$1000,"Macro")*SUMIFS($H$5:$H$1000,$S$5:$S$1000,$S73,$V$5:$V$1000,"Macro")/COUNTIFS($S$5:$S$1000,$S73,$V$5:$V$1000,"Macro",$H$5:$H$1000,"&gt;0"))))</f>
        <v/>
      </c>
      <c r="AH73" s="62" t="n"/>
      <c r="AI73" s="62" t="n"/>
      <c r="AJ73" s="62" t="n"/>
      <c r="AK73" s="62" t="n"/>
      <c r="AL73" s="62">
        <f>IF(LEFT($C73,11)="[Jefatura] ",IFERROR(MATCH("Riesgo Normativo|"&amp;MID($C73,12,500),rDname_ADM,0),0),"")</f>
        <v/>
      </c>
      <c r="AM73" s="62">
        <f>IF(N($AL73)&gt;0,INDEX(rIni_ADM,$AL73),IF(ISNUMBER($E73),$E73,""))</f>
        <v/>
      </c>
      <c r="AN73" s="62">
        <f>IF(N($AL73)&gt;0,INDEX(rLim_ADM,$AL73),IF(ISNUMBER($F73),$F73,""))</f>
        <v/>
      </c>
    </row>
    <row r="74">
      <c r="A74" s="56">
        <f>IF(NOT((COUNTA($B74:$D74)+COUNTA($G74:$L74)+COUNTA($Q74))&gt;0),"",IF($V74="Macro",COUNTIFS($V$5:$V74,"Macro",$S$5:$S74,$S74),IF(N($U74)=0,"?",COUNTIFS(INDEX($V$5:$V$1000,1):INDEX($V$5:$V$1000,$U74-4),"Macro",INDEX($S$5:$S$1000,1):INDEX($S$5:$S$1000,$U74-4),INDEX($S$5:$S$1000,$U74-4))&amp;"."&amp;COUNTIFS($U$5:$U74,$U74,$V$5:$V74,"Sub"))))</f>
        <v/>
      </c>
      <c r="B74" s="57" t="n"/>
      <c r="C74" s="58" t="n"/>
      <c r="D74" s="58" t="n"/>
      <c r="E74" s="59">
        <f>IF(N($AL74)&gt;0,INDEX(rIni_ADM,$AL74),"")</f>
        <v/>
      </c>
      <c r="F74" s="59">
        <f>IF(N($AL74)&gt;0,INDEX(rLim_ADM,$AL74),"")</f>
        <v/>
      </c>
      <c r="G74" s="59" t="n"/>
      <c r="H74" s="60" t="n"/>
      <c r="I74" s="60" t="n"/>
      <c r="J74" s="60" t="n"/>
      <c r="K74" s="60" t="n"/>
      <c r="L74" s="60" t="n"/>
      <c r="M74" s="61">
        <f>IF(NOT((COUNTA($B74:$D74)+COUNTA($G74:$L74)+COUNTA($Q74))&gt;0),"",IF(ISNUMBER($G74),1,IF(N($W74)&gt;0,AVERAGEIFS($X$5:$X$1000,$U$5:$U$1000,ROW(),$V$5:$V$1000,"Sub"),$X74)))</f>
        <v/>
      </c>
      <c r="N74" s="56">
        <f>IF($M74="","",IF($M74&gt;=1,"Completado",IF($M74&gt;0,"En curso","Pendiente")))</f>
        <v/>
      </c>
      <c r="O74" s="56">
        <f>IF(NOT((COUNTA($B74:$D74)+COUNTA($G74:$L74)+COUNTA($Q74))&gt;0),"",IF(ISNUMBER($G74),IF(AND(ISNUMBER($AN74),$G74&gt;$AN74),"Cumplida con "&amp;($G74-$AN74)&amp;IF($G74-$AN74=1," día"," días")&amp;" de retraso","Cumplida"),IF(N($M74)&gt;=1,"Cumplida",IF(NOT(ISNUMBER($AN74)),"Sin fecha límite",IF($AN74&lt;FechaRef,"Vencida hace "&amp;(FechaRef-$AN74)&amp;IF(FechaRef-$AN74=1," día"," días"),IF($AN74=FechaRef,"Vence hoy",IF($AN74-FechaRef&lt;=DiasAlerta,"Vence en "&amp;($AN74-FechaRef)&amp;IF($AN74-FechaRef=1," día"," días"),"En plazo")))))))</f>
        <v/>
      </c>
      <c r="P74" s="62" t="n"/>
      <c r="Q74" s="58" t="n"/>
      <c r="R74" s="63">
        <f>IF(NOT((COUNTA($B74:$D74)+COUNTA($G74:$L74)+COUNTA($Q74))&gt;0),"",IF((IF($C74="","Falta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",""))="","✔ OK","⚠ "&amp;LEFT(IF($C74="","Falta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",""),LEN(IF($C74="","Falta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",""))-3)))</f>
        <v/>
      </c>
      <c r="S74" s="64">
        <f>IF(NOT((COUNTA($B74:$D74)+COUNTA($G74:$L74)+COUNTA($Q74))&gt;0),"",IF(AND($V74="Sub",N($U74)&gt;0),IF(ISNUMBER(INDEX($AM$5:$AM$1000,$U74-4)),DATE(YEAR(INDEX($AM$5:$AM$1000,$U74-4)),MONTH(INDEX($AM$5:$AM$1000,$U74-4)),1),IF(ISNUMBER(INDEX($AN$5:$AN$1000,$U74-4)),DATE(YEAR(INDEX($AN$5:$AN$1000,$U74-4)),MONTH(INDEX($AN$5:$AN$1000,$U74-4)),1),MesCiclo)),IF(ISNUMBER($AM74),DATE(YEAR($AM74),MONTH($AM74),1),IF(ISNUMBER($AN74),DATE(YEAR($AN74),MONTH($AN74),1),MesCiclo))))</f>
        <v/>
      </c>
      <c r="T74" s="62">
        <f>IF(OR($S74="",$S74&lt;&gt;MesCiclo),"",COUNTIF($S$5:$S74,MesCiclo))</f>
        <v/>
      </c>
      <c r="U74" s="62">
        <f>IF($V74="","",IF($V74="Macro",ROW(),IFERROR(LOOKUP(2,1/($V$5:$V74="Macro"),ROW($V$5:$V74)),0)))</f>
        <v/>
      </c>
      <c r="V74" s="62">
        <f>IF(NOT((COUNTA($B74:$D74)+COUNTA($G74:$L74)+COUNTA($Q74))&gt;0),"",IF($B74="Subactividad","Sub","Macro"))</f>
        <v/>
      </c>
      <c r="W74" s="62">
        <f>IF($V74="Macro",COUNTIFS($U$5:$U$1000,ROW(),$V$5:$V$1000,"Sub"),"")</f>
        <v/>
      </c>
      <c r="X74" s="62">
        <f>IF($V74="","",IF(ISNUMBER($G74),1,IFERROR(LOOKUP(2,1/($I74:$L74&lt;&gt;""),$I74:$L74),0)))</f>
        <v/>
      </c>
      <c r="Y74" s="62">
        <f>IF($V74="","",IF(AND(ISNUMBER($G74),$G74&lt;=IF($S74=MesCiclo,InicioCiclo,$S74+MOD(2-WEEKDAY($S74),7))+6),1,IF(ISNUMBER($I74),$I74,0)))</f>
        <v/>
      </c>
      <c r="Z74" s="62">
        <f>IF($V74="","",IF(AND(ISNUMBER($G74),$G74&lt;=IF($S74=MesCiclo,InicioCiclo,$S74+MOD(2-WEEKDAY($S74),7))+13),1,IF(ISNUMBER($J74),$J74,$Y74)))</f>
        <v/>
      </c>
      <c r="AA74" s="62">
        <f>IF($V74="","",IF(AND(ISNUMBER($G74),$G74&lt;=IF($S74=MesCiclo,InicioCiclo,$S74+MOD(2-WEEKDAY($S74),7))+20),1,IF(ISNUMBER($K74),$K74,$Z74)))</f>
        <v/>
      </c>
      <c r="AB74" s="62">
        <f>IF($V74="","",IF(AND(ISNUMBER($G74),$G74&lt;=IF($S74=MesCiclo,InicioCiclo,$S74+MOD(2-WEEKDAY($S74),7))+27),1,IF(ISNUMBER($L74),$L74,$AA74)))</f>
        <v/>
      </c>
      <c r="AC74" s="62">
        <f>IF($V74="","",IF(AND(ISNUMBER($G74),$G74&lt;=IF($S74=MesCiclo,InicioCiclo,$S74+MOD(2-WEEKDAY($S74),7))+6),1,IF(N($W74)&gt;0,AVERAGEIFS($Y$5:$Y$1000,$U$5:$U$1000,ROW(),$V$5:$V$1000,"Sub"),$Y74)))</f>
        <v/>
      </c>
      <c r="AD74" s="62">
        <f>IF($V74="","",IF(AND(ISNUMBER($G74),$G74&lt;=IF($S74=MesCiclo,InicioCiclo,$S74+MOD(2-WEEKDAY($S74),7))+13),1,IF(N($W74)&gt;0,AVERAGEIFS($Z$5:$Z$1000,$U$5:$U$1000,ROW(),$V$5:$V$1000,"Sub"),$Z74)))</f>
        <v/>
      </c>
      <c r="AE74" s="62">
        <f>IF($V74="","",IF(AND(ISNUMBER($G74),$G74&lt;=IF($S74=MesCiclo,InicioCiclo,$S74+MOD(2-WEEKDAY($S74),7))+20),1,IF(N($W74)&gt;0,AVERAGEIFS($AA$5:$AA$1000,$U$5:$U$1000,ROW(),$V$5:$V$1000,"Sub"),$AA74)))</f>
        <v/>
      </c>
      <c r="AF74" s="62">
        <f>IF($V74="","",IF(AND(ISNUMBER($G74),$G74&lt;=IF($S74=MesCiclo,InicioCiclo,$S74+MOD(2-WEEKDAY($S74),7))+27),1,IF(N($W74)&gt;0,AVERAGEIFS($AB$5:$AB$1000,$U$5:$U$1000,ROW(),$V$5:$V$1000,"Sub"),$AB74)))</f>
        <v/>
      </c>
      <c r="AG74" s="62">
        <f>IF($V74&lt;&gt;"Macro","",IF(COUNTIFS($S$5:$S$1000,$S74,$V$5:$V$1000,"Macro",$H$5:$H$1000,"&gt;0")=0,1/COUNTIFS($S$5:$S$1000,$S74,$V$5:$V$1000,"Macro"),IF(AND(ISNUMBER($H74),N($H74)&gt;0),$H74,SUMIFS($H$5:$H$1000,$S$5:$S$1000,$S74,$V$5:$V$1000,"Macro")/COUNTIFS($S$5:$S$1000,$S74,$V$5:$V$1000,"Macro",$H$5:$H$1000,"&gt;0"))/(COUNTIFS($S$5:$S$1000,$S74,$V$5:$V$1000,"Macro")*SUMIFS($H$5:$H$1000,$S$5:$S$1000,$S74,$V$5:$V$1000,"Macro")/COUNTIFS($S$5:$S$1000,$S74,$V$5:$V$1000,"Macro",$H$5:$H$1000,"&gt;0"))))</f>
        <v/>
      </c>
      <c r="AH74" s="62" t="n"/>
      <c r="AI74" s="62" t="n"/>
      <c r="AJ74" s="62" t="n"/>
      <c r="AK74" s="62" t="n"/>
      <c r="AL74" s="62">
        <f>IF(LEFT($C74,11)="[Jefatura] ",IFERROR(MATCH("Riesgo Normativo|"&amp;MID($C74,12,500),rDname_ADM,0),0),"")</f>
        <v/>
      </c>
      <c r="AM74" s="62">
        <f>IF(N($AL74)&gt;0,INDEX(rIni_ADM,$AL74),IF(ISNUMBER($E74),$E74,""))</f>
        <v/>
      </c>
      <c r="AN74" s="62">
        <f>IF(N($AL74)&gt;0,INDEX(rLim_ADM,$AL74),IF(ISNUMBER($F74),$F74,""))</f>
        <v/>
      </c>
    </row>
    <row r="75">
      <c r="A75" s="56">
        <f>IF(NOT((COUNTA($B75:$D75)+COUNTA($G75:$L75)+COUNTA($Q75))&gt;0),"",IF($V75="Macro",COUNTIFS($V$5:$V75,"Macro",$S$5:$S75,$S75),IF(N($U75)=0,"?",COUNTIFS(INDEX($V$5:$V$1000,1):INDEX($V$5:$V$1000,$U75-4),"Macro",INDEX($S$5:$S$1000,1):INDEX($S$5:$S$1000,$U75-4),INDEX($S$5:$S$1000,$U75-4))&amp;"."&amp;COUNTIFS($U$5:$U75,$U75,$V$5:$V75,"Sub"))))</f>
        <v/>
      </c>
      <c r="B75" s="57" t="n"/>
      <c r="C75" s="58" t="n"/>
      <c r="D75" s="58" t="n"/>
      <c r="E75" s="59">
        <f>IF(N($AL75)&gt;0,INDEX(rIni_ADM,$AL75),"")</f>
        <v/>
      </c>
      <c r="F75" s="59">
        <f>IF(N($AL75)&gt;0,INDEX(rLim_ADM,$AL75),"")</f>
        <v/>
      </c>
      <c r="G75" s="59" t="n"/>
      <c r="H75" s="60" t="n"/>
      <c r="I75" s="60" t="n"/>
      <c r="J75" s="60" t="n"/>
      <c r="K75" s="60" t="n"/>
      <c r="L75" s="60" t="n"/>
      <c r="M75" s="61">
        <f>IF(NOT((COUNTA($B75:$D75)+COUNTA($G75:$L75)+COUNTA($Q75))&gt;0),"",IF(ISNUMBER($G75),1,IF(N($W75)&gt;0,AVERAGEIFS($X$5:$X$1000,$U$5:$U$1000,ROW(),$V$5:$V$1000,"Sub"),$X75)))</f>
        <v/>
      </c>
      <c r="N75" s="56">
        <f>IF($M75="","",IF($M75&gt;=1,"Completado",IF($M75&gt;0,"En curso","Pendiente")))</f>
        <v/>
      </c>
      <c r="O75" s="56">
        <f>IF(NOT((COUNTA($B75:$D75)+COUNTA($G75:$L75)+COUNTA($Q75))&gt;0),"",IF(ISNUMBER($G75),IF(AND(ISNUMBER($AN75),$G75&gt;$AN75),"Cumplida con "&amp;($G75-$AN75)&amp;IF($G75-$AN75=1," día"," días")&amp;" de retraso","Cumplida"),IF(N($M75)&gt;=1,"Cumplida",IF(NOT(ISNUMBER($AN75)),"Sin fecha límite",IF($AN75&lt;FechaRef,"Vencida hace "&amp;(FechaRef-$AN75)&amp;IF(FechaRef-$AN75=1," día"," días"),IF($AN75=FechaRef,"Vence hoy",IF($AN75-FechaRef&lt;=DiasAlerta,"Vence en "&amp;($AN75-FechaRef)&amp;IF($AN75-FechaRef=1," día"," días"),"En plazo")))))))</f>
        <v/>
      </c>
      <c r="P75" s="62" t="n"/>
      <c r="Q75" s="58" t="n"/>
      <c r="R75" s="63">
        <f>IF(NOT((COUNTA($B75:$D75)+COUNTA($G75:$L75)+COUNTA($Q75))&gt;0),"",IF((IF($C75="","Falta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",""))="","✔ OK","⚠ "&amp;LEFT(IF($C75="","Falta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",""),LEN(IF($C75="","Falta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",""))-3)))</f>
        <v/>
      </c>
      <c r="S75" s="64">
        <f>IF(NOT((COUNTA($B75:$D75)+COUNTA($G75:$L75)+COUNTA($Q75))&gt;0),"",IF(AND($V75="Sub",N($U75)&gt;0),IF(ISNUMBER(INDEX($AM$5:$AM$1000,$U75-4)),DATE(YEAR(INDEX($AM$5:$AM$1000,$U75-4)),MONTH(INDEX($AM$5:$AM$1000,$U75-4)),1),IF(ISNUMBER(INDEX($AN$5:$AN$1000,$U75-4)),DATE(YEAR(INDEX($AN$5:$AN$1000,$U75-4)),MONTH(INDEX($AN$5:$AN$1000,$U75-4)),1),MesCiclo)),IF(ISNUMBER($AM75),DATE(YEAR($AM75),MONTH($AM75),1),IF(ISNUMBER($AN75),DATE(YEAR($AN75),MONTH($AN75),1),MesCiclo))))</f>
        <v/>
      </c>
      <c r="T75" s="62">
        <f>IF(OR($S75="",$S75&lt;&gt;MesCiclo),"",COUNTIF($S$5:$S75,MesCiclo))</f>
        <v/>
      </c>
      <c r="U75" s="62">
        <f>IF($V75="","",IF($V75="Macro",ROW(),IFERROR(LOOKUP(2,1/($V$5:$V75="Macro"),ROW($V$5:$V75)),0)))</f>
        <v/>
      </c>
      <c r="V75" s="62">
        <f>IF(NOT((COUNTA($B75:$D75)+COUNTA($G75:$L75)+COUNTA($Q75))&gt;0),"",IF($B75="Subactividad","Sub","Macro"))</f>
        <v/>
      </c>
      <c r="W75" s="62">
        <f>IF($V75="Macro",COUNTIFS($U$5:$U$1000,ROW(),$V$5:$V$1000,"Sub"),"")</f>
        <v/>
      </c>
      <c r="X75" s="62">
        <f>IF($V75="","",IF(ISNUMBER($G75),1,IFERROR(LOOKUP(2,1/($I75:$L75&lt;&gt;""),$I75:$L75),0)))</f>
        <v/>
      </c>
      <c r="Y75" s="62">
        <f>IF($V75="","",IF(AND(ISNUMBER($G75),$G75&lt;=IF($S75=MesCiclo,InicioCiclo,$S75+MOD(2-WEEKDAY($S75),7))+6),1,IF(ISNUMBER($I75),$I75,0)))</f>
        <v/>
      </c>
      <c r="Z75" s="62">
        <f>IF($V75="","",IF(AND(ISNUMBER($G75),$G75&lt;=IF($S75=MesCiclo,InicioCiclo,$S75+MOD(2-WEEKDAY($S75),7))+13),1,IF(ISNUMBER($J75),$J75,$Y75)))</f>
        <v/>
      </c>
      <c r="AA75" s="62">
        <f>IF($V75="","",IF(AND(ISNUMBER($G75),$G75&lt;=IF($S75=MesCiclo,InicioCiclo,$S75+MOD(2-WEEKDAY($S75),7))+20),1,IF(ISNUMBER($K75),$K75,$Z75)))</f>
        <v/>
      </c>
      <c r="AB75" s="62">
        <f>IF($V75="","",IF(AND(ISNUMBER($G75),$G75&lt;=IF($S75=MesCiclo,InicioCiclo,$S75+MOD(2-WEEKDAY($S75),7))+27),1,IF(ISNUMBER($L75),$L75,$AA75)))</f>
        <v/>
      </c>
      <c r="AC75" s="62">
        <f>IF($V75="","",IF(AND(ISNUMBER($G75),$G75&lt;=IF($S75=MesCiclo,InicioCiclo,$S75+MOD(2-WEEKDAY($S75),7))+6),1,IF(N($W75)&gt;0,AVERAGEIFS($Y$5:$Y$1000,$U$5:$U$1000,ROW(),$V$5:$V$1000,"Sub"),$Y75)))</f>
        <v/>
      </c>
      <c r="AD75" s="62">
        <f>IF($V75="","",IF(AND(ISNUMBER($G75),$G75&lt;=IF($S75=MesCiclo,InicioCiclo,$S75+MOD(2-WEEKDAY($S75),7))+13),1,IF(N($W75)&gt;0,AVERAGEIFS($Z$5:$Z$1000,$U$5:$U$1000,ROW(),$V$5:$V$1000,"Sub"),$Z75)))</f>
        <v/>
      </c>
      <c r="AE75" s="62">
        <f>IF($V75="","",IF(AND(ISNUMBER($G75),$G75&lt;=IF($S75=MesCiclo,InicioCiclo,$S75+MOD(2-WEEKDAY($S75),7))+20),1,IF(N($W75)&gt;0,AVERAGEIFS($AA$5:$AA$1000,$U$5:$U$1000,ROW(),$V$5:$V$1000,"Sub"),$AA75)))</f>
        <v/>
      </c>
      <c r="AF75" s="62">
        <f>IF($V75="","",IF(AND(ISNUMBER($G75),$G75&lt;=IF($S75=MesCiclo,InicioCiclo,$S75+MOD(2-WEEKDAY($S75),7))+27),1,IF(N($W75)&gt;0,AVERAGEIFS($AB$5:$AB$1000,$U$5:$U$1000,ROW(),$V$5:$V$1000,"Sub"),$AB75)))</f>
        <v/>
      </c>
      <c r="AG75" s="62">
        <f>IF($V75&lt;&gt;"Macro","",IF(COUNTIFS($S$5:$S$1000,$S75,$V$5:$V$1000,"Macro",$H$5:$H$1000,"&gt;0")=0,1/COUNTIFS($S$5:$S$1000,$S75,$V$5:$V$1000,"Macro"),IF(AND(ISNUMBER($H75),N($H75)&gt;0),$H75,SUMIFS($H$5:$H$1000,$S$5:$S$1000,$S75,$V$5:$V$1000,"Macro")/COUNTIFS($S$5:$S$1000,$S75,$V$5:$V$1000,"Macro",$H$5:$H$1000,"&gt;0"))/(COUNTIFS($S$5:$S$1000,$S75,$V$5:$V$1000,"Macro")*SUMIFS($H$5:$H$1000,$S$5:$S$1000,$S75,$V$5:$V$1000,"Macro")/COUNTIFS($S$5:$S$1000,$S75,$V$5:$V$1000,"Macro",$H$5:$H$1000,"&gt;0"))))</f>
        <v/>
      </c>
      <c r="AH75" s="62" t="n"/>
      <c r="AI75" s="62" t="n"/>
      <c r="AJ75" s="62" t="n"/>
      <c r="AK75" s="62" t="n"/>
      <c r="AL75" s="62">
        <f>IF(LEFT($C75,11)="[Jefatura] ",IFERROR(MATCH("Riesgo Normativo|"&amp;MID($C75,12,500),rDname_ADM,0),0),"")</f>
        <v/>
      </c>
      <c r="AM75" s="62">
        <f>IF(N($AL75)&gt;0,INDEX(rIni_ADM,$AL75),IF(ISNUMBER($E75),$E75,""))</f>
        <v/>
      </c>
      <c r="AN75" s="62">
        <f>IF(N($AL75)&gt;0,INDEX(rLim_ADM,$AL75),IF(ISNUMBER($F75),$F75,""))</f>
        <v/>
      </c>
    </row>
    <row r="76">
      <c r="A76" s="56">
        <f>IF(NOT((COUNTA($B76:$D76)+COUNTA($G76:$L76)+COUNTA($Q76))&gt;0),"",IF($V76="Macro",COUNTIFS($V$5:$V76,"Macro",$S$5:$S76,$S76),IF(N($U76)=0,"?",COUNTIFS(INDEX($V$5:$V$1000,1):INDEX($V$5:$V$1000,$U76-4),"Macro",INDEX($S$5:$S$1000,1):INDEX($S$5:$S$1000,$U76-4),INDEX($S$5:$S$1000,$U76-4))&amp;"."&amp;COUNTIFS($U$5:$U76,$U76,$V$5:$V76,"Sub"))))</f>
        <v/>
      </c>
      <c r="B76" s="57" t="n"/>
      <c r="C76" s="58" t="n"/>
      <c r="D76" s="58" t="n"/>
      <c r="E76" s="59">
        <f>IF(N($AL76)&gt;0,INDEX(rIni_ADM,$AL76),"")</f>
        <v/>
      </c>
      <c r="F76" s="59">
        <f>IF(N($AL76)&gt;0,INDEX(rLim_ADM,$AL76),"")</f>
        <v/>
      </c>
      <c r="G76" s="59" t="n"/>
      <c r="H76" s="60" t="n"/>
      <c r="I76" s="60" t="n"/>
      <c r="J76" s="60" t="n"/>
      <c r="K76" s="60" t="n"/>
      <c r="L76" s="60" t="n"/>
      <c r="M76" s="61">
        <f>IF(NOT((COUNTA($B76:$D76)+COUNTA($G76:$L76)+COUNTA($Q76))&gt;0),"",IF(ISNUMBER($G76),1,IF(N($W76)&gt;0,AVERAGEIFS($X$5:$X$1000,$U$5:$U$1000,ROW(),$V$5:$V$1000,"Sub"),$X76)))</f>
        <v/>
      </c>
      <c r="N76" s="56">
        <f>IF($M76="","",IF($M76&gt;=1,"Completado",IF($M76&gt;0,"En curso","Pendiente")))</f>
        <v/>
      </c>
      <c r="O76" s="56">
        <f>IF(NOT((COUNTA($B76:$D76)+COUNTA($G76:$L76)+COUNTA($Q76))&gt;0),"",IF(ISNUMBER($G76),IF(AND(ISNUMBER($AN76),$G76&gt;$AN76),"Cumplida con "&amp;($G76-$AN76)&amp;IF($G76-$AN76=1," día"," días")&amp;" de retraso","Cumplida"),IF(N($M76)&gt;=1,"Cumplida",IF(NOT(ISNUMBER($AN76)),"Sin fecha límite",IF($AN76&lt;FechaRef,"Vencida hace "&amp;(FechaRef-$AN76)&amp;IF(FechaRef-$AN76=1," día"," días"),IF($AN76=FechaRef,"Vence hoy",IF($AN76-FechaRef&lt;=DiasAlerta,"Vence en "&amp;($AN76-FechaRef)&amp;IF($AN76-FechaRef=1," día"," días"),"En plazo")))))))</f>
        <v/>
      </c>
      <c r="P76" s="62" t="n"/>
      <c r="Q76" s="58" t="n"/>
      <c r="R76" s="63">
        <f>IF(NOT((COUNTA($B76:$D76)+COUNTA($G76:$L76)+COUNTA($Q76))&gt;0),"",IF((IF($C76="","Falta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",""))="","✔ OK","⚠ "&amp;LEFT(IF($C76="","Falta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",""),LEN(IF($C76="","Falta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",""))-3)))</f>
        <v/>
      </c>
      <c r="S76" s="64">
        <f>IF(NOT((COUNTA($B76:$D76)+COUNTA($G76:$L76)+COUNTA($Q76))&gt;0),"",IF(AND($V76="Sub",N($U76)&gt;0),IF(ISNUMBER(INDEX($AM$5:$AM$1000,$U76-4)),DATE(YEAR(INDEX($AM$5:$AM$1000,$U76-4)),MONTH(INDEX($AM$5:$AM$1000,$U76-4)),1),IF(ISNUMBER(INDEX($AN$5:$AN$1000,$U76-4)),DATE(YEAR(INDEX($AN$5:$AN$1000,$U76-4)),MONTH(INDEX($AN$5:$AN$1000,$U76-4)),1),MesCiclo)),IF(ISNUMBER($AM76),DATE(YEAR($AM76),MONTH($AM76),1),IF(ISNUMBER($AN76),DATE(YEAR($AN76),MONTH($AN76),1),MesCiclo))))</f>
        <v/>
      </c>
      <c r="T76" s="62">
        <f>IF(OR($S76="",$S76&lt;&gt;MesCiclo),"",COUNTIF($S$5:$S76,MesCiclo))</f>
        <v/>
      </c>
      <c r="U76" s="62">
        <f>IF($V76="","",IF($V76="Macro",ROW(),IFERROR(LOOKUP(2,1/($V$5:$V76="Macro"),ROW($V$5:$V76)),0)))</f>
        <v/>
      </c>
      <c r="V76" s="62">
        <f>IF(NOT((COUNTA($B76:$D76)+COUNTA($G76:$L76)+COUNTA($Q76))&gt;0),"",IF($B76="Subactividad","Sub","Macro"))</f>
        <v/>
      </c>
      <c r="W76" s="62">
        <f>IF($V76="Macro",COUNTIFS($U$5:$U$1000,ROW(),$V$5:$V$1000,"Sub"),"")</f>
        <v/>
      </c>
      <c r="X76" s="62">
        <f>IF($V76="","",IF(ISNUMBER($G76),1,IFERROR(LOOKUP(2,1/($I76:$L76&lt;&gt;""),$I76:$L76),0)))</f>
        <v/>
      </c>
      <c r="Y76" s="62">
        <f>IF($V76="","",IF(AND(ISNUMBER($G76),$G76&lt;=IF($S76=MesCiclo,InicioCiclo,$S76+MOD(2-WEEKDAY($S76),7))+6),1,IF(ISNUMBER($I76),$I76,0)))</f>
        <v/>
      </c>
      <c r="Z76" s="62">
        <f>IF($V76="","",IF(AND(ISNUMBER($G76),$G76&lt;=IF($S76=MesCiclo,InicioCiclo,$S76+MOD(2-WEEKDAY($S76),7))+13),1,IF(ISNUMBER($J76),$J76,$Y76)))</f>
        <v/>
      </c>
      <c r="AA76" s="62">
        <f>IF($V76="","",IF(AND(ISNUMBER($G76),$G76&lt;=IF($S76=MesCiclo,InicioCiclo,$S76+MOD(2-WEEKDAY($S76),7))+20),1,IF(ISNUMBER($K76),$K76,$Z76)))</f>
        <v/>
      </c>
      <c r="AB76" s="62">
        <f>IF($V76="","",IF(AND(ISNUMBER($G76),$G76&lt;=IF($S76=MesCiclo,InicioCiclo,$S76+MOD(2-WEEKDAY($S76),7))+27),1,IF(ISNUMBER($L76),$L76,$AA76)))</f>
        <v/>
      </c>
      <c r="AC76" s="62">
        <f>IF($V76="","",IF(AND(ISNUMBER($G76),$G76&lt;=IF($S76=MesCiclo,InicioCiclo,$S76+MOD(2-WEEKDAY($S76),7))+6),1,IF(N($W76)&gt;0,AVERAGEIFS($Y$5:$Y$1000,$U$5:$U$1000,ROW(),$V$5:$V$1000,"Sub"),$Y76)))</f>
        <v/>
      </c>
      <c r="AD76" s="62">
        <f>IF($V76="","",IF(AND(ISNUMBER($G76),$G76&lt;=IF($S76=MesCiclo,InicioCiclo,$S76+MOD(2-WEEKDAY($S76),7))+13),1,IF(N($W76)&gt;0,AVERAGEIFS($Z$5:$Z$1000,$U$5:$U$1000,ROW(),$V$5:$V$1000,"Sub"),$Z76)))</f>
        <v/>
      </c>
      <c r="AE76" s="62">
        <f>IF($V76="","",IF(AND(ISNUMBER($G76),$G76&lt;=IF($S76=MesCiclo,InicioCiclo,$S76+MOD(2-WEEKDAY($S76),7))+20),1,IF(N($W76)&gt;0,AVERAGEIFS($AA$5:$AA$1000,$U$5:$U$1000,ROW(),$V$5:$V$1000,"Sub"),$AA76)))</f>
        <v/>
      </c>
      <c r="AF76" s="62">
        <f>IF($V76="","",IF(AND(ISNUMBER($G76),$G76&lt;=IF($S76=MesCiclo,InicioCiclo,$S76+MOD(2-WEEKDAY($S76),7))+27),1,IF(N($W76)&gt;0,AVERAGEIFS($AB$5:$AB$1000,$U$5:$U$1000,ROW(),$V$5:$V$1000,"Sub"),$AB76)))</f>
        <v/>
      </c>
      <c r="AG76" s="62">
        <f>IF($V76&lt;&gt;"Macro","",IF(COUNTIFS($S$5:$S$1000,$S76,$V$5:$V$1000,"Macro",$H$5:$H$1000,"&gt;0")=0,1/COUNTIFS($S$5:$S$1000,$S76,$V$5:$V$1000,"Macro"),IF(AND(ISNUMBER($H76),N($H76)&gt;0),$H76,SUMIFS($H$5:$H$1000,$S$5:$S$1000,$S76,$V$5:$V$1000,"Macro")/COUNTIFS($S$5:$S$1000,$S76,$V$5:$V$1000,"Macro",$H$5:$H$1000,"&gt;0"))/(COUNTIFS($S$5:$S$1000,$S76,$V$5:$V$1000,"Macro")*SUMIFS($H$5:$H$1000,$S$5:$S$1000,$S76,$V$5:$V$1000,"Macro")/COUNTIFS($S$5:$S$1000,$S76,$V$5:$V$1000,"Macro",$H$5:$H$1000,"&gt;0"))))</f>
        <v/>
      </c>
      <c r="AH76" s="62" t="n"/>
      <c r="AI76" s="62" t="n"/>
      <c r="AJ76" s="62" t="n"/>
      <c r="AK76" s="62" t="n"/>
      <c r="AL76" s="62">
        <f>IF(LEFT($C76,11)="[Jefatura] ",IFERROR(MATCH("Riesgo Normativo|"&amp;MID($C76,12,500),rDname_ADM,0),0),"")</f>
        <v/>
      </c>
      <c r="AM76" s="62">
        <f>IF(N($AL76)&gt;0,INDEX(rIni_ADM,$AL76),IF(ISNUMBER($E76),$E76,""))</f>
        <v/>
      </c>
      <c r="AN76" s="62">
        <f>IF(N($AL76)&gt;0,INDEX(rLim_ADM,$AL76),IF(ISNUMBER($F76),$F76,""))</f>
        <v/>
      </c>
    </row>
    <row r="77">
      <c r="A77" s="56">
        <f>IF(NOT((COUNTA($B77:$D77)+COUNTA($G77:$L77)+COUNTA($Q77))&gt;0),"",IF($V77="Macro",COUNTIFS($V$5:$V77,"Macro",$S$5:$S77,$S77),IF(N($U77)=0,"?",COUNTIFS(INDEX($V$5:$V$1000,1):INDEX($V$5:$V$1000,$U77-4),"Macro",INDEX($S$5:$S$1000,1):INDEX($S$5:$S$1000,$U77-4),INDEX($S$5:$S$1000,$U77-4))&amp;"."&amp;COUNTIFS($U$5:$U77,$U77,$V$5:$V77,"Sub"))))</f>
        <v/>
      </c>
      <c r="B77" s="57" t="n"/>
      <c r="C77" s="58" t="n"/>
      <c r="D77" s="58" t="n"/>
      <c r="E77" s="59">
        <f>IF(N($AL77)&gt;0,INDEX(rIni_ADM,$AL77),"")</f>
        <v/>
      </c>
      <c r="F77" s="59">
        <f>IF(N($AL77)&gt;0,INDEX(rLim_ADM,$AL77),"")</f>
        <v/>
      </c>
      <c r="G77" s="59" t="n"/>
      <c r="H77" s="60" t="n"/>
      <c r="I77" s="60" t="n"/>
      <c r="J77" s="60" t="n"/>
      <c r="K77" s="60" t="n"/>
      <c r="L77" s="60" t="n"/>
      <c r="M77" s="61">
        <f>IF(NOT((COUNTA($B77:$D77)+COUNTA($G77:$L77)+COUNTA($Q77))&gt;0),"",IF(ISNUMBER($G77),1,IF(N($W77)&gt;0,AVERAGEIFS($X$5:$X$1000,$U$5:$U$1000,ROW(),$V$5:$V$1000,"Sub"),$X77)))</f>
        <v/>
      </c>
      <c r="N77" s="56">
        <f>IF($M77="","",IF($M77&gt;=1,"Completado",IF($M77&gt;0,"En curso","Pendiente")))</f>
        <v/>
      </c>
      <c r="O77" s="56">
        <f>IF(NOT((COUNTA($B77:$D77)+COUNTA($G77:$L77)+COUNTA($Q77))&gt;0),"",IF(ISNUMBER($G77),IF(AND(ISNUMBER($AN77),$G77&gt;$AN77),"Cumplida con "&amp;($G77-$AN77)&amp;IF($G77-$AN77=1," día"," días")&amp;" de retraso","Cumplida"),IF(N($M77)&gt;=1,"Cumplida",IF(NOT(ISNUMBER($AN77)),"Sin fecha límite",IF($AN77&lt;FechaRef,"Vencida hace "&amp;(FechaRef-$AN77)&amp;IF(FechaRef-$AN77=1," día"," días"),IF($AN77=FechaRef,"Vence hoy",IF($AN77-FechaRef&lt;=DiasAlerta,"Vence en "&amp;($AN77-FechaRef)&amp;IF($AN77-FechaRef=1," día"," días"),"En plazo")))))))</f>
        <v/>
      </c>
      <c r="P77" s="62" t="n"/>
      <c r="Q77" s="58" t="n"/>
      <c r="R77" s="63">
        <f>IF(NOT((COUNTA($B77:$D77)+COUNTA($G77:$L77)+COUNTA($Q77))&gt;0),"",IF((IF($C77="","Falta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",""))="","✔ OK","⚠ "&amp;LEFT(IF($C77="","Falta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",""),LEN(IF($C77="","Falta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",""))-3)))</f>
        <v/>
      </c>
      <c r="S77" s="64">
        <f>IF(NOT((COUNTA($B77:$D77)+COUNTA($G77:$L77)+COUNTA($Q77))&gt;0),"",IF(AND($V77="Sub",N($U77)&gt;0),IF(ISNUMBER(INDEX($AM$5:$AM$1000,$U77-4)),DATE(YEAR(INDEX($AM$5:$AM$1000,$U77-4)),MONTH(INDEX($AM$5:$AM$1000,$U77-4)),1),IF(ISNUMBER(INDEX($AN$5:$AN$1000,$U77-4)),DATE(YEAR(INDEX($AN$5:$AN$1000,$U77-4)),MONTH(INDEX($AN$5:$AN$1000,$U77-4)),1),MesCiclo)),IF(ISNUMBER($AM77),DATE(YEAR($AM77),MONTH($AM77),1),IF(ISNUMBER($AN77),DATE(YEAR($AN77),MONTH($AN77),1),MesCiclo))))</f>
        <v/>
      </c>
      <c r="T77" s="62">
        <f>IF(OR($S77="",$S77&lt;&gt;MesCiclo),"",COUNTIF($S$5:$S77,MesCiclo))</f>
        <v/>
      </c>
      <c r="U77" s="62">
        <f>IF($V77="","",IF($V77="Macro",ROW(),IFERROR(LOOKUP(2,1/($V$5:$V77="Macro"),ROW($V$5:$V77)),0)))</f>
        <v/>
      </c>
      <c r="V77" s="62">
        <f>IF(NOT((COUNTA($B77:$D77)+COUNTA($G77:$L77)+COUNTA($Q77))&gt;0),"",IF($B77="Subactividad","Sub","Macro"))</f>
        <v/>
      </c>
      <c r="W77" s="62">
        <f>IF($V77="Macro",COUNTIFS($U$5:$U$1000,ROW(),$V$5:$V$1000,"Sub"),"")</f>
        <v/>
      </c>
      <c r="X77" s="62">
        <f>IF($V77="","",IF(ISNUMBER($G77),1,IFERROR(LOOKUP(2,1/($I77:$L77&lt;&gt;""),$I77:$L77),0)))</f>
        <v/>
      </c>
      <c r="Y77" s="62">
        <f>IF($V77="","",IF(AND(ISNUMBER($G77),$G77&lt;=IF($S77=MesCiclo,InicioCiclo,$S77+MOD(2-WEEKDAY($S77),7))+6),1,IF(ISNUMBER($I77),$I77,0)))</f>
        <v/>
      </c>
      <c r="Z77" s="62">
        <f>IF($V77="","",IF(AND(ISNUMBER($G77),$G77&lt;=IF($S77=MesCiclo,InicioCiclo,$S77+MOD(2-WEEKDAY($S77),7))+13),1,IF(ISNUMBER($J77),$J77,$Y77)))</f>
        <v/>
      </c>
      <c r="AA77" s="62">
        <f>IF($V77="","",IF(AND(ISNUMBER($G77),$G77&lt;=IF($S77=MesCiclo,InicioCiclo,$S77+MOD(2-WEEKDAY($S77),7))+20),1,IF(ISNUMBER($K77),$K77,$Z77)))</f>
        <v/>
      </c>
      <c r="AB77" s="62">
        <f>IF($V77="","",IF(AND(ISNUMBER($G77),$G77&lt;=IF($S77=MesCiclo,InicioCiclo,$S77+MOD(2-WEEKDAY($S77),7))+27),1,IF(ISNUMBER($L77),$L77,$AA77)))</f>
        <v/>
      </c>
      <c r="AC77" s="62">
        <f>IF($V77="","",IF(AND(ISNUMBER($G77),$G77&lt;=IF($S77=MesCiclo,InicioCiclo,$S77+MOD(2-WEEKDAY($S77),7))+6),1,IF(N($W77)&gt;0,AVERAGEIFS($Y$5:$Y$1000,$U$5:$U$1000,ROW(),$V$5:$V$1000,"Sub"),$Y77)))</f>
        <v/>
      </c>
      <c r="AD77" s="62">
        <f>IF($V77="","",IF(AND(ISNUMBER($G77),$G77&lt;=IF($S77=MesCiclo,InicioCiclo,$S77+MOD(2-WEEKDAY($S77),7))+13),1,IF(N($W77)&gt;0,AVERAGEIFS($Z$5:$Z$1000,$U$5:$U$1000,ROW(),$V$5:$V$1000,"Sub"),$Z77)))</f>
        <v/>
      </c>
      <c r="AE77" s="62">
        <f>IF($V77="","",IF(AND(ISNUMBER($G77),$G77&lt;=IF($S77=MesCiclo,InicioCiclo,$S77+MOD(2-WEEKDAY($S77),7))+20),1,IF(N($W77)&gt;0,AVERAGEIFS($AA$5:$AA$1000,$U$5:$U$1000,ROW(),$V$5:$V$1000,"Sub"),$AA77)))</f>
        <v/>
      </c>
      <c r="AF77" s="62">
        <f>IF($V77="","",IF(AND(ISNUMBER($G77),$G77&lt;=IF($S77=MesCiclo,InicioCiclo,$S77+MOD(2-WEEKDAY($S77),7))+27),1,IF(N($W77)&gt;0,AVERAGEIFS($AB$5:$AB$1000,$U$5:$U$1000,ROW(),$V$5:$V$1000,"Sub"),$AB77)))</f>
        <v/>
      </c>
      <c r="AG77" s="62">
        <f>IF($V77&lt;&gt;"Macro","",IF(COUNTIFS($S$5:$S$1000,$S77,$V$5:$V$1000,"Macro",$H$5:$H$1000,"&gt;0")=0,1/COUNTIFS($S$5:$S$1000,$S77,$V$5:$V$1000,"Macro"),IF(AND(ISNUMBER($H77),N($H77)&gt;0),$H77,SUMIFS($H$5:$H$1000,$S$5:$S$1000,$S77,$V$5:$V$1000,"Macro")/COUNTIFS($S$5:$S$1000,$S77,$V$5:$V$1000,"Macro",$H$5:$H$1000,"&gt;0"))/(COUNTIFS($S$5:$S$1000,$S77,$V$5:$V$1000,"Macro")*SUMIFS($H$5:$H$1000,$S$5:$S$1000,$S77,$V$5:$V$1000,"Macro")/COUNTIFS($S$5:$S$1000,$S77,$V$5:$V$1000,"Macro",$H$5:$H$1000,"&gt;0"))))</f>
        <v/>
      </c>
      <c r="AH77" s="62" t="n"/>
      <c r="AI77" s="62" t="n"/>
      <c r="AJ77" s="62" t="n"/>
      <c r="AK77" s="62" t="n"/>
      <c r="AL77" s="62">
        <f>IF(LEFT($C77,11)="[Jefatura] ",IFERROR(MATCH("Riesgo Normativo|"&amp;MID($C77,12,500),rDname_ADM,0),0),"")</f>
        <v/>
      </c>
      <c r="AM77" s="62">
        <f>IF(N($AL77)&gt;0,INDEX(rIni_ADM,$AL77),IF(ISNUMBER($E77),$E77,""))</f>
        <v/>
      </c>
      <c r="AN77" s="62">
        <f>IF(N($AL77)&gt;0,INDEX(rLim_ADM,$AL77),IF(ISNUMBER($F77),$F77,""))</f>
        <v/>
      </c>
    </row>
    <row r="78">
      <c r="A78" s="56">
        <f>IF(NOT((COUNTA($B78:$D78)+COUNTA($G78:$L78)+COUNTA($Q78))&gt;0),"",IF($V78="Macro",COUNTIFS($V$5:$V78,"Macro",$S$5:$S78,$S78),IF(N($U78)=0,"?",COUNTIFS(INDEX($V$5:$V$1000,1):INDEX($V$5:$V$1000,$U78-4),"Macro",INDEX($S$5:$S$1000,1):INDEX($S$5:$S$1000,$U78-4),INDEX($S$5:$S$1000,$U78-4))&amp;"."&amp;COUNTIFS($U$5:$U78,$U78,$V$5:$V78,"Sub"))))</f>
        <v/>
      </c>
      <c r="B78" s="57" t="n"/>
      <c r="C78" s="58" t="n"/>
      <c r="D78" s="58" t="n"/>
      <c r="E78" s="59">
        <f>IF(N($AL78)&gt;0,INDEX(rIni_ADM,$AL78),"")</f>
        <v/>
      </c>
      <c r="F78" s="59">
        <f>IF(N($AL78)&gt;0,INDEX(rLim_ADM,$AL78),"")</f>
        <v/>
      </c>
      <c r="G78" s="59" t="n"/>
      <c r="H78" s="60" t="n"/>
      <c r="I78" s="60" t="n"/>
      <c r="J78" s="60" t="n"/>
      <c r="K78" s="60" t="n"/>
      <c r="L78" s="60" t="n"/>
      <c r="M78" s="61">
        <f>IF(NOT((COUNTA($B78:$D78)+COUNTA($G78:$L78)+COUNTA($Q78))&gt;0),"",IF(ISNUMBER($G78),1,IF(N($W78)&gt;0,AVERAGEIFS($X$5:$X$1000,$U$5:$U$1000,ROW(),$V$5:$V$1000,"Sub"),$X78)))</f>
        <v/>
      </c>
      <c r="N78" s="56">
        <f>IF($M78="","",IF($M78&gt;=1,"Completado",IF($M78&gt;0,"En curso","Pendiente")))</f>
        <v/>
      </c>
      <c r="O78" s="56">
        <f>IF(NOT((COUNTA($B78:$D78)+COUNTA($G78:$L78)+COUNTA($Q78))&gt;0),"",IF(ISNUMBER($G78),IF(AND(ISNUMBER($AN78),$G78&gt;$AN78),"Cumplida con "&amp;($G78-$AN78)&amp;IF($G78-$AN78=1," día"," días")&amp;" de retraso","Cumplida"),IF(N($M78)&gt;=1,"Cumplida",IF(NOT(ISNUMBER($AN78)),"Sin fecha límite",IF($AN78&lt;FechaRef,"Vencida hace "&amp;(FechaRef-$AN78)&amp;IF(FechaRef-$AN78=1," día"," días"),IF($AN78=FechaRef,"Vence hoy",IF($AN78-FechaRef&lt;=DiasAlerta,"Vence en "&amp;($AN78-FechaRef)&amp;IF($AN78-FechaRef=1," día"," días"),"En plazo")))))))</f>
        <v/>
      </c>
      <c r="P78" s="62" t="n"/>
      <c r="Q78" s="58" t="n"/>
      <c r="R78" s="63">
        <f>IF(NOT((COUNTA($B78:$D78)+COUNTA($G78:$L78)+COUNTA($Q78))&gt;0),"",IF((IF($C78="","Falta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",""))="","✔ OK","⚠ "&amp;LEFT(IF($C78="","Falta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",""),LEN(IF($C78="","Falta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",""))-3)))</f>
        <v/>
      </c>
      <c r="S78" s="64">
        <f>IF(NOT((COUNTA($B78:$D78)+COUNTA($G78:$L78)+COUNTA($Q78))&gt;0),"",IF(AND($V78="Sub",N($U78)&gt;0),IF(ISNUMBER(INDEX($AM$5:$AM$1000,$U78-4)),DATE(YEAR(INDEX($AM$5:$AM$1000,$U78-4)),MONTH(INDEX($AM$5:$AM$1000,$U78-4)),1),IF(ISNUMBER(INDEX($AN$5:$AN$1000,$U78-4)),DATE(YEAR(INDEX($AN$5:$AN$1000,$U78-4)),MONTH(INDEX($AN$5:$AN$1000,$U78-4)),1),MesCiclo)),IF(ISNUMBER($AM78),DATE(YEAR($AM78),MONTH($AM78),1),IF(ISNUMBER($AN78),DATE(YEAR($AN78),MONTH($AN78),1),MesCiclo))))</f>
        <v/>
      </c>
      <c r="T78" s="62">
        <f>IF(OR($S78="",$S78&lt;&gt;MesCiclo),"",COUNTIF($S$5:$S78,MesCiclo))</f>
        <v/>
      </c>
      <c r="U78" s="62">
        <f>IF($V78="","",IF($V78="Macro",ROW(),IFERROR(LOOKUP(2,1/($V$5:$V78="Macro"),ROW($V$5:$V78)),0)))</f>
        <v/>
      </c>
      <c r="V78" s="62">
        <f>IF(NOT((COUNTA($B78:$D78)+COUNTA($G78:$L78)+COUNTA($Q78))&gt;0),"",IF($B78="Subactividad","Sub","Macro"))</f>
        <v/>
      </c>
      <c r="W78" s="62">
        <f>IF($V78="Macro",COUNTIFS($U$5:$U$1000,ROW(),$V$5:$V$1000,"Sub"),"")</f>
        <v/>
      </c>
      <c r="X78" s="62">
        <f>IF($V78="","",IF(ISNUMBER($G78),1,IFERROR(LOOKUP(2,1/($I78:$L78&lt;&gt;""),$I78:$L78),0)))</f>
        <v/>
      </c>
      <c r="Y78" s="62">
        <f>IF($V78="","",IF(AND(ISNUMBER($G78),$G78&lt;=IF($S78=MesCiclo,InicioCiclo,$S78+MOD(2-WEEKDAY($S78),7))+6),1,IF(ISNUMBER($I78),$I78,0)))</f>
        <v/>
      </c>
      <c r="Z78" s="62">
        <f>IF($V78="","",IF(AND(ISNUMBER($G78),$G78&lt;=IF($S78=MesCiclo,InicioCiclo,$S78+MOD(2-WEEKDAY($S78),7))+13),1,IF(ISNUMBER($J78),$J78,$Y78)))</f>
        <v/>
      </c>
      <c r="AA78" s="62">
        <f>IF($V78="","",IF(AND(ISNUMBER($G78),$G78&lt;=IF($S78=MesCiclo,InicioCiclo,$S78+MOD(2-WEEKDAY($S78),7))+20),1,IF(ISNUMBER($K78),$K78,$Z78)))</f>
        <v/>
      </c>
      <c r="AB78" s="62">
        <f>IF($V78="","",IF(AND(ISNUMBER($G78),$G78&lt;=IF($S78=MesCiclo,InicioCiclo,$S78+MOD(2-WEEKDAY($S78),7))+27),1,IF(ISNUMBER($L78),$L78,$AA78)))</f>
        <v/>
      </c>
      <c r="AC78" s="62">
        <f>IF($V78="","",IF(AND(ISNUMBER($G78),$G78&lt;=IF($S78=MesCiclo,InicioCiclo,$S78+MOD(2-WEEKDAY($S78),7))+6),1,IF(N($W78)&gt;0,AVERAGEIFS($Y$5:$Y$1000,$U$5:$U$1000,ROW(),$V$5:$V$1000,"Sub"),$Y78)))</f>
        <v/>
      </c>
      <c r="AD78" s="62">
        <f>IF($V78="","",IF(AND(ISNUMBER($G78),$G78&lt;=IF($S78=MesCiclo,InicioCiclo,$S78+MOD(2-WEEKDAY($S78),7))+13),1,IF(N($W78)&gt;0,AVERAGEIFS($Z$5:$Z$1000,$U$5:$U$1000,ROW(),$V$5:$V$1000,"Sub"),$Z78)))</f>
        <v/>
      </c>
      <c r="AE78" s="62">
        <f>IF($V78="","",IF(AND(ISNUMBER($G78),$G78&lt;=IF($S78=MesCiclo,InicioCiclo,$S78+MOD(2-WEEKDAY($S78),7))+20),1,IF(N($W78)&gt;0,AVERAGEIFS($AA$5:$AA$1000,$U$5:$U$1000,ROW(),$V$5:$V$1000,"Sub"),$AA78)))</f>
        <v/>
      </c>
      <c r="AF78" s="62">
        <f>IF($V78="","",IF(AND(ISNUMBER($G78),$G78&lt;=IF($S78=MesCiclo,InicioCiclo,$S78+MOD(2-WEEKDAY($S78),7))+27),1,IF(N($W78)&gt;0,AVERAGEIFS($AB$5:$AB$1000,$U$5:$U$1000,ROW(),$V$5:$V$1000,"Sub"),$AB78)))</f>
        <v/>
      </c>
      <c r="AG78" s="62">
        <f>IF($V78&lt;&gt;"Macro","",IF(COUNTIFS($S$5:$S$1000,$S78,$V$5:$V$1000,"Macro",$H$5:$H$1000,"&gt;0")=0,1/COUNTIFS($S$5:$S$1000,$S78,$V$5:$V$1000,"Macro"),IF(AND(ISNUMBER($H78),N($H78)&gt;0),$H78,SUMIFS($H$5:$H$1000,$S$5:$S$1000,$S78,$V$5:$V$1000,"Macro")/COUNTIFS($S$5:$S$1000,$S78,$V$5:$V$1000,"Macro",$H$5:$H$1000,"&gt;0"))/(COUNTIFS($S$5:$S$1000,$S78,$V$5:$V$1000,"Macro")*SUMIFS($H$5:$H$1000,$S$5:$S$1000,$S78,$V$5:$V$1000,"Macro")/COUNTIFS($S$5:$S$1000,$S78,$V$5:$V$1000,"Macro",$H$5:$H$1000,"&gt;0"))))</f>
        <v/>
      </c>
      <c r="AH78" s="62" t="n"/>
      <c r="AI78" s="62" t="n"/>
      <c r="AJ78" s="62" t="n"/>
      <c r="AK78" s="62" t="n"/>
      <c r="AL78" s="62">
        <f>IF(LEFT($C78,11)="[Jefatura] ",IFERROR(MATCH("Riesgo Normativo|"&amp;MID($C78,12,500),rDname_ADM,0),0),"")</f>
        <v/>
      </c>
      <c r="AM78" s="62">
        <f>IF(N($AL78)&gt;0,INDEX(rIni_ADM,$AL78),IF(ISNUMBER($E78),$E78,""))</f>
        <v/>
      </c>
      <c r="AN78" s="62">
        <f>IF(N($AL78)&gt;0,INDEX(rLim_ADM,$AL78),IF(ISNUMBER($F78),$F78,""))</f>
        <v/>
      </c>
    </row>
    <row r="79">
      <c r="A79" s="56">
        <f>IF(NOT((COUNTA($B79:$D79)+COUNTA($G79:$L79)+COUNTA($Q79))&gt;0),"",IF($V79="Macro",COUNTIFS($V$5:$V79,"Macro",$S$5:$S79,$S79),IF(N($U79)=0,"?",COUNTIFS(INDEX($V$5:$V$1000,1):INDEX($V$5:$V$1000,$U79-4),"Macro",INDEX($S$5:$S$1000,1):INDEX($S$5:$S$1000,$U79-4),INDEX($S$5:$S$1000,$U79-4))&amp;"."&amp;COUNTIFS($U$5:$U79,$U79,$V$5:$V79,"Sub"))))</f>
        <v/>
      </c>
      <c r="B79" s="57" t="n"/>
      <c r="C79" s="58" t="n"/>
      <c r="D79" s="58" t="n"/>
      <c r="E79" s="59">
        <f>IF(N($AL79)&gt;0,INDEX(rIni_ADM,$AL79),"")</f>
        <v/>
      </c>
      <c r="F79" s="59">
        <f>IF(N($AL79)&gt;0,INDEX(rLim_ADM,$AL79),"")</f>
        <v/>
      </c>
      <c r="G79" s="59" t="n"/>
      <c r="H79" s="60" t="n"/>
      <c r="I79" s="60" t="n"/>
      <c r="J79" s="60" t="n"/>
      <c r="K79" s="60" t="n"/>
      <c r="L79" s="60" t="n"/>
      <c r="M79" s="61">
        <f>IF(NOT((COUNTA($B79:$D79)+COUNTA($G79:$L79)+COUNTA($Q79))&gt;0),"",IF(ISNUMBER($G79),1,IF(N($W79)&gt;0,AVERAGEIFS($X$5:$X$1000,$U$5:$U$1000,ROW(),$V$5:$V$1000,"Sub"),$X79)))</f>
        <v/>
      </c>
      <c r="N79" s="56">
        <f>IF($M79="","",IF($M79&gt;=1,"Completado",IF($M79&gt;0,"En curso","Pendiente")))</f>
        <v/>
      </c>
      <c r="O79" s="56">
        <f>IF(NOT((COUNTA($B79:$D79)+COUNTA($G79:$L79)+COUNTA($Q79))&gt;0),"",IF(ISNUMBER($G79),IF(AND(ISNUMBER($AN79),$G79&gt;$AN79),"Cumplida con "&amp;($G79-$AN79)&amp;IF($G79-$AN79=1," día"," días")&amp;" de retraso","Cumplida"),IF(N($M79)&gt;=1,"Cumplida",IF(NOT(ISNUMBER($AN79)),"Sin fecha límite",IF($AN79&lt;FechaRef,"Vencida hace "&amp;(FechaRef-$AN79)&amp;IF(FechaRef-$AN79=1," día"," días"),IF($AN79=FechaRef,"Vence hoy",IF($AN79-FechaRef&lt;=DiasAlerta,"Vence en "&amp;($AN79-FechaRef)&amp;IF($AN79-FechaRef=1," día"," días"),"En plazo")))))))</f>
        <v/>
      </c>
      <c r="P79" s="62" t="n"/>
      <c r="Q79" s="58" t="n"/>
      <c r="R79" s="63">
        <f>IF(NOT((COUNTA($B79:$D79)+COUNTA($G79:$L79)+COUNTA($Q79))&gt;0),"",IF((IF($C79="","Falta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",""))="","✔ OK","⚠ "&amp;LEFT(IF($C79="","Falta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",""),LEN(IF($C79="","Falta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",""))-3)))</f>
        <v/>
      </c>
      <c r="S79" s="64">
        <f>IF(NOT((COUNTA($B79:$D79)+COUNTA($G79:$L79)+COUNTA($Q79))&gt;0),"",IF(AND($V79="Sub",N($U79)&gt;0),IF(ISNUMBER(INDEX($AM$5:$AM$1000,$U79-4)),DATE(YEAR(INDEX($AM$5:$AM$1000,$U79-4)),MONTH(INDEX($AM$5:$AM$1000,$U79-4)),1),IF(ISNUMBER(INDEX($AN$5:$AN$1000,$U79-4)),DATE(YEAR(INDEX($AN$5:$AN$1000,$U79-4)),MONTH(INDEX($AN$5:$AN$1000,$U79-4)),1),MesCiclo)),IF(ISNUMBER($AM79),DATE(YEAR($AM79),MONTH($AM79),1),IF(ISNUMBER($AN79),DATE(YEAR($AN79),MONTH($AN79),1),MesCiclo))))</f>
        <v/>
      </c>
      <c r="T79" s="62">
        <f>IF(OR($S79="",$S79&lt;&gt;MesCiclo),"",COUNTIF($S$5:$S79,MesCiclo))</f>
        <v/>
      </c>
      <c r="U79" s="62">
        <f>IF($V79="","",IF($V79="Macro",ROW(),IFERROR(LOOKUP(2,1/($V$5:$V79="Macro"),ROW($V$5:$V79)),0)))</f>
        <v/>
      </c>
      <c r="V79" s="62">
        <f>IF(NOT((COUNTA($B79:$D79)+COUNTA($G79:$L79)+COUNTA($Q79))&gt;0),"",IF($B79="Subactividad","Sub","Macro"))</f>
        <v/>
      </c>
      <c r="W79" s="62">
        <f>IF($V79="Macro",COUNTIFS($U$5:$U$1000,ROW(),$V$5:$V$1000,"Sub"),"")</f>
        <v/>
      </c>
      <c r="X79" s="62">
        <f>IF($V79="","",IF(ISNUMBER($G79),1,IFERROR(LOOKUP(2,1/($I79:$L79&lt;&gt;""),$I79:$L79),0)))</f>
        <v/>
      </c>
      <c r="Y79" s="62">
        <f>IF($V79="","",IF(AND(ISNUMBER($G79),$G79&lt;=IF($S79=MesCiclo,InicioCiclo,$S79+MOD(2-WEEKDAY($S79),7))+6),1,IF(ISNUMBER($I79),$I79,0)))</f>
        <v/>
      </c>
      <c r="Z79" s="62">
        <f>IF($V79="","",IF(AND(ISNUMBER($G79),$G79&lt;=IF($S79=MesCiclo,InicioCiclo,$S79+MOD(2-WEEKDAY($S79),7))+13),1,IF(ISNUMBER($J79),$J79,$Y79)))</f>
        <v/>
      </c>
      <c r="AA79" s="62">
        <f>IF($V79="","",IF(AND(ISNUMBER($G79),$G79&lt;=IF($S79=MesCiclo,InicioCiclo,$S79+MOD(2-WEEKDAY($S79),7))+20),1,IF(ISNUMBER($K79),$K79,$Z79)))</f>
        <v/>
      </c>
      <c r="AB79" s="62">
        <f>IF($V79="","",IF(AND(ISNUMBER($G79),$G79&lt;=IF($S79=MesCiclo,InicioCiclo,$S79+MOD(2-WEEKDAY($S79),7))+27),1,IF(ISNUMBER($L79),$L79,$AA79)))</f>
        <v/>
      </c>
      <c r="AC79" s="62">
        <f>IF($V79="","",IF(AND(ISNUMBER($G79),$G79&lt;=IF($S79=MesCiclo,InicioCiclo,$S79+MOD(2-WEEKDAY($S79),7))+6),1,IF(N($W79)&gt;0,AVERAGEIFS($Y$5:$Y$1000,$U$5:$U$1000,ROW(),$V$5:$V$1000,"Sub"),$Y79)))</f>
        <v/>
      </c>
      <c r="AD79" s="62">
        <f>IF($V79="","",IF(AND(ISNUMBER($G79),$G79&lt;=IF($S79=MesCiclo,InicioCiclo,$S79+MOD(2-WEEKDAY($S79),7))+13),1,IF(N($W79)&gt;0,AVERAGEIFS($Z$5:$Z$1000,$U$5:$U$1000,ROW(),$V$5:$V$1000,"Sub"),$Z79)))</f>
        <v/>
      </c>
      <c r="AE79" s="62">
        <f>IF($V79="","",IF(AND(ISNUMBER($G79),$G79&lt;=IF($S79=MesCiclo,InicioCiclo,$S79+MOD(2-WEEKDAY($S79),7))+20),1,IF(N($W79)&gt;0,AVERAGEIFS($AA$5:$AA$1000,$U$5:$U$1000,ROW(),$V$5:$V$1000,"Sub"),$AA79)))</f>
        <v/>
      </c>
      <c r="AF79" s="62">
        <f>IF($V79="","",IF(AND(ISNUMBER($G79),$G79&lt;=IF($S79=MesCiclo,InicioCiclo,$S79+MOD(2-WEEKDAY($S79),7))+27),1,IF(N($W79)&gt;0,AVERAGEIFS($AB$5:$AB$1000,$U$5:$U$1000,ROW(),$V$5:$V$1000,"Sub"),$AB79)))</f>
        <v/>
      </c>
      <c r="AG79" s="62">
        <f>IF($V79&lt;&gt;"Macro","",IF(COUNTIFS($S$5:$S$1000,$S79,$V$5:$V$1000,"Macro",$H$5:$H$1000,"&gt;0")=0,1/COUNTIFS($S$5:$S$1000,$S79,$V$5:$V$1000,"Macro"),IF(AND(ISNUMBER($H79),N($H79)&gt;0),$H79,SUMIFS($H$5:$H$1000,$S$5:$S$1000,$S79,$V$5:$V$1000,"Macro")/COUNTIFS($S$5:$S$1000,$S79,$V$5:$V$1000,"Macro",$H$5:$H$1000,"&gt;0"))/(COUNTIFS($S$5:$S$1000,$S79,$V$5:$V$1000,"Macro")*SUMIFS($H$5:$H$1000,$S$5:$S$1000,$S79,$V$5:$V$1000,"Macro")/COUNTIFS($S$5:$S$1000,$S79,$V$5:$V$1000,"Macro",$H$5:$H$1000,"&gt;0"))))</f>
        <v/>
      </c>
      <c r="AH79" s="62" t="n"/>
      <c r="AI79" s="62" t="n"/>
      <c r="AJ79" s="62" t="n"/>
      <c r="AK79" s="62" t="n"/>
      <c r="AL79" s="62">
        <f>IF(LEFT($C79,11)="[Jefatura] ",IFERROR(MATCH("Riesgo Normativo|"&amp;MID($C79,12,500),rDname_ADM,0),0),"")</f>
        <v/>
      </c>
      <c r="AM79" s="62">
        <f>IF(N($AL79)&gt;0,INDEX(rIni_ADM,$AL79),IF(ISNUMBER($E79),$E79,""))</f>
        <v/>
      </c>
      <c r="AN79" s="62">
        <f>IF(N($AL79)&gt;0,INDEX(rLim_ADM,$AL79),IF(ISNUMBER($F79),$F79,""))</f>
        <v/>
      </c>
    </row>
    <row r="80">
      <c r="A80" s="56">
        <f>IF(NOT((COUNTA($B80:$D80)+COUNTA($G80:$L80)+COUNTA($Q80))&gt;0),"",IF($V80="Macro",COUNTIFS($V$5:$V80,"Macro",$S$5:$S80,$S80),IF(N($U80)=0,"?",COUNTIFS(INDEX($V$5:$V$1000,1):INDEX($V$5:$V$1000,$U80-4),"Macro",INDEX($S$5:$S$1000,1):INDEX($S$5:$S$1000,$U80-4),INDEX($S$5:$S$1000,$U80-4))&amp;"."&amp;COUNTIFS($U$5:$U80,$U80,$V$5:$V80,"Sub"))))</f>
        <v/>
      </c>
      <c r="B80" s="57" t="n"/>
      <c r="C80" s="58" t="n"/>
      <c r="D80" s="58" t="n"/>
      <c r="E80" s="59">
        <f>IF(N($AL80)&gt;0,INDEX(rIni_ADM,$AL80),"")</f>
        <v/>
      </c>
      <c r="F80" s="59">
        <f>IF(N($AL80)&gt;0,INDEX(rLim_ADM,$AL80),"")</f>
        <v/>
      </c>
      <c r="G80" s="59" t="n"/>
      <c r="H80" s="60" t="n"/>
      <c r="I80" s="60" t="n"/>
      <c r="J80" s="60" t="n"/>
      <c r="K80" s="60" t="n"/>
      <c r="L80" s="60" t="n"/>
      <c r="M80" s="61">
        <f>IF(NOT((COUNTA($B80:$D80)+COUNTA($G80:$L80)+COUNTA($Q80))&gt;0),"",IF(ISNUMBER($G80),1,IF(N($W80)&gt;0,AVERAGEIFS($X$5:$X$1000,$U$5:$U$1000,ROW(),$V$5:$V$1000,"Sub"),$X80)))</f>
        <v/>
      </c>
      <c r="N80" s="56">
        <f>IF($M80="","",IF($M80&gt;=1,"Completado",IF($M80&gt;0,"En curso","Pendiente")))</f>
        <v/>
      </c>
      <c r="O80" s="56">
        <f>IF(NOT((COUNTA($B80:$D80)+COUNTA($G80:$L80)+COUNTA($Q80))&gt;0),"",IF(ISNUMBER($G80),IF(AND(ISNUMBER($AN80),$G80&gt;$AN80),"Cumplida con "&amp;($G80-$AN80)&amp;IF($G80-$AN80=1," día"," días")&amp;" de retraso","Cumplida"),IF(N($M80)&gt;=1,"Cumplida",IF(NOT(ISNUMBER($AN80)),"Sin fecha límite",IF($AN80&lt;FechaRef,"Vencida hace "&amp;(FechaRef-$AN80)&amp;IF(FechaRef-$AN80=1," día"," días"),IF($AN80=FechaRef,"Vence hoy",IF($AN80-FechaRef&lt;=DiasAlerta,"Vence en "&amp;($AN80-FechaRef)&amp;IF($AN80-FechaRef=1," día"," días"),"En plazo")))))))</f>
        <v/>
      </c>
      <c r="P80" s="62" t="n"/>
      <c r="Q80" s="58" t="n"/>
      <c r="R80" s="63">
        <f>IF(NOT((COUNTA($B80:$D80)+COUNTA($G80:$L80)+COUNTA($Q80))&gt;0),"",IF((IF($C80="","Falta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",""))="","✔ OK","⚠ "&amp;LEFT(IF($C80="","Falta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",""),LEN(IF($C80="","Falta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",""))-3)))</f>
        <v/>
      </c>
      <c r="S80" s="64">
        <f>IF(NOT((COUNTA($B80:$D80)+COUNTA($G80:$L80)+COUNTA($Q80))&gt;0),"",IF(AND($V80="Sub",N($U80)&gt;0),IF(ISNUMBER(INDEX($AM$5:$AM$1000,$U80-4)),DATE(YEAR(INDEX($AM$5:$AM$1000,$U80-4)),MONTH(INDEX($AM$5:$AM$1000,$U80-4)),1),IF(ISNUMBER(INDEX($AN$5:$AN$1000,$U80-4)),DATE(YEAR(INDEX($AN$5:$AN$1000,$U80-4)),MONTH(INDEX($AN$5:$AN$1000,$U80-4)),1),MesCiclo)),IF(ISNUMBER($AM80),DATE(YEAR($AM80),MONTH($AM80),1),IF(ISNUMBER($AN80),DATE(YEAR($AN80),MONTH($AN80),1),MesCiclo))))</f>
        <v/>
      </c>
      <c r="T80" s="62">
        <f>IF(OR($S80="",$S80&lt;&gt;MesCiclo),"",COUNTIF($S$5:$S80,MesCiclo))</f>
        <v/>
      </c>
      <c r="U80" s="62">
        <f>IF($V80="","",IF($V80="Macro",ROW(),IFERROR(LOOKUP(2,1/($V$5:$V80="Macro"),ROW($V$5:$V80)),0)))</f>
        <v/>
      </c>
      <c r="V80" s="62">
        <f>IF(NOT((COUNTA($B80:$D80)+COUNTA($G80:$L80)+COUNTA($Q80))&gt;0),"",IF($B80="Subactividad","Sub","Macro"))</f>
        <v/>
      </c>
      <c r="W80" s="62">
        <f>IF($V80="Macro",COUNTIFS($U$5:$U$1000,ROW(),$V$5:$V$1000,"Sub"),"")</f>
        <v/>
      </c>
      <c r="X80" s="62">
        <f>IF($V80="","",IF(ISNUMBER($G80),1,IFERROR(LOOKUP(2,1/($I80:$L80&lt;&gt;""),$I80:$L80),0)))</f>
        <v/>
      </c>
      <c r="Y80" s="62">
        <f>IF($V80="","",IF(AND(ISNUMBER($G80),$G80&lt;=IF($S80=MesCiclo,InicioCiclo,$S80+MOD(2-WEEKDAY($S80),7))+6),1,IF(ISNUMBER($I80),$I80,0)))</f>
        <v/>
      </c>
      <c r="Z80" s="62">
        <f>IF($V80="","",IF(AND(ISNUMBER($G80),$G80&lt;=IF($S80=MesCiclo,InicioCiclo,$S80+MOD(2-WEEKDAY($S80),7))+13),1,IF(ISNUMBER($J80),$J80,$Y80)))</f>
        <v/>
      </c>
      <c r="AA80" s="62">
        <f>IF($V80="","",IF(AND(ISNUMBER($G80),$G80&lt;=IF($S80=MesCiclo,InicioCiclo,$S80+MOD(2-WEEKDAY($S80),7))+20),1,IF(ISNUMBER($K80),$K80,$Z80)))</f>
        <v/>
      </c>
      <c r="AB80" s="62">
        <f>IF($V80="","",IF(AND(ISNUMBER($G80),$G80&lt;=IF($S80=MesCiclo,InicioCiclo,$S80+MOD(2-WEEKDAY($S80),7))+27),1,IF(ISNUMBER($L80),$L80,$AA80)))</f>
        <v/>
      </c>
      <c r="AC80" s="62">
        <f>IF($V80="","",IF(AND(ISNUMBER($G80),$G80&lt;=IF($S80=MesCiclo,InicioCiclo,$S80+MOD(2-WEEKDAY($S80),7))+6),1,IF(N($W80)&gt;0,AVERAGEIFS($Y$5:$Y$1000,$U$5:$U$1000,ROW(),$V$5:$V$1000,"Sub"),$Y80)))</f>
        <v/>
      </c>
      <c r="AD80" s="62">
        <f>IF($V80="","",IF(AND(ISNUMBER($G80),$G80&lt;=IF($S80=MesCiclo,InicioCiclo,$S80+MOD(2-WEEKDAY($S80),7))+13),1,IF(N($W80)&gt;0,AVERAGEIFS($Z$5:$Z$1000,$U$5:$U$1000,ROW(),$V$5:$V$1000,"Sub"),$Z80)))</f>
        <v/>
      </c>
      <c r="AE80" s="62">
        <f>IF($V80="","",IF(AND(ISNUMBER($G80),$G80&lt;=IF($S80=MesCiclo,InicioCiclo,$S80+MOD(2-WEEKDAY($S80),7))+20),1,IF(N($W80)&gt;0,AVERAGEIFS($AA$5:$AA$1000,$U$5:$U$1000,ROW(),$V$5:$V$1000,"Sub"),$AA80)))</f>
        <v/>
      </c>
      <c r="AF80" s="62">
        <f>IF($V80="","",IF(AND(ISNUMBER($G80),$G80&lt;=IF($S80=MesCiclo,InicioCiclo,$S80+MOD(2-WEEKDAY($S80),7))+27),1,IF(N($W80)&gt;0,AVERAGEIFS($AB$5:$AB$1000,$U$5:$U$1000,ROW(),$V$5:$V$1000,"Sub"),$AB80)))</f>
        <v/>
      </c>
      <c r="AG80" s="62">
        <f>IF($V80&lt;&gt;"Macro","",IF(COUNTIFS($S$5:$S$1000,$S80,$V$5:$V$1000,"Macro",$H$5:$H$1000,"&gt;0")=0,1/COUNTIFS($S$5:$S$1000,$S80,$V$5:$V$1000,"Macro"),IF(AND(ISNUMBER($H80),N($H80)&gt;0),$H80,SUMIFS($H$5:$H$1000,$S$5:$S$1000,$S80,$V$5:$V$1000,"Macro")/COUNTIFS($S$5:$S$1000,$S80,$V$5:$V$1000,"Macro",$H$5:$H$1000,"&gt;0"))/(COUNTIFS($S$5:$S$1000,$S80,$V$5:$V$1000,"Macro")*SUMIFS($H$5:$H$1000,$S$5:$S$1000,$S80,$V$5:$V$1000,"Macro")/COUNTIFS($S$5:$S$1000,$S80,$V$5:$V$1000,"Macro",$H$5:$H$1000,"&gt;0"))))</f>
        <v/>
      </c>
      <c r="AH80" s="62" t="n"/>
      <c r="AI80" s="62" t="n"/>
      <c r="AJ80" s="62" t="n"/>
      <c r="AK80" s="62" t="n"/>
      <c r="AL80" s="62">
        <f>IF(LEFT($C80,11)="[Jefatura] ",IFERROR(MATCH("Riesgo Normativo|"&amp;MID($C80,12,500),rDname_ADM,0),0),"")</f>
        <v/>
      </c>
      <c r="AM80" s="62">
        <f>IF(N($AL80)&gt;0,INDEX(rIni_ADM,$AL80),IF(ISNUMBER($E80),$E80,""))</f>
        <v/>
      </c>
      <c r="AN80" s="62">
        <f>IF(N($AL80)&gt;0,INDEX(rLim_ADM,$AL80),IF(ISNUMBER($F80),$F80,""))</f>
        <v/>
      </c>
    </row>
    <row r="81">
      <c r="A81" s="56">
        <f>IF(NOT((COUNTA($B81:$D81)+COUNTA($G81:$L81)+COUNTA($Q81))&gt;0),"",IF($V81="Macro",COUNTIFS($V$5:$V81,"Macro",$S$5:$S81,$S81),IF(N($U81)=0,"?",COUNTIFS(INDEX($V$5:$V$1000,1):INDEX($V$5:$V$1000,$U81-4),"Macro",INDEX($S$5:$S$1000,1):INDEX($S$5:$S$1000,$U81-4),INDEX($S$5:$S$1000,$U81-4))&amp;"."&amp;COUNTIFS($U$5:$U81,$U81,$V$5:$V81,"Sub"))))</f>
        <v/>
      </c>
      <c r="B81" s="57" t="n"/>
      <c r="C81" s="58" t="n"/>
      <c r="D81" s="58" t="n"/>
      <c r="E81" s="59">
        <f>IF(N($AL81)&gt;0,INDEX(rIni_ADM,$AL81),"")</f>
        <v/>
      </c>
      <c r="F81" s="59">
        <f>IF(N($AL81)&gt;0,INDEX(rLim_ADM,$AL81),"")</f>
        <v/>
      </c>
      <c r="G81" s="59" t="n"/>
      <c r="H81" s="60" t="n"/>
      <c r="I81" s="60" t="n"/>
      <c r="J81" s="60" t="n"/>
      <c r="K81" s="60" t="n"/>
      <c r="L81" s="60" t="n"/>
      <c r="M81" s="61">
        <f>IF(NOT((COUNTA($B81:$D81)+COUNTA($G81:$L81)+COUNTA($Q81))&gt;0),"",IF(ISNUMBER($G81),1,IF(N($W81)&gt;0,AVERAGEIFS($X$5:$X$1000,$U$5:$U$1000,ROW(),$V$5:$V$1000,"Sub"),$X81)))</f>
        <v/>
      </c>
      <c r="N81" s="56">
        <f>IF($M81="","",IF($M81&gt;=1,"Completado",IF($M81&gt;0,"En curso","Pendiente")))</f>
        <v/>
      </c>
      <c r="O81" s="56">
        <f>IF(NOT((COUNTA($B81:$D81)+COUNTA($G81:$L81)+COUNTA($Q81))&gt;0),"",IF(ISNUMBER($G81),IF(AND(ISNUMBER($AN81),$G81&gt;$AN81),"Cumplida con "&amp;($G81-$AN81)&amp;IF($G81-$AN81=1," día"," días")&amp;" de retraso","Cumplida"),IF(N($M81)&gt;=1,"Cumplida",IF(NOT(ISNUMBER($AN81)),"Sin fecha límite",IF($AN81&lt;FechaRef,"Vencida hace "&amp;(FechaRef-$AN81)&amp;IF(FechaRef-$AN81=1," día"," días"),IF($AN81=FechaRef,"Vence hoy",IF($AN81-FechaRef&lt;=DiasAlerta,"Vence en "&amp;($AN81-FechaRef)&amp;IF($AN81-FechaRef=1," día"," días"),"En plazo")))))))</f>
        <v/>
      </c>
      <c r="P81" s="62" t="n"/>
      <c r="Q81" s="58" t="n"/>
      <c r="R81" s="63">
        <f>IF(NOT((COUNTA($B81:$D81)+COUNTA($G81:$L81)+COUNTA($Q81))&gt;0),"",IF((IF($C81="","Falta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",""))="","✔ OK","⚠ "&amp;LEFT(IF($C81="","Falta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",""),LEN(IF($C81="","Falta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",""))-3)))</f>
        <v/>
      </c>
      <c r="S81" s="64">
        <f>IF(NOT((COUNTA($B81:$D81)+COUNTA($G81:$L81)+COUNTA($Q81))&gt;0),"",IF(AND($V81="Sub",N($U81)&gt;0),IF(ISNUMBER(INDEX($AM$5:$AM$1000,$U81-4)),DATE(YEAR(INDEX($AM$5:$AM$1000,$U81-4)),MONTH(INDEX($AM$5:$AM$1000,$U81-4)),1),IF(ISNUMBER(INDEX($AN$5:$AN$1000,$U81-4)),DATE(YEAR(INDEX($AN$5:$AN$1000,$U81-4)),MONTH(INDEX($AN$5:$AN$1000,$U81-4)),1),MesCiclo)),IF(ISNUMBER($AM81),DATE(YEAR($AM81),MONTH($AM81),1),IF(ISNUMBER($AN81),DATE(YEAR($AN81),MONTH($AN81),1),MesCiclo))))</f>
        <v/>
      </c>
      <c r="T81" s="62">
        <f>IF(OR($S81="",$S81&lt;&gt;MesCiclo),"",COUNTIF($S$5:$S81,MesCiclo))</f>
        <v/>
      </c>
      <c r="U81" s="62">
        <f>IF($V81="","",IF($V81="Macro",ROW(),IFERROR(LOOKUP(2,1/($V$5:$V81="Macro"),ROW($V$5:$V81)),0)))</f>
        <v/>
      </c>
      <c r="V81" s="62">
        <f>IF(NOT((COUNTA($B81:$D81)+COUNTA($G81:$L81)+COUNTA($Q81))&gt;0),"",IF($B81="Subactividad","Sub","Macro"))</f>
        <v/>
      </c>
      <c r="W81" s="62">
        <f>IF($V81="Macro",COUNTIFS($U$5:$U$1000,ROW(),$V$5:$V$1000,"Sub"),"")</f>
        <v/>
      </c>
      <c r="X81" s="62">
        <f>IF($V81="","",IF(ISNUMBER($G81),1,IFERROR(LOOKUP(2,1/($I81:$L81&lt;&gt;""),$I81:$L81),0)))</f>
        <v/>
      </c>
      <c r="Y81" s="62">
        <f>IF($V81="","",IF(AND(ISNUMBER($G81),$G81&lt;=IF($S81=MesCiclo,InicioCiclo,$S81+MOD(2-WEEKDAY($S81),7))+6),1,IF(ISNUMBER($I81),$I81,0)))</f>
        <v/>
      </c>
      <c r="Z81" s="62">
        <f>IF($V81="","",IF(AND(ISNUMBER($G81),$G81&lt;=IF($S81=MesCiclo,InicioCiclo,$S81+MOD(2-WEEKDAY($S81),7))+13),1,IF(ISNUMBER($J81),$J81,$Y81)))</f>
        <v/>
      </c>
      <c r="AA81" s="62">
        <f>IF($V81="","",IF(AND(ISNUMBER($G81),$G81&lt;=IF($S81=MesCiclo,InicioCiclo,$S81+MOD(2-WEEKDAY($S81),7))+20),1,IF(ISNUMBER($K81),$K81,$Z81)))</f>
        <v/>
      </c>
      <c r="AB81" s="62">
        <f>IF($V81="","",IF(AND(ISNUMBER($G81),$G81&lt;=IF($S81=MesCiclo,InicioCiclo,$S81+MOD(2-WEEKDAY($S81),7))+27),1,IF(ISNUMBER($L81),$L81,$AA81)))</f>
        <v/>
      </c>
      <c r="AC81" s="62">
        <f>IF($V81="","",IF(AND(ISNUMBER($G81),$G81&lt;=IF($S81=MesCiclo,InicioCiclo,$S81+MOD(2-WEEKDAY($S81),7))+6),1,IF(N($W81)&gt;0,AVERAGEIFS($Y$5:$Y$1000,$U$5:$U$1000,ROW(),$V$5:$V$1000,"Sub"),$Y81)))</f>
        <v/>
      </c>
      <c r="AD81" s="62">
        <f>IF($V81="","",IF(AND(ISNUMBER($G81),$G81&lt;=IF($S81=MesCiclo,InicioCiclo,$S81+MOD(2-WEEKDAY($S81),7))+13),1,IF(N($W81)&gt;0,AVERAGEIFS($Z$5:$Z$1000,$U$5:$U$1000,ROW(),$V$5:$V$1000,"Sub"),$Z81)))</f>
        <v/>
      </c>
      <c r="AE81" s="62">
        <f>IF($V81="","",IF(AND(ISNUMBER($G81),$G81&lt;=IF($S81=MesCiclo,InicioCiclo,$S81+MOD(2-WEEKDAY($S81),7))+20),1,IF(N($W81)&gt;0,AVERAGEIFS($AA$5:$AA$1000,$U$5:$U$1000,ROW(),$V$5:$V$1000,"Sub"),$AA81)))</f>
        <v/>
      </c>
      <c r="AF81" s="62">
        <f>IF($V81="","",IF(AND(ISNUMBER($G81),$G81&lt;=IF($S81=MesCiclo,InicioCiclo,$S81+MOD(2-WEEKDAY($S81),7))+27),1,IF(N($W81)&gt;0,AVERAGEIFS($AB$5:$AB$1000,$U$5:$U$1000,ROW(),$V$5:$V$1000,"Sub"),$AB81)))</f>
        <v/>
      </c>
      <c r="AG81" s="62">
        <f>IF($V81&lt;&gt;"Macro","",IF(COUNTIFS($S$5:$S$1000,$S81,$V$5:$V$1000,"Macro",$H$5:$H$1000,"&gt;0")=0,1/COUNTIFS($S$5:$S$1000,$S81,$V$5:$V$1000,"Macro"),IF(AND(ISNUMBER($H81),N($H81)&gt;0),$H81,SUMIFS($H$5:$H$1000,$S$5:$S$1000,$S81,$V$5:$V$1000,"Macro")/COUNTIFS($S$5:$S$1000,$S81,$V$5:$V$1000,"Macro",$H$5:$H$1000,"&gt;0"))/(COUNTIFS($S$5:$S$1000,$S81,$V$5:$V$1000,"Macro")*SUMIFS($H$5:$H$1000,$S$5:$S$1000,$S81,$V$5:$V$1000,"Macro")/COUNTIFS($S$5:$S$1000,$S81,$V$5:$V$1000,"Macro",$H$5:$H$1000,"&gt;0"))))</f>
        <v/>
      </c>
      <c r="AH81" s="62" t="n"/>
      <c r="AI81" s="62" t="n"/>
      <c r="AJ81" s="62" t="n"/>
      <c r="AK81" s="62" t="n"/>
      <c r="AL81" s="62">
        <f>IF(LEFT($C81,11)="[Jefatura] ",IFERROR(MATCH("Riesgo Normativo|"&amp;MID($C81,12,500),rDname_ADM,0),0),"")</f>
        <v/>
      </c>
      <c r="AM81" s="62">
        <f>IF(N($AL81)&gt;0,INDEX(rIni_ADM,$AL81),IF(ISNUMBER($E81),$E81,""))</f>
        <v/>
      </c>
      <c r="AN81" s="62">
        <f>IF(N($AL81)&gt;0,INDEX(rLim_ADM,$AL81),IF(ISNUMBER($F81),$F81,""))</f>
        <v/>
      </c>
    </row>
    <row r="82">
      <c r="A82" s="56">
        <f>IF(NOT((COUNTA($B82:$D82)+COUNTA($G82:$L82)+COUNTA($Q82))&gt;0),"",IF($V82="Macro",COUNTIFS($V$5:$V82,"Macro",$S$5:$S82,$S82),IF(N($U82)=0,"?",COUNTIFS(INDEX($V$5:$V$1000,1):INDEX($V$5:$V$1000,$U82-4),"Macro",INDEX($S$5:$S$1000,1):INDEX($S$5:$S$1000,$U82-4),INDEX($S$5:$S$1000,$U82-4))&amp;"."&amp;COUNTIFS($U$5:$U82,$U82,$V$5:$V82,"Sub"))))</f>
        <v/>
      </c>
      <c r="B82" s="57" t="n"/>
      <c r="C82" s="58" t="n"/>
      <c r="D82" s="58" t="n"/>
      <c r="E82" s="59">
        <f>IF(N($AL82)&gt;0,INDEX(rIni_ADM,$AL82),"")</f>
        <v/>
      </c>
      <c r="F82" s="59">
        <f>IF(N($AL82)&gt;0,INDEX(rLim_ADM,$AL82),"")</f>
        <v/>
      </c>
      <c r="G82" s="59" t="n"/>
      <c r="H82" s="60" t="n"/>
      <c r="I82" s="60" t="n"/>
      <c r="J82" s="60" t="n"/>
      <c r="K82" s="60" t="n"/>
      <c r="L82" s="60" t="n"/>
      <c r="M82" s="61">
        <f>IF(NOT((COUNTA($B82:$D82)+COUNTA($G82:$L82)+COUNTA($Q82))&gt;0),"",IF(ISNUMBER($G82),1,IF(N($W82)&gt;0,AVERAGEIFS($X$5:$X$1000,$U$5:$U$1000,ROW(),$V$5:$V$1000,"Sub"),$X82)))</f>
        <v/>
      </c>
      <c r="N82" s="56">
        <f>IF($M82="","",IF($M82&gt;=1,"Completado",IF($M82&gt;0,"En curso","Pendiente")))</f>
        <v/>
      </c>
      <c r="O82" s="56">
        <f>IF(NOT((COUNTA($B82:$D82)+COUNTA($G82:$L82)+COUNTA($Q82))&gt;0),"",IF(ISNUMBER($G82),IF(AND(ISNUMBER($AN82),$G82&gt;$AN82),"Cumplida con "&amp;($G82-$AN82)&amp;IF($G82-$AN82=1," día"," días")&amp;" de retraso","Cumplida"),IF(N($M82)&gt;=1,"Cumplida",IF(NOT(ISNUMBER($AN82)),"Sin fecha límite",IF($AN82&lt;FechaRef,"Vencida hace "&amp;(FechaRef-$AN82)&amp;IF(FechaRef-$AN82=1," día"," días"),IF($AN82=FechaRef,"Vence hoy",IF($AN82-FechaRef&lt;=DiasAlerta,"Vence en "&amp;($AN82-FechaRef)&amp;IF($AN82-FechaRef=1," día"," días"),"En plazo")))))))</f>
        <v/>
      </c>
      <c r="P82" s="62" t="n"/>
      <c r="Q82" s="58" t="n"/>
      <c r="R82" s="63">
        <f>IF(NOT((COUNTA($B82:$D82)+COUNTA($G82:$L82)+COUNTA($Q82))&gt;0),"",IF((IF($C82="","Falta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",""))="","✔ OK","⚠ "&amp;LEFT(IF($C82="","Falta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",""),LEN(IF($C82="","Falta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",""))-3)))</f>
        <v/>
      </c>
      <c r="S82" s="64">
        <f>IF(NOT((COUNTA($B82:$D82)+COUNTA($G82:$L82)+COUNTA($Q82))&gt;0),"",IF(AND($V82="Sub",N($U82)&gt;0),IF(ISNUMBER(INDEX($AM$5:$AM$1000,$U82-4)),DATE(YEAR(INDEX($AM$5:$AM$1000,$U82-4)),MONTH(INDEX($AM$5:$AM$1000,$U82-4)),1),IF(ISNUMBER(INDEX($AN$5:$AN$1000,$U82-4)),DATE(YEAR(INDEX($AN$5:$AN$1000,$U82-4)),MONTH(INDEX($AN$5:$AN$1000,$U82-4)),1),MesCiclo)),IF(ISNUMBER($AM82),DATE(YEAR($AM82),MONTH($AM82),1),IF(ISNUMBER($AN82),DATE(YEAR($AN82),MONTH($AN82),1),MesCiclo))))</f>
        <v/>
      </c>
      <c r="T82" s="62">
        <f>IF(OR($S82="",$S82&lt;&gt;MesCiclo),"",COUNTIF($S$5:$S82,MesCiclo))</f>
        <v/>
      </c>
      <c r="U82" s="62">
        <f>IF($V82="","",IF($V82="Macro",ROW(),IFERROR(LOOKUP(2,1/($V$5:$V82="Macro"),ROW($V$5:$V82)),0)))</f>
        <v/>
      </c>
      <c r="V82" s="62">
        <f>IF(NOT((COUNTA($B82:$D82)+COUNTA($G82:$L82)+COUNTA($Q82))&gt;0),"",IF($B82="Subactividad","Sub","Macro"))</f>
        <v/>
      </c>
      <c r="W82" s="62">
        <f>IF($V82="Macro",COUNTIFS($U$5:$U$1000,ROW(),$V$5:$V$1000,"Sub"),"")</f>
        <v/>
      </c>
      <c r="X82" s="62">
        <f>IF($V82="","",IF(ISNUMBER($G82),1,IFERROR(LOOKUP(2,1/($I82:$L82&lt;&gt;""),$I82:$L82),0)))</f>
        <v/>
      </c>
      <c r="Y82" s="62">
        <f>IF($V82="","",IF(AND(ISNUMBER($G82),$G82&lt;=IF($S82=MesCiclo,InicioCiclo,$S82+MOD(2-WEEKDAY($S82),7))+6),1,IF(ISNUMBER($I82),$I82,0)))</f>
        <v/>
      </c>
      <c r="Z82" s="62">
        <f>IF($V82="","",IF(AND(ISNUMBER($G82),$G82&lt;=IF($S82=MesCiclo,InicioCiclo,$S82+MOD(2-WEEKDAY($S82),7))+13),1,IF(ISNUMBER($J82),$J82,$Y82)))</f>
        <v/>
      </c>
      <c r="AA82" s="62">
        <f>IF($V82="","",IF(AND(ISNUMBER($G82),$G82&lt;=IF($S82=MesCiclo,InicioCiclo,$S82+MOD(2-WEEKDAY($S82),7))+20),1,IF(ISNUMBER($K82),$K82,$Z82)))</f>
        <v/>
      </c>
      <c r="AB82" s="62">
        <f>IF($V82="","",IF(AND(ISNUMBER($G82),$G82&lt;=IF($S82=MesCiclo,InicioCiclo,$S82+MOD(2-WEEKDAY($S82),7))+27),1,IF(ISNUMBER($L82),$L82,$AA82)))</f>
        <v/>
      </c>
      <c r="AC82" s="62">
        <f>IF($V82="","",IF(AND(ISNUMBER($G82),$G82&lt;=IF($S82=MesCiclo,InicioCiclo,$S82+MOD(2-WEEKDAY($S82),7))+6),1,IF(N($W82)&gt;0,AVERAGEIFS($Y$5:$Y$1000,$U$5:$U$1000,ROW(),$V$5:$V$1000,"Sub"),$Y82)))</f>
        <v/>
      </c>
      <c r="AD82" s="62">
        <f>IF($V82="","",IF(AND(ISNUMBER($G82),$G82&lt;=IF($S82=MesCiclo,InicioCiclo,$S82+MOD(2-WEEKDAY($S82),7))+13),1,IF(N($W82)&gt;0,AVERAGEIFS($Z$5:$Z$1000,$U$5:$U$1000,ROW(),$V$5:$V$1000,"Sub"),$Z82)))</f>
        <v/>
      </c>
      <c r="AE82" s="62">
        <f>IF($V82="","",IF(AND(ISNUMBER($G82),$G82&lt;=IF($S82=MesCiclo,InicioCiclo,$S82+MOD(2-WEEKDAY($S82),7))+20),1,IF(N($W82)&gt;0,AVERAGEIFS($AA$5:$AA$1000,$U$5:$U$1000,ROW(),$V$5:$V$1000,"Sub"),$AA82)))</f>
        <v/>
      </c>
      <c r="AF82" s="62">
        <f>IF($V82="","",IF(AND(ISNUMBER($G82),$G82&lt;=IF($S82=MesCiclo,InicioCiclo,$S82+MOD(2-WEEKDAY($S82),7))+27),1,IF(N($W82)&gt;0,AVERAGEIFS($AB$5:$AB$1000,$U$5:$U$1000,ROW(),$V$5:$V$1000,"Sub"),$AB82)))</f>
        <v/>
      </c>
      <c r="AG82" s="62">
        <f>IF($V82&lt;&gt;"Macro","",IF(COUNTIFS($S$5:$S$1000,$S82,$V$5:$V$1000,"Macro",$H$5:$H$1000,"&gt;0")=0,1/COUNTIFS($S$5:$S$1000,$S82,$V$5:$V$1000,"Macro"),IF(AND(ISNUMBER($H82),N($H82)&gt;0),$H82,SUMIFS($H$5:$H$1000,$S$5:$S$1000,$S82,$V$5:$V$1000,"Macro")/COUNTIFS($S$5:$S$1000,$S82,$V$5:$V$1000,"Macro",$H$5:$H$1000,"&gt;0"))/(COUNTIFS($S$5:$S$1000,$S82,$V$5:$V$1000,"Macro")*SUMIFS($H$5:$H$1000,$S$5:$S$1000,$S82,$V$5:$V$1000,"Macro")/COUNTIFS($S$5:$S$1000,$S82,$V$5:$V$1000,"Macro",$H$5:$H$1000,"&gt;0"))))</f>
        <v/>
      </c>
      <c r="AH82" s="62" t="n"/>
      <c r="AI82" s="62" t="n"/>
      <c r="AJ82" s="62" t="n"/>
      <c r="AK82" s="62" t="n"/>
      <c r="AL82" s="62">
        <f>IF(LEFT($C82,11)="[Jefatura] ",IFERROR(MATCH("Riesgo Normativo|"&amp;MID($C82,12,500),rDname_ADM,0),0),"")</f>
        <v/>
      </c>
      <c r="AM82" s="62">
        <f>IF(N($AL82)&gt;0,INDEX(rIni_ADM,$AL82),IF(ISNUMBER($E82),$E82,""))</f>
        <v/>
      </c>
      <c r="AN82" s="62">
        <f>IF(N($AL82)&gt;0,INDEX(rLim_ADM,$AL82),IF(ISNUMBER($F82),$F82,""))</f>
        <v/>
      </c>
    </row>
    <row r="83">
      <c r="A83" s="56">
        <f>IF(NOT((COUNTA($B83:$D83)+COUNTA($G83:$L83)+COUNTA($Q83))&gt;0),"",IF($V83="Macro",COUNTIFS($V$5:$V83,"Macro",$S$5:$S83,$S83),IF(N($U83)=0,"?",COUNTIFS(INDEX($V$5:$V$1000,1):INDEX($V$5:$V$1000,$U83-4),"Macro",INDEX($S$5:$S$1000,1):INDEX($S$5:$S$1000,$U83-4),INDEX($S$5:$S$1000,$U83-4))&amp;"."&amp;COUNTIFS($U$5:$U83,$U83,$V$5:$V83,"Sub"))))</f>
        <v/>
      </c>
      <c r="B83" s="57" t="n"/>
      <c r="C83" s="58" t="n"/>
      <c r="D83" s="58" t="n"/>
      <c r="E83" s="59">
        <f>IF(N($AL83)&gt;0,INDEX(rIni_ADM,$AL83),"")</f>
        <v/>
      </c>
      <c r="F83" s="59">
        <f>IF(N($AL83)&gt;0,INDEX(rLim_ADM,$AL83),"")</f>
        <v/>
      </c>
      <c r="G83" s="59" t="n"/>
      <c r="H83" s="60" t="n"/>
      <c r="I83" s="60" t="n"/>
      <c r="J83" s="60" t="n"/>
      <c r="K83" s="60" t="n"/>
      <c r="L83" s="60" t="n"/>
      <c r="M83" s="61">
        <f>IF(NOT((COUNTA($B83:$D83)+COUNTA($G83:$L83)+COUNTA($Q83))&gt;0),"",IF(ISNUMBER($G83),1,IF(N($W83)&gt;0,AVERAGEIFS($X$5:$X$1000,$U$5:$U$1000,ROW(),$V$5:$V$1000,"Sub"),$X83)))</f>
        <v/>
      </c>
      <c r="N83" s="56">
        <f>IF($M83="","",IF($M83&gt;=1,"Completado",IF($M83&gt;0,"En curso","Pendiente")))</f>
        <v/>
      </c>
      <c r="O83" s="56">
        <f>IF(NOT((COUNTA($B83:$D83)+COUNTA($G83:$L83)+COUNTA($Q83))&gt;0),"",IF(ISNUMBER($G83),IF(AND(ISNUMBER($AN83),$G83&gt;$AN83),"Cumplida con "&amp;($G83-$AN83)&amp;IF($G83-$AN83=1," día"," días")&amp;" de retraso","Cumplida"),IF(N($M83)&gt;=1,"Cumplida",IF(NOT(ISNUMBER($AN83)),"Sin fecha límite",IF($AN83&lt;FechaRef,"Vencida hace "&amp;(FechaRef-$AN83)&amp;IF(FechaRef-$AN83=1," día"," días"),IF($AN83=FechaRef,"Vence hoy",IF($AN83-FechaRef&lt;=DiasAlerta,"Vence en "&amp;($AN83-FechaRef)&amp;IF($AN83-FechaRef=1," día"," días"),"En plazo")))))))</f>
        <v/>
      </c>
      <c r="P83" s="62" t="n"/>
      <c r="Q83" s="58" t="n"/>
      <c r="R83" s="63">
        <f>IF(NOT((COUNTA($B83:$D83)+COUNTA($G83:$L83)+COUNTA($Q83))&gt;0),"",IF((IF($C83="","Falta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",""))="","✔ OK","⚠ "&amp;LEFT(IF($C83="","Falta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",""),LEN(IF($C83="","Falta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",""))-3)))</f>
        <v/>
      </c>
      <c r="S83" s="64">
        <f>IF(NOT((COUNTA($B83:$D83)+COUNTA($G83:$L83)+COUNTA($Q83))&gt;0),"",IF(AND($V83="Sub",N($U83)&gt;0),IF(ISNUMBER(INDEX($AM$5:$AM$1000,$U83-4)),DATE(YEAR(INDEX($AM$5:$AM$1000,$U83-4)),MONTH(INDEX($AM$5:$AM$1000,$U83-4)),1),IF(ISNUMBER(INDEX($AN$5:$AN$1000,$U83-4)),DATE(YEAR(INDEX($AN$5:$AN$1000,$U83-4)),MONTH(INDEX($AN$5:$AN$1000,$U83-4)),1),MesCiclo)),IF(ISNUMBER($AM83),DATE(YEAR($AM83),MONTH($AM83),1),IF(ISNUMBER($AN83),DATE(YEAR($AN83),MONTH($AN83),1),MesCiclo))))</f>
        <v/>
      </c>
      <c r="T83" s="62">
        <f>IF(OR($S83="",$S83&lt;&gt;MesCiclo),"",COUNTIF($S$5:$S83,MesCiclo))</f>
        <v/>
      </c>
      <c r="U83" s="62">
        <f>IF($V83="","",IF($V83="Macro",ROW(),IFERROR(LOOKUP(2,1/($V$5:$V83="Macro"),ROW($V$5:$V83)),0)))</f>
        <v/>
      </c>
      <c r="V83" s="62">
        <f>IF(NOT((COUNTA($B83:$D83)+COUNTA($G83:$L83)+COUNTA($Q83))&gt;0),"",IF($B83="Subactividad","Sub","Macro"))</f>
        <v/>
      </c>
      <c r="W83" s="62">
        <f>IF($V83="Macro",COUNTIFS($U$5:$U$1000,ROW(),$V$5:$V$1000,"Sub"),"")</f>
        <v/>
      </c>
      <c r="X83" s="62">
        <f>IF($V83="","",IF(ISNUMBER($G83),1,IFERROR(LOOKUP(2,1/($I83:$L83&lt;&gt;""),$I83:$L83),0)))</f>
        <v/>
      </c>
      <c r="Y83" s="62">
        <f>IF($V83="","",IF(AND(ISNUMBER($G83),$G83&lt;=IF($S83=MesCiclo,InicioCiclo,$S83+MOD(2-WEEKDAY($S83),7))+6),1,IF(ISNUMBER($I83),$I83,0)))</f>
        <v/>
      </c>
      <c r="Z83" s="62">
        <f>IF($V83="","",IF(AND(ISNUMBER($G83),$G83&lt;=IF($S83=MesCiclo,InicioCiclo,$S83+MOD(2-WEEKDAY($S83),7))+13),1,IF(ISNUMBER($J83),$J83,$Y83)))</f>
        <v/>
      </c>
      <c r="AA83" s="62">
        <f>IF($V83="","",IF(AND(ISNUMBER($G83),$G83&lt;=IF($S83=MesCiclo,InicioCiclo,$S83+MOD(2-WEEKDAY($S83),7))+20),1,IF(ISNUMBER($K83),$K83,$Z83)))</f>
        <v/>
      </c>
      <c r="AB83" s="62">
        <f>IF($V83="","",IF(AND(ISNUMBER($G83),$G83&lt;=IF($S83=MesCiclo,InicioCiclo,$S83+MOD(2-WEEKDAY($S83),7))+27),1,IF(ISNUMBER($L83),$L83,$AA83)))</f>
        <v/>
      </c>
      <c r="AC83" s="62">
        <f>IF($V83="","",IF(AND(ISNUMBER($G83),$G83&lt;=IF($S83=MesCiclo,InicioCiclo,$S83+MOD(2-WEEKDAY($S83),7))+6),1,IF(N($W83)&gt;0,AVERAGEIFS($Y$5:$Y$1000,$U$5:$U$1000,ROW(),$V$5:$V$1000,"Sub"),$Y83)))</f>
        <v/>
      </c>
      <c r="AD83" s="62">
        <f>IF($V83="","",IF(AND(ISNUMBER($G83),$G83&lt;=IF($S83=MesCiclo,InicioCiclo,$S83+MOD(2-WEEKDAY($S83),7))+13),1,IF(N($W83)&gt;0,AVERAGEIFS($Z$5:$Z$1000,$U$5:$U$1000,ROW(),$V$5:$V$1000,"Sub"),$Z83)))</f>
        <v/>
      </c>
      <c r="AE83" s="62">
        <f>IF($V83="","",IF(AND(ISNUMBER($G83),$G83&lt;=IF($S83=MesCiclo,InicioCiclo,$S83+MOD(2-WEEKDAY($S83),7))+20),1,IF(N($W83)&gt;0,AVERAGEIFS($AA$5:$AA$1000,$U$5:$U$1000,ROW(),$V$5:$V$1000,"Sub"),$AA83)))</f>
        <v/>
      </c>
      <c r="AF83" s="62">
        <f>IF($V83="","",IF(AND(ISNUMBER($G83),$G83&lt;=IF($S83=MesCiclo,InicioCiclo,$S83+MOD(2-WEEKDAY($S83),7))+27),1,IF(N($W83)&gt;0,AVERAGEIFS($AB$5:$AB$1000,$U$5:$U$1000,ROW(),$V$5:$V$1000,"Sub"),$AB83)))</f>
        <v/>
      </c>
      <c r="AG83" s="62">
        <f>IF($V83&lt;&gt;"Macro","",IF(COUNTIFS($S$5:$S$1000,$S83,$V$5:$V$1000,"Macro",$H$5:$H$1000,"&gt;0")=0,1/COUNTIFS($S$5:$S$1000,$S83,$V$5:$V$1000,"Macro"),IF(AND(ISNUMBER($H83),N($H83)&gt;0),$H83,SUMIFS($H$5:$H$1000,$S$5:$S$1000,$S83,$V$5:$V$1000,"Macro")/COUNTIFS($S$5:$S$1000,$S83,$V$5:$V$1000,"Macro",$H$5:$H$1000,"&gt;0"))/(COUNTIFS($S$5:$S$1000,$S83,$V$5:$V$1000,"Macro")*SUMIFS($H$5:$H$1000,$S$5:$S$1000,$S83,$V$5:$V$1000,"Macro")/COUNTIFS($S$5:$S$1000,$S83,$V$5:$V$1000,"Macro",$H$5:$H$1000,"&gt;0"))))</f>
        <v/>
      </c>
      <c r="AH83" s="62" t="n"/>
      <c r="AI83" s="62" t="n"/>
      <c r="AJ83" s="62" t="n"/>
      <c r="AK83" s="62" t="n"/>
      <c r="AL83" s="62">
        <f>IF(LEFT($C83,11)="[Jefatura] ",IFERROR(MATCH("Riesgo Normativo|"&amp;MID($C83,12,500),rDname_ADM,0),0),"")</f>
        <v/>
      </c>
      <c r="AM83" s="62">
        <f>IF(N($AL83)&gt;0,INDEX(rIni_ADM,$AL83),IF(ISNUMBER($E83),$E83,""))</f>
        <v/>
      </c>
      <c r="AN83" s="62">
        <f>IF(N($AL83)&gt;0,INDEX(rLim_ADM,$AL83),IF(ISNUMBER($F83),$F83,""))</f>
        <v/>
      </c>
    </row>
    <row r="84">
      <c r="A84" s="56">
        <f>IF(NOT((COUNTA($B84:$D84)+COUNTA($G84:$L84)+COUNTA($Q84))&gt;0),"",IF($V84="Macro",COUNTIFS($V$5:$V84,"Macro",$S$5:$S84,$S84),IF(N($U84)=0,"?",COUNTIFS(INDEX($V$5:$V$1000,1):INDEX($V$5:$V$1000,$U84-4),"Macro",INDEX($S$5:$S$1000,1):INDEX($S$5:$S$1000,$U84-4),INDEX($S$5:$S$1000,$U84-4))&amp;"."&amp;COUNTIFS($U$5:$U84,$U84,$V$5:$V84,"Sub"))))</f>
        <v/>
      </c>
      <c r="B84" s="57" t="n"/>
      <c r="C84" s="58" t="n"/>
      <c r="D84" s="58" t="n"/>
      <c r="E84" s="59">
        <f>IF(N($AL84)&gt;0,INDEX(rIni_ADM,$AL84),"")</f>
        <v/>
      </c>
      <c r="F84" s="59">
        <f>IF(N($AL84)&gt;0,INDEX(rLim_ADM,$AL84),"")</f>
        <v/>
      </c>
      <c r="G84" s="59" t="n"/>
      <c r="H84" s="60" t="n"/>
      <c r="I84" s="60" t="n"/>
      <c r="J84" s="60" t="n"/>
      <c r="K84" s="60" t="n"/>
      <c r="L84" s="60" t="n"/>
      <c r="M84" s="61">
        <f>IF(NOT((COUNTA($B84:$D84)+COUNTA($G84:$L84)+COUNTA($Q84))&gt;0),"",IF(ISNUMBER($G84),1,IF(N($W84)&gt;0,AVERAGEIFS($X$5:$X$1000,$U$5:$U$1000,ROW(),$V$5:$V$1000,"Sub"),$X84)))</f>
        <v/>
      </c>
      <c r="N84" s="56">
        <f>IF($M84="","",IF($M84&gt;=1,"Completado",IF($M84&gt;0,"En curso","Pendiente")))</f>
        <v/>
      </c>
      <c r="O84" s="56">
        <f>IF(NOT((COUNTA($B84:$D84)+COUNTA($G84:$L84)+COUNTA($Q84))&gt;0),"",IF(ISNUMBER($G84),IF(AND(ISNUMBER($AN84),$G84&gt;$AN84),"Cumplida con "&amp;($G84-$AN84)&amp;IF($G84-$AN84=1," día"," días")&amp;" de retraso","Cumplida"),IF(N($M84)&gt;=1,"Cumplida",IF(NOT(ISNUMBER($AN84)),"Sin fecha límite",IF($AN84&lt;FechaRef,"Vencida hace "&amp;(FechaRef-$AN84)&amp;IF(FechaRef-$AN84=1," día"," días"),IF($AN84=FechaRef,"Vence hoy",IF($AN84-FechaRef&lt;=DiasAlerta,"Vence en "&amp;($AN84-FechaRef)&amp;IF($AN84-FechaRef=1," día"," días"),"En plazo")))))))</f>
        <v/>
      </c>
      <c r="P84" s="62" t="n"/>
      <c r="Q84" s="58" t="n"/>
      <c r="R84" s="63">
        <f>IF(NOT((COUNTA($B84:$D84)+COUNTA($G84:$L84)+COUNTA($Q84))&gt;0),"",IF((IF($C84="","Falta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",""))="","✔ OK","⚠ "&amp;LEFT(IF($C84="","Falta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",""),LEN(IF($C84="","Falta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",""))-3)))</f>
        <v/>
      </c>
      <c r="S84" s="64">
        <f>IF(NOT((COUNTA($B84:$D84)+COUNTA($G84:$L84)+COUNTA($Q84))&gt;0),"",IF(AND($V84="Sub",N($U84)&gt;0),IF(ISNUMBER(INDEX($AM$5:$AM$1000,$U84-4)),DATE(YEAR(INDEX($AM$5:$AM$1000,$U84-4)),MONTH(INDEX($AM$5:$AM$1000,$U84-4)),1),IF(ISNUMBER(INDEX($AN$5:$AN$1000,$U84-4)),DATE(YEAR(INDEX($AN$5:$AN$1000,$U84-4)),MONTH(INDEX($AN$5:$AN$1000,$U84-4)),1),MesCiclo)),IF(ISNUMBER($AM84),DATE(YEAR($AM84),MONTH($AM84),1),IF(ISNUMBER($AN84),DATE(YEAR($AN84),MONTH($AN84),1),MesCiclo))))</f>
        <v/>
      </c>
      <c r="T84" s="62">
        <f>IF(OR($S84="",$S84&lt;&gt;MesCiclo),"",COUNTIF($S$5:$S84,MesCiclo))</f>
        <v/>
      </c>
      <c r="U84" s="62">
        <f>IF($V84="","",IF($V84="Macro",ROW(),IFERROR(LOOKUP(2,1/($V$5:$V84="Macro"),ROW($V$5:$V84)),0)))</f>
        <v/>
      </c>
      <c r="V84" s="62">
        <f>IF(NOT((COUNTA($B84:$D84)+COUNTA($G84:$L84)+COUNTA($Q84))&gt;0),"",IF($B84="Subactividad","Sub","Macro"))</f>
        <v/>
      </c>
      <c r="W84" s="62">
        <f>IF($V84="Macro",COUNTIFS($U$5:$U$1000,ROW(),$V$5:$V$1000,"Sub"),"")</f>
        <v/>
      </c>
      <c r="X84" s="62">
        <f>IF($V84="","",IF(ISNUMBER($G84),1,IFERROR(LOOKUP(2,1/($I84:$L84&lt;&gt;""),$I84:$L84),0)))</f>
        <v/>
      </c>
      <c r="Y84" s="62">
        <f>IF($V84="","",IF(AND(ISNUMBER($G84),$G84&lt;=IF($S84=MesCiclo,InicioCiclo,$S84+MOD(2-WEEKDAY($S84),7))+6),1,IF(ISNUMBER($I84),$I84,0)))</f>
        <v/>
      </c>
      <c r="Z84" s="62">
        <f>IF($V84="","",IF(AND(ISNUMBER($G84),$G84&lt;=IF($S84=MesCiclo,InicioCiclo,$S84+MOD(2-WEEKDAY($S84),7))+13),1,IF(ISNUMBER($J84),$J84,$Y84)))</f>
        <v/>
      </c>
      <c r="AA84" s="62">
        <f>IF($V84="","",IF(AND(ISNUMBER($G84),$G84&lt;=IF($S84=MesCiclo,InicioCiclo,$S84+MOD(2-WEEKDAY($S84),7))+20),1,IF(ISNUMBER($K84),$K84,$Z84)))</f>
        <v/>
      </c>
      <c r="AB84" s="62">
        <f>IF($V84="","",IF(AND(ISNUMBER($G84),$G84&lt;=IF($S84=MesCiclo,InicioCiclo,$S84+MOD(2-WEEKDAY($S84),7))+27),1,IF(ISNUMBER($L84),$L84,$AA84)))</f>
        <v/>
      </c>
      <c r="AC84" s="62">
        <f>IF($V84="","",IF(AND(ISNUMBER($G84),$G84&lt;=IF($S84=MesCiclo,InicioCiclo,$S84+MOD(2-WEEKDAY($S84),7))+6),1,IF(N($W84)&gt;0,AVERAGEIFS($Y$5:$Y$1000,$U$5:$U$1000,ROW(),$V$5:$V$1000,"Sub"),$Y84)))</f>
        <v/>
      </c>
      <c r="AD84" s="62">
        <f>IF($V84="","",IF(AND(ISNUMBER($G84),$G84&lt;=IF($S84=MesCiclo,InicioCiclo,$S84+MOD(2-WEEKDAY($S84),7))+13),1,IF(N($W84)&gt;0,AVERAGEIFS($Z$5:$Z$1000,$U$5:$U$1000,ROW(),$V$5:$V$1000,"Sub"),$Z84)))</f>
        <v/>
      </c>
      <c r="AE84" s="62">
        <f>IF($V84="","",IF(AND(ISNUMBER($G84),$G84&lt;=IF($S84=MesCiclo,InicioCiclo,$S84+MOD(2-WEEKDAY($S84),7))+20),1,IF(N($W84)&gt;0,AVERAGEIFS($AA$5:$AA$1000,$U$5:$U$1000,ROW(),$V$5:$V$1000,"Sub"),$AA84)))</f>
        <v/>
      </c>
      <c r="AF84" s="62">
        <f>IF($V84="","",IF(AND(ISNUMBER($G84),$G84&lt;=IF($S84=MesCiclo,InicioCiclo,$S84+MOD(2-WEEKDAY($S84),7))+27),1,IF(N($W84)&gt;0,AVERAGEIFS($AB$5:$AB$1000,$U$5:$U$1000,ROW(),$V$5:$V$1000,"Sub"),$AB84)))</f>
        <v/>
      </c>
      <c r="AG84" s="62">
        <f>IF($V84&lt;&gt;"Macro","",IF(COUNTIFS($S$5:$S$1000,$S84,$V$5:$V$1000,"Macro",$H$5:$H$1000,"&gt;0")=0,1/COUNTIFS($S$5:$S$1000,$S84,$V$5:$V$1000,"Macro"),IF(AND(ISNUMBER($H84),N($H84)&gt;0),$H84,SUMIFS($H$5:$H$1000,$S$5:$S$1000,$S84,$V$5:$V$1000,"Macro")/COUNTIFS($S$5:$S$1000,$S84,$V$5:$V$1000,"Macro",$H$5:$H$1000,"&gt;0"))/(COUNTIFS($S$5:$S$1000,$S84,$V$5:$V$1000,"Macro")*SUMIFS($H$5:$H$1000,$S$5:$S$1000,$S84,$V$5:$V$1000,"Macro")/COUNTIFS($S$5:$S$1000,$S84,$V$5:$V$1000,"Macro",$H$5:$H$1000,"&gt;0"))))</f>
        <v/>
      </c>
      <c r="AH84" s="62" t="n"/>
      <c r="AI84" s="62" t="n"/>
      <c r="AJ84" s="62" t="n"/>
      <c r="AK84" s="62" t="n"/>
      <c r="AL84" s="62">
        <f>IF(LEFT($C84,11)="[Jefatura] ",IFERROR(MATCH("Riesgo Normativo|"&amp;MID($C84,12,500),rDname_ADM,0),0),"")</f>
        <v/>
      </c>
      <c r="AM84" s="62">
        <f>IF(N($AL84)&gt;0,INDEX(rIni_ADM,$AL84),IF(ISNUMBER($E84),$E84,""))</f>
        <v/>
      </c>
      <c r="AN84" s="62">
        <f>IF(N($AL84)&gt;0,INDEX(rLim_ADM,$AL84),IF(ISNUMBER($F84),$F84,""))</f>
        <v/>
      </c>
    </row>
    <row r="85">
      <c r="A85" s="56">
        <f>IF(NOT((COUNTA($B85:$D85)+COUNTA($G85:$L85)+COUNTA($Q85))&gt;0),"",IF($V85="Macro",COUNTIFS($V$5:$V85,"Macro",$S$5:$S85,$S85),IF(N($U85)=0,"?",COUNTIFS(INDEX($V$5:$V$1000,1):INDEX($V$5:$V$1000,$U85-4),"Macro",INDEX($S$5:$S$1000,1):INDEX($S$5:$S$1000,$U85-4),INDEX($S$5:$S$1000,$U85-4))&amp;"."&amp;COUNTIFS($U$5:$U85,$U85,$V$5:$V85,"Sub"))))</f>
        <v/>
      </c>
      <c r="B85" s="57" t="n"/>
      <c r="C85" s="58" t="n"/>
      <c r="D85" s="58" t="n"/>
      <c r="E85" s="59">
        <f>IF(N($AL85)&gt;0,INDEX(rIni_ADM,$AL85),"")</f>
        <v/>
      </c>
      <c r="F85" s="59">
        <f>IF(N($AL85)&gt;0,INDEX(rLim_ADM,$AL85),"")</f>
        <v/>
      </c>
      <c r="G85" s="59" t="n"/>
      <c r="H85" s="60" t="n"/>
      <c r="I85" s="60" t="n"/>
      <c r="J85" s="60" t="n"/>
      <c r="K85" s="60" t="n"/>
      <c r="L85" s="60" t="n"/>
      <c r="M85" s="61">
        <f>IF(NOT((COUNTA($B85:$D85)+COUNTA($G85:$L85)+COUNTA($Q85))&gt;0),"",IF(ISNUMBER($G85),1,IF(N($W85)&gt;0,AVERAGEIFS($X$5:$X$1000,$U$5:$U$1000,ROW(),$V$5:$V$1000,"Sub"),$X85)))</f>
        <v/>
      </c>
      <c r="N85" s="56">
        <f>IF($M85="","",IF($M85&gt;=1,"Completado",IF($M85&gt;0,"En curso","Pendiente")))</f>
        <v/>
      </c>
      <c r="O85" s="56">
        <f>IF(NOT((COUNTA($B85:$D85)+COUNTA($G85:$L85)+COUNTA($Q85))&gt;0),"",IF(ISNUMBER($G85),IF(AND(ISNUMBER($AN85),$G85&gt;$AN85),"Cumplida con "&amp;($G85-$AN85)&amp;IF($G85-$AN85=1," día"," días")&amp;" de retraso","Cumplida"),IF(N($M85)&gt;=1,"Cumplida",IF(NOT(ISNUMBER($AN85)),"Sin fecha límite",IF($AN85&lt;FechaRef,"Vencida hace "&amp;(FechaRef-$AN85)&amp;IF(FechaRef-$AN85=1," día"," días"),IF($AN85=FechaRef,"Vence hoy",IF($AN85-FechaRef&lt;=DiasAlerta,"Vence en "&amp;($AN85-FechaRef)&amp;IF($AN85-FechaRef=1," día"," días"),"En plazo")))))))</f>
        <v/>
      </c>
      <c r="P85" s="62" t="n"/>
      <c r="Q85" s="58" t="n"/>
      <c r="R85" s="63">
        <f>IF(NOT((COUNTA($B85:$D85)+COUNTA($G85:$L85)+COUNTA($Q85))&gt;0),"",IF((IF($C85="","Falta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",""))="","✔ OK","⚠ "&amp;LEFT(IF($C85="","Falta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",""),LEN(IF($C85="","Falta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",""))-3)))</f>
        <v/>
      </c>
      <c r="S85" s="64">
        <f>IF(NOT((COUNTA($B85:$D85)+COUNTA($G85:$L85)+COUNTA($Q85))&gt;0),"",IF(AND($V85="Sub",N($U85)&gt;0),IF(ISNUMBER(INDEX($AM$5:$AM$1000,$U85-4)),DATE(YEAR(INDEX($AM$5:$AM$1000,$U85-4)),MONTH(INDEX($AM$5:$AM$1000,$U85-4)),1),IF(ISNUMBER(INDEX($AN$5:$AN$1000,$U85-4)),DATE(YEAR(INDEX($AN$5:$AN$1000,$U85-4)),MONTH(INDEX($AN$5:$AN$1000,$U85-4)),1),MesCiclo)),IF(ISNUMBER($AM85),DATE(YEAR($AM85),MONTH($AM85),1),IF(ISNUMBER($AN85),DATE(YEAR($AN85),MONTH($AN85),1),MesCiclo))))</f>
        <v/>
      </c>
      <c r="T85" s="62">
        <f>IF(OR($S85="",$S85&lt;&gt;MesCiclo),"",COUNTIF($S$5:$S85,MesCiclo))</f>
        <v/>
      </c>
      <c r="U85" s="62">
        <f>IF($V85="","",IF($V85="Macro",ROW(),IFERROR(LOOKUP(2,1/($V$5:$V85="Macro"),ROW($V$5:$V85)),0)))</f>
        <v/>
      </c>
      <c r="V85" s="62">
        <f>IF(NOT((COUNTA($B85:$D85)+COUNTA($G85:$L85)+COUNTA($Q85))&gt;0),"",IF($B85="Subactividad","Sub","Macro"))</f>
        <v/>
      </c>
      <c r="W85" s="62">
        <f>IF($V85="Macro",COUNTIFS($U$5:$U$1000,ROW(),$V$5:$V$1000,"Sub"),"")</f>
        <v/>
      </c>
      <c r="X85" s="62">
        <f>IF($V85="","",IF(ISNUMBER($G85),1,IFERROR(LOOKUP(2,1/($I85:$L85&lt;&gt;""),$I85:$L85),0)))</f>
        <v/>
      </c>
      <c r="Y85" s="62">
        <f>IF($V85="","",IF(AND(ISNUMBER($G85),$G85&lt;=IF($S85=MesCiclo,InicioCiclo,$S85+MOD(2-WEEKDAY($S85),7))+6),1,IF(ISNUMBER($I85),$I85,0)))</f>
        <v/>
      </c>
      <c r="Z85" s="62">
        <f>IF($V85="","",IF(AND(ISNUMBER($G85),$G85&lt;=IF($S85=MesCiclo,InicioCiclo,$S85+MOD(2-WEEKDAY($S85),7))+13),1,IF(ISNUMBER($J85),$J85,$Y85)))</f>
        <v/>
      </c>
      <c r="AA85" s="62">
        <f>IF($V85="","",IF(AND(ISNUMBER($G85),$G85&lt;=IF($S85=MesCiclo,InicioCiclo,$S85+MOD(2-WEEKDAY($S85),7))+20),1,IF(ISNUMBER($K85),$K85,$Z85)))</f>
        <v/>
      </c>
      <c r="AB85" s="62">
        <f>IF($V85="","",IF(AND(ISNUMBER($G85),$G85&lt;=IF($S85=MesCiclo,InicioCiclo,$S85+MOD(2-WEEKDAY($S85),7))+27),1,IF(ISNUMBER($L85),$L85,$AA85)))</f>
        <v/>
      </c>
      <c r="AC85" s="62">
        <f>IF($V85="","",IF(AND(ISNUMBER($G85),$G85&lt;=IF($S85=MesCiclo,InicioCiclo,$S85+MOD(2-WEEKDAY($S85),7))+6),1,IF(N($W85)&gt;0,AVERAGEIFS($Y$5:$Y$1000,$U$5:$U$1000,ROW(),$V$5:$V$1000,"Sub"),$Y85)))</f>
        <v/>
      </c>
      <c r="AD85" s="62">
        <f>IF($V85="","",IF(AND(ISNUMBER($G85),$G85&lt;=IF($S85=MesCiclo,InicioCiclo,$S85+MOD(2-WEEKDAY($S85),7))+13),1,IF(N($W85)&gt;0,AVERAGEIFS($Z$5:$Z$1000,$U$5:$U$1000,ROW(),$V$5:$V$1000,"Sub"),$Z85)))</f>
        <v/>
      </c>
      <c r="AE85" s="62">
        <f>IF($V85="","",IF(AND(ISNUMBER($G85),$G85&lt;=IF($S85=MesCiclo,InicioCiclo,$S85+MOD(2-WEEKDAY($S85),7))+20),1,IF(N($W85)&gt;0,AVERAGEIFS($AA$5:$AA$1000,$U$5:$U$1000,ROW(),$V$5:$V$1000,"Sub"),$AA85)))</f>
        <v/>
      </c>
      <c r="AF85" s="62">
        <f>IF($V85="","",IF(AND(ISNUMBER($G85),$G85&lt;=IF($S85=MesCiclo,InicioCiclo,$S85+MOD(2-WEEKDAY($S85),7))+27),1,IF(N($W85)&gt;0,AVERAGEIFS($AB$5:$AB$1000,$U$5:$U$1000,ROW(),$V$5:$V$1000,"Sub"),$AB85)))</f>
        <v/>
      </c>
      <c r="AG85" s="62">
        <f>IF($V85&lt;&gt;"Macro","",IF(COUNTIFS($S$5:$S$1000,$S85,$V$5:$V$1000,"Macro",$H$5:$H$1000,"&gt;0")=0,1/COUNTIFS($S$5:$S$1000,$S85,$V$5:$V$1000,"Macro"),IF(AND(ISNUMBER($H85),N($H85)&gt;0),$H85,SUMIFS($H$5:$H$1000,$S$5:$S$1000,$S85,$V$5:$V$1000,"Macro")/COUNTIFS($S$5:$S$1000,$S85,$V$5:$V$1000,"Macro",$H$5:$H$1000,"&gt;0"))/(COUNTIFS($S$5:$S$1000,$S85,$V$5:$V$1000,"Macro")*SUMIFS($H$5:$H$1000,$S$5:$S$1000,$S85,$V$5:$V$1000,"Macro")/COUNTIFS($S$5:$S$1000,$S85,$V$5:$V$1000,"Macro",$H$5:$H$1000,"&gt;0"))))</f>
        <v/>
      </c>
      <c r="AH85" s="62" t="n"/>
      <c r="AI85" s="62" t="n"/>
      <c r="AJ85" s="62" t="n"/>
      <c r="AK85" s="62" t="n"/>
      <c r="AL85" s="62">
        <f>IF(LEFT($C85,11)="[Jefatura] ",IFERROR(MATCH("Riesgo Normativo|"&amp;MID($C85,12,500),rDname_ADM,0),0),"")</f>
        <v/>
      </c>
      <c r="AM85" s="62">
        <f>IF(N($AL85)&gt;0,INDEX(rIni_ADM,$AL85),IF(ISNUMBER($E85),$E85,""))</f>
        <v/>
      </c>
      <c r="AN85" s="62">
        <f>IF(N($AL85)&gt;0,INDEX(rLim_ADM,$AL85),IF(ISNUMBER($F85),$F85,""))</f>
        <v/>
      </c>
    </row>
    <row r="86">
      <c r="A86" s="56">
        <f>IF(NOT((COUNTA($B86:$D86)+COUNTA($G86:$L86)+COUNTA($Q86))&gt;0),"",IF($V86="Macro",COUNTIFS($V$5:$V86,"Macro",$S$5:$S86,$S86),IF(N($U86)=0,"?",COUNTIFS(INDEX($V$5:$V$1000,1):INDEX($V$5:$V$1000,$U86-4),"Macro",INDEX($S$5:$S$1000,1):INDEX($S$5:$S$1000,$U86-4),INDEX($S$5:$S$1000,$U86-4))&amp;"."&amp;COUNTIFS($U$5:$U86,$U86,$V$5:$V86,"Sub"))))</f>
        <v/>
      </c>
      <c r="B86" s="57" t="n"/>
      <c r="C86" s="58" t="n"/>
      <c r="D86" s="58" t="n"/>
      <c r="E86" s="59">
        <f>IF(N($AL86)&gt;0,INDEX(rIni_ADM,$AL86),"")</f>
        <v/>
      </c>
      <c r="F86" s="59">
        <f>IF(N($AL86)&gt;0,INDEX(rLim_ADM,$AL86),"")</f>
        <v/>
      </c>
      <c r="G86" s="59" t="n"/>
      <c r="H86" s="60" t="n"/>
      <c r="I86" s="60" t="n"/>
      <c r="J86" s="60" t="n"/>
      <c r="K86" s="60" t="n"/>
      <c r="L86" s="60" t="n"/>
      <c r="M86" s="61">
        <f>IF(NOT((COUNTA($B86:$D86)+COUNTA($G86:$L86)+COUNTA($Q86))&gt;0),"",IF(ISNUMBER($G86),1,IF(N($W86)&gt;0,AVERAGEIFS($X$5:$X$1000,$U$5:$U$1000,ROW(),$V$5:$V$1000,"Sub"),$X86)))</f>
        <v/>
      </c>
      <c r="N86" s="56">
        <f>IF($M86="","",IF($M86&gt;=1,"Completado",IF($M86&gt;0,"En curso","Pendiente")))</f>
        <v/>
      </c>
      <c r="O86" s="56">
        <f>IF(NOT((COUNTA($B86:$D86)+COUNTA($G86:$L86)+COUNTA($Q86))&gt;0),"",IF(ISNUMBER($G86),IF(AND(ISNUMBER($AN86),$G86&gt;$AN86),"Cumplida con "&amp;($G86-$AN86)&amp;IF($G86-$AN86=1," día"," días")&amp;" de retraso","Cumplida"),IF(N($M86)&gt;=1,"Cumplida",IF(NOT(ISNUMBER($AN86)),"Sin fecha límite",IF($AN86&lt;FechaRef,"Vencida hace "&amp;(FechaRef-$AN86)&amp;IF(FechaRef-$AN86=1," día"," días"),IF($AN86=FechaRef,"Vence hoy",IF($AN86-FechaRef&lt;=DiasAlerta,"Vence en "&amp;($AN86-FechaRef)&amp;IF($AN86-FechaRef=1," día"," días"),"En plazo")))))))</f>
        <v/>
      </c>
      <c r="P86" s="62" t="n"/>
      <c r="Q86" s="58" t="n"/>
      <c r="R86" s="63">
        <f>IF(NOT((COUNTA($B86:$D86)+COUNTA($G86:$L86)+COUNTA($Q86))&gt;0),"",IF((IF($C86="","Falta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",""))="","✔ OK","⚠ "&amp;LEFT(IF($C86="","Falta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",""),LEN(IF($C86="","Falta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",""))-3)))</f>
        <v/>
      </c>
      <c r="S86" s="64">
        <f>IF(NOT((COUNTA($B86:$D86)+COUNTA($G86:$L86)+COUNTA($Q86))&gt;0),"",IF(AND($V86="Sub",N($U86)&gt;0),IF(ISNUMBER(INDEX($AM$5:$AM$1000,$U86-4)),DATE(YEAR(INDEX($AM$5:$AM$1000,$U86-4)),MONTH(INDEX($AM$5:$AM$1000,$U86-4)),1),IF(ISNUMBER(INDEX($AN$5:$AN$1000,$U86-4)),DATE(YEAR(INDEX($AN$5:$AN$1000,$U86-4)),MONTH(INDEX($AN$5:$AN$1000,$U86-4)),1),MesCiclo)),IF(ISNUMBER($AM86),DATE(YEAR($AM86),MONTH($AM86),1),IF(ISNUMBER($AN86),DATE(YEAR($AN86),MONTH($AN86),1),MesCiclo))))</f>
        <v/>
      </c>
      <c r="T86" s="62">
        <f>IF(OR($S86="",$S86&lt;&gt;MesCiclo),"",COUNTIF($S$5:$S86,MesCiclo))</f>
        <v/>
      </c>
      <c r="U86" s="62">
        <f>IF($V86="","",IF($V86="Macro",ROW(),IFERROR(LOOKUP(2,1/($V$5:$V86="Macro"),ROW($V$5:$V86)),0)))</f>
        <v/>
      </c>
      <c r="V86" s="62">
        <f>IF(NOT((COUNTA($B86:$D86)+COUNTA($G86:$L86)+COUNTA($Q86))&gt;0),"",IF($B86="Subactividad","Sub","Macro"))</f>
        <v/>
      </c>
      <c r="W86" s="62">
        <f>IF($V86="Macro",COUNTIFS($U$5:$U$1000,ROW(),$V$5:$V$1000,"Sub"),"")</f>
        <v/>
      </c>
      <c r="X86" s="62">
        <f>IF($V86="","",IF(ISNUMBER($G86),1,IFERROR(LOOKUP(2,1/($I86:$L86&lt;&gt;""),$I86:$L86),0)))</f>
        <v/>
      </c>
      <c r="Y86" s="62">
        <f>IF($V86="","",IF(AND(ISNUMBER($G86),$G86&lt;=IF($S86=MesCiclo,InicioCiclo,$S86+MOD(2-WEEKDAY($S86),7))+6),1,IF(ISNUMBER($I86),$I86,0)))</f>
        <v/>
      </c>
      <c r="Z86" s="62">
        <f>IF($V86="","",IF(AND(ISNUMBER($G86),$G86&lt;=IF($S86=MesCiclo,InicioCiclo,$S86+MOD(2-WEEKDAY($S86),7))+13),1,IF(ISNUMBER($J86),$J86,$Y86)))</f>
        <v/>
      </c>
      <c r="AA86" s="62">
        <f>IF($V86="","",IF(AND(ISNUMBER($G86),$G86&lt;=IF($S86=MesCiclo,InicioCiclo,$S86+MOD(2-WEEKDAY($S86),7))+20),1,IF(ISNUMBER($K86),$K86,$Z86)))</f>
        <v/>
      </c>
      <c r="AB86" s="62">
        <f>IF($V86="","",IF(AND(ISNUMBER($G86),$G86&lt;=IF($S86=MesCiclo,InicioCiclo,$S86+MOD(2-WEEKDAY($S86),7))+27),1,IF(ISNUMBER($L86),$L86,$AA86)))</f>
        <v/>
      </c>
      <c r="AC86" s="62">
        <f>IF($V86="","",IF(AND(ISNUMBER($G86),$G86&lt;=IF($S86=MesCiclo,InicioCiclo,$S86+MOD(2-WEEKDAY($S86),7))+6),1,IF(N($W86)&gt;0,AVERAGEIFS($Y$5:$Y$1000,$U$5:$U$1000,ROW(),$V$5:$V$1000,"Sub"),$Y86)))</f>
        <v/>
      </c>
      <c r="AD86" s="62">
        <f>IF($V86="","",IF(AND(ISNUMBER($G86),$G86&lt;=IF($S86=MesCiclo,InicioCiclo,$S86+MOD(2-WEEKDAY($S86),7))+13),1,IF(N($W86)&gt;0,AVERAGEIFS($Z$5:$Z$1000,$U$5:$U$1000,ROW(),$V$5:$V$1000,"Sub"),$Z86)))</f>
        <v/>
      </c>
      <c r="AE86" s="62">
        <f>IF($V86="","",IF(AND(ISNUMBER($G86),$G86&lt;=IF($S86=MesCiclo,InicioCiclo,$S86+MOD(2-WEEKDAY($S86),7))+20),1,IF(N($W86)&gt;0,AVERAGEIFS($AA$5:$AA$1000,$U$5:$U$1000,ROW(),$V$5:$V$1000,"Sub"),$AA86)))</f>
        <v/>
      </c>
      <c r="AF86" s="62">
        <f>IF($V86="","",IF(AND(ISNUMBER($G86),$G86&lt;=IF($S86=MesCiclo,InicioCiclo,$S86+MOD(2-WEEKDAY($S86),7))+27),1,IF(N($W86)&gt;0,AVERAGEIFS($AB$5:$AB$1000,$U$5:$U$1000,ROW(),$V$5:$V$1000,"Sub"),$AB86)))</f>
        <v/>
      </c>
      <c r="AG86" s="62">
        <f>IF($V86&lt;&gt;"Macro","",IF(COUNTIFS($S$5:$S$1000,$S86,$V$5:$V$1000,"Macro",$H$5:$H$1000,"&gt;0")=0,1/COUNTIFS($S$5:$S$1000,$S86,$V$5:$V$1000,"Macro"),IF(AND(ISNUMBER($H86),N($H86)&gt;0),$H86,SUMIFS($H$5:$H$1000,$S$5:$S$1000,$S86,$V$5:$V$1000,"Macro")/COUNTIFS($S$5:$S$1000,$S86,$V$5:$V$1000,"Macro",$H$5:$H$1000,"&gt;0"))/(COUNTIFS($S$5:$S$1000,$S86,$V$5:$V$1000,"Macro")*SUMIFS($H$5:$H$1000,$S$5:$S$1000,$S86,$V$5:$V$1000,"Macro")/COUNTIFS($S$5:$S$1000,$S86,$V$5:$V$1000,"Macro",$H$5:$H$1000,"&gt;0"))))</f>
        <v/>
      </c>
      <c r="AH86" s="62" t="n"/>
      <c r="AI86" s="62" t="n"/>
      <c r="AJ86" s="62" t="n"/>
      <c r="AK86" s="62" t="n"/>
      <c r="AL86" s="62">
        <f>IF(LEFT($C86,11)="[Jefatura] ",IFERROR(MATCH("Riesgo Normativo|"&amp;MID($C86,12,500),rDname_ADM,0),0),"")</f>
        <v/>
      </c>
      <c r="AM86" s="62">
        <f>IF(N($AL86)&gt;0,INDEX(rIni_ADM,$AL86),IF(ISNUMBER($E86),$E86,""))</f>
        <v/>
      </c>
      <c r="AN86" s="62">
        <f>IF(N($AL86)&gt;0,INDEX(rLim_ADM,$AL86),IF(ISNUMBER($F86),$F86,""))</f>
        <v/>
      </c>
    </row>
    <row r="87">
      <c r="A87" s="56">
        <f>IF(NOT((COUNTA($B87:$D87)+COUNTA($G87:$L87)+COUNTA($Q87))&gt;0),"",IF($V87="Macro",COUNTIFS($V$5:$V87,"Macro",$S$5:$S87,$S87),IF(N($U87)=0,"?",COUNTIFS(INDEX($V$5:$V$1000,1):INDEX($V$5:$V$1000,$U87-4),"Macro",INDEX($S$5:$S$1000,1):INDEX($S$5:$S$1000,$U87-4),INDEX($S$5:$S$1000,$U87-4))&amp;"."&amp;COUNTIFS($U$5:$U87,$U87,$V$5:$V87,"Sub"))))</f>
        <v/>
      </c>
      <c r="B87" s="57" t="n"/>
      <c r="C87" s="58" t="n"/>
      <c r="D87" s="58" t="n"/>
      <c r="E87" s="59">
        <f>IF(N($AL87)&gt;0,INDEX(rIni_ADM,$AL87),"")</f>
        <v/>
      </c>
      <c r="F87" s="59">
        <f>IF(N($AL87)&gt;0,INDEX(rLim_ADM,$AL87),"")</f>
        <v/>
      </c>
      <c r="G87" s="59" t="n"/>
      <c r="H87" s="60" t="n"/>
      <c r="I87" s="60" t="n"/>
      <c r="J87" s="60" t="n"/>
      <c r="K87" s="60" t="n"/>
      <c r="L87" s="60" t="n"/>
      <c r="M87" s="61">
        <f>IF(NOT((COUNTA($B87:$D87)+COUNTA($G87:$L87)+COUNTA($Q87))&gt;0),"",IF(ISNUMBER($G87),1,IF(N($W87)&gt;0,AVERAGEIFS($X$5:$X$1000,$U$5:$U$1000,ROW(),$V$5:$V$1000,"Sub"),$X87)))</f>
        <v/>
      </c>
      <c r="N87" s="56">
        <f>IF($M87="","",IF($M87&gt;=1,"Completado",IF($M87&gt;0,"En curso","Pendiente")))</f>
        <v/>
      </c>
      <c r="O87" s="56">
        <f>IF(NOT((COUNTA($B87:$D87)+COUNTA($G87:$L87)+COUNTA($Q87))&gt;0),"",IF(ISNUMBER($G87),IF(AND(ISNUMBER($AN87),$G87&gt;$AN87),"Cumplida con "&amp;($G87-$AN87)&amp;IF($G87-$AN87=1," día"," días")&amp;" de retraso","Cumplida"),IF(N($M87)&gt;=1,"Cumplida",IF(NOT(ISNUMBER($AN87)),"Sin fecha límite",IF($AN87&lt;FechaRef,"Vencida hace "&amp;(FechaRef-$AN87)&amp;IF(FechaRef-$AN87=1," día"," días"),IF($AN87=FechaRef,"Vence hoy",IF($AN87-FechaRef&lt;=DiasAlerta,"Vence en "&amp;($AN87-FechaRef)&amp;IF($AN87-FechaRef=1," día"," días"),"En plazo")))))))</f>
        <v/>
      </c>
      <c r="P87" s="62" t="n"/>
      <c r="Q87" s="58" t="n"/>
      <c r="R87" s="63">
        <f>IF(NOT((COUNTA($B87:$D87)+COUNTA($G87:$L87)+COUNTA($Q87))&gt;0),"",IF((IF($C87="","Falta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",""))="","✔ OK","⚠ "&amp;LEFT(IF($C87="","Falta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",""),LEN(IF($C87="","Falta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",""))-3)))</f>
        <v/>
      </c>
      <c r="S87" s="64">
        <f>IF(NOT((COUNTA($B87:$D87)+COUNTA($G87:$L87)+COUNTA($Q87))&gt;0),"",IF(AND($V87="Sub",N($U87)&gt;0),IF(ISNUMBER(INDEX($AM$5:$AM$1000,$U87-4)),DATE(YEAR(INDEX($AM$5:$AM$1000,$U87-4)),MONTH(INDEX($AM$5:$AM$1000,$U87-4)),1),IF(ISNUMBER(INDEX($AN$5:$AN$1000,$U87-4)),DATE(YEAR(INDEX($AN$5:$AN$1000,$U87-4)),MONTH(INDEX($AN$5:$AN$1000,$U87-4)),1),MesCiclo)),IF(ISNUMBER($AM87),DATE(YEAR($AM87),MONTH($AM87),1),IF(ISNUMBER($AN87),DATE(YEAR($AN87),MONTH($AN87),1),MesCiclo))))</f>
        <v/>
      </c>
      <c r="T87" s="62">
        <f>IF(OR($S87="",$S87&lt;&gt;MesCiclo),"",COUNTIF($S$5:$S87,MesCiclo))</f>
        <v/>
      </c>
      <c r="U87" s="62">
        <f>IF($V87="","",IF($V87="Macro",ROW(),IFERROR(LOOKUP(2,1/($V$5:$V87="Macro"),ROW($V$5:$V87)),0)))</f>
        <v/>
      </c>
      <c r="V87" s="62">
        <f>IF(NOT((COUNTA($B87:$D87)+COUNTA($G87:$L87)+COUNTA($Q87))&gt;0),"",IF($B87="Subactividad","Sub","Macro"))</f>
        <v/>
      </c>
      <c r="W87" s="62">
        <f>IF($V87="Macro",COUNTIFS($U$5:$U$1000,ROW(),$V$5:$V$1000,"Sub"),"")</f>
        <v/>
      </c>
      <c r="X87" s="62">
        <f>IF($V87="","",IF(ISNUMBER($G87),1,IFERROR(LOOKUP(2,1/($I87:$L87&lt;&gt;""),$I87:$L87),0)))</f>
        <v/>
      </c>
      <c r="Y87" s="62">
        <f>IF($V87="","",IF(AND(ISNUMBER($G87),$G87&lt;=IF($S87=MesCiclo,InicioCiclo,$S87+MOD(2-WEEKDAY($S87),7))+6),1,IF(ISNUMBER($I87),$I87,0)))</f>
        <v/>
      </c>
      <c r="Z87" s="62">
        <f>IF($V87="","",IF(AND(ISNUMBER($G87),$G87&lt;=IF($S87=MesCiclo,InicioCiclo,$S87+MOD(2-WEEKDAY($S87),7))+13),1,IF(ISNUMBER($J87),$J87,$Y87)))</f>
        <v/>
      </c>
      <c r="AA87" s="62">
        <f>IF($V87="","",IF(AND(ISNUMBER($G87),$G87&lt;=IF($S87=MesCiclo,InicioCiclo,$S87+MOD(2-WEEKDAY($S87),7))+20),1,IF(ISNUMBER($K87),$K87,$Z87)))</f>
        <v/>
      </c>
      <c r="AB87" s="62">
        <f>IF($V87="","",IF(AND(ISNUMBER($G87),$G87&lt;=IF($S87=MesCiclo,InicioCiclo,$S87+MOD(2-WEEKDAY($S87),7))+27),1,IF(ISNUMBER($L87),$L87,$AA87)))</f>
        <v/>
      </c>
      <c r="AC87" s="62">
        <f>IF($V87="","",IF(AND(ISNUMBER($G87),$G87&lt;=IF($S87=MesCiclo,InicioCiclo,$S87+MOD(2-WEEKDAY($S87),7))+6),1,IF(N($W87)&gt;0,AVERAGEIFS($Y$5:$Y$1000,$U$5:$U$1000,ROW(),$V$5:$V$1000,"Sub"),$Y87)))</f>
        <v/>
      </c>
      <c r="AD87" s="62">
        <f>IF($V87="","",IF(AND(ISNUMBER($G87),$G87&lt;=IF($S87=MesCiclo,InicioCiclo,$S87+MOD(2-WEEKDAY($S87),7))+13),1,IF(N($W87)&gt;0,AVERAGEIFS($Z$5:$Z$1000,$U$5:$U$1000,ROW(),$V$5:$V$1000,"Sub"),$Z87)))</f>
        <v/>
      </c>
      <c r="AE87" s="62">
        <f>IF($V87="","",IF(AND(ISNUMBER($G87),$G87&lt;=IF($S87=MesCiclo,InicioCiclo,$S87+MOD(2-WEEKDAY($S87),7))+20),1,IF(N($W87)&gt;0,AVERAGEIFS($AA$5:$AA$1000,$U$5:$U$1000,ROW(),$V$5:$V$1000,"Sub"),$AA87)))</f>
        <v/>
      </c>
      <c r="AF87" s="62">
        <f>IF($V87="","",IF(AND(ISNUMBER($G87),$G87&lt;=IF($S87=MesCiclo,InicioCiclo,$S87+MOD(2-WEEKDAY($S87),7))+27),1,IF(N($W87)&gt;0,AVERAGEIFS($AB$5:$AB$1000,$U$5:$U$1000,ROW(),$V$5:$V$1000,"Sub"),$AB87)))</f>
        <v/>
      </c>
      <c r="AG87" s="62">
        <f>IF($V87&lt;&gt;"Macro","",IF(COUNTIFS($S$5:$S$1000,$S87,$V$5:$V$1000,"Macro",$H$5:$H$1000,"&gt;0")=0,1/COUNTIFS($S$5:$S$1000,$S87,$V$5:$V$1000,"Macro"),IF(AND(ISNUMBER($H87),N($H87)&gt;0),$H87,SUMIFS($H$5:$H$1000,$S$5:$S$1000,$S87,$V$5:$V$1000,"Macro")/COUNTIFS($S$5:$S$1000,$S87,$V$5:$V$1000,"Macro",$H$5:$H$1000,"&gt;0"))/(COUNTIFS($S$5:$S$1000,$S87,$V$5:$V$1000,"Macro")*SUMIFS($H$5:$H$1000,$S$5:$S$1000,$S87,$V$5:$V$1000,"Macro")/COUNTIFS($S$5:$S$1000,$S87,$V$5:$V$1000,"Macro",$H$5:$H$1000,"&gt;0"))))</f>
        <v/>
      </c>
      <c r="AH87" s="62" t="n"/>
      <c r="AI87" s="62" t="n"/>
      <c r="AJ87" s="62" t="n"/>
      <c r="AK87" s="62" t="n"/>
      <c r="AL87" s="62">
        <f>IF(LEFT($C87,11)="[Jefatura] ",IFERROR(MATCH("Riesgo Normativo|"&amp;MID($C87,12,500),rDname_ADM,0),0),"")</f>
        <v/>
      </c>
      <c r="AM87" s="62">
        <f>IF(N($AL87)&gt;0,INDEX(rIni_ADM,$AL87),IF(ISNUMBER($E87),$E87,""))</f>
        <v/>
      </c>
      <c r="AN87" s="62">
        <f>IF(N($AL87)&gt;0,INDEX(rLim_ADM,$AL87),IF(ISNUMBER($F87),$F87,""))</f>
        <v/>
      </c>
    </row>
    <row r="88">
      <c r="A88" s="56">
        <f>IF(NOT((COUNTA($B88:$D88)+COUNTA($G88:$L88)+COUNTA($Q88))&gt;0),"",IF($V88="Macro",COUNTIFS($V$5:$V88,"Macro",$S$5:$S88,$S88),IF(N($U88)=0,"?",COUNTIFS(INDEX($V$5:$V$1000,1):INDEX($V$5:$V$1000,$U88-4),"Macro",INDEX($S$5:$S$1000,1):INDEX($S$5:$S$1000,$U88-4),INDEX($S$5:$S$1000,$U88-4))&amp;"."&amp;COUNTIFS($U$5:$U88,$U88,$V$5:$V88,"Sub"))))</f>
        <v/>
      </c>
      <c r="B88" s="57" t="n"/>
      <c r="C88" s="58" t="n"/>
      <c r="D88" s="58" t="n"/>
      <c r="E88" s="59">
        <f>IF(N($AL88)&gt;0,INDEX(rIni_ADM,$AL88),"")</f>
        <v/>
      </c>
      <c r="F88" s="59">
        <f>IF(N($AL88)&gt;0,INDEX(rLim_ADM,$AL88),"")</f>
        <v/>
      </c>
      <c r="G88" s="59" t="n"/>
      <c r="H88" s="60" t="n"/>
      <c r="I88" s="60" t="n"/>
      <c r="J88" s="60" t="n"/>
      <c r="K88" s="60" t="n"/>
      <c r="L88" s="60" t="n"/>
      <c r="M88" s="61">
        <f>IF(NOT((COUNTA($B88:$D88)+COUNTA($G88:$L88)+COUNTA($Q88))&gt;0),"",IF(ISNUMBER($G88),1,IF(N($W88)&gt;0,AVERAGEIFS($X$5:$X$1000,$U$5:$U$1000,ROW(),$V$5:$V$1000,"Sub"),$X88)))</f>
        <v/>
      </c>
      <c r="N88" s="56">
        <f>IF($M88="","",IF($M88&gt;=1,"Completado",IF($M88&gt;0,"En curso","Pendiente")))</f>
        <v/>
      </c>
      <c r="O88" s="56">
        <f>IF(NOT((COUNTA($B88:$D88)+COUNTA($G88:$L88)+COUNTA($Q88))&gt;0),"",IF(ISNUMBER($G88),IF(AND(ISNUMBER($AN88),$G88&gt;$AN88),"Cumplida con "&amp;($G88-$AN88)&amp;IF($G88-$AN88=1," día"," días")&amp;" de retraso","Cumplida"),IF(N($M88)&gt;=1,"Cumplida",IF(NOT(ISNUMBER($AN88)),"Sin fecha límite",IF($AN88&lt;FechaRef,"Vencida hace "&amp;(FechaRef-$AN88)&amp;IF(FechaRef-$AN88=1," día"," días"),IF($AN88=FechaRef,"Vence hoy",IF($AN88-FechaRef&lt;=DiasAlerta,"Vence en "&amp;($AN88-FechaRef)&amp;IF($AN88-FechaRef=1," día"," días"),"En plazo")))))))</f>
        <v/>
      </c>
      <c r="P88" s="62" t="n"/>
      <c r="Q88" s="58" t="n"/>
      <c r="R88" s="63">
        <f>IF(NOT((COUNTA($B88:$D88)+COUNTA($G88:$L88)+COUNTA($Q88))&gt;0),"",IF((IF($C88="","Falta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",""))="","✔ OK","⚠ "&amp;LEFT(IF($C88="","Falta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",""),LEN(IF($C88="","Falta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",""))-3)))</f>
        <v/>
      </c>
      <c r="S88" s="64">
        <f>IF(NOT((COUNTA($B88:$D88)+COUNTA($G88:$L88)+COUNTA($Q88))&gt;0),"",IF(AND($V88="Sub",N($U88)&gt;0),IF(ISNUMBER(INDEX($AM$5:$AM$1000,$U88-4)),DATE(YEAR(INDEX($AM$5:$AM$1000,$U88-4)),MONTH(INDEX($AM$5:$AM$1000,$U88-4)),1),IF(ISNUMBER(INDEX($AN$5:$AN$1000,$U88-4)),DATE(YEAR(INDEX($AN$5:$AN$1000,$U88-4)),MONTH(INDEX($AN$5:$AN$1000,$U88-4)),1),MesCiclo)),IF(ISNUMBER($AM88),DATE(YEAR($AM88),MONTH($AM88),1),IF(ISNUMBER($AN88),DATE(YEAR($AN88),MONTH($AN88),1),MesCiclo))))</f>
        <v/>
      </c>
      <c r="T88" s="62">
        <f>IF(OR($S88="",$S88&lt;&gt;MesCiclo),"",COUNTIF($S$5:$S88,MesCiclo))</f>
        <v/>
      </c>
      <c r="U88" s="62">
        <f>IF($V88="","",IF($V88="Macro",ROW(),IFERROR(LOOKUP(2,1/($V$5:$V88="Macro"),ROW($V$5:$V88)),0)))</f>
        <v/>
      </c>
      <c r="V88" s="62">
        <f>IF(NOT((COUNTA($B88:$D88)+COUNTA($G88:$L88)+COUNTA($Q88))&gt;0),"",IF($B88="Subactividad","Sub","Macro"))</f>
        <v/>
      </c>
      <c r="W88" s="62">
        <f>IF($V88="Macro",COUNTIFS($U$5:$U$1000,ROW(),$V$5:$V$1000,"Sub"),"")</f>
        <v/>
      </c>
      <c r="X88" s="62">
        <f>IF($V88="","",IF(ISNUMBER($G88),1,IFERROR(LOOKUP(2,1/($I88:$L88&lt;&gt;""),$I88:$L88),0)))</f>
        <v/>
      </c>
      <c r="Y88" s="62">
        <f>IF($V88="","",IF(AND(ISNUMBER($G88),$G88&lt;=IF($S88=MesCiclo,InicioCiclo,$S88+MOD(2-WEEKDAY($S88),7))+6),1,IF(ISNUMBER($I88),$I88,0)))</f>
        <v/>
      </c>
      <c r="Z88" s="62">
        <f>IF($V88="","",IF(AND(ISNUMBER($G88),$G88&lt;=IF($S88=MesCiclo,InicioCiclo,$S88+MOD(2-WEEKDAY($S88),7))+13),1,IF(ISNUMBER($J88),$J88,$Y88)))</f>
        <v/>
      </c>
      <c r="AA88" s="62">
        <f>IF($V88="","",IF(AND(ISNUMBER($G88),$G88&lt;=IF($S88=MesCiclo,InicioCiclo,$S88+MOD(2-WEEKDAY($S88),7))+20),1,IF(ISNUMBER($K88),$K88,$Z88)))</f>
        <v/>
      </c>
      <c r="AB88" s="62">
        <f>IF($V88="","",IF(AND(ISNUMBER($G88),$G88&lt;=IF($S88=MesCiclo,InicioCiclo,$S88+MOD(2-WEEKDAY($S88),7))+27),1,IF(ISNUMBER($L88),$L88,$AA88)))</f>
        <v/>
      </c>
      <c r="AC88" s="62">
        <f>IF($V88="","",IF(AND(ISNUMBER($G88),$G88&lt;=IF($S88=MesCiclo,InicioCiclo,$S88+MOD(2-WEEKDAY($S88),7))+6),1,IF(N($W88)&gt;0,AVERAGEIFS($Y$5:$Y$1000,$U$5:$U$1000,ROW(),$V$5:$V$1000,"Sub"),$Y88)))</f>
        <v/>
      </c>
      <c r="AD88" s="62">
        <f>IF($V88="","",IF(AND(ISNUMBER($G88),$G88&lt;=IF($S88=MesCiclo,InicioCiclo,$S88+MOD(2-WEEKDAY($S88),7))+13),1,IF(N($W88)&gt;0,AVERAGEIFS($Z$5:$Z$1000,$U$5:$U$1000,ROW(),$V$5:$V$1000,"Sub"),$Z88)))</f>
        <v/>
      </c>
      <c r="AE88" s="62">
        <f>IF($V88="","",IF(AND(ISNUMBER($G88),$G88&lt;=IF($S88=MesCiclo,InicioCiclo,$S88+MOD(2-WEEKDAY($S88),7))+20),1,IF(N($W88)&gt;0,AVERAGEIFS($AA$5:$AA$1000,$U$5:$U$1000,ROW(),$V$5:$V$1000,"Sub"),$AA88)))</f>
        <v/>
      </c>
      <c r="AF88" s="62">
        <f>IF($V88="","",IF(AND(ISNUMBER($G88),$G88&lt;=IF($S88=MesCiclo,InicioCiclo,$S88+MOD(2-WEEKDAY($S88),7))+27),1,IF(N($W88)&gt;0,AVERAGEIFS($AB$5:$AB$1000,$U$5:$U$1000,ROW(),$V$5:$V$1000,"Sub"),$AB88)))</f>
        <v/>
      </c>
      <c r="AG88" s="62">
        <f>IF($V88&lt;&gt;"Macro","",IF(COUNTIFS($S$5:$S$1000,$S88,$V$5:$V$1000,"Macro",$H$5:$H$1000,"&gt;0")=0,1/COUNTIFS($S$5:$S$1000,$S88,$V$5:$V$1000,"Macro"),IF(AND(ISNUMBER($H88),N($H88)&gt;0),$H88,SUMIFS($H$5:$H$1000,$S$5:$S$1000,$S88,$V$5:$V$1000,"Macro")/COUNTIFS($S$5:$S$1000,$S88,$V$5:$V$1000,"Macro",$H$5:$H$1000,"&gt;0"))/(COUNTIFS($S$5:$S$1000,$S88,$V$5:$V$1000,"Macro")*SUMIFS($H$5:$H$1000,$S$5:$S$1000,$S88,$V$5:$V$1000,"Macro")/COUNTIFS($S$5:$S$1000,$S88,$V$5:$V$1000,"Macro",$H$5:$H$1000,"&gt;0"))))</f>
        <v/>
      </c>
      <c r="AH88" s="62" t="n"/>
      <c r="AI88" s="62" t="n"/>
      <c r="AJ88" s="62" t="n"/>
      <c r="AK88" s="62" t="n"/>
      <c r="AL88" s="62">
        <f>IF(LEFT($C88,11)="[Jefatura] ",IFERROR(MATCH("Riesgo Normativo|"&amp;MID($C88,12,500),rDname_ADM,0),0),"")</f>
        <v/>
      </c>
      <c r="AM88" s="62">
        <f>IF(N($AL88)&gt;0,INDEX(rIni_ADM,$AL88),IF(ISNUMBER($E88),$E88,""))</f>
        <v/>
      </c>
      <c r="AN88" s="62">
        <f>IF(N($AL88)&gt;0,INDEX(rLim_ADM,$AL88),IF(ISNUMBER($F88),$F88,""))</f>
        <v/>
      </c>
    </row>
    <row r="89">
      <c r="A89" s="56">
        <f>IF(NOT((COUNTA($B89:$D89)+COUNTA($G89:$L89)+COUNTA($Q89))&gt;0),"",IF($V89="Macro",COUNTIFS($V$5:$V89,"Macro",$S$5:$S89,$S89),IF(N($U89)=0,"?",COUNTIFS(INDEX($V$5:$V$1000,1):INDEX($V$5:$V$1000,$U89-4),"Macro",INDEX($S$5:$S$1000,1):INDEX($S$5:$S$1000,$U89-4),INDEX($S$5:$S$1000,$U89-4))&amp;"."&amp;COUNTIFS($U$5:$U89,$U89,$V$5:$V89,"Sub"))))</f>
        <v/>
      </c>
      <c r="B89" s="57" t="n"/>
      <c r="C89" s="58" t="n"/>
      <c r="D89" s="58" t="n"/>
      <c r="E89" s="59">
        <f>IF(N($AL89)&gt;0,INDEX(rIni_ADM,$AL89),"")</f>
        <v/>
      </c>
      <c r="F89" s="59">
        <f>IF(N($AL89)&gt;0,INDEX(rLim_ADM,$AL89),"")</f>
        <v/>
      </c>
      <c r="G89" s="59" t="n"/>
      <c r="H89" s="60" t="n"/>
      <c r="I89" s="60" t="n"/>
      <c r="J89" s="60" t="n"/>
      <c r="K89" s="60" t="n"/>
      <c r="L89" s="60" t="n"/>
      <c r="M89" s="61">
        <f>IF(NOT((COUNTA($B89:$D89)+COUNTA($G89:$L89)+COUNTA($Q89))&gt;0),"",IF(ISNUMBER($G89),1,IF(N($W89)&gt;0,AVERAGEIFS($X$5:$X$1000,$U$5:$U$1000,ROW(),$V$5:$V$1000,"Sub"),$X89)))</f>
        <v/>
      </c>
      <c r="N89" s="56">
        <f>IF($M89="","",IF($M89&gt;=1,"Completado",IF($M89&gt;0,"En curso","Pendiente")))</f>
        <v/>
      </c>
      <c r="O89" s="56">
        <f>IF(NOT((COUNTA($B89:$D89)+COUNTA($G89:$L89)+COUNTA($Q89))&gt;0),"",IF(ISNUMBER($G89),IF(AND(ISNUMBER($AN89),$G89&gt;$AN89),"Cumplida con "&amp;($G89-$AN89)&amp;IF($G89-$AN89=1," día"," días")&amp;" de retraso","Cumplida"),IF(N($M89)&gt;=1,"Cumplida",IF(NOT(ISNUMBER($AN89)),"Sin fecha límite",IF($AN89&lt;FechaRef,"Vencida hace "&amp;(FechaRef-$AN89)&amp;IF(FechaRef-$AN89=1," día"," días"),IF($AN89=FechaRef,"Vence hoy",IF($AN89-FechaRef&lt;=DiasAlerta,"Vence en "&amp;($AN89-FechaRef)&amp;IF($AN89-FechaRef=1," día"," días"),"En plazo")))))))</f>
        <v/>
      </c>
      <c r="P89" s="62" t="n"/>
      <c r="Q89" s="58" t="n"/>
      <c r="R89" s="63">
        <f>IF(NOT((COUNTA($B89:$D89)+COUNTA($G89:$L89)+COUNTA($Q89))&gt;0),"",IF((IF($C89="","Falta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",""))="","✔ OK","⚠ "&amp;LEFT(IF($C89="","Falta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",""),LEN(IF($C89="","Falta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",""))-3)))</f>
        <v/>
      </c>
      <c r="S89" s="64">
        <f>IF(NOT((COUNTA($B89:$D89)+COUNTA($G89:$L89)+COUNTA($Q89))&gt;0),"",IF(AND($V89="Sub",N($U89)&gt;0),IF(ISNUMBER(INDEX($AM$5:$AM$1000,$U89-4)),DATE(YEAR(INDEX($AM$5:$AM$1000,$U89-4)),MONTH(INDEX($AM$5:$AM$1000,$U89-4)),1),IF(ISNUMBER(INDEX($AN$5:$AN$1000,$U89-4)),DATE(YEAR(INDEX($AN$5:$AN$1000,$U89-4)),MONTH(INDEX($AN$5:$AN$1000,$U89-4)),1),MesCiclo)),IF(ISNUMBER($AM89),DATE(YEAR($AM89),MONTH($AM89),1),IF(ISNUMBER($AN89),DATE(YEAR($AN89),MONTH($AN89),1),MesCiclo))))</f>
        <v/>
      </c>
      <c r="T89" s="62">
        <f>IF(OR($S89="",$S89&lt;&gt;MesCiclo),"",COUNTIF($S$5:$S89,MesCiclo))</f>
        <v/>
      </c>
      <c r="U89" s="62">
        <f>IF($V89="","",IF($V89="Macro",ROW(),IFERROR(LOOKUP(2,1/($V$5:$V89="Macro"),ROW($V$5:$V89)),0)))</f>
        <v/>
      </c>
      <c r="V89" s="62">
        <f>IF(NOT((COUNTA($B89:$D89)+COUNTA($G89:$L89)+COUNTA($Q89))&gt;0),"",IF($B89="Subactividad","Sub","Macro"))</f>
        <v/>
      </c>
      <c r="W89" s="62">
        <f>IF($V89="Macro",COUNTIFS($U$5:$U$1000,ROW(),$V$5:$V$1000,"Sub"),"")</f>
        <v/>
      </c>
      <c r="X89" s="62">
        <f>IF($V89="","",IF(ISNUMBER($G89),1,IFERROR(LOOKUP(2,1/($I89:$L89&lt;&gt;""),$I89:$L89),0)))</f>
        <v/>
      </c>
      <c r="Y89" s="62">
        <f>IF($V89="","",IF(AND(ISNUMBER($G89),$G89&lt;=IF($S89=MesCiclo,InicioCiclo,$S89+MOD(2-WEEKDAY($S89),7))+6),1,IF(ISNUMBER($I89),$I89,0)))</f>
        <v/>
      </c>
      <c r="Z89" s="62">
        <f>IF($V89="","",IF(AND(ISNUMBER($G89),$G89&lt;=IF($S89=MesCiclo,InicioCiclo,$S89+MOD(2-WEEKDAY($S89),7))+13),1,IF(ISNUMBER($J89),$J89,$Y89)))</f>
        <v/>
      </c>
      <c r="AA89" s="62">
        <f>IF($V89="","",IF(AND(ISNUMBER($G89),$G89&lt;=IF($S89=MesCiclo,InicioCiclo,$S89+MOD(2-WEEKDAY($S89),7))+20),1,IF(ISNUMBER($K89),$K89,$Z89)))</f>
        <v/>
      </c>
      <c r="AB89" s="62">
        <f>IF($V89="","",IF(AND(ISNUMBER($G89),$G89&lt;=IF($S89=MesCiclo,InicioCiclo,$S89+MOD(2-WEEKDAY($S89),7))+27),1,IF(ISNUMBER($L89),$L89,$AA89)))</f>
        <v/>
      </c>
      <c r="AC89" s="62">
        <f>IF($V89="","",IF(AND(ISNUMBER($G89),$G89&lt;=IF($S89=MesCiclo,InicioCiclo,$S89+MOD(2-WEEKDAY($S89),7))+6),1,IF(N($W89)&gt;0,AVERAGEIFS($Y$5:$Y$1000,$U$5:$U$1000,ROW(),$V$5:$V$1000,"Sub"),$Y89)))</f>
        <v/>
      </c>
      <c r="AD89" s="62">
        <f>IF($V89="","",IF(AND(ISNUMBER($G89),$G89&lt;=IF($S89=MesCiclo,InicioCiclo,$S89+MOD(2-WEEKDAY($S89),7))+13),1,IF(N($W89)&gt;0,AVERAGEIFS($Z$5:$Z$1000,$U$5:$U$1000,ROW(),$V$5:$V$1000,"Sub"),$Z89)))</f>
        <v/>
      </c>
      <c r="AE89" s="62">
        <f>IF($V89="","",IF(AND(ISNUMBER($G89),$G89&lt;=IF($S89=MesCiclo,InicioCiclo,$S89+MOD(2-WEEKDAY($S89),7))+20),1,IF(N($W89)&gt;0,AVERAGEIFS($AA$5:$AA$1000,$U$5:$U$1000,ROW(),$V$5:$V$1000,"Sub"),$AA89)))</f>
        <v/>
      </c>
      <c r="AF89" s="62">
        <f>IF($V89="","",IF(AND(ISNUMBER($G89),$G89&lt;=IF($S89=MesCiclo,InicioCiclo,$S89+MOD(2-WEEKDAY($S89),7))+27),1,IF(N($W89)&gt;0,AVERAGEIFS($AB$5:$AB$1000,$U$5:$U$1000,ROW(),$V$5:$V$1000,"Sub"),$AB89)))</f>
        <v/>
      </c>
      <c r="AG89" s="62">
        <f>IF($V89&lt;&gt;"Macro","",IF(COUNTIFS($S$5:$S$1000,$S89,$V$5:$V$1000,"Macro",$H$5:$H$1000,"&gt;0")=0,1/COUNTIFS($S$5:$S$1000,$S89,$V$5:$V$1000,"Macro"),IF(AND(ISNUMBER($H89),N($H89)&gt;0),$H89,SUMIFS($H$5:$H$1000,$S$5:$S$1000,$S89,$V$5:$V$1000,"Macro")/COUNTIFS($S$5:$S$1000,$S89,$V$5:$V$1000,"Macro",$H$5:$H$1000,"&gt;0"))/(COUNTIFS($S$5:$S$1000,$S89,$V$5:$V$1000,"Macro")*SUMIFS($H$5:$H$1000,$S$5:$S$1000,$S89,$V$5:$V$1000,"Macro")/COUNTIFS($S$5:$S$1000,$S89,$V$5:$V$1000,"Macro",$H$5:$H$1000,"&gt;0"))))</f>
        <v/>
      </c>
      <c r="AH89" s="62" t="n"/>
      <c r="AI89" s="62" t="n"/>
      <c r="AJ89" s="62" t="n"/>
      <c r="AK89" s="62" t="n"/>
      <c r="AL89" s="62">
        <f>IF(LEFT($C89,11)="[Jefatura] ",IFERROR(MATCH("Riesgo Normativo|"&amp;MID($C89,12,500),rDname_ADM,0),0),"")</f>
        <v/>
      </c>
      <c r="AM89" s="62">
        <f>IF(N($AL89)&gt;0,INDEX(rIni_ADM,$AL89),IF(ISNUMBER($E89),$E89,""))</f>
        <v/>
      </c>
      <c r="AN89" s="62">
        <f>IF(N($AL89)&gt;0,INDEX(rLim_ADM,$AL89),IF(ISNUMBER($F89),$F89,""))</f>
        <v/>
      </c>
    </row>
    <row r="90">
      <c r="A90" s="56">
        <f>IF(NOT((COUNTA($B90:$D90)+COUNTA($G90:$L90)+COUNTA($Q90))&gt;0),"",IF($V90="Macro",COUNTIFS($V$5:$V90,"Macro",$S$5:$S90,$S90),IF(N($U90)=0,"?",COUNTIFS(INDEX($V$5:$V$1000,1):INDEX($V$5:$V$1000,$U90-4),"Macro",INDEX($S$5:$S$1000,1):INDEX($S$5:$S$1000,$U90-4),INDEX($S$5:$S$1000,$U90-4))&amp;"."&amp;COUNTIFS($U$5:$U90,$U90,$V$5:$V90,"Sub"))))</f>
        <v/>
      </c>
      <c r="B90" s="57" t="n"/>
      <c r="C90" s="58" t="n"/>
      <c r="D90" s="58" t="n"/>
      <c r="E90" s="59">
        <f>IF(N($AL90)&gt;0,INDEX(rIni_ADM,$AL90),"")</f>
        <v/>
      </c>
      <c r="F90" s="59">
        <f>IF(N($AL90)&gt;0,INDEX(rLim_ADM,$AL90),"")</f>
        <v/>
      </c>
      <c r="G90" s="59" t="n"/>
      <c r="H90" s="60" t="n"/>
      <c r="I90" s="60" t="n"/>
      <c r="J90" s="60" t="n"/>
      <c r="K90" s="60" t="n"/>
      <c r="L90" s="60" t="n"/>
      <c r="M90" s="61">
        <f>IF(NOT((COUNTA($B90:$D90)+COUNTA($G90:$L90)+COUNTA($Q90))&gt;0),"",IF(ISNUMBER($G90),1,IF(N($W90)&gt;0,AVERAGEIFS($X$5:$X$1000,$U$5:$U$1000,ROW(),$V$5:$V$1000,"Sub"),$X90)))</f>
        <v/>
      </c>
      <c r="N90" s="56">
        <f>IF($M90="","",IF($M90&gt;=1,"Completado",IF($M90&gt;0,"En curso","Pendiente")))</f>
        <v/>
      </c>
      <c r="O90" s="56">
        <f>IF(NOT((COUNTA($B90:$D90)+COUNTA($G90:$L90)+COUNTA($Q90))&gt;0),"",IF(ISNUMBER($G90),IF(AND(ISNUMBER($AN90),$G90&gt;$AN90),"Cumplida con "&amp;($G90-$AN90)&amp;IF($G90-$AN90=1," día"," días")&amp;" de retraso","Cumplida"),IF(N($M90)&gt;=1,"Cumplida",IF(NOT(ISNUMBER($AN90)),"Sin fecha límite",IF($AN90&lt;FechaRef,"Vencida hace "&amp;(FechaRef-$AN90)&amp;IF(FechaRef-$AN90=1," día"," días"),IF($AN90=FechaRef,"Vence hoy",IF($AN90-FechaRef&lt;=DiasAlerta,"Vence en "&amp;($AN90-FechaRef)&amp;IF($AN90-FechaRef=1," día"," días"),"En plazo")))))))</f>
        <v/>
      </c>
      <c r="P90" s="62" t="n"/>
      <c r="Q90" s="58" t="n"/>
      <c r="R90" s="63">
        <f>IF(NOT((COUNTA($B90:$D90)+COUNTA($G90:$L90)+COUNTA($Q90))&gt;0),"",IF((IF($C90="","Falta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",""))="","✔ OK","⚠ "&amp;LEFT(IF($C90="","Falta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",""),LEN(IF($C90="","Falta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",""))-3)))</f>
        <v/>
      </c>
      <c r="S90" s="64">
        <f>IF(NOT((COUNTA($B90:$D90)+COUNTA($G90:$L90)+COUNTA($Q90))&gt;0),"",IF(AND($V90="Sub",N($U90)&gt;0),IF(ISNUMBER(INDEX($AM$5:$AM$1000,$U90-4)),DATE(YEAR(INDEX($AM$5:$AM$1000,$U90-4)),MONTH(INDEX($AM$5:$AM$1000,$U90-4)),1),IF(ISNUMBER(INDEX($AN$5:$AN$1000,$U90-4)),DATE(YEAR(INDEX($AN$5:$AN$1000,$U90-4)),MONTH(INDEX($AN$5:$AN$1000,$U90-4)),1),MesCiclo)),IF(ISNUMBER($AM90),DATE(YEAR($AM90),MONTH($AM90),1),IF(ISNUMBER($AN90),DATE(YEAR($AN90),MONTH($AN90),1),MesCiclo))))</f>
        <v/>
      </c>
      <c r="T90" s="62">
        <f>IF(OR($S90="",$S90&lt;&gt;MesCiclo),"",COUNTIF($S$5:$S90,MesCiclo))</f>
        <v/>
      </c>
      <c r="U90" s="62">
        <f>IF($V90="","",IF($V90="Macro",ROW(),IFERROR(LOOKUP(2,1/($V$5:$V90="Macro"),ROW($V$5:$V90)),0)))</f>
        <v/>
      </c>
      <c r="V90" s="62">
        <f>IF(NOT((COUNTA($B90:$D90)+COUNTA($G90:$L90)+COUNTA($Q90))&gt;0),"",IF($B90="Subactividad","Sub","Macro"))</f>
        <v/>
      </c>
      <c r="W90" s="62">
        <f>IF($V90="Macro",COUNTIFS($U$5:$U$1000,ROW(),$V$5:$V$1000,"Sub"),"")</f>
        <v/>
      </c>
      <c r="X90" s="62">
        <f>IF($V90="","",IF(ISNUMBER($G90),1,IFERROR(LOOKUP(2,1/($I90:$L90&lt;&gt;""),$I90:$L90),0)))</f>
        <v/>
      </c>
      <c r="Y90" s="62">
        <f>IF($V90="","",IF(AND(ISNUMBER($G90),$G90&lt;=IF($S90=MesCiclo,InicioCiclo,$S90+MOD(2-WEEKDAY($S90),7))+6),1,IF(ISNUMBER($I90),$I90,0)))</f>
        <v/>
      </c>
      <c r="Z90" s="62">
        <f>IF($V90="","",IF(AND(ISNUMBER($G90),$G90&lt;=IF($S90=MesCiclo,InicioCiclo,$S90+MOD(2-WEEKDAY($S90),7))+13),1,IF(ISNUMBER($J90),$J90,$Y90)))</f>
        <v/>
      </c>
      <c r="AA90" s="62">
        <f>IF($V90="","",IF(AND(ISNUMBER($G90),$G90&lt;=IF($S90=MesCiclo,InicioCiclo,$S90+MOD(2-WEEKDAY($S90),7))+20),1,IF(ISNUMBER($K90),$K90,$Z90)))</f>
        <v/>
      </c>
      <c r="AB90" s="62">
        <f>IF($V90="","",IF(AND(ISNUMBER($G90),$G90&lt;=IF($S90=MesCiclo,InicioCiclo,$S90+MOD(2-WEEKDAY($S90),7))+27),1,IF(ISNUMBER($L90),$L90,$AA90)))</f>
        <v/>
      </c>
      <c r="AC90" s="62">
        <f>IF($V90="","",IF(AND(ISNUMBER($G90),$G90&lt;=IF($S90=MesCiclo,InicioCiclo,$S90+MOD(2-WEEKDAY($S90),7))+6),1,IF(N($W90)&gt;0,AVERAGEIFS($Y$5:$Y$1000,$U$5:$U$1000,ROW(),$V$5:$V$1000,"Sub"),$Y90)))</f>
        <v/>
      </c>
      <c r="AD90" s="62">
        <f>IF($V90="","",IF(AND(ISNUMBER($G90),$G90&lt;=IF($S90=MesCiclo,InicioCiclo,$S90+MOD(2-WEEKDAY($S90),7))+13),1,IF(N($W90)&gt;0,AVERAGEIFS($Z$5:$Z$1000,$U$5:$U$1000,ROW(),$V$5:$V$1000,"Sub"),$Z90)))</f>
        <v/>
      </c>
      <c r="AE90" s="62">
        <f>IF($V90="","",IF(AND(ISNUMBER($G90),$G90&lt;=IF($S90=MesCiclo,InicioCiclo,$S90+MOD(2-WEEKDAY($S90),7))+20),1,IF(N($W90)&gt;0,AVERAGEIFS($AA$5:$AA$1000,$U$5:$U$1000,ROW(),$V$5:$V$1000,"Sub"),$AA90)))</f>
        <v/>
      </c>
      <c r="AF90" s="62">
        <f>IF($V90="","",IF(AND(ISNUMBER($G90),$G90&lt;=IF($S90=MesCiclo,InicioCiclo,$S90+MOD(2-WEEKDAY($S90),7))+27),1,IF(N($W90)&gt;0,AVERAGEIFS($AB$5:$AB$1000,$U$5:$U$1000,ROW(),$V$5:$V$1000,"Sub"),$AB90)))</f>
        <v/>
      </c>
      <c r="AG90" s="62">
        <f>IF($V90&lt;&gt;"Macro","",IF(COUNTIFS($S$5:$S$1000,$S90,$V$5:$V$1000,"Macro",$H$5:$H$1000,"&gt;0")=0,1/COUNTIFS($S$5:$S$1000,$S90,$V$5:$V$1000,"Macro"),IF(AND(ISNUMBER($H90),N($H90)&gt;0),$H90,SUMIFS($H$5:$H$1000,$S$5:$S$1000,$S90,$V$5:$V$1000,"Macro")/COUNTIFS($S$5:$S$1000,$S90,$V$5:$V$1000,"Macro",$H$5:$H$1000,"&gt;0"))/(COUNTIFS($S$5:$S$1000,$S90,$V$5:$V$1000,"Macro")*SUMIFS($H$5:$H$1000,$S$5:$S$1000,$S90,$V$5:$V$1000,"Macro")/COUNTIFS($S$5:$S$1000,$S90,$V$5:$V$1000,"Macro",$H$5:$H$1000,"&gt;0"))))</f>
        <v/>
      </c>
      <c r="AH90" s="62" t="n"/>
      <c r="AI90" s="62" t="n"/>
      <c r="AJ90" s="62" t="n"/>
      <c r="AK90" s="62" t="n"/>
      <c r="AL90" s="62">
        <f>IF(LEFT($C90,11)="[Jefatura] ",IFERROR(MATCH("Riesgo Normativo|"&amp;MID($C90,12,500),rDname_ADM,0),0),"")</f>
        <v/>
      </c>
      <c r="AM90" s="62">
        <f>IF(N($AL90)&gt;0,INDEX(rIni_ADM,$AL90),IF(ISNUMBER($E90),$E90,""))</f>
        <v/>
      </c>
      <c r="AN90" s="62">
        <f>IF(N($AL90)&gt;0,INDEX(rLim_ADM,$AL90),IF(ISNUMBER($F90),$F90,""))</f>
        <v/>
      </c>
    </row>
    <row r="91">
      <c r="A91" s="56">
        <f>IF(NOT((COUNTA($B91:$D91)+COUNTA($G91:$L91)+COUNTA($Q91))&gt;0),"",IF($V91="Macro",COUNTIFS($V$5:$V91,"Macro",$S$5:$S91,$S91),IF(N($U91)=0,"?",COUNTIFS(INDEX($V$5:$V$1000,1):INDEX($V$5:$V$1000,$U91-4),"Macro",INDEX($S$5:$S$1000,1):INDEX($S$5:$S$1000,$U91-4),INDEX($S$5:$S$1000,$U91-4))&amp;"."&amp;COUNTIFS($U$5:$U91,$U91,$V$5:$V91,"Sub"))))</f>
        <v/>
      </c>
      <c r="B91" s="57" t="n"/>
      <c r="C91" s="58" t="n"/>
      <c r="D91" s="58" t="n"/>
      <c r="E91" s="59">
        <f>IF(N($AL91)&gt;0,INDEX(rIni_ADM,$AL91),"")</f>
        <v/>
      </c>
      <c r="F91" s="59">
        <f>IF(N($AL91)&gt;0,INDEX(rLim_ADM,$AL91),"")</f>
        <v/>
      </c>
      <c r="G91" s="59" t="n"/>
      <c r="H91" s="60" t="n"/>
      <c r="I91" s="60" t="n"/>
      <c r="J91" s="60" t="n"/>
      <c r="K91" s="60" t="n"/>
      <c r="L91" s="60" t="n"/>
      <c r="M91" s="61">
        <f>IF(NOT((COUNTA($B91:$D91)+COUNTA($G91:$L91)+COUNTA($Q91))&gt;0),"",IF(ISNUMBER($G91),1,IF(N($W91)&gt;0,AVERAGEIFS($X$5:$X$1000,$U$5:$U$1000,ROW(),$V$5:$V$1000,"Sub"),$X91)))</f>
        <v/>
      </c>
      <c r="N91" s="56">
        <f>IF($M91="","",IF($M91&gt;=1,"Completado",IF($M91&gt;0,"En curso","Pendiente")))</f>
        <v/>
      </c>
      <c r="O91" s="56">
        <f>IF(NOT((COUNTA($B91:$D91)+COUNTA($G91:$L91)+COUNTA($Q91))&gt;0),"",IF(ISNUMBER($G91),IF(AND(ISNUMBER($AN91),$G91&gt;$AN91),"Cumplida con "&amp;($G91-$AN91)&amp;IF($G91-$AN91=1," día"," días")&amp;" de retraso","Cumplida"),IF(N($M91)&gt;=1,"Cumplida",IF(NOT(ISNUMBER($AN91)),"Sin fecha límite",IF($AN91&lt;FechaRef,"Vencida hace "&amp;(FechaRef-$AN91)&amp;IF(FechaRef-$AN91=1," día"," días"),IF($AN91=FechaRef,"Vence hoy",IF($AN91-FechaRef&lt;=DiasAlerta,"Vence en "&amp;($AN91-FechaRef)&amp;IF($AN91-FechaRef=1," día"," días"),"En plazo")))))))</f>
        <v/>
      </c>
      <c r="P91" s="62" t="n"/>
      <c r="Q91" s="58" t="n"/>
      <c r="R91" s="63">
        <f>IF(NOT((COUNTA($B91:$D91)+COUNTA($G91:$L91)+COUNTA($Q91))&gt;0),"",IF((IF($C91="","Falta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",""))="","✔ OK","⚠ "&amp;LEFT(IF($C91="","Falta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",""),LEN(IF($C91="","Falta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",""))-3)))</f>
        <v/>
      </c>
      <c r="S91" s="64">
        <f>IF(NOT((COUNTA($B91:$D91)+COUNTA($G91:$L91)+COUNTA($Q91))&gt;0),"",IF(AND($V91="Sub",N($U91)&gt;0),IF(ISNUMBER(INDEX($AM$5:$AM$1000,$U91-4)),DATE(YEAR(INDEX($AM$5:$AM$1000,$U91-4)),MONTH(INDEX($AM$5:$AM$1000,$U91-4)),1),IF(ISNUMBER(INDEX($AN$5:$AN$1000,$U91-4)),DATE(YEAR(INDEX($AN$5:$AN$1000,$U91-4)),MONTH(INDEX($AN$5:$AN$1000,$U91-4)),1),MesCiclo)),IF(ISNUMBER($AM91),DATE(YEAR($AM91),MONTH($AM91),1),IF(ISNUMBER($AN91),DATE(YEAR($AN91),MONTH($AN91),1),MesCiclo))))</f>
        <v/>
      </c>
      <c r="T91" s="62">
        <f>IF(OR($S91="",$S91&lt;&gt;MesCiclo),"",COUNTIF($S$5:$S91,MesCiclo))</f>
        <v/>
      </c>
      <c r="U91" s="62">
        <f>IF($V91="","",IF($V91="Macro",ROW(),IFERROR(LOOKUP(2,1/($V$5:$V91="Macro"),ROW($V$5:$V91)),0)))</f>
        <v/>
      </c>
      <c r="V91" s="62">
        <f>IF(NOT((COUNTA($B91:$D91)+COUNTA($G91:$L91)+COUNTA($Q91))&gt;0),"",IF($B91="Subactividad","Sub","Macro"))</f>
        <v/>
      </c>
      <c r="W91" s="62">
        <f>IF($V91="Macro",COUNTIFS($U$5:$U$1000,ROW(),$V$5:$V$1000,"Sub"),"")</f>
        <v/>
      </c>
      <c r="X91" s="62">
        <f>IF($V91="","",IF(ISNUMBER($G91),1,IFERROR(LOOKUP(2,1/($I91:$L91&lt;&gt;""),$I91:$L91),0)))</f>
        <v/>
      </c>
      <c r="Y91" s="62">
        <f>IF($V91="","",IF(AND(ISNUMBER($G91),$G91&lt;=IF($S91=MesCiclo,InicioCiclo,$S91+MOD(2-WEEKDAY($S91),7))+6),1,IF(ISNUMBER($I91),$I91,0)))</f>
        <v/>
      </c>
      <c r="Z91" s="62">
        <f>IF($V91="","",IF(AND(ISNUMBER($G91),$G91&lt;=IF($S91=MesCiclo,InicioCiclo,$S91+MOD(2-WEEKDAY($S91),7))+13),1,IF(ISNUMBER($J91),$J91,$Y91)))</f>
        <v/>
      </c>
      <c r="AA91" s="62">
        <f>IF($V91="","",IF(AND(ISNUMBER($G91),$G91&lt;=IF($S91=MesCiclo,InicioCiclo,$S91+MOD(2-WEEKDAY($S91),7))+20),1,IF(ISNUMBER($K91),$K91,$Z91)))</f>
        <v/>
      </c>
      <c r="AB91" s="62">
        <f>IF($V91="","",IF(AND(ISNUMBER($G91),$G91&lt;=IF($S91=MesCiclo,InicioCiclo,$S91+MOD(2-WEEKDAY($S91),7))+27),1,IF(ISNUMBER($L91),$L91,$AA91)))</f>
        <v/>
      </c>
      <c r="AC91" s="62">
        <f>IF($V91="","",IF(AND(ISNUMBER($G91),$G91&lt;=IF($S91=MesCiclo,InicioCiclo,$S91+MOD(2-WEEKDAY($S91),7))+6),1,IF(N($W91)&gt;0,AVERAGEIFS($Y$5:$Y$1000,$U$5:$U$1000,ROW(),$V$5:$V$1000,"Sub"),$Y91)))</f>
        <v/>
      </c>
      <c r="AD91" s="62">
        <f>IF($V91="","",IF(AND(ISNUMBER($G91),$G91&lt;=IF($S91=MesCiclo,InicioCiclo,$S91+MOD(2-WEEKDAY($S91),7))+13),1,IF(N($W91)&gt;0,AVERAGEIFS($Z$5:$Z$1000,$U$5:$U$1000,ROW(),$V$5:$V$1000,"Sub"),$Z91)))</f>
        <v/>
      </c>
      <c r="AE91" s="62">
        <f>IF($V91="","",IF(AND(ISNUMBER($G91),$G91&lt;=IF($S91=MesCiclo,InicioCiclo,$S91+MOD(2-WEEKDAY($S91),7))+20),1,IF(N($W91)&gt;0,AVERAGEIFS($AA$5:$AA$1000,$U$5:$U$1000,ROW(),$V$5:$V$1000,"Sub"),$AA91)))</f>
        <v/>
      </c>
      <c r="AF91" s="62">
        <f>IF($V91="","",IF(AND(ISNUMBER($G91),$G91&lt;=IF($S91=MesCiclo,InicioCiclo,$S91+MOD(2-WEEKDAY($S91),7))+27),1,IF(N($W91)&gt;0,AVERAGEIFS($AB$5:$AB$1000,$U$5:$U$1000,ROW(),$V$5:$V$1000,"Sub"),$AB91)))</f>
        <v/>
      </c>
      <c r="AG91" s="62">
        <f>IF($V91&lt;&gt;"Macro","",IF(COUNTIFS($S$5:$S$1000,$S91,$V$5:$V$1000,"Macro",$H$5:$H$1000,"&gt;0")=0,1/COUNTIFS($S$5:$S$1000,$S91,$V$5:$V$1000,"Macro"),IF(AND(ISNUMBER($H91),N($H91)&gt;0),$H91,SUMIFS($H$5:$H$1000,$S$5:$S$1000,$S91,$V$5:$V$1000,"Macro")/COUNTIFS($S$5:$S$1000,$S91,$V$5:$V$1000,"Macro",$H$5:$H$1000,"&gt;0"))/(COUNTIFS($S$5:$S$1000,$S91,$V$5:$V$1000,"Macro")*SUMIFS($H$5:$H$1000,$S$5:$S$1000,$S91,$V$5:$V$1000,"Macro")/COUNTIFS($S$5:$S$1000,$S91,$V$5:$V$1000,"Macro",$H$5:$H$1000,"&gt;0"))))</f>
        <v/>
      </c>
      <c r="AH91" s="62" t="n"/>
      <c r="AI91" s="62" t="n"/>
      <c r="AJ91" s="62" t="n"/>
      <c r="AK91" s="62" t="n"/>
      <c r="AL91" s="62">
        <f>IF(LEFT($C91,11)="[Jefatura] ",IFERROR(MATCH("Riesgo Normativo|"&amp;MID($C91,12,500),rDname_ADM,0),0),"")</f>
        <v/>
      </c>
      <c r="AM91" s="62">
        <f>IF(N($AL91)&gt;0,INDEX(rIni_ADM,$AL91),IF(ISNUMBER($E91),$E91,""))</f>
        <v/>
      </c>
      <c r="AN91" s="62">
        <f>IF(N($AL91)&gt;0,INDEX(rLim_ADM,$AL91),IF(ISNUMBER($F91),$F91,""))</f>
        <v/>
      </c>
    </row>
    <row r="92">
      <c r="A92" s="56">
        <f>IF(NOT((COUNTA($B92:$D92)+COUNTA($G92:$L92)+COUNTA($Q92))&gt;0),"",IF($V92="Macro",COUNTIFS($V$5:$V92,"Macro",$S$5:$S92,$S92),IF(N($U92)=0,"?",COUNTIFS(INDEX($V$5:$V$1000,1):INDEX($V$5:$V$1000,$U92-4),"Macro",INDEX($S$5:$S$1000,1):INDEX($S$5:$S$1000,$U92-4),INDEX($S$5:$S$1000,$U92-4))&amp;"."&amp;COUNTIFS($U$5:$U92,$U92,$V$5:$V92,"Sub"))))</f>
        <v/>
      </c>
      <c r="B92" s="57" t="n"/>
      <c r="C92" s="58" t="n"/>
      <c r="D92" s="58" t="n"/>
      <c r="E92" s="59">
        <f>IF(N($AL92)&gt;0,INDEX(rIni_ADM,$AL92),"")</f>
        <v/>
      </c>
      <c r="F92" s="59">
        <f>IF(N($AL92)&gt;0,INDEX(rLim_ADM,$AL92),"")</f>
        <v/>
      </c>
      <c r="G92" s="59" t="n"/>
      <c r="H92" s="60" t="n"/>
      <c r="I92" s="60" t="n"/>
      <c r="J92" s="60" t="n"/>
      <c r="K92" s="60" t="n"/>
      <c r="L92" s="60" t="n"/>
      <c r="M92" s="61">
        <f>IF(NOT((COUNTA($B92:$D92)+COUNTA($G92:$L92)+COUNTA($Q92))&gt;0),"",IF(ISNUMBER($G92),1,IF(N($W92)&gt;0,AVERAGEIFS($X$5:$X$1000,$U$5:$U$1000,ROW(),$V$5:$V$1000,"Sub"),$X92)))</f>
        <v/>
      </c>
      <c r="N92" s="56">
        <f>IF($M92="","",IF($M92&gt;=1,"Completado",IF($M92&gt;0,"En curso","Pendiente")))</f>
        <v/>
      </c>
      <c r="O92" s="56">
        <f>IF(NOT((COUNTA($B92:$D92)+COUNTA($G92:$L92)+COUNTA($Q92))&gt;0),"",IF(ISNUMBER($G92),IF(AND(ISNUMBER($AN92),$G92&gt;$AN92),"Cumplida con "&amp;($G92-$AN92)&amp;IF($G92-$AN92=1," día"," días")&amp;" de retraso","Cumplida"),IF(N($M92)&gt;=1,"Cumplida",IF(NOT(ISNUMBER($AN92)),"Sin fecha límite",IF($AN92&lt;FechaRef,"Vencida hace "&amp;(FechaRef-$AN92)&amp;IF(FechaRef-$AN92=1," día"," días"),IF($AN92=FechaRef,"Vence hoy",IF($AN92-FechaRef&lt;=DiasAlerta,"Vence en "&amp;($AN92-FechaRef)&amp;IF($AN92-FechaRef=1," día"," días"),"En plazo")))))))</f>
        <v/>
      </c>
      <c r="P92" s="62" t="n"/>
      <c r="Q92" s="58" t="n"/>
      <c r="R92" s="63">
        <f>IF(NOT((COUNTA($B92:$D92)+COUNTA($G92:$L92)+COUNTA($Q92))&gt;0),"",IF((IF($C92="","Falta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",""))="","✔ OK","⚠ "&amp;LEFT(IF($C92="","Falta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",""),LEN(IF($C92="","Falta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",""))-3)))</f>
        <v/>
      </c>
      <c r="S92" s="64">
        <f>IF(NOT((COUNTA($B92:$D92)+COUNTA($G92:$L92)+COUNTA($Q92))&gt;0),"",IF(AND($V92="Sub",N($U92)&gt;0),IF(ISNUMBER(INDEX($AM$5:$AM$1000,$U92-4)),DATE(YEAR(INDEX($AM$5:$AM$1000,$U92-4)),MONTH(INDEX($AM$5:$AM$1000,$U92-4)),1),IF(ISNUMBER(INDEX($AN$5:$AN$1000,$U92-4)),DATE(YEAR(INDEX($AN$5:$AN$1000,$U92-4)),MONTH(INDEX($AN$5:$AN$1000,$U92-4)),1),MesCiclo)),IF(ISNUMBER($AM92),DATE(YEAR($AM92),MONTH($AM92),1),IF(ISNUMBER($AN92),DATE(YEAR($AN92),MONTH($AN92),1),MesCiclo))))</f>
        <v/>
      </c>
      <c r="T92" s="62">
        <f>IF(OR($S92="",$S92&lt;&gt;MesCiclo),"",COUNTIF($S$5:$S92,MesCiclo))</f>
        <v/>
      </c>
      <c r="U92" s="62">
        <f>IF($V92="","",IF($V92="Macro",ROW(),IFERROR(LOOKUP(2,1/($V$5:$V92="Macro"),ROW($V$5:$V92)),0)))</f>
        <v/>
      </c>
      <c r="V92" s="62">
        <f>IF(NOT((COUNTA($B92:$D92)+COUNTA($G92:$L92)+COUNTA($Q92))&gt;0),"",IF($B92="Subactividad","Sub","Macro"))</f>
        <v/>
      </c>
      <c r="W92" s="62">
        <f>IF($V92="Macro",COUNTIFS($U$5:$U$1000,ROW(),$V$5:$V$1000,"Sub"),"")</f>
        <v/>
      </c>
      <c r="X92" s="62">
        <f>IF($V92="","",IF(ISNUMBER($G92),1,IFERROR(LOOKUP(2,1/($I92:$L92&lt;&gt;""),$I92:$L92),0)))</f>
        <v/>
      </c>
      <c r="Y92" s="62">
        <f>IF($V92="","",IF(AND(ISNUMBER($G92),$G92&lt;=IF($S92=MesCiclo,InicioCiclo,$S92+MOD(2-WEEKDAY($S92),7))+6),1,IF(ISNUMBER($I92),$I92,0)))</f>
        <v/>
      </c>
      <c r="Z92" s="62">
        <f>IF($V92="","",IF(AND(ISNUMBER($G92),$G92&lt;=IF($S92=MesCiclo,InicioCiclo,$S92+MOD(2-WEEKDAY($S92),7))+13),1,IF(ISNUMBER($J92),$J92,$Y92)))</f>
        <v/>
      </c>
      <c r="AA92" s="62">
        <f>IF($V92="","",IF(AND(ISNUMBER($G92),$G92&lt;=IF($S92=MesCiclo,InicioCiclo,$S92+MOD(2-WEEKDAY($S92),7))+20),1,IF(ISNUMBER($K92),$K92,$Z92)))</f>
        <v/>
      </c>
      <c r="AB92" s="62">
        <f>IF($V92="","",IF(AND(ISNUMBER($G92),$G92&lt;=IF($S92=MesCiclo,InicioCiclo,$S92+MOD(2-WEEKDAY($S92),7))+27),1,IF(ISNUMBER($L92),$L92,$AA92)))</f>
        <v/>
      </c>
      <c r="AC92" s="62">
        <f>IF($V92="","",IF(AND(ISNUMBER($G92),$G92&lt;=IF($S92=MesCiclo,InicioCiclo,$S92+MOD(2-WEEKDAY($S92),7))+6),1,IF(N($W92)&gt;0,AVERAGEIFS($Y$5:$Y$1000,$U$5:$U$1000,ROW(),$V$5:$V$1000,"Sub"),$Y92)))</f>
        <v/>
      </c>
      <c r="AD92" s="62">
        <f>IF($V92="","",IF(AND(ISNUMBER($G92),$G92&lt;=IF($S92=MesCiclo,InicioCiclo,$S92+MOD(2-WEEKDAY($S92),7))+13),1,IF(N($W92)&gt;0,AVERAGEIFS($Z$5:$Z$1000,$U$5:$U$1000,ROW(),$V$5:$V$1000,"Sub"),$Z92)))</f>
        <v/>
      </c>
      <c r="AE92" s="62">
        <f>IF($V92="","",IF(AND(ISNUMBER($G92),$G92&lt;=IF($S92=MesCiclo,InicioCiclo,$S92+MOD(2-WEEKDAY($S92),7))+20),1,IF(N($W92)&gt;0,AVERAGEIFS($AA$5:$AA$1000,$U$5:$U$1000,ROW(),$V$5:$V$1000,"Sub"),$AA92)))</f>
        <v/>
      </c>
      <c r="AF92" s="62">
        <f>IF($V92="","",IF(AND(ISNUMBER($G92),$G92&lt;=IF($S92=MesCiclo,InicioCiclo,$S92+MOD(2-WEEKDAY($S92),7))+27),1,IF(N($W92)&gt;0,AVERAGEIFS($AB$5:$AB$1000,$U$5:$U$1000,ROW(),$V$5:$V$1000,"Sub"),$AB92)))</f>
        <v/>
      </c>
      <c r="AG92" s="62">
        <f>IF($V92&lt;&gt;"Macro","",IF(COUNTIFS($S$5:$S$1000,$S92,$V$5:$V$1000,"Macro",$H$5:$H$1000,"&gt;0")=0,1/COUNTIFS($S$5:$S$1000,$S92,$V$5:$V$1000,"Macro"),IF(AND(ISNUMBER($H92),N($H92)&gt;0),$H92,SUMIFS($H$5:$H$1000,$S$5:$S$1000,$S92,$V$5:$V$1000,"Macro")/COUNTIFS($S$5:$S$1000,$S92,$V$5:$V$1000,"Macro",$H$5:$H$1000,"&gt;0"))/(COUNTIFS($S$5:$S$1000,$S92,$V$5:$V$1000,"Macro")*SUMIFS($H$5:$H$1000,$S$5:$S$1000,$S92,$V$5:$V$1000,"Macro")/COUNTIFS($S$5:$S$1000,$S92,$V$5:$V$1000,"Macro",$H$5:$H$1000,"&gt;0"))))</f>
        <v/>
      </c>
      <c r="AH92" s="62" t="n"/>
      <c r="AI92" s="62" t="n"/>
      <c r="AJ92" s="62" t="n"/>
      <c r="AK92" s="62" t="n"/>
      <c r="AL92" s="62">
        <f>IF(LEFT($C92,11)="[Jefatura] ",IFERROR(MATCH("Riesgo Normativo|"&amp;MID($C92,12,500),rDname_ADM,0),0),"")</f>
        <v/>
      </c>
      <c r="AM92" s="62">
        <f>IF(N($AL92)&gt;0,INDEX(rIni_ADM,$AL92),IF(ISNUMBER($E92),$E92,""))</f>
        <v/>
      </c>
      <c r="AN92" s="62">
        <f>IF(N($AL92)&gt;0,INDEX(rLim_ADM,$AL92),IF(ISNUMBER($F92),$F92,""))</f>
        <v/>
      </c>
    </row>
    <row r="93">
      <c r="A93" s="56">
        <f>IF(NOT((COUNTA($B93:$D93)+COUNTA($G93:$L93)+COUNTA($Q93))&gt;0),"",IF($V93="Macro",COUNTIFS($V$5:$V93,"Macro",$S$5:$S93,$S93),IF(N($U93)=0,"?",COUNTIFS(INDEX($V$5:$V$1000,1):INDEX($V$5:$V$1000,$U93-4),"Macro",INDEX($S$5:$S$1000,1):INDEX($S$5:$S$1000,$U93-4),INDEX($S$5:$S$1000,$U93-4))&amp;"."&amp;COUNTIFS($U$5:$U93,$U93,$V$5:$V93,"Sub"))))</f>
        <v/>
      </c>
      <c r="B93" s="57" t="n"/>
      <c r="C93" s="58" t="n"/>
      <c r="D93" s="58" t="n"/>
      <c r="E93" s="59">
        <f>IF(N($AL93)&gt;0,INDEX(rIni_ADM,$AL93),"")</f>
        <v/>
      </c>
      <c r="F93" s="59">
        <f>IF(N($AL93)&gt;0,INDEX(rLim_ADM,$AL93),"")</f>
        <v/>
      </c>
      <c r="G93" s="59" t="n"/>
      <c r="H93" s="60" t="n"/>
      <c r="I93" s="60" t="n"/>
      <c r="J93" s="60" t="n"/>
      <c r="K93" s="60" t="n"/>
      <c r="L93" s="60" t="n"/>
      <c r="M93" s="61">
        <f>IF(NOT((COUNTA($B93:$D93)+COUNTA($G93:$L93)+COUNTA($Q93))&gt;0),"",IF(ISNUMBER($G93),1,IF(N($W93)&gt;0,AVERAGEIFS($X$5:$X$1000,$U$5:$U$1000,ROW(),$V$5:$V$1000,"Sub"),$X93)))</f>
        <v/>
      </c>
      <c r="N93" s="56">
        <f>IF($M93="","",IF($M93&gt;=1,"Completado",IF($M93&gt;0,"En curso","Pendiente")))</f>
        <v/>
      </c>
      <c r="O93" s="56">
        <f>IF(NOT((COUNTA($B93:$D93)+COUNTA($G93:$L93)+COUNTA($Q93))&gt;0),"",IF(ISNUMBER($G93),IF(AND(ISNUMBER($AN93),$G93&gt;$AN93),"Cumplida con "&amp;($G93-$AN93)&amp;IF($G93-$AN93=1," día"," días")&amp;" de retraso","Cumplida"),IF(N($M93)&gt;=1,"Cumplida",IF(NOT(ISNUMBER($AN93)),"Sin fecha límite",IF($AN93&lt;FechaRef,"Vencida hace "&amp;(FechaRef-$AN93)&amp;IF(FechaRef-$AN93=1," día"," días"),IF($AN93=FechaRef,"Vence hoy",IF($AN93-FechaRef&lt;=DiasAlerta,"Vence en "&amp;($AN93-FechaRef)&amp;IF($AN93-FechaRef=1," día"," días"),"En plazo")))))))</f>
        <v/>
      </c>
      <c r="P93" s="62" t="n"/>
      <c r="Q93" s="58" t="n"/>
      <c r="R93" s="63">
        <f>IF(NOT((COUNTA($B93:$D93)+COUNTA($G93:$L93)+COUNTA($Q93))&gt;0),"",IF((IF($C93="","Falta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",""))="","✔ OK","⚠ "&amp;LEFT(IF($C93="","Falta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",""),LEN(IF($C93="","Falta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",""))-3)))</f>
        <v/>
      </c>
      <c r="S93" s="64">
        <f>IF(NOT((COUNTA($B93:$D93)+COUNTA($G93:$L93)+COUNTA($Q93))&gt;0),"",IF(AND($V93="Sub",N($U93)&gt;0),IF(ISNUMBER(INDEX($AM$5:$AM$1000,$U93-4)),DATE(YEAR(INDEX($AM$5:$AM$1000,$U93-4)),MONTH(INDEX($AM$5:$AM$1000,$U93-4)),1),IF(ISNUMBER(INDEX($AN$5:$AN$1000,$U93-4)),DATE(YEAR(INDEX($AN$5:$AN$1000,$U93-4)),MONTH(INDEX($AN$5:$AN$1000,$U93-4)),1),MesCiclo)),IF(ISNUMBER($AM93),DATE(YEAR($AM93),MONTH($AM93),1),IF(ISNUMBER($AN93),DATE(YEAR($AN93),MONTH($AN93),1),MesCiclo))))</f>
        <v/>
      </c>
      <c r="T93" s="62">
        <f>IF(OR($S93="",$S93&lt;&gt;MesCiclo),"",COUNTIF($S$5:$S93,MesCiclo))</f>
        <v/>
      </c>
      <c r="U93" s="62">
        <f>IF($V93="","",IF($V93="Macro",ROW(),IFERROR(LOOKUP(2,1/($V$5:$V93="Macro"),ROW($V$5:$V93)),0)))</f>
        <v/>
      </c>
      <c r="V93" s="62">
        <f>IF(NOT((COUNTA($B93:$D93)+COUNTA($G93:$L93)+COUNTA($Q93))&gt;0),"",IF($B93="Subactividad","Sub","Macro"))</f>
        <v/>
      </c>
      <c r="W93" s="62">
        <f>IF($V93="Macro",COUNTIFS($U$5:$U$1000,ROW(),$V$5:$V$1000,"Sub"),"")</f>
        <v/>
      </c>
      <c r="X93" s="62">
        <f>IF($V93="","",IF(ISNUMBER($G93),1,IFERROR(LOOKUP(2,1/($I93:$L93&lt;&gt;""),$I93:$L93),0)))</f>
        <v/>
      </c>
      <c r="Y93" s="62">
        <f>IF($V93="","",IF(AND(ISNUMBER($G93),$G93&lt;=IF($S93=MesCiclo,InicioCiclo,$S93+MOD(2-WEEKDAY($S93),7))+6),1,IF(ISNUMBER($I93),$I93,0)))</f>
        <v/>
      </c>
      <c r="Z93" s="62">
        <f>IF($V93="","",IF(AND(ISNUMBER($G93),$G93&lt;=IF($S93=MesCiclo,InicioCiclo,$S93+MOD(2-WEEKDAY($S93),7))+13),1,IF(ISNUMBER($J93),$J93,$Y93)))</f>
        <v/>
      </c>
      <c r="AA93" s="62">
        <f>IF($V93="","",IF(AND(ISNUMBER($G93),$G93&lt;=IF($S93=MesCiclo,InicioCiclo,$S93+MOD(2-WEEKDAY($S93),7))+20),1,IF(ISNUMBER($K93),$K93,$Z93)))</f>
        <v/>
      </c>
      <c r="AB93" s="62">
        <f>IF($V93="","",IF(AND(ISNUMBER($G93),$G93&lt;=IF($S93=MesCiclo,InicioCiclo,$S93+MOD(2-WEEKDAY($S93),7))+27),1,IF(ISNUMBER($L93),$L93,$AA93)))</f>
        <v/>
      </c>
      <c r="AC93" s="62">
        <f>IF($V93="","",IF(AND(ISNUMBER($G93),$G93&lt;=IF($S93=MesCiclo,InicioCiclo,$S93+MOD(2-WEEKDAY($S93),7))+6),1,IF(N($W93)&gt;0,AVERAGEIFS($Y$5:$Y$1000,$U$5:$U$1000,ROW(),$V$5:$V$1000,"Sub"),$Y93)))</f>
        <v/>
      </c>
      <c r="AD93" s="62">
        <f>IF($V93="","",IF(AND(ISNUMBER($G93),$G93&lt;=IF($S93=MesCiclo,InicioCiclo,$S93+MOD(2-WEEKDAY($S93),7))+13),1,IF(N($W93)&gt;0,AVERAGEIFS($Z$5:$Z$1000,$U$5:$U$1000,ROW(),$V$5:$V$1000,"Sub"),$Z93)))</f>
        <v/>
      </c>
      <c r="AE93" s="62">
        <f>IF($V93="","",IF(AND(ISNUMBER($G93),$G93&lt;=IF($S93=MesCiclo,InicioCiclo,$S93+MOD(2-WEEKDAY($S93),7))+20),1,IF(N($W93)&gt;0,AVERAGEIFS($AA$5:$AA$1000,$U$5:$U$1000,ROW(),$V$5:$V$1000,"Sub"),$AA93)))</f>
        <v/>
      </c>
      <c r="AF93" s="62">
        <f>IF($V93="","",IF(AND(ISNUMBER($G93),$G93&lt;=IF($S93=MesCiclo,InicioCiclo,$S93+MOD(2-WEEKDAY($S93),7))+27),1,IF(N($W93)&gt;0,AVERAGEIFS($AB$5:$AB$1000,$U$5:$U$1000,ROW(),$V$5:$V$1000,"Sub"),$AB93)))</f>
        <v/>
      </c>
      <c r="AG93" s="62">
        <f>IF($V93&lt;&gt;"Macro","",IF(COUNTIFS($S$5:$S$1000,$S93,$V$5:$V$1000,"Macro",$H$5:$H$1000,"&gt;0")=0,1/COUNTIFS($S$5:$S$1000,$S93,$V$5:$V$1000,"Macro"),IF(AND(ISNUMBER($H93),N($H93)&gt;0),$H93,SUMIFS($H$5:$H$1000,$S$5:$S$1000,$S93,$V$5:$V$1000,"Macro")/COUNTIFS($S$5:$S$1000,$S93,$V$5:$V$1000,"Macro",$H$5:$H$1000,"&gt;0"))/(COUNTIFS($S$5:$S$1000,$S93,$V$5:$V$1000,"Macro")*SUMIFS($H$5:$H$1000,$S$5:$S$1000,$S93,$V$5:$V$1000,"Macro")/COUNTIFS($S$5:$S$1000,$S93,$V$5:$V$1000,"Macro",$H$5:$H$1000,"&gt;0"))))</f>
        <v/>
      </c>
      <c r="AH93" s="62" t="n"/>
      <c r="AI93" s="62" t="n"/>
      <c r="AJ93" s="62" t="n"/>
      <c r="AK93" s="62" t="n"/>
      <c r="AL93" s="62">
        <f>IF(LEFT($C93,11)="[Jefatura] ",IFERROR(MATCH("Riesgo Normativo|"&amp;MID($C93,12,500),rDname_ADM,0),0),"")</f>
        <v/>
      </c>
      <c r="AM93" s="62">
        <f>IF(N($AL93)&gt;0,INDEX(rIni_ADM,$AL93),IF(ISNUMBER($E93),$E93,""))</f>
        <v/>
      </c>
      <c r="AN93" s="62">
        <f>IF(N($AL93)&gt;0,INDEX(rLim_ADM,$AL93),IF(ISNUMBER($F93),$F93,""))</f>
        <v/>
      </c>
    </row>
    <row r="94">
      <c r="A94" s="56">
        <f>IF(NOT((COUNTA($B94:$D94)+COUNTA($G94:$L94)+COUNTA($Q94))&gt;0),"",IF($V94="Macro",COUNTIFS($V$5:$V94,"Macro",$S$5:$S94,$S94),IF(N($U94)=0,"?",COUNTIFS(INDEX($V$5:$V$1000,1):INDEX($V$5:$V$1000,$U94-4),"Macro",INDEX($S$5:$S$1000,1):INDEX($S$5:$S$1000,$U94-4),INDEX($S$5:$S$1000,$U94-4))&amp;"."&amp;COUNTIFS($U$5:$U94,$U94,$V$5:$V94,"Sub"))))</f>
        <v/>
      </c>
      <c r="B94" s="57" t="n"/>
      <c r="C94" s="58" t="n"/>
      <c r="D94" s="58" t="n"/>
      <c r="E94" s="59">
        <f>IF(N($AL94)&gt;0,INDEX(rIni_ADM,$AL94),"")</f>
        <v/>
      </c>
      <c r="F94" s="59">
        <f>IF(N($AL94)&gt;0,INDEX(rLim_ADM,$AL94),"")</f>
        <v/>
      </c>
      <c r="G94" s="59" t="n"/>
      <c r="H94" s="60" t="n"/>
      <c r="I94" s="60" t="n"/>
      <c r="J94" s="60" t="n"/>
      <c r="K94" s="60" t="n"/>
      <c r="L94" s="60" t="n"/>
      <c r="M94" s="61">
        <f>IF(NOT((COUNTA($B94:$D94)+COUNTA($G94:$L94)+COUNTA($Q94))&gt;0),"",IF(ISNUMBER($G94),1,IF(N($W94)&gt;0,AVERAGEIFS($X$5:$X$1000,$U$5:$U$1000,ROW(),$V$5:$V$1000,"Sub"),$X94)))</f>
        <v/>
      </c>
      <c r="N94" s="56">
        <f>IF($M94="","",IF($M94&gt;=1,"Completado",IF($M94&gt;0,"En curso","Pendiente")))</f>
        <v/>
      </c>
      <c r="O94" s="56">
        <f>IF(NOT((COUNTA($B94:$D94)+COUNTA($G94:$L94)+COUNTA($Q94))&gt;0),"",IF(ISNUMBER($G94),IF(AND(ISNUMBER($AN94),$G94&gt;$AN94),"Cumplida con "&amp;($G94-$AN94)&amp;IF($G94-$AN94=1," día"," días")&amp;" de retraso","Cumplida"),IF(N($M94)&gt;=1,"Cumplida",IF(NOT(ISNUMBER($AN94)),"Sin fecha límite",IF($AN94&lt;FechaRef,"Vencida hace "&amp;(FechaRef-$AN94)&amp;IF(FechaRef-$AN94=1," día"," días"),IF($AN94=FechaRef,"Vence hoy",IF($AN94-FechaRef&lt;=DiasAlerta,"Vence en "&amp;($AN94-FechaRef)&amp;IF($AN94-FechaRef=1," día"," días"),"En plazo")))))))</f>
        <v/>
      </c>
      <c r="P94" s="62" t="n"/>
      <c r="Q94" s="58" t="n"/>
      <c r="R94" s="63">
        <f>IF(NOT((COUNTA($B94:$D94)+COUNTA($G94:$L94)+COUNTA($Q94))&gt;0),"",IF((IF($C94="","Falta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",""))="","✔ OK","⚠ "&amp;LEFT(IF($C94="","Falta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",""),LEN(IF($C94="","Falta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",""))-3)))</f>
        <v/>
      </c>
      <c r="S94" s="64">
        <f>IF(NOT((COUNTA($B94:$D94)+COUNTA($G94:$L94)+COUNTA($Q94))&gt;0),"",IF(AND($V94="Sub",N($U94)&gt;0),IF(ISNUMBER(INDEX($AM$5:$AM$1000,$U94-4)),DATE(YEAR(INDEX($AM$5:$AM$1000,$U94-4)),MONTH(INDEX($AM$5:$AM$1000,$U94-4)),1),IF(ISNUMBER(INDEX($AN$5:$AN$1000,$U94-4)),DATE(YEAR(INDEX($AN$5:$AN$1000,$U94-4)),MONTH(INDEX($AN$5:$AN$1000,$U94-4)),1),MesCiclo)),IF(ISNUMBER($AM94),DATE(YEAR($AM94),MONTH($AM94),1),IF(ISNUMBER($AN94),DATE(YEAR($AN94),MONTH($AN94),1),MesCiclo))))</f>
        <v/>
      </c>
      <c r="T94" s="62">
        <f>IF(OR($S94="",$S94&lt;&gt;MesCiclo),"",COUNTIF($S$5:$S94,MesCiclo))</f>
        <v/>
      </c>
      <c r="U94" s="62">
        <f>IF($V94="","",IF($V94="Macro",ROW(),IFERROR(LOOKUP(2,1/($V$5:$V94="Macro"),ROW($V$5:$V94)),0)))</f>
        <v/>
      </c>
      <c r="V94" s="62">
        <f>IF(NOT((COUNTA($B94:$D94)+COUNTA($G94:$L94)+COUNTA($Q94))&gt;0),"",IF($B94="Subactividad","Sub","Macro"))</f>
        <v/>
      </c>
      <c r="W94" s="62">
        <f>IF($V94="Macro",COUNTIFS($U$5:$U$1000,ROW(),$V$5:$V$1000,"Sub"),"")</f>
        <v/>
      </c>
      <c r="X94" s="62">
        <f>IF($V94="","",IF(ISNUMBER($G94),1,IFERROR(LOOKUP(2,1/($I94:$L94&lt;&gt;""),$I94:$L94),0)))</f>
        <v/>
      </c>
      <c r="Y94" s="62">
        <f>IF($V94="","",IF(AND(ISNUMBER($G94),$G94&lt;=IF($S94=MesCiclo,InicioCiclo,$S94+MOD(2-WEEKDAY($S94),7))+6),1,IF(ISNUMBER($I94),$I94,0)))</f>
        <v/>
      </c>
      <c r="Z94" s="62">
        <f>IF($V94="","",IF(AND(ISNUMBER($G94),$G94&lt;=IF($S94=MesCiclo,InicioCiclo,$S94+MOD(2-WEEKDAY($S94),7))+13),1,IF(ISNUMBER($J94),$J94,$Y94)))</f>
        <v/>
      </c>
      <c r="AA94" s="62">
        <f>IF($V94="","",IF(AND(ISNUMBER($G94),$G94&lt;=IF($S94=MesCiclo,InicioCiclo,$S94+MOD(2-WEEKDAY($S94),7))+20),1,IF(ISNUMBER($K94),$K94,$Z94)))</f>
        <v/>
      </c>
      <c r="AB94" s="62">
        <f>IF($V94="","",IF(AND(ISNUMBER($G94),$G94&lt;=IF($S94=MesCiclo,InicioCiclo,$S94+MOD(2-WEEKDAY($S94),7))+27),1,IF(ISNUMBER($L94),$L94,$AA94)))</f>
        <v/>
      </c>
      <c r="AC94" s="62">
        <f>IF($V94="","",IF(AND(ISNUMBER($G94),$G94&lt;=IF($S94=MesCiclo,InicioCiclo,$S94+MOD(2-WEEKDAY($S94),7))+6),1,IF(N($W94)&gt;0,AVERAGEIFS($Y$5:$Y$1000,$U$5:$U$1000,ROW(),$V$5:$V$1000,"Sub"),$Y94)))</f>
        <v/>
      </c>
      <c r="AD94" s="62">
        <f>IF($V94="","",IF(AND(ISNUMBER($G94),$G94&lt;=IF($S94=MesCiclo,InicioCiclo,$S94+MOD(2-WEEKDAY($S94),7))+13),1,IF(N($W94)&gt;0,AVERAGEIFS($Z$5:$Z$1000,$U$5:$U$1000,ROW(),$V$5:$V$1000,"Sub"),$Z94)))</f>
        <v/>
      </c>
      <c r="AE94" s="62">
        <f>IF($V94="","",IF(AND(ISNUMBER($G94),$G94&lt;=IF($S94=MesCiclo,InicioCiclo,$S94+MOD(2-WEEKDAY($S94),7))+20),1,IF(N($W94)&gt;0,AVERAGEIFS($AA$5:$AA$1000,$U$5:$U$1000,ROW(),$V$5:$V$1000,"Sub"),$AA94)))</f>
        <v/>
      </c>
      <c r="AF94" s="62">
        <f>IF($V94="","",IF(AND(ISNUMBER($G94),$G94&lt;=IF($S94=MesCiclo,InicioCiclo,$S94+MOD(2-WEEKDAY($S94),7))+27),1,IF(N($W94)&gt;0,AVERAGEIFS($AB$5:$AB$1000,$U$5:$U$1000,ROW(),$V$5:$V$1000,"Sub"),$AB94)))</f>
        <v/>
      </c>
      <c r="AG94" s="62">
        <f>IF($V94&lt;&gt;"Macro","",IF(COUNTIFS($S$5:$S$1000,$S94,$V$5:$V$1000,"Macro",$H$5:$H$1000,"&gt;0")=0,1/COUNTIFS($S$5:$S$1000,$S94,$V$5:$V$1000,"Macro"),IF(AND(ISNUMBER($H94),N($H94)&gt;0),$H94,SUMIFS($H$5:$H$1000,$S$5:$S$1000,$S94,$V$5:$V$1000,"Macro")/COUNTIFS($S$5:$S$1000,$S94,$V$5:$V$1000,"Macro",$H$5:$H$1000,"&gt;0"))/(COUNTIFS($S$5:$S$1000,$S94,$V$5:$V$1000,"Macro")*SUMIFS($H$5:$H$1000,$S$5:$S$1000,$S94,$V$5:$V$1000,"Macro")/COUNTIFS($S$5:$S$1000,$S94,$V$5:$V$1000,"Macro",$H$5:$H$1000,"&gt;0"))))</f>
        <v/>
      </c>
      <c r="AH94" s="62" t="n"/>
      <c r="AI94" s="62" t="n"/>
      <c r="AJ94" s="62" t="n"/>
      <c r="AK94" s="62" t="n"/>
      <c r="AL94" s="62">
        <f>IF(LEFT($C94,11)="[Jefatura] ",IFERROR(MATCH("Riesgo Normativo|"&amp;MID($C94,12,500),rDname_ADM,0),0),"")</f>
        <v/>
      </c>
      <c r="AM94" s="62">
        <f>IF(N($AL94)&gt;0,INDEX(rIni_ADM,$AL94),IF(ISNUMBER($E94),$E94,""))</f>
        <v/>
      </c>
      <c r="AN94" s="62">
        <f>IF(N($AL94)&gt;0,INDEX(rLim_ADM,$AL94),IF(ISNUMBER($F94),$F94,""))</f>
        <v/>
      </c>
    </row>
    <row r="95">
      <c r="A95" s="56">
        <f>IF(NOT((COUNTA($B95:$D95)+COUNTA($G95:$L95)+COUNTA($Q95))&gt;0),"",IF($V95="Macro",COUNTIFS($V$5:$V95,"Macro",$S$5:$S95,$S95),IF(N($U95)=0,"?",COUNTIFS(INDEX($V$5:$V$1000,1):INDEX($V$5:$V$1000,$U95-4),"Macro",INDEX($S$5:$S$1000,1):INDEX($S$5:$S$1000,$U95-4),INDEX($S$5:$S$1000,$U95-4))&amp;"."&amp;COUNTIFS($U$5:$U95,$U95,$V$5:$V95,"Sub"))))</f>
        <v/>
      </c>
      <c r="B95" s="57" t="n"/>
      <c r="C95" s="58" t="n"/>
      <c r="D95" s="58" t="n"/>
      <c r="E95" s="59">
        <f>IF(N($AL95)&gt;0,INDEX(rIni_ADM,$AL95),"")</f>
        <v/>
      </c>
      <c r="F95" s="59">
        <f>IF(N($AL95)&gt;0,INDEX(rLim_ADM,$AL95),"")</f>
        <v/>
      </c>
      <c r="G95" s="59" t="n"/>
      <c r="H95" s="60" t="n"/>
      <c r="I95" s="60" t="n"/>
      <c r="J95" s="60" t="n"/>
      <c r="K95" s="60" t="n"/>
      <c r="L95" s="60" t="n"/>
      <c r="M95" s="61">
        <f>IF(NOT((COUNTA($B95:$D95)+COUNTA($G95:$L95)+COUNTA($Q95))&gt;0),"",IF(ISNUMBER($G95),1,IF(N($W95)&gt;0,AVERAGEIFS($X$5:$X$1000,$U$5:$U$1000,ROW(),$V$5:$V$1000,"Sub"),$X95)))</f>
        <v/>
      </c>
      <c r="N95" s="56">
        <f>IF($M95="","",IF($M95&gt;=1,"Completado",IF($M95&gt;0,"En curso","Pendiente")))</f>
        <v/>
      </c>
      <c r="O95" s="56">
        <f>IF(NOT((COUNTA($B95:$D95)+COUNTA($G95:$L95)+COUNTA($Q95))&gt;0),"",IF(ISNUMBER($G95),IF(AND(ISNUMBER($AN95),$G95&gt;$AN95),"Cumplida con "&amp;($G95-$AN95)&amp;IF($G95-$AN95=1," día"," días")&amp;" de retraso","Cumplida"),IF(N($M95)&gt;=1,"Cumplida",IF(NOT(ISNUMBER($AN95)),"Sin fecha límite",IF($AN95&lt;FechaRef,"Vencida hace "&amp;(FechaRef-$AN95)&amp;IF(FechaRef-$AN95=1," día"," días"),IF($AN95=FechaRef,"Vence hoy",IF($AN95-FechaRef&lt;=DiasAlerta,"Vence en "&amp;($AN95-FechaRef)&amp;IF($AN95-FechaRef=1," día"," días"),"En plazo")))))))</f>
        <v/>
      </c>
      <c r="P95" s="62" t="n"/>
      <c r="Q95" s="58" t="n"/>
      <c r="R95" s="63">
        <f>IF(NOT((COUNTA($B95:$D95)+COUNTA($G95:$L95)+COUNTA($Q95))&gt;0),"",IF((IF($C95="","Falta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",""))="","✔ OK","⚠ "&amp;LEFT(IF($C95="","Falta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",""),LEN(IF($C95="","Falta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",""))-3)))</f>
        <v/>
      </c>
      <c r="S95" s="64">
        <f>IF(NOT((COUNTA($B95:$D95)+COUNTA($G95:$L95)+COUNTA($Q95))&gt;0),"",IF(AND($V95="Sub",N($U95)&gt;0),IF(ISNUMBER(INDEX($AM$5:$AM$1000,$U95-4)),DATE(YEAR(INDEX($AM$5:$AM$1000,$U95-4)),MONTH(INDEX($AM$5:$AM$1000,$U95-4)),1),IF(ISNUMBER(INDEX($AN$5:$AN$1000,$U95-4)),DATE(YEAR(INDEX($AN$5:$AN$1000,$U95-4)),MONTH(INDEX($AN$5:$AN$1000,$U95-4)),1),MesCiclo)),IF(ISNUMBER($AM95),DATE(YEAR($AM95),MONTH($AM95),1),IF(ISNUMBER($AN95),DATE(YEAR($AN95),MONTH($AN95),1),MesCiclo))))</f>
        <v/>
      </c>
      <c r="T95" s="62">
        <f>IF(OR($S95="",$S95&lt;&gt;MesCiclo),"",COUNTIF($S$5:$S95,MesCiclo))</f>
        <v/>
      </c>
      <c r="U95" s="62">
        <f>IF($V95="","",IF($V95="Macro",ROW(),IFERROR(LOOKUP(2,1/($V$5:$V95="Macro"),ROW($V$5:$V95)),0)))</f>
        <v/>
      </c>
      <c r="V95" s="62">
        <f>IF(NOT((COUNTA($B95:$D95)+COUNTA($G95:$L95)+COUNTA($Q95))&gt;0),"",IF($B95="Subactividad","Sub","Macro"))</f>
        <v/>
      </c>
      <c r="W95" s="62">
        <f>IF($V95="Macro",COUNTIFS($U$5:$U$1000,ROW(),$V$5:$V$1000,"Sub"),"")</f>
        <v/>
      </c>
      <c r="X95" s="62">
        <f>IF($V95="","",IF(ISNUMBER($G95),1,IFERROR(LOOKUP(2,1/($I95:$L95&lt;&gt;""),$I95:$L95),0)))</f>
        <v/>
      </c>
      <c r="Y95" s="62">
        <f>IF($V95="","",IF(AND(ISNUMBER($G95),$G95&lt;=IF($S95=MesCiclo,InicioCiclo,$S95+MOD(2-WEEKDAY($S95),7))+6),1,IF(ISNUMBER($I95),$I95,0)))</f>
        <v/>
      </c>
      <c r="Z95" s="62">
        <f>IF($V95="","",IF(AND(ISNUMBER($G95),$G95&lt;=IF($S95=MesCiclo,InicioCiclo,$S95+MOD(2-WEEKDAY($S95),7))+13),1,IF(ISNUMBER($J95),$J95,$Y95)))</f>
        <v/>
      </c>
      <c r="AA95" s="62">
        <f>IF($V95="","",IF(AND(ISNUMBER($G95),$G95&lt;=IF($S95=MesCiclo,InicioCiclo,$S95+MOD(2-WEEKDAY($S95),7))+20),1,IF(ISNUMBER($K95),$K95,$Z95)))</f>
        <v/>
      </c>
      <c r="AB95" s="62">
        <f>IF($V95="","",IF(AND(ISNUMBER($G95),$G95&lt;=IF($S95=MesCiclo,InicioCiclo,$S95+MOD(2-WEEKDAY($S95),7))+27),1,IF(ISNUMBER($L95),$L95,$AA95)))</f>
        <v/>
      </c>
      <c r="AC95" s="62">
        <f>IF($V95="","",IF(AND(ISNUMBER($G95),$G95&lt;=IF($S95=MesCiclo,InicioCiclo,$S95+MOD(2-WEEKDAY($S95),7))+6),1,IF(N($W95)&gt;0,AVERAGEIFS($Y$5:$Y$1000,$U$5:$U$1000,ROW(),$V$5:$V$1000,"Sub"),$Y95)))</f>
        <v/>
      </c>
      <c r="AD95" s="62">
        <f>IF($V95="","",IF(AND(ISNUMBER($G95),$G95&lt;=IF($S95=MesCiclo,InicioCiclo,$S95+MOD(2-WEEKDAY($S95),7))+13),1,IF(N($W95)&gt;0,AVERAGEIFS($Z$5:$Z$1000,$U$5:$U$1000,ROW(),$V$5:$V$1000,"Sub"),$Z95)))</f>
        <v/>
      </c>
      <c r="AE95" s="62">
        <f>IF($V95="","",IF(AND(ISNUMBER($G95),$G95&lt;=IF($S95=MesCiclo,InicioCiclo,$S95+MOD(2-WEEKDAY($S95),7))+20),1,IF(N($W95)&gt;0,AVERAGEIFS($AA$5:$AA$1000,$U$5:$U$1000,ROW(),$V$5:$V$1000,"Sub"),$AA95)))</f>
        <v/>
      </c>
      <c r="AF95" s="62">
        <f>IF($V95="","",IF(AND(ISNUMBER($G95),$G95&lt;=IF($S95=MesCiclo,InicioCiclo,$S95+MOD(2-WEEKDAY($S95),7))+27),1,IF(N($W95)&gt;0,AVERAGEIFS($AB$5:$AB$1000,$U$5:$U$1000,ROW(),$V$5:$V$1000,"Sub"),$AB95)))</f>
        <v/>
      </c>
      <c r="AG95" s="62">
        <f>IF($V95&lt;&gt;"Macro","",IF(COUNTIFS($S$5:$S$1000,$S95,$V$5:$V$1000,"Macro",$H$5:$H$1000,"&gt;0")=0,1/COUNTIFS($S$5:$S$1000,$S95,$V$5:$V$1000,"Macro"),IF(AND(ISNUMBER($H95),N($H95)&gt;0),$H95,SUMIFS($H$5:$H$1000,$S$5:$S$1000,$S95,$V$5:$V$1000,"Macro")/COUNTIFS($S$5:$S$1000,$S95,$V$5:$V$1000,"Macro",$H$5:$H$1000,"&gt;0"))/(COUNTIFS($S$5:$S$1000,$S95,$V$5:$V$1000,"Macro")*SUMIFS($H$5:$H$1000,$S$5:$S$1000,$S95,$V$5:$V$1000,"Macro")/COUNTIFS($S$5:$S$1000,$S95,$V$5:$V$1000,"Macro",$H$5:$H$1000,"&gt;0"))))</f>
        <v/>
      </c>
      <c r="AH95" s="62" t="n"/>
      <c r="AI95" s="62" t="n"/>
      <c r="AJ95" s="62" t="n"/>
      <c r="AK95" s="62" t="n"/>
      <c r="AL95" s="62">
        <f>IF(LEFT($C95,11)="[Jefatura] ",IFERROR(MATCH("Riesgo Normativo|"&amp;MID($C95,12,500),rDname_ADM,0),0),"")</f>
        <v/>
      </c>
      <c r="AM95" s="62">
        <f>IF(N($AL95)&gt;0,INDEX(rIni_ADM,$AL95),IF(ISNUMBER($E95),$E95,""))</f>
        <v/>
      </c>
      <c r="AN95" s="62">
        <f>IF(N($AL95)&gt;0,INDEX(rLim_ADM,$AL95),IF(ISNUMBER($F95),$F95,""))</f>
        <v/>
      </c>
    </row>
    <row r="96">
      <c r="A96" s="56">
        <f>IF(NOT((COUNTA($B96:$D96)+COUNTA($G96:$L96)+COUNTA($Q96))&gt;0),"",IF($V96="Macro",COUNTIFS($V$5:$V96,"Macro",$S$5:$S96,$S96),IF(N($U96)=0,"?",COUNTIFS(INDEX($V$5:$V$1000,1):INDEX($V$5:$V$1000,$U96-4),"Macro",INDEX($S$5:$S$1000,1):INDEX($S$5:$S$1000,$U96-4),INDEX($S$5:$S$1000,$U96-4))&amp;"."&amp;COUNTIFS($U$5:$U96,$U96,$V$5:$V96,"Sub"))))</f>
        <v/>
      </c>
      <c r="B96" s="57" t="n"/>
      <c r="C96" s="58" t="n"/>
      <c r="D96" s="58" t="n"/>
      <c r="E96" s="59">
        <f>IF(N($AL96)&gt;0,INDEX(rIni_ADM,$AL96),"")</f>
        <v/>
      </c>
      <c r="F96" s="59">
        <f>IF(N($AL96)&gt;0,INDEX(rLim_ADM,$AL96),"")</f>
        <v/>
      </c>
      <c r="G96" s="59" t="n"/>
      <c r="H96" s="60" t="n"/>
      <c r="I96" s="60" t="n"/>
      <c r="J96" s="60" t="n"/>
      <c r="K96" s="60" t="n"/>
      <c r="L96" s="60" t="n"/>
      <c r="M96" s="61">
        <f>IF(NOT((COUNTA($B96:$D96)+COUNTA($G96:$L96)+COUNTA($Q96))&gt;0),"",IF(ISNUMBER($G96),1,IF(N($W96)&gt;0,AVERAGEIFS($X$5:$X$1000,$U$5:$U$1000,ROW(),$V$5:$V$1000,"Sub"),$X96)))</f>
        <v/>
      </c>
      <c r="N96" s="56">
        <f>IF($M96="","",IF($M96&gt;=1,"Completado",IF($M96&gt;0,"En curso","Pendiente")))</f>
        <v/>
      </c>
      <c r="O96" s="56">
        <f>IF(NOT((COUNTA($B96:$D96)+COUNTA($G96:$L96)+COUNTA($Q96))&gt;0),"",IF(ISNUMBER($G96),IF(AND(ISNUMBER($AN96),$G96&gt;$AN96),"Cumplida con "&amp;($G96-$AN96)&amp;IF($G96-$AN96=1," día"," días")&amp;" de retraso","Cumplida"),IF(N($M96)&gt;=1,"Cumplida",IF(NOT(ISNUMBER($AN96)),"Sin fecha límite",IF($AN96&lt;FechaRef,"Vencida hace "&amp;(FechaRef-$AN96)&amp;IF(FechaRef-$AN96=1," día"," días"),IF($AN96=FechaRef,"Vence hoy",IF($AN96-FechaRef&lt;=DiasAlerta,"Vence en "&amp;($AN96-FechaRef)&amp;IF($AN96-FechaRef=1," día"," días"),"En plazo")))))))</f>
        <v/>
      </c>
      <c r="P96" s="62" t="n"/>
      <c r="Q96" s="58" t="n"/>
      <c r="R96" s="63">
        <f>IF(NOT((COUNTA($B96:$D96)+COUNTA($G96:$L96)+COUNTA($Q96))&gt;0),"",IF((IF($C96="","Falta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",""))="","✔ OK","⚠ "&amp;LEFT(IF($C96="","Falta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",""),LEN(IF($C96="","Falta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",""))-3)))</f>
        <v/>
      </c>
      <c r="S96" s="64">
        <f>IF(NOT((COUNTA($B96:$D96)+COUNTA($G96:$L96)+COUNTA($Q96))&gt;0),"",IF(AND($V96="Sub",N($U96)&gt;0),IF(ISNUMBER(INDEX($AM$5:$AM$1000,$U96-4)),DATE(YEAR(INDEX($AM$5:$AM$1000,$U96-4)),MONTH(INDEX($AM$5:$AM$1000,$U96-4)),1),IF(ISNUMBER(INDEX($AN$5:$AN$1000,$U96-4)),DATE(YEAR(INDEX($AN$5:$AN$1000,$U96-4)),MONTH(INDEX($AN$5:$AN$1000,$U96-4)),1),MesCiclo)),IF(ISNUMBER($AM96),DATE(YEAR($AM96),MONTH($AM96),1),IF(ISNUMBER($AN96),DATE(YEAR($AN96),MONTH($AN96),1),MesCiclo))))</f>
        <v/>
      </c>
      <c r="T96" s="62">
        <f>IF(OR($S96="",$S96&lt;&gt;MesCiclo),"",COUNTIF($S$5:$S96,MesCiclo))</f>
        <v/>
      </c>
      <c r="U96" s="62">
        <f>IF($V96="","",IF($V96="Macro",ROW(),IFERROR(LOOKUP(2,1/($V$5:$V96="Macro"),ROW($V$5:$V96)),0)))</f>
        <v/>
      </c>
      <c r="V96" s="62">
        <f>IF(NOT((COUNTA($B96:$D96)+COUNTA($G96:$L96)+COUNTA($Q96))&gt;0),"",IF($B96="Subactividad","Sub","Macro"))</f>
        <v/>
      </c>
      <c r="W96" s="62">
        <f>IF($V96="Macro",COUNTIFS($U$5:$U$1000,ROW(),$V$5:$V$1000,"Sub"),"")</f>
        <v/>
      </c>
      <c r="X96" s="62">
        <f>IF($V96="","",IF(ISNUMBER($G96),1,IFERROR(LOOKUP(2,1/($I96:$L96&lt;&gt;""),$I96:$L96),0)))</f>
        <v/>
      </c>
      <c r="Y96" s="62">
        <f>IF($V96="","",IF(AND(ISNUMBER($G96),$G96&lt;=IF($S96=MesCiclo,InicioCiclo,$S96+MOD(2-WEEKDAY($S96),7))+6),1,IF(ISNUMBER($I96),$I96,0)))</f>
        <v/>
      </c>
      <c r="Z96" s="62">
        <f>IF($V96="","",IF(AND(ISNUMBER($G96),$G96&lt;=IF($S96=MesCiclo,InicioCiclo,$S96+MOD(2-WEEKDAY($S96),7))+13),1,IF(ISNUMBER($J96),$J96,$Y96)))</f>
        <v/>
      </c>
      <c r="AA96" s="62">
        <f>IF($V96="","",IF(AND(ISNUMBER($G96),$G96&lt;=IF($S96=MesCiclo,InicioCiclo,$S96+MOD(2-WEEKDAY($S96),7))+20),1,IF(ISNUMBER($K96),$K96,$Z96)))</f>
        <v/>
      </c>
      <c r="AB96" s="62">
        <f>IF($V96="","",IF(AND(ISNUMBER($G96),$G96&lt;=IF($S96=MesCiclo,InicioCiclo,$S96+MOD(2-WEEKDAY($S96),7))+27),1,IF(ISNUMBER($L96),$L96,$AA96)))</f>
        <v/>
      </c>
      <c r="AC96" s="62">
        <f>IF($V96="","",IF(AND(ISNUMBER($G96),$G96&lt;=IF($S96=MesCiclo,InicioCiclo,$S96+MOD(2-WEEKDAY($S96),7))+6),1,IF(N($W96)&gt;0,AVERAGEIFS($Y$5:$Y$1000,$U$5:$U$1000,ROW(),$V$5:$V$1000,"Sub"),$Y96)))</f>
        <v/>
      </c>
      <c r="AD96" s="62">
        <f>IF($V96="","",IF(AND(ISNUMBER($G96),$G96&lt;=IF($S96=MesCiclo,InicioCiclo,$S96+MOD(2-WEEKDAY($S96),7))+13),1,IF(N($W96)&gt;0,AVERAGEIFS($Z$5:$Z$1000,$U$5:$U$1000,ROW(),$V$5:$V$1000,"Sub"),$Z96)))</f>
        <v/>
      </c>
      <c r="AE96" s="62">
        <f>IF($V96="","",IF(AND(ISNUMBER($G96),$G96&lt;=IF($S96=MesCiclo,InicioCiclo,$S96+MOD(2-WEEKDAY($S96),7))+20),1,IF(N($W96)&gt;0,AVERAGEIFS($AA$5:$AA$1000,$U$5:$U$1000,ROW(),$V$5:$V$1000,"Sub"),$AA96)))</f>
        <v/>
      </c>
      <c r="AF96" s="62">
        <f>IF($V96="","",IF(AND(ISNUMBER($G96),$G96&lt;=IF($S96=MesCiclo,InicioCiclo,$S96+MOD(2-WEEKDAY($S96),7))+27),1,IF(N($W96)&gt;0,AVERAGEIFS($AB$5:$AB$1000,$U$5:$U$1000,ROW(),$V$5:$V$1000,"Sub"),$AB96)))</f>
        <v/>
      </c>
      <c r="AG96" s="62">
        <f>IF($V96&lt;&gt;"Macro","",IF(COUNTIFS($S$5:$S$1000,$S96,$V$5:$V$1000,"Macro",$H$5:$H$1000,"&gt;0")=0,1/COUNTIFS($S$5:$S$1000,$S96,$V$5:$V$1000,"Macro"),IF(AND(ISNUMBER($H96),N($H96)&gt;0),$H96,SUMIFS($H$5:$H$1000,$S$5:$S$1000,$S96,$V$5:$V$1000,"Macro")/COUNTIFS($S$5:$S$1000,$S96,$V$5:$V$1000,"Macro",$H$5:$H$1000,"&gt;0"))/(COUNTIFS($S$5:$S$1000,$S96,$V$5:$V$1000,"Macro")*SUMIFS($H$5:$H$1000,$S$5:$S$1000,$S96,$V$5:$V$1000,"Macro")/COUNTIFS($S$5:$S$1000,$S96,$V$5:$V$1000,"Macro",$H$5:$H$1000,"&gt;0"))))</f>
        <v/>
      </c>
      <c r="AH96" s="62" t="n"/>
      <c r="AI96" s="62" t="n"/>
      <c r="AJ96" s="62" t="n"/>
      <c r="AK96" s="62" t="n"/>
      <c r="AL96" s="62">
        <f>IF(LEFT($C96,11)="[Jefatura] ",IFERROR(MATCH("Riesgo Normativo|"&amp;MID($C96,12,500),rDname_ADM,0),0),"")</f>
        <v/>
      </c>
      <c r="AM96" s="62">
        <f>IF(N($AL96)&gt;0,INDEX(rIni_ADM,$AL96),IF(ISNUMBER($E96),$E96,""))</f>
        <v/>
      </c>
      <c r="AN96" s="62">
        <f>IF(N($AL96)&gt;0,INDEX(rLim_ADM,$AL96),IF(ISNUMBER($F96),$F96,""))</f>
        <v/>
      </c>
    </row>
    <row r="97">
      <c r="A97" s="56">
        <f>IF(NOT((COUNTA($B97:$D97)+COUNTA($G97:$L97)+COUNTA($Q97))&gt;0),"",IF($V97="Macro",COUNTIFS($V$5:$V97,"Macro",$S$5:$S97,$S97),IF(N($U97)=0,"?",COUNTIFS(INDEX($V$5:$V$1000,1):INDEX($V$5:$V$1000,$U97-4),"Macro",INDEX($S$5:$S$1000,1):INDEX($S$5:$S$1000,$U97-4),INDEX($S$5:$S$1000,$U97-4))&amp;"."&amp;COUNTIFS($U$5:$U97,$U97,$V$5:$V97,"Sub"))))</f>
        <v/>
      </c>
      <c r="B97" s="57" t="n"/>
      <c r="C97" s="58" t="n"/>
      <c r="D97" s="58" t="n"/>
      <c r="E97" s="59">
        <f>IF(N($AL97)&gt;0,INDEX(rIni_ADM,$AL97),"")</f>
        <v/>
      </c>
      <c r="F97" s="59">
        <f>IF(N($AL97)&gt;0,INDEX(rLim_ADM,$AL97),"")</f>
        <v/>
      </c>
      <c r="G97" s="59" t="n"/>
      <c r="H97" s="60" t="n"/>
      <c r="I97" s="60" t="n"/>
      <c r="J97" s="60" t="n"/>
      <c r="K97" s="60" t="n"/>
      <c r="L97" s="60" t="n"/>
      <c r="M97" s="61">
        <f>IF(NOT((COUNTA($B97:$D97)+COUNTA($G97:$L97)+COUNTA($Q97))&gt;0),"",IF(ISNUMBER($G97),1,IF(N($W97)&gt;0,AVERAGEIFS($X$5:$X$1000,$U$5:$U$1000,ROW(),$V$5:$V$1000,"Sub"),$X97)))</f>
        <v/>
      </c>
      <c r="N97" s="56">
        <f>IF($M97="","",IF($M97&gt;=1,"Completado",IF($M97&gt;0,"En curso","Pendiente")))</f>
        <v/>
      </c>
      <c r="O97" s="56">
        <f>IF(NOT((COUNTA($B97:$D97)+COUNTA($G97:$L97)+COUNTA($Q97))&gt;0),"",IF(ISNUMBER($G97),IF(AND(ISNUMBER($AN97),$G97&gt;$AN97),"Cumplida con "&amp;($G97-$AN97)&amp;IF($G97-$AN97=1," día"," días")&amp;" de retraso","Cumplida"),IF(N($M97)&gt;=1,"Cumplida",IF(NOT(ISNUMBER($AN97)),"Sin fecha límite",IF($AN97&lt;FechaRef,"Vencida hace "&amp;(FechaRef-$AN97)&amp;IF(FechaRef-$AN97=1," día"," días"),IF($AN97=FechaRef,"Vence hoy",IF($AN97-FechaRef&lt;=DiasAlerta,"Vence en "&amp;($AN97-FechaRef)&amp;IF($AN97-FechaRef=1," día"," días"),"En plazo")))))))</f>
        <v/>
      </c>
      <c r="P97" s="62" t="n"/>
      <c r="Q97" s="58" t="n"/>
      <c r="R97" s="63">
        <f>IF(NOT((COUNTA($B97:$D97)+COUNTA($G97:$L97)+COUNTA($Q97))&gt;0),"",IF((IF($C97="","Falta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",""))="","✔ OK","⚠ "&amp;LEFT(IF($C97="","Falta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",""),LEN(IF($C97="","Falta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",""))-3)))</f>
        <v/>
      </c>
      <c r="S97" s="64">
        <f>IF(NOT((COUNTA($B97:$D97)+COUNTA($G97:$L97)+COUNTA($Q97))&gt;0),"",IF(AND($V97="Sub",N($U97)&gt;0),IF(ISNUMBER(INDEX($AM$5:$AM$1000,$U97-4)),DATE(YEAR(INDEX($AM$5:$AM$1000,$U97-4)),MONTH(INDEX($AM$5:$AM$1000,$U97-4)),1),IF(ISNUMBER(INDEX($AN$5:$AN$1000,$U97-4)),DATE(YEAR(INDEX($AN$5:$AN$1000,$U97-4)),MONTH(INDEX($AN$5:$AN$1000,$U97-4)),1),MesCiclo)),IF(ISNUMBER($AM97),DATE(YEAR($AM97),MONTH($AM97),1),IF(ISNUMBER($AN97),DATE(YEAR($AN97),MONTH($AN97),1),MesCiclo))))</f>
        <v/>
      </c>
      <c r="T97" s="62">
        <f>IF(OR($S97="",$S97&lt;&gt;MesCiclo),"",COUNTIF($S$5:$S97,MesCiclo))</f>
        <v/>
      </c>
      <c r="U97" s="62">
        <f>IF($V97="","",IF($V97="Macro",ROW(),IFERROR(LOOKUP(2,1/($V$5:$V97="Macro"),ROW($V$5:$V97)),0)))</f>
        <v/>
      </c>
      <c r="V97" s="62">
        <f>IF(NOT((COUNTA($B97:$D97)+COUNTA($G97:$L97)+COUNTA($Q97))&gt;0),"",IF($B97="Subactividad","Sub","Macro"))</f>
        <v/>
      </c>
      <c r="W97" s="62">
        <f>IF($V97="Macro",COUNTIFS($U$5:$U$1000,ROW(),$V$5:$V$1000,"Sub"),"")</f>
        <v/>
      </c>
      <c r="X97" s="62">
        <f>IF($V97="","",IF(ISNUMBER($G97),1,IFERROR(LOOKUP(2,1/($I97:$L97&lt;&gt;""),$I97:$L97),0)))</f>
        <v/>
      </c>
      <c r="Y97" s="62">
        <f>IF($V97="","",IF(AND(ISNUMBER($G97),$G97&lt;=IF($S97=MesCiclo,InicioCiclo,$S97+MOD(2-WEEKDAY($S97),7))+6),1,IF(ISNUMBER($I97),$I97,0)))</f>
        <v/>
      </c>
      <c r="Z97" s="62">
        <f>IF($V97="","",IF(AND(ISNUMBER($G97),$G97&lt;=IF($S97=MesCiclo,InicioCiclo,$S97+MOD(2-WEEKDAY($S97),7))+13),1,IF(ISNUMBER($J97),$J97,$Y97)))</f>
        <v/>
      </c>
      <c r="AA97" s="62">
        <f>IF($V97="","",IF(AND(ISNUMBER($G97),$G97&lt;=IF($S97=MesCiclo,InicioCiclo,$S97+MOD(2-WEEKDAY($S97),7))+20),1,IF(ISNUMBER($K97),$K97,$Z97)))</f>
        <v/>
      </c>
      <c r="AB97" s="62">
        <f>IF($V97="","",IF(AND(ISNUMBER($G97),$G97&lt;=IF($S97=MesCiclo,InicioCiclo,$S97+MOD(2-WEEKDAY($S97),7))+27),1,IF(ISNUMBER($L97),$L97,$AA97)))</f>
        <v/>
      </c>
      <c r="AC97" s="62">
        <f>IF($V97="","",IF(AND(ISNUMBER($G97),$G97&lt;=IF($S97=MesCiclo,InicioCiclo,$S97+MOD(2-WEEKDAY($S97),7))+6),1,IF(N($W97)&gt;0,AVERAGEIFS($Y$5:$Y$1000,$U$5:$U$1000,ROW(),$V$5:$V$1000,"Sub"),$Y97)))</f>
        <v/>
      </c>
      <c r="AD97" s="62">
        <f>IF($V97="","",IF(AND(ISNUMBER($G97),$G97&lt;=IF($S97=MesCiclo,InicioCiclo,$S97+MOD(2-WEEKDAY($S97),7))+13),1,IF(N($W97)&gt;0,AVERAGEIFS($Z$5:$Z$1000,$U$5:$U$1000,ROW(),$V$5:$V$1000,"Sub"),$Z97)))</f>
        <v/>
      </c>
      <c r="AE97" s="62">
        <f>IF($V97="","",IF(AND(ISNUMBER($G97),$G97&lt;=IF($S97=MesCiclo,InicioCiclo,$S97+MOD(2-WEEKDAY($S97),7))+20),1,IF(N($W97)&gt;0,AVERAGEIFS($AA$5:$AA$1000,$U$5:$U$1000,ROW(),$V$5:$V$1000,"Sub"),$AA97)))</f>
        <v/>
      </c>
      <c r="AF97" s="62">
        <f>IF($V97="","",IF(AND(ISNUMBER($G97),$G97&lt;=IF($S97=MesCiclo,InicioCiclo,$S97+MOD(2-WEEKDAY($S97),7))+27),1,IF(N($W97)&gt;0,AVERAGEIFS($AB$5:$AB$1000,$U$5:$U$1000,ROW(),$V$5:$V$1000,"Sub"),$AB97)))</f>
        <v/>
      </c>
      <c r="AG97" s="62">
        <f>IF($V97&lt;&gt;"Macro","",IF(COUNTIFS($S$5:$S$1000,$S97,$V$5:$V$1000,"Macro",$H$5:$H$1000,"&gt;0")=0,1/COUNTIFS($S$5:$S$1000,$S97,$V$5:$V$1000,"Macro"),IF(AND(ISNUMBER($H97),N($H97)&gt;0),$H97,SUMIFS($H$5:$H$1000,$S$5:$S$1000,$S97,$V$5:$V$1000,"Macro")/COUNTIFS($S$5:$S$1000,$S97,$V$5:$V$1000,"Macro",$H$5:$H$1000,"&gt;0"))/(COUNTIFS($S$5:$S$1000,$S97,$V$5:$V$1000,"Macro")*SUMIFS($H$5:$H$1000,$S$5:$S$1000,$S97,$V$5:$V$1000,"Macro")/COUNTIFS($S$5:$S$1000,$S97,$V$5:$V$1000,"Macro",$H$5:$H$1000,"&gt;0"))))</f>
        <v/>
      </c>
      <c r="AH97" s="62" t="n"/>
      <c r="AI97" s="62" t="n"/>
      <c r="AJ97" s="62" t="n"/>
      <c r="AK97" s="62" t="n"/>
      <c r="AL97" s="62">
        <f>IF(LEFT($C97,11)="[Jefatura] ",IFERROR(MATCH("Riesgo Normativo|"&amp;MID($C97,12,500),rDname_ADM,0),0),"")</f>
        <v/>
      </c>
      <c r="AM97" s="62">
        <f>IF(N($AL97)&gt;0,INDEX(rIni_ADM,$AL97),IF(ISNUMBER($E97),$E97,""))</f>
        <v/>
      </c>
      <c r="AN97" s="62">
        <f>IF(N($AL97)&gt;0,INDEX(rLim_ADM,$AL97),IF(ISNUMBER($F97),$F97,""))</f>
        <v/>
      </c>
    </row>
    <row r="98">
      <c r="A98" s="56">
        <f>IF(NOT((COUNTA($B98:$D98)+COUNTA($G98:$L98)+COUNTA($Q98))&gt;0),"",IF($V98="Macro",COUNTIFS($V$5:$V98,"Macro",$S$5:$S98,$S98),IF(N($U98)=0,"?",COUNTIFS(INDEX($V$5:$V$1000,1):INDEX($V$5:$V$1000,$U98-4),"Macro",INDEX($S$5:$S$1000,1):INDEX($S$5:$S$1000,$U98-4),INDEX($S$5:$S$1000,$U98-4))&amp;"."&amp;COUNTIFS($U$5:$U98,$U98,$V$5:$V98,"Sub"))))</f>
        <v/>
      </c>
      <c r="B98" s="57" t="n"/>
      <c r="C98" s="58" t="n"/>
      <c r="D98" s="58" t="n"/>
      <c r="E98" s="59">
        <f>IF(N($AL98)&gt;0,INDEX(rIni_ADM,$AL98),"")</f>
        <v/>
      </c>
      <c r="F98" s="59">
        <f>IF(N($AL98)&gt;0,INDEX(rLim_ADM,$AL98),"")</f>
        <v/>
      </c>
      <c r="G98" s="59" t="n"/>
      <c r="H98" s="60" t="n"/>
      <c r="I98" s="60" t="n"/>
      <c r="J98" s="60" t="n"/>
      <c r="K98" s="60" t="n"/>
      <c r="L98" s="60" t="n"/>
      <c r="M98" s="61">
        <f>IF(NOT((COUNTA($B98:$D98)+COUNTA($G98:$L98)+COUNTA($Q98))&gt;0),"",IF(ISNUMBER($G98),1,IF(N($W98)&gt;0,AVERAGEIFS($X$5:$X$1000,$U$5:$U$1000,ROW(),$V$5:$V$1000,"Sub"),$X98)))</f>
        <v/>
      </c>
      <c r="N98" s="56">
        <f>IF($M98="","",IF($M98&gt;=1,"Completado",IF($M98&gt;0,"En curso","Pendiente")))</f>
        <v/>
      </c>
      <c r="O98" s="56">
        <f>IF(NOT((COUNTA($B98:$D98)+COUNTA($G98:$L98)+COUNTA($Q98))&gt;0),"",IF(ISNUMBER($G98),IF(AND(ISNUMBER($AN98),$G98&gt;$AN98),"Cumplida con "&amp;($G98-$AN98)&amp;IF($G98-$AN98=1," día"," días")&amp;" de retraso","Cumplida"),IF(N($M98)&gt;=1,"Cumplida",IF(NOT(ISNUMBER($AN98)),"Sin fecha límite",IF($AN98&lt;FechaRef,"Vencida hace "&amp;(FechaRef-$AN98)&amp;IF(FechaRef-$AN98=1," día"," días"),IF($AN98=FechaRef,"Vence hoy",IF($AN98-FechaRef&lt;=DiasAlerta,"Vence en "&amp;($AN98-FechaRef)&amp;IF($AN98-FechaRef=1," día"," días"),"En plazo")))))))</f>
        <v/>
      </c>
      <c r="P98" s="62" t="n"/>
      <c r="Q98" s="58" t="n"/>
      <c r="R98" s="63">
        <f>IF(NOT((COUNTA($B98:$D98)+COUNTA($G98:$L98)+COUNTA($Q98))&gt;0),"",IF((IF($C98="","Falta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",""))="","✔ OK","⚠ "&amp;LEFT(IF($C98="","Falta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",""),LEN(IF($C98="","Falta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",""))-3)))</f>
        <v/>
      </c>
      <c r="S98" s="64">
        <f>IF(NOT((COUNTA($B98:$D98)+COUNTA($G98:$L98)+COUNTA($Q98))&gt;0),"",IF(AND($V98="Sub",N($U98)&gt;0),IF(ISNUMBER(INDEX($AM$5:$AM$1000,$U98-4)),DATE(YEAR(INDEX($AM$5:$AM$1000,$U98-4)),MONTH(INDEX($AM$5:$AM$1000,$U98-4)),1),IF(ISNUMBER(INDEX($AN$5:$AN$1000,$U98-4)),DATE(YEAR(INDEX($AN$5:$AN$1000,$U98-4)),MONTH(INDEX($AN$5:$AN$1000,$U98-4)),1),MesCiclo)),IF(ISNUMBER($AM98),DATE(YEAR($AM98),MONTH($AM98),1),IF(ISNUMBER($AN98),DATE(YEAR($AN98),MONTH($AN98),1),MesCiclo))))</f>
        <v/>
      </c>
      <c r="T98" s="62">
        <f>IF(OR($S98="",$S98&lt;&gt;MesCiclo),"",COUNTIF($S$5:$S98,MesCiclo))</f>
        <v/>
      </c>
      <c r="U98" s="62">
        <f>IF($V98="","",IF($V98="Macro",ROW(),IFERROR(LOOKUP(2,1/($V$5:$V98="Macro"),ROW($V$5:$V98)),0)))</f>
        <v/>
      </c>
      <c r="V98" s="62">
        <f>IF(NOT((COUNTA($B98:$D98)+COUNTA($G98:$L98)+COUNTA($Q98))&gt;0),"",IF($B98="Subactividad","Sub","Macro"))</f>
        <v/>
      </c>
      <c r="W98" s="62">
        <f>IF($V98="Macro",COUNTIFS($U$5:$U$1000,ROW(),$V$5:$V$1000,"Sub"),"")</f>
        <v/>
      </c>
      <c r="X98" s="62">
        <f>IF($V98="","",IF(ISNUMBER($G98),1,IFERROR(LOOKUP(2,1/($I98:$L98&lt;&gt;""),$I98:$L98),0)))</f>
        <v/>
      </c>
      <c r="Y98" s="62">
        <f>IF($V98="","",IF(AND(ISNUMBER($G98),$G98&lt;=IF($S98=MesCiclo,InicioCiclo,$S98+MOD(2-WEEKDAY($S98),7))+6),1,IF(ISNUMBER($I98),$I98,0)))</f>
        <v/>
      </c>
      <c r="Z98" s="62">
        <f>IF($V98="","",IF(AND(ISNUMBER($G98),$G98&lt;=IF($S98=MesCiclo,InicioCiclo,$S98+MOD(2-WEEKDAY($S98),7))+13),1,IF(ISNUMBER($J98),$J98,$Y98)))</f>
        <v/>
      </c>
      <c r="AA98" s="62">
        <f>IF($V98="","",IF(AND(ISNUMBER($G98),$G98&lt;=IF($S98=MesCiclo,InicioCiclo,$S98+MOD(2-WEEKDAY($S98),7))+20),1,IF(ISNUMBER($K98),$K98,$Z98)))</f>
        <v/>
      </c>
      <c r="AB98" s="62">
        <f>IF($V98="","",IF(AND(ISNUMBER($G98),$G98&lt;=IF($S98=MesCiclo,InicioCiclo,$S98+MOD(2-WEEKDAY($S98),7))+27),1,IF(ISNUMBER($L98),$L98,$AA98)))</f>
        <v/>
      </c>
      <c r="AC98" s="62">
        <f>IF($V98="","",IF(AND(ISNUMBER($G98),$G98&lt;=IF($S98=MesCiclo,InicioCiclo,$S98+MOD(2-WEEKDAY($S98),7))+6),1,IF(N($W98)&gt;0,AVERAGEIFS($Y$5:$Y$1000,$U$5:$U$1000,ROW(),$V$5:$V$1000,"Sub"),$Y98)))</f>
        <v/>
      </c>
      <c r="AD98" s="62">
        <f>IF($V98="","",IF(AND(ISNUMBER($G98),$G98&lt;=IF($S98=MesCiclo,InicioCiclo,$S98+MOD(2-WEEKDAY($S98),7))+13),1,IF(N($W98)&gt;0,AVERAGEIFS($Z$5:$Z$1000,$U$5:$U$1000,ROW(),$V$5:$V$1000,"Sub"),$Z98)))</f>
        <v/>
      </c>
      <c r="AE98" s="62">
        <f>IF($V98="","",IF(AND(ISNUMBER($G98),$G98&lt;=IF($S98=MesCiclo,InicioCiclo,$S98+MOD(2-WEEKDAY($S98),7))+20),1,IF(N($W98)&gt;0,AVERAGEIFS($AA$5:$AA$1000,$U$5:$U$1000,ROW(),$V$5:$V$1000,"Sub"),$AA98)))</f>
        <v/>
      </c>
      <c r="AF98" s="62">
        <f>IF($V98="","",IF(AND(ISNUMBER($G98),$G98&lt;=IF($S98=MesCiclo,InicioCiclo,$S98+MOD(2-WEEKDAY($S98),7))+27),1,IF(N($W98)&gt;0,AVERAGEIFS($AB$5:$AB$1000,$U$5:$U$1000,ROW(),$V$5:$V$1000,"Sub"),$AB98)))</f>
        <v/>
      </c>
      <c r="AG98" s="62">
        <f>IF($V98&lt;&gt;"Macro","",IF(COUNTIFS($S$5:$S$1000,$S98,$V$5:$V$1000,"Macro",$H$5:$H$1000,"&gt;0")=0,1/COUNTIFS($S$5:$S$1000,$S98,$V$5:$V$1000,"Macro"),IF(AND(ISNUMBER($H98),N($H98)&gt;0),$H98,SUMIFS($H$5:$H$1000,$S$5:$S$1000,$S98,$V$5:$V$1000,"Macro")/COUNTIFS($S$5:$S$1000,$S98,$V$5:$V$1000,"Macro",$H$5:$H$1000,"&gt;0"))/(COUNTIFS($S$5:$S$1000,$S98,$V$5:$V$1000,"Macro")*SUMIFS($H$5:$H$1000,$S$5:$S$1000,$S98,$V$5:$V$1000,"Macro")/COUNTIFS($S$5:$S$1000,$S98,$V$5:$V$1000,"Macro",$H$5:$H$1000,"&gt;0"))))</f>
        <v/>
      </c>
      <c r="AH98" s="62" t="n"/>
      <c r="AI98" s="62" t="n"/>
      <c r="AJ98" s="62" t="n"/>
      <c r="AK98" s="62" t="n"/>
      <c r="AL98" s="62">
        <f>IF(LEFT($C98,11)="[Jefatura] ",IFERROR(MATCH("Riesgo Normativo|"&amp;MID($C98,12,500),rDname_ADM,0),0),"")</f>
        <v/>
      </c>
      <c r="AM98" s="62">
        <f>IF(N($AL98)&gt;0,INDEX(rIni_ADM,$AL98),IF(ISNUMBER($E98),$E98,""))</f>
        <v/>
      </c>
      <c r="AN98" s="62">
        <f>IF(N($AL98)&gt;0,INDEX(rLim_ADM,$AL98),IF(ISNUMBER($F98),$F98,""))</f>
        <v/>
      </c>
    </row>
    <row r="99">
      <c r="A99" s="56">
        <f>IF(NOT((COUNTA($B99:$D99)+COUNTA($G99:$L99)+COUNTA($Q99))&gt;0),"",IF($V99="Macro",COUNTIFS($V$5:$V99,"Macro",$S$5:$S99,$S99),IF(N($U99)=0,"?",COUNTIFS(INDEX($V$5:$V$1000,1):INDEX($V$5:$V$1000,$U99-4),"Macro",INDEX($S$5:$S$1000,1):INDEX($S$5:$S$1000,$U99-4),INDEX($S$5:$S$1000,$U99-4))&amp;"."&amp;COUNTIFS($U$5:$U99,$U99,$V$5:$V99,"Sub"))))</f>
        <v/>
      </c>
      <c r="B99" s="57" t="n"/>
      <c r="C99" s="58" t="n"/>
      <c r="D99" s="58" t="n"/>
      <c r="E99" s="59">
        <f>IF(N($AL99)&gt;0,INDEX(rIni_ADM,$AL99),"")</f>
        <v/>
      </c>
      <c r="F99" s="59">
        <f>IF(N($AL99)&gt;0,INDEX(rLim_ADM,$AL99),"")</f>
        <v/>
      </c>
      <c r="G99" s="59" t="n"/>
      <c r="H99" s="60" t="n"/>
      <c r="I99" s="60" t="n"/>
      <c r="J99" s="60" t="n"/>
      <c r="K99" s="60" t="n"/>
      <c r="L99" s="60" t="n"/>
      <c r="M99" s="61">
        <f>IF(NOT((COUNTA($B99:$D99)+COUNTA($G99:$L99)+COUNTA($Q99))&gt;0),"",IF(ISNUMBER($G99),1,IF(N($W99)&gt;0,AVERAGEIFS($X$5:$X$1000,$U$5:$U$1000,ROW(),$V$5:$V$1000,"Sub"),$X99)))</f>
        <v/>
      </c>
      <c r="N99" s="56">
        <f>IF($M99="","",IF($M99&gt;=1,"Completado",IF($M99&gt;0,"En curso","Pendiente")))</f>
        <v/>
      </c>
      <c r="O99" s="56">
        <f>IF(NOT((COUNTA($B99:$D99)+COUNTA($G99:$L99)+COUNTA($Q99))&gt;0),"",IF(ISNUMBER($G99),IF(AND(ISNUMBER($AN99),$G99&gt;$AN99),"Cumplida con "&amp;($G99-$AN99)&amp;IF($G99-$AN99=1," día"," días")&amp;" de retraso","Cumplida"),IF(N($M99)&gt;=1,"Cumplida",IF(NOT(ISNUMBER($AN99)),"Sin fecha límite",IF($AN99&lt;FechaRef,"Vencida hace "&amp;(FechaRef-$AN99)&amp;IF(FechaRef-$AN99=1," día"," días"),IF($AN99=FechaRef,"Vence hoy",IF($AN99-FechaRef&lt;=DiasAlerta,"Vence en "&amp;($AN99-FechaRef)&amp;IF($AN99-FechaRef=1," día"," días"),"En plazo")))))))</f>
        <v/>
      </c>
      <c r="P99" s="62" t="n"/>
      <c r="Q99" s="58" t="n"/>
      <c r="R99" s="63">
        <f>IF(NOT((COUNTA($B99:$D99)+COUNTA($G99:$L99)+COUNTA($Q99))&gt;0),"",IF((IF($C99="","Falta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",""))="","✔ OK","⚠ "&amp;LEFT(IF($C99="","Falta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",""),LEN(IF($C99="","Falta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",""))-3)))</f>
        <v/>
      </c>
      <c r="S99" s="64">
        <f>IF(NOT((COUNTA($B99:$D99)+COUNTA($G99:$L99)+COUNTA($Q99))&gt;0),"",IF(AND($V99="Sub",N($U99)&gt;0),IF(ISNUMBER(INDEX($AM$5:$AM$1000,$U99-4)),DATE(YEAR(INDEX($AM$5:$AM$1000,$U99-4)),MONTH(INDEX($AM$5:$AM$1000,$U99-4)),1),IF(ISNUMBER(INDEX($AN$5:$AN$1000,$U99-4)),DATE(YEAR(INDEX($AN$5:$AN$1000,$U99-4)),MONTH(INDEX($AN$5:$AN$1000,$U99-4)),1),MesCiclo)),IF(ISNUMBER($AM99),DATE(YEAR($AM99),MONTH($AM99),1),IF(ISNUMBER($AN99),DATE(YEAR($AN99),MONTH($AN99),1),MesCiclo))))</f>
        <v/>
      </c>
      <c r="T99" s="62">
        <f>IF(OR($S99="",$S99&lt;&gt;MesCiclo),"",COUNTIF($S$5:$S99,MesCiclo))</f>
        <v/>
      </c>
      <c r="U99" s="62">
        <f>IF($V99="","",IF($V99="Macro",ROW(),IFERROR(LOOKUP(2,1/($V$5:$V99="Macro"),ROW($V$5:$V99)),0)))</f>
        <v/>
      </c>
      <c r="V99" s="62">
        <f>IF(NOT((COUNTA($B99:$D99)+COUNTA($G99:$L99)+COUNTA($Q99))&gt;0),"",IF($B99="Subactividad","Sub","Macro"))</f>
        <v/>
      </c>
      <c r="W99" s="62">
        <f>IF($V99="Macro",COUNTIFS($U$5:$U$1000,ROW(),$V$5:$V$1000,"Sub"),"")</f>
        <v/>
      </c>
      <c r="X99" s="62">
        <f>IF($V99="","",IF(ISNUMBER($G99),1,IFERROR(LOOKUP(2,1/($I99:$L99&lt;&gt;""),$I99:$L99),0)))</f>
        <v/>
      </c>
      <c r="Y99" s="62">
        <f>IF($V99="","",IF(AND(ISNUMBER($G99),$G99&lt;=IF($S99=MesCiclo,InicioCiclo,$S99+MOD(2-WEEKDAY($S99),7))+6),1,IF(ISNUMBER($I99),$I99,0)))</f>
        <v/>
      </c>
      <c r="Z99" s="62">
        <f>IF($V99="","",IF(AND(ISNUMBER($G99),$G99&lt;=IF($S99=MesCiclo,InicioCiclo,$S99+MOD(2-WEEKDAY($S99),7))+13),1,IF(ISNUMBER($J99),$J99,$Y99)))</f>
        <v/>
      </c>
      <c r="AA99" s="62">
        <f>IF($V99="","",IF(AND(ISNUMBER($G99),$G99&lt;=IF($S99=MesCiclo,InicioCiclo,$S99+MOD(2-WEEKDAY($S99),7))+20),1,IF(ISNUMBER($K99),$K99,$Z99)))</f>
        <v/>
      </c>
      <c r="AB99" s="62">
        <f>IF($V99="","",IF(AND(ISNUMBER($G99),$G99&lt;=IF($S99=MesCiclo,InicioCiclo,$S99+MOD(2-WEEKDAY($S99),7))+27),1,IF(ISNUMBER($L99),$L99,$AA99)))</f>
        <v/>
      </c>
      <c r="AC99" s="62">
        <f>IF($V99="","",IF(AND(ISNUMBER($G99),$G99&lt;=IF($S99=MesCiclo,InicioCiclo,$S99+MOD(2-WEEKDAY($S99),7))+6),1,IF(N($W99)&gt;0,AVERAGEIFS($Y$5:$Y$1000,$U$5:$U$1000,ROW(),$V$5:$V$1000,"Sub"),$Y99)))</f>
        <v/>
      </c>
      <c r="AD99" s="62">
        <f>IF($V99="","",IF(AND(ISNUMBER($G99),$G99&lt;=IF($S99=MesCiclo,InicioCiclo,$S99+MOD(2-WEEKDAY($S99),7))+13),1,IF(N($W99)&gt;0,AVERAGEIFS($Z$5:$Z$1000,$U$5:$U$1000,ROW(),$V$5:$V$1000,"Sub"),$Z99)))</f>
        <v/>
      </c>
      <c r="AE99" s="62">
        <f>IF($V99="","",IF(AND(ISNUMBER($G99),$G99&lt;=IF($S99=MesCiclo,InicioCiclo,$S99+MOD(2-WEEKDAY($S99),7))+20),1,IF(N($W99)&gt;0,AVERAGEIFS($AA$5:$AA$1000,$U$5:$U$1000,ROW(),$V$5:$V$1000,"Sub"),$AA99)))</f>
        <v/>
      </c>
      <c r="AF99" s="62">
        <f>IF($V99="","",IF(AND(ISNUMBER($G99),$G99&lt;=IF($S99=MesCiclo,InicioCiclo,$S99+MOD(2-WEEKDAY($S99),7))+27),1,IF(N($W99)&gt;0,AVERAGEIFS($AB$5:$AB$1000,$U$5:$U$1000,ROW(),$V$5:$V$1000,"Sub"),$AB99)))</f>
        <v/>
      </c>
      <c r="AG99" s="62">
        <f>IF($V99&lt;&gt;"Macro","",IF(COUNTIFS($S$5:$S$1000,$S99,$V$5:$V$1000,"Macro",$H$5:$H$1000,"&gt;0")=0,1/COUNTIFS($S$5:$S$1000,$S99,$V$5:$V$1000,"Macro"),IF(AND(ISNUMBER($H99),N($H99)&gt;0),$H99,SUMIFS($H$5:$H$1000,$S$5:$S$1000,$S99,$V$5:$V$1000,"Macro")/COUNTIFS($S$5:$S$1000,$S99,$V$5:$V$1000,"Macro",$H$5:$H$1000,"&gt;0"))/(COUNTIFS($S$5:$S$1000,$S99,$V$5:$V$1000,"Macro")*SUMIFS($H$5:$H$1000,$S$5:$S$1000,$S99,$V$5:$V$1000,"Macro")/COUNTIFS($S$5:$S$1000,$S99,$V$5:$V$1000,"Macro",$H$5:$H$1000,"&gt;0"))))</f>
        <v/>
      </c>
      <c r="AH99" s="62" t="n"/>
      <c r="AI99" s="62" t="n"/>
      <c r="AJ99" s="62" t="n"/>
      <c r="AK99" s="62" t="n"/>
      <c r="AL99" s="62">
        <f>IF(LEFT($C99,11)="[Jefatura] ",IFERROR(MATCH("Riesgo Normativo|"&amp;MID($C99,12,500),rDname_ADM,0),0),"")</f>
        <v/>
      </c>
      <c r="AM99" s="62">
        <f>IF(N($AL99)&gt;0,INDEX(rIni_ADM,$AL99),IF(ISNUMBER($E99),$E99,""))</f>
        <v/>
      </c>
      <c r="AN99" s="62">
        <f>IF(N($AL99)&gt;0,INDEX(rLim_ADM,$AL99),IF(ISNUMBER($F99),$F99,""))</f>
        <v/>
      </c>
    </row>
    <row r="100">
      <c r="A100" s="56">
        <f>IF(NOT((COUNTA($B100:$D100)+COUNTA($G100:$L100)+COUNTA($Q100))&gt;0),"",IF($V100="Macro",COUNTIFS($V$5:$V100,"Macro",$S$5:$S100,$S100),IF(N($U100)=0,"?",COUNTIFS(INDEX($V$5:$V$1000,1):INDEX($V$5:$V$1000,$U100-4),"Macro",INDEX($S$5:$S$1000,1):INDEX($S$5:$S$1000,$U100-4),INDEX($S$5:$S$1000,$U100-4))&amp;"."&amp;COUNTIFS($U$5:$U100,$U100,$V$5:$V100,"Sub"))))</f>
        <v/>
      </c>
      <c r="B100" s="57" t="n"/>
      <c r="C100" s="58" t="n"/>
      <c r="D100" s="58" t="n"/>
      <c r="E100" s="59">
        <f>IF(N($AL100)&gt;0,INDEX(rIni_ADM,$AL100),"")</f>
        <v/>
      </c>
      <c r="F100" s="59">
        <f>IF(N($AL100)&gt;0,INDEX(rLim_ADM,$AL100),"")</f>
        <v/>
      </c>
      <c r="G100" s="59" t="n"/>
      <c r="H100" s="60" t="n"/>
      <c r="I100" s="60" t="n"/>
      <c r="J100" s="60" t="n"/>
      <c r="K100" s="60" t="n"/>
      <c r="L100" s="60" t="n"/>
      <c r="M100" s="61">
        <f>IF(NOT((COUNTA($B100:$D100)+COUNTA($G100:$L100)+COUNTA($Q100))&gt;0),"",IF(ISNUMBER($G100),1,IF(N($W100)&gt;0,AVERAGEIFS($X$5:$X$1000,$U$5:$U$1000,ROW(),$V$5:$V$1000,"Sub"),$X100)))</f>
        <v/>
      </c>
      <c r="N100" s="56">
        <f>IF($M100="","",IF($M100&gt;=1,"Completado",IF($M100&gt;0,"En curso","Pendiente")))</f>
        <v/>
      </c>
      <c r="O100" s="56">
        <f>IF(NOT((COUNTA($B100:$D100)+COUNTA($G100:$L100)+COUNTA($Q100))&gt;0),"",IF(ISNUMBER($G100),IF(AND(ISNUMBER($AN100),$G100&gt;$AN100),"Cumplida con "&amp;($G100-$AN100)&amp;IF($G100-$AN100=1," día"," días")&amp;" de retraso","Cumplida"),IF(N($M100)&gt;=1,"Cumplida",IF(NOT(ISNUMBER($AN100)),"Sin fecha límite",IF($AN100&lt;FechaRef,"Vencida hace "&amp;(FechaRef-$AN100)&amp;IF(FechaRef-$AN100=1," día"," días"),IF($AN100=FechaRef,"Vence hoy",IF($AN100-FechaRef&lt;=DiasAlerta,"Vence en "&amp;($AN100-FechaRef)&amp;IF($AN100-FechaRef=1," día"," días"),"En plazo")))))))</f>
        <v/>
      </c>
      <c r="P100" s="62" t="n"/>
      <c r="Q100" s="58" t="n"/>
      <c r="R100" s="63">
        <f>IF(NOT((COUNTA($B100:$D100)+COUNTA($G100:$L100)+COUNTA($Q100))&gt;0),"",IF((IF($C100="","Falta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",""))="","✔ OK","⚠ "&amp;LEFT(IF($C100="","Falta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",""),LEN(IF($C100="","Falta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",""))-3)))</f>
        <v/>
      </c>
      <c r="S100" s="64">
        <f>IF(NOT((COUNTA($B100:$D100)+COUNTA($G100:$L100)+COUNTA($Q100))&gt;0),"",IF(AND($V100="Sub",N($U100)&gt;0),IF(ISNUMBER(INDEX($AM$5:$AM$1000,$U100-4)),DATE(YEAR(INDEX($AM$5:$AM$1000,$U100-4)),MONTH(INDEX($AM$5:$AM$1000,$U100-4)),1),IF(ISNUMBER(INDEX($AN$5:$AN$1000,$U100-4)),DATE(YEAR(INDEX($AN$5:$AN$1000,$U100-4)),MONTH(INDEX($AN$5:$AN$1000,$U100-4)),1),MesCiclo)),IF(ISNUMBER($AM100),DATE(YEAR($AM100),MONTH($AM100),1),IF(ISNUMBER($AN100),DATE(YEAR($AN100),MONTH($AN100),1),MesCiclo))))</f>
        <v/>
      </c>
      <c r="T100" s="62">
        <f>IF(OR($S100="",$S100&lt;&gt;MesCiclo),"",COUNTIF($S$5:$S100,MesCiclo))</f>
        <v/>
      </c>
      <c r="U100" s="62">
        <f>IF($V100="","",IF($V100="Macro",ROW(),IFERROR(LOOKUP(2,1/($V$5:$V100="Macro"),ROW($V$5:$V100)),0)))</f>
        <v/>
      </c>
      <c r="V100" s="62">
        <f>IF(NOT((COUNTA($B100:$D100)+COUNTA($G100:$L100)+COUNTA($Q100))&gt;0),"",IF($B100="Subactividad","Sub","Macro"))</f>
        <v/>
      </c>
      <c r="W100" s="62">
        <f>IF($V100="Macro",COUNTIFS($U$5:$U$1000,ROW(),$V$5:$V$1000,"Sub"),"")</f>
        <v/>
      </c>
      <c r="X100" s="62">
        <f>IF($V100="","",IF(ISNUMBER($G100),1,IFERROR(LOOKUP(2,1/($I100:$L100&lt;&gt;""),$I100:$L100),0)))</f>
        <v/>
      </c>
      <c r="Y100" s="62">
        <f>IF($V100="","",IF(AND(ISNUMBER($G100),$G100&lt;=IF($S100=MesCiclo,InicioCiclo,$S100+MOD(2-WEEKDAY($S100),7))+6),1,IF(ISNUMBER($I100),$I100,0)))</f>
        <v/>
      </c>
      <c r="Z100" s="62">
        <f>IF($V100="","",IF(AND(ISNUMBER($G100),$G100&lt;=IF($S100=MesCiclo,InicioCiclo,$S100+MOD(2-WEEKDAY($S100),7))+13),1,IF(ISNUMBER($J100),$J100,$Y100)))</f>
        <v/>
      </c>
      <c r="AA100" s="62">
        <f>IF($V100="","",IF(AND(ISNUMBER($G100),$G100&lt;=IF($S100=MesCiclo,InicioCiclo,$S100+MOD(2-WEEKDAY($S100),7))+20),1,IF(ISNUMBER($K100),$K100,$Z100)))</f>
        <v/>
      </c>
      <c r="AB100" s="62">
        <f>IF($V100="","",IF(AND(ISNUMBER($G100),$G100&lt;=IF($S100=MesCiclo,InicioCiclo,$S100+MOD(2-WEEKDAY($S100),7))+27),1,IF(ISNUMBER($L100),$L100,$AA100)))</f>
        <v/>
      </c>
      <c r="AC100" s="62">
        <f>IF($V100="","",IF(AND(ISNUMBER($G100),$G100&lt;=IF($S100=MesCiclo,InicioCiclo,$S100+MOD(2-WEEKDAY($S100),7))+6),1,IF(N($W100)&gt;0,AVERAGEIFS($Y$5:$Y$1000,$U$5:$U$1000,ROW(),$V$5:$V$1000,"Sub"),$Y100)))</f>
        <v/>
      </c>
      <c r="AD100" s="62">
        <f>IF($V100="","",IF(AND(ISNUMBER($G100),$G100&lt;=IF($S100=MesCiclo,InicioCiclo,$S100+MOD(2-WEEKDAY($S100),7))+13),1,IF(N($W100)&gt;0,AVERAGEIFS($Z$5:$Z$1000,$U$5:$U$1000,ROW(),$V$5:$V$1000,"Sub"),$Z100)))</f>
        <v/>
      </c>
      <c r="AE100" s="62">
        <f>IF($V100="","",IF(AND(ISNUMBER($G100),$G100&lt;=IF($S100=MesCiclo,InicioCiclo,$S100+MOD(2-WEEKDAY($S100),7))+20),1,IF(N($W100)&gt;0,AVERAGEIFS($AA$5:$AA$1000,$U$5:$U$1000,ROW(),$V$5:$V$1000,"Sub"),$AA100)))</f>
        <v/>
      </c>
      <c r="AF100" s="62">
        <f>IF($V100="","",IF(AND(ISNUMBER($G100),$G100&lt;=IF($S100=MesCiclo,InicioCiclo,$S100+MOD(2-WEEKDAY($S100),7))+27),1,IF(N($W100)&gt;0,AVERAGEIFS($AB$5:$AB$1000,$U$5:$U$1000,ROW(),$V$5:$V$1000,"Sub"),$AB100)))</f>
        <v/>
      </c>
      <c r="AG100" s="62">
        <f>IF($V100&lt;&gt;"Macro","",IF(COUNTIFS($S$5:$S$1000,$S100,$V$5:$V$1000,"Macro",$H$5:$H$1000,"&gt;0")=0,1/COUNTIFS($S$5:$S$1000,$S100,$V$5:$V$1000,"Macro"),IF(AND(ISNUMBER($H100),N($H100)&gt;0),$H100,SUMIFS($H$5:$H$1000,$S$5:$S$1000,$S100,$V$5:$V$1000,"Macro")/COUNTIFS($S$5:$S$1000,$S100,$V$5:$V$1000,"Macro",$H$5:$H$1000,"&gt;0"))/(COUNTIFS($S$5:$S$1000,$S100,$V$5:$V$1000,"Macro")*SUMIFS($H$5:$H$1000,$S$5:$S$1000,$S100,$V$5:$V$1000,"Macro")/COUNTIFS($S$5:$S$1000,$S100,$V$5:$V$1000,"Macro",$H$5:$H$1000,"&gt;0"))))</f>
        <v/>
      </c>
      <c r="AH100" s="62" t="n"/>
      <c r="AI100" s="62" t="n"/>
      <c r="AJ100" s="62" t="n"/>
      <c r="AK100" s="62" t="n"/>
      <c r="AL100" s="62">
        <f>IF(LEFT($C100,11)="[Jefatura] ",IFERROR(MATCH("Riesgo Normativo|"&amp;MID($C100,12,500),rDname_ADM,0),0),"")</f>
        <v/>
      </c>
      <c r="AM100" s="62">
        <f>IF(N($AL100)&gt;0,INDEX(rIni_ADM,$AL100),IF(ISNUMBER($E100),$E100,""))</f>
        <v/>
      </c>
      <c r="AN100" s="62">
        <f>IF(N($AL100)&gt;0,INDEX(rLim_ADM,$AL100),IF(ISNUMBER($F100),$F100,""))</f>
        <v/>
      </c>
    </row>
    <row r="101">
      <c r="A101" s="56">
        <f>IF(NOT((COUNTA($B101:$D101)+COUNTA($G101:$L101)+COUNTA($Q101))&gt;0),"",IF($V101="Macro",COUNTIFS($V$5:$V101,"Macro",$S$5:$S101,$S101),IF(N($U101)=0,"?",COUNTIFS(INDEX($V$5:$V$1000,1):INDEX($V$5:$V$1000,$U101-4),"Macro",INDEX($S$5:$S$1000,1):INDEX($S$5:$S$1000,$U101-4),INDEX($S$5:$S$1000,$U101-4))&amp;"."&amp;COUNTIFS($U$5:$U101,$U101,$V$5:$V101,"Sub"))))</f>
        <v/>
      </c>
      <c r="B101" s="57" t="n"/>
      <c r="C101" s="58" t="n"/>
      <c r="D101" s="58" t="n"/>
      <c r="E101" s="59">
        <f>IF(N($AL101)&gt;0,INDEX(rIni_ADM,$AL101),"")</f>
        <v/>
      </c>
      <c r="F101" s="59">
        <f>IF(N($AL101)&gt;0,INDEX(rLim_ADM,$AL101),"")</f>
        <v/>
      </c>
      <c r="G101" s="59" t="n"/>
      <c r="H101" s="60" t="n"/>
      <c r="I101" s="60" t="n"/>
      <c r="J101" s="60" t="n"/>
      <c r="K101" s="60" t="n"/>
      <c r="L101" s="60" t="n"/>
      <c r="M101" s="61">
        <f>IF(NOT((COUNTA($B101:$D101)+COUNTA($G101:$L101)+COUNTA($Q101))&gt;0),"",IF(ISNUMBER($G101),1,IF(N($W101)&gt;0,AVERAGEIFS($X$5:$X$1000,$U$5:$U$1000,ROW(),$V$5:$V$1000,"Sub"),$X101)))</f>
        <v/>
      </c>
      <c r="N101" s="56">
        <f>IF($M101="","",IF($M101&gt;=1,"Completado",IF($M101&gt;0,"En curso","Pendiente")))</f>
        <v/>
      </c>
      <c r="O101" s="56">
        <f>IF(NOT((COUNTA($B101:$D101)+COUNTA($G101:$L101)+COUNTA($Q101))&gt;0),"",IF(ISNUMBER($G101),IF(AND(ISNUMBER($AN101),$G101&gt;$AN101),"Cumplida con "&amp;($G101-$AN101)&amp;IF($G101-$AN101=1," día"," días")&amp;" de retraso","Cumplida"),IF(N($M101)&gt;=1,"Cumplida",IF(NOT(ISNUMBER($AN101)),"Sin fecha límite",IF($AN101&lt;FechaRef,"Vencida hace "&amp;(FechaRef-$AN101)&amp;IF(FechaRef-$AN101=1," día"," días"),IF($AN101=FechaRef,"Vence hoy",IF($AN101-FechaRef&lt;=DiasAlerta,"Vence en "&amp;($AN101-FechaRef)&amp;IF($AN101-FechaRef=1," día"," días"),"En plazo")))))))</f>
        <v/>
      </c>
      <c r="P101" s="62" t="n"/>
      <c r="Q101" s="58" t="n"/>
      <c r="R101" s="63">
        <f>IF(NOT((COUNTA($B101:$D101)+COUNTA($G101:$L101)+COUNTA($Q101))&gt;0),"",IF((IF($C101="","Falta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",""))="","✔ OK","⚠ "&amp;LEFT(IF($C101="","Falta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",""),LEN(IF($C101="","Falta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",""))-3)))</f>
        <v/>
      </c>
      <c r="S101" s="64">
        <f>IF(NOT((COUNTA($B101:$D101)+COUNTA($G101:$L101)+COUNTA($Q101))&gt;0),"",IF(AND($V101="Sub",N($U101)&gt;0),IF(ISNUMBER(INDEX($AM$5:$AM$1000,$U101-4)),DATE(YEAR(INDEX($AM$5:$AM$1000,$U101-4)),MONTH(INDEX($AM$5:$AM$1000,$U101-4)),1),IF(ISNUMBER(INDEX($AN$5:$AN$1000,$U101-4)),DATE(YEAR(INDEX($AN$5:$AN$1000,$U101-4)),MONTH(INDEX($AN$5:$AN$1000,$U101-4)),1),MesCiclo)),IF(ISNUMBER($AM101),DATE(YEAR($AM101),MONTH($AM101),1),IF(ISNUMBER($AN101),DATE(YEAR($AN101),MONTH($AN101),1),MesCiclo))))</f>
        <v/>
      </c>
      <c r="T101" s="62">
        <f>IF(OR($S101="",$S101&lt;&gt;MesCiclo),"",COUNTIF($S$5:$S101,MesCiclo))</f>
        <v/>
      </c>
      <c r="U101" s="62">
        <f>IF($V101="","",IF($V101="Macro",ROW(),IFERROR(LOOKUP(2,1/($V$5:$V101="Macro"),ROW($V$5:$V101)),0)))</f>
        <v/>
      </c>
      <c r="V101" s="62">
        <f>IF(NOT((COUNTA($B101:$D101)+COUNTA($G101:$L101)+COUNTA($Q101))&gt;0),"",IF($B101="Subactividad","Sub","Macro"))</f>
        <v/>
      </c>
      <c r="W101" s="62">
        <f>IF($V101="Macro",COUNTIFS($U$5:$U$1000,ROW(),$V$5:$V$1000,"Sub"),"")</f>
        <v/>
      </c>
      <c r="X101" s="62">
        <f>IF($V101="","",IF(ISNUMBER($G101),1,IFERROR(LOOKUP(2,1/($I101:$L101&lt;&gt;""),$I101:$L101),0)))</f>
        <v/>
      </c>
      <c r="Y101" s="62">
        <f>IF($V101="","",IF(AND(ISNUMBER($G101),$G101&lt;=IF($S101=MesCiclo,InicioCiclo,$S101+MOD(2-WEEKDAY($S101),7))+6),1,IF(ISNUMBER($I101),$I101,0)))</f>
        <v/>
      </c>
      <c r="Z101" s="62">
        <f>IF($V101="","",IF(AND(ISNUMBER($G101),$G101&lt;=IF($S101=MesCiclo,InicioCiclo,$S101+MOD(2-WEEKDAY($S101),7))+13),1,IF(ISNUMBER($J101),$J101,$Y101)))</f>
        <v/>
      </c>
      <c r="AA101" s="62">
        <f>IF($V101="","",IF(AND(ISNUMBER($G101),$G101&lt;=IF($S101=MesCiclo,InicioCiclo,$S101+MOD(2-WEEKDAY($S101),7))+20),1,IF(ISNUMBER($K101),$K101,$Z101)))</f>
        <v/>
      </c>
      <c r="AB101" s="62">
        <f>IF($V101="","",IF(AND(ISNUMBER($G101),$G101&lt;=IF($S101=MesCiclo,InicioCiclo,$S101+MOD(2-WEEKDAY($S101),7))+27),1,IF(ISNUMBER($L101),$L101,$AA101)))</f>
        <v/>
      </c>
      <c r="AC101" s="62">
        <f>IF($V101="","",IF(AND(ISNUMBER($G101),$G101&lt;=IF($S101=MesCiclo,InicioCiclo,$S101+MOD(2-WEEKDAY($S101),7))+6),1,IF(N($W101)&gt;0,AVERAGEIFS($Y$5:$Y$1000,$U$5:$U$1000,ROW(),$V$5:$V$1000,"Sub"),$Y101)))</f>
        <v/>
      </c>
      <c r="AD101" s="62">
        <f>IF($V101="","",IF(AND(ISNUMBER($G101),$G101&lt;=IF($S101=MesCiclo,InicioCiclo,$S101+MOD(2-WEEKDAY($S101),7))+13),1,IF(N($W101)&gt;0,AVERAGEIFS($Z$5:$Z$1000,$U$5:$U$1000,ROW(),$V$5:$V$1000,"Sub"),$Z101)))</f>
        <v/>
      </c>
      <c r="AE101" s="62">
        <f>IF($V101="","",IF(AND(ISNUMBER($G101),$G101&lt;=IF($S101=MesCiclo,InicioCiclo,$S101+MOD(2-WEEKDAY($S101),7))+20),1,IF(N($W101)&gt;0,AVERAGEIFS($AA$5:$AA$1000,$U$5:$U$1000,ROW(),$V$5:$V$1000,"Sub"),$AA101)))</f>
        <v/>
      </c>
      <c r="AF101" s="62">
        <f>IF($V101="","",IF(AND(ISNUMBER($G101),$G101&lt;=IF($S101=MesCiclo,InicioCiclo,$S101+MOD(2-WEEKDAY($S101),7))+27),1,IF(N($W101)&gt;0,AVERAGEIFS($AB$5:$AB$1000,$U$5:$U$1000,ROW(),$V$5:$V$1000,"Sub"),$AB101)))</f>
        <v/>
      </c>
      <c r="AG101" s="62">
        <f>IF($V101&lt;&gt;"Macro","",IF(COUNTIFS($S$5:$S$1000,$S101,$V$5:$V$1000,"Macro",$H$5:$H$1000,"&gt;0")=0,1/COUNTIFS($S$5:$S$1000,$S101,$V$5:$V$1000,"Macro"),IF(AND(ISNUMBER($H101),N($H101)&gt;0),$H101,SUMIFS($H$5:$H$1000,$S$5:$S$1000,$S101,$V$5:$V$1000,"Macro")/COUNTIFS($S$5:$S$1000,$S101,$V$5:$V$1000,"Macro",$H$5:$H$1000,"&gt;0"))/(COUNTIFS($S$5:$S$1000,$S101,$V$5:$V$1000,"Macro")*SUMIFS($H$5:$H$1000,$S$5:$S$1000,$S101,$V$5:$V$1000,"Macro")/COUNTIFS($S$5:$S$1000,$S101,$V$5:$V$1000,"Macro",$H$5:$H$1000,"&gt;0"))))</f>
        <v/>
      </c>
      <c r="AH101" s="62" t="n"/>
      <c r="AI101" s="62" t="n"/>
      <c r="AJ101" s="62" t="n"/>
      <c r="AK101" s="62" t="n"/>
      <c r="AL101" s="62">
        <f>IF(LEFT($C101,11)="[Jefatura] ",IFERROR(MATCH("Riesgo Normativo|"&amp;MID($C101,12,500),rDname_ADM,0),0),"")</f>
        <v/>
      </c>
      <c r="AM101" s="62">
        <f>IF(N($AL101)&gt;0,INDEX(rIni_ADM,$AL101),IF(ISNUMBER($E101),$E101,""))</f>
        <v/>
      </c>
      <c r="AN101" s="62">
        <f>IF(N($AL101)&gt;0,INDEX(rLim_ADM,$AL101),IF(ISNUMBER($F101),$F101,""))</f>
        <v/>
      </c>
    </row>
    <row r="102">
      <c r="A102" s="56">
        <f>IF(NOT((COUNTA($B102:$D102)+COUNTA($G102:$L102)+COUNTA($Q102))&gt;0),"",IF($V102="Macro",COUNTIFS($V$5:$V102,"Macro",$S$5:$S102,$S102),IF(N($U102)=0,"?",COUNTIFS(INDEX($V$5:$V$1000,1):INDEX($V$5:$V$1000,$U102-4),"Macro",INDEX($S$5:$S$1000,1):INDEX($S$5:$S$1000,$U102-4),INDEX($S$5:$S$1000,$U102-4))&amp;"."&amp;COUNTIFS($U$5:$U102,$U102,$V$5:$V102,"Sub"))))</f>
        <v/>
      </c>
      <c r="B102" s="57" t="n"/>
      <c r="C102" s="58" t="n"/>
      <c r="D102" s="58" t="n"/>
      <c r="E102" s="59">
        <f>IF(N($AL102)&gt;0,INDEX(rIni_ADM,$AL102),"")</f>
        <v/>
      </c>
      <c r="F102" s="59">
        <f>IF(N($AL102)&gt;0,INDEX(rLim_ADM,$AL102),"")</f>
        <v/>
      </c>
      <c r="G102" s="59" t="n"/>
      <c r="H102" s="60" t="n"/>
      <c r="I102" s="60" t="n"/>
      <c r="J102" s="60" t="n"/>
      <c r="K102" s="60" t="n"/>
      <c r="L102" s="60" t="n"/>
      <c r="M102" s="61">
        <f>IF(NOT((COUNTA($B102:$D102)+COUNTA($G102:$L102)+COUNTA($Q102))&gt;0),"",IF(ISNUMBER($G102),1,IF(N($W102)&gt;0,AVERAGEIFS($X$5:$X$1000,$U$5:$U$1000,ROW(),$V$5:$V$1000,"Sub"),$X102)))</f>
        <v/>
      </c>
      <c r="N102" s="56">
        <f>IF($M102="","",IF($M102&gt;=1,"Completado",IF($M102&gt;0,"En curso","Pendiente")))</f>
        <v/>
      </c>
      <c r="O102" s="56">
        <f>IF(NOT((COUNTA($B102:$D102)+COUNTA($G102:$L102)+COUNTA($Q102))&gt;0),"",IF(ISNUMBER($G102),IF(AND(ISNUMBER($AN102),$G102&gt;$AN102),"Cumplida con "&amp;($G102-$AN102)&amp;IF($G102-$AN102=1," día"," días")&amp;" de retraso","Cumplida"),IF(N($M102)&gt;=1,"Cumplida",IF(NOT(ISNUMBER($AN102)),"Sin fecha límite",IF($AN102&lt;FechaRef,"Vencida hace "&amp;(FechaRef-$AN102)&amp;IF(FechaRef-$AN102=1," día"," días"),IF($AN102=FechaRef,"Vence hoy",IF($AN102-FechaRef&lt;=DiasAlerta,"Vence en "&amp;($AN102-FechaRef)&amp;IF($AN102-FechaRef=1," día"," días"),"En plazo")))))))</f>
        <v/>
      </c>
      <c r="P102" s="62" t="n"/>
      <c r="Q102" s="58" t="n"/>
      <c r="R102" s="63">
        <f>IF(NOT((COUNTA($B102:$D102)+COUNTA($G102:$L102)+COUNTA($Q102))&gt;0),"",IF((IF($C102="","Falta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",""))="","✔ OK","⚠ "&amp;LEFT(IF($C102="","Falta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",""),LEN(IF($C102="","Falta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",""))-3)))</f>
        <v/>
      </c>
      <c r="S102" s="64">
        <f>IF(NOT((COUNTA($B102:$D102)+COUNTA($G102:$L102)+COUNTA($Q102))&gt;0),"",IF(AND($V102="Sub",N($U102)&gt;0),IF(ISNUMBER(INDEX($AM$5:$AM$1000,$U102-4)),DATE(YEAR(INDEX($AM$5:$AM$1000,$U102-4)),MONTH(INDEX($AM$5:$AM$1000,$U102-4)),1),IF(ISNUMBER(INDEX($AN$5:$AN$1000,$U102-4)),DATE(YEAR(INDEX($AN$5:$AN$1000,$U102-4)),MONTH(INDEX($AN$5:$AN$1000,$U102-4)),1),MesCiclo)),IF(ISNUMBER($AM102),DATE(YEAR($AM102),MONTH($AM102),1),IF(ISNUMBER($AN102),DATE(YEAR($AN102),MONTH($AN102),1),MesCiclo))))</f>
        <v/>
      </c>
      <c r="T102" s="62">
        <f>IF(OR($S102="",$S102&lt;&gt;MesCiclo),"",COUNTIF($S$5:$S102,MesCiclo))</f>
        <v/>
      </c>
      <c r="U102" s="62">
        <f>IF($V102="","",IF($V102="Macro",ROW(),IFERROR(LOOKUP(2,1/($V$5:$V102="Macro"),ROW($V$5:$V102)),0)))</f>
        <v/>
      </c>
      <c r="V102" s="62">
        <f>IF(NOT((COUNTA($B102:$D102)+COUNTA($G102:$L102)+COUNTA($Q102))&gt;0),"",IF($B102="Subactividad","Sub","Macro"))</f>
        <v/>
      </c>
      <c r="W102" s="62">
        <f>IF($V102="Macro",COUNTIFS($U$5:$U$1000,ROW(),$V$5:$V$1000,"Sub"),"")</f>
        <v/>
      </c>
      <c r="X102" s="62">
        <f>IF($V102="","",IF(ISNUMBER($G102),1,IFERROR(LOOKUP(2,1/($I102:$L102&lt;&gt;""),$I102:$L102),0)))</f>
        <v/>
      </c>
      <c r="Y102" s="62">
        <f>IF($V102="","",IF(AND(ISNUMBER($G102),$G102&lt;=IF($S102=MesCiclo,InicioCiclo,$S102+MOD(2-WEEKDAY($S102),7))+6),1,IF(ISNUMBER($I102),$I102,0)))</f>
        <v/>
      </c>
      <c r="Z102" s="62">
        <f>IF($V102="","",IF(AND(ISNUMBER($G102),$G102&lt;=IF($S102=MesCiclo,InicioCiclo,$S102+MOD(2-WEEKDAY($S102),7))+13),1,IF(ISNUMBER($J102),$J102,$Y102)))</f>
        <v/>
      </c>
      <c r="AA102" s="62">
        <f>IF($V102="","",IF(AND(ISNUMBER($G102),$G102&lt;=IF($S102=MesCiclo,InicioCiclo,$S102+MOD(2-WEEKDAY($S102),7))+20),1,IF(ISNUMBER($K102),$K102,$Z102)))</f>
        <v/>
      </c>
      <c r="AB102" s="62">
        <f>IF($V102="","",IF(AND(ISNUMBER($G102),$G102&lt;=IF($S102=MesCiclo,InicioCiclo,$S102+MOD(2-WEEKDAY($S102),7))+27),1,IF(ISNUMBER($L102),$L102,$AA102)))</f>
        <v/>
      </c>
      <c r="AC102" s="62">
        <f>IF($V102="","",IF(AND(ISNUMBER($G102),$G102&lt;=IF($S102=MesCiclo,InicioCiclo,$S102+MOD(2-WEEKDAY($S102),7))+6),1,IF(N($W102)&gt;0,AVERAGEIFS($Y$5:$Y$1000,$U$5:$U$1000,ROW(),$V$5:$V$1000,"Sub"),$Y102)))</f>
        <v/>
      </c>
      <c r="AD102" s="62">
        <f>IF($V102="","",IF(AND(ISNUMBER($G102),$G102&lt;=IF($S102=MesCiclo,InicioCiclo,$S102+MOD(2-WEEKDAY($S102),7))+13),1,IF(N($W102)&gt;0,AVERAGEIFS($Z$5:$Z$1000,$U$5:$U$1000,ROW(),$V$5:$V$1000,"Sub"),$Z102)))</f>
        <v/>
      </c>
      <c r="AE102" s="62">
        <f>IF($V102="","",IF(AND(ISNUMBER($G102),$G102&lt;=IF($S102=MesCiclo,InicioCiclo,$S102+MOD(2-WEEKDAY($S102),7))+20),1,IF(N($W102)&gt;0,AVERAGEIFS($AA$5:$AA$1000,$U$5:$U$1000,ROW(),$V$5:$V$1000,"Sub"),$AA102)))</f>
        <v/>
      </c>
      <c r="AF102" s="62">
        <f>IF($V102="","",IF(AND(ISNUMBER($G102),$G102&lt;=IF($S102=MesCiclo,InicioCiclo,$S102+MOD(2-WEEKDAY($S102),7))+27),1,IF(N($W102)&gt;0,AVERAGEIFS($AB$5:$AB$1000,$U$5:$U$1000,ROW(),$V$5:$V$1000,"Sub"),$AB102)))</f>
        <v/>
      </c>
      <c r="AG102" s="62">
        <f>IF($V102&lt;&gt;"Macro","",IF(COUNTIFS($S$5:$S$1000,$S102,$V$5:$V$1000,"Macro",$H$5:$H$1000,"&gt;0")=0,1/COUNTIFS($S$5:$S$1000,$S102,$V$5:$V$1000,"Macro"),IF(AND(ISNUMBER($H102),N($H102)&gt;0),$H102,SUMIFS($H$5:$H$1000,$S$5:$S$1000,$S102,$V$5:$V$1000,"Macro")/COUNTIFS($S$5:$S$1000,$S102,$V$5:$V$1000,"Macro",$H$5:$H$1000,"&gt;0"))/(COUNTIFS($S$5:$S$1000,$S102,$V$5:$V$1000,"Macro")*SUMIFS($H$5:$H$1000,$S$5:$S$1000,$S102,$V$5:$V$1000,"Macro")/COUNTIFS($S$5:$S$1000,$S102,$V$5:$V$1000,"Macro",$H$5:$H$1000,"&gt;0"))))</f>
        <v/>
      </c>
      <c r="AH102" s="62" t="n"/>
      <c r="AI102" s="62" t="n"/>
      <c r="AJ102" s="62" t="n"/>
      <c r="AK102" s="62" t="n"/>
      <c r="AL102" s="62">
        <f>IF(LEFT($C102,11)="[Jefatura] ",IFERROR(MATCH("Riesgo Normativo|"&amp;MID($C102,12,500),rDname_ADM,0),0),"")</f>
        <v/>
      </c>
      <c r="AM102" s="62">
        <f>IF(N($AL102)&gt;0,INDEX(rIni_ADM,$AL102),IF(ISNUMBER($E102),$E102,""))</f>
        <v/>
      </c>
      <c r="AN102" s="62">
        <f>IF(N($AL102)&gt;0,INDEX(rLim_ADM,$AL102),IF(ISNUMBER($F102),$F102,""))</f>
        <v/>
      </c>
    </row>
    <row r="103">
      <c r="A103" s="56">
        <f>IF(NOT((COUNTA($B103:$D103)+COUNTA($G103:$L103)+COUNTA($Q103))&gt;0),"",IF($V103="Macro",COUNTIFS($V$5:$V103,"Macro",$S$5:$S103,$S103),IF(N($U103)=0,"?",COUNTIFS(INDEX($V$5:$V$1000,1):INDEX($V$5:$V$1000,$U103-4),"Macro",INDEX($S$5:$S$1000,1):INDEX($S$5:$S$1000,$U103-4),INDEX($S$5:$S$1000,$U103-4))&amp;"."&amp;COUNTIFS($U$5:$U103,$U103,$V$5:$V103,"Sub"))))</f>
        <v/>
      </c>
      <c r="B103" s="57" t="n"/>
      <c r="C103" s="58" t="n"/>
      <c r="D103" s="58" t="n"/>
      <c r="E103" s="59">
        <f>IF(N($AL103)&gt;0,INDEX(rIni_ADM,$AL103),"")</f>
        <v/>
      </c>
      <c r="F103" s="59">
        <f>IF(N($AL103)&gt;0,INDEX(rLim_ADM,$AL103),"")</f>
        <v/>
      </c>
      <c r="G103" s="59" t="n"/>
      <c r="H103" s="60" t="n"/>
      <c r="I103" s="60" t="n"/>
      <c r="J103" s="60" t="n"/>
      <c r="K103" s="60" t="n"/>
      <c r="L103" s="60" t="n"/>
      <c r="M103" s="61">
        <f>IF(NOT((COUNTA($B103:$D103)+COUNTA($G103:$L103)+COUNTA($Q103))&gt;0),"",IF(ISNUMBER($G103),1,IF(N($W103)&gt;0,AVERAGEIFS($X$5:$X$1000,$U$5:$U$1000,ROW(),$V$5:$V$1000,"Sub"),$X103)))</f>
        <v/>
      </c>
      <c r="N103" s="56">
        <f>IF($M103="","",IF($M103&gt;=1,"Completado",IF($M103&gt;0,"En curso","Pendiente")))</f>
        <v/>
      </c>
      <c r="O103" s="56">
        <f>IF(NOT((COUNTA($B103:$D103)+COUNTA($G103:$L103)+COUNTA($Q103))&gt;0),"",IF(ISNUMBER($G103),IF(AND(ISNUMBER($AN103),$G103&gt;$AN103),"Cumplida con "&amp;($G103-$AN103)&amp;IF($G103-$AN103=1," día"," días")&amp;" de retraso","Cumplida"),IF(N($M103)&gt;=1,"Cumplida",IF(NOT(ISNUMBER($AN103)),"Sin fecha límite",IF($AN103&lt;FechaRef,"Vencida hace "&amp;(FechaRef-$AN103)&amp;IF(FechaRef-$AN103=1," día"," días"),IF($AN103=FechaRef,"Vence hoy",IF($AN103-FechaRef&lt;=DiasAlerta,"Vence en "&amp;($AN103-FechaRef)&amp;IF($AN103-FechaRef=1," día"," días"),"En plazo")))))))</f>
        <v/>
      </c>
      <c r="P103" s="62" t="n"/>
      <c r="Q103" s="58" t="n"/>
      <c r="R103" s="63">
        <f>IF(NOT((COUNTA($B103:$D103)+COUNTA($G103:$L103)+COUNTA($Q103))&gt;0),"",IF((IF($C103="","Falta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",""))="","✔ OK","⚠ "&amp;LEFT(IF($C103="","Falta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",""),LEN(IF($C103="","Falta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",""))-3)))</f>
        <v/>
      </c>
      <c r="S103" s="64">
        <f>IF(NOT((COUNTA($B103:$D103)+COUNTA($G103:$L103)+COUNTA($Q103))&gt;0),"",IF(AND($V103="Sub",N($U103)&gt;0),IF(ISNUMBER(INDEX($AM$5:$AM$1000,$U103-4)),DATE(YEAR(INDEX($AM$5:$AM$1000,$U103-4)),MONTH(INDEX($AM$5:$AM$1000,$U103-4)),1),IF(ISNUMBER(INDEX($AN$5:$AN$1000,$U103-4)),DATE(YEAR(INDEX($AN$5:$AN$1000,$U103-4)),MONTH(INDEX($AN$5:$AN$1000,$U103-4)),1),MesCiclo)),IF(ISNUMBER($AM103),DATE(YEAR($AM103),MONTH($AM103),1),IF(ISNUMBER($AN103),DATE(YEAR($AN103),MONTH($AN103),1),MesCiclo))))</f>
        <v/>
      </c>
      <c r="T103" s="62">
        <f>IF(OR($S103="",$S103&lt;&gt;MesCiclo),"",COUNTIF($S$5:$S103,MesCiclo))</f>
        <v/>
      </c>
      <c r="U103" s="62">
        <f>IF($V103="","",IF($V103="Macro",ROW(),IFERROR(LOOKUP(2,1/($V$5:$V103="Macro"),ROW($V$5:$V103)),0)))</f>
        <v/>
      </c>
      <c r="V103" s="62">
        <f>IF(NOT((COUNTA($B103:$D103)+COUNTA($G103:$L103)+COUNTA($Q103))&gt;0),"",IF($B103="Subactividad","Sub","Macro"))</f>
        <v/>
      </c>
      <c r="W103" s="62">
        <f>IF($V103="Macro",COUNTIFS($U$5:$U$1000,ROW(),$V$5:$V$1000,"Sub"),"")</f>
        <v/>
      </c>
      <c r="X103" s="62">
        <f>IF($V103="","",IF(ISNUMBER($G103),1,IFERROR(LOOKUP(2,1/($I103:$L103&lt;&gt;""),$I103:$L103),0)))</f>
        <v/>
      </c>
      <c r="Y103" s="62">
        <f>IF($V103="","",IF(AND(ISNUMBER($G103),$G103&lt;=IF($S103=MesCiclo,InicioCiclo,$S103+MOD(2-WEEKDAY($S103),7))+6),1,IF(ISNUMBER($I103),$I103,0)))</f>
        <v/>
      </c>
      <c r="Z103" s="62">
        <f>IF($V103="","",IF(AND(ISNUMBER($G103),$G103&lt;=IF($S103=MesCiclo,InicioCiclo,$S103+MOD(2-WEEKDAY($S103),7))+13),1,IF(ISNUMBER($J103),$J103,$Y103)))</f>
        <v/>
      </c>
      <c r="AA103" s="62">
        <f>IF($V103="","",IF(AND(ISNUMBER($G103),$G103&lt;=IF($S103=MesCiclo,InicioCiclo,$S103+MOD(2-WEEKDAY($S103),7))+20),1,IF(ISNUMBER($K103),$K103,$Z103)))</f>
        <v/>
      </c>
      <c r="AB103" s="62">
        <f>IF($V103="","",IF(AND(ISNUMBER($G103),$G103&lt;=IF($S103=MesCiclo,InicioCiclo,$S103+MOD(2-WEEKDAY($S103),7))+27),1,IF(ISNUMBER($L103),$L103,$AA103)))</f>
        <v/>
      </c>
      <c r="AC103" s="62">
        <f>IF($V103="","",IF(AND(ISNUMBER($G103),$G103&lt;=IF($S103=MesCiclo,InicioCiclo,$S103+MOD(2-WEEKDAY($S103),7))+6),1,IF(N($W103)&gt;0,AVERAGEIFS($Y$5:$Y$1000,$U$5:$U$1000,ROW(),$V$5:$V$1000,"Sub"),$Y103)))</f>
        <v/>
      </c>
      <c r="AD103" s="62">
        <f>IF($V103="","",IF(AND(ISNUMBER($G103),$G103&lt;=IF($S103=MesCiclo,InicioCiclo,$S103+MOD(2-WEEKDAY($S103),7))+13),1,IF(N($W103)&gt;0,AVERAGEIFS($Z$5:$Z$1000,$U$5:$U$1000,ROW(),$V$5:$V$1000,"Sub"),$Z103)))</f>
        <v/>
      </c>
      <c r="AE103" s="62">
        <f>IF($V103="","",IF(AND(ISNUMBER($G103),$G103&lt;=IF($S103=MesCiclo,InicioCiclo,$S103+MOD(2-WEEKDAY($S103),7))+20),1,IF(N($W103)&gt;0,AVERAGEIFS($AA$5:$AA$1000,$U$5:$U$1000,ROW(),$V$5:$V$1000,"Sub"),$AA103)))</f>
        <v/>
      </c>
      <c r="AF103" s="62">
        <f>IF($V103="","",IF(AND(ISNUMBER($G103),$G103&lt;=IF($S103=MesCiclo,InicioCiclo,$S103+MOD(2-WEEKDAY($S103),7))+27),1,IF(N($W103)&gt;0,AVERAGEIFS($AB$5:$AB$1000,$U$5:$U$1000,ROW(),$V$5:$V$1000,"Sub"),$AB103)))</f>
        <v/>
      </c>
      <c r="AG103" s="62">
        <f>IF($V103&lt;&gt;"Macro","",IF(COUNTIFS($S$5:$S$1000,$S103,$V$5:$V$1000,"Macro",$H$5:$H$1000,"&gt;0")=0,1/COUNTIFS($S$5:$S$1000,$S103,$V$5:$V$1000,"Macro"),IF(AND(ISNUMBER($H103),N($H103)&gt;0),$H103,SUMIFS($H$5:$H$1000,$S$5:$S$1000,$S103,$V$5:$V$1000,"Macro")/COUNTIFS($S$5:$S$1000,$S103,$V$5:$V$1000,"Macro",$H$5:$H$1000,"&gt;0"))/(COUNTIFS($S$5:$S$1000,$S103,$V$5:$V$1000,"Macro")*SUMIFS($H$5:$H$1000,$S$5:$S$1000,$S103,$V$5:$V$1000,"Macro")/COUNTIFS($S$5:$S$1000,$S103,$V$5:$V$1000,"Macro",$H$5:$H$1000,"&gt;0"))))</f>
        <v/>
      </c>
      <c r="AH103" s="62" t="n"/>
      <c r="AI103" s="62" t="n"/>
      <c r="AJ103" s="62" t="n"/>
      <c r="AK103" s="62" t="n"/>
      <c r="AL103" s="62">
        <f>IF(LEFT($C103,11)="[Jefatura] ",IFERROR(MATCH("Riesgo Normativo|"&amp;MID($C103,12,500),rDname_ADM,0),0),"")</f>
        <v/>
      </c>
      <c r="AM103" s="62">
        <f>IF(N($AL103)&gt;0,INDEX(rIni_ADM,$AL103),IF(ISNUMBER($E103),$E103,""))</f>
        <v/>
      </c>
      <c r="AN103" s="62">
        <f>IF(N($AL103)&gt;0,INDEX(rLim_ADM,$AL103),IF(ISNUMBER($F103),$F103,""))</f>
        <v/>
      </c>
    </row>
    <row r="104">
      <c r="A104" s="56">
        <f>IF(NOT((COUNTA($B104:$D104)+COUNTA($G104:$L104)+COUNTA($Q104))&gt;0),"",IF($V104="Macro",COUNTIFS($V$5:$V104,"Macro",$S$5:$S104,$S104),IF(N($U104)=0,"?",COUNTIFS(INDEX($V$5:$V$1000,1):INDEX($V$5:$V$1000,$U104-4),"Macro",INDEX($S$5:$S$1000,1):INDEX($S$5:$S$1000,$U104-4),INDEX($S$5:$S$1000,$U104-4))&amp;"."&amp;COUNTIFS($U$5:$U104,$U104,$V$5:$V104,"Sub"))))</f>
        <v/>
      </c>
      <c r="B104" s="57" t="n"/>
      <c r="C104" s="58" t="n"/>
      <c r="D104" s="58" t="n"/>
      <c r="E104" s="59">
        <f>IF(N($AL104)&gt;0,INDEX(rIni_ADM,$AL104),"")</f>
        <v/>
      </c>
      <c r="F104" s="59">
        <f>IF(N($AL104)&gt;0,INDEX(rLim_ADM,$AL104),"")</f>
        <v/>
      </c>
      <c r="G104" s="59" t="n"/>
      <c r="H104" s="60" t="n"/>
      <c r="I104" s="60" t="n"/>
      <c r="J104" s="60" t="n"/>
      <c r="K104" s="60" t="n"/>
      <c r="L104" s="60" t="n"/>
      <c r="M104" s="61">
        <f>IF(NOT((COUNTA($B104:$D104)+COUNTA($G104:$L104)+COUNTA($Q104))&gt;0),"",IF(ISNUMBER($G104),1,IF(N($W104)&gt;0,AVERAGEIFS($X$5:$X$1000,$U$5:$U$1000,ROW(),$V$5:$V$1000,"Sub"),$X104)))</f>
        <v/>
      </c>
      <c r="N104" s="56">
        <f>IF($M104="","",IF($M104&gt;=1,"Completado",IF($M104&gt;0,"En curso","Pendiente")))</f>
        <v/>
      </c>
      <c r="O104" s="56">
        <f>IF(NOT((COUNTA($B104:$D104)+COUNTA($G104:$L104)+COUNTA($Q104))&gt;0),"",IF(ISNUMBER($G104),IF(AND(ISNUMBER($AN104),$G104&gt;$AN104),"Cumplida con "&amp;($G104-$AN104)&amp;IF($G104-$AN104=1," día"," días")&amp;" de retraso","Cumplida"),IF(N($M104)&gt;=1,"Cumplida",IF(NOT(ISNUMBER($AN104)),"Sin fecha límite",IF($AN104&lt;FechaRef,"Vencida hace "&amp;(FechaRef-$AN104)&amp;IF(FechaRef-$AN104=1," día"," días"),IF($AN104=FechaRef,"Vence hoy",IF($AN104-FechaRef&lt;=DiasAlerta,"Vence en "&amp;($AN104-FechaRef)&amp;IF($AN104-FechaRef=1," día"," días"),"En plazo")))))))</f>
        <v/>
      </c>
      <c r="P104" s="62" t="n"/>
      <c r="Q104" s="58" t="n"/>
      <c r="R104" s="63">
        <f>IF(NOT((COUNTA($B104:$D104)+COUNTA($G104:$L104)+COUNTA($Q104))&gt;0),"",IF((IF($C104="","Falta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",""))="","✔ OK","⚠ "&amp;LEFT(IF($C104="","Falta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",""),LEN(IF($C104="","Falta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",""))-3)))</f>
        <v/>
      </c>
      <c r="S104" s="64">
        <f>IF(NOT((COUNTA($B104:$D104)+COUNTA($G104:$L104)+COUNTA($Q104))&gt;0),"",IF(AND($V104="Sub",N($U104)&gt;0),IF(ISNUMBER(INDEX($AM$5:$AM$1000,$U104-4)),DATE(YEAR(INDEX($AM$5:$AM$1000,$U104-4)),MONTH(INDEX($AM$5:$AM$1000,$U104-4)),1),IF(ISNUMBER(INDEX($AN$5:$AN$1000,$U104-4)),DATE(YEAR(INDEX($AN$5:$AN$1000,$U104-4)),MONTH(INDEX($AN$5:$AN$1000,$U104-4)),1),MesCiclo)),IF(ISNUMBER($AM104),DATE(YEAR($AM104),MONTH($AM104),1),IF(ISNUMBER($AN104),DATE(YEAR($AN104),MONTH($AN104),1),MesCiclo))))</f>
        <v/>
      </c>
      <c r="T104" s="62">
        <f>IF(OR($S104="",$S104&lt;&gt;MesCiclo),"",COUNTIF($S$5:$S104,MesCiclo))</f>
        <v/>
      </c>
      <c r="U104" s="62">
        <f>IF($V104="","",IF($V104="Macro",ROW(),IFERROR(LOOKUP(2,1/($V$5:$V104="Macro"),ROW($V$5:$V104)),0)))</f>
        <v/>
      </c>
      <c r="V104" s="62">
        <f>IF(NOT((COUNTA($B104:$D104)+COUNTA($G104:$L104)+COUNTA($Q104))&gt;0),"",IF($B104="Subactividad","Sub","Macro"))</f>
        <v/>
      </c>
      <c r="W104" s="62">
        <f>IF($V104="Macro",COUNTIFS($U$5:$U$1000,ROW(),$V$5:$V$1000,"Sub"),"")</f>
        <v/>
      </c>
      <c r="X104" s="62">
        <f>IF($V104="","",IF(ISNUMBER($G104),1,IFERROR(LOOKUP(2,1/($I104:$L104&lt;&gt;""),$I104:$L104),0)))</f>
        <v/>
      </c>
      <c r="Y104" s="62">
        <f>IF($V104="","",IF(AND(ISNUMBER($G104),$G104&lt;=IF($S104=MesCiclo,InicioCiclo,$S104+MOD(2-WEEKDAY($S104),7))+6),1,IF(ISNUMBER($I104),$I104,0)))</f>
        <v/>
      </c>
      <c r="Z104" s="62">
        <f>IF($V104="","",IF(AND(ISNUMBER($G104),$G104&lt;=IF($S104=MesCiclo,InicioCiclo,$S104+MOD(2-WEEKDAY($S104),7))+13),1,IF(ISNUMBER($J104),$J104,$Y104)))</f>
        <v/>
      </c>
      <c r="AA104" s="62">
        <f>IF($V104="","",IF(AND(ISNUMBER($G104),$G104&lt;=IF($S104=MesCiclo,InicioCiclo,$S104+MOD(2-WEEKDAY($S104),7))+20),1,IF(ISNUMBER($K104),$K104,$Z104)))</f>
        <v/>
      </c>
      <c r="AB104" s="62">
        <f>IF($V104="","",IF(AND(ISNUMBER($G104),$G104&lt;=IF($S104=MesCiclo,InicioCiclo,$S104+MOD(2-WEEKDAY($S104),7))+27),1,IF(ISNUMBER($L104),$L104,$AA104)))</f>
        <v/>
      </c>
      <c r="AC104" s="62">
        <f>IF($V104="","",IF(AND(ISNUMBER($G104),$G104&lt;=IF($S104=MesCiclo,InicioCiclo,$S104+MOD(2-WEEKDAY($S104),7))+6),1,IF(N($W104)&gt;0,AVERAGEIFS($Y$5:$Y$1000,$U$5:$U$1000,ROW(),$V$5:$V$1000,"Sub"),$Y104)))</f>
        <v/>
      </c>
      <c r="AD104" s="62">
        <f>IF($V104="","",IF(AND(ISNUMBER($G104),$G104&lt;=IF($S104=MesCiclo,InicioCiclo,$S104+MOD(2-WEEKDAY($S104),7))+13),1,IF(N($W104)&gt;0,AVERAGEIFS($Z$5:$Z$1000,$U$5:$U$1000,ROW(),$V$5:$V$1000,"Sub"),$Z104)))</f>
        <v/>
      </c>
      <c r="AE104" s="62">
        <f>IF($V104="","",IF(AND(ISNUMBER($G104),$G104&lt;=IF($S104=MesCiclo,InicioCiclo,$S104+MOD(2-WEEKDAY($S104),7))+20),1,IF(N($W104)&gt;0,AVERAGEIFS($AA$5:$AA$1000,$U$5:$U$1000,ROW(),$V$5:$V$1000,"Sub"),$AA104)))</f>
        <v/>
      </c>
      <c r="AF104" s="62">
        <f>IF($V104="","",IF(AND(ISNUMBER($G104),$G104&lt;=IF($S104=MesCiclo,InicioCiclo,$S104+MOD(2-WEEKDAY($S104),7))+27),1,IF(N($W104)&gt;0,AVERAGEIFS($AB$5:$AB$1000,$U$5:$U$1000,ROW(),$V$5:$V$1000,"Sub"),$AB104)))</f>
        <v/>
      </c>
      <c r="AG104" s="62">
        <f>IF($V104&lt;&gt;"Macro","",IF(COUNTIFS($S$5:$S$1000,$S104,$V$5:$V$1000,"Macro",$H$5:$H$1000,"&gt;0")=0,1/COUNTIFS($S$5:$S$1000,$S104,$V$5:$V$1000,"Macro"),IF(AND(ISNUMBER($H104),N($H104)&gt;0),$H104,SUMIFS($H$5:$H$1000,$S$5:$S$1000,$S104,$V$5:$V$1000,"Macro")/COUNTIFS($S$5:$S$1000,$S104,$V$5:$V$1000,"Macro",$H$5:$H$1000,"&gt;0"))/(COUNTIFS($S$5:$S$1000,$S104,$V$5:$V$1000,"Macro")*SUMIFS($H$5:$H$1000,$S$5:$S$1000,$S104,$V$5:$V$1000,"Macro")/COUNTIFS($S$5:$S$1000,$S104,$V$5:$V$1000,"Macro",$H$5:$H$1000,"&gt;0"))))</f>
        <v/>
      </c>
      <c r="AH104" s="62" t="n"/>
      <c r="AI104" s="62" t="n"/>
      <c r="AJ104" s="62" t="n"/>
      <c r="AK104" s="62" t="n"/>
      <c r="AL104" s="62">
        <f>IF(LEFT($C104,11)="[Jefatura] ",IFERROR(MATCH("Riesgo Normativo|"&amp;MID($C104,12,500),rDname_ADM,0),0),"")</f>
        <v/>
      </c>
      <c r="AM104" s="62">
        <f>IF(N($AL104)&gt;0,INDEX(rIni_ADM,$AL104),IF(ISNUMBER($E104),$E104,""))</f>
        <v/>
      </c>
      <c r="AN104" s="62">
        <f>IF(N($AL104)&gt;0,INDEX(rLim_ADM,$AL104),IF(ISNUMBER($F104),$F104,""))</f>
        <v/>
      </c>
    </row>
    <row r="105">
      <c r="A105" s="56">
        <f>IF(NOT((COUNTA($B105:$D105)+COUNTA($G105:$L105)+COUNTA($Q105))&gt;0),"",IF($V105="Macro",COUNTIFS($V$5:$V105,"Macro",$S$5:$S105,$S105),IF(N($U105)=0,"?",COUNTIFS(INDEX($V$5:$V$1000,1):INDEX($V$5:$V$1000,$U105-4),"Macro",INDEX($S$5:$S$1000,1):INDEX($S$5:$S$1000,$U105-4),INDEX($S$5:$S$1000,$U105-4))&amp;"."&amp;COUNTIFS($U$5:$U105,$U105,$V$5:$V105,"Sub"))))</f>
        <v/>
      </c>
      <c r="B105" s="57" t="n"/>
      <c r="C105" s="58" t="n"/>
      <c r="D105" s="58" t="n"/>
      <c r="E105" s="59">
        <f>IF(N($AL105)&gt;0,INDEX(rIni_ADM,$AL105),"")</f>
        <v/>
      </c>
      <c r="F105" s="59">
        <f>IF(N($AL105)&gt;0,INDEX(rLim_ADM,$AL105),"")</f>
        <v/>
      </c>
      <c r="G105" s="59" t="n"/>
      <c r="H105" s="60" t="n"/>
      <c r="I105" s="60" t="n"/>
      <c r="J105" s="60" t="n"/>
      <c r="K105" s="60" t="n"/>
      <c r="L105" s="60" t="n"/>
      <c r="M105" s="61">
        <f>IF(NOT((COUNTA($B105:$D105)+COUNTA($G105:$L105)+COUNTA($Q105))&gt;0),"",IF(ISNUMBER($G105),1,IF(N($W105)&gt;0,AVERAGEIFS($X$5:$X$1000,$U$5:$U$1000,ROW(),$V$5:$V$1000,"Sub"),$X105)))</f>
        <v/>
      </c>
      <c r="N105" s="56">
        <f>IF($M105="","",IF($M105&gt;=1,"Completado",IF($M105&gt;0,"En curso","Pendiente")))</f>
        <v/>
      </c>
      <c r="O105" s="56">
        <f>IF(NOT((COUNTA($B105:$D105)+COUNTA($G105:$L105)+COUNTA($Q105))&gt;0),"",IF(ISNUMBER($G105),IF(AND(ISNUMBER($AN105),$G105&gt;$AN105),"Cumplida con "&amp;($G105-$AN105)&amp;IF($G105-$AN105=1," día"," días")&amp;" de retraso","Cumplida"),IF(N($M105)&gt;=1,"Cumplida",IF(NOT(ISNUMBER($AN105)),"Sin fecha límite",IF($AN105&lt;FechaRef,"Vencida hace "&amp;(FechaRef-$AN105)&amp;IF(FechaRef-$AN105=1," día"," días"),IF($AN105=FechaRef,"Vence hoy",IF($AN105-FechaRef&lt;=DiasAlerta,"Vence en "&amp;($AN105-FechaRef)&amp;IF($AN105-FechaRef=1," día"," días"),"En plazo")))))))</f>
        <v/>
      </c>
      <c r="P105" s="62" t="n"/>
      <c r="Q105" s="58" t="n"/>
      <c r="R105" s="63">
        <f>IF(NOT((COUNTA($B105:$D105)+COUNTA($G105:$L105)+COUNTA($Q105))&gt;0),"",IF((IF($C105="","Falta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",""))="","✔ OK","⚠ "&amp;LEFT(IF($C105="","Falta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",""),LEN(IF($C105="","Falta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",""))-3)))</f>
        <v/>
      </c>
      <c r="S105" s="64">
        <f>IF(NOT((COUNTA($B105:$D105)+COUNTA($G105:$L105)+COUNTA($Q105))&gt;0),"",IF(AND($V105="Sub",N($U105)&gt;0),IF(ISNUMBER(INDEX($AM$5:$AM$1000,$U105-4)),DATE(YEAR(INDEX($AM$5:$AM$1000,$U105-4)),MONTH(INDEX($AM$5:$AM$1000,$U105-4)),1),IF(ISNUMBER(INDEX($AN$5:$AN$1000,$U105-4)),DATE(YEAR(INDEX($AN$5:$AN$1000,$U105-4)),MONTH(INDEX($AN$5:$AN$1000,$U105-4)),1),MesCiclo)),IF(ISNUMBER($AM105),DATE(YEAR($AM105),MONTH($AM105),1),IF(ISNUMBER($AN105),DATE(YEAR($AN105),MONTH($AN105),1),MesCiclo))))</f>
        <v/>
      </c>
      <c r="T105" s="62">
        <f>IF(OR($S105="",$S105&lt;&gt;MesCiclo),"",COUNTIF($S$5:$S105,MesCiclo))</f>
        <v/>
      </c>
      <c r="U105" s="62">
        <f>IF($V105="","",IF($V105="Macro",ROW(),IFERROR(LOOKUP(2,1/($V$5:$V105="Macro"),ROW($V$5:$V105)),0)))</f>
        <v/>
      </c>
      <c r="V105" s="62">
        <f>IF(NOT((COUNTA($B105:$D105)+COUNTA($G105:$L105)+COUNTA($Q105))&gt;0),"",IF($B105="Subactividad","Sub","Macro"))</f>
        <v/>
      </c>
      <c r="W105" s="62">
        <f>IF($V105="Macro",COUNTIFS($U$5:$U$1000,ROW(),$V$5:$V$1000,"Sub"),"")</f>
        <v/>
      </c>
      <c r="X105" s="62">
        <f>IF($V105="","",IF(ISNUMBER($G105),1,IFERROR(LOOKUP(2,1/($I105:$L105&lt;&gt;""),$I105:$L105),0)))</f>
        <v/>
      </c>
      <c r="Y105" s="62">
        <f>IF($V105="","",IF(AND(ISNUMBER($G105),$G105&lt;=IF($S105=MesCiclo,InicioCiclo,$S105+MOD(2-WEEKDAY($S105),7))+6),1,IF(ISNUMBER($I105),$I105,0)))</f>
        <v/>
      </c>
      <c r="Z105" s="62">
        <f>IF($V105="","",IF(AND(ISNUMBER($G105),$G105&lt;=IF($S105=MesCiclo,InicioCiclo,$S105+MOD(2-WEEKDAY($S105),7))+13),1,IF(ISNUMBER($J105),$J105,$Y105)))</f>
        <v/>
      </c>
      <c r="AA105" s="62">
        <f>IF($V105="","",IF(AND(ISNUMBER($G105),$G105&lt;=IF($S105=MesCiclo,InicioCiclo,$S105+MOD(2-WEEKDAY($S105),7))+20),1,IF(ISNUMBER($K105),$K105,$Z105)))</f>
        <v/>
      </c>
      <c r="AB105" s="62">
        <f>IF($V105="","",IF(AND(ISNUMBER($G105),$G105&lt;=IF($S105=MesCiclo,InicioCiclo,$S105+MOD(2-WEEKDAY($S105),7))+27),1,IF(ISNUMBER($L105),$L105,$AA105)))</f>
        <v/>
      </c>
      <c r="AC105" s="62">
        <f>IF($V105="","",IF(AND(ISNUMBER($G105),$G105&lt;=IF($S105=MesCiclo,InicioCiclo,$S105+MOD(2-WEEKDAY($S105),7))+6),1,IF(N($W105)&gt;0,AVERAGEIFS($Y$5:$Y$1000,$U$5:$U$1000,ROW(),$V$5:$V$1000,"Sub"),$Y105)))</f>
        <v/>
      </c>
      <c r="AD105" s="62">
        <f>IF($V105="","",IF(AND(ISNUMBER($G105),$G105&lt;=IF($S105=MesCiclo,InicioCiclo,$S105+MOD(2-WEEKDAY($S105),7))+13),1,IF(N($W105)&gt;0,AVERAGEIFS($Z$5:$Z$1000,$U$5:$U$1000,ROW(),$V$5:$V$1000,"Sub"),$Z105)))</f>
        <v/>
      </c>
      <c r="AE105" s="62">
        <f>IF($V105="","",IF(AND(ISNUMBER($G105),$G105&lt;=IF($S105=MesCiclo,InicioCiclo,$S105+MOD(2-WEEKDAY($S105),7))+20),1,IF(N($W105)&gt;0,AVERAGEIFS($AA$5:$AA$1000,$U$5:$U$1000,ROW(),$V$5:$V$1000,"Sub"),$AA105)))</f>
        <v/>
      </c>
      <c r="AF105" s="62">
        <f>IF($V105="","",IF(AND(ISNUMBER($G105),$G105&lt;=IF($S105=MesCiclo,InicioCiclo,$S105+MOD(2-WEEKDAY($S105),7))+27),1,IF(N($W105)&gt;0,AVERAGEIFS($AB$5:$AB$1000,$U$5:$U$1000,ROW(),$V$5:$V$1000,"Sub"),$AB105)))</f>
        <v/>
      </c>
      <c r="AG105" s="62">
        <f>IF($V105&lt;&gt;"Macro","",IF(COUNTIFS($S$5:$S$1000,$S105,$V$5:$V$1000,"Macro",$H$5:$H$1000,"&gt;0")=0,1/COUNTIFS($S$5:$S$1000,$S105,$V$5:$V$1000,"Macro"),IF(AND(ISNUMBER($H105),N($H105)&gt;0),$H105,SUMIFS($H$5:$H$1000,$S$5:$S$1000,$S105,$V$5:$V$1000,"Macro")/COUNTIFS($S$5:$S$1000,$S105,$V$5:$V$1000,"Macro",$H$5:$H$1000,"&gt;0"))/(COUNTIFS($S$5:$S$1000,$S105,$V$5:$V$1000,"Macro")*SUMIFS($H$5:$H$1000,$S$5:$S$1000,$S105,$V$5:$V$1000,"Macro")/COUNTIFS($S$5:$S$1000,$S105,$V$5:$V$1000,"Macro",$H$5:$H$1000,"&gt;0"))))</f>
        <v/>
      </c>
      <c r="AH105" s="62" t="n"/>
      <c r="AI105" s="62" t="n"/>
      <c r="AJ105" s="62" t="n"/>
      <c r="AK105" s="62" t="n"/>
      <c r="AL105" s="62">
        <f>IF(LEFT($C105,11)="[Jefatura] ",IFERROR(MATCH("Riesgo Normativo|"&amp;MID($C105,12,500),rDname_ADM,0),0),"")</f>
        <v/>
      </c>
      <c r="AM105" s="62">
        <f>IF(N($AL105)&gt;0,INDEX(rIni_ADM,$AL105),IF(ISNUMBER($E105),$E105,""))</f>
        <v/>
      </c>
      <c r="AN105" s="62">
        <f>IF(N($AL105)&gt;0,INDEX(rLim_ADM,$AL105),IF(ISNUMBER($F105),$F105,""))</f>
        <v/>
      </c>
    </row>
    <row r="106">
      <c r="A106" s="56">
        <f>IF(NOT((COUNTA($B106:$D106)+COUNTA($G106:$L106)+COUNTA($Q106))&gt;0),"",IF($V106="Macro",COUNTIFS($V$5:$V106,"Macro",$S$5:$S106,$S106),IF(N($U106)=0,"?",COUNTIFS(INDEX($V$5:$V$1000,1):INDEX($V$5:$V$1000,$U106-4),"Macro",INDEX($S$5:$S$1000,1):INDEX($S$5:$S$1000,$U106-4),INDEX($S$5:$S$1000,$U106-4))&amp;"."&amp;COUNTIFS($U$5:$U106,$U106,$V$5:$V106,"Sub"))))</f>
        <v/>
      </c>
      <c r="B106" s="57" t="n"/>
      <c r="C106" s="58" t="n"/>
      <c r="D106" s="58" t="n"/>
      <c r="E106" s="59">
        <f>IF(N($AL106)&gt;0,INDEX(rIni_ADM,$AL106),"")</f>
        <v/>
      </c>
      <c r="F106" s="59">
        <f>IF(N($AL106)&gt;0,INDEX(rLim_ADM,$AL106),"")</f>
        <v/>
      </c>
      <c r="G106" s="59" t="n"/>
      <c r="H106" s="60" t="n"/>
      <c r="I106" s="60" t="n"/>
      <c r="J106" s="60" t="n"/>
      <c r="K106" s="60" t="n"/>
      <c r="L106" s="60" t="n"/>
      <c r="M106" s="61">
        <f>IF(NOT((COUNTA($B106:$D106)+COUNTA($G106:$L106)+COUNTA($Q106))&gt;0),"",IF(ISNUMBER($G106),1,IF(N($W106)&gt;0,AVERAGEIFS($X$5:$X$1000,$U$5:$U$1000,ROW(),$V$5:$V$1000,"Sub"),$X106)))</f>
        <v/>
      </c>
      <c r="N106" s="56">
        <f>IF($M106="","",IF($M106&gt;=1,"Completado",IF($M106&gt;0,"En curso","Pendiente")))</f>
        <v/>
      </c>
      <c r="O106" s="56">
        <f>IF(NOT((COUNTA($B106:$D106)+COUNTA($G106:$L106)+COUNTA($Q106))&gt;0),"",IF(ISNUMBER($G106),IF(AND(ISNUMBER($AN106),$G106&gt;$AN106),"Cumplida con "&amp;($G106-$AN106)&amp;IF($G106-$AN106=1," día"," días")&amp;" de retraso","Cumplida"),IF(N($M106)&gt;=1,"Cumplida",IF(NOT(ISNUMBER($AN106)),"Sin fecha límite",IF($AN106&lt;FechaRef,"Vencida hace "&amp;(FechaRef-$AN106)&amp;IF(FechaRef-$AN106=1," día"," días"),IF($AN106=FechaRef,"Vence hoy",IF($AN106-FechaRef&lt;=DiasAlerta,"Vence en "&amp;($AN106-FechaRef)&amp;IF($AN106-FechaRef=1," día"," días"),"En plazo")))))))</f>
        <v/>
      </c>
      <c r="P106" s="62" t="n"/>
      <c r="Q106" s="58" t="n"/>
      <c r="R106" s="63">
        <f>IF(NOT((COUNTA($B106:$D106)+COUNTA($G106:$L106)+COUNTA($Q106))&gt;0),"",IF((IF($C106="","Falta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",""))="","✔ OK","⚠ "&amp;LEFT(IF($C106="","Falta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",""),LEN(IF($C106="","Falta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",""))-3)))</f>
        <v/>
      </c>
      <c r="S106" s="64">
        <f>IF(NOT((COUNTA($B106:$D106)+COUNTA($G106:$L106)+COUNTA($Q106))&gt;0),"",IF(AND($V106="Sub",N($U106)&gt;0),IF(ISNUMBER(INDEX($AM$5:$AM$1000,$U106-4)),DATE(YEAR(INDEX($AM$5:$AM$1000,$U106-4)),MONTH(INDEX($AM$5:$AM$1000,$U106-4)),1),IF(ISNUMBER(INDEX($AN$5:$AN$1000,$U106-4)),DATE(YEAR(INDEX($AN$5:$AN$1000,$U106-4)),MONTH(INDEX($AN$5:$AN$1000,$U106-4)),1),MesCiclo)),IF(ISNUMBER($AM106),DATE(YEAR($AM106),MONTH($AM106),1),IF(ISNUMBER($AN106),DATE(YEAR($AN106),MONTH($AN106),1),MesCiclo))))</f>
        <v/>
      </c>
      <c r="T106" s="62">
        <f>IF(OR($S106="",$S106&lt;&gt;MesCiclo),"",COUNTIF($S$5:$S106,MesCiclo))</f>
        <v/>
      </c>
      <c r="U106" s="62">
        <f>IF($V106="","",IF($V106="Macro",ROW(),IFERROR(LOOKUP(2,1/($V$5:$V106="Macro"),ROW($V$5:$V106)),0)))</f>
        <v/>
      </c>
      <c r="V106" s="62">
        <f>IF(NOT((COUNTA($B106:$D106)+COUNTA($G106:$L106)+COUNTA($Q106))&gt;0),"",IF($B106="Subactividad","Sub","Macro"))</f>
        <v/>
      </c>
      <c r="W106" s="62">
        <f>IF($V106="Macro",COUNTIFS($U$5:$U$1000,ROW(),$V$5:$V$1000,"Sub"),"")</f>
        <v/>
      </c>
      <c r="X106" s="62">
        <f>IF($V106="","",IF(ISNUMBER($G106),1,IFERROR(LOOKUP(2,1/($I106:$L106&lt;&gt;""),$I106:$L106),0)))</f>
        <v/>
      </c>
      <c r="Y106" s="62">
        <f>IF($V106="","",IF(AND(ISNUMBER($G106),$G106&lt;=IF($S106=MesCiclo,InicioCiclo,$S106+MOD(2-WEEKDAY($S106),7))+6),1,IF(ISNUMBER($I106),$I106,0)))</f>
        <v/>
      </c>
      <c r="Z106" s="62">
        <f>IF($V106="","",IF(AND(ISNUMBER($G106),$G106&lt;=IF($S106=MesCiclo,InicioCiclo,$S106+MOD(2-WEEKDAY($S106),7))+13),1,IF(ISNUMBER($J106),$J106,$Y106)))</f>
        <v/>
      </c>
      <c r="AA106" s="62">
        <f>IF($V106="","",IF(AND(ISNUMBER($G106),$G106&lt;=IF($S106=MesCiclo,InicioCiclo,$S106+MOD(2-WEEKDAY($S106),7))+20),1,IF(ISNUMBER($K106),$K106,$Z106)))</f>
        <v/>
      </c>
      <c r="AB106" s="62">
        <f>IF($V106="","",IF(AND(ISNUMBER($G106),$G106&lt;=IF($S106=MesCiclo,InicioCiclo,$S106+MOD(2-WEEKDAY($S106),7))+27),1,IF(ISNUMBER($L106),$L106,$AA106)))</f>
        <v/>
      </c>
      <c r="AC106" s="62">
        <f>IF($V106="","",IF(AND(ISNUMBER($G106),$G106&lt;=IF($S106=MesCiclo,InicioCiclo,$S106+MOD(2-WEEKDAY($S106),7))+6),1,IF(N($W106)&gt;0,AVERAGEIFS($Y$5:$Y$1000,$U$5:$U$1000,ROW(),$V$5:$V$1000,"Sub"),$Y106)))</f>
        <v/>
      </c>
      <c r="AD106" s="62">
        <f>IF($V106="","",IF(AND(ISNUMBER($G106),$G106&lt;=IF($S106=MesCiclo,InicioCiclo,$S106+MOD(2-WEEKDAY($S106),7))+13),1,IF(N($W106)&gt;0,AVERAGEIFS($Z$5:$Z$1000,$U$5:$U$1000,ROW(),$V$5:$V$1000,"Sub"),$Z106)))</f>
        <v/>
      </c>
      <c r="AE106" s="62">
        <f>IF($V106="","",IF(AND(ISNUMBER($G106),$G106&lt;=IF($S106=MesCiclo,InicioCiclo,$S106+MOD(2-WEEKDAY($S106),7))+20),1,IF(N($W106)&gt;0,AVERAGEIFS($AA$5:$AA$1000,$U$5:$U$1000,ROW(),$V$5:$V$1000,"Sub"),$AA106)))</f>
        <v/>
      </c>
      <c r="AF106" s="62">
        <f>IF($V106="","",IF(AND(ISNUMBER($G106),$G106&lt;=IF($S106=MesCiclo,InicioCiclo,$S106+MOD(2-WEEKDAY($S106),7))+27),1,IF(N($W106)&gt;0,AVERAGEIFS($AB$5:$AB$1000,$U$5:$U$1000,ROW(),$V$5:$V$1000,"Sub"),$AB106)))</f>
        <v/>
      </c>
      <c r="AG106" s="62">
        <f>IF($V106&lt;&gt;"Macro","",IF(COUNTIFS($S$5:$S$1000,$S106,$V$5:$V$1000,"Macro",$H$5:$H$1000,"&gt;0")=0,1/COUNTIFS($S$5:$S$1000,$S106,$V$5:$V$1000,"Macro"),IF(AND(ISNUMBER($H106),N($H106)&gt;0),$H106,SUMIFS($H$5:$H$1000,$S$5:$S$1000,$S106,$V$5:$V$1000,"Macro")/COUNTIFS($S$5:$S$1000,$S106,$V$5:$V$1000,"Macro",$H$5:$H$1000,"&gt;0"))/(COUNTIFS($S$5:$S$1000,$S106,$V$5:$V$1000,"Macro")*SUMIFS($H$5:$H$1000,$S$5:$S$1000,$S106,$V$5:$V$1000,"Macro")/COUNTIFS($S$5:$S$1000,$S106,$V$5:$V$1000,"Macro",$H$5:$H$1000,"&gt;0"))))</f>
        <v/>
      </c>
      <c r="AH106" s="62" t="n"/>
      <c r="AI106" s="62" t="n"/>
      <c r="AJ106" s="62" t="n"/>
      <c r="AK106" s="62" t="n"/>
      <c r="AL106" s="62">
        <f>IF(LEFT($C106,11)="[Jefatura] ",IFERROR(MATCH("Riesgo Normativo|"&amp;MID($C106,12,500),rDname_ADM,0),0),"")</f>
        <v/>
      </c>
      <c r="AM106" s="62">
        <f>IF(N($AL106)&gt;0,INDEX(rIni_ADM,$AL106),IF(ISNUMBER($E106),$E106,""))</f>
        <v/>
      </c>
      <c r="AN106" s="62">
        <f>IF(N($AL106)&gt;0,INDEX(rLim_ADM,$AL106),IF(ISNUMBER($F106),$F106,""))</f>
        <v/>
      </c>
    </row>
    <row r="107">
      <c r="A107" s="56">
        <f>IF(NOT((COUNTA($B107:$D107)+COUNTA($G107:$L107)+COUNTA($Q107))&gt;0),"",IF($V107="Macro",COUNTIFS($V$5:$V107,"Macro",$S$5:$S107,$S107),IF(N($U107)=0,"?",COUNTIFS(INDEX($V$5:$V$1000,1):INDEX($V$5:$V$1000,$U107-4),"Macro",INDEX($S$5:$S$1000,1):INDEX($S$5:$S$1000,$U107-4),INDEX($S$5:$S$1000,$U107-4))&amp;"."&amp;COUNTIFS($U$5:$U107,$U107,$V$5:$V107,"Sub"))))</f>
        <v/>
      </c>
      <c r="B107" s="57" t="n"/>
      <c r="C107" s="58" t="n"/>
      <c r="D107" s="58" t="n"/>
      <c r="E107" s="59">
        <f>IF(N($AL107)&gt;0,INDEX(rIni_ADM,$AL107),"")</f>
        <v/>
      </c>
      <c r="F107" s="59">
        <f>IF(N($AL107)&gt;0,INDEX(rLim_ADM,$AL107),"")</f>
        <v/>
      </c>
      <c r="G107" s="59" t="n"/>
      <c r="H107" s="60" t="n"/>
      <c r="I107" s="60" t="n"/>
      <c r="J107" s="60" t="n"/>
      <c r="K107" s="60" t="n"/>
      <c r="L107" s="60" t="n"/>
      <c r="M107" s="61">
        <f>IF(NOT((COUNTA($B107:$D107)+COUNTA($G107:$L107)+COUNTA($Q107))&gt;0),"",IF(ISNUMBER($G107),1,IF(N($W107)&gt;0,AVERAGEIFS($X$5:$X$1000,$U$5:$U$1000,ROW(),$V$5:$V$1000,"Sub"),$X107)))</f>
        <v/>
      </c>
      <c r="N107" s="56">
        <f>IF($M107="","",IF($M107&gt;=1,"Completado",IF($M107&gt;0,"En curso","Pendiente")))</f>
        <v/>
      </c>
      <c r="O107" s="56">
        <f>IF(NOT((COUNTA($B107:$D107)+COUNTA($G107:$L107)+COUNTA($Q107))&gt;0),"",IF(ISNUMBER($G107),IF(AND(ISNUMBER($AN107),$G107&gt;$AN107),"Cumplida con "&amp;($G107-$AN107)&amp;IF($G107-$AN107=1," día"," días")&amp;" de retraso","Cumplida"),IF(N($M107)&gt;=1,"Cumplida",IF(NOT(ISNUMBER($AN107)),"Sin fecha límite",IF($AN107&lt;FechaRef,"Vencida hace "&amp;(FechaRef-$AN107)&amp;IF(FechaRef-$AN107=1," día"," días"),IF($AN107=FechaRef,"Vence hoy",IF($AN107-FechaRef&lt;=DiasAlerta,"Vence en "&amp;($AN107-FechaRef)&amp;IF($AN107-FechaRef=1," día"," días"),"En plazo")))))))</f>
        <v/>
      </c>
      <c r="P107" s="62" t="n"/>
      <c r="Q107" s="58" t="n"/>
      <c r="R107" s="63">
        <f>IF(NOT((COUNTA($B107:$D107)+COUNTA($G107:$L107)+COUNTA($Q107))&gt;0),"",IF((IF($C107="","Falta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",""))="","✔ OK","⚠ "&amp;LEFT(IF($C107="","Falta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",""),LEN(IF($C107="","Falta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",""))-3)))</f>
        <v/>
      </c>
      <c r="S107" s="64">
        <f>IF(NOT((COUNTA($B107:$D107)+COUNTA($G107:$L107)+COUNTA($Q107))&gt;0),"",IF(AND($V107="Sub",N($U107)&gt;0),IF(ISNUMBER(INDEX($AM$5:$AM$1000,$U107-4)),DATE(YEAR(INDEX($AM$5:$AM$1000,$U107-4)),MONTH(INDEX($AM$5:$AM$1000,$U107-4)),1),IF(ISNUMBER(INDEX($AN$5:$AN$1000,$U107-4)),DATE(YEAR(INDEX($AN$5:$AN$1000,$U107-4)),MONTH(INDEX($AN$5:$AN$1000,$U107-4)),1),MesCiclo)),IF(ISNUMBER($AM107),DATE(YEAR($AM107),MONTH($AM107),1),IF(ISNUMBER($AN107),DATE(YEAR($AN107),MONTH($AN107),1),MesCiclo))))</f>
        <v/>
      </c>
      <c r="T107" s="62">
        <f>IF(OR($S107="",$S107&lt;&gt;MesCiclo),"",COUNTIF($S$5:$S107,MesCiclo))</f>
        <v/>
      </c>
      <c r="U107" s="62">
        <f>IF($V107="","",IF($V107="Macro",ROW(),IFERROR(LOOKUP(2,1/($V$5:$V107="Macro"),ROW($V$5:$V107)),0)))</f>
        <v/>
      </c>
      <c r="V107" s="62">
        <f>IF(NOT((COUNTA($B107:$D107)+COUNTA($G107:$L107)+COUNTA($Q107))&gt;0),"",IF($B107="Subactividad","Sub","Macro"))</f>
        <v/>
      </c>
      <c r="W107" s="62">
        <f>IF($V107="Macro",COUNTIFS($U$5:$U$1000,ROW(),$V$5:$V$1000,"Sub"),"")</f>
        <v/>
      </c>
      <c r="X107" s="62">
        <f>IF($V107="","",IF(ISNUMBER($G107),1,IFERROR(LOOKUP(2,1/($I107:$L107&lt;&gt;""),$I107:$L107),0)))</f>
        <v/>
      </c>
      <c r="Y107" s="62">
        <f>IF($V107="","",IF(AND(ISNUMBER($G107),$G107&lt;=IF($S107=MesCiclo,InicioCiclo,$S107+MOD(2-WEEKDAY($S107),7))+6),1,IF(ISNUMBER($I107),$I107,0)))</f>
        <v/>
      </c>
      <c r="Z107" s="62">
        <f>IF($V107="","",IF(AND(ISNUMBER($G107),$G107&lt;=IF($S107=MesCiclo,InicioCiclo,$S107+MOD(2-WEEKDAY($S107),7))+13),1,IF(ISNUMBER($J107),$J107,$Y107)))</f>
        <v/>
      </c>
      <c r="AA107" s="62">
        <f>IF($V107="","",IF(AND(ISNUMBER($G107),$G107&lt;=IF($S107=MesCiclo,InicioCiclo,$S107+MOD(2-WEEKDAY($S107),7))+20),1,IF(ISNUMBER($K107),$K107,$Z107)))</f>
        <v/>
      </c>
      <c r="AB107" s="62">
        <f>IF($V107="","",IF(AND(ISNUMBER($G107),$G107&lt;=IF($S107=MesCiclo,InicioCiclo,$S107+MOD(2-WEEKDAY($S107),7))+27),1,IF(ISNUMBER($L107),$L107,$AA107)))</f>
        <v/>
      </c>
      <c r="AC107" s="62">
        <f>IF($V107="","",IF(AND(ISNUMBER($G107),$G107&lt;=IF($S107=MesCiclo,InicioCiclo,$S107+MOD(2-WEEKDAY($S107),7))+6),1,IF(N($W107)&gt;0,AVERAGEIFS($Y$5:$Y$1000,$U$5:$U$1000,ROW(),$V$5:$V$1000,"Sub"),$Y107)))</f>
        <v/>
      </c>
      <c r="AD107" s="62">
        <f>IF($V107="","",IF(AND(ISNUMBER($G107),$G107&lt;=IF($S107=MesCiclo,InicioCiclo,$S107+MOD(2-WEEKDAY($S107),7))+13),1,IF(N($W107)&gt;0,AVERAGEIFS($Z$5:$Z$1000,$U$5:$U$1000,ROW(),$V$5:$V$1000,"Sub"),$Z107)))</f>
        <v/>
      </c>
      <c r="AE107" s="62">
        <f>IF($V107="","",IF(AND(ISNUMBER($G107),$G107&lt;=IF($S107=MesCiclo,InicioCiclo,$S107+MOD(2-WEEKDAY($S107),7))+20),1,IF(N($W107)&gt;0,AVERAGEIFS($AA$5:$AA$1000,$U$5:$U$1000,ROW(),$V$5:$V$1000,"Sub"),$AA107)))</f>
        <v/>
      </c>
      <c r="AF107" s="62">
        <f>IF($V107="","",IF(AND(ISNUMBER($G107),$G107&lt;=IF($S107=MesCiclo,InicioCiclo,$S107+MOD(2-WEEKDAY($S107),7))+27),1,IF(N($W107)&gt;0,AVERAGEIFS($AB$5:$AB$1000,$U$5:$U$1000,ROW(),$V$5:$V$1000,"Sub"),$AB107)))</f>
        <v/>
      </c>
      <c r="AG107" s="62">
        <f>IF($V107&lt;&gt;"Macro","",IF(COUNTIFS($S$5:$S$1000,$S107,$V$5:$V$1000,"Macro",$H$5:$H$1000,"&gt;0")=0,1/COUNTIFS($S$5:$S$1000,$S107,$V$5:$V$1000,"Macro"),IF(AND(ISNUMBER($H107),N($H107)&gt;0),$H107,SUMIFS($H$5:$H$1000,$S$5:$S$1000,$S107,$V$5:$V$1000,"Macro")/COUNTIFS($S$5:$S$1000,$S107,$V$5:$V$1000,"Macro",$H$5:$H$1000,"&gt;0"))/(COUNTIFS($S$5:$S$1000,$S107,$V$5:$V$1000,"Macro")*SUMIFS($H$5:$H$1000,$S$5:$S$1000,$S107,$V$5:$V$1000,"Macro")/COUNTIFS($S$5:$S$1000,$S107,$V$5:$V$1000,"Macro",$H$5:$H$1000,"&gt;0"))))</f>
        <v/>
      </c>
      <c r="AH107" s="62" t="n"/>
      <c r="AI107" s="62" t="n"/>
      <c r="AJ107" s="62" t="n"/>
      <c r="AK107" s="62" t="n"/>
      <c r="AL107" s="62">
        <f>IF(LEFT($C107,11)="[Jefatura] ",IFERROR(MATCH("Riesgo Normativo|"&amp;MID($C107,12,500),rDname_ADM,0),0),"")</f>
        <v/>
      </c>
      <c r="AM107" s="62">
        <f>IF(N($AL107)&gt;0,INDEX(rIni_ADM,$AL107),IF(ISNUMBER($E107),$E107,""))</f>
        <v/>
      </c>
      <c r="AN107" s="62">
        <f>IF(N($AL107)&gt;0,INDEX(rLim_ADM,$AL107),IF(ISNUMBER($F107),$F107,""))</f>
        <v/>
      </c>
    </row>
    <row r="108">
      <c r="A108" s="56">
        <f>IF(NOT((COUNTA($B108:$D108)+COUNTA($G108:$L108)+COUNTA($Q108))&gt;0),"",IF($V108="Macro",COUNTIFS($V$5:$V108,"Macro",$S$5:$S108,$S108),IF(N($U108)=0,"?",COUNTIFS(INDEX($V$5:$V$1000,1):INDEX($V$5:$V$1000,$U108-4),"Macro",INDEX($S$5:$S$1000,1):INDEX($S$5:$S$1000,$U108-4),INDEX($S$5:$S$1000,$U108-4))&amp;"."&amp;COUNTIFS($U$5:$U108,$U108,$V$5:$V108,"Sub"))))</f>
        <v/>
      </c>
      <c r="B108" s="57" t="n"/>
      <c r="C108" s="58" t="n"/>
      <c r="D108" s="58" t="n"/>
      <c r="E108" s="59">
        <f>IF(N($AL108)&gt;0,INDEX(rIni_ADM,$AL108),"")</f>
        <v/>
      </c>
      <c r="F108" s="59">
        <f>IF(N($AL108)&gt;0,INDEX(rLim_ADM,$AL108),"")</f>
        <v/>
      </c>
      <c r="G108" s="59" t="n"/>
      <c r="H108" s="60" t="n"/>
      <c r="I108" s="60" t="n"/>
      <c r="J108" s="60" t="n"/>
      <c r="K108" s="60" t="n"/>
      <c r="L108" s="60" t="n"/>
      <c r="M108" s="61">
        <f>IF(NOT((COUNTA($B108:$D108)+COUNTA($G108:$L108)+COUNTA($Q108))&gt;0),"",IF(ISNUMBER($G108),1,IF(N($W108)&gt;0,AVERAGEIFS($X$5:$X$1000,$U$5:$U$1000,ROW(),$V$5:$V$1000,"Sub"),$X108)))</f>
        <v/>
      </c>
      <c r="N108" s="56">
        <f>IF($M108="","",IF($M108&gt;=1,"Completado",IF($M108&gt;0,"En curso","Pendiente")))</f>
        <v/>
      </c>
      <c r="O108" s="56">
        <f>IF(NOT((COUNTA($B108:$D108)+COUNTA($G108:$L108)+COUNTA($Q108))&gt;0),"",IF(ISNUMBER($G108),IF(AND(ISNUMBER($AN108),$G108&gt;$AN108),"Cumplida con "&amp;($G108-$AN108)&amp;IF($G108-$AN108=1," día"," días")&amp;" de retraso","Cumplida"),IF(N($M108)&gt;=1,"Cumplida",IF(NOT(ISNUMBER($AN108)),"Sin fecha límite",IF($AN108&lt;FechaRef,"Vencida hace "&amp;(FechaRef-$AN108)&amp;IF(FechaRef-$AN108=1," día"," días"),IF($AN108=FechaRef,"Vence hoy",IF($AN108-FechaRef&lt;=DiasAlerta,"Vence en "&amp;($AN108-FechaRef)&amp;IF($AN108-FechaRef=1," día"," días"),"En plazo")))))))</f>
        <v/>
      </c>
      <c r="P108" s="62" t="n"/>
      <c r="Q108" s="58" t="n"/>
      <c r="R108" s="63">
        <f>IF(NOT((COUNTA($B108:$D108)+COUNTA($G108:$L108)+COUNTA($Q108))&gt;0),"",IF((IF($C108="","Falta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",""))="","✔ OK","⚠ "&amp;LEFT(IF($C108="","Falta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",""),LEN(IF($C108="","Falta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",""))-3)))</f>
        <v/>
      </c>
      <c r="S108" s="64">
        <f>IF(NOT((COUNTA($B108:$D108)+COUNTA($G108:$L108)+COUNTA($Q108))&gt;0),"",IF(AND($V108="Sub",N($U108)&gt;0),IF(ISNUMBER(INDEX($AM$5:$AM$1000,$U108-4)),DATE(YEAR(INDEX($AM$5:$AM$1000,$U108-4)),MONTH(INDEX($AM$5:$AM$1000,$U108-4)),1),IF(ISNUMBER(INDEX($AN$5:$AN$1000,$U108-4)),DATE(YEAR(INDEX($AN$5:$AN$1000,$U108-4)),MONTH(INDEX($AN$5:$AN$1000,$U108-4)),1),MesCiclo)),IF(ISNUMBER($AM108),DATE(YEAR($AM108),MONTH($AM108),1),IF(ISNUMBER($AN108),DATE(YEAR($AN108),MONTH($AN108),1),MesCiclo))))</f>
        <v/>
      </c>
      <c r="T108" s="62">
        <f>IF(OR($S108="",$S108&lt;&gt;MesCiclo),"",COUNTIF($S$5:$S108,MesCiclo))</f>
        <v/>
      </c>
      <c r="U108" s="62">
        <f>IF($V108="","",IF($V108="Macro",ROW(),IFERROR(LOOKUP(2,1/($V$5:$V108="Macro"),ROW($V$5:$V108)),0)))</f>
        <v/>
      </c>
      <c r="V108" s="62">
        <f>IF(NOT((COUNTA($B108:$D108)+COUNTA($G108:$L108)+COUNTA($Q108))&gt;0),"",IF($B108="Subactividad","Sub","Macro"))</f>
        <v/>
      </c>
      <c r="W108" s="62">
        <f>IF($V108="Macro",COUNTIFS($U$5:$U$1000,ROW(),$V$5:$V$1000,"Sub"),"")</f>
        <v/>
      </c>
      <c r="X108" s="62">
        <f>IF($V108="","",IF(ISNUMBER($G108),1,IFERROR(LOOKUP(2,1/($I108:$L108&lt;&gt;""),$I108:$L108),0)))</f>
        <v/>
      </c>
      <c r="Y108" s="62">
        <f>IF($V108="","",IF(AND(ISNUMBER($G108),$G108&lt;=IF($S108=MesCiclo,InicioCiclo,$S108+MOD(2-WEEKDAY($S108),7))+6),1,IF(ISNUMBER($I108),$I108,0)))</f>
        <v/>
      </c>
      <c r="Z108" s="62">
        <f>IF($V108="","",IF(AND(ISNUMBER($G108),$G108&lt;=IF($S108=MesCiclo,InicioCiclo,$S108+MOD(2-WEEKDAY($S108),7))+13),1,IF(ISNUMBER($J108),$J108,$Y108)))</f>
        <v/>
      </c>
      <c r="AA108" s="62">
        <f>IF($V108="","",IF(AND(ISNUMBER($G108),$G108&lt;=IF($S108=MesCiclo,InicioCiclo,$S108+MOD(2-WEEKDAY($S108),7))+20),1,IF(ISNUMBER($K108),$K108,$Z108)))</f>
        <v/>
      </c>
      <c r="AB108" s="62">
        <f>IF($V108="","",IF(AND(ISNUMBER($G108),$G108&lt;=IF($S108=MesCiclo,InicioCiclo,$S108+MOD(2-WEEKDAY($S108),7))+27),1,IF(ISNUMBER($L108),$L108,$AA108)))</f>
        <v/>
      </c>
      <c r="AC108" s="62">
        <f>IF($V108="","",IF(AND(ISNUMBER($G108),$G108&lt;=IF($S108=MesCiclo,InicioCiclo,$S108+MOD(2-WEEKDAY($S108),7))+6),1,IF(N($W108)&gt;0,AVERAGEIFS($Y$5:$Y$1000,$U$5:$U$1000,ROW(),$V$5:$V$1000,"Sub"),$Y108)))</f>
        <v/>
      </c>
      <c r="AD108" s="62">
        <f>IF($V108="","",IF(AND(ISNUMBER($G108),$G108&lt;=IF($S108=MesCiclo,InicioCiclo,$S108+MOD(2-WEEKDAY($S108),7))+13),1,IF(N($W108)&gt;0,AVERAGEIFS($Z$5:$Z$1000,$U$5:$U$1000,ROW(),$V$5:$V$1000,"Sub"),$Z108)))</f>
        <v/>
      </c>
      <c r="AE108" s="62">
        <f>IF($V108="","",IF(AND(ISNUMBER($G108),$G108&lt;=IF($S108=MesCiclo,InicioCiclo,$S108+MOD(2-WEEKDAY($S108),7))+20),1,IF(N($W108)&gt;0,AVERAGEIFS($AA$5:$AA$1000,$U$5:$U$1000,ROW(),$V$5:$V$1000,"Sub"),$AA108)))</f>
        <v/>
      </c>
      <c r="AF108" s="62">
        <f>IF($V108="","",IF(AND(ISNUMBER($G108),$G108&lt;=IF($S108=MesCiclo,InicioCiclo,$S108+MOD(2-WEEKDAY($S108),7))+27),1,IF(N($W108)&gt;0,AVERAGEIFS($AB$5:$AB$1000,$U$5:$U$1000,ROW(),$V$5:$V$1000,"Sub"),$AB108)))</f>
        <v/>
      </c>
      <c r="AG108" s="62">
        <f>IF($V108&lt;&gt;"Macro","",IF(COUNTIFS($S$5:$S$1000,$S108,$V$5:$V$1000,"Macro",$H$5:$H$1000,"&gt;0")=0,1/COUNTIFS($S$5:$S$1000,$S108,$V$5:$V$1000,"Macro"),IF(AND(ISNUMBER($H108),N($H108)&gt;0),$H108,SUMIFS($H$5:$H$1000,$S$5:$S$1000,$S108,$V$5:$V$1000,"Macro")/COUNTIFS($S$5:$S$1000,$S108,$V$5:$V$1000,"Macro",$H$5:$H$1000,"&gt;0"))/(COUNTIFS($S$5:$S$1000,$S108,$V$5:$V$1000,"Macro")*SUMIFS($H$5:$H$1000,$S$5:$S$1000,$S108,$V$5:$V$1000,"Macro")/COUNTIFS($S$5:$S$1000,$S108,$V$5:$V$1000,"Macro",$H$5:$H$1000,"&gt;0"))))</f>
        <v/>
      </c>
      <c r="AH108" s="62" t="n"/>
      <c r="AI108" s="62" t="n"/>
      <c r="AJ108" s="62" t="n"/>
      <c r="AK108" s="62" t="n"/>
      <c r="AL108" s="62">
        <f>IF(LEFT($C108,11)="[Jefatura] ",IFERROR(MATCH("Riesgo Normativo|"&amp;MID($C108,12,500),rDname_ADM,0),0),"")</f>
        <v/>
      </c>
      <c r="AM108" s="62">
        <f>IF(N($AL108)&gt;0,INDEX(rIni_ADM,$AL108),IF(ISNUMBER($E108),$E108,""))</f>
        <v/>
      </c>
      <c r="AN108" s="62">
        <f>IF(N($AL108)&gt;0,INDEX(rLim_ADM,$AL108),IF(ISNUMBER($F108),$F108,""))</f>
        <v/>
      </c>
    </row>
    <row r="109">
      <c r="A109" s="56">
        <f>IF(NOT((COUNTA($B109:$D109)+COUNTA($G109:$L109)+COUNTA($Q109))&gt;0),"",IF($V109="Macro",COUNTIFS($V$5:$V109,"Macro",$S$5:$S109,$S109),IF(N($U109)=0,"?",COUNTIFS(INDEX($V$5:$V$1000,1):INDEX($V$5:$V$1000,$U109-4),"Macro",INDEX($S$5:$S$1000,1):INDEX($S$5:$S$1000,$U109-4),INDEX($S$5:$S$1000,$U109-4))&amp;"."&amp;COUNTIFS($U$5:$U109,$U109,$V$5:$V109,"Sub"))))</f>
        <v/>
      </c>
      <c r="B109" s="57" t="n"/>
      <c r="C109" s="58" t="n"/>
      <c r="D109" s="58" t="n"/>
      <c r="E109" s="59">
        <f>IF(N($AL109)&gt;0,INDEX(rIni_ADM,$AL109),"")</f>
        <v/>
      </c>
      <c r="F109" s="59">
        <f>IF(N($AL109)&gt;0,INDEX(rLim_ADM,$AL109),"")</f>
        <v/>
      </c>
      <c r="G109" s="59" t="n"/>
      <c r="H109" s="60" t="n"/>
      <c r="I109" s="60" t="n"/>
      <c r="J109" s="60" t="n"/>
      <c r="K109" s="60" t="n"/>
      <c r="L109" s="60" t="n"/>
      <c r="M109" s="61">
        <f>IF(NOT((COUNTA($B109:$D109)+COUNTA($G109:$L109)+COUNTA($Q109))&gt;0),"",IF(ISNUMBER($G109),1,IF(N($W109)&gt;0,AVERAGEIFS($X$5:$X$1000,$U$5:$U$1000,ROW(),$V$5:$V$1000,"Sub"),$X109)))</f>
        <v/>
      </c>
      <c r="N109" s="56">
        <f>IF($M109="","",IF($M109&gt;=1,"Completado",IF($M109&gt;0,"En curso","Pendiente")))</f>
        <v/>
      </c>
      <c r="O109" s="56">
        <f>IF(NOT((COUNTA($B109:$D109)+COUNTA($G109:$L109)+COUNTA($Q109))&gt;0),"",IF(ISNUMBER($G109),IF(AND(ISNUMBER($AN109),$G109&gt;$AN109),"Cumplida con "&amp;($G109-$AN109)&amp;IF($G109-$AN109=1," día"," días")&amp;" de retraso","Cumplida"),IF(N($M109)&gt;=1,"Cumplida",IF(NOT(ISNUMBER($AN109)),"Sin fecha límite",IF($AN109&lt;FechaRef,"Vencida hace "&amp;(FechaRef-$AN109)&amp;IF(FechaRef-$AN109=1," día"," días"),IF($AN109=FechaRef,"Vence hoy",IF($AN109-FechaRef&lt;=DiasAlerta,"Vence en "&amp;($AN109-FechaRef)&amp;IF($AN109-FechaRef=1," día"," días"),"En plazo")))))))</f>
        <v/>
      </c>
      <c r="P109" s="62" t="n"/>
      <c r="Q109" s="58" t="n"/>
      <c r="R109" s="63">
        <f>IF(NOT((COUNTA($B109:$D109)+COUNTA($G109:$L109)+COUNTA($Q109))&gt;0),"",IF((IF($C109="","Falta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",""))="","✔ OK","⚠ "&amp;LEFT(IF($C109="","Falta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",""),LEN(IF($C109="","Falta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",""))-3)))</f>
        <v/>
      </c>
      <c r="S109" s="64">
        <f>IF(NOT((COUNTA($B109:$D109)+COUNTA($G109:$L109)+COUNTA($Q109))&gt;0),"",IF(AND($V109="Sub",N($U109)&gt;0),IF(ISNUMBER(INDEX($AM$5:$AM$1000,$U109-4)),DATE(YEAR(INDEX($AM$5:$AM$1000,$U109-4)),MONTH(INDEX($AM$5:$AM$1000,$U109-4)),1),IF(ISNUMBER(INDEX($AN$5:$AN$1000,$U109-4)),DATE(YEAR(INDEX($AN$5:$AN$1000,$U109-4)),MONTH(INDEX($AN$5:$AN$1000,$U109-4)),1),MesCiclo)),IF(ISNUMBER($AM109),DATE(YEAR($AM109),MONTH($AM109),1),IF(ISNUMBER($AN109),DATE(YEAR($AN109),MONTH($AN109),1),MesCiclo))))</f>
        <v/>
      </c>
      <c r="T109" s="62">
        <f>IF(OR($S109="",$S109&lt;&gt;MesCiclo),"",COUNTIF($S$5:$S109,MesCiclo))</f>
        <v/>
      </c>
      <c r="U109" s="62">
        <f>IF($V109="","",IF($V109="Macro",ROW(),IFERROR(LOOKUP(2,1/($V$5:$V109="Macro"),ROW($V$5:$V109)),0)))</f>
        <v/>
      </c>
      <c r="V109" s="62">
        <f>IF(NOT((COUNTA($B109:$D109)+COUNTA($G109:$L109)+COUNTA($Q109))&gt;0),"",IF($B109="Subactividad","Sub","Macro"))</f>
        <v/>
      </c>
      <c r="W109" s="62">
        <f>IF($V109="Macro",COUNTIFS($U$5:$U$1000,ROW(),$V$5:$V$1000,"Sub"),"")</f>
        <v/>
      </c>
      <c r="X109" s="62">
        <f>IF($V109="","",IF(ISNUMBER($G109),1,IFERROR(LOOKUP(2,1/($I109:$L109&lt;&gt;""),$I109:$L109),0)))</f>
        <v/>
      </c>
      <c r="Y109" s="62">
        <f>IF($V109="","",IF(AND(ISNUMBER($G109),$G109&lt;=IF($S109=MesCiclo,InicioCiclo,$S109+MOD(2-WEEKDAY($S109),7))+6),1,IF(ISNUMBER($I109),$I109,0)))</f>
        <v/>
      </c>
      <c r="Z109" s="62">
        <f>IF($V109="","",IF(AND(ISNUMBER($G109),$G109&lt;=IF($S109=MesCiclo,InicioCiclo,$S109+MOD(2-WEEKDAY($S109),7))+13),1,IF(ISNUMBER($J109),$J109,$Y109)))</f>
        <v/>
      </c>
      <c r="AA109" s="62">
        <f>IF($V109="","",IF(AND(ISNUMBER($G109),$G109&lt;=IF($S109=MesCiclo,InicioCiclo,$S109+MOD(2-WEEKDAY($S109),7))+20),1,IF(ISNUMBER($K109),$K109,$Z109)))</f>
        <v/>
      </c>
      <c r="AB109" s="62">
        <f>IF($V109="","",IF(AND(ISNUMBER($G109),$G109&lt;=IF($S109=MesCiclo,InicioCiclo,$S109+MOD(2-WEEKDAY($S109),7))+27),1,IF(ISNUMBER($L109),$L109,$AA109)))</f>
        <v/>
      </c>
      <c r="AC109" s="62">
        <f>IF($V109="","",IF(AND(ISNUMBER($G109),$G109&lt;=IF($S109=MesCiclo,InicioCiclo,$S109+MOD(2-WEEKDAY($S109),7))+6),1,IF(N($W109)&gt;0,AVERAGEIFS($Y$5:$Y$1000,$U$5:$U$1000,ROW(),$V$5:$V$1000,"Sub"),$Y109)))</f>
        <v/>
      </c>
      <c r="AD109" s="62">
        <f>IF($V109="","",IF(AND(ISNUMBER($G109),$G109&lt;=IF($S109=MesCiclo,InicioCiclo,$S109+MOD(2-WEEKDAY($S109),7))+13),1,IF(N($W109)&gt;0,AVERAGEIFS($Z$5:$Z$1000,$U$5:$U$1000,ROW(),$V$5:$V$1000,"Sub"),$Z109)))</f>
        <v/>
      </c>
      <c r="AE109" s="62">
        <f>IF($V109="","",IF(AND(ISNUMBER($G109),$G109&lt;=IF($S109=MesCiclo,InicioCiclo,$S109+MOD(2-WEEKDAY($S109),7))+20),1,IF(N($W109)&gt;0,AVERAGEIFS($AA$5:$AA$1000,$U$5:$U$1000,ROW(),$V$5:$V$1000,"Sub"),$AA109)))</f>
        <v/>
      </c>
      <c r="AF109" s="62">
        <f>IF($V109="","",IF(AND(ISNUMBER($G109),$G109&lt;=IF($S109=MesCiclo,InicioCiclo,$S109+MOD(2-WEEKDAY($S109),7))+27),1,IF(N($W109)&gt;0,AVERAGEIFS($AB$5:$AB$1000,$U$5:$U$1000,ROW(),$V$5:$V$1000,"Sub"),$AB109)))</f>
        <v/>
      </c>
      <c r="AG109" s="62">
        <f>IF($V109&lt;&gt;"Macro","",IF(COUNTIFS($S$5:$S$1000,$S109,$V$5:$V$1000,"Macro",$H$5:$H$1000,"&gt;0")=0,1/COUNTIFS($S$5:$S$1000,$S109,$V$5:$V$1000,"Macro"),IF(AND(ISNUMBER($H109),N($H109)&gt;0),$H109,SUMIFS($H$5:$H$1000,$S$5:$S$1000,$S109,$V$5:$V$1000,"Macro")/COUNTIFS($S$5:$S$1000,$S109,$V$5:$V$1000,"Macro",$H$5:$H$1000,"&gt;0"))/(COUNTIFS($S$5:$S$1000,$S109,$V$5:$V$1000,"Macro")*SUMIFS($H$5:$H$1000,$S$5:$S$1000,$S109,$V$5:$V$1000,"Macro")/COUNTIFS($S$5:$S$1000,$S109,$V$5:$V$1000,"Macro",$H$5:$H$1000,"&gt;0"))))</f>
        <v/>
      </c>
      <c r="AH109" s="62" t="n"/>
      <c r="AI109" s="62" t="n"/>
      <c r="AJ109" s="62" t="n"/>
      <c r="AK109" s="62" t="n"/>
      <c r="AL109" s="62">
        <f>IF(LEFT($C109,11)="[Jefatura] ",IFERROR(MATCH("Riesgo Normativo|"&amp;MID($C109,12,500),rDname_ADM,0),0),"")</f>
        <v/>
      </c>
      <c r="AM109" s="62">
        <f>IF(N($AL109)&gt;0,INDEX(rIni_ADM,$AL109),IF(ISNUMBER($E109),$E109,""))</f>
        <v/>
      </c>
      <c r="AN109" s="62">
        <f>IF(N($AL109)&gt;0,INDEX(rLim_ADM,$AL109),IF(ISNUMBER($F109),$F109,""))</f>
        <v/>
      </c>
    </row>
    <row r="110">
      <c r="A110" s="56">
        <f>IF(NOT((COUNTA($B110:$D110)+COUNTA($G110:$L110)+COUNTA($Q110))&gt;0),"",IF($V110="Macro",COUNTIFS($V$5:$V110,"Macro",$S$5:$S110,$S110),IF(N($U110)=0,"?",COUNTIFS(INDEX($V$5:$V$1000,1):INDEX($V$5:$V$1000,$U110-4),"Macro",INDEX($S$5:$S$1000,1):INDEX($S$5:$S$1000,$U110-4),INDEX($S$5:$S$1000,$U110-4))&amp;"."&amp;COUNTIFS($U$5:$U110,$U110,$V$5:$V110,"Sub"))))</f>
        <v/>
      </c>
      <c r="B110" s="57" t="n"/>
      <c r="C110" s="58" t="n"/>
      <c r="D110" s="58" t="n"/>
      <c r="E110" s="59">
        <f>IF(N($AL110)&gt;0,INDEX(rIni_ADM,$AL110),"")</f>
        <v/>
      </c>
      <c r="F110" s="59">
        <f>IF(N($AL110)&gt;0,INDEX(rLim_ADM,$AL110),"")</f>
        <v/>
      </c>
      <c r="G110" s="59" t="n"/>
      <c r="H110" s="60" t="n"/>
      <c r="I110" s="60" t="n"/>
      <c r="J110" s="60" t="n"/>
      <c r="K110" s="60" t="n"/>
      <c r="L110" s="60" t="n"/>
      <c r="M110" s="61">
        <f>IF(NOT((COUNTA($B110:$D110)+COUNTA($G110:$L110)+COUNTA($Q110))&gt;0),"",IF(ISNUMBER($G110),1,IF(N($W110)&gt;0,AVERAGEIFS($X$5:$X$1000,$U$5:$U$1000,ROW(),$V$5:$V$1000,"Sub"),$X110)))</f>
        <v/>
      </c>
      <c r="N110" s="56">
        <f>IF($M110="","",IF($M110&gt;=1,"Completado",IF($M110&gt;0,"En curso","Pendiente")))</f>
        <v/>
      </c>
      <c r="O110" s="56">
        <f>IF(NOT((COUNTA($B110:$D110)+COUNTA($G110:$L110)+COUNTA($Q110))&gt;0),"",IF(ISNUMBER($G110),IF(AND(ISNUMBER($AN110),$G110&gt;$AN110),"Cumplida con "&amp;($G110-$AN110)&amp;IF($G110-$AN110=1," día"," días")&amp;" de retraso","Cumplida"),IF(N($M110)&gt;=1,"Cumplida",IF(NOT(ISNUMBER($AN110)),"Sin fecha límite",IF($AN110&lt;FechaRef,"Vencida hace "&amp;(FechaRef-$AN110)&amp;IF(FechaRef-$AN110=1," día"," días"),IF($AN110=FechaRef,"Vence hoy",IF($AN110-FechaRef&lt;=DiasAlerta,"Vence en "&amp;($AN110-FechaRef)&amp;IF($AN110-FechaRef=1," día"," días"),"En plazo")))))))</f>
        <v/>
      </c>
      <c r="P110" s="62" t="n"/>
      <c r="Q110" s="58" t="n"/>
      <c r="R110" s="63">
        <f>IF(NOT((COUNTA($B110:$D110)+COUNTA($G110:$L110)+COUNTA($Q110))&gt;0),"",IF((IF($C110="","Falta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",""))="","✔ OK","⚠ "&amp;LEFT(IF($C110="","Falta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",""),LEN(IF($C110="","Falta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",""))-3)))</f>
        <v/>
      </c>
      <c r="S110" s="64">
        <f>IF(NOT((COUNTA($B110:$D110)+COUNTA($G110:$L110)+COUNTA($Q110))&gt;0),"",IF(AND($V110="Sub",N($U110)&gt;0),IF(ISNUMBER(INDEX($AM$5:$AM$1000,$U110-4)),DATE(YEAR(INDEX($AM$5:$AM$1000,$U110-4)),MONTH(INDEX($AM$5:$AM$1000,$U110-4)),1),IF(ISNUMBER(INDEX($AN$5:$AN$1000,$U110-4)),DATE(YEAR(INDEX($AN$5:$AN$1000,$U110-4)),MONTH(INDEX($AN$5:$AN$1000,$U110-4)),1),MesCiclo)),IF(ISNUMBER($AM110),DATE(YEAR($AM110),MONTH($AM110),1),IF(ISNUMBER($AN110),DATE(YEAR($AN110),MONTH($AN110),1),MesCiclo))))</f>
        <v/>
      </c>
      <c r="T110" s="62">
        <f>IF(OR($S110="",$S110&lt;&gt;MesCiclo),"",COUNTIF($S$5:$S110,MesCiclo))</f>
        <v/>
      </c>
      <c r="U110" s="62">
        <f>IF($V110="","",IF($V110="Macro",ROW(),IFERROR(LOOKUP(2,1/($V$5:$V110="Macro"),ROW($V$5:$V110)),0)))</f>
        <v/>
      </c>
      <c r="V110" s="62">
        <f>IF(NOT((COUNTA($B110:$D110)+COUNTA($G110:$L110)+COUNTA($Q110))&gt;0),"",IF($B110="Subactividad","Sub","Macro"))</f>
        <v/>
      </c>
      <c r="W110" s="62">
        <f>IF($V110="Macro",COUNTIFS($U$5:$U$1000,ROW(),$V$5:$V$1000,"Sub"),"")</f>
        <v/>
      </c>
      <c r="X110" s="62">
        <f>IF($V110="","",IF(ISNUMBER($G110),1,IFERROR(LOOKUP(2,1/($I110:$L110&lt;&gt;""),$I110:$L110),0)))</f>
        <v/>
      </c>
      <c r="Y110" s="62">
        <f>IF($V110="","",IF(AND(ISNUMBER($G110),$G110&lt;=IF($S110=MesCiclo,InicioCiclo,$S110+MOD(2-WEEKDAY($S110),7))+6),1,IF(ISNUMBER($I110),$I110,0)))</f>
        <v/>
      </c>
      <c r="Z110" s="62">
        <f>IF($V110="","",IF(AND(ISNUMBER($G110),$G110&lt;=IF($S110=MesCiclo,InicioCiclo,$S110+MOD(2-WEEKDAY($S110),7))+13),1,IF(ISNUMBER($J110),$J110,$Y110)))</f>
        <v/>
      </c>
      <c r="AA110" s="62">
        <f>IF($V110="","",IF(AND(ISNUMBER($G110),$G110&lt;=IF($S110=MesCiclo,InicioCiclo,$S110+MOD(2-WEEKDAY($S110),7))+20),1,IF(ISNUMBER($K110),$K110,$Z110)))</f>
        <v/>
      </c>
      <c r="AB110" s="62">
        <f>IF($V110="","",IF(AND(ISNUMBER($G110),$G110&lt;=IF($S110=MesCiclo,InicioCiclo,$S110+MOD(2-WEEKDAY($S110),7))+27),1,IF(ISNUMBER($L110),$L110,$AA110)))</f>
        <v/>
      </c>
      <c r="AC110" s="62">
        <f>IF($V110="","",IF(AND(ISNUMBER($G110),$G110&lt;=IF($S110=MesCiclo,InicioCiclo,$S110+MOD(2-WEEKDAY($S110),7))+6),1,IF(N($W110)&gt;0,AVERAGEIFS($Y$5:$Y$1000,$U$5:$U$1000,ROW(),$V$5:$V$1000,"Sub"),$Y110)))</f>
        <v/>
      </c>
      <c r="AD110" s="62">
        <f>IF($V110="","",IF(AND(ISNUMBER($G110),$G110&lt;=IF($S110=MesCiclo,InicioCiclo,$S110+MOD(2-WEEKDAY($S110),7))+13),1,IF(N($W110)&gt;0,AVERAGEIFS($Z$5:$Z$1000,$U$5:$U$1000,ROW(),$V$5:$V$1000,"Sub"),$Z110)))</f>
        <v/>
      </c>
      <c r="AE110" s="62">
        <f>IF($V110="","",IF(AND(ISNUMBER($G110),$G110&lt;=IF($S110=MesCiclo,InicioCiclo,$S110+MOD(2-WEEKDAY($S110),7))+20),1,IF(N($W110)&gt;0,AVERAGEIFS($AA$5:$AA$1000,$U$5:$U$1000,ROW(),$V$5:$V$1000,"Sub"),$AA110)))</f>
        <v/>
      </c>
      <c r="AF110" s="62">
        <f>IF($V110="","",IF(AND(ISNUMBER($G110),$G110&lt;=IF($S110=MesCiclo,InicioCiclo,$S110+MOD(2-WEEKDAY($S110),7))+27),1,IF(N($W110)&gt;0,AVERAGEIFS($AB$5:$AB$1000,$U$5:$U$1000,ROW(),$V$5:$V$1000,"Sub"),$AB110)))</f>
        <v/>
      </c>
      <c r="AG110" s="62">
        <f>IF($V110&lt;&gt;"Macro","",IF(COUNTIFS($S$5:$S$1000,$S110,$V$5:$V$1000,"Macro",$H$5:$H$1000,"&gt;0")=0,1/COUNTIFS($S$5:$S$1000,$S110,$V$5:$V$1000,"Macro"),IF(AND(ISNUMBER($H110),N($H110)&gt;0),$H110,SUMIFS($H$5:$H$1000,$S$5:$S$1000,$S110,$V$5:$V$1000,"Macro")/COUNTIFS($S$5:$S$1000,$S110,$V$5:$V$1000,"Macro",$H$5:$H$1000,"&gt;0"))/(COUNTIFS($S$5:$S$1000,$S110,$V$5:$V$1000,"Macro")*SUMIFS($H$5:$H$1000,$S$5:$S$1000,$S110,$V$5:$V$1000,"Macro")/COUNTIFS($S$5:$S$1000,$S110,$V$5:$V$1000,"Macro",$H$5:$H$1000,"&gt;0"))))</f>
        <v/>
      </c>
      <c r="AH110" s="62" t="n"/>
      <c r="AI110" s="62" t="n"/>
      <c r="AJ110" s="62" t="n"/>
      <c r="AK110" s="62" t="n"/>
      <c r="AL110" s="62">
        <f>IF(LEFT($C110,11)="[Jefatura] ",IFERROR(MATCH("Riesgo Normativo|"&amp;MID($C110,12,500),rDname_ADM,0),0),"")</f>
        <v/>
      </c>
      <c r="AM110" s="62">
        <f>IF(N($AL110)&gt;0,INDEX(rIni_ADM,$AL110),IF(ISNUMBER($E110),$E110,""))</f>
        <v/>
      </c>
      <c r="AN110" s="62">
        <f>IF(N($AL110)&gt;0,INDEX(rLim_ADM,$AL110),IF(ISNUMBER($F110),$F110,""))</f>
        <v/>
      </c>
    </row>
    <row r="111">
      <c r="A111" s="56">
        <f>IF(NOT((COUNTA($B111:$D111)+COUNTA($G111:$L111)+COUNTA($Q111))&gt;0),"",IF($V111="Macro",COUNTIFS($V$5:$V111,"Macro",$S$5:$S111,$S111),IF(N($U111)=0,"?",COUNTIFS(INDEX($V$5:$V$1000,1):INDEX($V$5:$V$1000,$U111-4),"Macro",INDEX($S$5:$S$1000,1):INDEX($S$5:$S$1000,$U111-4),INDEX($S$5:$S$1000,$U111-4))&amp;"."&amp;COUNTIFS($U$5:$U111,$U111,$V$5:$V111,"Sub"))))</f>
        <v/>
      </c>
      <c r="B111" s="57" t="n"/>
      <c r="C111" s="58" t="n"/>
      <c r="D111" s="58" t="n"/>
      <c r="E111" s="59">
        <f>IF(N($AL111)&gt;0,INDEX(rIni_ADM,$AL111),"")</f>
        <v/>
      </c>
      <c r="F111" s="59">
        <f>IF(N($AL111)&gt;0,INDEX(rLim_ADM,$AL111),"")</f>
        <v/>
      </c>
      <c r="G111" s="59" t="n"/>
      <c r="H111" s="60" t="n"/>
      <c r="I111" s="60" t="n"/>
      <c r="J111" s="60" t="n"/>
      <c r="K111" s="60" t="n"/>
      <c r="L111" s="60" t="n"/>
      <c r="M111" s="61">
        <f>IF(NOT((COUNTA($B111:$D111)+COUNTA($G111:$L111)+COUNTA($Q111))&gt;0),"",IF(ISNUMBER($G111),1,IF(N($W111)&gt;0,AVERAGEIFS($X$5:$X$1000,$U$5:$U$1000,ROW(),$V$5:$V$1000,"Sub"),$X111)))</f>
        <v/>
      </c>
      <c r="N111" s="56">
        <f>IF($M111="","",IF($M111&gt;=1,"Completado",IF($M111&gt;0,"En curso","Pendiente")))</f>
        <v/>
      </c>
      <c r="O111" s="56">
        <f>IF(NOT((COUNTA($B111:$D111)+COUNTA($G111:$L111)+COUNTA($Q111))&gt;0),"",IF(ISNUMBER($G111),IF(AND(ISNUMBER($AN111),$G111&gt;$AN111),"Cumplida con "&amp;($G111-$AN111)&amp;IF($G111-$AN111=1," día"," días")&amp;" de retraso","Cumplida"),IF(N($M111)&gt;=1,"Cumplida",IF(NOT(ISNUMBER($AN111)),"Sin fecha límite",IF($AN111&lt;FechaRef,"Vencida hace "&amp;(FechaRef-$AN111)&amp;IF(FechaRef-$AN111=1," día"," días"),IF($AN111=FechaRef,"Vence hoy",IF($AN111-FechaRef&lt;=DiasAlerta,"Vence en "&amp;($AN111-FechaRef)&amp;IF($AN111-FechaRef=1," día"," días"),"En plazo")))))))</f>
        <v/>
      </c>
      <c r="P111" s="62" t="n"/>
      <c r="Q111" s="58" t="n"/>
      <c r="R111" s="63">
        <f>IF(NOT((COUNTA($B111:$D111)+COUNTA($G111:$L111)+COUNTA($Q111))&gt;0),"",IF((IF($C111="","Falta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",""))="","✔ OK","⚠ "&amp;LEFT(IF($C111="","Falta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",""),LEN(IF($C111="","Falta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",""))-3)))</f>
        <v/>
      </c>
      <c r="S111" s="64">
        <f>IF(NOT((COUNTA($B111:$D111)+COUNTA($G111:$L111)+COUNTA($Q111))&gt;0),"",IF(AND($V111="Sub",N($U111)&gt;0),IF(ISNUMBER(INDEX($AM$5:$AM$1000,$U111-4)),DATE(YEAR(INDEX($AM$5:$AM$1000,$U111-4)),MONTH(INDEX($AM$5:$AM$1000,$U111-4)),1),IF(ISNUMBER(INDEX($AN$5:$AN$1000,$U111-4)),DATE(YEAR(INDEX($AN$5:$AN$1000,$U111-4)),MONTH(INDEX($AN$5:$AN$1000,$U111-4)),1),MesCiclo)),IF(ISNUMBER($AM111),DATE(YEAR($AM111),MONTH($AM111),1),IF(ISNUMBER($AN111),DATE(YEAR($AN111),MONTH($AN111),1),MesCiclo))))</f>
        <v/>
      </c>
      <c r="T111" s="62">
        <f>IF(OR($S111="",$S111&lt;&gt;MesCiclo),"",COUNTIF($S$5:$S111,MesCiclo))</f>
        <v/>
      </c>
      <c r="U111" s="62">
        <f>IF($V111="","",IF($V111="Macro",ROW(),IFERROR(LOOKUP(2,1/($V$5:$V111="Macro"),ROW($V$5:$V111)),0)))</f>
        <v/>
      </c>
      <c r="V111" s="62">
        <f>IF(NOT((COUNTA($B111:$D111)+COUNTA($G111:$L111)+COUNTA($Q111))&gt;0),"",IF($B111="Subactividad","Sub","Macro"))</f>
        <v/>
      </c>
      <c r="W111" s="62">
        <f>IF($V111="Macro",COUNTIFS($U$5:$U$1000,ROW(),$V$5:$V$1000,"Sub"),"")</f>
        <v/>
      </c>
      <c r="X111" s="62">
        <f>IF($V111="","",IF(ISNUMBER($G111),1,IFERROR(LOOKUP(2,1/($I111:$L111&lt;&gt;""),$I111:$L111),0)))</f>
        <v/>
      </c>
      <c r="Y111" s="62">
        <f>IF($V111="","",IF(AND(ISNUMBER($G111),$G111&lt;=IF($S111=MesCiclo,InicioCiclo,$S111+MOD(2-WEEKDAY($S111),7))+6),1,IF(ISNUMBER($I111),$I111,0)))</f>
        <v/>
      </c>
      <c r="Z111" s="62">
        <f>IF($V111="","",IF(AND(ISNUMBER($G111),$G111&lt;=IF($S111=MesCiclo,InicioCiclo,$S111+MOD(2-WEEKDAY($S111),7))+13),1,IF(ISNUMBER($J111),$J111,$Y111)))</f>
        <v/>
      </c>
      <c r="AA111" s="62">
        <f>IF($V111="","",IF(AND(ISNUMBER($G111),$G111&lt;=IF($S111=MesCiclo,InicioCiclo,$S111+MOD(2-WEEKDAY($S111),7))+20),1,IF(ISNUMBER($K111),$K111,$Z111)))</f>
        <v/>
      </c>
      <c r="AB111" s="62">
        <f>IF($V111="","",IF(AND(ISNUMBER($G111),$G111&lt;=IF($S111=MesCiclo,InicioCiclo,$S111+MOD(2-WEEKDAY($S111),7))+27),1,IF(ISNUMBER($L111),$L111,$AA111)))</f>
        <v/>
      </c>
      <c r="AC111" s="62">
        <f>IF($V111="","",IF(AND(ISNUMBER($G111),$G111&lt;=IF($S111=MesCiclo,InicioCiclo,$S111+MOD(2-WEEKDAY($S111),7))+6),1,IF(N($W111)&gt;0,AVERAGEIFS($Y$5:$Y$1000,$U$5:$U$1000,ROW(),$V$5:$V$1000,"Sub"),$Y111)))</f>
        <v/>
      </c>
      <c r="AD111" s="62">
        <f>IF($V111="","",IF(AND(ISNUMBER($G111),$G111&lt;=IF($S111=MesCiclo,InicioCiclo,$S111+MOD(2-WEEKDAY($S111),7))+13),1,IF(N($W111)&gt;0,AVERAGEIFS($Z$5:$Z$1000,$U$5:$U$1000,ROW(),$V$5:$V$1000,"Sub"),$Z111)))</f>
        <v/>
      </c>
      <c r="AE111" s="62">
        <f>IF($V111="","",IF(AND(ISNUMBER($G111),$G111&lt;=IF($S111=MesCiclo,InicioCiclo,$S111+MOD(2-WEEKDAY($S111),7))+20),1,IF(N($W111)&gt;0,AVERAGEIFS($AA$5:$AA$1000,$U$5:$U$1000,ROW(),$V$5:$V$1000,"Sub"),$AA111)))</f>
        <v/>
      </c>
      <c r="AF111" s="62">
        <f>IF($V111="","",IF(AND(ISNUMBER($G111),$G111&lt;=IF($S111=MesCiclo,InicioCiclo,$S111+MOD(2-WEEKDAY($S111),7))+27),1,IF(N($W111)&gt;0,AVERAGEIFS($AB$5:$AB$1000,$U$5:$U$1000,ROW(),$V$5:$V$1000,"Sub"),$AB111)))</f>
        <v/>
      </c>
      <c r="AG111" s="62">
        <f>IF($V111&lt;&gt;"Macro","",IF(COUNTIFS($S$5:$S$1000,$S111,$V$5:$V$1000,"Macro",$H$5:$H$1000,"&gt;0")=0,1/COUNTIFS($S$5:$S$1000,$S111,$V$5:$V$1000,"Macro"),IF(AND(ISNUMBER($H111),N($H111)&gt;0),$H111,SUMIFS($H$5:$H$1000,$S$5:$S$1000,$S111,$V$5:$V$1000,"Macro")/COUNTIFS($S$5:$S$1000,$S111,$V$5:$V$1000,"Macro",$H$5:$H$1000,"&gt;0"))/(COUNTIFS($S$5:$S$1000,$S111,$V$5:$V$1000,"Macro")*SUMIFS($H$5:$H$1000,$S$5:$S$1000,$S111,$V$5:$V$1000,"Macro")/COUNTIFS($S$5:$S$1000,$S111,$V$5:$V$1000,"Macro",$H$5:$H$1000,"&gt;0"))))</f>
        <v/>
      </c>
      <c r="AH111" s="62" t="n"/>
      <c r="AI111" s="62" t="n"/>
      <c r="AJ111" s="62" t="n"/>
      <c r="AK111" s="62" t="n"/>
      <c r="AL111" s="62">
        <f>IF(LEFT($C111,11)="[Jefatura] ",IFERROR(MATCH("Riesgo Normativo|"&amp;MID($C111,12,500),rDname_ADM,0),0),"")</f>
        <v/>
      </c>
      <c r="AM111" s="62">
        <f>IF(N($AL111)&gt;0,INDEX(rIni_ADM,$AL111),IF(ISNUMBER($E111),$E111,""))</f>
        <v/>
      </c>
      <c r="AN111" s="62">
        <f>IF(N($AL111)&gt;0,INDEX(rLim_ADM,$AL111),IF(ISNUMBER($F111),$F111,""))</f>
        <v/>
      </c>
    </row>
    <row r="112">
      <c r="A112" s="56">
        <f>IF(NOT((COUNTA($B112:$D112)+COUNTA($G112:$L112)+COUNTA($Q112))&gt;0),"",IF($V112="Macro",COUNTIFS($V$5:$V112,"Macro",$S$5:$S112,$S112),IF(N($U112)=0,"?",COUNTIFS(INDEX($V$5:$V$1000,1):INDEX($V$5:$V$1000,$U112-4),"Macro",INDEX($S$5:$S$1000,1):INDEX($S$5:$S$1000,$U112-4),INDEX($S$5:$S$1000,$U112-4))&amp;"."&amp;COUNTIFS($U$5:$U112,$U112,$V$5:$V112,"Sub"))))</f>
        <v/>
      </c>
      <c r="B112" s="57" t="n"/>
      <c r="C112" s="58" t="n"/>
      <c r="D112" s="58" t="n"/>
      <c r="E112" s="59">
        <f>IF(N($AL112)&gt;0,INDEX(rIni_ADM,$AL112),"")</f>
        <v/>
      </c>
      <c r="F112" s="59">
        <f>IF(N($AL112)&gt;0,INDEX(rLim_ADM,$AL112),"")</f>
        <v/>
      </c>
      <c r="G112" s="59" t="n"/>
      <c r="H112" s="60" t="n"/>
      <c r="I112" s="60" t="n"/>
      <c r="J112" s="60" t="n"/>
      <c r="K112" s="60" t="n"/>
      <c r="L112" s="60" t="n"/>
      <c r="M112" s="61">
        <f>IF(NOT((COUNTA($B112:$D112)+COUNTA($G112:$L112)+COUNTA($Q112))&gt;0),"",IF(ISNUMBER($G112),1,IF(N($W112)&gt;0,AVERAGEIFS($X$5:$X$1000,$U$5:$U$1000,ROW(),$V$5:$V$1000,"Sub"),$X112)))</f>
        <v/>
      </c>
      <c r="N112" s="56">
        <f>IF($M112="","",IF($M112&gt;=1,"Completado",IF($M112&gt;0,"En curso","Pendiente")))</f>
        <v/>
      </c>
      <c r="O112" s="56">
        <f>IF(NOT((COUNTA($B112:$D112)+COUNTA($G112:$L112)+COUNTA($Q112))&gt;0),"",IF(ISNUMBER($G112),IF(AND(ISNUMBER($AN112),$G112&gt;$AN112),"Cumplida con "&amp;($G112-$AN112)&amp;IF($G112-$AN112=1," día"," días")&amp;" de retraso","Cumplida"),IF(N($M112)&gt;=1,"Cumplida",IF(NOT(ISNUMBER($AN112)),"Sin fecha límite",IF($AN112&lt;FechaRef,"Vencida hace "&amp;(FechaRef-$AN112)&amp;IF(FechaRef-$AN112=1," día"," días"),IF($AN112=FechaRef,"Vence hoy",IF($AN112-FechaRef&lt;=DiasAlerta,"Vence en "&amp;($AN112-FechaRef)&amp;IF($AN112-FechaRef=1," día"," días"),"En plazo")))))))</f>
        <v/>
      </c>
      <c r="P112" s="62" t="n"/>
      <c r="Q112" s="58" t="n"/>
      <c r="R112" s="63">
        <f>IF(NOT((COUNTA($B112:$D112)+COUNTA($G112:$L112)+COUNTA($Q112))&gt;0),"",IF((IF($C112="","Falta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",""))="","✔ OK","⚠ "&amp;LEFT(IF($C112="","Falta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",""),LEN(IF($C112="","Falta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",""))-3)))</f>
        <v/>
      </c>
      <c r="S112" s="64">
        <f>IF(NOT((COUNTA($B112:$D112)+COUNTA($G112:$L112)+COUNTA($Q112))&gt;0),"",IF(AND($V112="Sub",N($U112)&gt;0),IF(ISNUMBER(INDEX($AM$5:$AM$1000,$U112-4)),DATE(YEAR(INDEX($AM$5:$AM$1000,$U112-4)),MONTH(INDEX($AM$5:$AM$1000,$U112-4)),1),IF(ISNUMBER(INDEX($AN$5:$AN$1000,$U112-4)),DATE(YEAR(INDEX($AN$5:$AN$1000,$U112-4)),MONTH(INDEX($AN$5:$AN$1000,$U112-4)),1),MesCiclo)),IF(ISNUMBER($AM112),DATE(YEAR($AM112),MONTH($AM112),1),IF(ISNUMBER($AN112),DATE(YEAR($AN112),MONTH($AN112),1),MesCiclo))))</f>
        <v/>
      </c>
      <c r="T112" s="62">
        <f>IF(OR($S112="",$S112&lt;&gt;MesCiclo),"",COUNTIF($S$5:$S112,MesCiclo))</f>
        <v/>
      </c>
      <c r="U112" s="62">
        <f>IF($V112="","",IF($V112="Macro",ROW(),IFERROR(LOOKUP(2,1/($V$5:$V112="Macro"),ROW($V$5:$V112)),0)))</f>
        <v/>
      </c>
      <c r="V112" s="62">
        <f>IF(NOT((COUNTA($B112:$D112)+COUNTA($G112:$L112)+COUNTA($Q112))&gt;0),"",IF($B112="Subactividad","Sub","Macro"))</f>
        <v/>
      </c>
      <c r="W112" s="62">
        <f>IF($V112="Macro",COUNTIFS($U$5:$U$1000,ROW(),$V$5:$V$1000,"Sub"),"")</f>
        <v/>
      </c>
      <c r="X112" s="62">
        <f>IF($V112="","",IF(ISNUMBER($G112),1,IFERROR(LOOKUP(2,1/($I112:$L112&lt;&gt;""),$I112:$L112),0)))</f>
        <v/>
      </c>
      <c r="Y112" s="62">
        <f>IF($V112="","",IF(AND(ISNUMBER($G112),$G112&lt;=IF($S112=MesCiclo,InicioCiclo,$S112+MOD(2-WEEKDAY($S112),7))+6),1,IF(ISNUMBER($I112),$I112,0)))</f>
        <v/>
      </c>
      <c r="Z112" s="62">
        <f>IF($V112="","",IF(AND(ISNUMBER($G112),$G112&lt;=IF($S112=MesCiclo,InicioCiclo,$S112+MOD(2-WEEKDAY($S112),7))+13),1,IF(ISNUMBER($J112),$J112,$Y112)))</f>
        <v/>
      </c>
      <c r="AA112" s="62">
        <f>IF($V112="","",IF(AND(ISNUMBER($G112),$G112&lt;=IF($S112=MesCiclo,InicioCiclo,$S112+MOD(2-WEEKDAY($S112),7))+20),1,IF(ISNUMBER($K112),$K112,$Z112)))</f>
        <v/>
      </c>
      <c r="AB112" s="62">
        <f>IF($V112="","",IF(AND(ISNUMBER($G112),$G112&lt;=IF($S112=MesCiclo,InicioCiclo,$S112+MOD(2-WEEKDAY($S112),7))+27),1,IF(ISNUMBER($L112),$L112,$AA112)))</f>
        <v/>
      </c>
      <c r="AC112" s="62">
        <f>IF($V112="","",IF(AND(ISNUMBER($G112),$G112&lt;=IF($S112=MesCiclo,InicioCiclo,$S112+MOD(2-WEEKDAY($S112),7))+6),1,IF(N($W112)&gt;0,AVERAGEIFS($Y$5:$Y$1000,$U$5:$U$1000,ROW(),$V$5:$V$1000,"Sub"),$Y112)))</f>
        <v/>
      </c>
      <c r="AD112" s="62">
        <f>IF($V112="","",IF(AND(ISNUMBER($G112),$G112&lt;=IF($S112=MesCiclo,InicioCiclo,$S112+MOD(2-WEEKDAY($S112),7))+13),1,IF(N($W112)&gt;0,AVERAGEIFS($Z$5:$Z$1000,$U$5:$U$1000,ROW(),$V$5:$V$1000,"Sub"),$Z112)))</f>
        <v/>
      </c>
      <c r="AE112" s="62">
        <f>IF($V112="","",IF(AND(ISNUMBER($G112),$G112&lt;=IF($S112=MesCiclo,InicioCiclo,$S112+MOD(2-WEEKDAY($S112),7))+20),1,IF(N($W112)&gt;0,AVERAGEIFS($AA$5:$AA$1000,$U$5:$U$1000,ROW(),$V$5:$V$1000,"Sub"),$AA112)))</f>
        <v/>
      </c>
      <c r="AF112" s="62">
        <f>IF($V112="","",IF(AND(ISNUMBER($G112),$G112&lt;=IF($S112=MesCiclo,InicioCiclo,$S112+MOD(2-WEEKDAY($S112),7))+27),1,IF(N($W112)&gt;0,AVERAGEIFS($AB$5:$AB$1000,$U$5:$U$1000,ROW(),$V$5:$V$1000,"Sub"),$AB112)))</f>
        <v/>
      </c>
      <c r="AG112" s="62">
        <f>IF($V112&lt;&gt;"Macro","",IF(COUNTIFS($S$5:$S$1000,$S112,$V$5:$V$1000,"Macro",$H$5:$H$1000,"&gt;0")=0,1/COUNTIFS($S$5:$S$1000,$S112,$V$5:$V$1000,"Macro"),IF(AND(ISNUMBER($H112),N($H112)&gt;0),$H112,SUMIFS($H$5:$H$1000,$S$5:$S$1000,$S112,$V$5:$V$1000,"Macro")/COUNTIFS($S$5:$S$1000,$S112,$V$5:$V$1000,"Macro",$H$5:$H$1000,"&gt;0"))/(COUNTIFS($S$5:$S$1000,$S112,$V$5:$V$1000,"Macro")*SUMIFS($H$5:$H$1000,$S$5:$S$1000,$S112,$V$5:$V$1000,"Macro")/COUNTIFS($S$5:$S$1000,$S112,$V$5:$V$1000,"Macro",$H$5:$H$1000,"&gt;0"))))</f>
        <v/>
      </c>
      <c r="AH112" s="62" t="n"/>
      <c r="AI112" s="62" t="n"/>
      <c r="AJ112" s="62" t="n"/>
      <c r="AK112" s="62" t="n"/>
      <c r="AL112" s="62">
        <f>IF(LEFT($C112,11)="[Jefatura] ",IFERROR(MATCH("Riesgo Normativo|"&amp;MID($C112,12,500),rDname_ADM,0),0),"")</f>
        <v/>
      </c>
      <c r="AM112" s="62">
        <f>IF(N($AL112)&gt;0,INDEX(rIni_ADM,$AL112),IF(ISNUMBER($E112),$E112,""))</f>
        <v/>
      </c>
      <c r="AN112" s="62">
        <f>IF(N($AL112)&gt;0,INDEX(rLim_ADM,$AL112),IF(ISNUMBER($F112),$F112,""))</f>
        <v/>
      </c>
    </row>
    <row r="113">
      <c r="A113" s="56">
        <f>IF(NOT((COUNTA($B113:$D113)+COUNTA($G113:$L113)+COUNTA($Q113))&gt;0),"",IF($V113="Macro",COUNTIFS($V$5:$V113,"Macro",$S$5:$S113,$S113),IF(N($U113)=0,"?",COUNTIFS(INDEX($V$5:$V$1000,1):INDEX($V$5:$V$1000,$U113-4),"Macro",INDEX($S$5:$S$1000,1):INDEX($S$5:$S$1000,$U113-4),INDEX($S$5:$S$1000,$U113-4))&amp;"."&amp;COUNTIFS($U$5:$U113,$U113,$V$5:$V113,"Sub"))))</f>
        <v/>
      </c>
      <c r="B113" s="57" t="n"/>
      <c r="C113" s="58" t="n"/>
      <c r="D113" s="58" t="n"/>
      <c r="E113" s="59">
        <f>IF(N($AL113)&gt;0,INDEX(rIni_ADM,$AL113),"")</f>
        <v/>
      </c>
      <c r="F113" s="59">
        <f>IF(N($AL113)&gt;0,INDEX(rLim_ADM,$AL113),"")</f>
        <v/>
      </c>
      <c r="G113" s="59" t="n"/>
      <c r="H113" s="60" t="n"/>
      <c r="I113" s="60" t="n"/>
      <c r="J113" s="60" t="n"/>
      <c r="K113" s="60" t="n"/>
      <c r="L113" s="60" t="n"/>
      <c r="M113" s="61">
        <f>IF(NOT((COUNTA($B113:$D113)+COUNTA($G113:$L113)+COUNTA($Q113))&gt;0),"",IF(ISNUMBER($G113),1,IF(N($W113)&gt;0,AVERAGEIFS($X$5:$X$1000,$U$5:$U$1000,ROW(),$V$5:$V$1000,"Sub"),$X113)))</f>
        <v/>
      </c>
      <c r="N113" s="56">
        <f>IF($M113="","",IF($M113&gt;=1,"Completado",IF($M113&gt;0,"En curso","Pendiente")))</f>
        <v/>
      </c>
      <c r="O113" s="56">
        <f>IF(NOT((COUNTA($B113:$D113)+COUNTA($G113:$L113)+COUNTA($Q113))&gt;0),"",IF(ISNUMBER($G113),IF(AND(ISNUMBER($AN113),$G113&gt;$AN113),"Cumplida con "&amp;($G113-$AN113)&amp;IF($G113-$AN113=1," día"," días")&amp;" de retraso","Cumplida"),IF(N($M113)&gt;=1,"Cumplida",IF(NOT(ISNUMBER($AN113)),"Sin fecha límite",IF($AN113&lt;FechaRef,"Vencida hace "&amp;(FechaRef-$AN113)&amp;IF(FechaRef-$AN113=1," día"," días"),IF($AN113=FechaRef,"Vence hoy",IF($AN113-FechaRef&lt;=DiasAlerta,"Vence en "&amp;($AN113-FechaRef)&amp;IF($AN113-FechaRef=1," día"," días"),"En plazo")))))))</f>
        <v/>
      </c>
      <c r="P113" s="62" t="n"/>
      <c r="Q113" s="58" t="n"/>
      <c r="R113" s="63">
        <f>IF(NOT((COUNTA($B113:$D113)+COUNTA($G113:$L113)+COUNTA($Q113))&gt;0),"",IF((IF($C113="","Falta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",""))="","✔ OK","⚠ "&amp;LEFT(IF($C113="","Falta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",""),LEN(IF($C113="","Falta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",""))-3)))</f>
        <v/>
      </c>
      <c r="S113" s="64">
        <f>IF(NOT((COUNTA($B113:$D113)+COUNTA($G113:$L113)+COUNTA($Q113))&gt;0),"",IF(AND($V113="Sub",N($U113)&gt;0),IF(ISNUMBER(INDEX($AM$5:$AM$1000,$U113-4)),DATE(YEAR(INDEX($AM$5:$AM$1000,$U113-4)),MONTH(INDEX($AM$5:$AM$1000,$U113-4)),1),IF(ISNUMBER(INDEX($AN$5:$AN$1000,$U113-4)),DATE(YEAR(INDEX($AN$5:$AN$1000,$U113-4)),MONTH(INDEX($AN$5:$AN$1000,$U113-4)),1),MesCiclo)),IF(ISNUMBER($AM113),DATE(YEAR($AM113),MONTH($AM113),1),IF(ISNUMBER($AN113),DATE(YEAR($AN113),MONTH($AN113),1),MesCiclo))))</f>
        <v/>
      </c>
      <c r="T113" s="62">
        <f>IF(OR($S113="",$S113&lt;&gt;MesCiclo),"",COUNTIF($S$5:$S113,MesCiclo))</f>
        <v/>
      </c>
      <c r="U113" s="62">
        <f>IF($V113="","",IF($V113="Macro",ROW(),IFERROR(LOOKUP(2,1/($V$5:$V113="Macro"),ROW($V$5:$V113)),0)))</f>
        <v/>
      </c>
      <c r="V113" s="62">
        <f>IF(NOT((COUNTA($B113:$D113)+COUNTA($G113:$L113)+COUNTA($Q113))&gt;0),"",IF($B113="Subactividad","Sub","Macro"))</f>
        <v/>
      </c>
      <c r="W113" s="62">
        <f>IF($V113="Macro",COUNTIFS($U$5:$U$1000,ROW(),$V$5:$V$1000,"Sub"),"")</f>
        <v/>
      </c>
      <c r="X113" s="62">
        <f>IF($V113="","",IF(ISNUMBER($G113),1,IFERROR(LOOKUP(2,1/($I113:$L113&lt;&gt;""),$I113:$L113),0)))</f>
        <v/>
      </c>
      <c r="Y113" s="62">
        <f>IF($V113="","",IF(AND(ISNUMBER($G113),$G113&lt;=IF($S113=MesCiclo,InicioCiclo,$S113+MOD(2-WEEKDAY($S113),7))+6),1,IF(ISNUMBER($I113),$I113,0)))</f>
        <v/>
      </c>
      <c r="Z113" s="62">
        <f>IF($V113="","",IF(AND(ISNUMBER($G113),$G113&lt;=IF($S113=MesCiclo,InicioCiclo,$S113+MOD(2-WEEKDAY($S113),7))+13),1,IF(ISNUMBER($J113),$J113,$Y113)))</f>
        <v/>
      </c>
      <c r="AA113" s="62">
        <f>IF($V113="","",IF(AND(ISNUMBER($G113),$G113&lt;=IF($S113=MesCiclo,InicioCiclo,$S113+MOD(2-WEEKDAY($S113),7))+20),1,IF(ISNUMBER($K113),$K113,$Z113)))</f>
        <v/>
      </c>
      <c r="AB113" s="62">
        <f>IF($V113="","",IF(AND(ISNUMBER($G113),$G113&lt;=IF($S113=MesCiclo,InicioCiclo,$S113+MOD(2-WEEKDAY($S113),7))+27),1,IF(ISNUMBER($L113),$L113,$AA113)))</f>
        <v/>
      </c>
      <c r="AC113" s="62">
        <f>IF($V113="","",IF(AND(ISNUMBER($G113),$G113&lt;=IF($S113=MesCiclo,InicioCiclo,$S113+MOD(2-WEEKDAY($S113),7))+6),1,IF(N($W113)&gt;0,AVERAGEIFS($Y$5:$Y$1000,$U$5:$U$1000,ROW(),$V$5:$V$1000,"Sub"),$Y113)))</f>
        <v/>
      </c>
      <c r="AD113" s="62">
        <f>IF($V113="","",IF(AND(ISNUMBER($G113),$G113&lt;=IF($S113=MesCiclo,InicioCiclo,$S113+MOD(2-WEEKDAY($S113),7))+13),1,IF(N($W113)&gt;0,AVERAGEIFS($Z$5:$Z$1000,$U$5:$U$1000,ROW(),$V$5:$V$1000,"Sub"),$Z113)))</f>
        <v/>
      </c>
      <c r="AE113" s="62">
        <f>IF($V113="","",IF(AND(ISNUMBER($G113),$G113&lt;=IF($S113=MesCiclo,InicioCiclo,$S113+MOD(2-WEEKDAY($S113),7))+20),1,IF(N($W113)&gt;0,AVERAGEIFS($AA$5:$AA$1000,$U$5:$U$1000,ROW(),$V$5:$V$1000,"Sub"),$AA113)))</f>
        <v/>
      </c>
      <c r="AF113" s="62">
        <f>IF($V113="","",IF(AND(ISNUMBER($G113),$G113&lt;=IF($S113=MesCiclo,InicioCiclo,$S113+MOD(2-WEEKDAY($S113),7))+27),1,IF(N($W113)&gt;0,AVERAGEIFS($AB$5:$AB$1000,$U$5:$U$1000,ROW(),$V$5:$V$1000,"Sub"),$AB113)))</f>
        <v/>
      </c>
      <c r="AG113" s="62">
        <f>IF($V113&lt;&gt;"Macro","",IF(COUNTIFS($S$5:$S$1000,$S113,$V$5:$V$1000,"Macro",$H$5:$H$1000,"&gt;0")=0,1/COUNTIFS($S$5:$S$1000,$S113,$V$5:$V$1000,"Macro"),IF(AND(ISNUMBER($H113),N($H113)&gt;0),$H113,SUMIFS($H$5:$H$1000,$S$5:$S$1000,$S113,$V$5:$V$1000,"Macro")/COUNTIFS($S$5:$S$1000,$S113,$V$5:$V$1000,"Macro",$H$5:$H$1000,"&gt;0"))/(COUNTIFS($S$5:$S$1000,$S113,$V$5:$V$1000,"Macro")*SUMIFS($H$5:$H$1000,$S$5:$S$1000,$S113,$V$5:$V$1000,"Macro")/COUNTIFS($S$5:$S$1000,$S113,$V$5:$V$1000,"Macro",$H$5:$H$1000,"&gt;0"))))</f>
        <v/>
      </c>
      <c r="AH113" s="62" t="n"/>
      <c r="AI113" s="62" t="n"/>
      <c r="AJ113" s="62" t="n"/>
      <c r="AK113" s="62" t="n"/>
      <c r="AL113" s="62">
        <f>IF(LEFT($C113,11)="[Jefatura] ",IFERROR(MATCH("Riesgo Normativo|"&amp;MID($C113,12,500),rDname_ADM,0),0),"")</f>
        <v/>
      </c>
      <c r="AM113" s="62">
        <f>IF(N($AL113)&gt;0,INDEX(rIni_ADM,$AL113),IF(ISNUMBER($E113),$E113,""))</f>
        <v/>
      </c>
      <c r="AN113" s="62">
        <f>IF(N($AL113)&gt;0,INDEX(rLim_ADM,$AL113),IF(ISNUMBER($F113),$F113,""))</f>
        <v/>
      </c>
    </row>
    <row r="114">
      <c r="A114" s="56">
        <f>IF(NOT((COUNTA($B114:$D114)+COUNTA($G114:$L114)+COUNTA($Q114))&gt;0),"",IF($V114="Macro",COUNTIFS($V$5:$V114,"Macro",$S$5:$S114,$S114),IF(N($U114)=0,"?",COUNTIFS(INDEX($V$5:$V$1000,1):INDEX($V$5:$V$1000,$U114-4),"Macro",INDEX($S$5:$S$1000,1):INDEX($S$5:$S$1000,$U114-4),INDEX($S$5:$S$1000,$U114-4))&amp;"."&amp;COUNTIFS($U$5:$U114,$U114,$V$5:$V114,"Sub"))))</f>
        <v/>
      </c>
      <c r="B114" s="57" t="n"/>
      <c r="C114" s="58" t="n"/>
      <c r="D114" s="58" t="n"/>
      <c r="E114" s="59">
        <f>IF(N($AL114)&gt;0,INDEX(rIni_ADM,$AL114),"")</f>
        <v/>
      </c>
      <c r="F114" s="59">
        <f>IF(N($AL114)&gt;0,INDEX(rLim_ADM,$AL114),"")</f>
        <v/>
      </c>
      <c r="G114" s="59" t="n"/>
      <c r="H114" s="60" t="n"/>
      <c r="I114" s="60" t="n"/>
      <c r="J114" s="60" t="n"/>
      <c r="K114" s="60" t="n"/>
      <c r="L114" s="60" t="n"/>
      <c r="M114" s="61">
        <f>IF(NOT((COUNTA($B114:$D114)+COUNTA($G114:$L114)+COUNTA($Q114))&gt;0),"",IF(ISNUMBER($G114),1,IF(N($W114)&gt;0,AVERAGEIFS($X$5:$X$1000,$U$5:$U$1000,ROW(),$V$5:$V$1000,"Sub"),$X114)))</f>
        <v/>
      </c>
      <c r="N114" s="56">
        <f>IF($M114="","",IF($M114&gt;=1,"Completado",IF($M114&gt;0,"En curso","Pendiente")))</f>
        <v/>
      </c>
      <c r="O114" s="56">
        <f>IF(NOT((COUNTA($B114:$D114)+COUNTA($G114:$L114)+COUNTA($Q114))&gt;0),"",IF(ISNUMBER($G114),IF(AND(ISNUMBER($AN114),$G114&gt;$AN114),"Cumplida con "&amp;($G114-$AN114)&amp;IF($G114-$AN114=1," día"," días")&amp;" de retraso","Cumplida"),IF(N($M114)&gt;=1,"Cumplida",IF(NOT(ISNUMBER($AN114)),"Sin fecha límite",IF($AN114&lt;FechaRef,"Vencida hace "&amp;(FechaRef-$AN114)&amp;IF(FechaRef-$AN114=1," día"," días"),IF($AN114=FechaRef,"Vence hoy",IF($AN114-FechaRef&lt;=DiasAlerta,"Vence en "&amp;($AN114-FechaRef)&amp;IF($AN114-FechaRef=1," día"," días"),"En plazo")))))))</f>
        <v/>
      </c>
      <c r="P114" s="62" t="n"/>
      <c r="Q114" s="58" t="n"/>
      <c r="R114" s="63">
        <f>IF(NOT((COUNTA($B114:$D114)+COUNTA($G114:$L114)+COUNTA($Q114))&gt;0),"",IF((IF($C114="","Falta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",""))="","✔ OK","⚠ "&amp;LEFT(IF($C114="","Falta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",""),LEN(IF($C114="","Falta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",""))-3)))</f>
        <v/>
      </c>
      <c r="S114" s="64">
        <f>IF(NOT((COUNTA($B114:$D114)+COUNTA($G114:$L114)+COUNTA($Q114))&gt;0),"",IF(AND($V114="Sub",N($U114)&gt;0),IF(ISNUMBER(INDEX($AM$5:$AM$1000,$U114-4)),DATE(YEAR(INDEX($AM$5:$AM$1000,$U114-4)),MONTH(INDEX($AM$5:$AM$1000,$U114-4)),1),IF(ISNUMBER(INDEX($AN$5:$AN$1000,$U114-4)),DATE(YEAR(INDEX($AN$5:$AN$1000,$U114-4)),MONTH(INDEX($AN$5:$AN$1000,$U114-4)),1),MesCiclo)),IF(ISNUMBER($AM114),DATE(YEAR($AM114),MONTH($AM114),1),IF(ISNUMBER($AN114),DATE(YEAR($AN114),MONTH($AN114),1),MesCiclo))))</f>
        <v/>
      </c>
      <c r="T114" s="62">
        <f>IF(OR($S114="",$S114&lt;&gt;MesCiclo),"",COUNTIF($S$5:$S114,MesCiclo))</f>
        <v/>
      </c>
      <c r="U114" s="62">
        <f>IF($V114="","",IF($V114="Macro",ROW(),IFERROR(LOOKUP(2,1/($V$5:$V114="Macro"),ROW($V$5:$V114)),0)))</f>
        <v/>
      </c>
      <c r="V114" s="62">
        <f>IF(NOT((COUNTA($B114:$D114)+COUNTA($G114:$L114)+COUNTA($Q114))&gt;0),"",IF($B114="Subactividad","Sub","Macro"))</f>
        <v/>
      </c>
      <c r="W114" s="62">
        <f>IF($V114="Macro",COUNTIFS($U$5:$U$1000,ROW(),$V$5:$V$1000,"Sub"),"")</f>
        <v/>
      </c>
      <c r="X114" s="62">
        <f>IF($V114="","",IF(ISNUMBER($G114),1,IFERROR(LOOKUP(2,1/($I114:$L114&lt;&gt;""),$I114:$L114),0)))</f>
        <v/>
      </c>
      <c r="Y114" s="62">
        <f>IF($V114="","",IF(AND(ISNUMBER($G114),$G114&lt;=IF($S114=MesCiclo,InicioCiclo,$S114+MOD(2-WEEKDAY($S114),7))+6),1,IF(ISNUMBER($I114),$I114,0)))</f>
        <v/>
      </c>
      <c r="Z114" s="62">
        <f>IF($V114="","",IF(AND(ISNUMBER($G114),$G114&lt;=IF($S114=MesCiclo,InicioCiclo,$S114+MOD(2-WEEKDAY($S114),7))+13),1,IF(ISNUMBER($J114),$J114,$Y114)))</f>
        <v/>
      </c>
      <c r="AA114" s="62">
        <f>IF($V114="","",IF(AND(ISNUMBER($G114),$G114&lt;=IF($S114=MesCiclo,InicioCiclo,$S114+MOD(2-WEEKDAY($S114),7))+20),1,IF(ISNUMBER($K114),$K114,$Z114)))</f>
        <v/>
      </c>
      <c r="AB114" s="62">
        <f>IF($V114="","",IF(AND(ISNUMBER($G114),$G114&lt;=IF($S114=MesCiclo,InicioCiclo,$S114+MOD(2-WEEKDAY($S114),7))+27),1,IF(ISNUMBER($L114),$L114,$AA114)))</f>
        <v/>
      </c>
      <c r="AC114" s="62">
        <f>IF($V114="","",IF(AND(ISNUMBER($G114),$G114&lt;=IF($S114=MesCiclo,InicioCiclo,$S114+MOD(2-WEEKDAY($S114),7))+6),1,IF(N($W114)&gt;0,AVERAGEIFS($Y$5:$Y$1000,$U$5:$U$1000,ROW(),$V$5:$V$1000,"Sub"),$Y114)))</f>
        <v/>
      </c>
      <c r="AD114" s="62">
        <f>IF($V114="","",IF(AND(ISNUMBER($G114),$G114&lt;=IF($S114=MesCiclo,InicioCiclo,$S114+MOD(2-WEEKDAY($S114),7))+13),1,IF(N($W114)&gt;0,AVERAGEIFS($Z$5:$Z$1000,$U$5:$U$1000,ROW(),$V$5:$V$1000,"Sub"),$Z114)))</f>
        <v/>
      </c>
      <c r="AE114" s="62">
        <f>IF($V114="","",IF(AND(ISNUMBER($G114),$G114&lt;=IF($S114=MesCiclo,InicioCiclo,$S114+MOD(2-WEEKDAY($S114),7))+20),1,IF(N($W114)&gt;0,AVERAGEIFS($AA$5:$AA$1000,$U$5:$U$1000,ROW(),$V$5:$V$1000,"Sub"),$AA114)))</f>
        <v/>
      </c>
      <c r="AF114" s="62">
        <f>IF($V114="","",IF(AND(ISNUMBER($G114),$G114&lt;=IF($S114=MesCiclo,InicioCiclo,$S114+MOD(2-WEEKDAY($S114),7))+27),1,IF(N($W114)&gt;0,AVERAGEIFS($AB$5:$AB$1000,$U$5:$U$1000,ROW(),$V$5:$V$1000,"Sub"),$AB114)))</f>
        <v/>
      </c>
      <c r="AG114" s="62">
        <f>IF($V114&lt;&gt;"Macro","",IF(COUNTIFS($S$5:$S$1000,$S114,$V$5:$V$1000,"Macro",$H$5:$H$1000,"&gt;0")=0,1/COUNTIFS($S$5:$S$1000,$S114,$V$5:$V$1000,"Macro"),IF(AND(ISNUMBER($H114),N($H114)&gt;0),$H114,SUMIFS($H$5:$H$1000,$S$5:$S$1000,$S114,$V$5:$V$1000,"Macro")/COUNTIFS($S$5:$S$1000,$S114,$V$5:$V$1000,"Macro",$H$5:$H$1000,"&gt;0"))/(COUNTIFS($S$5:$S$1000,$S114,$V$5:$V$1000,"Macro")*SUMIFS($H$5:$H$1000,$S$5:$S$1000,$S114,$V$5:$V$1000,"Macro")/COUNTIFS($S$5:$S$1000,$S114,$V$5:$V$1000,"Macro",$H$5:$H$1000,"&gt;0"))))</f>
        <v/>
      </c>
      <c r="AH114" s="62" t="n"/>
      <c r="AI114" s="62" t="n"/>
      <c r="AJ114" s="62" t="n"/>
      <c r="AK114" s="62" t="n"/>
      <c r="AL114" s="62">
        <f>IF(LEFT($C114,11)="[Jefatura] ",IFERROR(MATCH("Riesgo Normativo|"&amp;MID($C114,12,500),rDname_ADM,0),0),"")</f>
        <v/>
      </c>
      <c r="AM114" s="62">
        <f>IF(N($AL114)&gt;0,INDEX(rIni_ADM,$AL114),IF(ISNUMBER($E114),$E114,""))</f>
        <v/>
      </c>
      <c r="AN114" s="62">
        <f>IF(N($AL114)&gt;0,INDEX(rLim_ADM,$AL114),IF(ISNUMBER($F114),$F114,""))</f>
        <v/>
      </c>
    </row>
    <row r="115">
      <c r="A115" s="56">
        <f>IF(NOT((COUNTA($B115:$D115)+COUNTA($G115:$L115)+COUNTA($Q115))&gt;0),"",IF($V115="Macro",COUNTIFS($V$5:$V115,"Macro",$S$5:$S115,$S115),IF(N($U115)=0,"?",COUNTIFS(INDEX($V$5:$V$1000,1):INDEX($V$5:$V$1000,$U115-4),"Macro",INDEX($S$5:$S$1000,1):INDEX($S$5:$S$1000,$U115-4),INDEX($S$5:$S$1000,$U115-4))&amp;"."&amp;COUNTIFS($U$5:$U115,$U115,$V$5:$V115,"Sub"))))</f>
        <v/>
      </c>
      <c r="B115" s="57" t="n"/>
      <c r="C115" s="58" t="n"/>
      <c r="D115" s="58" t="n"/>
      <c r="E115" s="59">
        <f>IF(N($AL115)&gt;0,INDEX(rIni_ADM,$AL115),"")</f>
        <v/>
      </c>
      <c r="F115" s="59">
        <f>IF(N($AL115)&gt;0,INDEX(rLim_ADM,$AL115),"")</f>
        <v/>
      </c>
      <c r="G115" s="59" t="n"/>
      <c r="H115" s="60" t="n"/>
      <c r="I115" s="60" t="n"/>
      <c r="J115" s="60" t="n"/>
      <c r="K115" s="60" t="n"/>
      <c r="L115" s="60" t="n"/>
      <c r="M115" s="61">
        <f>IF(NOT((COUNTA($B115:$D115)+COUNTA($G115:$L115)+COUNTA($Q115))&gt;0),"",IF(ISNUMBER($G115),1,IF(N($W115)&gt;0,AVERAGEIFS($X$5:$X$1000,$U$5:$U$1000,ROW(),$V$5:$V$1000,"Sub"),$X115)))</f>
        <v/>
      </c>
      <c r="N115" s="56">
        <f>IF($M115="","",IF($M115&gt;=1,"Completado",IF($M115&gt;0,"En curso","Pendiente")))</f>
        <v/>
      </c>
      <c r="O115" s="56">
        <f>IF(NOT((COUNTA($B115:$D115)+COUNTA($G115:$L115)+COUNTA($Q115))&gt;0),"",IF(ISNUMBER($G115),IF(AND(ISNUMBER($AN115),$G115&gt;$AN115),"Cumplida con "&amp;($G115-$AN115)&amp;IF($G115-$AN115=1," día"," días")&amp;" de retraso","Cumplida"),IF(N($M115)&gt;=1,"Cumplida",IF(NOT(ISNUMBER($AN115)),"Sin fecha límite",IF($AN115&lt;FechaRef,"Vencida hace "&amp;(FechaRef-$AN115)&amp;IF(FechaRef-$AN115=1," día"," días"),IF($AN115=FechaRef,"Vence hoy",IF($AN115-FechaRef&lt;=DiasAlerta,"Vence en "&amp;($AN115-FechaRef)&amp;IF($AN115-FechaRef=1," día"," días"),"En plazo")))))))</f>
        <v/>
      </c>
      <c r="P115" s="62" t="n"/>
      <c r="Q115" s="58" t="n"/>
      <c r="R115" s="63">
        <f>IF(NOT((COUNTA($B115:$D115)+COUNTA($G115:$L115)+COUNTA($Q115))&gt;0),"",IF((IF($C115="","Falta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",""))="","✔ OK","⚠ "&amp;LEFT(IF($C115="","Falta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",""),LEN(IF($C115="","Falta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",""))-3)))</f>
        <v/>
      </c>
      <c r="S115" s="64">
        <f>IF(NOT((COUNTA($B115:$D115)+COUNTA($G115:$L115)+COUNTA($Q115))&gt;0),"",IF(AND($V115="Sub",N($U115)&gt;0),IF(ISNUMBER(INDEX($AM$5:$AM$1000,$U115-4)),DATE(YEAR(INDEX($AM$5:$AM$1000,$U115-4)),MONTH(INDEX($AM$5:$AM$1000,$U115-4)),1),IF(ISNUMBER(INDEX($AN$5:$AN$1000,$U115-4)),DATE(YEAR(INDEX($AN$5:$AN$1000,$U115-4)),MONTH(INDEX($AN$5:$AN$1000,$U115-4)),1),MesCiclo)),IF(ISNUMBER($AM115),DATE(YEAR($AM115),MONTH($AM115),1),IF(ISNUMBER($AN115),DATE(YEAR($AN115),MONTH($AN115),1),MesCiclo))))</f>
        <v/>
      </c>
      <c r="T115" s="62">
        <f>IF(OR($S115="",$S115&lt;&gt;MesCiclo),"",COUNTIF($S$5:$S115,MesCiclo))</f>
        <v/>
      </c>
      <c r="U115" s="62">
        <f>IF($V115="","",IF($V115="Macro",ROW(),IFERROR(LOOKUP(2,1/($V$5:$V115="Macro"),ROW($V$5:$V115)),0)))</f>
        <v/>
      </c>
      <c r="V115" s="62">
        <f>IF(NOT((COUNTA($B115:$D115)+COUNTA($G115:$L115)+COUNTA($Q115))&gt;0),"",IF($B115="Subactividad","Sub","Macro"))</f>
        <v/>
      </c>
      <c r="W115" s="62">
        <f>IF($V115="Macro",COUNTIFS($U$5:$U$1000,ROW(),$V$5:$V$1000,"Sub"),"")</f>
        <v/>
      </c>
      <c r="X115" s="62">
        <f>IF($V115="","",IF(ISNUMBER($G115),1,IFERROR(LOOKUP(2,1/($I115:$L115&lt;&gt;""),$I115:$L115),0)))</f>
        <v/>
      </c>
      <c r="Y115" s="62">
        <f>IF($V115="","",IF(AND(ISNUMBER($G115),$G115&lt;=IF($S115=MesCiclo,InicioCiclo,$S115+MOD(2-WEEKDAY($S115),7))+6),1,IF(ISNUMBER($I115),$I115,0)))</f>
        <v/>
      </c>
      <c r="Z115" s="62">
        <f>IF($V115="","",IF(AND(ISNUMBER($G115),$G115&lt;=IF($S115=MesCiclo,InicioCiclo,$S115+MOD(2-WEEKDAY($S115),7))+13),1,IF(ISNUMBER($J115),$J115,$Y115)))</f>
        <v/>
      </c>
      <c r="AA115" s="62">
        <f>IF($V115="","",IF(AND(ISNUMBER($G115),$G115&lt;=IF($S115=MesCiclo,InicioCiclo,$S115+MOD(2-WEEKDAY($S115),7))+20),1,IF(ISNUMBER($K115),$K115,$Z115)))</f>
        <v/>
      </c>
      <c r="AB115" s="62">
        <f>IF($V115="","",IF(AND(ISNUMBER($G115),$G115&lt;=IF($S115=MesCiclo,InicioCiclo,$S115+MOD(2-WEEKDAY($S115),7))+27),1,IF(ISNUMBER($L115),$L115,$AA115)))</f>
        <v/>
      </c>
      <c r="AC115" s="62">
        <f>IF($V115="","",IF(AND(ISNUMBER($G115),$G115&lt;=IF($S115=MesCiclo,InicioCiclo,$S115+MOD(2-WEEKDAY($S115),7))+6),1,IF(N($W115)&gt;0,AVERAGEIFS($Y$5:$Y$1000,$U$5:$U$1000,ROW(),$V$5:$V$1000,"Sub"),$Y115)))</f>
        <v/>
      </c>
      <c r="AD115" s="62">
        <f>IF($V115="","",IF(AND(ISNUMBER($G115),$G115&lt;=IF($S115=MesCiclo,InicioCiclo,$S115+MOD(2-WEEKDAY($S115),7))+13),1,IF(N($W115)&gt;0,AVERAGEIFS($Z$5:$Z$1000,$U$5:$U$1000,ROW(),$V$5:$V$1000,"Sub"),$Z115)))</f>
        <v/>
      </c>
      <c r="AE115" s="62">
        <f>IF($V115="","",IF(AND(ISNUMBER($G115),$G115&lt;=IF($S115=MesCiclo,InicioCiclo,$S115+MOD(2-WEEKDAY($S115),7))+20),1,IF(N($W115)&gt;0,AVERAGEIFS($AA$5:$AA$1000,$U$5:$U$1000,ROW(),$V$5:$V$1000,"Sub"),$AA115)))</f>
        <v/>
      </c>
      <c r="AF115" s="62">
        <f>IF($V115="","",IF(AND(ISNUMBER($G115),$G115&lt;=IF($S115=MesCiclo,InicioCiclo,$S115+MOD(2-WEEKDAY($S115),7))+27),1,IF(N($W115)&gt;0,AVERAGEIFS($AB$5:$AB$1000,$U$5:$U$1000,ROW(),$V$5:$V$1000,"Sub"),$AB115)))</f>
        <v/>
      </c>
      <c r="AG115" s="62">
        <f>IF($V115&lt;&gt;"Macro","",IF(COUNTIFS($S$5:$S$1000,$S115,$V$5:$V$1000,"Macro",$H$5:$H$1000,"&gt;0")=0,1/COUNTIFS($S$5:$S$1000,$S115,$V$5:$V$1000,"Macro"),IF(AND(ISNUMBER($H115),N($H115)&gt;0),$H115,SUMIFS($H$5:$H$1000,$S$5:$S$1000,$S115,$V$5:$V$1000,"Macro")/COUNTIFS($S$5:$S$1000,$S115,$V$5:$V$1000,"Macro",$H$5:$H$1000,"&gt;0"))/(COUNTIFS($S$5:$S$1000,$S115,$V$5:$V$1000,"Macro")*SUMIFS($H$5:$H$1000,$S$5:$S$1000,$S115,$V$5:$V$1000,"Macro")/COUNTIFS($S$5:$S$1000,$S115,$V$5:$V$1000,"Macro",$H$5:$H$1000,"&gt;0"))))</f>
        <v/>
      </c>
      <c r="AH115" s="62" t="n"/>
      <c r="AI115" s="62" t="n"/>
      <c r="AJ115" s="62" t="n"/>
      <c r="AK115" s="62" t="n"/>
      <c r="AL115" s="62">
        <f>IF(LEFT($C115,11)="[Jefatura] ",IFERROR(MATCH("Riesgo Normativo|"&amp;MID($C115,12,500),rDname_ADM,0),0),"")</f>
        <v/>
      </c>
      <c r="AM115" s="62">
        <f>IF(N($AL115)&gt;0,INDEX(rIni_ADM,$AL115),IF(ISNUMBER($E115),$E115,""))</f>
        <v/>
      </c>
      <c r="AN115" s="62">
        <f>IF(N($AL115)&gt;0,INDEX(rLim_ADM,$AL115),IF(ISNUMBER($F115),$F115,""))</f>
        <v/>
      </c>
    </row>
    <row r="116">
      <c r="A116" s="56">
        <f>IF(NOT((COUNTA($B116:$D116)+COUNTA($G116:$L116)+COUNTA($Q116))&gt;0),"",IF($V116="Macro",COUNTIFS($V$5:$V116,"Macro",$S$5:$S116,$S116),IF(N($U116)=0,"?",COUNTIFS(INDEX($V$5:$V$1000,1):INDEX($V$5:$V$1000,$U116-4),"Macro",INDEX($S$5:$S$1000,1):INDEX($S$5:$S$1000,$U116-4),INDEX($S$5:$S$1000,$U116-4))&amp;"."&amp;COUNTIFS($U$5:$U116,$U116,$V$5:$V116,"Sub"))))</f>
        <v/>
      </c>
      <c r="B116" s="57" t="n"/>
      <c r="C116" s="58" t="n"/>
      <c r="D116" s="58" t="n"/>
      <c r="E116" s="59">
        <f>IF(N($AL116)&gt;0,INDEX(rIni_ADM,$AL116),"")</f>
        <v/>
      </c>
      <c r="F116" s="59">
        <f>IF(N($AL116)&gt;0,INDEX(rLim_ADM,$AL116),"")</f>
        <v/>
      </c>
      <c r="G116" s="59" t="n"/>
      <c r="H116" s="60" t="n"/>
      <c r="I116" s="60" t="n"/>
      <c r="J116" s="60" t="n"/>
      <c r="K116" s="60" t="n"/>
      <c r="L116" s="60" t="n"/>
      <c r="M116" s="61">
        <f>IF(NOT((COUNTA($B116:$D116)+COUNTA($G116:$L116)+COUNTA($Q116))&gt;0),"",IF(ISNUMBER($G116),1,IF(N($W116)&gt;0,AVERAGEIFS($X$5:$X$1000,$U$5:$U$1000,ROW(),$V$5:$V$1000,"Sub"),$X116)))</f>
        <v/>
      </c>
      <c r="N116" s="56">
        <f>IF($M116="","",IF($M116&gt;=1,"Completado",IF($M116&gt;0,"En curso","Pendiente")))</f>
        <v/>
      </c>
      <c r="O116" s="56">
        <f>IF(NOT((COUNTA($B116:$D116)+COUNTA($G116:$L116)+COUNTA($Q116))&gt;0),"",IF(ISNUMBER($G116),IF(AND(ISNUMBER($AN116),$G116&gt;$AN116),"Cumplida con "&amp;($G116-$AN116)&amp;IF($G116-$AN116=1," día"," días")&amp;" de retraso","Cumplida"),IF(N($M116)&gt;=1,"Cumplida",IF(NOT(ISNUMBER($AN116)),"Sin fecha límite",IF($AN116&lt;FechaRef,"Vencida hace "&amp;(FechaRef-$AN116)&amp;IF(FechaRef-$AN116=1," día"," días"),IF($AN116=FechaRef,"Vence hoy",IF($AN116-FechaRef&lt;=DiasAlerta,"Vence en "&amp;($AN116-FechaRef)&amp;IF($AN116-FechaRef=1," día"," días"),"En plazo")))))))</f>
        <v/>
      </c>
      <c r="P116" s="62" t="n"/>
      <c r="Q116" s="58" t="n"/>
      <c r="R116" s="63">
        <f>IF(NOT((COUNTA($B116:$D116)+COUNTA($G116:$L116)+COUNTA($Q116))&gt;0),"",IF((IF($C116="","Falta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",""))="","✔ OK","⚠ "&amp;LEFT(IF($C116="","Falta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",""),LEN(IF($C116="","Falta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",""))-3)))</f>
        <v/>
      </c>
      <c r="S116" s="64">
        <f>IF(NOT((COUNTA($B116:$D116)+COUNTA($G116:$L116)+COUNTA($Q116))&gt;0),"",IF(AND($V116="Sub",N($U116)&gt;0),IF(ISNUMBER(INDEX($AM$5:$AM$1000,$U116-4)),DATE(YEAR(INDEX($AM$5:$AM$1000,$U116-4)),MONTH(INDEX($AM$5:$AM$1000,$U116-4)),1),IF(ISNUMBER(INDEX($AN$5:$AN$1000,$U116-4)),DATE(YEAR(INDEX($AN$5:$AN$1000,$U116-4)),MONTH(INDEX($AN$5:$AN$1000,$U116-4)),1),MesCiclo)),IF(ISNUMBER($AM116),DATE(YEAR($AM116),MONTH($AM116),1),IF(ISNUMBER($AN116),DATE(YEAR($AN116),MONTH($AN116),1),MesCiclo))))</f>
        <v/>
      </c>
      <c r="T116" s="62">
        <f>IF(OR($S116="",$S116&lt;&gt;MesCiclo),"",COUNTIF($S$5:$S116,MesCiclo))</f>
        <v/>
      </c>
      <c r="U116" s="62">
        <f>IF($V116="","",IF($V116="Macro",ROW(),IFERROR(LOOKUP(2,1/($V$5:$V116="Macro"),ROW($V$5:$V116)),0)))</f>
        <v/>
      </c>
      <c r="V116" s="62">
        <f>IF(NOT((COUNTA($B116:$D116)+COUNTA($G116:$L116)+COUNTA($Q116))&gt;0),"",IF($B116="Subactividad","Sub","Macro"))</f>
        <v/>
      </c>
      <c r="W116" s="62">
        <f>IF($V116="Macro",COUNTIFS($U$5:$U$1000,ROW(),$V$5:$V$1000,"Sub"),"")</f>
        <v/>
      </c>
      <c r="X116" s="62">
        <f>IF($V116="","",IF(ISNUMBER($G116),1,IFERROR(LOOKUP(2,1/($I116:$L116&lt;&gt;""),$I116:$L116),0)))</f>
        <v/>
      </c>
      <c r="Y116" s="62">
        <f>IF($V116="","",IF(AND(ISNUMBER($G116),$G116&lt;=IF($S116=MesCiclo,InicioCiclo,$S116+MOD(2-WEEKDAY($S116),7))+6),1,IF(ISNUMBER($I116),$I116,0)))</f>
        <v/>
      </c>
      <c r="Z116" s="62">
        <f>IF($V116="","",IF(AND(ISNUMBER($G116),$G116&lt;=IF($S116=MesCiclo,InicioCiclo,$S116+MOD(2-WEEKDAY($S116),7))+13),1,IF(ISNUMBER($J116),$J116,$Y116)))</f>
        <v/>
      </c>
      <c r="AA116" s="62">
        <f>IF($V116="","",IF(AND(ISNUMBER($G116),$G116&lt;=IF($S116=MesCiclo,InicioCiclo,$S116+MOD(2-WEEKDAY($S116),7))+20),1,IF(ISNUMBER($K116),$K116,$Z116)))</f>
        <v/>
      </c>
      <c r="AB116" s="62">
        <f>IF($V116="","",IF(AND(ISNUMBER($G116),$G116&lt;=IF($S116=MesCiclo,InicioCiclo,$S116+MOD(2-WEEKDAY($S116),7))+27),1,IF(ISNUMBER($L116),$L116,$AA116)))</f>
        <v/>
      </c>
      <c r="AC116" s="62">
        <f>IF($V116="","",IF(AND(ISNUMBER($G116),$G116&lt;=IF($S116=MesCiclo,InicioCiclo,$S116+MOD(2-WEEKDAY($S116),7))+6),1,IF(N($W116)&gt;0,AVERAGEIFS($Y$5:$Y$1000,$U$5:$U$1000,ROW(),$V$5:$V$1000,"Sub"),$Y116)))</f>
        <v/>
      </c>
      <c r="AD116" s="62">
        <f>IF($V116="","",IF(AND(ISNUMBER($G116),$G116&lt;=IF($S116=MesCiclo,InicioCiclo,$S116+MOD(2-WEEKDAY($S116),7))+13),1,IF(N($W116)&gt;0,AVERAGEIFS($Z$5:$Z$1000,$U$5:$U$1000,ROW(),$V$5:$V$1000,"Sub"),$Z116)))</f>
        <v/>
      </c>
      <c r="AE116" s="62">
        <f>IF($V116="","",IF(AND(ISNUMBER($G116),$G116&lt;=IF($S116=MesCiclo,InicioCiclo,$S116+MOD(2-WEEKDAY($S116),7))+20),1,IF(N($W116)&gt;0,AVERAGEIFS($AA$5:$AA$1000,$U$5:$U$1000,ROW(),$V$5:$V$1000,"Sub"),$AA116)))</f>
        <v/>
      </c>
      <c r="AF116" s="62">
        <f>IF($V116="","",IF(AND(ISNUMBER($G116),$G116&lt;=IF($S116=MesCiclo,InicioCiclo,$S116+MOD(2-WEEKDAY($S116),7))+27),1,IF(N($W116)&gt;0,AVERAGEIFS($AB$5:$AB$1000,$U$5:$U$1000,ROW(),$V$5:$V$1000,"Sub"),$AB116)))</f>
        <v/>
      </c>
      <c r="AG116" s="62">
        <f>IF($V116&lt;&gt;"Macro","",IF(COUNTIFS($S$5:$S$1000,$S116,$V$5:$V$1000,"Macro",$H$5:$H$1000,"&gt;0")=0,1/COUNTIFS($S$5:$S$1000,$S116,$V$5:$V$1000,"Macro"),IF(AND(ISNUMBER($H116),N($H116)&gt;0),$H116,SUMIFS($H$5:$H$1000,$S$5:$S$1000,$S116,$V$5:$V$1000,"Macro")/COUNTIFS($S$5:$S$1000,$S116,$V$5:$V$1000,"Macro",$H$5:$H$1000,"&gt;0"))/(COUNTIFS($S$5:$S$1000,$S116,$V$5:$V$1000,"Macro")*SUMIFS($H$5:$H$1000,$S$5:$S$1000,$S116,$V$5:$V$1000,"Macro")/COUNTIFS($S$5:$S$1000,$S116,$V$5:$V$1000,"Macro",$H$5:$H$1000,"&gt;0"))))</f>
        <v/>
      </c>
      <c r="AH116" s="62" t="n"/>
      <c r="AI116" s="62" t="n"/>
      <c r="AJ116" s="62" t="n"/>
      <c r="AK116" s="62" t="n"/>
      <c r="AL116" s="62">
        <f>IF(LEFT($C116,11)="[Jefatura] ",IFERROR(MATCH("Riesgo Normativo|"&amp;MID($C116,12,500),rDname_ADM,0),0),"")</f>
        <v/>
      </c>
      <c r="AM116" s="62">
        <f>IF(N($AL116)&gt;0,INDEX(rIni_ADM,$AL116),IF(ISNUMBER($E116),$E116,""))</f>
        <v/>
      </c>
      <c r="AN116" s="62">
        <f>IF(N($AL116)&gt;0,INDEX(rLim_ADM,$AL116),IF(ISNUMBER($F116),$F116,""))</f>
        <v/>
      </c>
    </row>
    <row r="117">
      <c r="A117" s="56">
        <f>IF(NOT((COUNTA($B117:$D117)+COUNTA($G117:$L117)+COUNTA($Q117))&gt;0),"",IF($V117="Macro",COUNTIFS($V$5:$V117,"Macro",$S$5:$S117,$S117),IF(N($U117)=0,"?",COUNTIFS(INDEX($V$5:$V$1000,1):INDEX($V$5:$V$1000,$U117-4),"Macro",INDEX($S$5:$S$1000,1):INDEX($S$5:$S$1000,$U117-4),INDEX($S$5:$S$1000,$U117-4))&amp;"."&amp;COUNTIFS($U$5:$U117,$U117,$V$5:$V117,"Sub"))))</f>
        <v/>
      </c>
      <c r="B117" s="57" t="n"/>
      <c r="C117" s="58" t="n"/>
      <c r="D117" s="58" t="n"/>
      <c r="E117" s="59">
        <f>IF(N($AL117)&gt;0,INDEX(rIni_ADM,$AL117),"")</f>
        <v/>
      </c>
      <c r="F117" s="59">
        <f>IF(N($AL117)&gt;0,INDEX(rLim_ADM,$AL117),"")</f>
        <v/>
      </c>
      <c r="G117" s="59" t="n"/>
      <c r="H117" s="60" t="n"/>
      <c r="I117" s="60" t="n"/>
      <c r="J117" s="60" t="n"/>
      <c r="K117" s="60" t="n"/>
      <c r="L117" s="60" t="n"/>
      <c r="M117" s="61">
        <f>IF(NOT((COUNTA($B117:$D117)+COUNTA($G117:$L117)+COUNTA($Q117))&gt;0),"",IF(ISNUMBER($G117),1,IF(N($W117)&gt;0,AVERAGEIFS($X$5:$X$1000,$U$5:$U$1000,ROW(),$V$5:$V$1000,"Sub"),$X117)))</f>
        <v/>
      </c>
      <c r="N117" s="56">
        <f>IF($M117="","",IF($M117&gt;=1,"Completado",IF($M117&gt;0,"En curso","Pendiente")))</f>
        <v/>
      </c>
      <c r="O117" s="56">
        <f>IF(NOT((COUNTA($B117:$D117)+COUNTA($G117:$L117)+COUNTA($Q117))&gt;0),"",IF(ISNUMBER($G117),IF(AND(ISNUMBER($AN117),$G117&gt;$AN117),"Cumplida con "&amp;($G117-$AN117)&amp;IF($G117-$AN117=1," día"," días")&amp;" de retraso","Cumplida"),IF(N($M117)&gt;=1,"Cumplida",IF(NOT(ISNUMBER($AN117)),"Sin fecha límite",IF($AN117&lt;FechaRef,"Vencida hace "&amp;(FechaRef-$AN117)&amp;IF(FechaRef-$AN117=1," día"," días"),IF($AN117=FechaRef,"Vence hoy",IF($AN117-FechaRef&lt;=DiasAlerta,"Vence en "&amp;($AN117-FechaRef)&amp;IF($AN117-FechaRef=1," día"," días"),"En plazo")))))))</f>
        <v/>
      </c>
      <c r="P117" s="62" t="n"/>
      <c r="Q117" s="58" t="n"/>
      <c r="R117" s="63">
        <f>IF(NOT((COUNTA($B117:$D117)+COUNTA($G117:$L117)+COUNTA($Q117))&gt;0),"",IF((IF($C117="","Falta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",""))="","✔ OK","⚠ "&amp;LEFT(IF($C117="","Falta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",""),LEN(IF($C117="","Falta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",""))-3)))</f>
        <v/>
      </c>
      <c r="S117" s="64">
        <f>IF(NOT((COUNTA($B117:$D117)+COUNTA($G117:$L117)+COUNTA($Q117))&gt;0),"",IF(AND($V117="Sub",N($U117)&gt;0),IF(ISNUMBER(INDEX($AM$5:$AM$1000,$U117-4)),DATE(YEAR(INDEX($AM$5:$AM$1000,$U117-4)),MONTH(INDEX($AM$5:$AM$1000,$U117-4)),1),IF(ISNUMBER(INDEX($AN$5:$AN$1000,$U117-4)),DATE(YEAR(INDEX($AN$5:$AN$1000,$U117-4)),MONTH(INDEX($AN$5:$AN$1000,$U117-4)),1),MesCiclo)),IF(ISNUMBER($AM117),DATE(YEAR($AM117),MONTH($AM117),1),IF(ISNUMBER($AN117),DATE(YEAR($AN117),MONTH($AN117),1),MesCiclo))))</f>
        <v/>
      </c>
      <c r="T117" s="62">
        <f>IF(OR($S117="",$S117&lt;&gt;MesCiclo),"",COUNTIF($S$5:$S117,MesCiclo))</f>
        <v/>
      </c>
      <c r="U117" s="62">
        <f>IF($V117="","",IF($V117="Macro",ROW(),IFERROR(LOOKUP(2,1/($V$5:$V117="Macro"),ROW($V$5:$V117)),0)))</f>
        <v/>
      </c>
      <c r="V117" s="62">
        <f>IF(NOT((COUNTA($B117:$D117)+COUNTA($G117:$L117)+COUNTA($Q117))&gt;0),"",IF($B117="Subactividad","Sub","Macro"))</f>
        <v/>
      </c>
      <c r="W117" s="62">
        <f>IF($V117="Macro",COUNTIFS($U$5:$U$1000,ROW(),$V$5:$V$1000,"Sub"),"")</f>
        <v/>
      </c>
      <c r="X117" s="62">
        <f>IF($V117="","",IF(ISNUMBER($G117),1,IFERROR(LOOKUP(2,1/($I117:$L117&lt;&gt;""),$I117:$L117),0)))</f>
        <v/>
      </c>
      <c r="Y117" s="62">
        <f>IF($V117="","",IF(AND(ISNUMBER($G117),$G117&lt;=IF($S117=MesCiclo,InicioCiclo,$S117+MOD(2-WEEKDAY($S117),7))+6),1,IF(ISNUMBER($I117),$I117,0)))</f>
        <v/>
      </c>
      <c r="Z117" s="62">
        <f>IF($V117="","",IF(AND(ISNUMBER($G117),$G117&lt;=IF($S117=MesCiclo,InicioCiclo,$S117+MOD(2-WEEKDAY($S117),7))+13),1,IF(ISNUMBER($J117),$J117,$Y117)))</f>
        <v/>
      </c>
      <c r="AA117" s="62">
        <f>IF($V117="","",IF(AND(ISNUMBER($G117),$G117&lt;=IF($S117=MesCiclo,InicioCiclo,$S117+MOD(2-WEEKDAY($S117),7))+20),1,IF(ISNUMBER($K117),$K117,$Z117)))</f>
        <v/>
      </c>
      <c r="AB117" s="62">
        <f>IF($V117="","",IF(AND(ISNUMBER($G117),$G117&lt;=IF($S117=MesCiclo,InicioCiclo,$S117+MOD(2-WEEKDAY($S117),7))+27),1,IF(ISNUMBER($L117),$L117,$AA117)))</f>
        <v/>
      </c>
      <c r="AC117" s="62">
        <f>IF($V117="","",IF(AND(ISNUMBER($G117),$G117&lt;=IF($S117=MesCiclo,InicioCiclo,$S117+MOD(2-WEEKDAY($S117),7))+6),1,IF(N($W117)&gt;0,AVERAGEIFS($Y$5:$Y$1000,$U$5:$U$1000,ROW(),$V$5:$V$1000,"Sub"),$Y117)))</f>
        <v/>
      </c>
      <c r="AD117" s="62">
        <f>IF($V117="","",IF(AND(ISNUMBER($G117),$G117&lt;=IF($S117=MesCiclo,InicioCiclo,$S117+MOD(2-WEEKDAY($S117),7))+13),1,IF(N($W117)&gt;0,AVERAGEIFS($Z$5:$Z$1000,$U$5:$U$1000,ROW(),$V$5:$V$1000,"Sub"),$Z117)))</f>
        <v/>
      </c>
      <c r="AE117" s="62">
        <f>IF($V117="","",IF(AND(ISNUMBER($G117),$G117&lt;=IF($S117=MesCiclo,InicioCiclo,$S117+MOD(2-WEEKDAY($S117),7))+20),1,IF(N($W117)&gt;0,AVERAGEIFS($AA$5:$AA$1000,$U$5:$U$1000,ROW(),$V$5:$V$1000,"Sub"),$AA117)))</f>
        <v/>
      </c>
      <c r="AF117" s="62">
        <f>IF($V117="","",IF(AND(ISNUMBER($G117),$G117&lt;=IF($S117=MesCiclo,InicioCiclo,$S117+MOD(2-WEEKDAY($S117),7))+27),1,IF(N($W117)&gt;0,AVERAGEIFS($AB$5:$AB$1000,$U$5:$U$1000,ROW(),$V$5:$V$1000,"Sub"),$AB117)))</f>
        <v/>
      </c>
      <c r="AG117" s="62">
        <f>IF($V117&lt;&gt;"Macro","",IF(COUNTIFS($S$5:$S$1000,$S117,$V$5:$V$1000,"Macro",$H$5:$H$1000,"&gt;0")=0,1/COUNTIFS($S$5:$S$1000,$S117,$V$5:$V$1000,"Macro"),IF(AND(ISNUMBER($H117),N($H117)&gt;0),$H117,SUMIFS($H$5:$H$1000,$S$5:$S$1000,$S117,$V$5:$V$1000,"Macro")/COUNTIFS($S$5:$S$1000,$S117,$V$5:$V$1000,"Macro",$H$5:$H$1000,"&gt;0"))/(COUNTIFS($S$5:$S$1000,$S117,$V$5:$V$1000,"Macro")*SUMIFS($H$5:$H$1000,$S$5:$S$1000,$S117,$V$5:$V$1000,"Macro")/COUNTIFS($S$5:$S$1000,$S117,$V$5:$V$1000,"Macro",$H$5:$H$1000,"&gt;0"))))</f>
        <v/>
      </c>
      <c r="AH117" s="62" t="n"/>
      <c r="AI117" s="62" t="n"/>
      <c r="AJ117" s="62" t="n"/>
      <c r="AK117" s="62" t="n"/>
      <c r="AL117" s="62">
        <f>IF(LEFT($C117,11)="[Jefatura] ",IFERROR(MATCH("Riesgo Normativo|"&amp;MID($C117,12,500),rDname_ADM,0),0),"")</f>
        <v/>
      </c>
      <c r="AM117" s="62">
        <f>IF(N($AL117)&gt;0,INDEX(rIni_ADM,$AL117),IF(ISNUMBER($E117),$E117,""))</f>
        <v/>
      </c>
      <c r="AN117" s="62">
        <f>IF(N($AL117)&gt;0,INDEX(rLim_ADM,$AL117),IF(ISNUMBER($F117),$F117,""))</f>
        <v/>
      </c>
    </row>
    <row r="118">
      <c r="A118" s="56">
        <f>IF(NOT((COUNTA($B118:$D118)+COUNTA($G118:$L118)+COUNTA($Q118))&gt;0),"",IF($V118="Macro",COUNTIFS($V$5:$V118,"Macro",$S$5:$S118,$S118),IF(N($U118)=0,"?",COUNTIFS(INDEX($V$5:$V$1000,1):INDEX($V$5:$V$1000,$U118-4),"Macro",INDEX($S$5:$S$1000,1):INDEX($S$5:$S$1000,$U118-4),INDEX($S$5:$S$1000,$U118-4))&amp;"."&amp;COUNTIFS($U$5:$U118,$U118,$V$5:$V118,"Sub"))))</f>
        <v/>
      </c>
      <c r="B118" s="57" t="n"/>
      <c r="C118" s="58" t="n"/>
      <c r="D118" s="58" t="n"/>
      <c r="E118" s="59">
        <f>IF(N($AL118)&gt;0,INDEX(rIni_ADM,$AL118),"")</f>
        <v/>
      </c>
      <c r="F118" s="59">
        <f>IF(N($AL118)&gt;0,INDEX(rLim_ADM,$AL118),"")</f>
        <v/>
      </c>
      <c r="G118" s="59" t="n"/>
      <c r="H118" s="60" t="n"/>
      <c r="I118" s="60" t="n"/>
      <c r="J118" s="60" t="n"/>
      <c r="K118" s="60" t="n"/>
      <c r="L118" s="60" t="n"/>
      <c r="M118" s="61">
        <f>IF(NOT((COUNTA($B118:$D118)+COUNTA($G118:$L118)+COUNTA($Q118))&gt;0),"",IF(ISNUMBER($G118),1,IF(N($W118)&gt;0,AVERAGEIFS($X$5:$X$1000,$U$5:$U$1000,ROW(),$V$5:$V$1000,"Sub"),$X118)))</f>
        <v/>
      </c>
      <c r="N118" s="56">
        <f>IF($M118="","",IF($M118&gt;=1,"Completado",IF($M118&gt;0,"En curso","Pendiente")))</f>
        <v/>
      </c>
      <c r="O118" s="56">
        <f>IF(NOT((COUNTA($B118:$D118)+COUNTA($G118:$L118)+COUNTA($Q118))&gt;0),"",IF(ISNUMBER($G118),IF(AND(ISNUMBER($AN118),$G118&gt;$AN118),"Cumplida con "&amp;($G118-$AN118)&amp;IF($G118-$AN118=1," día"," días")&amp;" de retraso","Cumplida"),IF(N($M118)&gt;=1,"Cumplida",IF(NOT(ISNUMBER($AN118)),"Sin fecha límite",IF($AN118&lt;FechaRef,"Vencida hace "&amp;(FechaRef-$AN118)&amp;IF(FechaRef-$AN118=1," día"," días"),IF($AN118=FechaRef,"Vence hoy",IF($AN118-FechaRef&lt;=DiasAlerta,"Vence en "&amp;($AN118-FechaRef)&amp;IF($AN118-FechaRef=1," día"," días"),"En plazo")))))))</f>
        <v/>
      </c>
      <c r="P118" s="62" t="n"/>
      <c r="Q118" s="58" t="n"/>
      <c r="R118" s="63">
        <f>IF(NOT((COUNTA($B118:$D118)+COUNTA($G118:$L118)+COUNTA($Q118))&gt;0),"",IF((IF($C118="","Falta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",""))="","✔ OK","⚠ "&amp;LEFT(IF($C118="","Falta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",""),LEN(IF($C118="","Falta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",""))-3)))</f>
        <v/>
      </c>
      <c r="S118" s="64">
        <f>IF(NOT((COUNTA($B118:$D118)+COUNTA($G118:$L118)+COUNTA($Q118))&gt;0),"",IF(AND($V118="Sub",N($U118)&gt;0),IF(ISNUMBER(INDEX($AM$5:$AM$1000,$U118-4)),DATE(YEAR(INDEX($AM$5:$AM$1000,$U118-4)),MONTH(INDEX($AM$5:$AM$1000,$U118-4)),1),IF(ISNUMBER(INDEX($AN$5:$AN$1000,$U118-4)),DATE(YEAR(INDEX($AN$5:$AN$1000,$U118-4)),MONTH(INDEX($AN$5:$AN$1000,$U118-4)),1),MesCiclo)),IF(ISNUMBER($AM118),DATE(YEAR($AM118),MONTH($AM118),1),IF(ISNUMBER($AN118),DATE(YEAR($AN118),MONTH($AN118),1),MesCiclo))))</f>
        <v/>
      </c>
      <c r="T118" s="62">
        <f>IF(OR($S118="",$S118&lt;&gt;MesCiclo),"",COUNTIF($S$5:$S118,MesCiclo))</f>
        <v/>
      </c>
      <c r="U118" s="62">
        <f>IF($V118="","",IF($V118="Macro",ROW(),IFERROR(LOOKUP(2,1/($V$5:$V118="Macro"),ROW($V$5:$V118)),0)))</f>
        <v/>
      </c>
      <c r="V118" s="62">
        <f>IF(NOT((COUNTA($B118:$D118)+COUNTA($G118:$L118)+COUNTA($Q118))&gt;0),"",IF($B118="Subactividad","Sub","Macro"))</f>
        <v/>
      </c>
      <c r="W118" s="62">
        <f>IF($V118="Macro",COUNTIFS($U$5:$U$1000,ROW(),$V$5:$V$1000,"Sub"),"")</f>
        <v/>
      </c>
      <c r="X118" s="62">
        <f>IF($V118="","",IF(ISNUMBER($G118),1,IFERROR(LOOKUP(2,1/($I118:$L118&lt;&gt;""),$I118:$L118),0)))</f>
        <v/>
      </c>
      <c r="Y118" s="62">
        <f>IF($V118="","",IF(AND(ISNUMBER($G118),$G118&lt;=IF($S118=MesCiclo,InicioCiclo,$S118+MOD(2-WEEKDAY($S118),7))+6),1,IF(ISNUMBER($I118),$I118,0)))</f>
        <v/>
      </c>
      <c r="Z118" s="62">
        <f>IF($V118="","",IF(AND(ISNUMBER($G118),$G118&lt;=IF($S118=MesCiclo,InicioCiclo,$S118+MOD(2-WEEKDAY($S118),7))+13),1,IF(ISNUMBER($J118),$J118,$Y118)))</f>
        <v/>
      </c>
      <c r="AA118" s="62">
        <f>IF($V118="","",IF(AND(ISNUMBER($G118),$G118&lt;=IF($S118=MesCiclo,InicioCiclo,$S118+MOD(2-WEEKDAY($S118),7))+20),1,IF(ISNUMBER($K118),$K118,$Z118)))</f>
        <v/>
      </c>
      <c r="AB118" s="62">
        <f>IF($V118="","",IF(AND(ISNUMBER($G118),$G118&lt;=IF($S118=MesCiclo,InicioCiclo,$S118+MOD(2-WEEKDAY($S118),7))+27),1,IF(ISNUMBER($L118),$L118,$AA118)))</f>
        <v/>
      </c>
      <c r="AC118" s="62">
        <f>IF($V118="","",IF(AND(ISNUMBER($G118),$G118&lt;=IF($S118=MesCiclo,InicioCiclo,$S118+MOD(2-WEEKDAY($S118),7))+6),1,IF(N($W118)&gt;0,AVERAGEIFS($Y$5:$Y$1000,$U$5:$U$1000,ROW(),$V$5:$V$1000,"Sub"),$Y118)))</f>
        <v/>
      </c>
      <c r="AD118" s="62">
        <f>IF($V118="","",IF(AND(ISNUMBER($G118),$G118&lt;=IF($S118=MesCiclo,InicioCiclo,$S118+MOD(2-WEEKDAY($S118),7))+13),1,IF(N($W118)&gt;0,AVERAGEIFS($Z$5:$Z$1000,$U$5:$U$1000,ROW(),$V$5:$V$1000,"Sub"),$Z118)))</f>
        <v/>
      </c>
      <c r="AE118" s="62">
        <f>IF($V118="","",IF(AND(ISNUMBER($G118),$G118&lt;=IF($S118=MesCiclo,InicioCiclo,$S118+MOD(2-WEEKDAY($S118),7))+20),1,IF(N($W118)&gt;0,AVERAGEIFS($AA$5:$AA$1000,$U$5:$U$1000,ROW(),$V$5:$V$1000,"Sub"),$AA118)))</f>
        <v/>
      </c>
      <c r="AF118" s="62">
        <f>IF($V118="","",IF(AND(ISNUMBER($G118),$G118&lt;=IF($S118=MesCiclo,InicioCiclo,$S118+MOD(2-WEEKDAY($S118),7))+27),1,IF(N($W118)&gt;0,AVERAGEIFS($AB$5:$AB$1000,$U$5:$U$1000,ROW(),$V$5:$V$1000,"Sub"),$AB118)))</f>
        <v/>
      </c>
      <c r="AG118" s="62">
        <f>IF($V118&lt;&gt;"Macro","",IF(COUNTIFS($S$5:$S$1000,$S118,$V$5:$V$1000,"Macro",$H$5:$H$1000,"&gt;0")=0,1/COUNTIFS($S$5:$S$1000,$S118,$V$5:$V$1000,"Macro"),IF(AND(ISNUMBER($H118),N($H118)&gt;0),$H118,SUMIFS($H$5:$H$1000,$S$5:$S$1000,$S118,$V$5:$V$1000,"Macro")/COUNTIFS($S$5:$S$1000,$S118,$V$5:$V$1000,"Macro",$H$5:$H$1000,"&gt;0"))/(COUNTIFS($S$5:$S$1000,$S118,$V$5:$V$1000,"Macro")*SUMIFS($H$5:$H$1000,$S$5:$S$1000,$S118,$V$5:$V$1000,"Macro")/COUNTIFS($S$5:$S$1000,$S118,$V$5:$V$1000,"Macro",$H$5:$H$1000,"&gt;0"))))</f>
        <v/>
      </c>
      <c r="AH118" s="62" t="n"/>
      <c r="AI118" s="62" t="n"/>
      <c r="AJ118" s="62" t="n"/>
      <c r="AK118" s="62" t="n"/>
      <c r="AL118" s="62">
        <f>IF(LEFT($C118,11)="[Jefatura] ",IFERROR(MATCH("Riesgo Normativo|"&amp;MID($C118,12,500),rDname_ADM,0),0),"")</f>
        <v/>
      </c>
      <c r="AM118" s="62">
        <f>IF(N($AL118)&gt;0,INDEX(rIni_ADM,$AL118),IF(ISNUMBER($E118),$E118,""))</f>
        <v/>
      </c>
      <c r="AN118" s="62">
        <f>IF(N($AL118)&gt;0,INDEX(rLim_ADM,$AL118),IF(ISNUMBER($F118),$F118,""))</f>
        <v/>
      </c>
    </row>
    <row r="119">
      <c r="A119" s="56">
        <f>IF(NOT((COUNTA($B119:$D119)+COUNTA($G119:$L119)+COUNTA($Q119))&gt;0),"",IF($V119="Macro",COUNTIFS($V$5:$V119,"Macro",$S$5:$S119,$S119),IF(N($U119)=0,"?",COUNTIFS(INDEX($V$5:$V$1000,1):INDEX($V$5:$V$1000,$U119-4),"Macro",INDEX($S$5:$S$1000,1):INDEX($S$5:$S$1000,$U119-4),INDEX($S$5:$S$1000,$U119-4))&amp;"."&amp;COUNTIFS($U$5:$U119,$U119,$V$5:$V119,"Sub"))))</f>
        <v/>
      </c>
      <c r="B119" s="57" t="n"/>
      <c r="C119" s="58" t="n"/>
      <c r="D119" s="58" t="n"/>
      <c r="E119" s="59">
        <f>IF(N($AL119)&gt;0,INDEX(rIni_ADM,$AL119),"")</f>
        <v/>
      </c>
      <c r="F119" s="59">
        <f>IF(N($AL119)&gt;0,INDEX(rLim_ADM,$AL119),"")</f>
        <v/>
      </c>
      <c r="G119" s="59" t="n"/>
      <c r="H119" s="60" t="n"/>
      <c r="I119" s="60" t="n"/>
      <c r="J119" s="60" t="n"/>
      <c r="K119" s="60" t="n"/>
      <c r="L119" s="60" t="n"/>
      <c r="M119" s="61">
        <f>IF(NOT((COUNTA($B119:$D119)+COUNTA($G119:$L119)+COUNTA($Q119))&gt;0),"",IF(ISNUMBER($G119),1,IF(N($W119)&gt;0,AVERAGEIFS($X$5:$X$1000,$U$5:$U$1000,ROW(),$V$5:$V$1000,"Sub"),$X119)))</f>
        <v/>
      </c>
      <c r="N119" s="56">
        <f>IF($M119="","",IF($M119&gt;=1,"Completado",IF($M119&gt;0,"En curso","Pendiente")))</f>
        <v/>
      </c>
      <c r="O119" s="56">
        <f>IF(NOT((COUNTA($B119:$D119)+COUNTA($G119:$L119)+COUNTA($Q119))&gt;0),"",IF(ISNUMBER($G119),IF(AND(ISNUMBER($AN119),$G119&gt;$AN119),"Cumplida con "&amp;($G119-$AN119)&amp;IF($G119-$AN119=1," día"," días")&amp;" de retraso","Cumplida"),IF(N($M119)&gt;=1,"Cumplida",IF(NOT(ISNUMBER($AN119)),"Sin fecha límite",IF($AN119&lt;FechaRef,"Vencida hace "&amp;(FechaRef-$AN119)&amp;IF(FechaRef-$AN119=1," día"," días"),IF($AN119=FechaRef,"Vence hoy",IF($AN119-FechaRef&lt;=DiasAlerta,"Vence en "&amp;($AN119-FechaRef)&amp;IF($AN119-FechaRef=1," día"," días"),"En plazo")))))))</f>
        <v/>
      </c>
      <c r="P119" s="62" t="n"/>
      <c r="Q119" s="58" t="n"/>
      <c r="R119" s="63">
        <f>IF(NOT((COUNTA($B119:$D119)+COUNTA($G119:$L119)+COUNTA($Q119))&gt;0),"",IF((IF($C119="","Falta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",""))="","✔ OK","⚠ "&amp;LEFT(IF($C119="","Falta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",""),LEN(IF($C119="","Falta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",""))-3)))</f>
        <v/>
      </c>
      <c r="S119" s="64">
        <f>IF(NOT((COUNTA($B119:$D119)+COUNTA($G119:$L119)+COUNTA($Q119))&gt;0),"",IF(AND($V119="Sub",N($U119)&gt;0),IF(ISNUMBER(INDEX($AM$5:$AM$1000,$U119-4)),DATE(YEAR(INDEX($AM$5:$AM$1000,$U119-4)),MONTH(INDEX($AM$5:$AM$1000,$U119-4)),1),IF(ISNUMBER(INDEX($AN$5:$AN$1000,$U119-4)),DATE(YEAR(INDEX($AN$5:$AN$1000,$U119-4)),MONTH(INDEX($AN$5:$AN$1000,$U119-4)),1),MesCiclo)),IF(ISNUMBER($AM119),DATE(YEAR($AM119),MONTH($AM119),1),IF(ISNUMBER($AN119),DATE(YEAR($AN119),MONTH($AN119),1),MesCiclo))))</f>
        <v/>
      </c>
      <c r="T119" s="62">
        <f>IF(OR($S119="",$S119&lt;&gt;MesCiclo),"",COUNTIF($S$5:$S119,MesCiclo))</f>
        <v/>
      </c>
      <c r="U119" s="62">
        <f>IF($V119="","",IF($V119="Macro",ROW(),IFERROR(LOOKUP(2,1/($V$5:$V119="Macro"),ROW($V$5:$V119)),0)))</f>
        <v/>
      </c>
      <c r="V119" s="62">
        <f>IF(NOT((COUNTA($B119:$D119)+COUNTA($G119:$L119)+COUNTA($Q119))&gt;0),"",IF($B119="Subactividad","Sub","Macro"))</f>
        <v/>
      </c>
      <c r="W119" s="62">
        <f>IF($V119="Macro",COUNTIFS($U$5:$U$1000,ROW(),$V$5:$V$1000,"Sub"),"")</f>
        <v/>
      </c>
      <c r="X119" s="62">
        <f>IF($V119="","",IF(ISNUMBER($G119),1,IFERROR(LOOKUP(2,1/($I119:$L119&lt;&gt;""),$I119:$L119),0)))</f>
        <v/>
      </c>
      <c r="Y119" s="62">
        <f>IF($V119="","",IF(AND(ISNUMBER($G119),$G119&lt;=IF($S119=MesCiclo,InicioCiclo,$S119+MOD(2-WEEKDAY($S119),7))+6),1,IF(ISNUMBER($I119),$I119,0)))</f>
        <v/>
      </c>
      <c r="Z119" s="62">
        <f>IF($V119="","",IF(AND(ISNUMBER($G119),$G119&lt;=IF($S119=MesCiclo,InicioCiclo,$S119+MOD(2-WEEKDAY($S119),7))+13),1,IF(ISNUMBER($J119),$J119,$Y119)))</f>
        <v/>
      </c>
      <c r="AA119" s="62">
        <f>IF($V119="","",IF(AND(ISNUMBER($G119),$G119&lt;=IF($S119=MesCiclo,InicioCiclo,$S119+MOD(2-WEEKDAY($S119),7))+20),1,IF(ISNUMBER($K119),$K119,$Z119)))</f>
        <v/>
      </c>
      <c r="AB119" s="62">
        <f>IF($V119="","",IF(AND(ISNUMBER($G119),$G119&lt;=IF($S119=MesCiclo,InicioCiclo,$S119+MOD(2-WEEKDAY($S119),7))+27),1,IF(ISNUMBER($L119),$L119,$AA119)))</f>
        <v/>
      </c>
      <c r="AC119" s="62">
        <f>IF($V119="","",IF(AND(ISNUMBER($G119),$G119&lt;=IF($S119=MesCiclo,InicioCiclo,$S119+MOD(2-WEEKDAY($S119),7))+6),1,IF(N($W119)&gt;0,AVERAGEIFS($Y$5:$Y$1000,$U$5:$U$1000,ROW(),$V$5:$V$1000,"Sub"),$Y119)))</f>
        <v/>
      </c>
      <c r="AD119" s="62">
        <f>IF($V119="","",IF(AND(ISNUMBER($G119),$G119&lt;=IF($S119=MesCiclo,InicioCiclo,$S119+MOD(2-WEEKDAY($S119),7))+13),1,IF(N($W119)&gt;0,AVERAGEIFS($Z$5:$Z$1000,$U$5:$U$1000,ROW(),$V$5:$V$1000,"Sub"),$Z119)))</f>
        <v/>
      </c>
      <c r="AE119" s="62">
        <f>IF($V119="","",IF(AND(ISNUMBER($G119),$G119&lt;=IF($S119=MesCiclo,InicioCiclo,$S119+MOD(2-WEEKDAY($S119),7))+20),1,IF(N($W119)&gt;0,AVERAGEIFS($AA$5:$AA$1000,$U$5:$U$1000,ROW(),$V$5:$V$1000,"Sub"),$AA119)))</f>
        <v/>
      </c>
      <c r="AF119" s="62">
        <f>IF($V119="","",IF(AND(ISNUMBER($G119),$G119&lt;=IF($S119=MesCiclo,InicioCiclo,$S119+MOD(2-WEEKDAY($S119),7))+27),1,IF(N($W119)&gt;0,AVERAGEIFS($AB$5:$AB$1000,$U$5:$U$1000,ROW(),$V$5:$V$1000,"Sub"),$AB119)))</f>
        <v/>
      </c>
      <c r="AG119" s="62">
        <f>IF($V119&lt;&gt;"Macro","",IF(COUNTIFS($S$5:$S$1000,$S119,$V$5:$V$1000,"Macro",$H$5:$H$1000,"&gt;0")=0,1/COUNTIFS($S$5:$S$1000,$S119,$V$5:$V$1000,"Macro"),IF(AND(ISNUMBER($H119),N($H119)&gt;0),$H119,SUMIFS($H$5:$H$1000,$S$5:$S$1000,$S119,$V$5:$V$1000,"Macro")/COUNTIFS($S$5:$S$1000,$S119,$V$5:$V$1000,"Macro",$H$5:$H$1000,"&gt;0"))/(COUNTIFS($S$5:$S$1000,$S119,$V$5:$V$1000,"Macro")*SUMIFS($H$5:$H$1000,$S$5:$S$1000,$S119,$V$5:$V$1000,"Macro")/COUNTIFS($S$5:$S$1000,$S119,$V$5:$V$1000,"Macro",$H$5:$H$1000,"&gt;0"))))</f>
        <v/>
      </c>
      <c r="AH119" s="62" t="n"/>
      <c r="AI119" s="62" t="n"/>
      <c r="AJ119" s="62" t="n"/>
      <c r="AK119" s="62" t="n"/>
      <c r="AL119" s="62">
        <f>IF(LEFT($C119,11)="[Jefatura] ",IFERROR(MATCH("Riesgo Normativo|"&amp;MID($C119,12,500),rDname_ADM,0),0),"")</f>
        <v/>
      </c>
      <c r="AM119" s="62">
        <f>IF(N($AL119)&gt;0,INDEX(rIni_ADM,$AL119),IF(ISNUMBER($E119),$E119,""))</f>
        <v/>
      </c>
      <c r="AN119" s="62">
        <f>IF(N($AL119)&gt;0,INDEX(rLim_ADM,$AL119),IF(ISNUMBER($F119),$F119,""))</f>
        <v/>
      </c>
    </row>
    <row r="120">
      <c r="A120" s="56">
        <f>IF(NOT((COUNTA($B120:$D120)+COUNTA($G120:$L120)+COUNTA($Q120))&gt;0),"",IF($V120="Macro",COUNTIFS($V$5:$V120,"Macro",$S$5:$S120,$S120),IF(N($U120)=0,"?",COUNTIFS(INDEX($V$5:$V$1000,1):INDEX($V$5:$V$1000,$U120-4),"Macro",INDEX($S$5:$S$1000,1):INDEX($S$5:$S$1000,$U120-4),INDEX($S$5:$S$1000,$U120-4))&amp;"."&amp;COUNTIFS($U$5:$U120,$U120,$V$5:$V120,"Sub"))))</f>
        <v/>
      </c>
      <c r="B120" s="57" t="n"/>
      <c r="C120" s="58" t="n"/>
      <c r="D120" s="58" t="n"/>
      <c r="E120" s="59">
        <f>IF(N($AL120)&gt;0,INDEX(rIni_ADM,$AL120),"")</f>
        <v/>
      </c>
      <c r="F120" s="59">
        <f>IF(N($AL120)&gt;0,INDEX(rLim_ADM,$AL120),"")</f>
        <v/>
      </c>
      <c r="G120" s="59" t="n"/>
      <c r="H120" s="60" t="n"/>
      <c r="I120" s="60" t="n"/>
      <c r="J120" s="60" t="n"/>
      <c r="K120" s="60" t="n"/>
      <c r="L120" s="60" t="n"/>
      <c r="M120" s="61">
        <f>IF(NOT((COUNTA($B120:$D120)+COUNTA($G120:$L120)+COUNTA($Q120))&gt;0),"",IF(ISNUMBER($G120),1,IF(N($W120)&gt;0,AVERAGEIFS($X$5:$X$1000,$U$5:$U$1000,ROW(),$V$5:$V$1000,"Sub"),$X120)))</f>
        <v/>
      </c>
      <c r="N120" s="56">
        <f>IF($M120="","",IF($M120&gt;=1,"Completado",IF($M120&gt;0,"En curso","Pendiente")))</f>
        <v/>
      </c>
      <c r="O120" s="56">
        <f>IF(NOT((COUNTA($B120:$D120)+COUNTA($G120:$L120)+COUNTA($Q120))&gt;0),"",IF(ISNUMBER($G120),IF(AND(ISNUMBER($AN120),$G120&gt;$AN120),"Cumplida con "&amp;($G120-$AN120)&amp;IF($G120-$AN120=1," día"," días")&amp;" de retraso","Cumplida"),IF(N($M120)&gt;=1,"Cumplida",IF(NOT(ISNUMBER($AN120)),"Sin fecha límite",IF($AN120&lt;FechaRef,"Vencida hace "&amp;(FechaRef-$AN120)&amp;IF(FechaRef-$AN120=1," día"," días"),IF($AN120=FechaRef,"Vence hoy",IF($AN120-FechaRef&lt;=DiasAlerta,"Vence en "&amp;($AN120-FechaRef)&amp;IF($AN120-FechaRef=1," día"," días"),"En plazo")))))))</f>
        <v/>
      </c>
      <c r="P120" s="62" t="n"/>
      <c r="Q120" s="58" t="n"/>
      <c r="R120" s="63">
        <f>IF(NOT((COUNTA($B120:$D120)+COUNTA($G120:$L120)+COUNTA($Q120))&gt;0),"",IF((IF($C120="","Falta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",""))="","✔ OK","⚠ "&amp;LEFT(IF($C120="","Falta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",""),LEN(IF($C120="","Falta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",""))-3)))</f>
        <v/>
      </c>
      <c r="S120" s="64">
        <f>IF(NOT((COUNTA($B120:$D120)+COUNTA($G120:$L120)+COUNTA($Q120))&gt;0),"",IF(AND($V120="Sub",N($U120)&gt;0),IF(ISNUMBER(INDEX($AM$5:$AM$1000,$U120-4)),DATE(YEAR(INDEX($AM$5:$AM$1000,$U120-4)),MONTH(INDEX($AM$5:$AM$1000,$U120-4)),1),IF(ISNUMBER(INDEX($AN$5:$AN$1000,$U120-4)),DATE(YEAR(INDEX($AN$5:$AN$1000,$U120-4)),MONTH(INDEX($AN$5:$AN$1000,$U120-4)),1),MesCiclo)),IF(ISNUMBER($AM120),DATE(YEAR($AM120),MONTH($AM120),1),IF(ISNUMBER($AN120),DATE(YEAR($AN120),MONTH($AN120),1),MesCiclo))))</f>
        <v/>
      </c>
      <c r="T120" s="62">
        <f>IF(OR($S120="",$S120&lt;&gt;MesCiclo),"",COUNTIF($S$5:$S120,MesCiclo))</f>
        <v/>
      </c>
      <c r="U120" s="62">
        <f>IF($V120="","",IF($V120="Macro",ROW(),IFERROR(LOOKUP(2,1/($V$5:$V120="Macro"),ROW($V$5:$V120)),0)))</f>
        <v/>
      </c>
      <c r="V120" s="62">
        <f>IF(NOT((COUNTA($B120:$D120)+COUNTA($G120:$L120)+COUNTA($Q120))&gt;0),"",IF($B120="Subactividad","Sub","Macro"))</f>
        <v/>
      </c>
      <c r="W120" s="62">
        <f>IF($V120="Macro",COUNTIFS($U$5:$U$1000,ROW(),$V$5:$V$1000,"Sub"),"")</f>
        <v/>
      </c>
      <c r="X120" s="62">
        <f>IF($V120="","",IF(ISNUMBER($G120),1,IFERROR(LOOKUP(2,1/($I120:$L120&lt;&gt;""),$I120:$L120),0)))</f>
        <v/>
      </c>
      <c r="Y120" s="62">
        <f>IF($V120="","",IF(AND(ISNUMBER($G120),$G120&lt;=IF($S120=MesCiclo,InicioCiclo,$S120+MOD(2-WEEKDAY($S120),7))+6),1,IF(ISNUMBER($I120),$I120,0)))</f>
        <v/>
      </c>
      <c r="Z120" s="62">
        <f>IF($V120="","",IF(AND(ISNUMBER($G120),$G120&lt;=IF($S120=MesCiclo,InicioCiclo,$S120+MOD(2-WEEKDAY($S120),7))+13),1,IF(ISNUMBER($J120),$J120,$Y120)))</f>
        <v/>
      </c>
      <c r="AA120" s="62">
        <f>IF($V120="","",IF(AND(ISNUMBER($G120),$G120&lt;=IF($S120=MesCiclo,InicioCiclo,$S120+MOD(2-WEEKDAY($S120),7))+20),1,IF(ISNUMBER($K120),$K120,$Z120)))</f>
        <v/>
      </c>
      <c r="AB120" s="62">
        <f>IF($V120="","",IF(AND(ISNUMBER($G120),$G120&lt;=IF($S120=MesCiclo,InicioCiclo,$S120+MOD(2-WEEKDAY($S120),7))+27),1,IF(ISNUMBER($L120),$L120,$AA120)))</f>
        <v/>
      </c>
      <c r="AC120" s="62">
        <f>IF($V120="","",IF(AND(ISNUMBER($G120),$G120&lt;=IF($S120=MesCiclo,InicioCiclo,$S120+MOD(2-WEEKDAY($S120),7))+6),1,IF(N($W120)&gt;0,AVERAGEIFS($Y$5:$Y$1000,$U$5:$U$1000,ROW(),$V$5:$V$1000,"Sub"),$Y120)))</f>
        <v/>
      </c>
      <c r="AD120" s="62">
        <f>IF($V120="","",IF(AND(ISNUMBER($G120),$G120&lt;=IF($S120=MesCiclo,InicioCiclo,$S120+MOD(2-WEEKDAY($S120),7))+13),1,IF(N($W120)&gt;0,AVERAGEIFS($Z$5:$Z$1000,$U$5:$U$1000,ROW(),$V$5:$V$1000,"Sub"),$Z120)))</f>
        <v/>
      </c>
      <c r="AE120" s="62">
        <f>IF($V120="","",IF(AND(ISNUMBER($G120),$G120&lt;=IF($S120=MesCiclo,InicioCiclo,$S120+MOD(2-WEEKDAY($S120),7))+20),1,IF(N($W120)&gt;0,AVERAGEIFS($AA$5:$AA$1000,$U$5:$U$1000,ROW(),$V$5:$V$1000,"Sub"),$AA120)))</f>
        <v/>
      </c>
      <c r="AF120" s="62">
        <f>IF($V120="","",IF(AND(ISNUMBER($G120),$G120&lt;=IF($S120=MesCiclo,InicioCiclo,$S120+MOD(2-WEEKDAY($S120),7))+27),1,IF(N($W120)&gt;0,AVERAGEIFS($AB$5:$AB$1000,$U$5:$U$1000,ROW(),$V$5:$V$1000,"Sub"),$AB120)))</f>
        <v/>
      </c>
      <c r="AG120" s="62">
        <f>IF($V120&lt;&gt;"Macro","",IF(COUNTIFS($S$5:$S$1000,$S120,$V$5:$V$1000,"Macro",$H$5:$H$1000,"&gt;0")=0,1/COUNTIFS($S$5:$S$1000,$S120,$V$5:$V$1000,"Macro"),IF(AND(ISNUMBER($H120),N($H120)&gt;0),$H120,SUMIFS($H$5:$H$1000,$S$5:$S$1000,$S120,$V$5:$V$1000,"Macro")/COUNTIFS($S$5:$S$1000,$S120,$V$5:$V$1000,"Macro",$H$5:$H$1000,"&gt;0"))/(COUNTIFS($S$5:$S$1000,$S120,$V$5:$V$1000,"Macro")*SUMIFS($H$5:$H$1000,$S$5:$S$1000,$S120,$V$5:$V$1000,"Macro")/COUNTIFS($S$5:$S$1000,$S120,$V$5:$V$1000,"Macro",$H$5:$H$1000,"&gt;0"))))</f>
        <v/>
      </c>
      <c r="AH120" s="62" t="n"/>
      <c r="AI120" s="62" t="n"/>
      <c r="AJ120" s="62" t="n"/>
      <c r="AK120" s="62" t="n"/>
      <c r="AL120" s="62">
        <f>IF(LEFT($C120,11)="[Jefatura] ",IFERROR(MATCH("Riesgo Normativo|"&amp;MID($C120,12,500),rDname_ADM,0),0),"")</f>
        <v/>
      </c>
      <c r="AM120" s="62">
        <f>IF(N($AL120)&gt;0,INDEX(rIni_ADM,$AL120),IF(ISNUMBER($E120),$E120,""))</f>
        <v/>
      </c>
      <c r="AN120" s="62">
        <f>IF(N($AL120)&gt;0,INDEX(rLim_ADM,$AL120),IF(ISNUMBER($F120),$F120,""))</f>
        <v/>
      </c>
    </row>
    <row r="121">
      <c r="A121" s="56">
        <f>IF(NOT((COUNTA($B121:$D121)+COUNTA($G121:$L121)+COUNTA($Q121))&gt;0),"",IF($V121="Macro",COUNTIFS($V$5:$V121,"Macro",$S$5:$S121,$S121),IF(N($U121)=0,"?",COUNTIFS(INDEX($V$5:$V$1000,1):INDEX($V$5:$V$1000,$U121-4),"Macro",INDEX($S$5:$S$1000,1):INDEX($S$5:$S$1000,$U121-4),INDEX($S$5:$S$1000,$U121-4))&amp;"."&amp;COUNTIFS($U$5:$U121,$U121,$V$5:$V121,"Sub"))))</f>
        <v/>
      </c>
      <c r="B121" s="57" t="n"/>
      <c r="C121" s="58" t="n"/>
      <c r="D121" s="58" t="n"/>
      <c r="E121" s="59">
        <f>IF(N($AL121)&gt;0,INDEX(rIni_ADM,$AL121),"")</f>
        <v/>
      </c>
      <c r="F121" s="59">
        <f>IF(N($AL121)&gt;0,INDEX(rLim_ADM,$AL121),"")</f>
        <v/>
      </c>
      <c r="G121" s="59" t="n"/>
      <c r="H121" s="60" t="n"/>
      <c r="I121" s="60" t="n"/>
      <c r="J121" s="60" t="n"/>
      <c r="K121" s="60" t="n"/>
      <c r="L121" s="60" t="n"/>
      <c r="M121" s="61">
        <f>IF(NOT((COUNTA($B121:$D121)+COUNTA($G121:$L121)+COUNTA($Q121))&gt;0),"",IF(ISNUMBER($G121),1,IF(N($W121)&gt;0,AVERAGEIFS($X$5:$X$1000,$U$5:$U$1000,ROW(),$V$5:$V$1000,"Sub"),$X121)))</f>
        <v/>
      </c>
      <c r="N121" s="56">
        <f>IF($M121="","",IF($M121&gt;=1,"Completado",IF($M121&gt;0,"En curso","Pendiente")))</f>
        <v/>
      </c>
      <c r="O121" s="56">
        <f>IF(NOT((COUNTA($B121:$D121)+COUNTA($G121:$L121)+COUNTA($Q121))&gt;0),"",IF(ISNUMBER($G121),IF(AND(ISNUMBER($AN121),$G121&gt;$AN121),"Cumplida con "&amp;($G121-$AN121)&amp;IF($G121-$AN121=1," día"," días")&amp;" de retraso","Cumplida"),IF(N($M121)&gt;=1,"Cumplida",IF(NOT(ISNUMBER($AN121)),"Sin fecha límite",IF($AN121&lt;FechaRef,"Vencida hace "&amp;(FechaRef-$AN121)&amp;IF(FechaRef-$AN121=1," día"," días"),IF($AN121=FechaRef,"Vence hoy",IF($AN121-FechaRef&lt;=DiasAlerta,"Vence en "&amp;($AN121-FechaRef)&amp;IF($AN121-FechaRef=1," día"," días"),"En plazo")))))))</f>
        <v/>
      </c>
      <c r="P121" s="62" t="n"/>
      <c r="Q121" s="58" t="n"/>
      <c r="R121" s="63">
        <f>IF(NOT((COUNTA($B121:$D121)+COUNTA($G121:$L121)+COUNTA($Q121))&gt;0),"",IF((IF($C121="","Falta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",""))="","✔ OK","⚠ "&amp;LEFT(IF($C121="","Falta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",""),LEN(IF($C121="","Falta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",""))-3)))</f>
        <v/>
      </c>
      <c r="S121" s="64">
        <f>IF(NOT((COUNTA($B121:$D121)+COUNTA($G121:$L121)+COUNTA($Q121))&gt;0),"",IF(AND($V121="Sub",N($U121)&gt;0),IF(ISNUMBER(INDEX($AM$5:$AM$1000,$U121-4)),DATE(YEAR(INDEX($AM$5:$AM$1000,$U121-4)),MONTH(INDEX($AM$5:$AM$1000,$U121-4)),1),IF(ISNUMBER(INDEX($AN$5:$AN$1000,$U121-4)),DATE(YEAR(INDEX($AN$5:$AN$1000,$U121-4)),MONTH(INDEX($AN$5:$AN$1000,$U121-4)),1),MesCiclo)),IF(ISNUMBER($AM121),DATE(YEAR($AM121),MONTH($AM121),1),IF(ISNUMBER($AN121),DATE(YEAR($AN121),MONTH($AN121),1),MesCiclo))))</f>
        <v/>
      </c>
      <c r="T121" s="62">
        <f>IF(OR($S121="",$S121&lt;&gt;MesCiclo),"",COUNTIF($S$5:$S121,MesCiclo))</f>
        <v/>
      </c>
      <c r="U121" s="62">
        <f>IF($V121="","",IF($V121="Macro",ROW(),IFERROR(LOOKUP(2,1/($V$5:$V121="Macro"),ROW($V$5:$V121)),0)))</f>
        <v/>
      </c>
      <c r="V121" s="62">
        <f>IF(NOT((COUNTA($B121:$D121)+COUNTA($G121:$L121)+COUNTA($Q121))&gt;0),"",IF($B121="Subactividad","Sub","Macro"))</f>
        <v/>
      </c>
      <c r="W121" s="62">
        <f>IF($V121="Macro",COUNTIFS($U$5:$U$1000,ROW(),$V$5:$V$1000,"Sub"),"")</f>
        <v/>
      </c>
      <c r="X121" s="62">
        <f>IF($V121="","",IF(ISNUMBER($G121),1,IFERROR(LOOKUP(2,1/($I121:$L121&lt;&gt;""),$I121:$L121),0)))</f>
        <v/>
      </c>
      <c r="Y121" s="62">
        <f>IF($V121="","",IF(AND(ISNUMBER($G121),$G121&lt;=IF($S121=MesCiclo,InicioCiclo,$S121+MOD(2-WEEKDAY($S121),7))+6),1,IF(ISNUMBER($I121),$I121,0)))</f>
        <v/>
      </c>
      <c r="Z121" s="62">
        <f>IF($V121="","",IF(AND(ISNUMBER($G121),$G121&lt;=IF($S121=MesCiclo,InicioCiclo,$S121+MOD(2-WEEKDAY($S121),7))+13),1,IF(ISNUMBER($J121),$J121,$Y121)))</f>
        <v/>
      </c>
      <c r="AA121" s="62">
        <f>IF($V121="","",IF(AND(ISNUMBER($G121),$G121&lt;=IF($S121=MesCiclo,InicioCiclo,$S121+MOD(2-WEEKDAY($S121),7))+20),1,IF(ISNUMBER($K121),$K121,$Z121)))</f>
        <v/>
      </c>
      <c r="AB121" s="62">
        <f>IF($V121="","",IF(AND(ISNUMBER($G121),$G121&lt;=IF($S121=MesCiclo,InicioCiclo,$S121+MOD(2-WEEKDAY($S121),7))+27),1,IF(ISNUMBER($L121),$L121,$AA121)))</f>
        <v/>
      </c>
      <c r="AC121" s="62">
        <f>IF($V121="","",IF(AND(ISNUMBER($G121),$G121&lt;=IF($S121=MesCiclo,InicioCiclo,$S121+MOD(2-WEEKDAY($S121),7))+6),1,IF(N($W121)&gt;0,AVERAGEIFS($Y$5:$Y$1000,$U$5:$U$1000,ROW(),$V$5:$V$1000,"Sub"),$Y121)))</f>
        <v/>
      </c>
      <c r="AD121" s="62">
        <f>IF($V121="","",IF(AND(ISNUMBER($G121),$G121&lt;=IF($S121=MesCiclo,InicioCiclo,$S121+MOD(2-WEEKDAY($S121),7))+13),1,IF(N($W121)&gt;0,AVERAGEIFS($Z$5:$Z$1000,$U$5:$U$1000,ROW(),$V$5:$V$1000,"Sub"),$Z121)))</f>
        <v/>
      </c>
      <c r="AE121" s="62">
        <f>IF($V121="","",IF(AND(ISNUMBER($G121),$G121&lt;=IF($S121=MesCiclo,InicioCiclo,$S121+MOD(2-WEEKDAY($S121),7))+20),1,IF(N($W121)&gt;0,AVERAGEIFS($AA$5:$AA$1000,$U$5:$U$1000,ROW(),$V$5:$V$1000,"Sub"),$AA121)))</f>
        <v/>
      </c>
      <c r="AF121" s="62">
        <f>IF($V121="","",IF(AND(ISNUMBER($G121),$G121&lt;=IF($S121=MesCiclo,InicioCiclo,$S121+MOD(2-WEEKDAY($S121),7))+27),1,IF(N($W121)&gt;0,AVERAGEIFS($AB$5:$AB$1000,$U$5:$U$1000,ROW(),$V$5:$V$1000,"Sub"),$AB121)))</f>
        <v/>
      </c>
      <c r="AG121" s="62">
        <f>IF($V121&lt;&gt;"Macro","",IF(COUNTIFS($S$5:$S$1000,$S121,$V$5:$V$1000,"Macro",$H$5:$H$1000,"&gt;0")=0,1/COUNTIFS($S$5:$S$1000,$S121,$V$5:$V$1000,"Macro"),IF(AND(ISNUMBER($H121),N($H121)&gt;0),$H121,SUMIFS($H$5:$H$1000,$S$5:$S$1000,$S121,$V$5:$V$1000,"Macro")/COUNTIFS($S$5:$S$1000,$S121,$V$5:$V$1000,"Macro",$H$5:$H$1000,"&gt;0"))/(COUNTIFS($S$5:$S$1000,$S121,$V$5:$V$1000,"Macro")*SUMIFS($H$5:$H$1000,$S$5:$S$1000,$S121,$V$5:$V$1000,"Macro")/COUNTIFS($S$5:$S$1000,$S121,$V$5:$V$1000,"Macro",$H$5:$H$1000,"&gt;0"))))</f>
        <v/>
      </c>
      <c r="AH121" s="62" t="n"/>
      <c r="AI121" s="62" t="n"/>
      <c r="AJ121" s="62" t="n"/>
      <c r="AK121" s="62" t="n"/>
      <c r="AL121" s="62">
        <f>IF(LEFT($C121,11)="[Jefatura] ",IFERROR(MATCH("Riesgo Normativo|"&amp;MID($C121,12,500),rDname_ADM,0),0),"")</f>
        <v/>
      </c>
      <c r="AM121" s="62">
        <f>IF(N($AL121)&gt;0,INDEX(rIni_ADM,$AL121),IF(ISNUMBER($E121),$E121,""))</f>
        <v/>
      </c>
      <c r="AN121" s="62">
        <f>IF(N($AL121)&gt;0,INDEX(rLim_ADM,$AL121),IF(ISNUMBER($F121),$F121,""))</f>
        <v/>
      </c>
    </row>
    <row r="122">
      <c r="A122" s="56">
        <f>IF(NOT((COUNTA($B122:$D122)+COUNTA($G122:$L122)+COUNTA($Q122))&gt;0),"",IF($V122="Macro",COUNTIFS($V$5:$V122,"Macro",$S$5:$S122,$S122),IF(N($U122)=0,"?",COUNTIFS(INDEX($V$5:$V$1000,1):INDEX($V$5:$V$1000,$U122-4),"Macro",INDEX($S$5:$S$1000,1):INDEX($S$5:$S$1000,$U122-4),INDEX($S$5:$S$1000,$U122-4))&amp;"."&amp;COUNTIFS($U$5:$U122,$U122,$V$5:$V122,"Sub"))))</f>
        <v/>
      </c>
      <c r="B122" s="57" t="n"/>
      <c r="C122" s="58" t="n"/>
      <c r="D122" s="58" t="n"/>
      <c r="E122" s="59">
        <f>IF(N($AL122)&gt;0,INDEX(rIni_ADM,$AL122),"")</f>
        <v/>
      </c>
      <c r="F122" s="59">
        <f>IF(N($AL122)&gt;0,INDEX(rLim_ADM,$AL122),"")</f>
        <v/>
      </c>
      <c r="G122" s="59" t="n"/>
      <c r="H122" s="60" t="n"/>
      <c r="I122" s="60" t="n"/>
      <c r="J122" s="60" t="n"/>
      <c r="K122" s="60" t="n"/>
      <c r="L122" s="60" t="n"/>
      <c r="M122" s="61">
        <f>IF(NOT((COUNTA($B122:$D122)+COUNTA($G122:$L122)+COUNTA($Q122))&gt;0),"",IF(ISNUMBER($G122),1,IF(N($W122)&gt;0,AVERAGEIFS($X$5:$X$1000,$U$5:$U$1000,ROW(),$V$5:$V$1000,"Sub"),$X122)))</f>
        <v/>
      </c>
      <c r="N122" s="56">
        <f>IF($M122="","",IF($M122&gt;=1,"Completado",IF($M122&gt;0,"En curso","Pendiente")))</f>
        <v/>
      </c>
      <c r="O122" s="56">
        <f>IF(NOT((COUNTA($B122:$D122)+COUNTA($G122:$L122)+COUNTA($Q122))&gt;0),"",IF(ISNUMBER($G122),IF(AND(ISNUMBER($AN122),$G122&gt;$AN122),"Cumplida con "&amp;($G122-$AN122)&amp;IF($G122-$AN122=1," día"," días")&amp;" de retraso","Cumplida"),IF(N($M122)&gt;=1,"Cumplida",IF(NOT(ISNUMBER($AN122)),"Sin fecha límite",IF($AN122&lt;FechaRef,"Vencida hace "&amp;(FechaRef-$AN122)&amp;IF(FechaRef-$AN122=1," día"," días"),IF($AN122=FechaRef,"Vence hoy",IF($AN122-FechaRef&lt;=DiasAlerta,"Vence en "&amp;($AN122-FechaRef)&amp;IF($AN122-FechaRef=1," día"," días"),"En plazo")))))))</f>
        <v/>
      </c>
      <c r="P122" s="62" t="n"/>
      <c r="Q122" s="58" t="n"/>
      <c r="R122" s="63">
        <f>IF(NOT((COUNTA($B122:$D122)+COUNTA($G122:$L122)+COUNTA($Q122))&gt;0),"",IF((IF($C122="","Falta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",""))="","✔ OK","⚠ "&amp;LEFT(IF($C122="","Falta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",""),LEN(IF($C122="","Falta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",""))-3)))</f>
        <v/>
      </c>
      <c r="S122" s="64">
        <f>IF(NOT((COUNTA($B122:$D122)+COUNTA($G122:$L122)+COUNTA($Q122))&gt;0),"",IF(AND($V122="Sub",N($U122)&gt;0),IF(ISNUMBER(INDEX($AM$5:$AM$1000,$U122-4)),DATE(YEAR(INDEX($AM$5:$AM$1000,$U122-4)),MONTH(INDEX($AM$5:$AM$1000,$U122-4)),1),IF(ISNUMBER(INDEX($AN$5:$AN$1000,$U122-4)),DATE(YEAR(INDEX($AN$5:$AN$1000,$U122-4)),MONTH(INDEX($AN$5:$AN$1000,$U122-4)),1),MesCiclo)),IF(ISNUMBER($AM122),DATE(YEAR($AM122),MONTH($AM122),1),IF(ISNUMBER($AN122),DATE(YEAR($AN122),MONTH($AN122),1),MesCiclo))))</f>
        <v/>
      </c>
      <c r="T122" s="62">
        <f>IF(OR($S122="",$S122&lt;&gt;MesCiclo),"",COUNTIF($S$5:$S122,MesCiclo))</f>
        <v/>
      </c>
      <c r="U122" s="62">
        <f>IF($V122="","",IF($V122="Macro",ROW(),IFERROR(LOOKUP(2,1/($V$5:$V122="Macro"),ROW($V$5:$V122)),0)))</f>
        <v/>
      </c>
      <c r="V122" s="62">
        <f>IF(NOT((COUNTA($B122:$D122)+COUNTA($G122:$L122)+COUNTA($Q122))&gt;0),"",IF($B122="Subactividad","Sub","Macro"))</f>
        <v/>
      </c>
      <c r="W122" s="62">
        <f>IF($V122="Macro",COUNTIFS($U$5:$U$1000,ROW(),$V$5:$V$1000,"Sub"),"")</f>
        <v/>
      </c>
      <c r="X122" s="62">
        <f>IF($V122="","",IF(ISNUMBER($G122),1,IFERROR(LOOKUP(2,1/($I122:$L122&lt;&gt;""),$I122:$L122),0)))</f>
        <v/>
      </c>
      <c r="Y122" s="62">
        <f>IF($V122="","",IF(AND(ISNUMBER($G122),$G122&lt;=IF($S122=MesCiclo,InicioCiclo,$S122+MOD(2-WEEKDAY($S122),7))+6),1,IF(ISNUMBER($I122),$I122,0)))</f>
        <v/>
      </c>
      <c r="Z122" s="62">
        <f>IF($V122="","",IF(AND(ISNUMBER($G122),$G122&lt;=IF($S122=MesCiclo,InicioCiclo,$S122+MOD(2-WEEKDAY($S122),7))+13),1,IF(ISNUMBER($J122),$J122,$Y122)))</f>
        <v/>
      </c>
      <c r="AA122" s="62">
        <f>IF($V122="","",IF(AND(ISNUMBER($G122),$G122&lt;=IF($S122=MesCiclo,InicioCiclo,$S122+MOD(2-WEEKDAY($S122),7))+20),1,IF(ISNUMBER($K122),$K122,$Z122)))</f>
        <v/>
      </c>
      <c r="AB122" s="62">
        <f>IF($V122="","",IF(AND(ISNUMBER($G122),$G122&lt;=IF($S122=MesCiclo,InicioCiclo,$S122+MOD(2-WEEKDAY($S122),7))+27),1,IF(ISNUMBER($L122),$L122,$AA122)))</f>
        <v/>
      </c>
      <c r="AC122" s="62">
        <f>IF($V122="","",IF(AND(ISNUMBER($G122),$G122&lt;=IF($S122=MesCiclo,InicioCiclo,$S122+MOD(2-WEEKDAY($S122),7))+6),1,IF(N($W122)&gt;0,AVERAGEIFS($Y$5:$Y$1000,$U$5:$U$1000,ROW(),$V$5:$V$1000,"Sub"),$Y122)))</f>
        <v/>
      </c>
      <c r="AD122" s="62">
        <f>IF($V122="","",IF(AND(ISNUMBER($G122),$G122&lt;=IF($S122=MesCiclo,InicioCiclo,$S122+MOD(2-WEEKDAY($S122),7))+13),1,IF(N($W122)&gt;0,AVERAGEIFS($Z$5:$Z$1000,$U$5:$U$1000,ROW(),$V$5:$V$1000,"Sub"),$Z122)))</f>
        <v/>
      </c>
      <c r="AE122" s="62">
        <f>IF($V122="","",IF(AND(ISNUMBER($G122),$G122&lt;=IF($S122=MesCiclo,InicioCiclo,$S122+MOD(2-WEEKDAY($S122),7))+20),1,IF(N($W122)&gt;0,AVERAGEIFS($AA$5:$AA$1000,$U$5:$U$1000,ROW(),$V$5:$V$1000,"Sub"),$AA122)))</f>
        <v/>
      </c>
      <c r="AF122" s="62">
        <f>IF($V122="","",IF(AND(ISNUMBER($G122),$G122&lt;=IF($S122=MesCiclo,InicioCiclo,$S122+MOD(2-WEEKDAY($S122),7))+27),1,IF(N($W122)&gt;0,AVERAGEIFS($AB$5:$AB$1000,$U$5:$U$1000,ROW(),$V$5:$V$1000,"Sub"),$AB122)))</f>
        <v/>
      </c>
      <c r="AG122" s="62">
        <f>IF($V122&lt;&gt;"Macro","",IF(COUNTIFS($S$5:$S$1000,$S122,$V$5:$V$1000,"Macro",$H$5:$H$1000,"&gt;0")=0,1/COUNTIFS($S$5:$S$1000,$S122,$V$5:$V$1000,"Macro"),IF(AND(ISNUMBER($H122),N($H122)&gt;0),$H122,SUMIFS($H$5:$H$1000,$S$5:$S$1000,$S122,$V$5:$V$1000,"Macro")/COUNTIFS($S$5:$S$1000,$S122,$V$5:$V$1000,"Macro",$H$5:$H$1000,"&gt;0"))/(COUNTIFS($S$5:$S$1000,$S122,$V$5:$V$1000,"Macro")*SUMIFS($H$5:$H$1000,$S$5:$S$1000,$S122,$V$5:$V$1000,"Macro")/COUNTIFS($S$5:$S$1000,$S122,$V$5:$V$1000,"Macro",$H$5:$H$1000,"&gt;0"))))</f>
        <v/>
      </c>
      <c r="AH122" s="62" t="n"/>
      <c r="AI122" s="62" t="n"/>
      <c r="AJ122" s="62" t="n"/>
      <c r="AK122" s="62" t="n"/>
      <c r="AL122" s="62">
        <f>IF(LEFT($C122,11)="[Jefatura] ",IFERROR(MATCH("Riesgo Normativo|"&amp;MID($C122,12,500),rDname_ADM,0),0),"")</f>
        <v/>
      </c>
      <c r="AM122" s="62">
        <f>IF(N($AL122)&gt;0,INDEX(rIni_ADM,$AL122),IF(ISNUMBER($E122),$E122,""))</f>
        <v/>
      </c>
      <c r="AN122" s="62">
        <f>IF(N($AL122)&gt;0,INDEX(rLim_ADM,$AL122),IF(ISNUMBER($F122),$F122,""))</f>
        <v/>
      </c>
    </row>
    <row r="123">
      <c r="A123" s="56">
        <f>IF(NOT((COUNTA($B123:$D123)+COUNTA($G123:$L123)+COUNTA($Q123))&gt;0),"",IF($V123="Macro",COUNTIFS($V$5:$V123,"Macro",$S$5:$S123,$S123),IF(N($U123)=0,"?",COUNTIFS(INDEX($V$5:$V$1000,1):INDEX($V$5:$V$1000,$U123-4),"Macro",INDEX($S$5:$S$1000,1):INDEX($S$5:$S$1000,$U123-4),INDEX($S$5:$S$1000,$U123-4))&amp;"."&amp;COUNTIFS($U$5:$U123,$U123,$V$5:$V123,"Sub"))))</f>
        <v/>
      </c>
      <c r="B123" s="57" t="n"/>
      <c r="C123" s="58" t="n"/>
      <c r="D123" s="58" t="n"/>
      <c r="E123" s="59">
        <f>IF(N($AL123)&gt;0,INDEX(rIni_ADM,$AL123),"")</f>
        <v/>
      </c>
      <c r="F123" s="59">
        <f>IF(N($AL123)&gt;0,INDEX(rLim_ADM,$AL123),"")</f>
        <v/>
      </c>
      <c r="G123" s="59" t="n"/>
      <c r="H123" s="60" t="n"/>
      <c r="I123" s="60" t="n"/>
      <c r="J123" s="60" t="n"/>
      <c r="K123" s="60" t="n"/>
      <c r="L123" s="60" t="n"/>
      <c r="M123" s="61">
        <f>IF(NOT((COUNTA($B123:$D123)+COUNTA($G123:$L123)+COUNTA($Q123))&gt;0),"",IF(ISNUMBER($G123),1,IF(N($W123)&gt;0,AVERAGEIFS($X$5:$X$1000,$U$5:$U$1000,ROW(),$V$5:$V$1000,"Sub"),$X123)))</f>
        <v/>
      </c>
      <c r="N123" s="56">
        <f>IF($M123="","",IF($M123&gt;=1,"Completado",IF($M123&gt;0,"En curso","Pendiente")))</f>
        <v/>
      </c>
      <c r="O123" s="56">
        <f>IF(NOT((COUNTA($B123:$D123)+COUNTA($G123:$L123)+COUNTA($Q123))&gt;0),"",IF(ISNUMBER($G123),IF(AND(ISNUMBER($AN123),$G123&gt;$AN123),"Cumplida con "&amp;($G123-$AN123)&amp;IF($G123-$AN123=1," día"," días")&amp;" de retraso","Cumplida"),IF(N($M123)&gt;=1,"Cumplida",IF(NOT(ISNUMBER($AN123)),"Sin fecha límite",IF($AN123&lt;FechaRef,"Vencida hace "&amp;(FechaRef-$AN123)&amp;IF(FechaRef-$AN123=1," día"," días"),IF($AN123=FechaRef,"Vence hoy",IF($AN123-FechaRef&lt;=DiasAlerta,"Vence en "&amp;($AN123-FechaRef)&amp;IF($AN123-FechaRef=1," día"," días"),"En plazo")))))))</f>
        <v/>
      </c>
      <c r="P123" s="62" t="n"/>
      <c r="Q123" s="58" t="n"/>
      <c r="R123" s="63">
        <f>IF(NOT((COUNTA($B123:$D123)+COUNTA($G123:$L123)+COUNTA($Q123))&gt;0),"",IF((IF($C123="","Falta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",""))="","✔ OK","⚠ "&amp;LEFT(IF($C123="","Falta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",""),LEN(IF($C123="","Falta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",""))-3)))</f>
        <v/>
      </c>
      <c r="S123" s="64">
        <f>IF(NOT((COUNTA($B123:$D123)+COUNTA($G123:$L123)+COUNTA($Q123))&gt;0),"",IF(AND($V123="Sub",N($U123)&gt;0),IF(ISNUMBER(INDEX($AM$5:$AM$1000,$U123-4)),DATE(YEAR(INDEX($AM$5:$AM$1000,$U123-4)),MONTH(INDEX($AM$5:$AM$1000,$U123-4)),1),IF(ISNUMBER(INDEX($AN$5:$AN$1000,$U123-4)),DATE(YEAR(INDEX($AN$5:$AN$1000,$U123-4)),MONTH(INDEX($AN$5:$AN$1000,$U123-4)),1),MesCiclo)),IF(ISNUMBER($AM123),DATE(YEAR($AM123),MONTH($AM123),1),IF(ISNUMBER($AN123),DATE(YEAR($AN123),MONTH($AN123),1),MesCiclo))))</f>
        <v/>
      </c>
      <c r="T123" s="62">
        <f>IF(OR($S123="",$S123&lt;&gt;MesCiclo),"",COUNTIF($S$5:$S123,MesCiclo))</f>
        <v/>
      </c>
      <c r="U123" s="62">
        <f>IF($V123="","",IF($V123="Macro",ROW(),IFERROR(LOOKUP(2,1/($V$5:$V123="Macro"),ROW($V$5:$V123)),0)))</f>
        <v/>
      </c>
      <c r="V123" s="62">
        <f>IF(NOT((COUNTA($B123:$D123)+COUNTA($G123:$L123)+COUNTA($Q123))&gt;0),"",IF($B123="Subactividad","Sub","Macro"))</f>
        <v/>
      </c>
      <c r="W123" s="62">
        <f>IF($V123="Macro",COUNTIFS($U$5:$U$1000,ROW(),$V$5:$V$1000,"Sub"),"")</f>
        <v/>
      </c>
      <c r="X123" s="62">
        <f>IF($V123="","",IF(ISNUMBER($G123),1,IFERROR(LOOKUP(2,1/($I123:$L123&lt;&gt;""),$I123:$L123),0)))</f>
        <v/>
      </c>
      <c r="Y123" s="62">
        <f>IF($V123="","",IF(AND(ISNUMBER($G123),$G123&lt;=IF($S123=MesCiclo,InicioCiclo,$S123+MOD(2-WEEKDAY($S123),7))+6),1,IF(ISNUMBER($I123),$I123,0)))</f>
        <v/>
      </c>
      <c r="Z123" s="62">
        <f>IF($V123="","",IF(AND(ISNUMBER($G123),$G123&lt;=IF($S123=MesCiclo,InicioCiclo,$S123+MOD(2-WEEKDAY($S123),7))+13),1,IF(ISNUMBER($J123),$J123,$Y123)))</f>
        <v/>
      </c>
      <c r="AA123" s="62">
        <f>IF($V123="","",IF(AND(ISNUMBER($G123),$G123&lt;=IF($S123=MesCiclo,InicioCiclo,$S123+MOD(2-WEEKDAY($S123),7))+20),1,IF(ISNUMBER($K123),$K123,$Z123)))</f>
        <v/>
      </c>
      <c r="AB123" s="62">
        <f>IF($V123="","",IF(AND(ISNUMBER($G123),$G123&lt;=IF($S123=MesCiclo,InicioCiclo,$S123+MOD(2-WEEKDAY($S123),7))+27),1,IF(ISNUMBER($L123),$L123,$AA123)))</f>
        <v/>
      </c>
      <c r="AC123" s="62">
        <f>IF($V123="","",IF(AND(ISNUMBER($G123),$G123&lt;=IF($S123=MesCiclo,InicioCiclo,$S123+MOD(2-WEEKDAY($S123),7))+6),1,IF(N($W123)&gt;0,AVERAGEIFS($Y$5:$Y$1000,$U$5:$U$1000,ROW(),$V$5:$V$1000,"Sub"),$Y123)))</f>
        <v/>
      </c>
      <c r="AD123" s="62">
        <f>IF($V123="","",IF(AND(ISNUMBER($G123),$G123&lt;=IF($S123=MesCiclo,InicioCiclo,$S123+MOD(2-WEEKDAY($S123),7))+13),1,IF(N($W123)&gt;0,AVERAGEIFS($Z$5:$Z$1000,$U$5:$U$1000,ROW(),$V$5:$V$1000,"Sub"),$Z123)))</f>
        <v/>
      </c>
      <c r="AE123" s="62">
        <f>IF($V123="","",IF(AND(ISNUMBER($G123),$G123&lt;=IF($S123=MesCiclo,InicioCiclo,$S123+MOD(2-WEEKDAY($S123),7))+20),1,IF(N($W123)&gt;0,AVERAGEIFS($AA$5:$AA$1000,$U$5:$U$1000,ROW(),$V$5:$V$1000,"Sub"),$AA123)))</f>
        <v/>
      </c>
      <c r="AF123" s="62">
        <f>IF($V123="","",IF(AND(ISNUMBER($G123),$G123&lt;=IF($S123=MesCiclo,InicioCiclo,$S123+MOD(2-WEEKDAY($S123),7))+27),1,IF(N($W123)&gt;0,AVERAGEIFS($AB$5:$AB$1000,$U$5:$U$1000,ROW(),$V$5:$V$1000,"Sub"),$AB123)))</f>
        <v/>
      </c>
      <c r="AG123" s="62">
        <f>IF($V123&lt;&gt;"Macro","",IF(COUNTIFS($S$5:$S$1000,$S123,$V$5:$V$1000,"Macro",$H$5:$H$1000,"&gt;0")=0,1/COUNTIFS($S$5:$S$1000,$S123,$V$5:$V$1000,"Macro"),IF(AND(ISNUMBER($H123),N($H123)&gt;0),$H123,SUMIFS($H$5:$H$1000,$S$5:$S$1000,$S123,$V$5:$V$1000,"Macro")/COUNTIFS($S$5:$S$1000,$S123,$V$5:$V$1000,"Macro",$H$5:$H$1000,"&gt;0"))/(COUNTIFS($S$5:$S$1000,$S123,$V$5:$V$1000,"Macro")*SUMIFS($H$5:$H$1000,$S$5:$S$1000,$S123,$V$5:$V$1000,"Macro")/COUNTIFS($S$5:$S$1000,$S123,$V$5:$V$1000,"Macro",$H$5:$H$1000,"&gt;0"))))</f>
        <v/>
      </c>
      <c r="AH123" s="62" t="n"/>
      <c r="AI123" s="62" t="n"/>
      <c r="AJ123" s="62" t="n"/>
      <c r="AK123" s="62" t="n"/>
      <c r="AL123" s="62">
        <f>IF(LEFT($C123,11)="[Jefatura] ",IFERROR(MATCH("Riesgo Normativo|"&amp;MID($C123,12,500),rDname_ADM,0),0),"")</f>
        <v/>
      </c>
      <c r="AM123" s="62">
        <f>IF(N($AL123)&gt;0,INDEX(rIni_ADM,$AL123),IF(ISNUMBER($E123),$E123,""))</f>
        <v/>
      </c>
      <c r="AN123" s="62">
        <f>IF(N($AL123)&gt;0,INDEX(rLim_ADM,$AL123),IF(ISNUMBER($F123),$F123,""))</f>
        <v/>
      </c>
    </row>
    <row r="124">
      <c r="A124" s="56">
        <f>IF(NOT((COUNTA($B124:$D124)+COUNTA($G124:$L124)+COUNTA($Q124))&gt;0),"",IF($V124="Macro",COUNTIFS($V$5:$V124,"Macro",$S$5:$S124,$S124),IF(N($U124)=0,"?",COUNTIFS(INDEX($V$5:$V$1000,1):INDEX($V$5:$V$1000,$U124-4),"Macro",INDEX($S$5:$S$1000,1):INDEX($S$5:$S$1000,$U124-4),INDEX($S$5:$S$1000,$U124-4))&amp;"."&amp;COUNTIFS($U$5:$U124,$U124,$V$5:$V124,"Sub"))))</f>
        <v/>
      </c>
      <c r="B124" s="57" t="n"/>
      <c r="C124" s="58" t="n"/>
      <c r="D124" s="58" t="n"/>
      <c r="E124" s="59">
        <f>IF(N($AL124)&gt;0,INDEX(rIni_ADM,$AL124),"")</f>
        <v/>
      </c>
      <c r="F124" s="59">
        <f>IF(N($AL124)&gt;0,INDEX(rLim_ADM,$AL124),"")</f>
        <v/>
      </c>
      <c r="G124" s="59" t="n"/>
      <c r="H124" s="60" t="n"/>
      <c r="I124" s="60" t="n"/>
      <c r="J124" s="60" t="n"/>
      <c r="K124" s="60" t="n"/>
      <c r="L124" s="60" t="n"/>
      <c r="M124" s="61">
        <f>IF(NOT((COUNTA($B124:$D124)+COUNTA($G124:$L124)+COUNTA($Q124))&gt;0),"",IF(ISNUMBER($G124),1,IF(N($W124)&gt;0,AVERAGEIFS($X$5:$X$1000,$U$5:$U$1000,ROW(),$V$5:$V$1000,"Sub"),$X124)))</f>
        <v/>
      </c>
      <c r="N124" s="56">
        <f>IF($M124="","",IF($M124&gt;=1,"Completado",IF($M124&gt;0,"En curso","Pendiente")))</f>
        <v/>
      </c>
      <c r="O124" s="56">
        <f>IF(NOT((COUNTA($B124:$D124)+COUNTA($G124:$L124)+COUNTA($Q124))&gt;0),"",IF(ISNUMBER($G124),IF(AND(ISNUMBER($AN124),$G124&gt;$AN124),"Cumplida con "&amp;($G124-$AN124)&amp;IF($G124-$AN124=1," día"," días")&amp;" de retraso","Cumplida"),IF(N($M124)&gt;=1,"Cumplida",IF(NOT(ISNUMBER($AN124)),"Sin fecha límite",IF($AN124&lt;FechaRef,"Vencida hace "&amp;(FechaRef-$AN124)&amp;IF(FechaRef-$AN124=1," día"," días"),IF($AN124=FechaRef,"Vence hoy",IF($AN124-FechaRef&lt;=DiasAlerta,"Vence en "&amp;($AN124-FechaRef)&amp;IF($AN124-FechaRef=1," día"," días"),"En plazo")))))))</f>
        <v/>
      </c>
      <c r="P124" s="62" t="n"/>
      <c r="Q124" s="58" t="n"/>
      <c r="R124" s="63">
        <f>IF(NOT((COUNTA($B124:$D124)+COUNTA($G124:$L124)+COUNTA($Q124))&gt;0),"",IF((IF($C124="","Falta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",""))="","✔ OK","⚠ "&amp;LEFT(IF($C124="","Falta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",""),LEN(IF($C124="","Falta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",""))-3)))</f>
        <v/>
      </c>
      <c r="S124" s="64">
        <f>IF(NOT((COUNTA($B124:$D124)+COUNTA($G124:$L124)+COUNTA($Q124))&gt;0),"",IF(AND($V124="Sub",N($U124)&gt;0),IF(ISNUMBER(INDEX($AM$5:$AM$1000,$U124-4)),DATE(YEAR(INDEX($AM$5:$AM$1000,$U124-4)),MONTH(INDEX($AM$5:$AM$1000,$U124-4)),1),IF(ISNUMBER(INDEX($AN$5:$AN$1000,$U124-4)),DATE(YEAR(INDEX($AN$5:$AN$1000,$U124-4)),MONTH(INDEX($AN$5:$AN$1000,$U124-4)),1),MesCiclo)),IF(ISNUMBER($AM124),DATE(YEAR($AM124),MONTH($AM124),1),IF(ISNUMBER($AN124),DATE(YEAR($AN124),MONTH($AN124),1),MesCiclo))))</f>
        <v/>
      </c>
      <c r="T124" s="62">
        <f>IF(OR($S124="",$S124&lt;&gt;MesCiclo),"",COUNTIF($S$5:$S124,MesCiclo))</f>
        <v/>
      </c>
      <c r="U124" s="62">
        <f>IF($V124="","",IF($V124="Macro",ROW(),IFERROR(LOOKUP(2,1/($V$5:$V124="Macro"),ROW($V$5:$V124)),0)))</f>
        <v/>
      </c>
      <c r="V124" s="62">
        <f>IF(NOT((COUNTA($B124:$D124)+COUNTA($G124:$L124)+COUNTA($Q124))&gt;0),"",IF($B124="Subactividad","Sub","Macro"))</f>
        <v/>
      </c>
      <c r="W124" s="62">
        <f>IF($V124="Macro",COUNTIFS($U$5:$U$1000,ROW(),$V$5:$V$1000,"Sub"),"")</f>
        <v/>
      </c>
      <c r="X124" s="62">
        <f>IF($V124="","",IF(ISNUMBER($G124),1,IFERROR(LOOKUP(2,1/($I124:$L124&lt;&gt;""),$I124:$L124),0)))</f>
        <v/>
      </c>
      <c r="Y124" s="62">
        <f>IF($V124="","",IF(AND(ISNUMBER($G124),$G124&lt;=IF($S124=MesCiclo,InicioCiclo,$S124+MOD(2-WEEKDAY($S124),7))+6),1,IF(ISNUMBER($I124),$I124,0)))</f>
        <v/>
      </c>
      <c r="Z124" s="62">
        <f>IF($V124="","",IF(AND(ISNUMBER($G124),$G124&lt;=IF($S124=MesCiclo,InicioCiclo,$S124+MOD(2-WEEKDAY($S124),7))+13),1,IF(ISNUMBER($J124),$J124,$Y124)))</f>
        <v/>
      </c>
      <c r="AA124" s="62">
        <f>IF($V124="","",IF(AND(ISNUMBER($G124),$G124&lt;=IF($S124=MesCiclo,InicioCiclo,$S124+MOD(2-WEEKDAY($S124),7))+20),1,IF(ISNUMBER($K124),$K124,$Z124)))</f>
        <v/>
      </c>
      <c r="AB124" s="62">
        <f>IF($V124="","",IF(AND(ISNUMBER($G124),$G124&lt;=IF($S124=MesCiclo,InicioCiclo,$S124+MOD(2-WEEKDAY($S124),7))+27),1,IF(ISNUMBER($L124),$L124,$AA124)))</f>
        <v/>
      </c>
      <c r="AC124" s="62">
        <f>IF($V124="","",IF(AND(ISNUMBER($G124),$G124&lt;=IF($S124=MesCiclo,InicioCiclo,$S124+MOD(2-WEEKDAY($S124),7))+6),1,IF(N($W124)&gt;0,AVERAGEIFS($Y$5:$Y$1000,$U$5:$U$1000,ROW(),$V$5:$V$1000,"Sub"),$Y124)))</f>
        <v/>
      </c>
      <c r="AD124" s="62">
        <f>IF($V124="","",IF(AND(ISNUMBER($G124),$G124&lt;=IF($S124=MesCiclo,InicioCiclo,$S124+MOD(2-WEEKDAY($S124),7))+13),1,IF(N($W124)&gt;0,AVERAGEIFS($Z$5:$Z$1000,$U$5:$U$1000,ROW(),$V$5:$V$1000,"Sub"),$Z124)))</f>
        <v/>
      </c>
      <c r="AE124" s="62">
        <f>IF($V124="","",IF(AND(ISNUMBER($G124),$G124&lt;=IF($S124=MesCiclo,InicioCiclo,$S124+MOD(2-WEEKDAY($S124),7))+20),1,IF(N($W124)&gt;0,AVERAGEIFS($AA$5:$AA$1000,$U$5:$U$1000,ROW(),$V$5:$V$1000,"Sub"),$AA124)))</f>
        <v/>
      </c>
      <c r="AF124" s="62">
        <f>IF($V124="","",IF(AND(ISNUMBER($G124),$G124&lt;=IF($S124=MesCiclo,InicioCiclo,$S124+MOD(2-WEEKDAY($S124),7))+27),1,IF(N($W124)&gt;0,AVERAGEIFS($AB$5:$AB$1000,$U$5:$U$1000,ROW(),$V$5:$V$1000,"Sub"),$AB124)))</f>
        <v/>
      </c>
      <c r="AG124" s="62">
        <f>IF($V124&lt;&gt;"Macro","",IF(COUNTIFS($S$5:$S$1000,$S124,$V$5:$V$1000,"Macro",$H$5:$H$1000,"&gt;0")=0,1/COUNTIFS($S$5:$S$1000,$S124,$V$5:$V$1000,"Macro"),IF(AND(ISNUMBER($H124),N($H124)&gt;0),$H124,SUMIFS($H$5:$H$1000,$S$5:$S$1000,$S124,$V$5:$V$1000,"Macro")/COUNTIFS($S$5:$S$1000,$S124,$V$5:$V$1000,"Macro",$H$5:$H$1000,"&gt;0"))/(COUNTIFS($S$5:$S$1000,$S124,$V$5:$V$1000,"Macro")*SUMIFS($H$5:$H$1000,$S$5:$S$1000,$S124,$V$5:$V$1000,"Macro")/COUNTIFS($S$5:$S$1000,$S124,$V$5:$V$1000,"Macro",$H$5:$H$1000,"&gt;0"))))</f>
        <v/>
      </c>
      <c r="AH124" s="62" t="n"/>
      <c r="AI124" s="62" t="n"/>
      <c r="AJ124" s="62" t="n"/>
      <c r="AK124" s="62" t="n"/>
      <c r="AL124" s="62">
        <f>IF(LEFT($C124,11)="[Jefatura] ",IFERROR(MATCH("Riesgo Normativo|"&amp;MID($C124,12,500),rDname_ADM,0),0),"")</f>
        <v/>
      </c>
      <c r="AM124" s="62">
        <f>IF(N($AL124)&gt;0,INDEX(rIni_ADM,$AL124),IF(ISNUMBER($E124),$E124,""))</f>
        <v/>
      </c>
      <c r="AN124" s="62">
        <f>IF(N($AL124)&gt;0,INDEX(rLim_ADM,$AL124),IF(ISNUMBER($F124),$F124,""))</f>
        <v/>
      </c>
    </row>
    <row r="125">
      <c r="A125" s="56">
        <f>IF(NOT((COUNTA($B125:$D125)+COUNTA($G125:$L125)+COUNTA($Q125))&gt;0),"",IF($V125="Macro",COUNTIFS($V$5:$V125,"Macro",$S$5:$S125,$S125),IF(N($U125)=0,"?",COUNTIFS(INDEX($V$5:$V$1000,1):INDEX($V$5:$V$1000,$U125-4),"Macro",INDEX($S$5:$S$1000,1):INDEX($S$5:$S$1000,$U125-4),INDEX($S$5:$S$1000,$U125-4))&amp;"."&amp;COUNTIFS($U$5:$U125,$U125,$V$5:$V125,"Sub"))))</f>
        <v/>
      </c>
      <c r="B125" s="57" t="n"/>
      <c r="C125" s="58" t="n"/>
      <c r="D125" s="58" t="n"/>
      <c r="E125" s="59">
        <f>IF(N($AL125)&gt;0,INDEX(rIni_ADM,$AL125),"")</f>
        <v/>
      </c>
      <c r="F125" s="59">
        <f>IF(N($AL125)&gt;0,INDEX(rLim_ADM,$AL125),"")</f>
        <v/>
      </c>
      <c r="G125" s="59" t="n"/>
      <c r="H125" s="60" t="n"/>
      <c r="I125" s="60" t="n"/>
      <c r="J125" s="60" t="n"/>
      <c r="K125" s="60" t="n"/>
      <c r="L125" s="60" t="n"/>
      <c r="M125" s="61">
        <f>IF(NOT((COUNTA($B125:$D125)+COUNTA($G125:$L125)+COUNTA($Q125))&gt;0),"",IF(ISNUMBER($G125),1,IF(N($W125)&gt;0,AVERAGEIFS($X$5:$X$1000,$U$5:$U$1000,ROW(),$V$5:$V$1000,"Sub"),$X125)))</f>
        <v/>
      </c>
      <c r="N125" s="56">
        <f>IF($M125="","",IF($M125&gt;=1,"Completado",IF($M125&gt;0,"En curso","Pendiente")))</f>
        <v/>
      </c>
      <c r="O125" s="56">
        <f>IF(NOT((COUNTA($B125:$D125)+COUNTA($G125:$L125)+COUNTA($Q125))&gt;0),"",IF(ISNUMBER($G125),IF(AND(ISNUMBER($AN125),$G125&gt;$AN125),"Cumplida con "&amp;($G125-$AN125)&amp;IF($G125-$AN125=1," día"," días")&amp;" de retraso","Cumplida"),IF(N($M125)&gt;=1,"Cumplida",IF(NOT(ISNUMBER($AN125)),"Sin fecha límite",IF($AN125&lt;FechaRef,"Vencida hace "&amp;(FechaRef-$AN125)&amp;IF(FechaRef-$AN125=1," día"," días"),IF($AN125=FechaRef,"Vence hoy",IF($AN125-FechaRef&lt;=DiasAlerta,"Vence en "&amp;($AN125-FechaRef)&amp;IF($AN125-FechaRef=1," día"," días"),"En plazo")))))))</f>
        <v/>
      </c>
      <c r="P125" s="62" t="n"/>
      <c r="Q125" s="58" t="n"/>
      <c r="R125" s="63">
        <f>IF(NOT((COUNTA($B125:$D125)+COUNTA($G125:$L125)+COUNTA($Q125))&gt;0),"",IF((IF($C125="","Falta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",""))="","✔ OK","⚠ "&amp;LEFT(IF($C125="","Falta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",""),LEN(IF($C125="","Falta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",""))-3)))</f>
        <v/>
      </c>
      <c r="S125" s="64">
        <f>IF(NOT((COUNTA($B125:$D125)+COUNTA($G125:$L125)+COUNTA($Q125))&gt;0),"",IF(AND($V125="Sub",N($U125)&gt;0),IF(ISNUMBER(INDEX($AM$5:$AM$1000,$U125-4)),DATE(YEAR(INDEX($AM$5:$AM$1000,$U125-4)),MONTH(INDEX($AM$5:$AM$1000,$U125-4)),1),IF(ISNUMBER(INDEX($AN$5:$AN$1000,$U125-4)),DATE(YEAR(INDEX($AN$5:$AN$1000,$U125-4)),MONTH(INDEX($AN$5:$AN$1000,$U125-4)),1),MesCiclo)),IF(ISNUMBER($AM125),DATE(YEAR($AM125),MONTH($AM125),1),IF(ISNUMBER($AN125),DATE(YEAR($AN125),MONTH($AN125),1),MesCiclo))))</f>
        <v/>
      </c>
      <c r="T125" s="62">
        <f>IF(OR($S125="",$S125&lt;&gt;MesCiclo),"",COUNTIF($S$5:$S125,MesCiclo))</f>
        <v/>
      </c>
      <c r="U125" s="62">
        <f>IF($V125="","",IF($V125="Macro",ROW(),IFERROR(LOOKUP(2,1/($V$5:$V125="Macro"),ROW($V$5:$V125)),0)))</f>
        <v/>
      </c>
      <c r="V125" s="62">
        <f>IF(NOT((COUNTA($B125:$D125)+COUNTA($G125:$L125)+COUNTA($Q125))&gt;0),"",IF($B125="Subactividad","Sub","Macro"))</f>
        <v/>
      </c>
      <c r="W125" s="62">
        <f>IF($V125="Macro",COUNTIFS($U$5:$U$1000,ROW(),$V$5:$V$1000,"Sub"),"")</f>
        <v/>
      </c>
      <c r="X125" s="62">
        <f>IF($V125="","",IF(ISNUMBER($G125),1,IFERROR(LOOKUP(2,1/($I125:$L125&lt;&gt;""),$I125:$L125),0)))</f>
        <v/>
      </c>
      <c r="Y125" s="62">
        <f>IF($V125="","",IF(AND(ISNUMBER($G125),$G125&lt;=IF($S125=MesCiclo,InicioCiclo,$S125+MOD(2-WEEKDAY($S125),7))+6),1,IF(ISNUMBER($I125),$I125,0)))</f>
        <v/>
      </c>
      <c r="Z125" s="62">
        <f>IF($V125="","",IF(AND(ISNUMBER($G125),$G125&lt;=IF($S125=MesCiclo,InicioCiclo,$S125+MOD(2-WEEKDAY($S125),7))+13),1,IF(ISNUMBER($J125),$J125,$Y125)))</f>
        <v/>
      </c>
      <c r="AA125" s="62">
        <f>IF($V125="","",IF(AND(ISNUMBER($G125),$G125&lt;=IF($S125=MesCiclo,InicioCiclo,$S125+MOD(2-WEEKDAY($S125),7))+20),1,IF(ISNUMBER($K125),$K125,$Z125)))</f>
        <v/>
      </c>
      <c r="AB125" s="62">
        <f>IF($V125="","",IF(AND(ISNUMBER($G125),$G125&lt;=IF($S125=MesCiclo,InicioCiclo,$S125+MOD(2-WEEKDAY($S125),7))+27),1,IF(ISNUMBER($L125),$L125,$AA125)))</f>
        <v/>
      </c>
      <c r="AC125" s="62">
        <f>IF($V125="","",IF(AND(ISNUMBER($G125),$G125&lt;=IF($S125=MesCiclo,InicioCiclo,$S125+MOD(2-WEEKDAY($S125),7))+6),1,IF(N($W125)&gt;0,AVERAGEIFS($Y$5:$Y$1000,$U$5:$U$1000,ROW(),$V$5:$V$1000,"Sub"),$Y125)))</f>
        <v/>
      </c>
      <c r="AD125" s="62">
        <f>IF($V125="","",IF(AND(ISNUMBER($G125),$G125&lt;=IF($S125=MesCiclo,InicioCiclo,$S125+MOD(2-WEEKDAY($S125),7))+13),1,IF(N($W125)&gt;0,AVERAGEIFS($Z$5:$Z$1000,$U$5:$U$1000,ROW(),$V$5:$V$1000,"Sub"),$Z125)))</f>
        <v/>
      </c>
      <c r="AE125" s="62">
        <f>IF($V125="","",IF(AND(ISNUMBER($G125),$G125&lt;=IF($S125=MesCiclo,InicioCiclo,$S125+MOD(2-WEEKDAY($S125),7))+20),1,IF(N($W125)&gt;0,AVERAGEIFS($AA$5:$AA$1000,$U$5:$U$1000,ROW(),$V$5:$V$1000,"Sub"),$AA125)))</f>
        <v/>
      </c>
      <c r="AF125" s="62">
        <f>IF($V125="","",IF(AND(ISNUMBER($G125),$G125&lt;=IF($S125=MesCiclo,InicioCiclo,$S125+MOD(2-WEEKDAY($S125),7))+27),1,IF(N($W125)&gt;0,AVERAGEIFS($AB$5:$AB$1000,$U$5:$U$1000,ROW(),$V$5:$V$1000,"Sub"),$AB125)))</f>
        <v/>
      </c>
      <c r="AG125" s="62">
        <f>IF($V125&lt;&gt;"Macro","",IF(COUNTIFS($S$5:$S$1000,$S125,$V$5:$V$1000,"Macro",$H$5:$H$1000,"&gt;0")=0,1/COUNTIFS($S$5:$S$1000,$S125,$V$5:$V$1000,"Macro"),IF(AND(ISNUMBER($H125),N($H125)&gt;0),$H125,SUMIFS($H$5:$H$1000,$S$5:$S$1000,$S125,$V$5:$V$1000,"Macro")/COUNTIFS($S$5:$S$1000,$S125,$V$5:$V$1000,"Macro",$H$5:$H$1000,"&gt;0"))/(COUNTIFS($S$5:$S$1000,$S125,$V$5:$V$1000,"Macro")*SUMIFS($H$5:$H$1000,$S$5:$S$1000,$S125,$V$5:$V$1000,"Macro")/COUNTIFS($S$5:$S$1000,$S125,$V$5:$V$1000,"Macro",$H$5:$H$1000,"&gt;0"))))</f>
        <v/>
      </c>
      <c r="AH125" s="62" t="n"/>
      <c r="AI125" s="62" t="n"/>
      <c r="AJ125" s="62" t="n"/>
      <c r="AK125" s="62" t="n"/>
      <c r="AL125" s="62">
        <f>IF(LEFT($C125,11)="[Jefatura] ",IFERROR(MATCH("Riesgo Normativo|"&amp;MID($C125,12,500),rDname_ADM,0),0),"")</f>
        <v/>
      </c>
      <c r="AM125" s="62">
        <f>IF(N($AL125)&gt;0,INDEX(rIni_ADM,$AL125),IF(ISNUMBER($E125),$E125,""))</f>
        <v/>
      </c>
      <c r="AN125" s="62">
        <f>IF(N($AL125)&gt;0,INDEX(rLim_ADM,$AL125),IF(ISNUMBER($F125),$F125,""))</f>
        <v/>
      </c>
    </row>
    <row r="126">
      <c r="A126" s="56">
        <f>IF(NOT((COUNTA($B126:$D126)+COUNTA($G126:$L126)+COUNTA($Q126))&gt;0),"",IF($V126="Macro",COUNTIFS($V$5:$V126,"Macro",$S$5:$S126,$S126),IF(N($U126)=0,"?",COUNTIFS(INDEX($V$5:$V$1000,1):INDEX($V$5:$V$1000,$U126-4),"Macro",INDEX($S$5:$S$1000,1):INDEX($S$5:$S$1000,$U126-4),INDEX($S$5:$S$1000,$U126-4))&amp;"."&amp;COUNTIFS($U$5:$U126,$U126,$V$5:$V126,"Sub"))))</f>
        <v/>
      </c>
      <c r="B126" s="57" t="n"/>
      <c r="C126" s="58" t="n"/>
      <c r="D126" s="58" t="n"/>
      <c r="E126" s="59">
        <f>IF(N($AL126)&gt;0,INDEX(rIni_ADM,$AL126),"")</f>
        <v/>
      </c>
      <c r="F126" s="59">
        <f>IF(N($AL126)&gt;0,INDEX(rLim_ADM,$AL126),"")</f>
        <v/>
      </c>
      <c r="G126" s="59" t="n"/>
      <c r="H126" s="60" t="n"/>
      <c r="I126" s="60" t="n"/>
      <c r="J126" s="60" t="n"/>
      <c r="K126" s="60" t="n"/>
      <c r="L126" s="60" t="n"/>
      <c r="M126" s="61">
        <f>IF(NOT((COUNTA($B126:$D126)+COUNTA($G126:$L126)+COUNTA($Q126))&gt;0),"",IF(ISNUMBER($G126),1,IF(N($W126)&gt;0,AVERAGEIFS($X$5:$X$1000,$U$5:$U$1000,ROW(),$V$5:$V$1000,"Sub"),$X126)))</f>
        <v/>
      </c>
      <c r="N126" s="56">
        <f>IF($M126="","",IF($M126&gt;=1,"Completado",IF($M126&gt;0,"En curso","Pendiente")))</f>
        <v/>
      </c>
      <c r="O126" s="56">
        <f>IF(NOT((COUNTA($B126:$D126)+COUNTA($G126:$L126)+COUNTA($Q126))&gt;0),"",IF(ISNUMBER($G126),IF(AND(ISNUMBER($AN126),$G126&gt;$AN126),"Cumplida con "&amp;($G126-$AN126)&amp;IF($G126-$AN126=1," día"," días")&amp;" de retraso","Cumplida"),IF(N($M126)&gt;=1,"Cumplida",IF(NOT(ISNUMBER($AN126)),"Sin fecha límite",IF($AN126&lt;FechaRef,"Vencida hace "&amp;(FechaRef-$AN126)&amp;IF(FechaRef-$AN126=1," día"," días"),IF($AN126=FechaRef,"Vence hoy",IF($AN126-FechaRef&lt;=DiasAlerta,"Vence en "&amp;($AN126-FechaRef)&amp;IF($AN126-FechaRef=1," día"," días"),"En plazo")))))))</f>
        <v/>
      </c>
      <c r="P126" s="62" t="n"/>
      <c r="Q126" s="58" t="n"/>
      <c r="R126" s="63">
        <f>IF(NOT((COUNTA($B126:$D126)+COUNTA($G126:$L126)+COUNTA($Q126))&gt;0),"",IF((IF($C126="","Falta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",""))="","✔ OK","⚠ "&amp;LEFT(IF($C126="","Falta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",""),LEN(IF($C126="","Falta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",""))-3)))</f>
        <v/>
      </c>
      <c r="S126" s="64">
        <f>IF(NOT((COUNTA($B126:$D126)+COUNTA($G126:$L126)+COUNTA($Q126))&gt;0),"",IF(AND($V126="Sub",N($U126)&gt;0),IF(ISNUMBER(INDEX($AM$5:$AM$1000,$U126-4)),DATE(YEAR(INDEX($AM$5:$AM$1000,$U126-4)),MONTH(INDEX($AM$5:$AM$1000,$U126-4)),1),IF(ISNUMBER(INDEX($AN$5:$AN$1000,$U126-4)),DATE(YEAR(INDEX($AN$5:$AN$1000,$U126-4)),MONTH(INDEX($AN$5:$AN$1000,$U126-4)),1),MesCiclo)),IF(ISNUMBER($AM126),DATE(YEAR($AM126),MONTH($AM126),1),IF(ISNUMBER($AN126),DATE(YEAR($AN126),MONTH($AN126),1),MesCiclo))))</f>
        <v/>
      </c>
      <c r="T126" s="62">
        <f>IF(OR($S126="",$S126&lt;&gt;MesCiclo),"",COUNTIF($S$5:$S126,MesCiclo))</f>
        <v/>
      </c>
      <c r="U126" s="62">
        <f>IF($V126="","",IF($V126="Macro",ROW(),IFERROR(LOOKUP(2,1/($V$5:$V126="Macro"),ROW($V$5:$V126)),0)))</f>
        <v/>
      </c>
      <c r="V126" s="62">
        <f>IF(NOT((COUNTA($B126:$D126)+COUNTA($G126:$L126)+COUNTA($Q126))&gt;0),"",IF($B126="Subactividad","Sub","Macro"))</f>
        <v/>
      </c>
      <c r="W126" s="62">
        <f>IF($V126="Macro",COUNTIFS($U$5:$U$1000,ROW(),$V$5:$V$1000,"Sub"),"")</f>
        <v/>
      </c>
      <c r="X126" s="62">
        <f>IF($V126="","",IF(ISNUMBER($G126),1,IFERROR(LOOKUP(2,1/($I126:$L126&lt;&gt;""),$I126:$L126),0)))</f>
        <v/>
      </c>
      <c r="Y126" s="62">
        <f>IF($V126="","",IF(AND(ISNUMBER($G126),$G126&lt;=IF($S126=MesCiclo,InicioCiclo,$S126+MOD(2-WEEKDAY($S126),7))+6),1,IF(ISNUMBER($I126),$I126,0)))</f>
        <v/>
      </c>
      <c r="Z126" s="62">
        <f>IF($V126="","",IF(AND(ISNUMBER($G126),$G126&lt;=IF($S126=MesCiclo,InicioCiclo,$S126+MOD(2-WEEKDAY($S126),7))+13),1,IF(ISNUMBER($J126),$J126,$Y126)))</f>
        <v/>
      </c>
      <c r="AA126" s="62">
        <f>IF($V126="","",IF(AND(ISNUMBER($G126),$G126&lt;=IF($S126=MesCiclo,InicioCiclo,$S126+MOD(2-WEEKDAY($S126),7))+20),1,IF(ISNUMBER($K126),$K126,$Z126)))</f>
        <v/>
      </c>
      <c r="AB126" s="62">
        <f>IF($V126="","",IF(AND(ISNUMBER($G126),$G126&lt;=IF($S126=MesCiclo,InicioCiclo,$S126+MOD(2-WEEKDAY($S126),7))+27),1,IF(ISNUMBER($L126),$L126,$AA126)))</f>
        <v/>
      </c>
      <c r="AC126" s="62">
        <f>IF($V126="","",IF(AND(ISNUMBER($G126),$G126&lt;=IF($S126=MesCiclo,InicioCiclo,$S126+MOD(2-WEEKDAY($S126),7))+6),1,IF(N($W126)&gt;0,AVERAGEIFS($Y$5:$Y$1000,$U$5:$U$1000,ROW(),$V$5:$V$1000,"Sub"),$Y126)))</f>
        <v/>
      </c>
      <c r="AD126" s="62">
        <f>IF($V126="","",IF(AND(ISNUMBER($G126),$G126&lt;=IF($S126=MesCiclo,InicioCiclo,$S126+MOD(2-WEEKDAY($S126),7))+13),1,IF(N($W126)&gt;0,AVERAGEIFS($Z$5:$Z$1000,$U$5:$U$1000,ROW(),$V$5:$V$1000,"Sub"),$Z126)))</f>
        <v/>
      </c>
      <c r="AE126" s="62">
        <f>IF($V126="","",IF(AND(ISNUMBER($G126),$G126&lt;=IF($S126=MesCiclo,InicioCiclo,$S126+MOD(2-WEEKDAY($S126),7))+20),1,IF(N($W126)&gt;0,AVERAGEIFS($AA$5:$AA$1000,$U$5:$U$1000,ROW(),$V$5:$V$1000,"Sub"),$AA126)))</f>
        <v/>
      </c>
      <c r="AF126" s="62">
        <f>IF($V126="","",IF(AND(ISNUMBER($G126),$G126&lt;=IF($S126=MesCiclo,InicioCiclo,$S126+MOD(2-WEEKDAY($S126),7))+27),1,IF(N($W126)&gt;0,AVERAGEIFS($AB$5:$AB$1000,$U$5:$U$1000,ROW(),$V$5:$V$1000,"Sub"),$AB126)))</f>
        <v/>
      </c>
      <c r="AG126" s="62">
        <f>IF($V126&lt;&gt;"Macro","",IF(COUNTIFS($S$5:$S$1000,$S126,$V$5:$V$1000,"Macro",$H$5:$H$1000,"&gt;0")=0,1/COUNTIFS($S$5:$S$1000,$S126,$V$5:$V$1000,"Macro"),IF(AND(ISNUMBER($H126),N($H126)&gt;0),$H126,SUMIFS($H$5:$H$1000,$S$5:$S$1000,$S126,$V$5:$V$1000,"Macro")/COUNTIFS($S$5:$S$1000,$S126,$V$5:$V$1000,"Macro",$H$5:$H$1000,"&gt;0"))/(COUNTIFS($S$5:$S$1000,$S126,$V$5:$V$1000,"Macro")*SUMIFS($H$5:$H$1000,$S$5:$S$1000,$S126,$V$5:$V$1000,"Macro")/COUNTIFS($S$5:$S$1000,$S126,$V$5:$V$1000,"Macro",$H$5:$H$1000,"&gt;0"))))</f>
        <v/>
      </c>
      <c r="AH126" s="62" t="n"/>
      <c r="AI126" s="62" t="n"/>
      <c r="AJ126" s="62" t="n"/>
      <c r="AK126" s="62" t="n"/>
      <c r="AL126" s="62">
        <f>IF(LEFT($C126,11)="[Jefatura] ",IFERROR(MATCH("Riesgo Normativo|"&amp;MID($C126,12,500),rDname_ADM,0),0),"")</f>
        <v/>
      </c>
      <c r="AM126" s="62">
        <f>IF(N($AL126)&gt;0,INDEX(rIni_ADM,$AL126),IF(ISNUMBER($E126),$E126,""))</f>
        <v/>
      </c>
      <c r="AN126" s="62">
        <f>IF(N($AL126)&gt;0,INDEX(rLim_ADM,$AL126),IF(ISNUMBER($F126),$F126,""))</f>
        <v/>
      </c>
    </row>
    <row r="127">
      <c r="A127" s="56">
        <f>IF(NOT((COUNTA($B127:$D127)+COUNTA($G127:$L127)+COUNTA($Q127))&gt;0),"",IF($V127="Macro",COUNTIFS($V$5:$V127,"Macro",$S$5:$S127,$S127),IF(N($U127)=0,"?",COUNTIFS(INDEX($V$5:$V$1000,1):INDEX($V$5:$V$1000,$U127-4),"Macro",INDEX($S$5:$S$1000,1):INDEX($S$5:$S$1000,$U127-4),INDEX($S$5:$S$1000,$U127-4))&amp;"."&amp;COUNTIFS($U$5:$U127,$U127,$V$5:$V127,"Sub"))))</f>
        <v/>
      </c>
      <c r="B127" s="57" t="n"/>
      <c r="C127" s="58" t="n"/>
      <c r="D127" s="58" t="n"/>
      <c r="E127" s="59">
        <f>IF(N($AL127)&gt;0,INDEX(rIni_ADM,$AL127),"")</f>
        <v/>
      </c>
      <c r="F127" s="59">
        <f>IF(N($AL127)&gt;0,INDEX(rLim_ADM,$AL127),"")</f>
        <v/>
      </c>
      <c r="G127" s="59" t="n"/>
      <c r="H127" s="60" t="n"/>
      <c r="I127" s="60" t="n"/>
      <c r="J127" s="60" t="n"/>
      <c r="K127" s="60" t="n"/>
      <c r="L127" s="60" t="n"/>
      <c r="M127" s="61">
        <f>IF(NOT((COUNTA($B127:$D127)+COUNTA($G127:$L127)+COUNTA($Q127))&gt;0),"",IF(ISNUMBER($G127),1,IF(N($W127)&gt;0,AVERAGEIFS($X$5:$X$1000,$U$5:$U$1000,ROW(),$V$5:$V$1000,"Sub"),$X127)))</f>
        <v/>
      </c>
      <c r="N127" s="56">
        <f>IF($M127="","",IF($M127&gt;=1,"Completado",IF($M127&gt;0,"En curso","Pendiente")))</f>
        <v/>
      </c>
      <c r="O127" s="56">
        <f>IF(NOT((COUNTA($B127:$D127)+COUNTA($G127:$L127)+COUNTA($Q127))&gt;0),"",IF(ISNUMBER($G127),IF(AND(ISNUMBER($AN127),$G127&gt;$AN127),"Cumplida con "&amp;($G127-$AN127)&amp;IF($G127-$AN127=1," día"," días")&amp;" de retraso","Cumplida"),IF(N($M127)&gt;=1,"Cumplida",IF(NOT(ISNUMBER($AN127)),"Sin fecha límite",IF($AN127&lt;FechaRef,"Vencida hace "&amp;(FechaRef-$AN127)&amp;IF(FechaRef-$AN127=1," día"," días"),IF($AN127=FechaRef,"Vence hoy",IF($AN127-FechaRef&lt;=DiasAlerta,"Vence en "&amp;($AN127-FechaRef)&amp;IF($AN127-FechaRef=1," día"," días"),"En plazo")))))))</f>
        <v/>
      </c>
      <c r="P127" s="62" t="n"/>
      <c r="Q127" s="58" t="n"/>
      <c r="R127" s="63">
        <f>IF(NOT((COUNTA($B127:$D127)+COUNTA($G127:$L127)+COUNTA($Q127))&gt;0),"",IF((IF($C127="","Falta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",""))="","✔ OK","⚠ "&amp;LEFT(IF($C127="","Falta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",""),LEN(IF($C127="","Falta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",""))-3)))</f>
        <v/>
      </c>
      <c r="S127" s="64">
        <f>IF(NOT((COUNTA($B127:$D127)+COUNTA($G127:$L127)+COUNTA($Q127))&gt;0),"",IF(AND($V127="Sub",N($U127)&gt;0),IF(ISNUMBER(INDEX($AM$5:$AM$1000,$U127-4)),DATE(YEAR(INDEX($AM$5:$AM$1000,$U127-4)),MONTH(INDEX($AM$5:$AM$1000,$U127-4)),1),IF(ISNUMBER(INDEX($AN$5:$AN$1000,$U127-4)),DATE(YEAR(INDEX($AN$5:$AN$1000,$U127-4)),MONTH(INDEX($AN$5:$AN$1000,$U127-4)),1),MesCiclo)),IF(ISNUMBER($AM127),DATE(YEAR($AM127),MONTH($AM127),1),IF(ISNUMBER($AN127),DATE(YEAR($AN127),MONTH($AN127),1),MesCiclo))))</f>
        <v/>
      </c>
      <c r="T127" s="62">
        <f>IF(OR($S127="",$S127&lt;&gt;MesCiclo),"",COUNTIF($S$5:$S127,MesCiclo))</f>
        <v/>
      </c>
      <c r="U127" s="62">
        <f>IF($V127="","",IF($V127="Macro",ROW(),IFERROR(LOOKUP(2,1/($V$5:$V127="Macro"),ROW($V$5:$V127)),0)))</f>
        <v/>
      </c>
      <c r="V127" s="62">
        <f>IF(NOT((COUNTA($B127:$D127)+COUNTA($G127:$L127)+COUNTA($Q127))&gt;0),"",IF($B127="Subactividad","Sub","Macro"))</f>
        <v/>
      </c>
      <c r="W127" s="62">
        <f>IF($V127="Macro",COUNTIFS($U$5:$U$1000,ROW(),$V$5:$V$1000,"Sub"),"")</f>
        <v/>
      </c>
      <c r="X127" s="62">
        <f>IF($V127="","",IF(ISNUMBER($G127),1,IFERROR(LOOKUP(2,1/($I127:$L127&lt;&gt;""),$I127:$L127),0)))</f>
        <v/>
      </c>
      <c r="Y127" s="62">
        <f>IF($V127="","",IF(AND(ISNUMBER($G127),$G127&lt;=IF($S127=MesCiclo,InicioCiclo,$S127+MOD(2-WEEKDAY($S127),7))+6),1,IF(ISNUMBER($I127),$I127,0)))</f>
        <v/>
      </c>
      <c r="Z127" s="62">
        <f>IF($V127="","",IF(AND(ISNUMBER($G127),$G127&lt;=IF($S127=MesCiclo,InicioCiclo,$S127+MOD(2-WEEKDAY($S127),7))+13),1,IF(ISNUMBER($J127),$J127,$Y127)))</f>
        <v/>
      </c>
      <c r="AA127" s="62">
        <f>IF($V127="","",IF(AND(ISNUMBER($G127),$G127&lt;=IF($S127=MesCiclo,InicioCiclo,$S127+MOD(2-WEEKDAY($S127),7))+20),1,IF(ISNUMBER($K127),$K127,$Z127)))</f>
        <v/>
      </c>
      <c r="AB127" s="62">
        <f>IF($V127="","",IF(AND(ISNUMBER($G127),$G127&lt;=IF($S127=MesCiclo,InicioCiclo,$S127+MOD(2-WEEKDAY($S127),7))+27),1,IF(ISNUMBER($L127),$L127,$AA127)))</f>
        <v/>
      </c>
      <c r="AC127" s="62">
        <f>IF($V127="","",IF(AND(ISNUMBER($G127),$G127&lt;=IF($S127=MesCiclo,InicioCiclo,$S127+MOD(2-WEEKDAY($S127),7))+6),1,IF(N($W127)&gt;0,AVERAGEIFS($Y$5:$Y$1000,$U$5:$U$1000,ROW(),$V$5:$V$1000,"Sub"),$Y127)))</f>
        <v/>
      </c>
      <c r="AD127" s="62">
        <f>IF($V127="","",IF(AND(ISNUMBER($G127),$G127&lt;=IF($S127=MesCiclo,InicioCiclo,$S127+MOD(2-WEEKDAY($S127),7))+13),1,IF(N($W127)&gt;0,AVERAGEIFS($Z$5:$Z$1000,$U$5:$U$1000,ROW(),$V$5:$V$1000,"Sub"),$Z127)))</f>
        <v/>
      </c>
      <c r="AE127" s="62">
        <f>IF($V127="","",IF(AND(ISNUMBER($G127),$G127&lt;=IF($S127=MesCiclo,InicioCiclo,$S127+MOD(2-WEEKDAY($S127),7))+20),1,IF(N($W127)&gt;0,AVERAGEIFS($AA$5:$AA$1000,$U$5:$U$1000,ROW(),$V$5:$V$1000,"Sub"),$AA127)))</f>
        <v/>
      </c>
      <c r="AF127" s="62">
        <f>IF($V127="","",IF(AND(ISNUMBER($G127),$G127&lt;=IF($S127=MesCiclo,InicioCiclo,$S127+MOD(2-WEEKDAY($S127),7))+27),1,IF(N($W127)&gt;0,AVERAGEIFS($AB$5:$AB$1000,$U$5:$U$1000,ROW(),$V$5:$V$1000,"Sub"),$AB127)))</f>
        <v/>
      </c>
      <c r="AG127" s="62">
        <f>IF($V127&lt;&gt;"Macro","",IF(COUNTIFS($S$5:$S$1000,$S127,$V$5:$V$1000,"Macro",$H$5:$H$1000,"&gt;0")=0,1/COUNTIFS($S$5:$S$1000,$S127,$V$5:$V$1000,"Macro"),IF(AND(ISNUMBER($H127),N($H127)&gt;0),$H127,SUMIFS($H$5:$H$1000,$S$5:$S$1000,$S127,$V$5:$V$1000,"Macro")/COUNTIFS($S$5:$S$1000,$S127,$V$5:$V$1000,"Macro",$H$5:$H$1000,"&gt;0"))/(COUNTIFS($S$5:$S$1000,$S127,$V$5:$V$1000,"Macro")*SUMIFS($H$5:$H$1000,$S$5:$S$1000,$S127,$V$5:$V$1000,"Macro")/COUNTIFS($S$5:$S$1000,$S127,$V$5:$V$1000,"Macro",$H$5:$H$1000,"&gt;0"))))</f>
        <v/>
      </c>
      <c r="AH127" s="62" t="n"/>
      <c r="AI127" s="62" t="n"/>
      <c r="AJ127" s="62" t="n"/>
      <c r="AK127" s="62" t="n"/>
      <c r="AL127" s="62">
        <f>IF(LEFT($C127,11)="[Jefatura] ",IFERROR(MATCH("Riesgo Normativo|"&amp;MID($C127,12,500),rDname_ADM,0),0),"")</f>
        <v/>
      </c>
      <c r="AM127" s="62">
        <f>IF(N($AL127)&gt;0,INDEX(rIni_ADM,$AL127),IF(ISNUMBER($E127),$E127,""))</f>
        <v/>
      </c>
      <c r="AN127" s="62">
        <f>IF(N($AL127)&gt;0,INDEX(rLim_ADM,$AL127),IF(ISNUMBER($F127),$F127,""))</f>
        <v/>
      </c>
    </row>
    <row r="128">
      <c r="A128" s="56">
        <f>IF(NOT((COUNTA($B128:$D128)+COUNTA($G128:$L128)+COUNTA($Q128))&gt;0),"",IF($V128="Macro",COUNTIFS($V$5:$V128,"Macro",$S$5:$S128,$S128),IF(N($U128)=0,"?",COUNTIFS(INDEX($V$5:$V$1000,1):INDEX($V$5:$V$1000,$U128-4),"Macro",INDEX($S$5:$S$1000,1):INDEX($S$5:$S$1000,$U128-4),INDEX($S$5:$S$1000,$U128-4))&amp;"."&amp;COUNTIFS($U$5:$U128,$U128,$V$5:$V128,"Sub"))))</f>
        <v/>
      </c>
      <c r="B128" s="57" t="n"/>
      <c r="C128" s="58" t="n"/>
      <c r="D128" s="58" t="n"/>
      <c r="E128" s="59">
        <f>IF(N($AL128)&gt;0,INDEX(rIni_ADM,$AL128),"")</f>
        <v/>
      </c>
      <c r="F128" s="59">
        <f>IF(N($AL128)&gt;0,INDEX(rLim_ADM,$AL128),"")</f>
        <v/>
      </c>
      <c r="G128" s="59" t="n"/>
      <c r="H128" s="60" t="n"/>
      <c r="I128" s="60" t="n"/>
      <c r="J128" s="60" t="n"/>
      <c r="K128" s="60" t="n"/>
      <c r="L128" s="60" t="n"/>
      <c r="M128" s="61">
        <f>IF(NOT((COUNTA($B128:$D128)+COUNTA($G128:$L128)+COUNTA($Q128))&gt;0),"",IF(ISNUMBER($G128),1,IF(N($W128)&gt;0,AVERAGEIFS($X$5:$X$1000,$U$5:$U$1000,ROW(),$V$5:$V$1000,"Sub"),$X128)))</f>
        <v/>
      </c>
      <c r="N128" s="56">
        <f>IF($M128="","",IF($M128&gt;=1,"Completado",IF($M128&gt;0,"En curso","Pendiente")))</f>
        <v/>
      </c>
      <c r="O128" s="56">
        <f>IF(NOT((COUNTA($B128:$D128)+COUNTA($G128:$L128)+COUNTA($Q128))&gt;0),"",IF(ISNUMBER($G128),IF(AND(ISNUMBER($AN128),$G128&gt;$AN128),"Cumplida con "&amp;($G128-$AN128)&amp;IF($G128-$AN128=1," día"," días")&amp;" de retraso","Cumplida"),IF(N($M128)&gt;=1,"Cumplida",IF(NOT(ISNUMBER($AN128)),"Sin fecha límite",IF($AN128&lt;FechaRef,"Vencida hace "&amp;(FechaRef-$AN128)&amp;IF(FechaRef-$AN128=1," día"," días"),IF($AN128=FechaRef,"Vence hoy",IF($AN128-FechaRef&lt;=DiasAlerta,"Vence en "&amp;($AN128-FechaRef)&amp;IF($AN128-FechaRef=1," día"," días"),"En plazo")))))))</f>
        <v/>
      </c>
      <c r="P128" s="62" t="n"/>
      <c r="Q128" s="58" t="n"/>
      <c r="R128" s="63">
        <f>IF(NOT((COUNTA($B128:$D128)+COUNTA($G128:$L128)+COUNTA($Q128))&gt;0),"",IF((IF($C128="","Falta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",""))="","✔ OK","⚠ "&amp;LEFT(IF($C128="","Falta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",""),LEN(IF($C128="","Falta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",""))-3)))</f>
        <v/>
      </c>
      <c r="S128" s="64">
        <f>IF(NOT((COUNTA($B128:$D128)+COUNTA($G128:$L128)+COUNTA($Q128))&gt;0),"",IF(AND($V128="Sub",N($U128)&gt;0),IF(ISNUMBER(INDEX($AM$5:$AM$1000,$U128-4)),DATE(YEAR(INDEX($AM$5:$AM$1000,$U128-4)),MONTH(INDEX($AM$5:$AM$1000,$U128-4)),1),IF(ISNUMBER(INDEX($AN$5:$AN$1000,$U128-4)),DATE(YEAR(INDEX($AN$5:$AN$1000,$U128-4)),MONTH(INDEX($AN$5:$AN$1000,$U128-4)),1),MesCiclo)),IF(ISNUMBER($AM128),DATE(YEAR($AM128),MONTH($AM128),1),IF(ISNUMBER($AN128),DATE(YEAR($AN128),MONTH($AN128),1),MesCiclo))))</f>
        <v/>
      </c>
      <c r="T128" s="62">
        <f>IF(OR($S128="",$S128&lt;&gt;MesCiclo),"",COUNTIF($S$5:$S128,MesCiclo))</f>
        <v/>
      </c>
      <c r="U128" s="62">
        <f>IF($V128="","",IF($V128="Macro",ROW(),IFERROR(LOOKUP(2,1/($V$5:$V128="Macro"),ROW($V$5:$V128)),0)))</f>
        <v/>
      </c>
      <c r="V128" s="62">
        <f>IF(NOT((COUNTA($B128:$D128)+COUNTA($G128:$L128)+COUNTA($Q128))&gt;0),"",IF($B128="Subactividad","Sub","Macro"))</f>
        <v/>
      </c>
      <c r="W128" s="62">
        <f>IF($V128="Macro",COUNTIFS($U$5:$U$1000,ROW(),$V$5:$V$1000,"Sub"),"")</f>
        <v/>
      </c>
      <c r="X128" s="62">
        <f>IF($V128="","",IF(ISNUMBER($G128),1,IFERROR(LOOKUP(2,1/($I128:$L128&lt;&gt;""),$I128:$L128),0)))</f>
        <v/>
      </c>
      <c r="Y128" s="62">
        <f>IF($V128="","",IF(AND(ISNUMBER($G128),$G128&lt;=IF($S128=MesCiclo,InicioCiclo,$S128+MOD(2-WEEKDAY($S128),7))+6),1,IF(ISNUMBER($I128),$I128,0)))</f>
        <v/>
      </c>
      <c r="Z128" s="62">
        <f>IF($V128="","",IF(AND(ISNUMBER($G128),$G128&lt;=IF($S128=MesCiclo,InicioCiclo,$S128+MOD(2-WEEKDAY($S128),7))+13),1,IF(ISNUMBER($J128),$J128,$Y128)))</f>
        <v/>
      </c>
      <c r="AA128" s="62">
        <f>IF($V128="","",IF(AND(ISNUMBER($G128),$G128&lt;=IF($S128=MesCiclo,InicioCiclo,$S128+MOD(2-WEEKDAY($S128),7))+20),1,IF(ISNUMBER($K128),$K128,$Z128)))</f>
        <v/>
      </c>
      <c r="AB128" s="62">
        <f>IF($V128="","",IF(AND(ISNUMBER($G128),$G128&lt;=IF($S128=MesCiclo,InicioCiclo,$S128+MOD(2-WEEKDAY($S128),7))+27),1,IF(ISNUMBER($L128),$L128,$AA128)))</f>
        <v/>
      </c>
      <c r="AC128" s="62">
        <f>IF($V128="","",IF(AND(ISNUMBER($G128),$G128&lt;=IF($S128=MesCiclo,InicioCiclo,$S128+MOD(2-WEEKDAY($S128),7))+6),1,IF(N($W128)&gt;0,AVERAGEIFS($Y$5:$Y$1000,$U$5:$U$1000,ROW(),$V$5:$V$1000,"Sub"),$Y128)))</f>
        <v/>
      </c>
      <c r="AD128" s="62">
        <f>IF($V128="","",IF(AND(ISNUMBER($G128),$G128&lt;=IF($S128=MesCiclo,InicioCiclo,$S128+MOD(2-WEEKDAY($S128),7))+13),1,IF(N($W128)&gt;0,AVERAGEIFS($Z$5:$Z$1000,$U$5:$U$1000,ROW(),$V$5:$V$1000,"Sub"),$Z128)))</f>
        <v/>
      </c>
      <c r="AE128" s="62">
        <f>IF($V128="","",IF(AND(ISNUMBER($G128),$G128&lt;=IF($S128=MesCiclo,InicioCiclo,$S128+MOD(2-WEEKDAY($S128),7))+20),1,IF(N($W128)&gt;0,AVERAGEIFS($AA$5:$AA$1000,$U$5:$U$1000,ROW(),$V$5:$V$1000,"Sub"),$AA128)))</f>
        <v/>
      </c>
      <c r="AF128" s="62">
        <f>IF($V128="","",IF(AND(ISNUMBER($G128),$G128&lt;=IF($S128=MesCiclo,InicioCiclo,$S128+MOD(2-WEEKDAY($S128),7))+27),1,IF(N($W128)&gt;0,AVERAGEIFS($AB$5:$AB$1000,$U$5:$U$1000,ROW(),$V$5:$V$1000,"Sub"),$AB128)))</f>
        <v/>
      </c>
      <c r="AG128" s="62">
        <f>IF($V128&lt;&gt;"Macro","",IF(COUNTIFS($S$5:$S$1000,$S128,$V$5:$V$1000,"Macro",$H$5:$H$1000,"&gt;0")=0,1/COUNTIFS($S$5:$S$1000,$S128,$V$5:$V$1000,"Macro"),IF(AND(ISNUMBER($H128),N($H128)&gt;0),$H128,SUMIFS($H$5:$H$1000,$S$5:$S$1000,$S128,$V$5:$V$1000,"Macro")/COUNTIFS($S$5:$S$1000,$S128,$V$5:$V$1000,"Macro",$H$5:$H$1000,"&gt;0"))/(COUNTIFS($S$5:$S$1000,$S128,$V$5:$V$1000,"Macro")*SUMIFS($H$5:$H$1000,$S$5:$S$1000,$S128,$V$5:$V$1000,"Macro")/COUNTIFS($S$5:$S$1000,$S128,$V$5:$V$1000,"Macro",$H$5:$H$1000,"&gt;0"))))</f>
        <v/>
      </c>
      <c r="AH128" s="62" t="n"/>
      <c r="AI128" s="62" t="n"/>
      <c r="AJ128" s="62" t="n"/>
      <c r="AK128" s="62" t="n"/>
      <c r="AL128" s="62">
        <f>IF(LEFT($C128,11)="[Jefatura] ",IFERROR(MATCH("Riesgo Normativo|"&amp;MID($C128,12,500),rDname_ADM,0),0),"")</f>
        <v/>
      </c>
      <c r="AM128" s="62">
        <f>IF(N($AL128)&gt;0,INDEX(rIni_ADM,$AL128),IF(ISNUMBER($E128),$E128,""))</f>
        <v/>
      </c>
      <c r="AN128" s="62">
        <f>IF(N($AL128)&gt;0,INDEX(rLim_ADM,$AL128),IF(ISNUMBER($F128),$F128,""))</f>
        <v/>
      </c>
    </row>
    <row r="129">
      <c r="A129" s="56">
        <f>IF(NOT((COUNTA($B129:$D129)+COUNTA($G129:$L129)+COUNTA($Q129))&gt;0),"",IF($V129="Macro",COUNTIFS($V$5:$V129,"Macro",$S$5:$S129,$S129),IF(N($U129)=0,"?",COUNTIFS(INDEX($V$5:$V$1000,1):INDEX($V$5:$V$1000,$U129-4),"Macro",INDEX($S$5:$S$1000,1):INDEX($S$5:$S$1000,$U129-4),INDEX($S$5:$S$1000,$U129-4))&amp;"."&amp;COUNTIFS($U$5:$U129,$U129,$V$5:$V129,"Sub"))))</f>
        <v/>
      </c>
      <c r="B129" s="57" t="n"/>
      <c r="C129" s="58" t="n"/>
      <c r="D129" s="58" t="n"/>
      <c r="E129" s="59">
        <f>IF(N($AL129)&gt;0,INDEX(rIni_ADM,$AL129),"")</f>
        <v/>
      </c>
      <c r="F129" s="59">
        <f>IF(N($AL129)&gt;0,INDEX(rLim_ADM,$AL129),"")</f>
        <v/>
      </c>
      <c r="G129" s="59" t="n"/>
      <c r="H129" s="60" t="n"/>
      <c r="I129" s="60" t="n"/>
      <c r="J129" s="60" t="n"/>
      <c r="K129" s="60" t="n"/>
      <c r="L129" s="60" t="n"/>
      <c r="M129" s="61">
        <f>IF(NOT((COUNTA($B129:$D129)+COUNTA($G129:$L129)+COUNTA($Q129))&gt;0),"",IF(ISNUMBER($G129),1,IF(N($W129)&gt;0,AVERAGEIFS($X$5:$X$1000,$U$5:$U$1000,ROW(),$V$5:$V$1000,"Sub"),$X129)))</f>
        <v/>
      </c>
      <c r="N129" s="56">
        <f>IF($M129="","",IF($M129&gt;=1,"Completado",IF($M129&gt;0,"En curso","Pendiente")))</f>
        <v/>
      </c>
      <c r="O129" s="56">
        <f>IF(NOT((COUNTA($B129:$D129)+COUNTA($G129:$L129)+COUNTA($Q129))&gt;0),"",IF(ISNUMBER($G129),IF(AND(ISNUMBER($AN129),$G129&gt;$AN129),"Cumplida con "&amp;($G129-$AN129)&amp;IF($G129-$AN129=1," día"," días")&amp;" de retraso","Cumplida"),IF(N($M129)&gt;=1,"Cumplida",IF(NOT(ISNUMBER($AN129)),"Sin fecha límite",IF($AN129&lt;FechaRef,"Vencida hace "&amp;(FechaRef-$AN129)&amp;IF(FechaRef-$AN129=1," día"," días"),IF($AN129=FechaRef,"Vence hoy",IF($AN129-FechaRef&lt;=DiasAlerta,"Vence en "&amp;($AN129-FechaRef)&amp;IF($AN129-FechaRef=1," día"," días"),"En plazo")))))))</f>
        <v/>
      </c>
      <c r="P129" s="62" t="n"/>
      <c r="Q129" s="58" t="n"/>
      <c r="R129" s="63">
        <f>IF(NOT((COUNTA($B129:$D129)+COUNTA($G129:$L129)+COUNTA($Q129))&gt;0),"",IF((IF($C129="","Falta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",""))="","✔ OK","⚠ "&amp;LEFT(IF($C129="","Falta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",""),LEN(IF($C129="","Falta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",""))-3)))</f>
        <v/>
      </c>
      <c r="S129" s="64">
        <f>IF(NOT((COUNTA($B129:$D129)+COUNTA($G129:$L129)+COUNTA($Q129))&gt;0),"",IF(AND($V129="Sub",N($U129)&gt;0),IF(ISNUMBER(INDEX($AM$5:$AM$1000,$U129-4)),DATE(YEAR(INDEX($AM$5:$AM$1000,$U129-4)),MONTH(INDEX($AM$5:$AM$1000,$U129-4)),1),IF(ISNUMBER(INDEX($AN$5:$AN$1000,$U129-4)),DATE(YEAR(INDEX($AN$5:$AN$1000,$U129-4)),MONTH(INDEX($AN$5:$AN$1000,$U129-4)),1),MesCiclo)),IF(ISNUMBER($AM129),DATE(YEAR($AM129),MONTH($AM129),1),IF(ISNUMBER($AN129),DATE(YEAR($AN129),MONTH($AN129),1),MesCiclo))))</f>
        <v/>
      </c>
      <c r="T129" s="62">
        <f>IF(OR($S129="",$S129&lt;&gt;MesCiclo),"",COUNTIF($S$5:$S129,MesCiclo))</f>
        <v/>
      </c>
      <c r="U129" s="62">
        <f>IF($V129="","",IF($V129="Macro",ROW(),IFERROR(LOOKUP(2,1/($V$5:$V129="Macro"),ROW($V$5:$V129)),0)))</f>
        <v/>
      </c>
      <c r="V129" s="62">
        <f>IF(NOT((COUNTA($B129:$D129)+COUNTA($G129:$L129)+COUNTA($Q129))&gt;0),"",IF($B129="Subactividad","Sub","Macro"))</f>
        <v/>
      </c>
      <c r="W129" s="62">
        <f>IF($V129="Macro",COUNTIFS($U$5:$U$1000,ROW(),$V$5:$V$1000,"Sub"),"")</f>
        <v/>
      </c>
      <c r="X129" s="62">
        <f>IF($V129="","",IF(ISNUMBER($G129),1,IFERROR(LOOKUP(2,1/($I129:$L129&lt;&gt;""),$I129:$L129),0)))</f>
        <v/>
      </c>
      <c r="Y129" s="62">
        <f>IF($V129="","",IF(AND(ISNUMBER($G129),$G129&lt;=IF($S129=MesCiclo,InicioCiclo,$S129+MOD(2-WEEKDAY($S129),7))+6),1,IF(ISNUMBER($I129),$I129,0)))</f>
        <v/>
      </c>
      <c r="Z129" s="62">
        <f>IF($V129="","",IF(AND(ISNUMBER($G129),$G129&lt;=IF($S129=MesCiclo,InicioCiclo,$S129+MOD(2-WEEKDAY($S129),7))+13),1,IF(ISNUMBER($J129),$J129,$Y129)))</f>
        <v/>
      </c>
      <c r="AA129" s="62">
        <f>IF($V129="","",IF(AND(ISNUMBER($G129),$G129&lt;=IF($S129=MesCiclo,InicioCiclo,$S129+MOD(2-WEEKDAY($S129),7))+20),1,IF(ISNUMBER($K129),$K129,$Z129)))</f>
        <v/>
      </c>
      <c r="AB129" s="62">
        <f>IF($V129="","",IF(AND(ISNUMBER($G129),$G129&lt;=IF($S129=MesCiclo,InicioCiclo,$S129+MOD(2-WEEKDAY($S129),7))+27),1,IF(ISNUMBER($L129),$L129,$AA129)))</f>
        <v/>
      </c>
      <c r="AC129" s="62">
        <f>IF($V129="","",IF(AND(ISNUMBER($G129),$G129&lt;=IF($S129=MesCiclo,InicioCiclo,$S129+MOD(2-WEEKDAY($S129),7))+6),1,IF(N($W129)&gt;0,AVERAGEIFS($Y$5:$Y$1000,$U$5:$U$1000,ROW(),$V$5:$V$1000,"Sub"),$Y129)))</f>
        <v/>
      </c>
      <c r="AD129" s="62">
        <f>IF($V129="","",IF(AND(ISNUMBER($G129),$G129&lt;=IF($S129=MesCiclo,InicioCiclo,$S129+MOD(2-WEEKDAY($S129),7))+13),1,IF(N($W129)&gt;0,AVERAGEIFS($Z$5:$Z$1000,$U$5:$U$1000,ROW(),$V$5:$V$1000,"Sub"),$Z129)))</f>
        <v/>
      </c>
      <c r="AE129" s="62">
        <f>IF($V129="","",IF(AND(ISNUMBER($G129),$G129&lt;=IF($S129=MesCiclo,InicioCiclo,$S129+MOD(2-WEEKDAY($S129),7))+20),1,IF(N($W129)&gt;0,AVERAGEIFS($AA$5:$AA$1000,$U$5:$U$1000,ROW(),$V$5:$V$1000,"Sub"),$AA129)))</f>
        <v/>
      </c>
      <c r="AF129" s="62">
        <f>IF($V129="","",IF(AND(ISNUMBER($G129),$G129&lt;=IF($S129=MesCiclo,InicioCiclo,$S129+MOD(2-WEEKDAY($S129),7))+27),1,IF(N($W129)&gt;0,AVERAGEIFS($AB$5:$AB$1000,$U$5:$U$1000,ROW(),$V$5:$V$1000,"Sub"),$AB129)))</f>
        <v/>
      </c>
      <c r="AG129" s="62">
        <f>IF($V129&lt;&gt;"Macro","",IF(COUNTIFS($S$5:$S$1000,$S129,$V$5:$V$1000,"Macro",$H$5:$H$1000,"&gt;0")=0,1/COUNTIFS($S$5:$S$1000,$S129,$V$5:$V$1000,"Macro"),IF(AND(ISNUMBER($H129),N($H129)&gt;0),$H129,SUMIFS($H$5:$H$1000,$S$5:$S$1000,$S129,$V$5:$V$1000,"Macro")/COUNTIFS($S$5:$S$1000,$S129,$V$5:$V$1000,"Macro",$H$5:$H$1000,"&gt;0"))/(COUNTIFS($S$5:$S$1000,$S129,$V$5:$V$1000,"Macro")*SUMIFS($H$5:$H$1000,$S$5:$S$1000,$S129,$V$5:$V$1000,"Macro")/COUNTIFS($S$5:$S$1000,$S129,$V$5:$V$1000,"Macro",$H$5:$H$1000,"&gt;0"))))</f>
        <v/>
      </c>
      <c r="AH129" s="62" t="n"/>
      <c r="AI129" s="62" t="n"/>
      <c r="AJ129" s="62" t="n"/>
      <c r="AK129" s="62" t="n"/>
      <c r="AL129" s="62">
        <f>IF(LEFT($C129,11)="[Jefatura] ",IFERROR(MATCH("Riesgo Normativo|"&amp;MID($C129,12,500),rDname_ADM,0),0),"")</f>
        <v/>
      </c>
      <c r="AM129" s="62">
        <f>IF(N($AL129)&gt;0,INDEX(rIni_ADM,$AL129),IF(ISNUMBER($E129),$E129,""))</f>
        <v/>
      </c>
      <c r="AN129" s="62">
        <f>IF(N($AL129)&gt;0,INDEX(rLim_ADM,$AL129),IF(ISNUMBER($F129),$F129,""))</f>
        <v/>
      </c>
    </row>
    <row r="130">
      <c r="A130" s="56">
        <f>IF(NOT((COUNTA($B130:$D130)+COUNTA($G130:$L130)+COUNTA($Q130))&gt;0),"",IF($V130="Macro",COUNTIFS($V$5:$V130,"Macro",$S$5:$S130,$S130),IF(N($U130)=0,"?",COUNTIFS(INDEX($V$5:$V$1000,1):INDEX($V$5:$V$1000,$U130-4),"Macro",INDEX($S$5:$S$1000,1):INDEX($S$5:$S$1000,$U130-4),INDEX($S$5:$S$1000,$U130-4))&amp;"."&amp;COUNTIFS($U$5:$U130,$U130,$V$5:$V130,"Sub"))))</f>
        <v/>
      </c>
      <c r="B130" s="57" t="n"/>
      <c r="C130" s="58" t="n"/>
      <c r="D130" s="58" t="n"/>
      <c r="E130" s="59">
        <f>IF(N($AL130)&gt;0,INDEX(rIni_ADM,$AL130),"")</f>
        <v/>
      </c>
      <c r="F130" s="59">
        <f>IF(N($AL130)&gt;0,INDEX(rLim_ADM,$AL130),"")</f>
        <v/>
      </c>
      <c r="G130" s="59" t="n"/>
      <c r="H130" s="60" t="n"/>
      <c r="I130" s="60" t="n"/>
      <c r="J130" s="60" t="n"/>
      <c r="K130" s="60" t="n"/>
      <c r="L130" s="60" t="n"/>
      <c r="M130" s="61">
        <f>IF(NOT((COUNTA($B130:$D130)+COUNTA($G130:$L130)+COUNTA($Q130))&gt;0),"",IF(ISNUMBER($G130),1,IF(N($W130)&gt;0,AVERAGEIFS($X$5:$X$1000,$U$5:$U$1000,ROW(),$V$5:$V$1000,"Sub"),$X130)))</f>
        <v/>
      </c>
      <c r="N130" s="56">
        <f>IF($M130="","",IF($M130&gt;=1,"Completado",IF($M130&gt;0,"En curso","Pendiente")))</f>
        <v/>
      </c>
      <c r="O130" s="56">
        <f>IF(NOT((COUNTA($B130:$D130)+COUNTA($G130:$L130)+COUNTA($Q130))&gt;0),"",IF(ISNUMBER($G130),IF(AND(ISNUMBER($AN130),$G130&gt;$AN130),"Cumplida con "&amp;($G130-$AN130)&amp;IF($G130-$AN130=1," día"," días")&amp;" de retraso","Cumplida"),IF(N($M130)&gt;=1,"Cumplida",IF(NOT(ISNUMBER($AN130)),"Sin fecha límite",IF($AN130&lt;FechaRef,"Vencida hace "&amp;(FechaRef-$AN130)&amp;IF(FechaRef-$AN130=1," día"," días"),IF($AN130=FechaRef,"Vence hoy",IF($AN130-FechaRef&lt;=DiasAlerta,"Vence en "&amp;($AN130-FechaRef)&amp;IF($AN130-FechaRef=1," día"," días"),"En plazo")))))))</f>
        <v/>
      </c>
      <c r="P130" s="62" t="n"/>
      <c r="Q130" s="58" t="n"/>
      <c r="R130" s="63">
        <f>IF(NOT((COUNTA($B130:$D130)+COUNTA($G130:$L130)+COUNTA($Q130))&gt;0),"",IF((IF($C130="","Falta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",""))="","✔ OK","⚠ "&amp;LEFT(IF($C130="","Falta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",""),LEN(IF($C130="","Falta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",""))-3)))</f>
        <v/>
      </c>
      <c r="S130" s="64">
        <f>IF(NOT((COUNTA($B130:$D130)+COUNTA($G130:$L130)+COUNTA($Q130))&gt;0),"",IF(AND($V130="Sub",N($U130)&gt;0),IF(ISNUMBER(INDEX($AM$5:$AM$1000,$U130-4)),DATE(YEAR(INDEX($AM$5:$AM$1000,$U130-4)),MONTH(INDEX($AM$5:$AM$1000,$U130-4)),1),IF(ISNUMBER(INDEX($AN$5:$AN$1000,$U130-4)),DATE(YEAR(INDEX($AN$5:$AN$1000,$U130-4)),MONTH(INDEX($AN$5:$AN$1000,$U130-4)),1),MesCiclo)),IF(ISNUMBER($AM130),DATE(YEAR($AM130),MONTH($AM130),1),IF(ISNUMBER($AN130),DATE(YEAR($AN130),MONTH($AN130),1),MesCiclo))))</f>
        <v/>
      </c>
      <c r="T130" s="62">
        <f>IF(OR($S130="",$S130&lt;&gt;MesCiclo),"",COUNTIF($S$5:$S130,MesCiclo))</f>
        <v/>
      </c>
      <c r="U130" s="62">
        <f>IF($V130="","",IF($V130="Macro",ROW(),IFERROR(LOOKUP(2,1/($V$5:$V130="Macro"),ROW($V$5:$V130)),0)))</f>
        <v/>
      </c>
      <c r="V130" s="62">
        <f>IF(NOT((COUNTA($B130:$D130)+COUNTA($G130:$L130)+COUNTA($Q130))&gt;0),"",IF($B130="Subactividad","Sub","Macro"))</f>
        <v/>
      </c>
      <c r="W130" s="62">
        <f>IF($V130="Macro",COUNTIFS($U$5:$U$1000,ROW(),$V$5:$V$1000,"Sub"),"")</f>
        <v/>
      </c>
      <c r="X130" s="62">
        <f>IF($V130="","",IF(ISNUMBER($G130),1,IFERROR(LOOKUP(2,1/($I130:$L130&lt;&gt;""),$I130:$L130),0)))</f>
        <v/>
      </c>
      <c r="Y130" s="62">
        <f>IF($V130="","",IF(AND(ISNUMBER($G130),$G130&lt;=IF($S130=MesCiclo,InicioCiclo,$S130+MOD(2-WEEKDAY($S130),7))+6),1,IF(ISNUMBER($I130),$I130,0)))</f>
        <v/>
      </c>
      <c r="Z130" s="62">
        <f>IF($V130="","",IF(AND(ISNUMBER($G130),$G130&lt;=IF($S130=MesCiclo,InicioCiclo,$S130+MOD(2-WEEKDAY($S130),7))+13),1,IF(ISNUMBER($J130),$J130,$Y130)))</f>
        <v/>
      </c>
      <c r="AA130" s="62">
        <f>IF($V130="","",IF(AND(ISNUMBER($G130),$G130&lt;=IF($S130=MesCiclo,InicioCiclo,$S130+MOD(2-WEEKDAY($S130),7))+20),1,IF(ISNUMBER($K130),$K130,$Z130)))</f>
        <v/>
      </c>
      <c r="AB130" s="62">
        <f>IF($V130="","",IF(AND(ISNUMBER($G130),$G130&lt;=IF($S130=MesCiclo,InicioCiclo,$S130+MOD(2-WEEKDAY($S130),7))+27),1,IF(ISNUMBER($L130),$L130,$AA130)))</f>
        <v/>
      </c>
      <c r="AC130" s="62">
        <f>IF($V130="","",IF(AND(ISNUMBER($G130),$G130&lt;=IF($S130=MesCiclo,InicioCiclo,$S130+MOD(2-WEEKDAY($S130),7))+6),1,IF(N($W130)&gt;0,AVERAGEIFS($Y$5:$Y$1000,$U$5:$U$1000,ROW(),$V$5:$V$1000,"Sub"),$Y130)))</f>
        <v/>
      </c>
      <c r="AD130" s="62">
        <f>IF($V130="","",IF(AND(ISNUMBER($G130),$G130&lt;=IF($S130=MesCiclo,InicioCiclo,$S130+MOD(2-WEEKDAY($S130),7))+13),1,IF(N($W130)&gt;0,AVERAGEIFS($Z$5:$Z$1000,$U$5:$U$1000,ROW(),$V$5:$V$1000,"Sub"),$Z130)))</f>
        <v/>
      </c>
      <c r="AE130" s="62">
        <f>IF($V130="","",IF(AND(ISNUMBER($G130),$G130&lt;=IF($S130=MesCiclo,InicioCiclo,$S130+MOD(2-WEEKDAY($S130),7))+20),1,IF(N($W130)&gt;0,AVERAGEIFS($AA$5:$AA$1000,$U$5:$U$1000,ROW(),$V$5:$V$1000,"Sub"),$AA130)))</f>
        <v/>
      </c>
      <c r="AF130" s="62">
        <f>IF($V130="","",IF(AND(ISNUMBER($G130),$G130&lt;=IF($S130=MesCiclo,InicioCiclo,$S130+MOD(2-WEEKDAY($S130),7))+27),1,IF(N($W130)&gt;0,AVERAGEIFS($AB$5:$AB$1000,$U$5:$U$1000,ROW(),$V$5:$V$1000,"Sub"),$AB130)))</f>
        <v/>
      </c>
      <c r="AG130" s="62">
        <f>IF($V130&lt;&gt;"Macro","",IF(COUNTIFS($S$5:$S$1000,$S130,$V$5:$V$1000,"Macro",$H$5:$H$1000,"&gt;0")=0,1/COUNTIFS($S$5:$S$1000,$S130,$V$5:$V$1000,"Macro"),IF(AND(ISNUMBER($H130),N($H130)&gt;0),$H130,SUMIFS($H$5:$H$1000,$S$5:$S$1000,$S130,$V$5:$V$1000,"Macro")/COUNTIFS($S$5:$S$1000,$S130,$V$5:$V$1000,"Macro",$H$5:$H$1000,"&gt;0"))/(COUNTIFS($S$5:$S$1000,$S130,$V$5:$V$1000,"Macro")*SUMIFS($H$5:$H$1000,$S$5:$S$1000,$S130,$V$5:$V$1000,"Macro")/COUNTIFS($S$5:$S$1000,$S130,$V$5:$V$1000,"Macro",$H$5:$H$1000,"&gt;0"))))</f>
        <v/>
      </c>
      <c r="AH130" s="62" t="n"/>
      <c r="AI130" s="62" t="n"/>
      <c r="AJ130" s="62" t="n"/>
      <c r="AK130" s="62" t="n"/>
      <c r="AL130" s="62">
        <f>IF(LEFT($C130,11)="[Jefatura] ",IFERROR(MATCH("Riesgo Normativo|"&amp;MID($C130,12,500),rDname_ADM,0),0),"")</f>
        <v/>
      </c>
      <c r="AM130" s="62">
        <f>IF(N($AL130)&gt;0,INDEX(rIni_ADM,$AL130),IF(ISNUMBER($E130),$E130,""))</f>
        <v/>
      </c>
      <c r="AN130" s="62">
        <f>IF(N($AL130)&gt;0,INDEX(rLim_ADM,$AL130),IF(ISNUMBER($F130),$F130,""))</f>
        <v/>
      </c>
    </row>
    <row r="131">
      <c r="A131" s="56">
        <f>IF(NOT((COUNTA($B131:$D131)+COUNTA($G131:$L131)+COUNTA($Q131))&gt;0),"",IF($V131="Macro",COUNTIFS($V$5:$V131,"Macro",$S$5:$S131,$S131),IF(N($U131)=0,"?",COUNTIFS(INDEX($V$5:$V$1000,1):INDEX($V$5:$V$1000,$U131-4),"Macro",INDEX($S$5:$S$1000,1):INDEX($S$5:$S$1000,$U131-4),INDEX($S$5:$S$1000,$U131-4))&amp;"."&amp;COUNTIFS($U$5:$U131,$U131,$V$5:$V131,"Sub"))))</f>
        <v/>
      </c>
      <c r="B131" s="57" t="n"/>
      <c r="C131" s="58" t="n"/>
      <c r="D131" s="58" t="n"/>
      <c r="E131" s="59">
        <f>IF(N($AL131)&gt;0,INDEX(rIni_ADM,$AL131),"")</f>
        <v/>
      </c>
      <c r="F131" s="59">
        <f>IF(N($AL131)&gt;0,INDEX(rLim_ADM,$AL131),"")</f>
        <v/>
      </c>
      <c r="G131" s="59" t="n"/>
      <c r="H131" s="60" t="n"/>
      <c r="I131" s="60" t="n"/>
      <c r="J131" s="60" t="n"/>
      <c r="K131" s="60" t="n"/>
      <c r="L131" s="60" t="n"/>
      <c r="M131" s="61">
        <f>IF(NOT((COUNTA($B131:$D131)+COUNTA($G131:$L131)+COUNTA($Q131))&gt;0),"",IF(ISNUMBER($G131),1,IF(N($W131)&gt;0,AVERAGEIFS($X$5:$X$1000,$U$5:$U$1000,ROW(),$V$5:$V$1000,"Sub"),$X131)))</f>
        <v/>
      </c>
      <c r="N131" s="56">
        <f>IF($M131="","",IF($M131&gt;=1,"Completado",IF($M131&gt;0,"En curso","Pendiente")))</f>
        <v/>
      </c>
      <c r="O131" s="56">
        <f>IF(NOT((COUNTA($B131:$D131)+COUNTA($G131:$L131)+COUNTA($Q131))&gt;0),"",IF(ISNUMBER($G131),IF(AND(ISNUMBER($AN131),$G131&gt;$AN131),"Cumplida con "&amp;($G131-$AN131)&amp;IF($G131-$AN131=1," día"," días")&amp;" de retraso","Cumplida"),IF(N($M131)&gt;=1,"Cumplida",IF(NOT(ISNUMBER($AN131)),"Sin fecha límite",IF($AN131&lt;FechaRef,"Vencida hace "&amp;(FechaRef-$AN131)&amp;IF(FechaRef-$AN131=1," día"," días"),IF($AN131=FechaRef,"Vence hoy",IF($AN131-FechaRef&lt;=DiasAlerta,"Vence en "&amp;($AN131-FechaRef)&amp;IF($AN131-FechaRef=1," día"," días"),"En plazo")))))))</f>
        <v/>
      </c>
      <c r="P131" s="62" t="n"/>
      <c r="Q131" s="58" t="n"/>
      <c r="R131" s="63">
        <f>IF(NOT((COUNTA($B131:$D131)+COUNTA($G131:$L131)+COUNTA($Q131))&gt;0),"",IF((IF($C131="","Falta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",""))="","✔ OK","⚠ "&amp;LEFT(IF($C131="","Falta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",""),LEN(IF($C131="","Falta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",""))-3)))</f>
        <v/>
      </c>
      <c r="S131" s="64">
        <f>IF(NOT((COUNTA($B131:$D131)+COUNTA($G131:$L131)+COUNTA($Q131))&gt;0),"",IF(AND($V131="Sub",N($U131)&gt;0),IF(ISNUMBER(INDEX($AM$5:$AM$1000,$U131-4)),DATE(YEAR(INDEX($AM$5:$AM$1000,$U131-4)),MONTH(INDEX($AM$5:$AM$1000,$U131-4)),1),IF(ISNUMBER(INDEX($AN$5:$AN$1000,$U131-4)),DATE(YEAR(INDEX($AN$5:$AN$1000,$U131-4)),MONTH(INDEX($AN$5:$AN$1000,$U131-4)),1),MesCiclo)),IF(ISNUMBER($AM131),DATE(YEAR($AM131),MONTH($AM131),1),IF(ISNUMBER($AN131),DATE(YEAR($AN131),MONTH($AN131),1),MesCiclo))))</f>
        <v/>
      </c>
      <c r="T131" s="62">
        <f>IF(OR($S131="",$S131&lt;&gt;MesCiclo),"",COUNTIF($S$5:$S131,MesCiclo))</f>
        <v/>
      </c>
      <c r="U131" s="62">
        <f>IF($V131="","",IF($V131="Macro",ROW(),IFERROR(LOOKUP(2,1/($V$5:$V131="Macro"),ROW($V$5:$V131)),0)))</f>
        <v/>
      </c>
      <c r="V131" s="62">
        <f>IF(NOT((COUNTA($B131:$D131)+COUNTA($G131:$L131)+COUNTA($Q131))&gt;0),"",IF($B131="Subactividad","Sub","Macro"))</f>
        <v/>
      </c>
      <c r="W131" s="62">
        <f>IF($V131="Macro",COUNTIFS($U$5:$U$1000,ROW(),$V$5:$V$1000,"Sub"),"")</f>
        <v/>
      </c>
      <c r="X131" s="62">
        <f>IF($V131="","",IF(ISNUMBER($G131),1,IFERROR(LOOKUP(2,1/($I131:$L131&lt;&gt;""),$I131:$L131),0)))</f>
        <v/>
      </c>
      <c r="Y131" s="62">
        <f>IF($V131="","",IF(AND(ISNUMBER($G131),$G131&lt;=IF($S131=MesCiclo,InicioCiclo,$S131+MOD(2-WEEKDAY($S131),7))+6),1,IF(ISNUMBER($I131),$I131,0)))</f>
        <v/>
      </c>
      <c r="Z131" s="62">
        <f>IF($V131="","",IF(AND(ISNUMBER($G131),$G131&lt;=IF($S131=MesCiclo,InicioCiclo,$S131+MOD(2-WEEKDAY($S131),7))+13),1,IF(ISNUMBER($J131),$J131,$Y131)))</f>
        <v/>
      </c>
      <c r="AA131" s="62">
        <f>IF($V131="","",IF(AND(ISNUMBER($G131),$G131&lt;=IF($S131=MesCiclo,InicioCiclo,$S131+MOD(2-WEEKDAY($S131),7))+20),1,IF(ISNUMBER($K131),$K131,$Z131)))</f>
        <v/>
      </c>
      <c r="AB131" s="62">
        <f>IF($V131="","",IF(AND(ISNUMBER($G131),$G131&lt;=IF($S131=MesCiclo,InicioCiclo,$S131+MOD(2-WEEKDAY($S131),7))+27),1,IF(ISNUMBER($L131),$L131,$AA131)))</f>
        <v/>
      </c>
      <c r="AC131" s="62">
        <f>IF($V131="","",IF(AND(ISNUMBER($G131),$G131&lt;=IF($S131=MesCiclo,InicioCiclo,$S131+MOD(2-WEEKDAY($S131),7))+6),1,IF(N($W131)&gt;0,AVERAGEIFS($Y$5:$Y$1000,$U$5:$U$1000,ROW(),$V$5:$V$1000,"Sub"),$Y131)))</f>
        <v/>
      </c>
      <c r="AD131" s="62">
        <f>IF($V131="","",IF(AND(ISNUMBER($G131),$G131&lt;=IF($S131=MesCiclo,InicioCiclo,$S131+MOD(2-WEEKDAY($S131),7))+13),1,IF(N($W131)&gt;0,AVERAGEIFS($Z$5:$Z$1000,$U$5:$U$1000,ROW(),$V$5:$V$1000,"Sub"),$Z131)))</f>
        <v/>
      </c>
      <c r="AE131" s="62">
        <f>IF($V131="","",IF(AND(ISNUMBER($G131),$G131&lt;=IF($S131=MesCiclo,InicioCiclo,$S131+MOD(2-WEEKDAY($S131),7))+20),1,IF(N($W131)&gt;0,AVERAGEIFS($AA$5:$AA$1000,$U$5:$U$1000,ROW(),$V$5:$V$1000,"Sub"),$AA131)))</f>
        <v/>
      </c>
      <c r="AF131" s="62">
        <f>IF($V131="","",IF(AND(ISNUMBER($G131),$G131&lt;=IF($S131=MesCiclo,InicioCiclo,$S131+MOD(2-WEEKDAY($S131),7))+27),1,IF(N($W131)&gt;0,AVERAGEIFS($AB$5:$AB$1000,$U$5:$U$1000,ROW(),$V$5:$V$1000,"Sub"),$AB131)))</f>
        <v/>
      </c>
      <c r="AG131" s="62">
        <f>IF($V131&lt;&gt;"Macro","",IF(COUNTIFS($S$5:$S$1000,$S131,$V$5:$V$1000,"Macro",$H$5:$H$1000,"&gt;0")=0,1/COUNTIFS($S$5:$S$1000,$S131,$V$5:$V$1000,"Macro"),IF(AND(ISNUMBER($H131),N($H131)&gt;0),$H131,SUMIFS($H$5:$H$1000,$S$5:$S$1000,$S131,$V$5:$V$1000,"Macro")/COUNTIFS($S$5:$S$1000,$S131,$V$5:$V$1000,"Macro",$H$5:$H$1000,"&gt;0"))/(COUNTIFS($S$5:$S$1000,$S131,$V$5:$V$1000,"Macro")*SUMIFS($H$5:$H$1000,$S$5:$S$1000,$S131,$V$5:$V$1000,"Macro")/COUNTIFS($S$5:$S$1000,$S131,$V$5:$V$1000,"Macro",$H$5:$H$1000,"&gt;0"))))</f>
        <v/>
      </c>
      <c r="AH131" s="62" t="n"/>
      <c r="AI131" s="62" t="n"/>
      <c r="AJ131" s="62" t="n"/>
      <c r="AK131" s="62" t="n"/>
      <c r="AL131" s="62">
        <f>IF(LEFT($C131,11)="[Jefatura] ",IFERROR(MATCH("Riesgo Normativo|"&amp;MID($C131,12,500),rDname_ADM,0),0),"")</f>
        <v/>
      </c>
      <c r="AM131" s="62">
        <f>IF(N($AL131)&gt;0,INDEX(rIni_ADM,$AL131),IF(ISNUMBER($E131),$E131,""))</f>
        <v/>
      </c>
      <c r="AN131" s="62">
        <f>IF(N($AL131)&gt;0,INDEX(rLim_ADM,$AL131),IF(ISNUMBER($F131),$F131,""))</f>
        <v/>
      </c>
    </row>
    <row r="132">
      <c r="A132" s="56">
        <f>IF(NOT((COUNTA($B132:$D132)+COUNTA($G132:$L132)+COUNTA($Q132))&gt;0),"",IF($V132="Macro",COUNTIFS($V$5:$V132,"Macro",$S$5:$S132,$S132),IF(N($U132)=0,"?",COUNTIFS(INDEX($V$5:$V$1000,1):INDEX($V$5:$V$1000,$U132-4),"Macro",INDEX($S$5:$S$1000,1):INDEX($S$5:$S$1000,$U132-4),INDEX($S$5:$S$1000,$U132-4))&amp;"."&amp;COUNTIFS($U$5:$U132,$U132,$V$5:$V132,"Sub"))))</f>
        <v/>
      </c>
      <c r="B132" s="57" t="n"/>
      <c r="C132" s="58" t="n"/>
      <c r="D132" s="58" t="n"/>
      <c r="E132" s="59">
        <f>IF(N($AL132)&gt;0,INDEX(rIni_ADM,$AL132),"")</f>
        <v/>
      </c>
      <c r="F132" s="59">
        <f>IF(N($AL132)&gt;0,INDEX(rLim_ADM,$AL132),"")</f>
        <v/>
      </c>
      <c r="G132" s="59" t="n"/>
      <c r="H132" s="60" t="n"/>
      <c r="I132" s="60" t="n"/>
      <c r="J132" s="60" t="n"/>
      <c r="K132" s="60" t="n"/>
      <c r="L132" s="60" t="n"/>
      <c r="M132" s="61">
        <f>IF(NOT((COUNTA($B132:$D132)+COUNTA($G132:$L132)+COUNTA($Q132))&gt;0),"",IF(ISNUMBER($G132),1,IF(N($W132)&gt;0,AVERAGEIFS($X$5:$X$1000,$U$5:$U$1000,ROW(),$V$5:$V$1000,"Sub"),$X132)))</f>
        <v/>
      </c>
      <c r="N132" s="56">
        <f>IF($M132="","",IF($M132&gt;=1,"Completado",IF($M132&gt;0,"En curso","Pendiente")))</f>
        <v/>
      </c>
      <c r="O132" s="56">
        <f>IF(NOT((COUNTA($B132:$D132)+COUNTA($G132:$L132)+COUNTA($Q132))&gt;0),"",IF(ISNUMBER($G132),IF(AND(ISNUMBER($AN132),$G132&gt;$AN132),"Cumplida con "&amp;($G132-$AN132)&amp;IF($G132-$AN132=1," día"," días")&amp;" de retraso","Cumplida"),IF(N($M132)&gt;=1,"Cumplida",IF(NOT(ISNUMBER($AN132)),"Sin fecha límite",IF($AN132&lt;FechaRef,"Vencida hace "&amp;(FechaRef-$AN132)&amp;IF(FechaRef-$AN132=1," día"," días"),IF($AN132=FechaRef,"Vence hoy",IF($AN132-FechaRef&lt;=DiasAlerta,"Vence en "&amp;($AN132-FechaRef)&amp;IF($AN132-FechaRef=1," día"," días"),"En plazo")))))))</f>
        <v/>
      </c>
      <c r="P132" s="62" t="n"/>
      <c r="Q132" s="58" t="n"/>
      <c r="R132" s="63">
        <f>IF(NOT((COUNTA($B132:$D132)+COUNTA($G132:$L132)+COUNTA($Q132))&gt;0),"",IF((IF($C132="","Falta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",""))="","✔ OK","⚠ "&amp;LEFT(IF($C132="","Falta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",""),LEN(IF($C132="","Falta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",""))-3)))</f>
        <v/>
      </c>
      <c r="S132" s="64">
        <f>IF(NOT((COUNTA($B132:$D132)+COUNTA($G132:$L132)+COUNTA($Q132))&gt;0),"",IF(AND($V132="Sub",N($U132)&gt;0),IF(ISNUMBER(INDEX($AM$5:$AM$1000,$U132-4)),DATE(YEAR(INDEX($AM$5:$AM$1000,$U132-4)),MONTH(INDEX($AM$5:$AM$1000,$U132-4)),1),IF(ISNUMBER(INDEX($AN$5:$AN$1000,$U132-4)),DATE(YEAR(INDEX($AN$5:$AN$1000,$U132-4)),MONTH(INDEX($AN$5:$AN$1000,$U132-4)),1),MesCiclo)),IF(ISNUMBER($AM132),DATE(YEAR($AM132),MONTH($AM132),1),IF(ISNUMBER($AN132),DATE(YEAR($AN132),MONTH($AN132),1),MesCiclo))))</f>
        <v/>
      </c>
      <c r="T132" s="62">
        <f>IF(OR($S132="",$S132&lt;&gt;MesCiclo),"",COUNTIF($S$5:$S132,MesCiclo))</f>
        <v/>
      </c>
      <c r="U132" s="62">
        <f>IF($V132="","",IF($V132="Macro",ROW(),IFERROR(LOOKUP(2,1/($V$5:$V132="Macro"),ROW($V$5:$V132)),0)))</f>
        <v/>
      </c>
      <c r="V132" s="62">
        <f>IF(NOT((COUNTA($B132:$D132)+COUNTA($G132:$L132)+COUNTA($Q132))&gt;0),"",IF($B132="Subactividad","Sub","Macro"))</f>
        <v/>
      </c>
      <c r="W132" s="62">
        <f>IF($V132="Macro",COUNTIFS($U$5:$U$1000,ROW(),$V$5:$V$1000,"Sub"),"")</f>
        <v/>
      </c>
      <c r="X132" s="62">
        <f>IF($V132="","",IF(ISNUMBER($G132),1,IFERROR(LOOKUP(2,1/($I132:$L132&lt;&gt;""),$I132:$L132),0)))</f>
        <v/>
      </c>
      <c r="Y132" s="62">
        <f>IF($V132="","",IF(AND(ISNUMBER($G132),$G132&lt;=IF($S132=MesCiclo,InicioCiclo,$S132+MOD(2-WEEKDAY($S132),7))+6),1,IF(ISNUMBER($I132),$I132,0)))</f>
        <v/>
      </c>
      <c r="Z132" s="62">
        <f>IF($V132="","",IF(AND(ISNUMBER($G132),$G132&lt;=IF($S132=MesCiclo,InicioCiclo,$S132+MOD(2-WEEKDAY($S132),7))+13),1,IF(ISNUMBER($J132),$J132,$Y132)))</f>
        <v/>
      </c>
      <c r="AA132" s="62">
        <f>IF($V132="","",IF(AND(ISNUMBER($G132),$G132&lt;=IF($S132=MesCiclo,InicioCiclo,$S132+MOD(2-WEEKDAY($S132),7))+20),1,IF(ISNUMBER($K132),$K132,$Z132)))</f>
        <v/>
      </c>
      <c r="AB132" s="62">
        <f>IF($V132="","",IF(AND(ISNUMBER($G132),$G132&lt;=IF($S132=MesCiclo,InicioCiclo,$S132+MOD(2-WEEKDAY($S132),7))+27),1,IF(ISNUMBER($L132),$L132,$AA132)))</f>
        <v/>
      </c>
      <c r="AC132" s="62">
        <f>IF($V132="","",IF(AND(ISNUMBER($G132),$G132&lt;=IF($S132=MesCiclo,InicioCiclo,$S132+MOD(2-WEEKDAY($S132),7))+6),1,IF(N($W132)&gt;0,AVERAGEIFS($Y$5:$Y$1000,$U$5:$U$1000,ROW(),$V$5:$V$1000,"Sub"),$Y132)))</f>
        <v/>
      </c>
      <c r="AD132" s="62">
        <f>IF($V132="","",IF(AND(ISNUMBER($G132),$G132&lt;=IF($S132=MesCiclo,InicioCiclo,$S132+MOD(2-WEEKDAY($S132),7))+13),1,IF(N($W132)&gt;0,AVERAGEIFS($Z$5:$Z$1000,$U$5:$U$1000,ROW(),$V$5:$V$1000,"Sub"),$Z132)))</f>
        <v/>
      </c>
      <c r="AE132" s="62">
        <f>IF($V132="","",IF(AND(ISNUMBER($G132),$G132&lt;=IF($S132=MesCiclo,InicioCiclo,$S132+MOD(2-WEEKDAY($S132),7))+20),1,IF(N($W132)&gt;0,AVERAGEIFS($AA$5:$AA$1000,$U$5:$U$1000,ROW(),$V$5:$V$1000,"Sub"),$AA132)))</f>
        <v/>
      </c>
      <c r="AF132" s="62">
        <f>IF($V132="","",IF(AND(ISNUMBER($G132),$G132&lt;=IF($S132=MesCiclo,InicioCiclo,$S132+MOD(2-WEEKDAY($S132),7))+27),1,IF(N($W132)&gt;0,AVERAGEIFS($AB$5:$AB$1000,$U$5:$U$1000,ROW(),$V$5:$V$1000,"Sub"),$AB132)))</f>
        <v/>
      </c>
      <c r="AG132" s="62">
        <f>IF($V132&lt;&gt;"Macro","",IF(COUNTIFS($S$5:$S$1000,$S132,$V$5:$V$1000,"Macro",$H$5:$H$1000,"&gt;0")=0,1/COUNTIFS($S$5:$S$1000,$S132,$V$5:$V$1000,"Macro"),IF(AND(ISNUMBER($H132),N($H132)&gt;0),$H132,SUMIFS($H$5:$H$1000,$S$5:$S$1000,$S132,$V$5:$V$1000,"Macro")/COUNTIFS($S$5:$S$1000,$S132,$V$5:$V$1000,"Macro",$H$5:$H$1000,"&gt;0"))/(COUNTIFS($S$5:$S$1000,$S132,$V$5:$V$1000,"Macro")*SUMIFS($H$5:$H$1000,$S$5:$S$1000,$S132,$V$5:$V$1000,"Macro")/COUNTIFS($S$5:$S$1000,$S132,$V$5:$V$1000,"Macro",$H$5:$H$1000,"&gt;0"))))</f>
        <v/>
      </c>
      <c r="AH132" s="62" t="n"/>
      <c r="AI132" s="62" t="n"/>
      <c r="AJ132" s="62" t="n"/>
      <c r="AK132" s="62" t="n"/>
      <c r="AL132" s="62">
        <f>IF(LEFT($C132,11)="[Jefatura] ",IFERROR(MATCH("Riesgo Normativo|"&amp;MID($C132,12,500),rDname_ADM,0),0),"")</f>
        <v/>
      </c>
      <c r="AM132" s="62">
        <f>IF(N($AL132)&gt;0,INDEX(rIni_ADM,$AL132),IF(ISNUMBER($E132),$E132,""))</f>
        <v/>
      </c>
      <c r="AN132" s="62">
        <f>IF(N($AL132)&gt;0,INDEX(rLim_ADM,$AL132),IF(ISNUMBER($F132),$F132,""))</f>
        <v/>
      </c>
    </row>
    <row r="133">
      <c r="A133" s="56">
        <f>IF(NOT((COUNTA($B133:$D133)+COUNTA($G133:$L133)+COUNTA($Q133))&gt;0),"",IF($V133="Macro",COUNTIFS($V$5:$V133,"Macro",$S$5:$S133,$S133),IF(N($U133)=0,"?",COUNTIFS(INDEX($V$5:$V$1000,1):INDEX($V$5:$V$1000,$U133-4),"Macro",INDEX($S$5:$S$1000,1):INDEX($S$5:$S$1000,$U133-4),INDEX($S$5:$S$1000,$U133-4))&amp;"."&amp;COUNTIFS($U$5:$U133,$U133,$V$5:$V133,"Sub"))))</f>
        <v/>
      </c>
      <c r="B133" s="57" t="n"/>
      <c r="C133" s="58" t="n"/>
      <c r="D133" s="58" t="n"/>
      <c r="E133" s="59">
        <f>IF(N($AL133)&gt;0,INDEX(rIni_ADM,$AL133),"")</f>
        <v/>
      </c>
      <c r="F133" s="59">
        <f>IF(N($AL133)&gt;0,INDEX(rLim_ADM,$AL133),"")</f>
        <v/>
      </c>
      <c r="G133" s="59" t="n"/>
      <c r="H133" s="60" t="n"/>
      <c r="I133" s="60" t="n"/>
      <c r="J133" s="60" t="n"/>
      <c r="K133" s="60" t="n"/>
      <c r="L133" s="60" t="n"/>
      <c r="M133" s="61">
        <f>IF(NOT((COUNTA($B133:$D133)+COUNTA($G133:$L133)+COUNTA($Q133))&gt;0),"",IF(ISNUMBER($G133),1,IF(N($W133)&gt;0,AVERAGEIFS($X$5:$X$1000,$U$5:$U$1000,ROW(),$V$5:$V$1000,"Sub"),$X133)))</f>
        <v/>
      </c>
      <c r="N133" s="56">
        <f>IF($M133="","",IF($M133&gt;=1,"Completado",IF($M133&gt;0,"En curso","Pendiente")))</f>
        <v/>
      </c>
      <c r="O133" s="56">
        <f>IF(NOT((COUNTA($B133:$D133)+COUNTA($G133:$L133)+COUNTA($Q133))&gt;0),"",IF(ISNUMBER($G133),IF(AND(ISNUMBER($AN133),$G133&gt;$AN133),"Cumplida con "&amp;($G133-$AN133)&amp;IF($G133-$AN133=1," día"," días")&amp;" de retraso","Cumplida"),IF(N($M133)&gt;=1,"Cumplida",IF(NOT(ISNUMBER($AN133)),"Sin fecha límite",IF($AN133&lt;FechaRef,"Vencida hace "&amp;(FechaRef-$AN133)&amp;IF(FechaRef-$AN133=1," día"," días"),IF($AN133=FechaRef,"Vence hoy",IF($AN133-FechaRef&lt;=DiasAlerta,"Vence en "&amp;($AN133-FechaRef)&amp;IF($AN133-FechaRef=1," día"," días"),"En plazo")))))))</f>
        <v/>
      </c>
      <c r="P133" s="62" t="n"/>
      <c r="Q133" s="58" t="n"/>
      <c r="R133" s="63">
        <f>IF(NOT((COUNTA($B133:$D133)+COUNTA($G133:$L133)+COUNTA($Q133))&gt;0),"",IF((IF($C133="","Falta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",""))="","✔ OK","⚠ "&amp;LEFT(IF($C133="","Falta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",""),LEN(IF($C133="","Falta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",""))-3)))</f>
        <v/>
      </c>
      <c r="S133" s="64">
        <f>IF(NOT((COUNTA($B133:$D133)+COUNTA($G133:$L133)+COUNTA($Q133))&gt;0),"",IF(AND($V133="Sub",N($U133)&gt;0),IF(ISNUMBER(INDEX($AM$5:$AM$1000,$U133-4)),DATE(YEAR(INDEX($AM$5:$AM$1000,$U133-4)),MONTH(INDEX($AM$5:$AM$1000,$U133-4)),1),IF(ISNUMBER(INDEX($AN$5:$AN$1000,$U133-4)),DATE(YEAR(INDEX($AN$5:$AN$1000,$U133-4)),MONTH(INDEX($AN$5:$AN$1000,$U133-4)),1),MesCiclo)),IF(ISNUMBER($AM133),DATE(YEAR($AM133),MONTH($AM133),1),IF(ISNUMBER($AN133),DATE(YEAR($AN133),MONTH($AN133),1),MesCiclo))))</f>
        <v/>
      </c>
      <c r="T133" s="62">
        <f>IF(OR($S133="",$S133&lt;&gt;MesCiclo),"",COUNTIF($S$5:$S133,MesCiclo))</f>
        <v/>
      </c>
      <c r="U133" s="62">
        <f>IF($V133="","",IF($V133="Macro",ROW(),IFERROR(LOOKUP(2,1/($V$5:$V133="Macro"),ROW($V$5:$V133)),0)))</f>
        <v/>
      </c>
      <c r="V133" s="62">
        <f>IF(NOT((COUNTA($B133:$D133)+COUNTA($G133:$L133)+COUNTA($Q133))&gt;0),"",IF($B133="Subactividad","Sub","Macro"))</f>
        <v/>
      </c>
      <c r="W133" s="62">
        <f>IF($V133="Macro",COUNTIFS($U$5:$U$1000,ROW(),$V$5:$V$1000,"Sub"),"")</f>
        <v/>
      </c>
      <c r="X133" s="62">
        <f>IF($V133="","",IF(ISNUMBER($G133),1,IFERROR(LOOKUP(2,1/($I133:$L133&lt;&gt;""),$I133:$L133),0)))</f>
        <v/>
      </c>
      <c r="Y133" s="62">
        <f>IF($V133="","",IF(AND(ISNUMBER($G133),$G133&lt;=IF($S133=MesCiclo,InicioCiclo,$S133+MOD(2-WEEKDAY($S133),7))+6),1,IF(ISNUMBER($I133),$I133,0)))</f>
        <v/>
      </c>
      <c r="Z133" s="62">
        <f>IF($V133="","",IF(AND(ISNUMBER($G133),$G133&lt;=IF($S133=MesCiclo,InicioCiclo,$S133+MOD(2-WEEKDAY($S133),7))+13),1,IF(ISNUMBER($J133),$J133,$Y133)))</f>
        <v/>
      </c>
      <c r="AA133" s="62">
        <f>IF($V133="","",IF(AND(ISNUMBER($G133),$G133&lt;=IF($S133=MesCiclo,InicioCiclo,$S133+MOD(2-WEEKDAY($S133),7))+20),1,IF(ISNUMBER($K133),$K133,$Z133)))</f>
        <v/>
      </c>
      <c r="AB133" s="62">
        <f>IF($V133="","",IF(AND(ISNUMBER($G133),$G133&lt;=IF($S133=MesCiclo,InicioCiclo,$S133+MOD(2-WEEKDAY($S133),7))+27),1,IF(ISNUMBER($L133),$L133,$AA133)))</f>
        <v/>
      </c>
      <c r="AC133" s="62">
        <f>IF($V133="","",IF(AND(ISNUMBER($G133),$G133&lt;=IF($S133=MesCiclo,InicioCiclo,$S133+MOD(2-WEEKDAY($S133),7))+6),1,IF(N($W133)&gt;0,AVERAGEIFS($Y$5:$Y$1000,$U$5:$U$1000,ROW(),$V$5:$V$1000,"Sub"),$Y133)))</f>
        <v/>
      </c>
      <c r="AD133" s="62">
        <f>IF($V133="","",IF(AND(ISNUMBER($G133),$G133&lt;=IF($S133=MesCiclo,InicioCiclo,$S133+MOD(2-WEEKDAY($S133),7))+13),1,IF(N($W133)&gt;0,AVERAGEIFS($Z$5:$Z$1000,$U$5:$U$1000,ROW(),$V$5:$V$1000,"Sub"),$Z133)))</f>
        <v/>
      </c>
      <c r="AE133" s="62">
        <f>IF($V133="","",IF(AND(ISNUMBER($G133),$G133&lt;=IF($S133=MesCiclo,InicioCiclo,$S133+MOD(2-WEEKDAY($S133),7))+20),1,IF(N($W133)&gt;0,AVERAGEIFS($AA$5:$AA$1000,$U$5:$U$1000,ROW(),$V$5:$V$1000,"Sub"),$AA133)))</f>
        <v/>
      </c>
      <c r="AF133" s="62">
        <f>IF($V133="","",IF(AND(ISNUMBER($G133),$G133&lt;=IF($S133=MesCiclo,InicioCiclo,$S133+MOD(2-WEEKDAY($S133),7))+27),1,IF(N($W133)&gt;0,AVERAGEIFS($AB$5:$AB$1000,$U$5:$U$1000,ROW(),$V$5:$V$1000,"Sub"),$AB133)))</f>
        <v/>
      </c>
      <c r="AG133" s="62">
        <f>IF($V133&lt;&gt;"Macro","",IF(COUNTIFS($S$5:$S$1000,$S133,$V$5:$V$1000,"Macro",$H$5:$H$1000,"&gt;0")=0,1/COUNTIFS($S$5:$S$1000,$S133,$V$5:$V$1000,"Macro"),IF(AND(ISNUMBER($H133),N($H133)&gt;0),$H133,SUMIFS($H$5:$H$1000,$S$5:$S$1000,$S133,$V$5:$V$1000,"Macro")/COUNTIFS($S$5:$S$1000,$S133,$V$5:$V$1000,"Macro",$H$5:$H$1000,"&gt;0"))/(COUNTIFS($S$5:$S$1000,$S133,$V$5:$V$1000,"Macro")*SUMIFS($H$5:$H$1000,$S$5:$S$1000,$S133,$V$5:$V$1000,"Macro")/COUNTIFS($S$5:$S$1000,$S133,$V$5:$V$1000,"Macro",$H$5:$H$1000,"&gt;0"))))</f>
        <v/>
      </c>
      <c r="AH133" s="62" t="n"/>
      <c r="AI133" s="62" t="n"/>
      <c r="AJ133" s="62" t="n"/>
      <c r="AK133" s="62" t="n"/>
      <c r="AL133" s="62">
        <f>IF(LEFT($C133,11)="[Jefatura] ",IFERROR(MATCH("Riesgo Normativo|"&amp;MID($C133,12,500),rDname_ADM,0),0),"")</f>
        <v/>
      </c>
      <c r="AM133" s="62">
        <f>IF(N($AL133)&gt;0,INDEX(rIni_ADM,$AL133),IF(ISNUMBER($E133),$E133,""))</f>
        <v/>
      </c>
      <c r="AN133" s="62">
        <f>IF(N($AL133)&gt;0,INDEX(rLim_ADM,$AL133),IF(ISNUMBER($F133),$F133,""))</f>
        <v/>
      </c>
    </row>
    <row r="134">
      <c r="A134" s="56">
        <f>IF(NOT((COUNTA($B134:$D134)+COUNTA($G134:$L134)+COUNTA($Q134))&gt;0),"",IF($V134="Macro",COUNTIFS($V$5:$V134,"Macro",$S$5:$S134,$S134),IF(N($U134)=0,"?",COUNTIFS(INDEX($V$5:$V$1000,1):INDEX($V$5:$V$1000,$U134-4),"Macro",INDEX($S$5:$S$1000,1):INDEX($S$5:$S$1000,$U134-4),INDEX($S$5:$S$1000,$U134-4))&amp;"."&amp;COUNTIFS($U$5:$U134,$U134,$V$5:$V134,"Sub"))))</f>
        <v/>
      </c>
      <c r="B134" s="57" t="n"/>
      <c r="C134" s="58" t="n"/>
      <c r="D134" s="58" t="n"/>
      <c r="E134" s="59">
        <f>IF(N($AL134)&gt;0,INDEX(rIni_ADM,$AL134),"")</f>
        <v/>
      </c>
      <c r="F134" s="59">
        <f>IF(N($AL134)&gt;0,INDEX(rLim_ADM,$AL134),"")</f>
        <v/>
      </c>
      <c r="G134" s="59" t="n"/>
      <c r="H134" s="60" t="n"/>
      <c r="I134" s="60" t="n"/>
      <c r="J134" s="60" t="n"/>
      <c r="K134" s="60" t="n"/>
      <c r="L134" s="60" t="n"/>
      <c r="M134" s="61">
        <f>IF(NOT((COUNTA($B134:$D134)+COUNTA($G134:$L134)+COUNTA($Q134))&gt;0),"",IF(ISNUMBER($G134),1,IF(N($W134)&gt;0,AVERAGEIFS($X$5:$X$1000,$U$5:$U$1000,ROW(),$V$5:$V$1000,"Sub"),$X134)))</f>
        <v/>
      </c>
      <c r="N134" s="56">
        <f>IF($M134="","",IF($M134&gt;=1,"Completado",IF($M134&gt;0,"En curso","Pendiente")))</f>
        <v/>
      </c>
      <c r="O134" s="56">
        <f>IF(NOT((COUNTA($B134:$D134)+COUNTA($G134:$L134)+COUNTA($Q134))&gt;0),"",IF(ISNUMBER($G134),IF(AND(ISNUMBER($AN134),$G134&gt;$AN134),"Cumplida con "&amp;($G134-$AN134)&amp;IF($G134-$AN134=1," día"," días")&amp;" de retraso","Cumplida"),IF(N($M134)&gt;=1,"Cumplida",IF(NOT(ISNUMBER($AN134)),"Sin fecha límite",IF($AN134&lt;FechaRef,"Vencida hace "&amp;(FechaRef-$AN134)&amp;IF(FechaRef-$AN134=1," día"," días"),IF($AN134=FechaRef,"Vence hoy",IF($AN134-FechaRef&lt;=DiasAlerta,"Vence en "&amp;($AN134-FechaRef)&amp;IF($AN134-FechaRef=1," día"," días"),"En plazo")))))))</f>
        <v/>
      </c>
      <c r="P134" s="62" t="n"/>
      <c r="Q134" s="58" t="n"/>
      <c r="R134" s="63">
        <f>IF(NOT((COUNTA($B134:$D134)+COUNTA($G134:$L134)+COUNTA($Q134))&gt;0),"",IF((IF($C134="","Falta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",""))="","✔ OK","⚠ "&amp;LEFT(IF($C134="","Falta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",""),LEN(IF($C134="","Falta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",""))-3)))</f>
        <v/>
      </c>
      <c r="S134" s="64">
        <f>IF(NOT((COUNTA($B134:$D134)+COUNTA($G134:$L134)+COUNTA($Q134))&gt;0),"",IF(AND($V134="Sub",N($U134)&gt;0),IF(ISNUMBER(INDEX($AM$5:$AM$1000,$U134-4)),DATE(YEAR(INDEX($AM$5:$AM$1000,$U134-4)),MONTH(INDEX($AM$5:$AM$1000,$U134-4)),1),IF(ISNUMBER(INDEX($AN$5:$AN$1000,$U134-4)),DATE(YEAR(INDEX($AN$5:$AN$1000,$U134-4)),MONTH(INDEX($AN$5:$AN$1000,$U134-4)),1),MesCiclo)),IF(ISNUMBER($AM134),DATE(YEAR($AM134),MONTH($AM134),1),IF(ISNUMBER($AN134),DATE(YEAR($AN134),MONTH($AN134),1),MesCiclo))))</f>
        <v/>
      </c>
      <c r="T134" s="62">
        <f>IF(OR($S134="",$S134&lt;&gt;MesCiclo),"",COUNTIF($S$5:$S134,MesCiclo))</f>
        <v/>
      </c>
      <c r="U134" s="62">
        <f>IF($V134="","",IF($V134="Macro",ROW(),IFERROR(LOOKUP(2,1/($V$5:$V134="Macro"),ROW($V$5:$V134)),0)))</f>
        <v/>
      </c>
      <c r="V134" s="62">
        <f>IF(NOT((COUNTA($B134:$D134)+COUNTA($G134:$L134)+COUNTA($Q134))&gt;0),"",IF($B134="Subactividad","Sub","Macro"))</f>
        <v/>
      </c>
      <c r="W134" s="62">
        <f>IF($V134="Macro",COUNTIFS($U$5:$U$1000,ROW(),$V$5:$V$1000,"Sub"),"")</f>
        <v/>
      </c>
      <c r="X134" s="62">
        <f>IF($V134="","",IF(ISNUMBER($G134),1,IFERROR(LOOKUP(2,1/($I134:$L134&lt;&gt;""),$I134:$L134),0)))</f>
        <v/>
      </c>
      <c r="Y134" s="62">
        <f>IF($V134="","",IF(AND(ISNUMBER($G134),$G134&lt;=IF($S134=MesCiclo,InicioCiclo,$S134+MOD(2-WEEKDAY($S134),7))+6),1,IF(ISNUMBER($I134),$I134,0)))</f>
        <v/>
      </c>
      <c r="Z134" s="62">
        <f>IF($V134="","",IF(AND(ISNUMBER($G134),$G134&lt;=IF($S134=MesCiclo,InicioCiclo,$S134+MOD(2-WEEKDAY($S134),7))+13),1,IF(ISNUMBER($J134),$J134,$Y134)))</f>
        <v/>
      </c>
      <c r="AA134" s="62">
        <f>IF($V134="","",IF(AND(ISNUMBER($G134),$G134&lt;=IF($S134=MesCiclo,InicioCiclo,$S134+MOD(2-WEEKDAY($S134),7))+20),1,IF(ISNUMBER($K134),$K134,$Z134)))</f>
        <v/>
      </c>
      <c r="AB134" s="62">
        <f>IF($V134="","",IF(AND(ISNUMBER($G134),$G134&lt;=IF($S134=MesCiclo,InicioCiclo,$S134+MOD(2-WEEKDAY($S134),7))+27),1,IF(ISNUMBER($L134),$L134,$AA134)))</f>
        <v/>
      </c>
      <c r="AC134" s="62">
        <f>IF($V134="","",IF(AND(ISNUMBER($G134),$G134&lt;=IF($S134=MesCiclo,InicioCiclo,$S134+MOD(2-WEEKDAY($S134),7))+6),1,IF(N($W134)&gt;0,AVERAGEIFS($Y$5:$Y$1000,$U$5:$U$1000,ROW(),$V$5:$V$1000,"Sub"),$Y134)))</f>
        <v/>
      </c>
      <c r="AD134" s="62">
        <f>IF($V134="","",IF(AND(ISNUMBER($G134),$G134&lt;=IF($S134=MesCiclo,InicioCiclo,$S134+MOD(2-WEEKDAY($S134),7))+13),1,IF(N($W134)&gt;0,AVERAGEIFS($Z$5:$Z$1000,$U$5:$U$1000,ROW(),$V$5:$V$1000,"Sub"),$Z134)))</f>
        <v/>
      </c>
      <c r="AE134" s="62">
        <f>IF($V134="","",IF(AND(ISNUMBER($G134),$G134&lt;=IF($S134=MesCiclo,InicioCiclo,$S134+MOD(2-WEEKDAY($S134),7))+20),1,IF(N($W134)&gt;0,AVERAGEIFS($AA$5:$AA$1000,$U$5:$U$1000,ROW(),$V$5:$V$1000,"Sub"),$AA134)))</f>
        <v/>
      </c>
      <c r="AF134" s="62">
        <f>IF($V134="","",IF(AND(ISNUMBER($G134),$G134&lt;=IF($S134=MesCiclo,InicioCiclo,$S134+MOD(2-WEEKDAY($S134),7))+27),1,IF(N($W134)&gt;0,AVERAGEIFS($AB$5:$AB$1000,$U$5:$U$1000,ROW(),$V$5:$V$1000,"Sub"),$AB134)))</f>
        <v/>
      </c>
      <c r="AG134" s="62">
        <f>IF($V134&lt;&gt;"Macro","",IF(COUNTIFS($S$5:$S$1000,$S134,$V$5:$V$1000,"Macro",$H$5:$H$1000,"&gt;0")=0,1/COUNTIFS($S$5:$S$1000,$S134,$V$5:$V$1000,"Macro"),IF(AND(ISNUMBER($H134),N($H134)&gt;0),$H134,SUMIFS($H$5:$H$1000,$S$5:$S$1000,$S134,$V$5:$V$1000,"Macro")/COUNTIFS($S$5:$S$1000,$S134,$V$5:$V$1000,"Macro",$H$5:$H$1000,"&gt;0"))/(COUNTIFS($S$5:$S$1000,$S134,$V$5:$V$1000,"Macro")*SUMIFS($H$5:$H$1000,$S$5:$S$1000,$S134,$V$5:$V$1000,"Macro")/COUNTIFS($S$5:$S$1000,$S134,$V$5:$V$1000,"Macro",$H$5:$H$1000,"&gt;0"))))</f>
        <v/>
      </c>
      <c r="AH134" s="62" t="n"/>
      <c r="AI134" s="62" t="n"/>
      <c r="AJ134" s="62" t="n"/>
      <c r="AK134" s="62" t="n"/>
      <c r="AL134" s="62">
        <f>IF(LEFT($C134,11)="[Jefatura] ",IFERROR(MATCH("Riesgo Normativo|"&amp;MID($C134,12,500),rDname_ADM,0),0),"")</f>
        <v/>
      </c>
      <c r="AM134" s="62">
        <f>IF(N($AL134)&gt;0,INDEX(rIni_ADM,$AL134),IF(ISNUMBER($E134),$E134,""))</f>
        <v/>
      </c>
      <c r="AN134" s="62">
        <f>IF(N($AL134)&gt;0,INDEX(rLim_ADM,$AL134),IF(ISNUMBER($F134),$F134,""))</f>
        <v/>
      </c>
    </row>
    <row r="135">
      <c r="A135" s="56">
        <f>IF(NOT((COUNTA($B135:$D135)+COUNTA($G135:$L135)+COUNTA($Q135))&gt;0),"",IF($V135="Macro",COUNTIFS($V$5:$V135,"Macro",$S$5:$S135,$S135),IF(N($U135)=0,"?",COUNTIFS(INDEX($V$5:$V$1000,1):INDEX($V$5:$V$1000,$U135-4),"Macro",INDEX($S$5:$S$1000,1):INDEX($S$5:$S$1000,$U135-4),INDEX($S$5:$S$1000,$U135-4))&amp;"."&amp;COUNTIFS($U$5:$U135,$U135,$V$5:$V135,"Sub"))))</f>
        <v/>
      </c>
      <c r="B135" s="57" t="n"/>
      <c r="C135" s="58" t="n"/>
      <c r="D135" s="58" t="n"/>
      <c r="E135" s="59">
        <f>IF(N($AL135)&gt;0,INDEX(rIni_ADM,$AL135),"")</f>
        <v/>
      </c>
      <c r="F135" s="59">
        <f>IF(N($AL135)&gt;0,INDEX(rLim_ADM,$AL135),"")</f>
        <v/>
      </c>
      <c r="G135" s="59" t="n"/>
      <c r="H135" s="60" t="n"/>
      <c r="I135" s="60" t="n"/>
      <c r="J135" s="60" t="n"/>
      <c r="K135" s="60" t="n"/>
      <c r="L135" s="60" t="n"/>
      <c r="M135" s="61">
        <f>IF(NOT((COUNTA($B135:$D135)+COUNTA($G135:$L135)+COUNTA($Q135))&gt;0),"",IF(ISNUMBER($G135),1,IF(N($W135)&gt;0,AVERAGEIFS($X$5:$X$1000,$U$5:$U$1000,ROW(),$V$5:$V$1000,"Sub"),$X135)))</f>
        <v/>
      </c>
      <c r="N135" s="56">
        <f>IF($M135="","",IF($M135&gt;=1,"Completado",IF($M135&gt;0,"En curso","Pendiente")))</f>
        <v/>
      </c>
      <c r="O135" s="56">
        <f>IF(NOT((COUNTA($B135:$D135)+COUNTA($G135:$L135)+COUNTA($Q135))&gt;0),"",IF(ISNUMBER($G135),IF(AND(ISNUMBER($AN135),$G135&gt;$AN135),"Cumplida con "&amp;($G135-$AN135)&amp;IF($G135-$AN135=1," día"," días")&amp;" de retraso","Cumplida"),IF(N($M135)&gt;=1,"Cumplida",IF(NOT(ISNUMBER($AN135)),"Sin fecha límite",IF($AN135&lt;FechaRef,"Vencida hace "&amp;(FechaRef-$AN135)&amp;IF(FechaRef-$AN135=1," día"," días"),IF($AN135=FechaRef,"Vence hoy",IF($AN135-FechaRef&lt;=DiasAlerta,"Vence en "&amp;($AN135-FechaRef)&amp;IF($AN135-FechaRef=1," día"," días"),"En plazo")))))))</f>
        <v/>
      </c>
      <c r="P135" s="62" t="n"/>
      <c r="Q135" s="58" t="n"/>
      <c r="R135" s="63">
        <f>IF(NOT((COUNTA($B135:$D135)+COUNTA($G135:$L135)+COUNTA($Q135))&gt;0),"",IF((IF($C135="","Falta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",""))="","✔ OK","⚠ "&amp;LEFT(IF($C135="","Falta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",""),LEN(IF($C135="","Falta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",""))-3)))</f>
        <v/>
      </c>
      <c r="S135" s="64">
        <f>IF(NOT((COUNTA($B135:$D135)+COUNTA($G135:$L135)+COUNTA($Q135))&gt;0),"",IF(AND($V135="Sub",N($U135)&gt;0),IF(ISNUMBER(INDEX($AM$5:$AM$1000,$U135-4)),DATE(YEAR(INDEX($AM$5:$AM$1000,$U135-4)),MONTH(INDEX($AM$5:$AM$1000,$U135-4)),1),IF(ISNUMBER(INDEX($AN$5:$AN$1000,$U135-4)),DATE(YEAR(INDEX($AN$5:$AN$1000,$U135-4)),MONTH(INDEX($AN$5:$AN$1000,$U135-4)),1),MesCiclo)),IF(ISNUMBER($AM135),DATE(YEAR($AM135),MONTH($AM135),1),IF(ISNUMBER($AN135),DATE(YEAR($AN135),MONTH($AN135),1),MesCiclo))))</f>
        <v/>
      </c>
      <c r="T135" s="62">
        <f>IF(OR($S135="",$S135&lt;&gt;MesCiclo),"",COUNTIF($S$5:$S135,MesCiclo))</f>
        <v/>
      </c>
      <c r="U135" s="62">
        <f>IF($V135="","",IF($V135="Macro",ROW(),IFERROR(LOOKUP(2,1/($V$5:$V135="Macro"),ROW($V$5:$V135)),0)))</f>
        <v/>
      </c>
      <c r="V135" s="62">
        <f>IF(NOT((COUNTA($B135:$D135)+COUNTA($G135:$L135)+COUNTA($Q135))&gt;0),"",IF($B135="Subactividad","Sub","Macro"))</f>
        <v/>
      </c>
      <c r="W135" s="62">
        <f>IF($V135="Macro",COUNTIFS($U$5:$U$1000,ROW(),$V$5:$V$1000,"Sub"),"")</f>
        <v/>
      </c>
      <c r="X135" s="62">
        <f>IF($V135="","",IF(ISNUMBER($G135),1,IFERROR(LOOKUP(2,1/($I135:$L135&lt;&gt;""),$I135:$L135),0)))</f>
        <v/>
      </c>
      <c r="Y135" s="62">
        <f>IF($V135="","",IF(AND(ISNUMBER($G135),$G135&lt;=IF($S135=MesCiclo,InicioCiclo,$S135+MOD(2-WEEKDAY($S135),7))+6),1,IF(ISNUMBER($I135),$I135,0)))</f>
        <v/>
      </c>
      <c r="Z135" s="62">
        <f>IF($V135="","",IF(AND(ISNUMBER($G135),$G135&lt;=IF($S135=MesCiclo,InicioCiclo,$S135+MOD(2-WEEKDAY($S135),7))+13),1,IF(ISNUMBER($J135),$J135,$Y135)))</f>
        <v/>
      </c>
      <c r="AA135" s="62">
        <f>IF($V135="","",IF(AND(ISNUMBER($G135),$G135&lt;=IF($S135=MesCiclo,InicioCiclo,$S135+MOD(2-WEEKDAY($S135),7))+20),1,IF(ISNUMBER($K135),$K135,$Z135)))</f>
        <v/>
      </c>
      <c r="AB135" s="62">
        <f>IF($V135="","",IF(AND(ISNUMBER($G135),$G135&lt;=IF($S135=MesCiclo,InicioCiclo,$S135+MOD(2-WEEKDAY($S135),7))+27),1,IF(ISNUMBER($L135),$L135,$AA135)))</f>
        <v/>
      </c>
      <c r="AC135" s="62">
        <f>IF($V135="","",IF(AND(ISNUMBER($G135),$G135&lt;=IF($S135=MesCiclo,InicioCiclo,$S135+MOD(2-WEEKDAY($S135),7))+6),1,IF(N($W135)&gt;0,AVERAGEIFS($Y$5:$Y$1000,$U$5:$U$1000,ROW(),$V$5:$V$1000,"Sub"),$Y135)))</f>
        <v/>
      </c>
      <c r="AD135" s="62">
        <f>IF($V135="","",IF(AND(ISNUMBER($G135),$G135&lt;=IF($S135=MesCiclo,InicioCiclo,$S135+MOD(2-WEEKDAY($S135),7))+13),1,IF(N($W135)&gt;0,AVERAGEIFS($Z$5:$Z$1000,$U$5:$U$1000,ROW(),$V$5:$V$1000,"Sub"),$Z135)))</f>
        <v/>
      </c>
      <c r="AE135" s="62">
        <f>IF($V135="","",IF(AND(ISNUMBER($G135),$G135&lt;=IF($S135=MesCiclo,InicioCiclo,$S135+MOD(2-WEEKDAY($S135),7))+20),1,IF(N($W135)&gt;0,AVERAGEIFS($AA$5:$AA$1000,$U$5:$U$1000,ROW(),$V$5:$V$1000,"Sub"),$AA135)))</f>
        <v/>
      </c>
      <c r="AF135" s="62">
        <f>IF($V135="","",IF(AND(ISNUMBER($G135),$G135&lt;=IF($S135=MesCiclo,InicioCiclo,$S135+MOD(2-WEEKDAY($S135),7))+27),1,IF(N($W135)&gt;0,AVERAGEIFS($AB$5:$AB$1000,$U$5:$U$1000,ROW(),$V$5:$V$1000,"Sub"),$AB135)))</f>
        <v/>
      </c>
      <c r="AG135" s="62">
        <f>IF($V135&lt;&gt;"Macro","",IF(COUNTIFS($S$5:$S$1000,$S135,$V$5:$V$1000,"Macro",$H$5:$H$1000,"&gt;0")=0,1/COUNTIFS($S$5:$S$1000,$S135,$V$5:$V$1000,"Macro"),IF(AND(ISNUMBER($H135),N($H135)&gt;0),$H135,SUMIFS($H$5:$H$1000,$S$5:$S$1000,$S135,$V$5:$V$1000,"Macro")/COUNTIFS($S$5:$S$1000,$S135,$V$5:$V$1000,"Macro",$H$5:$H$1000,"&gt;0"))/(COUNTIFS($S$5:$S$1000,$S135,$V$5:$V$1000,"Macro")*SUMIFS($H$5:$H$1000,$S$5:$S$1000,$S135,$V$5:$V$1000,"Macro")/COUNTIFS($S$5:$S$1000,$S135,$V$5:$V$1000,"Macro",$H$5:$H$1000,"&gt;0"))))</f>
        <v/>
      </c>
      <c r="AH135" s="62" t="n"/>
      <c r="AI135" s="62" t="n"/>
      <c r="AJ135" s="62" t="n"/>
      <c r="AK135" s="62" t="n"/>
      <c r="AL135" s="62">
        <f>IF(LEFT($C135,11)="[Jefatura] ",IFERROR(MATCH("Riesgo Normativo|"&amp;MID($C135,12,500),rDname_ADM,0),0),"")</f>
        <v/>
      </c>
      <c r="AM135" s="62">
        <f>IF(N($AL135)&gt;0,INDEX(rIni_ADM,$AL135),IF(ISNUMBER($E135),$E135,""))</f>
        <v/>
      </c>
      <c r="AN135" s="62">
        <f>IF(N($AL135)&gt;0,INDEX(rLim_ADM,$AL135),IF(ISNUMBER($F135),$F135,""))</f>
        <v/>
      </c>
    </row>
    <row r="136">
      <c r="A136" s="56">
        <f>IF(NOT((COUNTA($B136:$D136)+COUNTA($G136:$L136)+COUNTA($Q136))&gt;0),"",IF($V136="Macro",COUNTIFS($V$5:$V136,"Macro",$S$5:$S136,$S136),IF(N($U136)=0,"?",COUNTIFS(INDEX($V$5:$V$1000,1):INDEX($V$5:$V$1000,$U136-4),"Macro",INDEX($S$5:$S$1000,1):INDEX($S$5:$S$1000,$U136-4),INDEX($S$5:$S$1000,$U136-4))&amp;"."&amp;COUNTIFS($U$5:$U136,$U136,$V$5:$V136,"Sub"))))</f>
        <v/>
      </c>
      <c r="B136" s="57" t="n"/>
      <c r="C136" s="58" t="n"/>
      <c r="D136" s="58" t="n"/>
      <c r="E136" s="59">
        <f>IF(N($AL136)&gt;0,INDEX(rIni_ADM,$AL136),"")</f>
        <v/>
      </c>
      <c r="F136" s="59">
        <f>IF(N($AL136)&gt;0,INDEX(rLim_ADM,$AL136),"")</f>
        <v/>
      </c>
      <c r="G136" s="59" t="n"/>
      <c r="H136" s="60" t="n"/>
      <c r="I136" s="60" t="n"/>
      <c r="J136" s="60" t="n"/>
      <c r="K136" s="60" t="n"/>
      <c r="L136" s="60" t="n"/>
      <c r="M136" s="61">
        <f>IF(NOT((COUNTA($B136:$D136)+COUNTA($G136:$L136)+COUNTA($Q136))&gt;0),"",IF(ISNUMBER($G136),1,IF(N($W136)&gt;0,AVERAGEIFS($X$5:$X$1000,$U$5:$U$1000,ROW(),$V$5:$V$1000,"Sub"),$X136)))</f>
        <v/>
      </c>
      <c r="N136" s="56">
        <f>IF($M136="","",IF($M136&gt;=1,"Completado",IF($M136&gt;0,"En curso","Pendiente")))</f>
        <v/>
      </c>
      <c r="O136" s="56">
        <f>IF(NOT((COUNTA($B136:$D136)+COUNTA($G136:$L136)+COUNTA($Q136))&gt;0),"",IF(ISNUMBER($G136),IF(AND(ISNUMBER($AN136),$G136&gt;$AN136),"Cumplida con "&amp;($G136-$AN136)&amp;IF($G136-$AN136=1," día"," días")&amp;" de retraso","Cumplida"),IF(N($M136)&gt;=1,"Cumplida",IF(NOT(ISNUMBER($AN136)),"Sin fecha límite",IF($AN136&lt;FechaRef,"Vencida hace "&amp;(FechaRef-$AN136)&amp;IF(FechaRef-$AN136=1," día"," días"),IF($AN136=FechaRef,"Vence hoy",IF($AN136-FechaRef&lt;=DiasAlerta,"Vence en "&amp;($AN136-FechaRef)&amp;IF($AN136-FechaRef=1," día"," días"),"En plazo")))))))</f>
        <v/>
      </c>
      <c r="P136" s="62" t="n"/>
      <c r="Q136" s="58" t="n"/>
      <c r="R136" s="63">
        <f>IF(NOT((COUNTA($B136:$D136)+COUNTA($G136:$L136)+COUNTA($Q136))&gt;0),"",IF((IF($C136="","Falta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",""))="","✔ OK","⚠ "&amp;LEFT(IF($C136="","Falta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",""),LEN(IF($C136="","Falta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",""))-3)))</f>
        <v/>
      </c>
      <c r="S136" s="64">
        <f>IF(NOT((COUNTA($B136:$D136)+COUNTA($G136:$L136)+COUNTA($Q136))&gt;0),"",IF(AND($V136="Sub",N($U136)&gt;0),IF(ISNUMBER(INDEX($AM$5:$AM$1000,$U136-4)),DATE(YEAR(INDEX($AM$5:$AM$1000,$U136-4)),MONTH(INDEX($AM$5:$AM$1000,$U136-4)),1),IF(ISNUMBER(INDEX($AN$5:$AN$1000,$U136-4)),DATE(YEAR(INDEX($AN$5:$AN$1000,$U136-4)),MONTH(INDEX($AN$5:$AN$1000,$U136-4)),1),MesCiclo)),IF(ISNUMBER($AM136),DATE(YEAR($AM136),MONTH($AM136),1),IF(ISNUMBER($AN136),DATE(YEAR($AN136),MONTH($AN136),1),MesCiclo))))</f>
        <v/>
      </c>
      <c r="T136" s="62">
        <f>IF(OR($S136="",$S136&lt;&gt;MesCiclo),"",COUNTIF($S$5:$S136,MesCiclo))</f>
        <v/>
      </c>
      <c r="U136" s="62">
        <f>IF($V136="","",IF($V136="Macro",ROW(),IFERROR(LOOKUP(2,1/($V$5:$V136="Macro"),ROW($V$5:$V136)),0)))</f>
        <v/>
      </c>
      <c r="V136" s="62">
        <f>IF(NOT((COUNTA($B136:$D136)+COUNTA($G136:$L136)+COUNTA($Q136))&gt;0),"",IF($B136="Subactividad","Sub","Macro"))</f>
        <v/>
      </c>
      <c r="W136" s="62">
        <f>IF($V136="Macro",COUNTIFS($U$5:$U$1000,ROW(),$V$5:$V$1000,"Sub"),"")</f>
        <v/>
      </c>
      <c r="X136" s="62">
        <f>IF($V136="","",IF(ISNUMBER($G136),1,IFERROR(LOOKUP(2,1/($I136:$L136&lt;&gt;""),$I136:$L136),0)))</f>
        <v/>
      </c>
      <c r="Y136" s="62">
        <f>IF($V136="","",IF(AND(ISNUMBER($G136),$G136&lt;=IF($S136=MesCiclo,InicioCiclo,$S136+MOD(2-WEEKDAY($S136),7))+6),1,IF(ISNUMBER($I136),$I136,0)))</f>
        <v/>
      </c>
      <c r="Z136" s="62">
        <f>IF($V136="","",IF(AND(ISNUMBER($G136),$G136&lt;=IF($S136=MesCiclo,InicioCiclo,$S136+MOD(2-WEEKDAY($S136),7))+13),1,IF(ISNUMBER($J136),$J136,$Y136)))</f>
        <v/>
      </c>
      <c r="AA136" s="62">
        <f>IF($V136="","",IF(AND(ISNUMBER($G136),$G136&lt;=IF($S136=MesCiclo,InicioCiclo,$S136+MOD(2-WEEKDAY($S136),7))+20),1,IF(ISNUMBER($K136),$K136,$Z136)))</f>
        <v/>
      </c>
      <c r="AB136" s="62">
        <f>IF($V136="","",IF(AND(ISNUMBER($G136),$G136&lt;=IF($S136=MesCiclo,InicioCiclo,$S136+MOD(2-WEEKDAY($S136),7))+27),1,IF(ISNUMBER($L136),$L136,$AA136)))</f>
        <v/>
      </c>
      <c r="AC136" s="62">
        <f>IF($V136="","",IF(AND(ISNUMBER($G136),$G136&lt;=IF($S136=MesCiclo,InicioCiclo,$S136+MOD(2-WEEKDAY($S136),7))+6),1,IF(N($W136)&gt;0,AVERAGEIFS($Y$5:$Y$1000,$U$5:$U$1000,ROW(),$V$5:$V$1000,"Sub"),$Y136)))</f>
        <v/>
      </c>
      <c r="AD136" s="62">
        <f>IF($V136="","",IF(AND(ISNUMBER($G136),$G136&lt;=IF($S136=MesCiclo,InicioCiclo,$S136+MOD(2-WEEKDAY($S136),7))+13),1,IF(N($W136)&gt;0,AVERAGEIFS($Z$5:$Z$1000,$U$5:$U$1000,ROW(),$V$5:$V$1000,"Sub"),$Z136)))</f>
        <v/>
      </c>
      <c r="AE136" s="62">
        <f>IF($V136="","",IF(AND(ISNUMBER($G136),$G136&lt;=IF($S136=MesCiclo,InicioCiclo,$S136+MOD(2-WEEKDAY($S136),7))+20),1,IF(N($W136)&gt;0,AVERAGEIFS($AA$5:$AA$1000,$U$5:$U$1000,ROW(),$V$5:$V$1000,"Sub"),$AA136)))</f>
        <v/>
      </c>
      <c r="AF136" s="62">
        <f>IF($V136="","",IF(AND(ISNUMBER($G136),$G136&lt;=IF($S136=MesCiclo,InicioCiclo,$S136+MOD(2-WEEKDAY($S136),7))+27),1,IF(N($W136)&gt;0,AVERAGEIFS($AB$5:$AB$1000,$U$5:$U$1000,ROW(),$V$5:$V$1000,"Sub"),$AB136)))</f>
        <v/>
      </c>
      <c r="AG136" s="62">
        <f>IF($V136&lt;&gt;"Macro","",IF(COUNTIFS($S$5:$S$1000,$S136,$V$5:$V$1000,"Macro",$H$5:$H$1000,"&gt;0")=0,1/COUNTIFS($S$5:$S$1000,$S136,$V$5:$V$1000,"Macro"),IF(AND(ISNUMBER($H136),N($H136)&gt;0),$H136,SUMIFS($H$5:$H$1000,$S$5:$S$1000,$S136,$V$5:$V$1000,"Macro")/COUNTIFS($S$5:$S$1000,$S136,$V$5:$V$1000,"Macro",$H$5:$H$1000,"&gt;0"))/(COUNTIFS($S$5:$S$1000,$S136,$V$5:$V$1000,"Macro")*SUMIFS($H$5:$H$1000,$S$5:$S$1000,$S136,$V$5:$V$1000,"Macro")/COUNTIFS($S$5:$S$1000,$S136,$V$5:$V$1000,"Macro",$H$5:$H$1000,"&gt;0"))))</f>
        <v/>
      </c>
      <c r="AH136" s="62" t="n"/>
      <c r="AI136" s="62" t="n"/>
      <c r="AJ136" s="62" t="n"/>
      <c r="AK136" s="62" t="n"/>
      <c r="AL136" s="62">
        <f>IF(LEFT($C136,11)="[Jefatura] ",IFERROR(MATCH("Riesgo Normativo|"&amp;MID($C136,12,500),rDname_ADM,0),0),"")</f>
        <v/>
      </c>
      <c r="AM136" s="62">
        <f>IF(N($AL136)&gt;0,INDEX(rIni_ADM,$AL136),IF(ISNUMBER($E136),$E136,""))</f>
        <v/>
      </c>
      <c r="AN136" s="62">
        <f>IF(N($AL136)&gt;0,INDEX(rLim_ADM,$AL136),IF(ISNUMBER($F136),$F136,""))</f>
        <v/>
      </c>
    </row>
    <row r="137">
      <c r="A137" s="56">
        <f>IF(NOT((COUNTA($B137:$D137)+COUNTA($G137:$L137)+COUNTA($Q137))&gt;0),"",IF($V137="Macro",COUNTIFS($V$5:$V137,"Macro",$S$5:$S137,$S137),IF(N($U137)=0,"?",COUNTIFS(INDEX($V$5:$V$1000,1):INDEX($V$5:$V$1000,$U137-4),"Macro",INDEX($S$5:$S$1000,1):INDEX($S$5:$S$1000,$U137-4),INDEX($S$5:$S$1000,$U137-4))&amp;"."&amp;COUNTIFS($U$5:$U137,$U137,$V$5:$V137,"Sub"))))</f>
        <v/>
      </c>
      <c r="B137" s="57" t="n"/>
      <c r="C137" s="58" t="n"/>
      <c r="D137" s="58" t="n"/>
      <c r="E137" s="59">
        <f>IF(N($AL137)&gt;0,INDEX(rIni_ADM,$AL137),"")</f>
        <v/>
      </c>
      <c r="F137" s="59">
        <f>IF(N($AL137)&gt;0,INDEX(rLim_ADM,$AL137),"")</f>
        <v/>
      </c>
      <c r="G137" s="59" t="n"/>
      <c r="H137" s="60" t="n"/>
      <c r="I137" s="60" t="n"/>
      <c r="J137" s="60" t="n"/>
      <c r="K137" s="60" t="n"/>
      <c r="L137" s="60" t="n"/>
      <c r="M137" s="61">
        <f>IF(NOT((COUNTA($B137:$D137)+COUNTA($G137:$L137)+COUNTA($Q137))&gt;0),"",IF(ISNUMBER($G137),1,IF(N($W137)&gt;0,AVERAGEIFS($X$5:$X$1000,$U$5:$U$1000,ROW(),$V$5:$V$1000,"Sub"),$X137)))</f>
        <v/>
      </c>
      <c r="N137" s="56">
        <f>IF($M137="","",IF($M137&gt;=1,"Completado",IF($M137&gt;0,"En curso","Pendiente")))</f>
        <v/>
      </c>
      <c r="O137" s="56">
        <f>IF(NOT((COUNTA($B137:$D137)+COUNTA($G137:$L137)+COUNTA($Q137))&gt;0),"",IF(ISNUMBER($G137),IF(AND(ISNUMBER($AN137),$G137&gt;$AN137),"Cumplida con "&amp;($G137-$AN137)&amp;IF($G137-$AN137=1," día"," días")&amp;" de retraso","Cumplida"),IF(N($M137)&gt;=1,"Cumplida",IF(NOT(ISNUMBER($AN137)),"Sin fecha límite",IF($AN137&lt;FechaRef,"Vencida hace "&amp;(FechaRef-$AN137)&amp;IF(FechaRef-$AN137=1," día"," días"),IF($AN137=FechaRef,"Vence hoy",IF($AN137-FechaRef&lt;=DiasAlerta,"Vence en "&amp;($AN137-FechaRef)&amp;IF($AN137-FechaRef=1," día"," días"),"En plazo")))))))</f>
        <v/>
      </c>
      <c r="P137" s="62" t="n"/>
      <c r="Q137" s="58" t="n"/>
      <c r="R137" s="63">
        <f>IF(NOT((COUNTA($B137:$D137)+COUNTA($G137:$L137)+COUNTA($Q137))&gt;0),"",IF((IF($C137="","Falta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",""))="","✔ OK","⚠ "&amp;LEFT(IF($C137="","Falta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",""),LEN(IF($C137="","Falta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",""))-3)))</f>
        <v/>
      </c>
      <c r="S137" s="64">
        <f>IF(NOT((COUNTA($B137:$D137)+COUNTA($G137:$L137)+COUNTA($Q137))&gt;0),"",IF(AND($V137="Sub",N($U137)&gt;0),IF(ISNUMBER(INDEX($AM$5:$AM$1000,$U137-4)),DATE(YEAR(INDEX($AM$5:$AM$1000,$U137-4)),MONTH(INDEX($AM$5:$AM$1000,$U137-4)),1),IF(ISNUMBER(INDEX($AN$5:$AN$1000,$U137-4)),DATE(YEAR(INDEX($AN$5:$AN$1000,$U137-4)),MONTH(INDEX($AN$5:$AN$1000,$U137-4)),1),MesCiclo)),IF(ISNUMBER($AM137),DATE(YEAR($AM137),MONTH($AM137),1),IF(ISNUMBER($AN137),DATE(YEAR($AN137),MONTH($AN137),1),MesCiclo))))</f>
        <v/>
      </c>
      <c r="T137" s="62">
        <f>IF(OR($S137="",$S137&lt;&gt;MesCiclo),"",COUNTIF($S$5:$S137,MesCiclo))</f>
        <v/>
      </c>
      <c r="U137" s="62">
        <f>IF($V137="","",IF($V137="Macro",ROW(),IFERROR(LOOKUP(2,1/($V$5:$V137="Macro"),ROW($V$5:$V137)),0)))</f>
        <v/>
      </c>
      <c r="V137" s="62">
        <f>IF(NOT((COUNTA($B137:$D137)+COUNTA($G137:$L137)+COUNTA($Q137))&gt;0),"",IF($B137="Subactividad","Sub","Macro"))</f>
        <v/>
      </c>
      <c r="W137" s="62">
        <f>IF($V137="Macro",COUNTIFS($U$5:$U$1000,ROW(),$V$5:$V$1000,"Sub"),"")</f>
        <v/>
      </c>
      <c r="X137" s="62">
        <f>IF($V137="","",IF(ISNUMBER($G137),1,IFERROR(LOOKUP(2,1/($I137:$L137&lt;&gt;""),$I137:$L137),0)))</f>
        <v/>
      </c>
      <c r="Y137" s="62">
        <f>IF($V137="","",IF(AND(ISNUMBER($G137),$G137&lt;=IF($S137=MesCiclo,InicioCiclo,$S137+MOD(2-WEEKDAY($S137),7))+6),1,IF(ISNUMBER($I137),$I137,0)))</f>
        <v/>
      </c>
      <c r="Z137" s="62">
        <f>IF($V137="","",IF(AND(ISNUMBER($G137),$G137&lt;=IF($S137=MesCiclo,InicioCiclo,$S137+MOD(2-WEEKDAY($S137),7))+13),1,IF(ISNUMBER($J137),$J137,$Y137)))</f>
        <v/>
      </c>
      <c r="AA137" s="62">
        <f>IF($V137="","",IF(AND(ISNUMBER($G137),$G137&lt;=IF($S137=MesCiclo,InicioCiclo,$S137+MOD(2-WEEKDAY($S137),7))+20),1,IF(ISNUMBER($K137),$K137,$Z137)))</f>
        <v/>
      </c>
      <c r="AB137" s="62">
        <f>IF($V137="","",IF(AND(ISNUMBER($G137),$G137&lt;=IF($S137=MesCiclo,InicioCiclo,$S137+MOD(2-WEEKDAY($S137),7))+27),1,IF(ISNUMBER($L137),$L137,$AA137)))</f>
        <v/>
      </c>
      <c r="AC137" s="62">
        <f>IF($V137="","",IF(AND(ISNUMBER($G137),$G137&lt;=IF($S137=MesCiclo,InicioCiclo,$S137+MOD(2-WEEKDAY($S137),7))+6),1,IF(N($W137)&gt;0,AVERAGEIFS($Y$5:$Y$1000,$U$5:$U$1000,ROW(),$V$5:$V$1000,"Sub"),$Y137)))</f>
        <v/>
      </c>
      <c r="AD137" s="62">
        <f>IF($V137="","",IF(AND(ISNUMBER($G137),$G137&lt;=IF($S137=MesCiclo,InicioCiclo,$S137+MOD(2-WEEKDAY($S137),7))+13),1,IF(N($W137)&gt;0,AVERAGEIFS($Z$5:$Z$1000,$U$5:$U$1000,ROW(),$V$5:$V$1000,"Sub"),$Z137)))</f>
        <v/>
      </c>
      <c r="AE137" s="62">
        <f>IF($V137="","",IF(AND(ISNUMBER($G137),$G137&lt;=IF($S137=MesCiclo,InicioCiclo,$S137+MOD(2-WEEKDAY($S137),7))+20),1,IF(N($W137)&gt;0,AVERAGEIFS($AA$5:$AA$1000,$U$5:$U$1000,ROW(),$V$5:$V$1000,"Sub"),$AA137)))</f>
        <v/>
      </c>
      <c r="AF137" s="62">
        <f>IF($V137="","",IF(AND(ISNUMBER($G137),$G137&lt;=IF($S137=MesCiclo,InicioCiclo,$S137+MOD(2-WEEKDAY($S137),7))+27),1,IF(N($W137)&gt;0,AVERAGEIFS($AB$5:$AB$1000,$U$5:$U$1000,ROW(),$V$5:$V$1000,"Sub"),$AB137)))</f>
        <v/>
      </c>
      <c r="AG137" s="62">
        <f>IF($V137&lt;&gt;"Macro","",IF(COUNTIFS($S$5:$S$1000,$S137,$V$5:$V$1000,"Macro",$H$5:$H$1000,"&gt;0")=0,1/COUNTIFS($S$5:$S$1000,$S137,$V$5:$V$1000,"Macro"),IF(AND(ISNUMBER($H137),N($H137)&gt;0),$H137,SUMIFS($H$5:$H$1000,$S$5:$S$1000,$S137,$V$5:$V$1000,"Macro")/COUNTIFS($S$5:$S$1000,$S137,$V$5:$V$1000,"Macro",$H$5:$H$1000,"&gt;0"))/(COUNTIFS($S$5:$S$1000,$S137,$V$5:$V$1000,"Macro")*SUMIFS($H$5:$H$1000,$S$5:$S$1000,$S137,$V$5:$V$1000,"Macro")/COUNTIFS($S$5:$S$1000,$S137,$V$5:$V$1000,"Macro",$H$5:$H$1000,"&gt;0"))))</f>
        <v/>
      </c>
      <c r="AH137" s="62" t="n"/>
      <c r="AI137" s="62" t="n"/>
      <c r="AJ137" s="62" t="n"/>
      <c r="AK137" s="62" t="n"/>
      <c r="AL137" s="62">
        <f>IF(LEFT($C137,11)="[Jefatura] ",IFERROR(MATCH("Riesgo Normativo|"&amp;MID($C137,12,500),rDname_ADM,0),0),"")</f>
        <v/>
      </c>
      <c r="AM137" s="62">
        <f>IF(N($AL137)&gt;0,INDEX(rIni_ADM,$AL137),IF(ISNUMBER($E137),$E137,""))</f>
        <v/>
      </c>
      <c r="AN137" s="62">
        <f>IF(N($AL137)&gt;0,INDEX(rLim_ADM,$AL137),IF(ISNUMBER($F137),$F137,""))</f>
        <v/>
      </c>
    </row>
    <row r="138">
      <c r="A138" s="56">
        <f>IF(NOT((COUNTA($B138:$D138)+COUNTA($G138:$L138)+COUNTA($Q138))&gt;0),"",IF($V138="Macro",COUNTIFS($V$5:$V138,"Macro",$S$5:$S138,$S138),IF(N($U138)=0,"?",COUNTIFS(INDEX($V$5:$V$1000,1):INDEX($V$5:$V$1000,$U138-4),"Macro",INDEX($S$5:$S$1000,1):INDEX($S$5:$S$1000,$U138-4),INDEX($S$5:$S$1000,$U138-4))&amp;"."&amp;COUNTIFS($U$5:$U138,$U138,$V$5:$V138,"Sub"))))</f>
        <v/>
      </c>
      <c r="B138" s="57" t="n"/>
      <c r="C138" s="58" t="n"/>
      <c r="D138" s="58" t="n"/>
      <c r="E138" s="59">
        <f>IF(N($AL138)&gt;0,INDEX(rIni_ADM,$AL138),"")</f>
        <v/>
      </c>
      <c r="F138" s="59">
        <f>IF(N($AL138)&gt;0,INDEX(rLim_ADM,$AL138),"")</f>
        <v/>
      </c>
      <c r="G138" s="59" t="n"/>
      <c r="H138" s="60" t="n"/>
      <c r="I138" s="60" t="n"/>
      <c r="J138" s="60" t="n"/>
      <c r="K138" s="60" t="n"/>
      <c r="L138" s="60" t="n"/>
      <c r="M138" s="61">
        <f>IF(NOT((COUNTA($B138:$D138)+COUNTA($G138:$L138)+COUNTA($Q138))&gt;0),"",IF(ISNUMBER($G138),1,IF(N($W138)&gt;0,AVERAGEIFS($X$5:$X$1000,$U$5:$U$1000,ROW(),$V$5:$V$1000,"Sub"),$X138)))</f>
        <v/>
      </c>
      <c r="N138" s="56">
        <f>IF($M138="","",IF($M138&gt;=1,"Completado",IF($M138&gt;0,"En curso","Pendiente")))</f>
        <v/>
      </c>
      <c r="O138" s="56">
        <f>IF(NOT((COUNTA($B138:$D138)+COUNTA($G138:$L138)+COUNTA($Q138))&gt;0),"",IF(ISNUMBER($G138),IF(AND(ISNUMBER($AN138),$G138&gt;$AN138),"Cumplida con "&amp;($G138-$AN138)&amp;IF($G138-$AN138=1," día"," días")&amp;" de retraso","Cumplida"),IF(N($M138)&gt;=1,"Cumplida",IF(NOT(ISNUMBER($AN138)),"Sin fecha límite",IF($AN138&lt;FechaRef,"Vencida hace "&amp;(FechaRef-$AN138)&amp;IF(FechaRef-$AN138=1," día"," días"),IF($AN138=FechaRef,"Vence hoy",IF($AN138-FechaRef&lt;=DiasAlerta,"Vence en "&amp;($AN138-FechaRef)&amp;IF($AN138-FechaRef=1," día"," días"),"En plazo")))))))</f>
        <v/>
      </c>
      <c r="P138" s="62" t="n"/>
      <c r="Q138" s="58" t="n"/>
      <c r="R138" s="63">
        <f>IF(NOT((COUNTA($B138:$D138)+COUNTA($G138:$L138)+COUNTA($Q138))&gt;0),"",IF((IF($C138="","Falta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",""))="","✔ OK","⚠ "&amp;LEFT(IF($C138="","Falta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",""),LEN(IF($C138="","Falta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",""))-3)))</f>
        <v/>
      </c>
      <c r="S138" s="64">
        <f>IF(NOT((COUNTA($B138:$D138)+COUNTA($G138:$L138)+COUNTA($Q138))&gt;0),"",IF(AND($V138="Sub",N($U138)&gt;0),IF(ISNUMBER(INDEX($AM$5:$AM$1000,$U138-4)),DATE(YEAR(INDEX($AM$5:$AM$1000,$U138-4)),MONTH(INDEX($AM$5:$AM$1000,$U138-4)),1),IF(ISNUMBER(INDEX($AN$5:$AN$1000,$U138-4)),DATE(YEAR(INDEX($AN$5:$AN$1000,$U138-4)),MONTH(INDEX($AN$5:$AN$1000,$U138-4)),1),MesCiclo)),IF(ISNUMBER($AM138),DATE(YEAR($AM138),MONTH($AM138),1),IF(ISNUMBER($AN138),DATE(YEAR($AN138),MONTH($AN138),1),MesCiclo))))</f>
        <v/>
      </c>
      <c r="T138" s="62">
        <f>IF(OR($S138="",$S138&lt;&gt;MesCiclo),"",COUNTIF($S$5:$S138,MesCiclo))</f>
        <v/>
      </c>
      <c r="U138" s="62">
        <f>IF($V138="","",IF($V138="Macro",ROW(),IFERROR(LOOKUP(2,1/($V$5:$V138="Macro"),ROW($V$5:$V138)),0)))</f>
        <v/>
      </c>
      <c r="V138" s="62">
        <f>IF(NOT((COUNTA($B138:$D138)+COUNTA($G138:$L138)+COUNTA($Q138))&gt;0),"",IF($B138="Subactividad","Sub","Macro"))</f>
        <v/>
      </c>
      <c r="W138" s="62">
        <f>IF($V138="Macro",COUNTIFS($U$5:$U$1000,ROW(),$V$5:$V$1000,"Sub"),"")</f>
        <v/>
      </c>
      <c r="X138" s="62">
        <f>IF($V138="","",IF(ISNUMBER($G138),1,IFERROR(LOOKUP(2,1/($I138:$L138&lt;&gt;""),$I138:$L138),0)))</f>
        <v/>
      </c>
      <c r="Y138" s="62">
        <f>IF($V138="","",IF(AND(ISNUMBER($G138),$G138&lt;=IF($S138=MesCiclo,InicioCiclo,$S138+MOD(2-WEEKDAY($S138),7))+6),1,IF(ISNUMBER($I138),$I138,0)))</f>
        <v/>
      </c>
      <c r="Z138" s="62">
        <f>IF($V138="","",IF(AND(ISNUMBER($G138),$G138&lt;=IF($S138=MesCiclo,InicioCiclo,$S138+MOD(2-WEEKDAY($S138),7))+13),1,IF(ISNUMBER($J138),$J138,$Y138)))</f>
        <v/>
      </c>
      <c r="AA138" s="62">
        <f>IF($V138="","",IF(AND(ISNUMBER($G138),$G138&lt;=IF($S138=MesCiclo,InicioCiclo,$S138+MOD(2-WEEKDAY($S138),7))+20),1,IF(ISNUMBER($K138),$K138,$Z138)))</f>
        <v/>
      </c>
      <c r="AB138" s="62">
        <f>IF($V138="","",IF(AND(ISNUMBER($G138),$G138&lt;=IF($S138=MesCiclo,InicioCiclo,$S138+MOD(2-WEEKDAY($S138),7))+27),1,IF(ISNUMBER($L138),$L138,$AA138)))</f>
        <v/>
      </c>
      <c r="AC138" s="62">
        <f>IF($V138="","",IF(AND(ISNUMBER($G138),$G138&lt;=IF($S138=MesCiclo,InicioCiclo,$S138+MOD(2-WEEKDAY($S138),7))+6),1,IF(N($W138)&gt;0,AVERAGEIFS($Y$5:$Y$1000,$U$5:$U$1000,ROW(),$V$5:$V$1000,"Sub"),$Y138)))</f>
        <v/>
      </c>
      <c r="AD138" s="62">
        <f>IF($V138="","",IF(AND(ISNUMBER($G138),$G138&lt;=IF($S138=MesCiclo,InicioCiclo,$S138+MOD(2-WEEKDAY($S138),7))+13),1,IF(N($W138)&gt;0,AVERAGEIFS($Z$5:$Z$1000,$U$5:$U$1000,ROW(),$V$5:$V$1000,"Sub"),$Z138)))</f>
        <v/>
      </c>
      <c r="AE138" s="62">
        <f>IF($V138="","",IF(AND(ISNUMBER($G138),$G138&lt;=IF($S138=MesCiclo,InicioCiclo,$S138+MOD(2-WEEKDAY($S138),7))+20),1,IF(N($W138)&gt;0,AVERAGEIFS($AA$5:$AA$1000,$U$5:$U$1000,ROW(),$V$5:$V$1000,"Sub"),$AA138)))</f>
        <v/>
      </c>
      <c r="AF138" s="62">
        <f>IF($V138="","",IF(AND(ISNUMBER($G138),$G138&lt;=IF($S138=MesCiclo,InicioCiclo,$S138+MOD(2-WEEKDAY($S138),7))+27),1,IF(N($W138)&gt;0,AVERAGEIFS($AB$5:$AB$1000,$U$5:$U$1000,ROW(),$V$5:$V$1000,"Sub"),$AB138)))</f>
        <v/>
      </c>
      <c r="AG138" s="62">
        <f>IF($V138&lt;&gt;"Macro","",IF(COUNTIFS($S$5:$S$1000,$S138,$V$5:$V$1000,"Macro",$H$5:$H$1000,"&gt;0")=0,1/COUNTIFS($S$5:$S$1000,$S138,$V$5:$V$1000,"Macro"),IF(AND(ISNUMBER($H138),N($H138)&gt;0),$H138,SUMIFS($H$5:$H$1000,$S$5:$S$1000,$S138,$V$5:$V$1000,"Macro")/COUNTIFS($S$5:$S$1000,$S138,$V$5:$V$1000,"Macro",$H$5:$H$1000,"&gt;0"))/(COUNTIFS($S$5:$S$1000,$S138,$V$5:$V$1000,"Macro")*SUMIFS($H$5:$H$1000,$S$5:$S$1000,$S138,$V$5:$V$1000,"Macro")/COUNTIFS($S$5:$S$1000,$S138,$V$5:$V$1000,"Macro",$H$5:$H$1000,"&gt;0"))))</f>
        <v/>
      </c>
      <c r="AH138" s="62" t="n"/>
      <c r="AI138" s="62" t="n"/>
      <c r="AJ138" s="62" t="n"/>
      <c r="AK138" s="62" t="n"/>
      <c r="AL138" s="62">
        <f>IF(LEFT($C138,11)="[Jefatura] ",IFERROR(MATCH("Riesgo Normativo|"&amp;MID($C138,12,500),rDname_ADM,0),0),"")</f>
        <v/>
      </c>
      <c r="AM138" s="62">
        <f>IF(N($AL138)&gt;0,INDEX(rIni_ADM,$AL138),IF(ISNUMBER($E138),$E138,""))</f>
        <v/>
      </c>
      <c r="AN138" s="62">
        <f>IF(N($AL138)&gt;0,INDEX(rLim_ADM,$AL138),IF(ISNUMBER($F138),$F138,""))</f>
        <v/>
      </c>
    </row>
    <row r="139">
      <c r="A139" s="56">
        <f>IF(NOT((COUNTA($B139:$D139)+COUNTA($G139:$L139)+COUNTA($Q139))&gt;0),"",IF($V139="Macro",COUNTIFS($V$5:$V139,"Macro",$S$5:$S139,$S139),IF(N($U139)=0,"?",COUNTIFS(INDEX($V$5:$V$1000,1):INDEX($V$5:$V$1000,$U139-4),"Macro",INDEX($S$5:$S$1000,1):INDEX($S$5:$S$1000,$U139-4),INDEX($S$5:$S$1000,$U139-4))&amp;"."&amp;COUNTIFS($U$5:$U139,$U139,$V$5:$V139,"Sub"))))</f>
        <v/>
      </c>
      <c r="B139" s="57" t="n"/>
      <c r="C139" s="58" t="n"/>
      <c r="D139" s="58" t="n"/>
      <c r="E139" s="59">
        <f>IF(N($AL139)&gt;0,INDEX(rIni_ADM,$AL139),"")</f>
        <v/>
      </c>
      <c r="F139" s="59">
        <f>IF(N($AL139)&gt;0,INDEX(rLim_ADM,$AL139),"")</f>
        <v/>
      </c>
      <c r="G139" s="59" t="n"/>
      <c r="H139" s="60" t="n"/>
      <c r="I139" s="60" t="n"/>
      <c r="J139" s="60" t="n"/>
      <c r="K139" s="60" t="n"/>
      <c r="L139" s="60" t="n"/>
      <c r="M139" s="61">
        <f>IF(NOT((COUNTA($B139:$D139)+COUNTA($G139:$L139)+COUNTA($Q139))&gt;0),"",IF(ISNUMBER($G139),1,IF(N($W139)&gt;0,AVERAGEIFS($X$5:$X$1000,$U$5:$U$1000,ROW(),$V$5:$V$1000,"Sub"),$X139)))</f>
        <v/>
      </c>
      <c r="N139" s="56">
        <f>IF($M139="","",IF($M139&gt;=1,"Completado",IF($M139&gt;0,"En curso","Pendiente")))</f>
        <v/>
      </c>
      <c r="O139" s="56">
        <f>IF(NOT((COUNTA($B139:$D139)+COUNTA($G139:$L139)+COUNTA($Q139))&gt;0),"",IF(ISNUMBER($G139),IF(AND(ISNUMBER($AN139),$G139&gt;$AN139),"Cumplida con "&amp;($G139-$AN139)&amp;IF($G139-$AN139=1," día"," días")&amp;" de retraso","Cumplida"),IF(N($M139)&gt;=1,"Cumplida",IF(NOT(ISNUMBER($AN139)),"Sin fecha límite",IF($AN139&lt;FechaRef,"Vencida hace "&amp;(FechaRef-$AN139)&amp;IF(FechaRef-$AN139=1," día"," días"),IF($AN139=FechaRef,"Vence hoy",IF($AN139-FechaRef&lt;=DiasAlerta,"Vence en "&amp;($AN139-FechaRef)&amp;IF($AN139-FechaRef=1," día"," días"),"En plazo")))))))</f>
        <v/>
      </c>
      <c r="P139" s="62" t="n"/>
      <c r="Q139" s="58" t="n"/>
      <c r="R139" s="63">
        <f>IF(NOT((COUNTA($B139:$D139)+COUNTA($G139:$L139)+COUNTA($Q139))&gt;0),"",IF((IF($C139="","Falta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",""))="","✔ OK","⚠ "&amp;LEFT(IF($C139="","Falta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",""),LEN(IF($C139="","Falta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",""))-3)))</f>
        <v/>
      </c>
      <c r="S139" s="64">
        <f>IF(NOT((COUNTA($B139:$D139)+COUNTA($G139:$L139)+COUNTA($Q139))&gt;0),"",IF(AND($V139="Sub",N($U139)&gt;0),IF(ISNUMBER(INDEX($AM$5:$AM$1000,$U139-4)),DATE(YEAR(INDEX($AM$5:$AM$1000,$U139-4)),MONTH(INDEX($AM$5:$AM$1000,$U139-4)),1),IF(ISNUMBER(INDEX($AN$5:$AN$1000,$U139-4)),DATE(YEAR(INDEX($AN$5:$AN$1000,$U139-4)),MONTH(INDEX($AN$5:$AN$1000,$U139-4)),1),MesCiclo)),IF(ISNUMBER($AM139),DATE(YEAR($AM139),MONTH($AM139),1),IF(ISNUMBER($AN139),DATE(YEAR($AN139),MONTH($AN139),1),MesCiclo))))</f>
        <v/>
      </c>
      <c r="T139" s="62">
        <f>IF(OR($S139="",$S139&lt;&gt;MesCiclo),"",COUNTIF($S$5:$S139,MesCiclo))</f>
        <v/>
      </c>
      <c r="U139" s="62">
        <f>IF($V139="","",IF($V139="Macro",ROW(),IFERROR(LOOKUP(2,1/($V$5:$V139="Macro"),ROW($V$5:$V139)),0)))</f>
        <v/>
      </c>
      <c r="V139" s="62">
        <f>IF(NOT((COUNTA($B139:$D139)+COUNTA($G139:$L139)+COUNTA($Q139))&gt;0),"",IF($B139="Subactividad","Sub","Macro"))</f>
        <v/>
      </c>
      <c r="W139" s="62">
        <f>IF($V139="Macro",COUNTIFS($U$5:$U$1000,ROW(),$V$5:$V$1000,"Sub"),"")</f>
        <v/>
      </c>
      <c r="X139" s="62">
        <f>IF($V139="","",IF(ISNUMBER($G139),1,IFERROR(LOOKUP(2,1/($I139:$L139&lt;&gt;""),$I139:$L139),0)))</f>
        <v/>
      </c>
      <c r="Y139" s="62">
        <f>IF($V139="","",IF(AND(ISNUMBER($G139),$G139&lt;=IF($S139=MesCiclo,InicioCiclo,$S139+MOD(2-WEEKDAY($S139),7))+6),1,IF(ISNUMBER($I139),$I139,0)))</f>
        <v/>
      </c>
      <c r="Z139" s="62">
        <f>IF($V139="","",IF(AND(ISNUMBER($G139),$G139&lt;=IF($S139=MesCiclo,InicioCiclo,$S139+MOD(2-WEEKDAY($S139),7))+13),1,IF(ISNUMBER($J139),$J139,$Y139)))</f>
        <v/>
      </c>
      <c r="AA139" s="62">
        <f>IF($V139="","",IF(AND(ISNUMBER($G139),$G139&lt;=IF($S139=MesCiclo,InicioCiclo,$S139+MOD(2-WEEKDAY($S139),7))+20),1,IF(ISNUMBER($K139),$K139,$Z139)))</f>
        <v/>
      </c>
      <c r="AB139" s="62">
        <f>IF($V139="","",IF(AND(ISNUMBER($G139),$G139&lt;=IF($S139=MesCiclo,InicioCiclo,$S139+MOD(2-WEEKDAY($S139),7))+27),1,IF(ISNUMBER($L139),$L139,$AA139)))</f>
        <v/>
      </c>
      <c r="AC139" s="62">
        <f>IF($V139="","",IF(AND(ISNUMBER($G139),$G139&lt;=IF($S139=MesCiclo,InicioCiclo,$S139+MOD(2-WEEKDAY($S139),7))+6),1,IF(N($W139)&gt;0,AVERAGEIFS($Y$5:$Y$1000,$U$5:$U$1000,ROW(),$V$5:$V$1000,"Sub"),$Y139)))</f>
        <v/>
      </c>
      <c r="AD139" s="62">
        <f>IF($V139="","",IF(AND(ISNUMBER($G139),$G139&lt;=IF($S139=MesCiclo,InicioCiclo,$S139+MOD(2-WEEKDAY($S139),7))+13),1,IF(N($W139)&gt;0,AVERAGEIFS($Z$5:$Z$1000,$U$5:$U$1000,ROW(),$V$5:$V$1000,"Sub"),$Z139)))</f>
        <v/>
      </c>
      <c r="AE139" s="62">
        <f>IF($V139="","",IF(AND(ISNUMBER($G139),$G139&lt;=IF($S139=MesCiclo,InicioCiclo,$S139+MOD(2-WEEKDAY($S139),7))+20),1,IF(N($W139)&gt;0,AVERAGEIFS($AA$5:$AA$1000,$U$5:$U$1000,ROW(),$V$5:$V$1000,"Sub"),$AA139)))</f>
        <v/>
      </c>
      <c r="AF139" s="62">
        <f>IF($V139="","",IF(AND(ISNUMBER($G139),$G139&lt;=IF($S139=MesCiclo,InicioCiclo,$S139+MOD(2-WEEKDAY($S139),7))+27),1,IF(N($W139)&gt;0,AVERAGEIFS($AB$5:$AB$1000,$U$5:$U$1000,ROW(),$V$5:$V$1000,"Sub"),$AB139)))</f>
        <v/>
      </c>
      <c r="AG139" s="62">
        <f>IF($V139&lt;&gt;"Macro","",IF(COUNTIFS($S$5:$S$1000,$S139,$V$5:$V$1000,"Macro",$H$5:$H$1000,"&gt;0")=0,1/COUNTIFS($S$5:$S$1000,$S139,$V$5:$V$1000,"Macro"),IF(AND(ISNUMBER($H139),N($H139)&gt;0),$H139,SUMIFS($H$5:$H$1000,$S$5:$S$1000,$S139,$V$5:$V$1000,"Macro")/COUNTIFS($S$5:$S$1000,$S139,$V$5:$V$1000,"Macro",$H$5:$H$1000,"&gt;0"))/(COUNTIFS($S$5:$S$1000,$S139,$V$5:$V$1000,"Macro")*SUMIFS($H$5:$H$1000,$S$5:$S$1000,$S139,$V$5:$V$1000,"Macro")/COUNTIFS($S$5:$S$1000,$S139,$V$5:$V$1000,"Macro",$H$5:$H$1000,"&gt;0"))))</f>
        <v/>
      </c>
      <c r="AH139" s="62" t="n"/>
      <c r="AI139" s="62" t="n"/>
      <c r="AJ139" s="62" t="n"/>
      <c r="AK139" s="62" t="n"/>
      <c r="AL139" s="62">
        <f>IF(LEFT($C139,11)="[Jefatura] ",IFERROR(MATCH("Riesgo Normativo|"&amp;MID($C139,12,500),rDname_ADM,0),0),"")</f>
        <v/>
      </c>
      <c r="AM139" s="62">
        <f>IF(N($AL139)&gt;0,INDEX(rIni_ADM,$AL139),IF(ISNUMBER($E139),$E139,""))</f>
        <v/>
      </c>
      <c r="AN139" s="62">
        <f>IF(N($AL139)&gt;0,INDEX(rLim_ADM,$AL139),IF(ISNUMBER($F139),$F139,""))</f>
        <v/>
      </c>
    </row>
    <row r="140">
      <c r="A140" s="56">
        <f>IF(NOT((COUNTA($B140:$D140)+COUNTA($G140:$L140)+COUNTA($Q140))&gt;0),"",IF($V140="Macro",COUNTIFS($V$5:$V140,"Macro",$S$5:$S140,$S140),IF(N($U140)=0,"?",COUNTIFS(INDEX($V$5:$V$1000,1):INDEX($V$5:$V$1000,$U140-4),"Macro",INDEX($S$5:$S$1000,1):INDEX($S$5:$S$1000,$U140-4),INDEX($S$5:$S$1000,$U140-4))&amp;"."&amp;COUNTIFS($U$5:$U140,$U140,$V$5:$V140,"Sub"))))</f>
        <v/>
      </c>
      <c r="B140" s="57" t="n"/>
      <c r="C140" s="58" t="n"/>
      <c r="D140" s="58" t="n"/>
      <c r="E140" s="59">
        <f>IF(N($AL140)&gt;0,INDEX(rIni_ADM,$AL140),"")</f>
        <v/>
      </c>
      <c r="F140" s="59">
        <f>IF(N($AL140)&gt;0,INDEX(rLim_ADM,$AL140),"")</f>
        <v/>
      </c>
      <c r="G140" s="59" t="n"/>
      <c r="H140" s="60" t="n"/>
      <c r="I140" s="60" t="n"/>
      <c r="J140" s="60" t="n"/>
      <c r="K140" s="60" t="n"/>
      <c r="L140" s="60" t="n"/>
      <c r="M140" s="61">
        <f>IF(NOT((COUNTA($B140:$D140)+COUNTA($G140:$L140)+COUNTA($Q140))&gt;0),"",IF(ISNUMBER($G140),1,IF(N($W140)&gt;0,AVERAGEIFS($X$5:$X$1000,$U$5:$U$1000,ROW(),$V$5:$V$1000,"Sub"),$X140)))</f>
        <v/>
      </c>
      <c r="N140" s="56">
        <f>IF($M140="","",IF($M140&gt;=1,"Completado",IF($M140&gt;0,"En curso","Pendiente")))</f>
        <v/>
      </c>
      <c r="O140" s="56">
        <f>IF(NOT((COUNTA($B140:$D140)+COUNTA($G140:$L140)+COUNTA($Q140))&gt;0),"",IF(ISNUMBER($G140),IF(AND(ISNUMBER($AN140),$G140&gt;$AN140),"Cumplida con "&amp;($G140-$AN140)&amp;IF($G140-$AN140=1," día"," días")&amp;" de retraso","Cumplida"),IF(N($M140)&gt;=1,"Cumplida",IF(NOT(ISNUMBER($AN140)),"Sin fecha límite",IF($AN140&lt;FechaRef,"Vencida hace "&amp;(FechaRef-$AN140)&amp;IF(FechaRef-$AN140=1," día"," días"),IF($AN140=FechaRef,"Vence hoy",IF($AN140-FechaRef&lt;=DiasAlerta,"Vence en "&amp;($AN140-FechaRef)&amp;IF($AN140-FechaRef=1," día"," días"),"En plazo")))))))</f>
        <v/>
      </c>
      <c r="P140" s="62" t="n"/>
      <c r="Q140" s="58" t="n"/>
      <c r="R140" s="63">
        <f>IF(NOT((COUNTA($B140:$D140)+COUNTA($G140:$L140)+COUNTA($Q140))&gt;0),"",IF((IF($C140="","Falta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",""))="","✔ OK","⚠ "&amp;LEFT(IF($C140="","Falta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",""),LEN(IF($C140="","Falta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",""))-3)))</f>
        <v/>
      </c>
      <c r="S140" s="64">
        <f>IF(NOT((COUNTA($B140:$D140)+COUNTA($G140:$L140)+COUNTA($Q140))&gt;0),"",IF(AND($V140="Sub",N($U140)&gt;0),IF(ISNUMBER(INDEX($AM$5:$AM$1000,$U140-4)),DATE(YEAR(INDEX($AM$5:$AM$1000,$U140-4)),MONTH(INDEX($AM$5:$AM$1000,$U140-4)),1),IF(ISNUMBER(INDEX($AN$5:$AN$1000,$U140-4)),DATE(YEAR(INDEX($AN$5:$AN$1000,$U140-4)),MONTH(INDEX($AN$5:$AN$1000,$U140-4)),1),MesCiclo)),IF(ISNUMBER($AM140),DATE(YEAR($AM140),MONTH($AM140),1),IF(ISNUMBER($AN140),DATE(YEAR($AN140),MONTH($AN140),1),MesCiclo))))</f>
        <v/>
      </c>
      <c r="T140" s="62">
        <f>IF(OR($S140="",$S140&lt;&gt;MesCiclo),"",COUNTIF($S$5:$S140,MesCiclo))</f>
        <v/>
      </c>
      <c r="U140" s="62">
        <f>IF($V140="","",IF($V140="Macro",ROW(),IFERROR(LOOKUP(2,1/($V$5:$V140="Macro"),ROW($V$5:$V140)),0)))</f>
        <v/>
      </c>
      <c r="V140" s="62">
        <f>IF(NOT((COUNTA($B140:$D140)+COUNTA($G140:$L140)+COUNTA($Q140))&gt;0),"",IF($B140="Subactividad","Sub","Macro"))</f>
        <v/>
      </c>
      <c r="W140" s="62">
        <f>IF($V140="Macro",COUNTIFS($U$5:$U$1000,ROW(),$V$5:$V$1000,"Sub"),"")</f>
        <v/>
      </c>
      <c r="X140" s="62">
        <f>IF($V140="","",IF(ISNUMBER($G140),1,IFERROR(LOOKUP(2,1/($I140:$L140&lt;&gt;""),$I140:$L140),0)))</f>
        <v/>
      </c>
      <c r="Y140" s="62">
        <f>IF($V140="","",IF(AND(ISNUMBER($G140),$G140&lt;=IF($S140=MesCiclo,InicioCiclo,$S140+MOD(2-WEEKDAY($S140),7))+6),1,IF(ISNUMBER($I140),$I140,0)))</f>
        <v/>
      </c>
      <c r="Z140" s="62">
        <f>IF($V140="","",IF(AND(ISNUMBER($G140),$G140&lt;=IF($S140=MesCiclo,InicioCiclo,$S140+MOD(2-WEEKDAY($S140),7))+13),1,IF(ISNUMBER($J140),$J140,$Y140)))</f>
        <v/>
      </c>
      <c r="AA140" s="62">
        <f>IF($V140="","",IF(AND(ISNUMBER($G140),$G140&lt;=IF($S140=MesCiclo,InicioCiclo,$S140+MOD(2-WEEKDAY($S140),7))+20),1,IF(ISNUMBER($K140),$K140,$Z140)))</f>
        <v/>
      </c>
      <c r="AB140" s="62">
        <f>IF($V140="","",IF(AND(ISNUMBER($G140),$G140&lt;=IF($S140=MesCiclo,InicioCiclo,$S140+MOD(2-WEEKDAY($S140),7))+27),1,IF(ISNUMBER($L140),$L140,$AA140)))</f>
        <v/>
      </c>
      <c r="AC140" s="62">
        <f>IF($V140="","",IF(AND(ISNUMBER($G140),$G140&lt;=IF($S140=MesCiclo,InicioCiclo,$S140+MOD(2-WEEKDAY($S140),7))+6),1,IF(N($W140)&gt;0,AVERAGEIFS($Y$5:$Y$1000,$U$5:$U$1000,ROW(),$V$5:$V$1000,"Sub"),$Y140)))</f>
        <v/>
      </c>
      <c r="AD140" s="62">
        <f>IF($V140="","",IF(AND(ISNUMBER($G140),$G140&lt;=IF($S140=MesCiclo,InicioCiclo,$S140+MOD(2-WEEKDAY($S140),7))+13),1,IF(N($W140)&gt;0,AVERAGEIFS($Z$5:$Z$1000,$U$5:$U$1000,ROW(),$V$5:$V$1000,"Sub"),$Z140)))</f>
        <v/>
      </c>
      <c r="AE140" s="62">
        <f>IF($V140="","",IF(AND(ISNUMBER($G140),$G140&lt;=IF($S140=MesCiclo,InicioCiclo,$S140+MOD(2-WEEKDAY($S140),7))+20),1,IF(N($W140)&gt;0,AVERAGEIFS($AA$5:$AA$1000,$U$5:$U$1000,ROW(),$V$5:$V$1000,"Sub"),$AA140)))</f>
        <v/>
      </c>
      <c r="AF140" s="62">
        <f>IF($V140="","",IF(AND(ISNUMBER($G140),$G140&lt;=IF($S140=MesCiclo,InicioCiclo,$S140+MOD(2-WEEKDAY($S140),7))+27),1,IF(N($W140)&gt;0,AVERAGEIFS($AB$5:$AB$1000,$U$5:$U$1000,ROW(),$V$5:$V$1000,"Sub"),$AB140)))</f>
        <v/>
      </c>
      <c r="AG140" s="62">
        <f>IF($V140&lt;&gt;"Macro","",IF(COUNTIFS($S$5:$S$1000,$S140,$V$5:$V$1000,"Macro",$H$5:$H$1000,"&gt;0")=0,1/COUNTIFS($S$5:$S$1000,$S140,$V$5:$V$1000,"Macro"),IF(AND(ISNUMBER($H140),N($H140)&gt;0),$H140,SUMIFS($H$5:$H$1000,$S$5:$S$1000,$S140,$V$5:$V$1000,"Macro")/COUNTIFS($S$5:$S$1000,$S140,$V$5:$V$1000,"Macro",$H$5:$H$1000,"&gt;0"))/(COUNTIFS($S$5:$S$1000,$S140,$V$5:$V$1000,"Macro")*SUMIFS($H$5:$H$1000,$S$5:$S$1000,$S140,$V$5:$V$1000,"Macro")/COUNTIFS($S$5:$S$1000,$S140,$V$5:$V$1000,"Macro",$H$5:$H$1000,"&gt;0"))))</f>
        <v/>
      </c>
      <c r="AH140" s="62" t="n"/>
      <c r="AI140" s="62" t="n"/>
      <c r="AJ140" s="62" t="n"/>
      <c r="AK140" s="62" t="n"/>
      <c r="AL140" s="62">
        <f>IF(LEFT($C140,11)="[Jefatura] ",IFERROR(MATCH("Riesgo Normativo|"&amp;MID($C140,12,500),rDname_ADM,0),0),"")</f>
        <v/>
      </c>
      <c r="AM140" s="62">
        <f>IF(N($AL140)&gt;0,INDEX(rIni_ADM,$AL140),IF(ISNUMBER($E140),$E140,""))</f>
        <v/>
      </c>
      <c r="AN140" s="62">
        <f>IF(N($AL140)&gt;0,INDEX(rLim_ADM,$AL140),IF(ISNUMBER($F140),$F140,""))</f>
        <v/>
      </c>
    </row>
    <row r="141">
      <c r="A141" s="56">
        <f>IF(NOT((COUNTA($B141:$D141)+COUNTA($G141:$L141)+COUNTA($Q141))&gt;0),"",IF($V141="Macro",COUNTIFS($V$5:$V141,"Macro",$S$5:$S141,$S141),IF(N($U141)=0,"?",COUNTIFS(INDEX($V$5:$V$1000,1):INDEX($V$5:$V$1000,$U141-4),"Macro",INDEX($S$5:$S$1000,1):INDEX($S$5:$S$1000,$U141-4),INDEX($S$5:$S$1000,$U141-4))&amp;"."&amp;COUNTIFS($U$5:$U141,$U141,$V$5:$V141,"Sub"))))</f>
        <v/>
      </c>
      <c r="B141" s="57" t="n"/>
      <c r="C141" s="58" t="n"/>
      <c r="D141" s="58" t="n"/>
      <c r="E141" s="59">
        <f>IF(N($AL141)&gt;0,INDEX(rIni_ADM,$AL141),"")</f>
        <v/>
      </c>
      <c r="F141" s="59">
        <f>IF(N($AL141)&gt;0,INDEX(rLim_ADM,$AL141),"")</f>
        <v/>
      </c>
      <c r="G141" s="59" t="n"/>
      <c r="H141" s="60" t="n"/>
      <c r="I141" s="60" t="n"/>
      <c r="J141" s="60" t="n"/>
      <c r="K141" s="60" t="n"/>
      <c r="L141" s="60" t="n"/>
      <c r="M141" s="61">
        <f>IF(NOT((COUNTA($B141:$D141)+COUNTA($G141:$L141)+COUNTA($Q141))&gt;0),"",IF(ISNUMBER($G141),1,IF(N($W141)&gt;0,AVERAGEIFS($X$5:$X$1000,$U$5:$U$1000,ROW(),$V$5:$V$1000,"Sub"),$X141)))</f>
        <v/>
      </c>
      <c r="N141" s="56">
        <f>IF($M141="","",IF($M141&gt;=1,"Completado",IF($M141&gt;0,"En curso","Pendiente")))</f>
        <v/>
      </c>
      <c r="O141" s="56">
        <f>IF(NOT((COUNTA($B141:$D141)+COUNTA($G141:$L141)+COUNTA($Q141))&gt;0),"",IF(ISNUMBER($G141),IF(AND(ISNUMBER($AN141),$G141&gt;$AN141),"Cumplida con "&amp;($G141-$AN141)&amp;IF($G141-$AN141=1," día"," días")&amp;" de retraso","Cumplida"),IF(N($M141)&gt;=1,"Cumplida",IF(NOT(ISNUMBER($AN141)),"Sin fecha límite",IF($AN141&lt;FechaRef,"Vencida hace "&amp;(FechaRef-$AN141)&amp;IF(FechaRef-$AN141=1," día"," días"),IF($AN141=FechaRef,"Vence hoy",IF($AN141-FechaRef&lt;=DiasAlerta,"Vence en "&amp;($AN141-FechaRef)&amp;IF($AN141-FechaRef=1," día"," días"),"En plazo")))))))</f>
        <v/>
      </c>
      <c r="P141" s="62" t="n"/>
      <c r="Q141" s="58" t="n"/>
      <c r="R141" s="63">
        <f>IF(NOT((COUNTA($B141:$D141)+COUNTA($G141:$L141)+COUNTA($Q141))&gt;0),"",IF((IF($C141="","Falta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",""))="","✔ OK","⚠ "&amp;LEFT(IF($C141="","Falta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",""),LEN(IF($C141="","Falta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",""))-3)))</f>
        <v/>
      </c>
      <c r="S141" s="64">
        <f>IF(NOT((COUNTA($B141:$D141)+COUNTA($G141:$L141)+COUNTA($Q141))&gt;0),"",IF(AND($V141="Sub",N($U141)&gt;0),IF(ISNUMBER(INDEX($AM$5:$AM$1000,$U141-4)),DATE(YEAR(INDEX($AM$5:$AM$1000,$U141-4)),MONTH(INDEX($AM$5:$AM$1000,$U141-4)),1),IF(ISNUMBER(INDEX($AN$5:$AN$1000,$U141-4)),DATE(YEAR(INDEX($AN$5:$AN$1000,$U141-4)),MONTH(INDEX($AN$5:$AN$1000,$U141-4)),1),MesCiclo)),IF(ISNUMBER($AM141),DATE(YEAR($AM141),MONTH($AM141),1),IF(ISNUMBER($AN141),DATE(YEAR($AN141),MONTH($AN141),1),MesCiclo))))</f>
        <v/>
      </c>
      <c r="T141" s="62">
        <f>IF(OR($S141="",$S141&lt;&gt;MesCiclo),"",COUNTIF($S$5:$S141,MesCiclo))</f>
        <v/>
      </c>
      <c r="U141" s="62">
        <f>IF($V141="","",IF($V141="Macro",ROW(),IFERROR(LOOKUP(2,1/($V$5:$V141="Macro"),ROW($V$5:$V141)),0)))</f>
        <v/>
      </c>
      <c r="V141" s="62">
        <f>IF(NOT((COUNTA($B141:$D141)+COUNTA($G141:$L141)+COUNTA($Q141))&gt;0),"",IF($B141="Subactividad","Sub","Macro"))</f>
        <v/>
      </c>
      <c r="W141" s="62">
        <f>IF($V141="Macro",COUNTIFS($U$5:$U$1000,ROW(),$V$5:$V$1000,"Sub"),"")</f>
        <v/>
      </c>
      <c r="X141" s="62">
        <f>IF($V141="","",IF(ISNUMBER($G141),1,IFERROR(LOOKUP(2,1/($I141:$L141&lt;&gt;""),$I141:$L141),0)))</f>
        <v/>
      </c>
      <c r="Y141" s="62">
        <f>IF($V141="","",IF(AND(ISNUMBER($G141),$G141&lt;=IF($S141=MesCiclo,InicioCiclo,$S141+MOD(2-WEEKDAY($S141),7))+6),1,IF(ISNUMBER($I141),$I141,0)))</f>
        <v/>
      </c>
      <c r="Z141" s="62">
        <f>IF($V141="","",IF(AND(ISNUMBER($G141),$G141&lt;=IF($S141=MesCiclo,InicioCiclo,$S141+MOD(2-WEEKDAY($S141),7))+13),1,IF(ISNUMBER($J141),$J141,$Y141)))</f>
        <v/>
      </c>
      <c r="AA141" s="62">
        <f>IF($V141="","",IF(AND(ISNUMBER($G141),$G141&lt;=IF($S141=MesCiclo,InicioCiclo,$S141+MOD(2-WEEKDAY($S141),7))+20),1,IF(ISNUMBER($K141),$K141,$Z141)))</f>
        <v/>
      </c>
      <c r="AB141" s="62">
        <f>IF($V141="","",IF(AND(ISNUMBER($G141),$G141&lt;=IF($S141=MesCiclo,InicioCiclo,$S141+MOD(2-WEEKDAY($S141),7))+27),1,IF(ISNUMBER($L141),$L141,$AA141)))</f>
        <v/>
      </c>
      <c r="AC141" s="62">
        <f>IF($V141="","",IF(AND(ISNUMBER($G141),$G141&lt;=IF($S141=MesCiclo,InicioCiclo,$S141+MOD(2-WEEKDAY($S141),7))+6),1,IF(N($W141)&gt;0,AVERAGEIFS($Y$5:$Y$1000,$U$5:$U$1000,ROW(),$V$5:$V$1000,"Sub"),$Y141)))</f>
        <v/>
      </c>
      <c r="AD141" s="62">
        <f>IF($V141="","",IF(AND(ISNUMBER($G141),$G141&lt;=IF($S141=MesCiclo,InicioCiclo,$S141+MOD(2-WEEKDAY($S141),7))+13),1,IF(N($W141)&gt;0,AVERAGEIFS($Z$5:$Z$1000,$U$5:$U$1000,ROW(),$V$5:$V$1000,"Sub"),$Z141)))</f>
        <v/>
      </c>
      <c r="AE141" s="62">
        <f>IF($V141="","",IF(AND(ISNUMBER($G141),$G141&lt;=IF($S141=MesCiclo,InicioCiclo,$S141+MOD(2-WEEKDAY($S141),7))+20),1,IF(N($W141)&gt;0,AVERAGEIFS($AA$5:$AA$1000,$U$5:$U$1000,ROW(),$V$5:$V$1000,"Sub"),$AA141)))</f>
        <v/>
      </c>
      <c r="AF141" s="62">
        <f>IF($V141="","",IF(AND(ISNUMBER($G141),$G141&lt;=IF($S141=MesCiclo,InicioCiclo,$S141+MOD(2-WEEKDAY($S141),7))+27),1,IF(N($W141)&gt;0,AVERAGEIFS($AB$5:$AB$1000,$U$5:$U$1000,ROW(),$V$5:$V$1000,"Sub"),$AB141)))</f>
        <v/>
      </c>
      <c r="AG141" s="62">
        <f>IF($V141&lt;&gt;"Macro","",IF(COUNTIFS($S$5:$S$1000,$S141,$V$5:$V$1000,"Macro",$H$5:$H$1000,"&gt;0")=0,1/COUNTIFS($S$5:$S$1000,$S141,$V$5:$V$1000,"Macro"),IF(AND(ISNUMBER($H141),N($H141)&gt;0),$H141,SUMIFS($H$5:$H$1000,$S$5:$S$1000,$S141,$V$5:$V$1000,"Macro")/COUNTIFS($S$5:$S$1000,$S141,$V$5:$V$1000,"Macro",$H$5:$H$1000,"&gt;0"))/(COUNTIFS($S$5:$S$1000,$S141,$V$5:$V$1000,"Macro")*SUMIFS($H$5:$H$1000,$S$5:$S$1000,$S141,$V$5:$V$1000,"Macro")/COUNTIFS($S$5:$S$1000,$S141,$V$5:$V$1000,"Macro",$H$5:$H$1000,"&gt;0"))))</f>
        <v/>
      </c>
      <c r="AH141" s="62" t="n"/>
      <c r="AI141" s="62" t="n"/>
      <c r="AJ141" s="62" t="n"/>
      <c r="AK141" s="62" t="n"/>
      <c r="AL141" s="62">
        <f>IF(LEFT($C141,11)="[Jefatura] ",IFERROR(MATCH("Riesgo Normativo|"&amp;MID($C141,12,500),rDname_ADM,0),0),"")</f>
        <v/>
      </c>
      <c r="AM141" s="62">
        <f>IF(N($AL141)&gt;0,INDEX(rIni_ADM,$AL141),IF(ISNUMBER($E141),$E141,""))</f>
        <v/>
      </c>
      <c r="AN141" s="62">
        <f>IF(N($AL141)&gt;0,INDEX(rLim_ADM,$AL141),IF(ISNUMBER($F141),$F141,""))</f>
        <v/>
      </c>
    </row>
    <row r="142">
      <c r="A142" s="56">
        <f>IF(NOT((COUNTA($B142:$D142)+COUNTA($G142:$L142)+COUNTA($Q142))&gt;0),"",IF($V142="Macro",COUNTIFS($V$5:$V142,"Macro",$S$5:$S142,$S142),IF(N($U142)=0,"?",COUNTIFS(INDEX($V$5:$V$1000,1):INDEX($V$5:$V$1000,$U142-4),"Macro",INDEX($S$5:$S$1000,1):INDEX($S$5:$S$1000,$U142-4),INDEX($S$5:$S$1000,$U142-4))&amp;"."&amp;COUNTIFS($U$5:$U142,$U142,$V$5:$V142,"Sub"))))</f>
        <v/>
      </c>
      <c r="B142" s="57" t="n"/>
      <c r="C142" s="58" t="n"/>
      <c r="D142" s="58" t="n"/>
      <c r="E142" s="59">
        <f>IF(N($AL142)&gt;0,INDEX(rIni_ADM,$AL142),"")</f>
        <v/>
      </c>
      <c r="F142" s="59">
        <f>IF(N($AL142)&gt;0,INDEX(rLim_ADM,$AL142),"")</f>
        <v/>
      </c>
      <c r="G142" s="59" t="n"/>
      <c r="H142" s="60" t="n"/>
      <c r="I142" s="60" t="n"/>
      <c r="J142" s="60" t="n"/>
      <c r="K142" s="60" t="n"/>
      <c r="L142" s="60" t="n"/>
      <c r="M142" s="61">
        <f>IF(NOT((COUNTA($B142:$D142)+COUNTA($G142:$L142)+COUNTA($Q142))&gt;0),"",IF(ISNUMBER($G142),1,IF(N($W142)&gt;0,AVERAGEIFS($X$5:$X$1000,$U$5:$U$1000,ROW(),$V$5:$V$1000,"Sub"),$X142)))</f>
        <v/>
      </c>
      <c r="N142" s="56">
        <f>IF($M142="","",IF($M142&gt;=1,"Completado",IF($M142&gt;0,"En curso","Pendiente")))</f>
        <v/>
      </c>
      <c r="O142" s="56">
        <f>IF(NOT((COUNTA($B142:$D142)+COUNTA($G142:$L142)+COUNTA($Q142))&gt;0),"",IF(ISNUMBER($G142),IF(AND(ISNUMBER($AN142),$G142&gt;$AN142),"Cumplida con "&amp;($G142-$AN142)&amp;IF($G142-$AN142=1," día"," días")&amp;" de retraso","Cumplida"),IF(N($M142)&gt;=1,"Cumplida",IF(NOT(ISNUMBER($AN142)),"Sin fecha límite",IF($AN142&lt;FechaRef,"Vencida hace "&amp;(FechaRef-$AN142)&amp;IF(FechaRef-$AN142=1," día"," días"),IF($AN142=FechaRef,"Vence hoy",IF($AN142-FechaRef&lt;=DiasAlerta,"Vence en "&amp;($AN142-FechaRef)&amp;IF($AN142-FechaRef=1," día"," días"),"En plazo")))))))</f>
        <v/>
      </c>
      <c r="P142" s="62" t="n"/>
      <c r="Q142" s="58" t="n"/>
      <c r="R142" s="63">
        <f>IF(NOT((COUNTA($B142:$D142)+COUNTA($G142:$L142)+COUNTA($Q142))&gt;0),"",IF((IF($C142="","Falta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",""))="","✔ OK","⚠ "&amp;LEFT(IF($C142="","Falta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",""),LEN(IF($C142="","Falta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",""))-3)))</f>
        <v/>
      </c>
      <c r="S142" s="64">
        <f>IF(NOT((COUNTA($B142:$D142)+COUNTA($G142:$L142)+COUNTA($Q142))&gt;0),"",IF(AND($V142="Sub",N($U142)&gt;0),IF(ISNUMBER(INDEX($AM$5:$AM$1000,$U142-4)),DATE(YEAR(INDEX($AM$5:$AM$1000,$U142-4)),MONTH(INDEX($AM$5:$AM$1000,$U142-4)),1),IF(ISNUMBER(INDEX($AN$5:$AN$1000,$U142-4)),DATE(YEAR(INDEX($AN$5:$AN$1000,$U142-4)),MONTH(INDEX($AN$5:$AN$1000,$U142-4)),1),MesCiclo)),IF(ISNUMBER($AM142),DATE(YEAR($AM142),MONTH($AM142),1),IF(ISNUMBER($AN142),DATE(YEAR($AN142),MONTH($AN142),1),MesCiclo))))</f>
        <v/>
      </c>
      <c r="T142" s="62">
        <f>IF(OR($S142="",$S142&lt;&gt;MesCiclo),"",COUNTIF($S$5:$S142,MesCiclo))</f>
        <v/>
      </c>
      <c r="U142" s="62">
        <f>IF($V142="","",IF($V142="Macro",ROW(),IFERROR(LOOKUP(2,1/($V$5:$V142="Macro"),ROW($V$5:$V142)),0)))</f>
        <v/>
      </c>
      <c r="V142" s="62">
        <f>IF(NOT((COUNTA($B142:$D142)+COUNTA($G142:$L142)+COUNTA($Q142))&gt;0),"",IF($B142="Subactividad","Sub","Macro"))</f>
        <v/>
      </c>
      <c r="W142" s="62">
        <f>IF($V142="Macro",COUNTIFS($U$5:$U$1000,ROW(),$V$5:$V$1000,"Sub"),"")</f>
        <v/>
      </c>
      <c r="X142" s="62">
        <f>IF($V142="","",IF(ISNUMBER($G142),1,IFERROR(LOOKUP(2,1/($I142:$L142&lt;&gt;""),$I142:$L142),0)))</f>
        <v/>
      </c>
      <c r="Y142" s="62">
        <f>IF($V142="","",IF(AND(ISNUMBER($G142),$G142&lt;=IF($S142=MesCiclo,InicioCiclo,$S142+MOD(2-WEEKDAY($S142),7))+6),1,IF(ISNUMBER($I142),$I142,0)))</f>
        <v/>
      </c>
      <c r="Z142" s="62">
        <f>IF($V142="","",IF(AND(ISNUMBER($G142),$G142&lt;=IF($S142=MesCiclo,InicioCiclo,$S142+MOD(2-WEEKDAY($S142),7))+13),1,IF(ISNUMBER($J142),$J142,$Y142)))</f>
        <v/>
      </c>
      <c r="AA142" s="62">
        <f>IF($V142="","",IF(AND(ISNUMBER($G142),$G142&lt;=IF($S142=MesCiclo,InicioCiclo,$S142+MOD(2-WEEKDAY($S142),7))+20),1,IF(ISNUMBER($K142),$K142,$Z142)))</f>
        <v/>
      </c>
      <c r="AB142" s="62">
        <f>IF($V142="","",IF(AND(ISNUMBER($G142),$G142&lt;=IF($S142=MesCiclo,InicioCiclo,$S142+MOD(2-WEEKDAY($S142),7))+27),1,IF(ISNUMBER($L142),$L142,$AA142)))</f>
        <v/>
      </c>
      <c r="AC142" s="62">
        <f>IF($V142="","",IF(AND(ISNUMBER($G142),$G142&lt;=IF($S142=MesCiclo,InicioCiclo,$S142+MOD(2-WEEKDAY($S142),7))+6),1,IF(N($W142)&gt;0,AVERAGEIFS($Y$5:$Y$1000,$U$5:$U$1000,ROW(),$V$5:$V$1000,"Sub"),$Y142)))</f>
        <v/>
      </c>
      <c r="AD142" s="62">
        <f>IF($V142="","",IF(AND(ISNUMBER($G142),$G142&lt;=IF($S142=MesCiclo,InicioCiclo,$S142+MOD(2-WEEKDAY($S142),7))+13),1,IF(N($W142)&gt;0,AVERAGEIFS($Z$5:$Z$1000,$U$5:$U$1000,ROW(),$V$5:$V$1000,"Sub"),$Z142)))</f>
        <v/>
      </c>
      <c r="AE142" s="62">
        <f>IF($V142="","",IF(AND(ISNUMBER($G142),$G142&lt;=IF($S142=MesCiclo,InicioCiclo,$S142+MOD(2-WEEKDAY($S142),7))+20),1,IF(N($W142)&gt;0,AVERAGEIFS($AA$5:$AA$1000,$U$5:$U$1000,ROW(),$V$5:$V$1000,"Sub"),$AA142)))</f>
        <v/>
      </c>
      <c r="AF142" s="62">
        <f>IF($V142="","",IF(AND(ISNUMBER($G142),$G142&lt;=IF($S142=MesCiclo,InicioCiclo,$S142+MOD(2-WEEKDAY($S142),7))+27),1,IF(N($W142)&gt;0,AVERAGEIFS($AB$5:$AB$1000,$U$5:$U$1000,ROW(),$V$5:$V$1000,"Sub"),$AB142)))</f>
        <v/>
      </c>
      <c r="AG142" s="62">
        <f>IF($V142&lt;&gt;"Macro","",IF(COUNTIFS($S$5:$S$1000,$S142,$V$5:$V$1000,"Macro",$H$5:$H$1000,"&gt;0")=0,1/COUNTIFS($S$5:$S$1000,$S142,$V$5:$V$1000,"Macro"),IF(AND(ISNUMBER($H142),N($H142)&gt;0),$H142,SUMIFS($H$5:$H$1000,$S$5:$S$1000,$S142,$V$5:$V$1000,"Macro")/COUNTIFS($S$5:$S$1000,$S142,$V$5:$V$1000,"Macro",$H$5:$H$1000,"&gt;0"))/(COUNTIFS($S$5:$S$1000,$S142,$V$5:$V$1000,"Macro")*SUMIFS($H$5:$H$1000,$S$5:$S$1000,$S142,$V$5:$V$1000,"Macro")/COUNTIFS($S$5:$S$1000,$S142,$V$5:$V$1000,"Macro",$H$5:$H$1000,"&gt;0"))))</f>
        <v/>
      </c>
      <c r="AH142" s="62" t="n"/>
      <c r="AI142" s="62" t="n"/>
      <c r="AJ142" s="62" t="n"/>
      <c r="AK142" s="62" t="n"/>
      <c r="AL142" s="62">
        <f>IF(LEFT($C142,11)="[Jefatura] ",IFERROR(MATCH("Riesgo Normativo|"&amp;MID($C142,12,500),rDname_ADM,0),0),"")</f>
        <v/>
      </c>
      <c r="AM142" s="62">
        <f>IF(N($AL142)&gt;0,INDEX(rIni_ADM,$AL142),IF(ISNUMBER($E142),$E142,""))</f>
        <v/>
      </c>
      <c r="AN142" s="62">
        <f>IF(N($AL142)&gt;0,INDEX(rLim_ADM,$AL142),IF(ISNUMBER($F142),$F142,""))</f>
        <v/>
      </c>
    </row>
    <row r="143">
      <c r="A143" s="56">
        <f>IF(NOT((COUNTA($B143:$D143)+COUNTA($G143:$L143)+COUNTA($Q143))&gt;0),"",IF($V143="Macro",COUNTIFS($V$5:$V143,"Macro",$S$5:$S143,$S143),IF(N($U143)=0,"?",COUNTIFS(INDEX($V$5:$V$1000,1):INDEX($V$5:$V$1000,$U143-4),"Macro",INDEX($S$5:$S$1000,1):INDEX($S$5:$S$1000,$U143-4),INDEX($S$5:$S$1000,$U143-4))&amp;"."&amp;COUNTIFS($U$5:$U143,$U143,$V$5:$V143,"Sub"))))</f>
        <v/>
      </c>
      <c r="B143" s="57" t="n"/>
      <c r="C143" s="58" t="n"/>
      <c r="D143" s="58" t="n"/>
      <c r="E143" s="59">
        <f>IF(N($AL143)&gt;0,INDEX(rIni_ADM,$AL143),"")</f>
        <v/>
      </c>
      <c r="F143" s="59">
        <f>IF(N($AL143)&gt;0,INDEX(rLim_ADM,$AL143),"")</f>
        <v/>
      </c>
      <c r="G143" s="59" t="n"/>
      <c r="H143" s="60" t="n"/>
      <c r="I143" s="60" t="n"/>
      <c r="J143" s="60" t="n"/>
      <c r="K143" s="60" t="n"/>
      <c r="L143" s="60" t="n"/>
      <c r="M143" s="61">
        <f>IF(NOT((COUNTA($B143:$D143)+COUNTA($G143:$L143)+COUNTA($Q143))&gt;0),"",IF(ISNUMBER($G143),1,IF(N($W143)&gt;0,AVERAGEIFS($X$5:$X$1000,$U$5:$U$1000,ROW(),$V$5:$V$1000,"Sub"),$X143)))</f>
        <v/>
      </c>
      <c r="N143" s="56">
        <f>IF($M143="","",IF($M143&gt;=1,"Completado",IF($M143&gt;0,"En curso","Pendiente")))</f>
        <v/>
      </c>
      <c r="O143" s="56">
        <f>IF(NOT((COUNTA($B143:$D143)+COUNTA($G143:$L143)+COUNTA($Q143))&gt;0),"",IF(ISNUMBER($G143),IF(AND(ISNUMBER($AN143),$G143&gt;$AN143),"Cumplida con "&amp;($G143-$AN143)&amp;IF($G143-$AN143=1," día"," días")&amp;" de retraso","Cumplida"),IF(N($M143)&gt;=1,"Cumplida",IF(NOT(ISNUMBER($AN143)),"Sin fecha límite",IF($AN143&lt;FechaRef,"Vencida hace "&amp;(FechaRef-$AN143)&amp;IF(FechaRef-$AN143=1," día"," días"),IF($AN143=FechaRef,"Vence hoy",IF($AN143-FechaRef&lt;=DiasAlerta,"Vence en "&amp;($AN143-FechaRef)&amp;IF($AN143-FechaRef=1," día"," días"),"En plazo")))))))</f>
        <v/>
      </c>
      <c r="P143" s="62" t="n"/>
      <c r="Q143" s="58" t="n"/>
      <c r="R143" s="63">
        <f>IF(NOT((COUNTA($B143:$D143)+COUNTA($G143:$L143)+COUNTA($Q143))&gt;0),"",IF((IF($C143="","Falta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",""))="","✔ OK","⚠ "&amp;LEFT(IF($C143="","Falta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",""),LEN(IF($C143="","Falta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",""))-3)))</f>
        <v/>
      </c>
      <c r="S143" s="64">
        <f>IF(NOT((COUNTA($B143:$D143)+COUNTA($G143:$L143)+COUNTA($Q143))&gt;0),"",IF(AND($V143="Sub",N($U143)&gt;0),IF(ISNUMBER(INDEX($AM$5:$AM$1000,$U143-4)),DATE(YEAR(INDEX($AM$5:$AM$1000,$U143-4)),MONTH(INDEX($AM$5:$AM$1000,$U143-4)),1),IF(ISNUMBER(INDEX($AN$5:$AN$1000,$U143-4)),DATE(YEAR(INDEX($AN$5:$AN$1000,$U143-4)),MONTH(INDEX($AN$5:$AN$1000,$U143-4)),1),MesCiclo)),IF(ISNUMBER($AM143),DATE(YEAR($AM143),MONTH($AM143),1),IF(ISNUMBER($AN143),DATE(YEAR($AN143),MONTH($AN143),1),MesCiclo))))</f>
        <v/>
      </c>
      <c r="T143" s="62">
        <f>IF(OR($S143="",$S143&lt;&gt;MesCiclo),"",COUNTIF($S$5:$S143,MesCiclo))</f>
        <v/>
      </c>
      <c r="U143" s="62">
        <f>IF($V143="","",IF($V143="Macro",ROW(),IFERROR(LOOKUP(2,1/($V$5:$V143="Macro"),ROW($V$5:$V143)),0)))</f>
        <v/>
      </c>
      <c r="V143" s="62">
        <f>IF(NOT((COUNTA($B143:$D143)+COUNTA($G143:$L143)+COUNTA($Q143))&gt;0),"",IF($B143="Subactividad","Sub","Macro"))</f>
        <v/>
      </c>
      <c r="W143" s="62">
        <f>IF($V143="Macro",COUNTIFS($U$5:$U$1000,ROW(),$V$5:$V$1000,"Sub"),"")</f>
        <v/>
      </c>
      <c r="X143" s="62">
        <f>IF($V143="","",IF(ISNUMBER($G143),1,IFERROR(LOOKUP(2,1/($I143:$L143&lt;&gt;""),$I143:$L143),0)))</f>
        <v/>
      </c>
      <c r="Y143" s="62">
        <f>IF($V143="","",IF(AND(ISNUMBER($G143),$G143&lt;=IF($S143=MesCiclo,InicioCiclo,$S143+MOD(2-WEEKDAY($S143),7))+6),1,IF(ISNUMBER($I143),$I143,0)))</f>
        <v/>
      </c>
      <c r="Z143" s="62">
        <f>IF($V143="","",IF(AND(ISNUMBER($G143),$G143&lt;=IF($S143=MesCiclo,InicioCiclo,$S143+MOD(2-WEEKDAY($S143),7))+13),1,IF(ISNUMBER($J143),$J143,$Y143)))</f>
        <v/>
      </c>
      <c r="AA143" s="62">
        <f>IF($V143="","",IF(AND(ISNUMBER($G143),$G143&lt;=IF($S143=MesCiclo,InicioCiclo,$S143+MOD(2-WEEKDAY($S143),7))+20),1,IF(ISNUMBER($K143),$K143,$Z143)))</f>
        <v/>
      </c>
      <c r="AB143" s="62">
        <f>IF($V143="","",IF(AND(ISNUMBER($G143),$G143&lt;=IF($S143=MesCiclo,InicioCiclo,$S143+MOD(2-WEEKDAY($S143),7))+27),1,IF(ISNUMBER($L143),$L143,$AA143)))</f>
        <v/>
      </c>
      <c r="AC143" s="62">
        <f>IF($V143="","",IF(AND(ISNUMBER($G143),$G143&lt;=IF($S143=MesCiclo,InicioCiclo,$S143+MOD(2-WEEKDAY($S143),7))+6),1,IF(N($W143)&gt;0,AVERAGEIFS($Y$5:$Y$1000,$U$5:$U$1000,ROW(),$V$5:$V$1000,"Sub"),$Y143)))</f>
        <v/>
      </c>
      <c r="AD143" s="62">
        <f>IF($V143="","",IF(AND(ISNUMBER($G143),$G143&lt;=IF($S143=MesCiclo,InicioCiclo,$S143+MOD(2-WEEKDAY($S143),7))+13),1,IF(N($W143)&gt;0,AVERAGEIFS($Z$5:$Z$1000,$U$5:$U$1000,ROW(),$V$5:$V$1000,"Sub"),$Z143)))</f>
        <v/>
      </c>
      <c r="AE143" s="62">
        <f>IF($V143="","",IF(AND(ISNUMBER($G143),$G143&lt;=IF($S143=MesCiclo,InicioCiclo,$S143+MOD(2-WEEKDAY($S143),7))+20),1,IF(N($W143)&gt;0,AVERAGEIFS($AA$5:$AA$1000,$U$5:$U$1000,ROW(),$V$5:$V$1000,"Sub"),$AA143)))</f>
        <v/>
      </c>
      <c r="AF143" s="62">
        <f>IF($V143="","",IF(AND(ISNUMBER($G143),$G143&lt;=IF($S143=MesCiclo,InicioCiclo,$S143+MOD(2-WEEKDAY($S143),7))+27),1,IF(N($W143)&gt;0,AVERAGEIFS($AB$5:$AB$1000,$U$5:$U$1000,ROW(),$V$5:$V$1000,"Sub"),$AB143)))</f>
        <v/>
      </c>
      <c r="AG143" s="62">
        <f>IF($V143&lt;&gt;"Macro","",IF(COUNTIFS($S$5:$S$1000,$S143,$V$5:$V$1000,"Macro",$H$5:$H$1000,"&gt;0")=0,1/COUNTIFS($S$5:$S$1000,$S143,$V$5:$V$1000,"Macro"),IF(AND(ISNUMBER($H143),N($H143)&gt;0),$H143,SUMIFS($H$5:$H$1000,$S$5:$S$1000,$S143,$V$5:$V$1000,"Macro")/COUNTIFS($S$5:$S$1000,$S143,$V$5:$V$1000,"Macro",$H$5:$H$1000,"&gt;0"))/(COUNTIFS($S$5:$S$1000,$S143,$V$5:$V$1000,"Macro")*SUMIFS($H$5:$H$1000,$S$5:$S$1000,$S143,$V$5:$V$1000,"Macro")/COUNTIFS($S$5:$S$1000,$S143,$V$5:$V$1000,"Macro",$H$5:$H$1000,"&gt;0"))))</f>
        <v/>
      </c>
      <c r="AH143" s="62" t="n"/>
      <c r="AI143" s="62" t="n"/>
      <c r="AJ143" s="62" t="n"/>
      <c r="AK143" s="62" t="n"/>
      <c r="AL143" s="62">
        <f>IF(LEFT($C143,11)="[Jefatura] ",IFERROR(MATCH("Riesgo Normativo|"&amp;MID($C143,12,500),rDname_ADM,0),0),"")</f>
        <v/>
      </c>
      <c r="AM143" s="62">
        <f>IF(N($AL143)&gt;0,INDEX(rIni_ADM,$AL143),IF(ISNUMBER($E143),$E143,""))</f>
        <v/>
      </c>
      <c r="AN143" s="62">
        <f>IF(N($AL143)&gt;0,INDEX(rLim_ADM,$AL143),IF(ISNUMBER($F143),$F143,""))</f>
        <v/>
      </c>
    </row>
    <row r="144">
      <c r="A144" s="56">
        <f>IF(NOT((COUNTA($B144:$D144)+COUNTA($G144:$L144)+COUNTA($Q144))&gt;0),"",IF($V144="Macro",COUNTIFS($V$5:$V144,"Macro",$S$5:$S144,$S144),IF(N($U144)=0,"?",COUNTIFS(INDEX($V$5:$V$1000,1):INDEX($V$5:$V$1000,$U144-4),"Macro",INDEX($S$5:$S$1000,1):INDEX($S$5:$S$1000,$U144-4),INDEX($S$5:$S$1000,$U144-4))&amp;"."&amp;COUNTIFS($U$5:$U144,$U144,$V$5:$V144,"Sub"))))</f>
        <v/>
      </c>
      <c r="B144" s="57" t="n"/>
      <c r="C144" s="58" t="n"/>
      <c r="D144" s="58" t="n"/>
      <c r="E144" s="59">
        <f>IF(N($AL144)&gt;0,INDEX(rIni_ADM,$AL144),"")</f>
        <v/>
      </c>
      <c r="F144" s="59">
        <f>IF(N($AL144)&gt;0,INDEX(rLim_ADM,$AL144),"")</f>
        <v/>
      </c>
      <c r="G144" s="59" t="n"/>
      <c r="H144" s="60" t="n"/>
      <c r="I144" s="60" t="n"/>
      <c r="J144" s="60" t="n"/>
      <c r="K144" s="60" t="n"/>
      <c r="L144" s="60" t="n"/>
      <c r="M144" s="61">
        <f>IF(NOT((COUNTA($B144:$D144)+COUNTA($G144:$L144)+COUNTA($Q144))&gt;0),"",IF(ISNUMBER($G144),1,IF(N($W144)&gt;0,AVERAGEIFS($X$5:$X$1000,$U$5:$U$1000,ROW(),$V$5:$V$1000,"Sub"),$X144)))</f>
        <v/>
      </c>
      <c r="N144" s="56">
        <f>IF($M144="","",IF($M144&gt;=1,"Completado",IF($M144&gt;0,"En curso","Pendiente")))</f>
        <v/>
      </c>
      <c r="O144" s="56">
        <f>IF(NOT((COUNTA($B144:$D144)+COUNTA($G144:$L144)+COUNTA($Q144))&gt;0),"",IF(ISNUMBER($G144),IF(AND(ISNUMBER($AN144),$G144&gt;$AN144),"Cumplida con "&amp;($G144-$AN144)&amp;IF($G144-$AN144=1," día"," días")&amp;" de retraso","Cumplida"),IF(N($M144)&gt;=1,"Cumplida",IF(NOT(ISNUMBER($AN144)),"Sin fecha límite",IF($AN144&lt;FechaRef,"Vencida hace "&amp;(FechaRef-$AN144)&amp;IF(FechaRef-$AN144=1," día"," días"),IF($AN144=FechaRef,"Vence hoy",IF($AN144-FechaRef&lt;=DiasAlerta,"Vence en "&amp;($AN144-FechaRef)&amp;IF($AN144-FechaRef=1," día"," días"),"En plazo")))))))</f>
        <v/>
      </c>
      <c r="P144" s="62" t="n"/>
      <c r="Q144" s="58" t="n"/>
      <c r="R144" s="63">
        <f>IF(NOT((COUNTA($B144:$D144)+COUNTA($G144:$L144)+COUNTA($Q144))&gt;0),"",IF((IF($C144="","Falta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",""))="","✔ OK","⚠ "&amp;LEFT(IF($C144="","Falta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",""),LEN(IF($C144="","Falta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",""))-3)))</f>
        <v/>
      </c>
      <c r="S144" s="64">
        <f>IF(NOT((COUNTA($B144:$D144)+COUNTA($G144:$L144)+COUNTA($Q144))&gt;0),"",IF(AND($V144="Sub",N($U144)&gt;0),IF(ISNUMBER(INDEX($AM$5:$AM$1000,$U144-4)),DATE(YEAR(INDEX($AM$5:$AM$1000,$U144-4)),MONTH(INDEX($AM$5:$AM$1000,$U144-4)),1),IF(ISNUMBER(INDEX($AN$5:$AN$1000,$U144-4)),DATE(YEAR(INDEX($AN$5:$AN$1000,$U144-4)),MONTH(INDEX($AN$5:$AN$1000,$U144-4)),1),MesCiclo)),IF(ISNUMBER($AM144),DATE(YEAR($AM144),MONTH($AM144),1),IF(ISNUMBER($AN144),DATE(YEAR($AN144),MONTH($AN144),1),MesCiclo))))</f>
        <v/>
      </c>
      <c r="T144" s="62">
        <f>IF(OR($S144="",$S144&lt;&gt;MesCiclo),"",COUNTIF($S$5:$S144,MesCiclo))</f>
        <v/>
      </c>
      <c r="U144" s="62">
        <f>IF($V144="","",IF($V144="Macro",ROW(),IFERROR(LOOKUP(2,1/($V$5:$V144="Macro"),ROW($V$5:$V144)),0)))</f>
        <v/>
      </c>
      <c r="V144" s="62">
        <f>IF(NOT((COUNTA($B144:$D144)+COUNTA($G144:$L144)+COUNTA($Q144))&gt;0),"",IF($B144="Subactividad","Sub","Macro"))</f>
        <v/>
      </c>
      <c r="W144" s="62">
        <f>IF($V144="Macro",COUNTIFS($U$5:$U$1000,ROW(),$V$5:$V$1000,"Sub"),"")</f>
        <v/>
      </c>
      <c r="X144" s="62">
        <f>IF($V144="","",IF(ISNUMBER($G144),1,IFERROR(LOOKUP(2,1/($I144:$L144&lt;&gt;""),$I144:$L144),0)))</f>
        <v/>
      </c>
      <c r="Y144" s="62">
        <f>IF($V144="","",IF(AND(ISNUMBER($G144),$G144&lt;=IF($S144=MesCiclo,InicioCiclo,$S144+MOD(2-WEEKDAY($S144),7))+6),1,IF(ISNUMBER($I144),$I144,0)))</f>
        <v/>
      </c>
      <c r="Z144" s="62">
        <f>IF($V144="","",IF(AND(ISNUMBER($G144),$G144&lt;=IF($S144=MesCiclo,InicioCiclo,$S144+MOD(2-WEEKDAY($S144),7))+13),1,IF(ISNUMBER($J144),$J144,$Y144)))</f>
        <v/>
      </c>
      <c r="AA144" s="62">
        <f>IF($V144="","",IF(AND(ISNUMBER($G144),$G144&lt;=IF($S144=MesCiclo,InicioCiclo,$S144+MOD(2-WEEKDAY($S144),7))+20),1,IF(ISNUMBER($K144),$K144,$Z144)))</f>
        <v/>
      </c>
      <c r="AB144" s="62">
        <f>IF($V144="","",IF(AND(ISNUMBER($G144),$G144&lt;=IF($S144=MesCiclo,InicioCiclo,$S144+MOD(2-WEEKDAY($S144),7))+27),1,IF(ISNUMBER($L144),$L144,$AA144)))</f>
        <v/>
      </c>
      <c r="AC144" s="62">
        <f>IF($V144="","",IF(AND(ISNUMBER($G144),$G144&lt;=IF($S144=MesCiclo,InicioCiclo,$S144+MOD(2-WEEKDAY($S144),7))+6),1,IF(N($W144)&gt;0,AVERAGEIFS($Y$5:$Y$1000,$U$5:$U$1000,ROW(),$V$5:$V$1000,"Sub"),$Y144)))</f>
        <v/>
      </c>
      <c r="AD144" s="62">
        <f>IF($V144="","",IF(AND(ISNUMBER($G144),$G144&lt;=IF($S144=MesCiclo,InicioCiclo,$S144+MOD(2-WEEKDAY($S144),7))+13),1,IF(N($W144)&gt;0,AVERAGEIFS($Z$5:$Z$1000,$U$5:$U$1000,ROW(),$V$5:$V$1000,"Sub"),$Z144)))</f>
        <v/>
      </c>
      <c r="AE144" s="62">
        <f>IF($V144="","",IF(AND(ISNUMBER($G144),$G144&lt;=IF($S144=MesCiclo,InicioCiclo,$S144+MOD(2-WEEKDAY($S144),7))+20),1,IF(N($W144)&gt;0,AVERAGEIFS($AA$5:$AA$1000,$U$5:$U$1000,ROW(),$V$5:$V$1000,"Sub"),$AA144)))</f>
        <v/>
      </c>
      <c r="AF144" s="62">
        <f>IF($V144="","",IF(AND(ISNUMBER($G144),$G144&lt;=IF($S144=MesCiclo,InicioCiclo,$S144+MOD(2-WEEKDAY($S144),7))+27),1,IF(N($W144)&gt;0,AVERAGEIFS($AB$5:$AB$1000,$U$5:$U$1000,ROW(),$V$5:$V$1000,"Sub"),$AB144)))</f>
        <v/>
      </c>
      <c r="AG144" s="62">
        <f>IF($V144&lt;&gt;"Macro","",IF(COUNTIFS($S$5:$S$1000,$S144,$V$5:$V$1000,"Macro",$H$5:$H$1000,"&gt;0")=0,1/COUNTIFS($S$5:$S$1000,$S144,$V$5:$V$1000,"Macro"),IF(AND(ISNUMBER($H144),N($H144)&gt;0),$H144,SUMIFS($H$5:$H$1000,$S$5:$S$1000,$S144,$V$5:$V$1000,"Macro")/COUNTIFS($S$5:$S$1000,$S144,$V$5:$V$1000,"Macro",$H$5:$H$1000,"&gt;0"))/(COUNTIFS($S$5:$S$1000,$S144,$V$5:$V$1000,"Macro")*SUMIFS($H$5:$H$1000,$S$5:$S$1000,$S144,$V$5:$V$1000,"Macro")/COUNTIFS($S$5:$S$1000,$S144,$V$5:$V$1000,"Macro",$H$5:$H$1000,"&gt;0"))))</f>
        <v/>
      </c>
      <c r="AH144" s="62" t="n"/>
      <c r="AI144" s="62" t="n"/>
      <c r="AJ144" s="62" t="n"/>
      <c r="AK144" s="62" t="n"/>
      <c r="AL144" s="62">
        <f>IF(LEFT($C144,11)="[Jefatura] ",IFERROR(MATCH("Riesgo Normativo|"&amp;MID($C144,12,500),rDname_ADM,0),0),"")</f>
        <v/>
      </c>
      <c r="AM144" s="62">
        <f>IF(N($AL144)&gt;0,INDEX(rIni_ADM,$AL144),IF(ISNUMBER($E144),$E144,""))</f>
        <v/>
      </c>
      <c r="AN144" s="62">
        <f>IF(N($AL144)&gt;0,INDEX(rLim_ADM,$AL144),IF(ISNUMBER($F144),$F144,""))</f>
        <v/>
      </c>
    </row>
    <row r="145">
      <c r="A145" s="56">
        <f>IF(NOT((COUNTA($B145:$D145)+COUNTA($G145:$L145)+COUNTA($Q145))&gt;0),"",IF($V145="Macro",COUNTIFS($V$5:$V145,"Macro",$S$5:$S145,$S145),IF(N($U145)=0,"?",COUNTIFS(INDEX($V$5:$V$1000,1):INDEX($V$5:$V$1000,$U145-4),"Macro",INDEX($S$5:$S$1000,1):INDEX($S$5:$S$1000,$U145-4),INDEX($S$5:$S$1000,$U145-4))&amp;"."&amp;COUNTIFS($U$5:$U145,$U145,$V$5:$V145,"Sub"))))</f>
        <v/>
      </c>
      <c r="B145" s="57" t="n"/>
      <c r="C145" s="58" t="n"/>
      <c r="D145" s="58" t="n"/>
      <c r="E145" s="59">
        <f>IF(N($AL145)&gt;0,INDEX(rIni_ADM,$AL145),"")</f>
        <v/>
      </c>
      <c r="F145" s="59">
        <f>IF(N($AL145)&gt;0,INDEX(rLim_ADM,$AL145),"")</f>
        <v/>
      </c>
      <c r="G145" s="59" t="n"/>
      <c r="H145" s="60" t="n"/>
      <c r="I145" s="60" t="n"/>
      <c r="J145" s="60" t="n"/>
      <c r="K145" s="60" t="n"/>
      <c r="L145" s="60" t="n"/>
      <c r="M145" s="61">
        <f>IF(NOT((COUNTA($B145:$D145)+COUNTA($G145:$L145)+COUNTA($Q145))&gt;0),"",IF(ISNUMBER($G145),1,IF(N($W145)&gt;0,AVERAGEIFS($X$5:$X$1000,$U$5:$U$1000,ROW(),$V$5:$V$1000,"Sub"),$X145)))</f>
        <v/>
      </c>
      <c r="N145" s="56">
        <f>IF($M145="","",IF($M145&gt;=1,"Completado",IF($M145&gt;0,"En curso","Pendiente")))</f>
        <v/>
      </c>
      <c r="O145" s="56">
        <f>IF(NOT((COUNTA($B145:$D145)+COUNTA($G145:$L145)+COUNTA($Q145))&gt;0),"",IF(ISNUMBER($G145),IF(AND(ISNUMBER($AN145),$G145&gt;$AN145),"Cumplida con "&amp;($G145-$AN145)&amp;IF($G145-$AN145=1," día"," días")&amp;" de retraso","Cumplida"),IF(N($M145)&gt;=1,"Cumplida",IF(NOT(ISNUMBER($AN145)),"Sin fecha límite",IF($AN145&lt;FechaRef,"Vencida hace "&amp;(FechaRef-$AN145)&amp;IF(FechaRef-$AN145=1," día"," días"),IF($AN145=FechaRef,"Vence hoy",IF($AN145-FechaRef&lt;=DiasAlerta,"Vence en "&amp;($AN145-FechaRef)&amp;IF($AN145-FechaRef=1," día"," días"),"En plazo")))))))</f>
        <v/>
      </c>
      <c r="P145" s="62" t="n"/>
      <c r="Q145" s="58" t="n"/>
      <c r="R145" s="63">
        <f>IF(NOT((COUNTA($B145:$D145)+COUNTA($G145:$L145)+COUNTA($Q145))&gt;0),"",IF((IF($C145="","Falta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",""))="","✔ OK","⚠ "&amp;LEFT(IF($C145="","Falta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",""),LEN(IF($C145="","Falta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",""))-3)))</f>
        <v/>
      </c>
      <c r="S145" s="64">
        <f>IF(NOT((COUNTA($B145:$D145)+COUNTA($G145:$L145)+COUNTA($Q145))&gt;0),"",IF(AND($V145="Sub",N($U145)&gt;0),IF(ISNUMBER(INDEX($AM$5:$AM$1000,$U145-4)),DATE(YEAR(INDEX($AM$5:$AM$1000,$U145-4)),MONTH(INDEX($AM$5:$AM$1000,$U145-4)),1),IF(ISNUMBER(INDEX($AN$5:$AN$1000,$U145-4)),DATE(YEAR(INDEX($AN$5:$AN$1000,$U145-4)),MONTH(INDEX($AN$5:$AN$1000,$U145-4)),1),MesCiclo)),IF(ISNUMBER($AM145),DATE(YEAR($AM145),MONTH($AM145),1),IF(ISNUMBER($AN145),DATE(YEAR($AN145),MONTH($AN145),1),MesCiclo))))</f>
        <v/>
      </c>
      <c r="T145" s="62">
        <f>IF(OR($S145="",$S145&lt;&gt;MesCiclo),"",COUNTIF($S$5:$S145,MesCiclo))</f>
        <v/>
      </c>
      <c r="U145" s="62">
        <f>IF($V145="","",IF($V145="Macro",ROW(),IFERROR(LOOKUP(2,1/($V$5:$V145="Macro"),ROW($V$5:$V145)),0)))</f>
        <v/>
      </c>
      <c r="V145" s="62">
        <f>IF(NOT((COUNTA($B145:$D145)+COUNTA($G145:$L145)+COUNTA($Q145))&gt;0),"",IF($B145="Subactividad","Sub","Macro"))</f>
        <v/>
      </c>
      <c r="W145" s="62">
        <f>IF($V145="Macro",COUNTIFS($U$5:$U$1000,ROW(),$V$5:$V$1000,"Sub"),"")</f>
        <v/>
      </c>
      <c r="X145" s="62">
        <f>IF($V145="","",IF(ISNUMBER($G145),1,IFERROR(LOOKUP(2,1/($I145:$L145&lt;&gt;""),$I145:$L145),0)))</f>
        <v/>
      </c>
      <c r="Y145" s="62">
        <f>IF($V145="","",IF(AND(ISNUMBER($G145),$G145&lt;=IF($S145=MesCiclo,InicioCiclo,$S145+MOD(2-WEEKDAY($S145),7))+6),1,IF(ISNUMBER($I145),$I145,0)))</f>
        <v/>
      </c>
      <c r="Z145" s="62">
        <f>IF($V145="","",IF(AND(ISNUMBER($G145),$G145&lt;=IF($S145=MesCiclo,InicioCiclo,$S145+MOD(2-WEEKDAY($S145),7))+13),1,IF(ISNUMBER($J145),$J145,$Y145)))</f>
        <v/>
      </c>
      <c r="AA145" s="62">
        <f>IF($V145="","",IF(AND(ISNUMBER($G145),$G145&lt;=IF($S145=MesCiclo,InicioCiclo,$S145+MOD(2-WEEKDAY($S145),7))+20),1,IF(ISNUMBER($K145),$K145,$Z145)))</f>
        <v/>
      </c>
      <c r="AB145" s="62">
        <f>IF($V145="","",IF(AND(ISNUMBER($G145),$G145&lt;=IF($S145=MesCiclo,InicioCiclo,$S145+MOD(2-WEEKDAY($S145),7))+27),1,IF(ISNUMBER($L145),$L145,$AA145)))</f>
        <v/>
      </c>
      <c r="AC145" s="62">
        <f>IF($V145="","",IF(AND(ISNUMBER($G145),$G145&lt;=IF($S145=MesCiclo,InicioCiclo,$S145+MOD(2-WEEKDAY($S145),7))+6),1,IF(N($W145)&gt;0,AVERAGEIFS($Y$5:$Y$1000,$U$5:$U$1000,ROW(),$V$5:$V$1000,"Sub"),$Y145)))</f>
        <v/>
      </c>
      <c r="AD145" s="62">
        <f>IF($V145="","",IF(AND(ISNUMBER($G145),$G145&lt;=IF($S145=MesCiclo,InicioCiclo,$S145+MOD(2-WEEKDAY($S145),7))+13),1,IF(N($W145)&gt;0,AVERAGEIFS($Z$5:$Z$1000,$U$5:$U$1000,ROW(),$V$5:$V$1000,"Sub"),$Z145)))</f>
        <v/>
      </c>
      <c r="AE145" s="62">
        <f>IF($V145="","",IF(AND(ISNUMBER($G145),$G145&lt;=IF($S145=MesCiclo,InicioCiclo,$S145+MOD(2-WEEKDAY($S145),7))+20),1,IF(N($W145)&gt;0,AVERAGEIFS($AA$5:$AA$1000,$U$5:$U$1000,ROW(),$V$5:$V$1000,"Sub"),$AA145)))</f>
        <v/>
      </c>
      <c r="AF145" s="62">
        <f>IF($V145="","",IF(AND(ISNUMBER($G145),$G145&lt;=IF($S145=MesCiclo,InicioCiclo,$S145+MOD(2-WEEKDAY($S145),7))+27),1,IF(N($W145)&gt;0,AVERAGEIFS($AB$5:$AB$1000,$U$5:$U$1000,ROW(),$V$5:$V$1000,"Sub"),$AB145)))</f>
        <v/>
      </c>
      <c r="AG145" s="62">
        <f>IF($V145&lt;&gt;"Macro","",IF(COUNTIFS($S$5:$S$1000,$S145,$V$5:$V$1000,"Macro",$H$5:$H$1000,"&gt;0")=0,1/COUNTIFS($S$5:$S$1000,$S145,$V$5:$V$1000,"Macro"),IF(AND(ISNUMBER($H145),N($H145)&gt;0),$H145,SUMIFS($H$5:$H$1000,$S$5:$S$1000,$S145,$V$5:$V$1000,"Macro")/COUNTIFS($S$5:$S$1000,$S145,$V$5:$V$1000,"Macro",$H$5:$H$1000,"&gt;0"))/(COUNTIFS($S$5:$S$1000,$S145,$V$5:$V$1000,"Macro")*SUMIFS($H$5:$H$1000,$S$5:$S$1000,$S145,$V$5:$V$1000,"Macro")/COUNTIFS($S$5:$S$1000,$S145,$V$5:$V$1000,"Macro",$H$5:$H$1000,"&gt;0"))))</f>
        <v/>
      </c>
      <c r="AH145" s="62" t="n"/>
      <c r="AI145" s="62" t="n"/>
      <c r="AJ145" s="62" t="n"/>
      <c r="AK145" s="62" t="n"/>
      <c r="AL145" s="62">
        <f>IF(LEFT($C145,11)="[Jefatura] ",IFERROR(MATCH("Riesgo Normativo|"&amp;MID($C145,12,500),rDname_ADM,0),0),"")</f>
        <v/>
      </c>
      <c r="AM145" s="62">
        <f>IF(N($AL145)&gt;0,INDEX(rIni_ADM,$AL145),IF(ISNUMBER($E145),$E145,""))</f>
        <v/>
      </c>
      <c r="AN145" s="62">
        <f>IF(N($AL145)&gt;0,INDEX(rLim_ADM,$AL145),IF(ISNUMBER($F145),$F145,""))</f>
        <v/>
      </c>
    </row>
    <row r="146">
      <c r="A146" s="56">
        <f>IF(NOT((COUNTA($B146:$D146)+COUNTA($G146:$L146)+COUNTA($Q146))&gt;0),"",IF($V146="Macro",COUNTIFS($V$5:$V146,"Macro",$S$5:$S146,$S146),IF(N($U146)=0,"?",COUNTIFS(INDEX($V$5:$V$1000,1):INDEX($V$5:$V$1000,$U146-4),"Macro",INDEX($S$5:$S$1000,1):INDEX($S$5:$S$1000,$U146-4),INDEX($S$5:$S$1000,$U146-4))&amp;"."&amp;COUNTIFS($U$5:$U146,$U146,$V$5:$V146,"Sub"))))</f>
        <v/>
      </c>
      <c r="B146" s="57" t="n"/>
      <c r="C146" s="58" t="n"/>
      <c r="D146" s="58" t="n"/>
      <c r="E146" s="59">
        <f>IF(N($AL146)&gt;0,INDEX(rIni_ADM,$AL146),"")</f>
        <v/>
      </c>
      <c r="F146" s="59">
        <f>IF(N($AL146)&gt;0,INDEX(rLim_ADM,$AL146),"")</f>
        <v/>
      </c>
      <c r="G146" s="59" t="n"/>
      <c r="H146" s="60" t="n"/>
      <c r="I146" s="60" t="n"/>
      <c r="J146" s="60" t="n"/>
      <c r="K146" s="60" t="n"/>
      <c r="L146" s="60" t="n"/>
      <c r="M146" s="61">
        <f>IF(NOT((COUNTA($B146:$D146)+COUNTA($G146:$L146)+COUNTA($Q146))&gt;0),"",IF(ISNUMBER($G146),1,IF(N($W146)&gt;0,AVERAGEIFS($X$5:$X$1000,$U$5:$U$1000,ROW(),$V$5:$V$1000,"Sub"),$X146)))</f>
        <v/>
      </c>
      <c r="N146" s="56">
        <f>IF($M146="","",IF($M146&gt;=1,"Completado",IF($M146&gt;0,"En curso","Pendiente")))</f>
        <v/>
      </c>
      <c r="O146" s="56">
        <f>IF(NOT((COUNTA($B146:$D146)+COUNTA($G146:$L146)+COUNTA($Q146))&gt;0),"",IF(ISNUMBER($G146),IF(AND(ISNUMBER($AN146),$G146&gt;$AN146),"Cumplida con "&amp;($G146-$AN146)&amp;IF($G146-$AN146=1," día"," días")&amp;" de retraso","Cumplida"),IF(N($M146)&gt;=1,"Cumplida",IF(NOT(ISNUMBER($AN146)),"Sin fecha límite",IF($AN146&lt;FechaRef,"Vencida hace "&amp;(FechaRef-$AN146)&amp;IF(FechaRef-$AN146=1," día"," días"),IF($AN146=FechaRef,"Vence hoy",IF($AN146-FechaRef&lt;=DiasAlerta,"Vence en "&amp;($AN146-FechaRef)&amp;IF($AN146-FechaRef=1," día"," días"),"En plazo")))))))</f>
        <v/>
      </c>
      <c r="P146" s="62" t="n"/>
      <c r="Q146" s="58" t="n"/>
      <c r="R146" s="63">
        <f>IF(NOT((COUNTA($B146:$D146)+COUNTA($G146:$L146)+COUNTA($Q146))&gt;0),"",IF((IF($C146="","Falta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",""))="","✔ OK","⚠ "&amp;LEFT(IF($C146="","Falta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",""),LEN(IF($C146="","Falta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",""))-3)))</f>
        <v/>
      </c>
      <c r="S146" s="64">
        <f>IF(NOT((COUNTA($B146:$D146)+COUNTA($G146:$L146)+COUNTA($Q146))&gt;0),"",IF(AND($V146="Sub",N($U146)&gt;0),IF(ISNUMBER(INDEX($AM$5:$AM$1000,$U146-4)),DATE(YEAR(INDEX($AM$5:$AM$1000,$U146-4)),MONTH(INDEX($AM$5:$AM$1000,$U146-4)),1),IF(ISNUMBER(INDEX($AN$5:$AN$1000,$U146-4)),DATE(YEAR(INDEX($AN$5:$AN$1000,$U146-4)),MONTH(INDEX($AN$5:$AN$1000,$U146-4)),1),MesCiclo)),IF(ISNUMBER($AM146),DATE(YEAR($AM146),MONTH($AM146),1),IF(ISNUMBER($AN146),DATE(YEAR($AN146),MONTH($AN146),1),MesCiclo))))</f>
        <v/>
      </c>
      <c r="T146" s="62">
        <f>IF(OR($S146="",$S146&lt;&gt;MesCiclo),"",COUNTIF($S$5:$S146,MesCiclo))</f>
        <v/>
      </c>
      <c r="U146" s="62">
        <f>IF($V146="","",IF($V146="Macro",ROW(),IFERROR(LOOKUP(2,1/($V$5:$V146="Macro"),ROW($V$5:$V146)),0)))</f>
        <v/>
      </c>
      <c r="V146" s="62">
        <f>IF(NOT((COUNTA($B146:$D146)+COUNTA($G146:$L146)+COUNTA($Q146))&gt;0),"",IF($B146="Subactividad","Sub","Macro"))</f>
        <v/>
      </c>
      <c r="W146" s="62">
        <f>IF($V146="Macro",COUNTIFS($U$5:$U$1000,ROW(),$V$5:$V$1000,"Sub"),"")</f>
        <v/>
      </c>
      <c r="X146" s="62">
        <f>IF($V146="","",IF(ISNUMBER($G146),1,IFERROR(LOOKUP(2,1/($I146:$L146&lt;&gt;""),$I146:$L146),0)))</f>
        <v/>
      </c>
      <c r="Y146" s="62">
        <f>IF($V146="","",IF(AND(ISNUMBER($G146),$G146&lt;=IF($S146=MesCiclo,InicioCiclo,$S146+MOD(2-WEEKDAY($S146),7))+6),1,IF(ISNUMBER($I146),$I146,0)))</f>
        <v/>
      </c>
      <c r="Z146" s="62">
        <f>IF($V146="","",IF(AND(ISNUMBER($G146),$G146&lt;=IF($S146=MesCiclo,InicioCiclo,$S146+MOD(2-WEEKDAY($S146),7))+13),1,IF(ISNUMBER($J146),$J146,$Y146)))</f>
        <v/>
      </c>
      <c r="AA146" s="62">
        <f>IF($V146="","",IF(AND(ISNUMBER($G146),$G146&lt;=IF($S146=MesCiclo,InicioCiclo,$S146+MOD(2-WEEKDAY($S146),7))+20),1,IF(ISNUMBER($K146),$K146,$Z146)))</f>
        <v/>
      </c>
      <c r="AB146" s="62">
        <f>IF($V146="","",IF(AND(ISNUMBER($G146),$G146&lt;=IF($S146=MesCiclo,InicioCiclo,$S146+MOD(2-WEEKDAY($S146),7))+27),1,IF(ISNUMBER($L146),$L146,$AA146)))</f>
        <v/>
      </c>
      <c r="AC146" s="62">
        <f>IF($V146="","",IF(AND(ISNUMBER($G146),$G146&lt;=IF($S146=MesCiclo,InicioCiclo,$S146+MOD(2-WEEKDAY($S146),7))+6),1,IF(N($W146)&gt;0,AVERAGEIFS($Y$5:$Y$1000,$U$5:$U$1000,ROW(),$V$5:$V$1000,"Sub"),$Y146)))</f>
        <v/>
      </c>
      <c r="AD146" s="62">
        <f>IF($V146="","",IF(AND(ISNUMBER($G146),$G146&lt;=IF($S146=MesCiclo,InicioCiclo,$S146+MOD(2-WEEKDAY($S146),7))+13),1,IF(N($W146)&gt;0,AVERAGEIFS($Z$5:$Z$1000,$U$5:$U$1000,ROW(),$V$5:$V$1000,"Sub"),$Z146)))</f>
        <v/>
      </c>
      <c r="AE146" s="62">
        <f>IF($V146="","",IF(AND(ISNUMBER($G146),$G146&lt;=IF($S146=MesCiclo,InicioCiclo,$S146+MOD(2-WEEKDAY($S146),7))+20),1,IF(N($W146)&gt;0,AVERAGEIFS($AA$5:$AA$1000,$U$5:$U$1000,ROW(),$V$5:$V$1000,"Sub"),$AA146)))</f>
        <v/>
      </c>
      <c r="AF146" s="62">
        <f>IF($V146="","",IF(AND(ISNUMBER($G146),$G146&lt;=IF($S146=MesCiclo,InicioCiclo,$S146+MOD(2-WEEKDAY($S146),7))+27),1,IF(N($W146)&gt;0,AVERAGEIFS($AB$5:$AB$1000,$U$5:$U$1000,ROW(),$V$5:$V$1000,"Sub"),$AB146)))</f>
        <v/>
      </c>
      <c r="AG146" s="62">
        <f>IF($V146&lt;&gt;"Macro","",IF(COUNTIFS($S$5:$S$1000,$S146,$V$5:$V$1000,"Macro",$H$5:$H$1000,"&gt;0")=0,1/COUNTIFS($S$5:$S$1000,$S146,$V$5:$V$1000,"Macro"),IF(AND(ISNUMBER($H146),N($H146)&gt;0),$H146,SUMIFS($H$5:$H$1000,$S$5:$S$1000,$S146,$V$5:$V$1000,"Macro")/COUNTIFS($S$5:$S$1000,$S146,$V$5:$V$1000,"Macro",$H$5:$H$1000,"&gt;0"))/(COUNTIFS($S$5:$S$1000,$S146,$V$5:$V$1000,"Macro")*SUMIFS($H$5:$H$1000,$S$5:$S$1000,$S146,$V$5:$V$1000,"Macro")/COUNTIFS($S$5:$S$1000,$S146,$V$5:$V$1000,"Macro",$H$5:$H$1000,"&gt;0"))))</f>
        <v/>
      </c>
      <c r="AH146" s="62" t="n"/>
      <c r="AI146" s="62" t="n"/>
      <c r="AJ146" s="62" t="n"/>
      <c r="AK146" s="62" t="n"/>
      <c r="AL146" s="62">
        <f>IF(LEFT($C146,11)="[Jefatura] ",IFERROR(MATCH("Riesgo Normativo|"&amp;MID($C146,12,500),rDname_ADM,0),0),"")</f>
        <v/>
      </c>
      <c r="AM146" s="62">
        <f>IF(N($AL146)&gt;0,INDEX(rIni_ADM,$AL146),IF(ISNUMBER($E146),$E146,""))</f>
        <v/>
      </c>
      <c r="AN146" s="62">
        <f>IF(N($AL146)&gt;0,INDEX(rLim_ADM,$AL146),IF(ISNUMBER($F146),$F146,""))</f>
        <v/>
      </c>
    </row>
    <row r="147">
      <c r="A147" s="56">
        <f>IF(NOT((COUNTA($B147:$D147)+COUNTA($G147:$L147)+COUNTA($Q147))&gt;0),"",IF($V147="Macro",COUNTIFS($V$5:$V147,"Macro",$S$5:$S147,$S147),IF(N($U147)=0,"?",COUNTIFS(INDEX($V$5:$V$1000,1):INDEX($V$5:$V$1000,$U147-4),"Macro",INDEX($S$5:$S$1000,1):INDEX($S$5:$S$1000,$U147-4),INDEX($S$5:$S$1000,$U147-4))&amp;"."&amp;COUNTIFS($U$5:$U147,$U147,$V$5:$V147,"Sub"))))</f>
        <v/>
      </c>
      <c r="B147" s="57" t="n"/>
      <c r="C147" s="58" t="n"/>
      <c r="D147" s="58" t="n"/>
      <c r="E147" s="59">
        <f>IF(N($AL147)&gt;0,INDEX(rIni_ADM,$AL147),"")</f>
        <v/>
      </c>
      <c r="F147" s="59">
        <f>IF(N($AL147)&gt;0,INDEX(rLim_ADM,$AL147),"")</f>
        <v/>
      </c>
      <c r="G147" s="59" t="n"/>
      <c r="H147" s="60" t="n"/>
      <c r="I147" s="60" t="n"/>
      <c r="J147" s="60" t="n"/>
      <c r="K147" s="60" t="n"/>
      <c r="L147" s="60" t="n"/>
      <c r="M147" s="61">
        <f>IF(NOT((COUNTA($B147:$D147)+COUNTA($G147:$L147)+COUNTA($Q147))&gt;0),"",IF(ISNUMBER($G147),1,IF(N($W147)&gt;0,AVERAGEIFS($X$5:$X$1000,$U$5:$U$1000,ROW(),$V$5:$V$1000,"Sub"),$X147)))</f>
        <v/>
      </c>
      <c r="N147" s="56">
        <f>IF($M147="","",IF($M147&gt;=1,"Completado",IF($M147&gt;0,"En curso","Pendiente")))</f>
        <v/>
      </c>
      <c r="O147" s="56">
        <f>IF(NOT((COUNTA($B147:$D147)+COUNTA($G147:$L147)+COUNTA($Q147))&gt;0),"",IF(ISNUMBER($G147),IF(AND(ISNUMBER($AN147),$G147&gt;$AN147),"Cumplida con "&amp;($G147-$AN147)&amp;IF($G147-$AN147=1," día"," días")&amp;" de retraso","Cumplida"),IF(N($M147)&gt;=1,"Cumplida",IF(NOT(ISNUMBER($AN147)),"Sin fecha límite",IF($AN147&lt;FechaRef,"Vencida hace "&amp;(FechaRef-$AN147)&amp;IF(FechaRef-$AN147=1," día"," días"),IF($AN147=FechaRef,"Vence hoy",IF($AN147-FechaRef&lt;=DiasAlerta,"Vence en "&amp;($AN147-FechaRef)&amp;IF($AN147-FechaRef=1," día"," días"),"En plazo")))))))</f>
        <v/>
      </c>
      <c r="P147" s="62" t="n"/>
      <c r="Q147" s="58" t="n"/>
      <c r="R147" s="63">
        <f>IF(NOT((COUNTA($B147:$D147)+COUNTA($G147:$L147)+COUNTA($Q147))&gt;0),"",IF((IF($C147="","Falta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",""))="","✔ OK","⚠ "&amp;LEFT(IF($C147="","Falta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",""),LEN(IF($C147="","Falta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",""))-3)))</f>
        <v/>
      </c>
      <c r="S147" s="64">
        <f>IF(NOT((COUNTA($B147:$D147)+COUNTA($G147:$L147)+COUNTA($Q147))&gt;0),"",IF(AND($V147="Sub",N($U147)&gt;0),IF(ISNUMBER(INDEX($AM$5:$AM$1000,$U147-4)),DATE(YEAR(INDEX($AM$5:$AM$1000,$U147-4)),MONTH(INDEX($AM$5:$AM$1000,$U147-4)),1),IF(ISNUMBER(INDEX($AN$5:$AN$1000,$U147-4)),DATE(YEAR(INDEX($AN$5:$AN$1000,$U147-4)),MONTH(INDEX($AN$5:$AN$1000,$U147-4)),1),MesCiclo)),IF(ISNUMBER($AM147),DATE(YEAR($AM147),MONTH($AM147),1),IF(ISNUMBER($AN147),DATE(YEAR($AN147),MONTH($AN147),1),MesCiclo))))</f>
        <v/>
      </c>
      <c r="T147" s="62">
        <f>IF(OR($S147="",$S147&lt;&gt;MesCiclo),"",COUNTIF($S$5:$S147,MesCiclo))</f>
        <v/>
      </c>
      <c r="U147" s="62">
        <f>IF($V147="","",IF($V147="Macro",ROW(),IFERROR(LOOKUP(2,1/($V$5:$V147="Macro"),ROW($V$5:$V147)),0)))</f>
        <v/>
      </c>
      <c r="V147" s="62">
        <f>IF(NOT((COUNTA($B147:$D147)+COUNTA($G147:$L147)+COUNTA($Q147))&gt;0),"",IF($B147="Subactividad","Sub","Macro"))</f>
        <v/>
      </c>
      <c r="W147" s="62">
        <f>IF($V147="Macro",COUNTIFS($U$5:$U$1000,ROW(),$V$5:$V$1000,"Sub"),"")</f>
        <v/>
      </c>
      <c r="X147" s="62">
        <f>IF($V147="","",IF(ISNUMBER($G147),1,IFERROR(LOOKUP(2,1/($I147:$L147&lt;&gt;""),$I147:$L147),0)))</f>
        <v/>
      </c>
      <c r="Y147" s="62">
        <f>IF($V147="","",IF(AND(ISNUMBER($G147),$G147&lt;=IF($S147=MesCiclo,InicioCiclo,$S147+MOD(2-WEEKDAY($S147),7))+6),1,IF(ISNUMBER($I147),$I147,0)))</f>
        <v/>
      </c>
      <c r="Z147" s="62">
        <f>IF($V147="","",IF(AND(ISNUMBER($G147),$G147&lt;=IF($S147=MesCiclo,InicioCiclo,$S147+MOD(2-WEEKDAY($S147),7))+13),1,IF(ISNUMBER($J147),$J147,$Y147)))</f>
        <v/>
      </c>
      <c r="AA147" s="62">
        <f>IF($V147="","",IF(AND(ISNUMBER($G147),$G147&lt;=IF($S147=MesCiclo,InicioCiclo,$S147+MOD(2-WEEKDAY($S147),7))+20),1,IF(ISNUMBER($K147),$K147,$Z147)))</f>
        <v/>
      </c>
      <c r="AB147" s="62">
        <f>IF($V147="","",IF(AND(ISNUMBER($G147),$G147&lt;=IF($S147=MesCiclo,InicioCiclo,$S147+MOD(2-WEEKDAY($S147),7))+27),1,IF(ISNUMBER($L147),$L147,$AA147)))</f>
        <v/>
      </c>
      <c r="AC147" s="62">
        <f>IF($V147="","",IF(AND(ISNUMBER($G147),$G147&lt;=IF($S147=MesCiclo,InicioCiclo,$S147+MOD(2-WEEKDAY($S147),7))+6),1,IF(N($W147)&gt;0,AVERAGEIFS($Y$5:$Y$1000,$U$5:$U$1000,ROW(),$V$5:$V$1000,"Sub"),$Y147)))</f>
        <v/>
      </c>
      <c r="AD147" s="62">
        <f>IF($V147="","",IF(AND(ISNUMBER($G147),$G147&lt;=IF($S147=MesCiclo,InicioCiclo,$S147+MOD(2-WEEKDAY($S147),7))+13),1,IF(N($W147)&gt;0,AVERAGEIFS($Z$5:$Z$1000,$U$5:$U$1000,ROW(),$V$5:$V$1000,"Sub"),$Z147)))</f>
        <v/>
      </c>
      <c r="AE147" s="62">
        <f>IF($V147="","",IF(AND(ISNUMBER($G147),$G147&lt;=IF($S147=MesCiclo,InicioCiclo,$S147+MOD(2-WEEKDAY($S147),7))+20),1,IF(N($W147)&gt;0,AVERAGEIFS($AA$5:$AA$1000,$U$5:$U$1000,ROW(),$V$5:$V$1000,"Sub"),$AA147)))</f>
        <v/>
      </c>
      <c r="AF147" s="62">
        <f>IF($V147="","",IF(AND(ISNUMBER($G147),$G147&lt;=IF($S147=MesCiclo,InicioCiclo,$S147+MOD(2-WEEKDAY($S147),7))+27),1,IF(N($W147)&gt;0,AVERAGEIFS($AB$5:$AB$1000,$U$5:$U$1000,ROW(),$V$5:$V$1000,"Sub"),$AB147)))</f>
        <v/>
      </c>
      <c r="AG147" s="62">
        <f>IF($V147&lt;&gt;"Macro","",IF(COUNTIFS($S$5:$S$1000,$S147,$V$5:$V$1000,"Macro",$H$5:$H$1000,"&gt;0")=0,1/COUNTIFS($S$5:$S$1000,$S147,$V$5:$V$1000,"Macro"),IF(AND(ISNUMBER($H147),N($H147)&gt;0),$H147,SUMIFS($H$5:$H$1000,$S$5:$S$1000,$S147,$V$5:$V$1000,"Macro")/COUNTIFS($S$5:$S$1000,$S147,$V$5:$V$1000,"Macro",$H$5:$H$1000,"&gt;0"))/(COUNTIFS($S$5:$S$1000,$S147,$V$5:$V$1000,"Macro")*SUMIFS($H$5:$H$1000,$S$5:$S$1000,$S147,$V$5:$V$1000,"Macro")/COUNTIFS($S$5:$S$1000,$S147,$V$5:$V$1000,"Macro",$H$5:$H$1000,"&gt;0"))))</f>
        <v/>
      </c>
      <c r="AH147" s="62" t="n"/>
      <c r="AI147" s="62" t="n"/>
      <c r="AJ147" s="62" t="n"/>
      <c r="AK147" s="62" t="n"/>
      <c r="AL147" s="62">
        <f>IF(LEFT($C147,11)="[Jefatura] ",IFERROR(MATCH("Riesgo Normativo|"&amp;MID($C147,12,500),rDname_ADM,0),0),"")</f>
        <v/>
      </c>
      <c r="AM147" s="62">
        <f>IF(N($AL147)&gt;0,INDEX(rIni_ADM,$AL147),IF(ISNUMBER($E147),$E147,""))</f>
        <v/>
      </c>
      <c r="AN147" s="62">
        <f>IF(N($AL147)&gt;0,INDEX(rLim_ADM,$AL147),IF(ISNUMBER($F147),$F147,""))</f>
        <v/>
      </c>
    </row>
    <row r="148">
      <c r="A148" s="56">
        <f>IF(NOT((COUNTA($B148:$D148)+COUNTA($G148:$L148)+COUNTA($Q148))&gt;0),"",IF($V148="Macro",COUNTIFS($V$5:$V148,"Macro",$S$5:$S148,$S148),IF(N($U148)=0,"?",COUNTIFS(INDEX($V$5:$V$1000,1):INDEX($V$5:$V$1000,$U148-4),"Macro",INDEX($S$5:$S$1000,1):INDEX($S$5:$S$1000,$U148-4),INDEX($S$5:$S$1000,$U148-4))&amp;"."&amp;COUNTIFS($U$5:$U148,$U148,$V$5:$V148,"Sub"))))</f>
        <v/>
      </c>
      <c r="B148" s="57" t="n"/>
      <c r="C148" s="58" t="n"/>
      <c r="D148" s="58" t="n"/>
      <c r="E148" s="59">
        <f>IF(N($AL148)&gt;0,INDEX(rIni_ADM,$AL148),"")</f>
        <v/>
      </c>
      <c r="F148" s="59">
        <f>IF(N($AL148)&gt;0,INDEX(rLim_ADM,$AL148),"")</f>
        <v/>
      </c>
      <c r="G148" s="59" t="n"/>
      <c r="H148" s="60" t="n"/>
      <c r="I148" s="60" t="n"/>
      <c r="J148" s="60" t="n"/>
      <c r="K148" s="60" t="n"/>
      <c r="L148" s="60" t="n"/>
      <c r="M148" s="61">
        <f>IF(NOT((COUNTA($B148:$D148)+COUNTA($G148:$L148)+COUNTA($Q148))&gt;0),"",IF(ISNUMBER($G148),1,IF(N($W148)&gt;0,AVERAGEIFS($X$5:$X$1000,$U$5:$U$1000,ROW(),$V$5:$V$1000,"Sub"),$X148)))</f>
        <v/>
      </c>
      <c r="N148" s="56">
        <f>IF($M148="","",IF($M148&gt;=1,"Completado",IF($M148&gt;0,"En curso","Pendiente")))</f>
        <v/>
      </c>
      <c r="O148" s="56">
        <f>IF(NOT((COUNTA($B148:$D148)+COUNTA($G148:$L148)+COUNTA($Q148))&gt;0),"",IF(ISNUMBER($G148),IF(AND(ISNUMBER($AN148),$G148&gt;$AN148),"Cumplida con "&amp;($G148-$AN148)&amp;IF($G148-$AN148=1," día"," días")&amp;" de retraso","Cumplida"),IF(N($M148)&gt;=1,"Cumplida",IF(NOT(ISNUMBER($AN148)),"Sin fecha límite",IF($AN148&lt;FechaRef,"Vencida hace "&amp;(FechaRef-$AN148)&amp;IF(FechaRef-$AN148=1," día"," días"),IF($AN148=FechaRef,"Vence hoy",IF($AN148-FechaRef&lt;=DiasAlerta,"Vence en "&amp;($AN148-FechaRef)&amp;IF($AN148-FechaRef=1," día"," días"),"En plazo")))))))</f>
        <v/>
      </c>
      <c r="P148" s="62" t="n"/>
      <c r="Q148" s="58" t="n"/>
      <c r="R148" s="63">
        <f>IF(NOT((COUNTA($B148:$D148)+COUNTA($G148:$L148)+COUNTA($Q148))&gt;0),"",IF((IF($C148="","Falta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",""))="","✔ OK","⚠ "&amp;LEFT(IF($C148="","Falta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",""),LEN(IF($C148="","Falta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",""))-3)))</f>
        <v/>
      </c>
      <c r="S148" s="64">
        <f>IF(NOT((COUNTA($B148:$D148)+COUNTA($G148:$L148)+COUNTA($Q148))&gt;0),"",IF(AND($V148="Sub",N($U148)&gt;0),IF(ISNUMBER(INDEX($AM$5:$AM$1000,$U148-4)),DATE(YEAR(INDEX($AM$5:$AM$1000,$U148-4)),MONTH(INDEX($AM$5:$AM$1000,$U148-4)),1),IF(ISNUMBER(INDEX($AN$5:$AN$1000,$U148-4)),DATE(YEAR(INDEX($AN$5:$AN$1000,$U148-4)),MONTH(INDEX($AN$5:$AN$1000,$U148-4)),1),MesCiclo)),IF(ISNUMBER($AM148),DATE(YEAR($AM148),MONTH($AM148),1),IF(ISNUMBER($AN148),DATE(YEAR($AN148),MONTH($AN148),1),MesCiclo))))</f>
        <v/>
      </c>
      <c r="T148" s="62">
        <f>IF(OR($S148="",$S148&lt;&gt;MesCiclo),"",COUNTIF($S$5:$S148,MesCiclo))</f>
        <v/>
      </c>
      <c r="U148" s="62">
        <f>IF($V148="","",IF($V148="Macro",ROW(),IFERROR(LOOKUP(2,1/($V$5:$V148="Macro"),ROW($V$5:$V148)),0)))</f>
        <v/>
      </c>
      <c r="V148" s="62">
        <f>IF(NOT((COUNTA($B148:$D148)+COUNTA($G148:$L148)+COUNTA($Q148))&gt;0),"",IF($B148="Subactividad","Sub","Macro"))</f>
        <v/>
      </c>
      <c r="W148" s="62">
        <f>IF($V148="Macro",COUNTIFS($U$5:$U$1000,ROW(),$V$5:$V$1000,"Sub"),"")</f>
        <v/>
      </c>
      <c r="X148" s="62">
        <f>IF($V148="","",IF(ISNUMBER($G148),1,IFERROR(LOOKUP(2,1/($I148:$L148&lt;&gt;""),$I148:$L148),0)))</f>
        <v/>
      </c>
      <c r="Y148" s="62">
        <f>IF($V148="","",IF(AND(ISNUMBER($G148),$G148&lt;=IF($S148=MesCiclo,InicioCiclo,$S148+MOD(2-WEEKDAY($S148),7))+6),1,IF(ISNUMBER($I148),$I148,0)))</f>
        <v/>
      </c>
      <c r="Z148" s="62">
        <f>IF($V148="","",IF(AND(ISNUMBER($G148),$G148&lt;=IF($S148=MesCiclo,InicioCiclo,$S148+MOD(2-WEEKDAY($S148),7))+13),1,IF(ISNUMBER($J148),$J148,$Y148)))</f>
        <v/>
      </c>
      <c r="AA148" s="62">
        <f>IF($V148="","",IF(AND(ISNUMBER($G148),$G148&lt;=IF($S148=MesCiclo,InicioCiclo,$S148+MOD(2-WEEKDAY($S148),7))+20),1,IF(ISNUMBER($K148),$K148,$Z148)))</f>
        <v/>
      </c>
      <c r="AB148" s="62">
        <f>IF($V148="","",IF(AND(ISNUMBER($G148),$G148&lt;=IF($S148=MesCiclo,InicioCiclo,$S148+MOD(2-WEEKDAY($S148),7))+27),1,IF(ISNUMBER($L148),$L148,$AA148)))</f>
        <v/>
      </c>
      <c r="AC148" s="62">
        <f>IF($V148="","",IF(AND(ISNUMBER($G148),$G148&lt;=IF($S148=MesCiclo,InicioCiclo,$S148+MOD(2-WEEKDAY($S148),7))+6),1,IF(N($W148)&gt;0,AVERAGEIFS($Y$5:$Y$1000,$U$5:$U$1000,ROW(),$V$5:$V$1000,"Sub"),$Y148)))</f>
        <v/>
      </c>
      <c r="AD148" s="62">
        <f>IF($V148="","",IF(AND(ISNUMBER($G148),$G148&lt;=IF($S148=MesCiclo,InicioCiclo,$S148+MOD(2-WEEKDAY($S148),7))+13),1,IF(N($W148)&gt;0,AVERAGEIFS($Z$5:$Z$1000,$U$5:$U$1000,ROW(),$V$5:$V$1000,"Sub"),$Z148)))</f>
        <v/>
      </c>
      <c r="AE148" s="62">
        <f>IF($V148="","",IF(AND(ISNUMBER($G148),$G148&lt;=IF($S148=MesCiclo,InicioCiclo,$S148+MOD(2-WEEKDAY($S148),7))+20),1,IF(N($W148)&gt;0,AVERAGEIFS($AA$5:$AA$1000,$U$5:$U$1000,ROW(),$V$5:$V$1000,"Sub"),$AA148)))</f>
        <v/>
      </c>
      <c r="AF148" s="62">
        <f>IF($V148="","",IF(AND(ISNUMBER($G148),$G148&lt;=IF($S148=MesCiclo,InicioCiclo,$S148+MOD(2-WEEKDAY($S148),7))+27),1,IF(N($W148)&gt;0,AVERAGEIFS($AB$5:$AB$1000,$U$5:$U$1000,ROW(),$V$5:$V$1000,"Sub"),$AB148)))</f>
        <v/>
      </c>
      <c r="AG148" s="62">
        <f>IF($V148&lt;&gt;"Macro","",IF(COUNTIFS($S$5:$S$1000,$S148,$V$5:$V$1000,"Macro",$H$5:$H$1000,"&gt;0")=0,1/COUNTIFS($S$5:$S$1000,$S148,$V$5:$V$1000,"Macro"),IF(AND(ISNUMBER($H148),N($H148)&gt;0),$H148,SUMIFS($H$5:$H$1000,$S$5:$S$1000,$S148,$V$5:$V$1000,"Macro")/COUNTIFS($S$5:$S$1000,$S148,$V$5:$V$1000,"Macro",$H$5:$H$1000,"&gt;0"))/(COUNTIFS($S$5:$S$1000,$S148,$V$5:$V$1000,"Macro")*SUMIFS($H$5:$H$1000,$S$5:$S$1000,$S148,$V$5:$V$1000,"Macro")/COUNTIFS($S$5:$S$1000,$S148,$V$5:$V$1000,"Macro",$H$5:$H$1000,"&gt;0"))))</f>
        <v/>
      </c>
      <c r="AH148" s="62" t="n"/>
      <c r="AI148" s="62" t="n"/>
      <c r="AJ148" s="62" t="n"/>
      <c r="AK148" s="62" t="n"/>
      <c r="AL148" s="62">
        <f>IF(LEFT($C148,11)="[Jefatura] ",IFERROR(MATCH("Riesgo Normativo|"&amp;MID($C148,12,500),rDname_ADM,0),0),"")</f>
        <v/>
      </c>
      <c r="AM148" s="62">
        <f>IF(N($AL148)&gt;0,INDEX(rIni_ADM,$AL148),IF(ISNUMBER($E148),$E148,""))</f>
        <v/>
      </c>
      <c r="AN148" s="62">
        <f>IF(N($AL148)&gt;0,INDEX(rLim_ADM,$AL148),IF(ISNUMBER($F148),$F148,""))</f>
        <v/>
      </c>
    </row>
    <row r="149">
      <c r="A149" s="56">
        <f>IF(NOT((COUNTA($B149:$D149)+COUNTA($G149:$L149)+COUNTA($Q149))&gt;0),"",IF($V149="Macro",COUNTIFS($V$5:$V149,"Macro",$S$5:$S149,$S149),IF(N($U149)=0,"?",COUNTIFS(INDEX($V$5:$V$1000,1):INDEX($V$5:$V$1000,$U149-4),"Macro",INDEX($S$5:$S$1000,1):INDEX($S$5:$S$1000,$U149-4),INDEX($S$5:$S$1000,$U149-4))&amp;"."&amp;COUNTIFS($U$5:$U149,$U149,$V$5:$V149,"Sub"))))</f>
        <v/>
      </c>
      <c r="B149" s="57" t="n"/>
      <c r="C149" s="58" t="n"/>
      <c r="D149" s="58" t="n"/>
      <c r="E149" s="59">
        <f>IF(N($AL149)&gt;0,INDEX(rIni_ADM,$AL149),"")</f>
        <v/>
      </c>
      <c r="F149" s="59">
        <f>IF(N($AL149)&gt;0,INDEX(rLim_ADM,$AL149),"")</f>
        <v/>
      </c>
      <c r="G149" s="59" t="n"/>
      <c r="H149" s="60" t="n"/>
      <c r="I149" s="60" t="n"/>
      <c r="J149" s="60" t="n"/>
      <c r="K149" s="60" t="n"/>
      <c r="L149" s="60" t="n"/>
      <c r="M149" s="61">
        <f>IF(NOT((COUNTA($B149:$D149)+COUNTA($G149:$L149)+COUNTA($Q149))&gt;0),"",IF(ISNUMBER($G149),1,IF(N($W149)&gt;0,AVERAGEIFS($X$5:$X$1000,$U$5:$U$1000,ROW(),$V$5:$V$1000,"Sub"),$X149)))</f>
        <v/>
      </c>
      <c r="N149" s="56">
        <f>IF($M149="","",IF($M149&gt;=1,"Completado",IF($M149&gt;0,"En curso","Pendiente")))</f>
        <v/>
      </c>
      <c r="O149" s="56">
        <f>IF(NOT((COUNTA($B149:$D149)+COUNTA($G149:$L149)+COUNTA($Q149))&gt;0),"",IF(ISNUMBER($G149),IF(AND(ISNUMBER($AN149),$G149&gt;$AN149),"Cumplida con "&amp;($G149-$AN149)&amp;IF($G149-$AN149=1," día"," días")&amp;" de retraso","Cumplida"),IF(N($M149)&gt;=1,"Cumplida",IF(NOT(ISNUMBER($AN149)),"Sin fecha límite",IF($AN149&lt;FechaRef,"Vencida hace "&amp;(FechaRef-$AN149)&amp;IF(FechaRef-$AN149=1," día"," días"),IF($AN149=FechaRef,"Vence hoy",IF($AN149-FechaRef&lt;=DiasAlerta,"Vence en "&amp;($AN149-FechaRef)&amp;IF($AN149-FechaRef=1," día"," días"),"En plazo")))))))</f>
        <v/>
      </c>
      <c r="P149" s="62" t="n"/>
      <c r="Q149" s="58" t="n"/>
      <c r="R149" s="63">
        <f>IF(NOT((COUNTA($B149:$D149)+COUNTA($G149:$L149)+COUNTA($Q149))&gt;0),"",IF((IF($C149="","Falta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",""))="","✔ OK","⚠ "&amp;LEFT(IF($C149="","Falta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",""),LEN(IF($C149="","Falta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",""))-3)))</f>
        <v/>
      </c>
      <c r="S149" s="64">
        <f>IF(NOT((COUNTA($B149:$D149)+COUNTA($G149:$L149)+COUNTA($Q149))&gt;0),"",IF(AND($V149="Sub",N($U149)&gt;0),IF(ISNUMBER(INDEX($AM$5:$AM$1000,$U149-4)),DATE(YEAR(INDEX($AM$5:$AM$1000,$U149-4)),MONTH(INDEX($AM$5:$AM$1000,$U149-4)),1),IF(ISNUMBER(INDEX($AN$5:$AN$1000,$U149-4)),DATE(YEAR(INDEX($AN$5:$AN$1000,$U149-4)),MONTH(INDEX($AN$5:$AN$1000,$U149-4)),1),MesCiclo)),IF(ISNUMBER($AM149),DATE(YEAR($AM149),MONTH($AM149),1),IF(ISNUMBER($AN149),DATE(YEAR($AN149),MONTH($AN149),1),MesCiclo))))</f>
        <v/>
      </c>
      <c r="T149" s="62">
        <f>IF(OR($S149="",$S149&lt;&gt;MesCiclo),"",COUNTIF($S$5:$S149,MesCiclo))</f>
        <v/>
      </c>
      <c r="U149" s="62">
        <f>IF($V149="","",IF($V149="Macro",ROW(),IFERROR(LOOKUP(2,1/($V$5:$V149="Macro"),ROW($V$5:$V149)),0)))</f>
        <v/>
      </c>
      <c r="V149" s="62">
        <f>IF(NOT((COUNTA($B149:$D149)+COUNTA($G149:$L149)+COUNTA($Q149))&gt;0),"",IF($B149="Subactividad","Sub","Macro"))</f>
        <v/>
      </c>
      <c r="W149" s="62">
        <f>IF($V149="Macro",COUNTIFS($U$5:$U$1000,ROW(),$V$5:$V$1000,"Sub"),"")</f>
        <v/>
      </c>
      <c r="X149" s="62">
        <f>IF($V149="","",IF(ISNUMBER($G149),1,IFERROR(LOOKUP(2,1/($I149:$L149&lt;&gt;""),$I149:$L149),0)))</f>
        <v/>
      </c>
      <c r="Y149" s="62">
        <f>IF($V149="","",IF(AND(ISNUMBER($G149),$G149&lt;=IF($S149=MesCiclo,InicioCiclo,$S149+MOD(2-WEEKDAY($S149),7))+6),1,IF(ISNUMBER($I149),$I149,0)))</f>
        <v/>
      </c>
      <c r="Z149" s="62">
        <f>IF($V149="","",IF(AND(ISNUMBER($G149),$G149&lt;=IF($S149=MesCiclo,InicioCiclo,$S149+MOD(2-WEEKDAY($S149),7))+13),1,IF(ISNUMBER($J149),$J149,$Y149)))</f>
        <v/>
      </c>
      <c r="AA149" s="62">
        <f>IF($V149="","",IF(AND(ISNUMBER($G149),$G149&lt;=IF($S149=MesCiclo,InicioCiclo,$S149+MOD(2-WEEKDAY($S149),7))+20),1,IF(ISNUMBER($K149),$K149,$Z149)))</f>
        <v/>
      </c>
      <c r="AB149" s="62">
        <f>IF($V149="","",IF(AND(ISNUMBER($G149),$G149&lt;=IF($S149=MesCiclo,InicioCiclo,$S149+MOD(2-WEEKDAY($S149),7))+27),1,IF(ISNUMBER($L149),$L149,$AA149)))</f>
        <v/>
      </c>
      <c r="AC149" s="62">
        <f>IF($V149="","",IF(AND(ISNUMBER($G149),$G149&lt;=IF($S149=MesCiclo,InicioCiclo,$S149+MOD(2-WEEKDAY($S149),7))+6),1,IF(N($W149)&gt;0,AVERAGEIFS($Y$5:$Y$1000,$U$5:$U$1000,ROW(),$V$5:$V$1000,"Sub"),$Y149)))</f>
        <v/>
      </c>
      <c r="AD149" s="62">
        <f>IF($V149="","",IF(AND(ISNUMBER($G149),$G149&lt;=IF($S149=MesCiclo,InicioCiclo,$S149+MOD(2-WEEKDAY($S149),7))+13),1,IF(N($W149)&gt;0,AVERAGEIFS($Z$5:$Z$1000,$U$5:$U$1000,ROW(),$V$5:$V$1000,"Sub"),$Z149)))</f>
        <v/>
      </c>
      <c r="AE149" s="62">
        <f>IF($V149="","",IF(AND(ISNUMBER($G149),$G149&lt;=IF($S149=MesCiclo,InicioCiclo,$S149+MOD(2-WEEKDAY($S149),7))+20),1,IF(N($W149)&gt;0,AVERAGEIFS($AA$5:$AA$1000,$U$5:$U$1000,ROW(),$V$5:$V$1000,"Sub"),$AA149)))</f>
        <v/>
      </c>
      <c r="AF149" s="62">
        <f>IF($V149="","",IF(AND(ISNUMBER($G149),$G149&lt;=IF($S149=MesCiclo,InicioCiclo,$S149+MOD(2-WEEKDAY($S149),7))+27),1,IF(N($W149)&gt;0,AVERAGEIFS($AB$5:$AB$1000,$U$5:$U$1000,ROW(),$V$5:$V$1000,"Sub"),$AB149)))</f>
        <v/>
      </c>
      <c r="AG149" s="62">
        <f>IF($V149&lt;&gt;"Macro","",IF(COUNTIFS($S$5:$S$1000,$S149,$V$5:$V$1000,"Macro",$H$5:$H$1000,"&gt;0")=0,1/COUNTIFS($S$5:$S$1000,$S149,$V$5:$V$1000,"Macro"),IF(AND(ISNUMBER($H149),N($H149)&gt;0),$H149,SUMIFS($H$5:$H$1000,$S$5:$S$1000,$S149,$V$5:$V$1000,"Macro")/COUNTIFS($S$5:$S$1000,$S149,$V$5:$V$1000,"Macro",$H$5:$H$1000,"&gt;0"))/(COUNTIFS($S$5:$S$1000,$S149,$V$5:$V$1000,"Macro")*SUMIFS($H$5:$H$1000,$S$5:$S$1000,$S149,$V$5:$V$1000,"Macro")/COUNTIFS($S$5:$S$1000,$S149,$V$5:$V$1000,"Macro",$H$5:$H$1000,"&gt;0"))))</f>
        <v/>
      </c>
      <c r="AH149" s="62" t="n"/>
      <c r="AI149" s="62" t="n"/>
      <c r="AJ149" s="62" t="n"/>
      <c r="AK149" s="62" t="n"/>
      <c r="AL149" s="62">
        <f>IF(LEFT($C149,11)="[Jefatura] ",IFERROR(MATCH("Riesgo Normativo|"&amp;MID($C149,12,500),rDname_ADM,0),0),"")</f>
        <v/>
      </c>
      <c r="AM149" s="62">
        <f>IF(N($AL149)&gt;0,INDEX(rIni_ADM,$AL149),IF(ISNUMBER($E149),$E149,""))</f>
        <v/>
      </c>
      <c r="AN149" s="62">
        <f>IF(N($AL149)&gt;0,INDEX(rLim_ADM,$AL149),IF(ISNUMBER($F149),$F149,""))</f>
        <v/>
      </c>
    </row>
    <row r="150">
      <c r="A150" s="56">
        <f>IF(NOT((COUNTA($B150:$D150)+COUNTA($G150:$L150)+COUNTA($Q150))&gt;0),"",IF($V150="Macro",COUNTIFS($V$5:$V150,"Macro",$S$5:$S150,$S150),IF(N($U150)=0,"?",COUNTIFS(INDEX($V$5:$V$1000,1):INDEX($V$5:$V$1000,$U150-4),"Macro",INDEX($S$5:$S$1000,1):INDEX($S$5:$S$1000,$U150-4),INDEX($S$5:$S$1000,$U150-4))&amp;"."&amp;COUNTIFS($U$5:$U150,$U150,$V$5:$V150,"Sub"))))</f>
        <v/>
      </c>
      <c r="B150" s="57" t="n"/>
      <c r="C150" s="58" t="n"/>
      <c r="D150" s="58" t="n"/>
      <c r="E150" s="59">
        <f>IF(N($AL150)&gt;0,INDEX(rIni_ADM,$AL150),"")</f>
        <v/>
      </c>
      <c r="F150" s="59">
        <f>IF(N($AL150)&gt;0,INDEX(rLim_ADM,$AL150),"")</f>
        <v/>
      </c>
      <c r="G150" s="59" t="n"/>
      <c r="H150" s="60" t="n"/>
      <c r="I150" s="60" t="n"/>
      <c r="J150" s="60" t="n"/>
      <c r="K150" s="60" t="n"/>
      <c r="L150" s="60" t="n"/>
      <c r="M150" s="61">
        <f>IF(NOT((COUNTA($B150:$D150)+COUNTA($G150:$L150)+COUNTA($Q150))&gt;0),"",IF(ISNUMBER($G150),1,IF(N($W150)&gt;0,AVERAGEIFS($X$5:$X$1000,$U$5:$U$1000,ROW(),$V$5:$V$1000,"Sub"),$X150)))</f>
        <v/>
      </c>
      <c r="N150" s="56">
        <f>IF($M150="","",IF($M150&gt;=1,"Completado",IF($M150&gt;0,"En curso","Pendiente")))</f>
        <v/>
      </c>
      <c r="O150" s="56">
        <f>IF(NOT((COUNTA($B150:$D150)+COUNTA($G150:$L150)+COUNTA($Q150))&gt;0),"",IF(ISNUMBER($G150),IF(AND(ISNUMBER($AN150),$G150&gt;$AN150),"Cumplida con "&amp;($G150-$AN150)&amp;IF($G150-$AN150=1," día"," días")&amp;" de retraso","Cumplida"),IF(N($M150)&gt;=1,"Cumplida",IF(NOT(ISNUMBER($AN150)),"Sin fecha límite",IF($AN150&lt;FechaRef,"Vencida hace "&amp;(FechaRef-$AN150)&amp;IF(FechaRef-$AN150=1," día"," días"),IF($AN150=FechaRef,"Vence hoy",IF($AN150-FechaRef&lt;=DiasAlerta,"Vence en "&amp;($AN150-FechaRef)&amp;IF($AN150-FechaRef=1," día"," días"),"En plazo")))))))</f>
        <v/>
      </c>
      <c r="P150" s="62" t="n"/>
      <c r="Q150" s="58" t="n"/>
      <c r="R150" s="63">
        <f>IF(NOT((COUNTA($B150:$D150)+COUNTA($G150:$L150)+COUNTA($Q150))&gt;0),"",IF((IF($C150="","Falta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",""))="","✔ OK","⚠ "&amp;LEFT(IF($C150="","Falta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",""),LEN(IF($C150="","Falta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",""))-3)))</f>
        <v/>
      </c>
      <c r="S150" s="64">
        <f>IF(NOT((COUNTA($B150:$D150)+COUNTA($G150:$L150)+COUNTA($Q150))&gt;0),"",IF(AND($V150="Sub",N($U150)&gt;0),IF(ISNUMBER(INDEX($AM$5:$AM$1000,$U150-4)),DATE(YEAR(INDEX($AM$5:$AM$1000,$U150-4)),MONTH(INDEX($AM$5:$AM$1000,$U150-4)),1),IF(ISNUMBER(INDEX($AN$5:$AN$1000,$U150-4)),DATE(YEAR(INDEX($AN$5:$AN$1000,$U150-4)),MONTH(INDEX($AN$5:$AN$1000,$U150-4)),1),MesCiclo)),IF(ISNUMBER($AM150),DATE(YEAR($AM150),MONTH($AM150),1),IF(ISNUMBER($AN150),DATE(YEAR($AN150),MONTH($AN150),1),MesCiclo))))</f>
        <v/>
      </c>
      <c r="T150" s="62">
        <f>IF(OR($S150="",$S150&lt;&gt;MesCiclo),"",COUNTIF($S$5:$S150,MesCiclo))</f>
        <v/>
      </c>
      <c r="U150" s="62">
        <f>IF($V150="","",IF($V150="Macro",ROW(),IFERROR(LOOKUP(2,1/($V$5:$V150="Macro"),ROW($V$5:$V150)),0)))</f>
        <v/>
      </c>
      <c r="V150" s="62">
        <f>IF(NOT((COUNTA($B150:$D150)+COUNTA($G150:$L150)+COUNTA($Q150))&gt;0),"",IF($B150="Subactividad","Sub","Macro"))</f>
        <v/>
      </c>
      <c r="W150" s="62">
        <f>IF($V150="Macro",COUNTIFS($U$5:$U$1000,ROW(),$V$5:$V$1000,"Sub"),"")</f>
        <v/>
      </c>
      <c r="X150" s="62">
        <f>IF($V150="","",IF(ISNUMBER($G150),1,IFERROR(LOOKUP(2,1/($I150:$L150&lt;&gt;""),$I150:$L150),0)))</f>
        <v/>
      </c>
      <c r="Y150" s="62">
        <f>IF($V150="","",IF(AND(ISNUMBER($G150),$G150&lt;=IF($S150=MesCiclo,InicioCiclo,$S150+MOD(2-WEEKDAY($S150),7))+6),1,IF(ISNUMBER($I150),$I150,0)))</f>
        <v/>
      </c>
      <c r="Z150" s="62">
        <f>IF($V150="","",IF(AND(ISNUMBER($G150),$G150&lt;=IF($S150=MesCiclo,InicioCiclo,$S150+MOD(2-WEEKDAY($S150),7))+13),1,IF(ISNUMBER($J150),$J150,$Y150)))</f>
        <v/>
      </c>
      <c r="AA150" s="62">
        <f>IF($V150="","",IF(AND(ISNUMBER($G150),$G150&lt;=IF($S150=MesCiclo,InicioCiclo,$S150+MOD(2-WEEKDAY($S150),7))+20),1,IF(ISNUMBER($K150),$K150,$Z150)))</f>
        <v/>
      </c>
      <c r="AB150" s="62">
        <f>IF($V150="","",IF(AND(ISNUMBER($G150),$G150&lt;=IF($S150=MesCiclo,InicioCiclo,$S150+MOD(2-WEEKDAY($S150),7))+27),1,IF(ISNUMBER($L150),$L150,$AA150)))</f>
        <v/>
      </c>
      <c r="AC150" s="62">
        <f>IF($V150="","",IF(AND(ISNUMBER($G150),$G150&lt;=IF($S150=MesCiclo,InicioCiclo,$S150+MOD(2-WEEKDAY($S150),7))+6),1,IF(N($W150)&gt;0,AVERAGEIFS($Y$5:$Y$1000,$U$5:$U$1000,ROW(),$V$5:$V$1000,"Sub"),$Y150)))</f>
        <v/>
      </c>
      <c r="AD150" s="62">
        <f>IF($V150="","",IF(AND(ISNUMBER($G150),$G150&lt;=IF($S150=MesCiclo,InicioCiclo,$S150+MOD(2-WEEKDAY($S150),7))+13),1,IF(N($W150)&gt;0,AVERAGEIFS($Z$5:$Z$1000,$U$5:$U$1000,ROW(),$V$5:$V$1000,"Sub"),$Z150)))</f>
        <v/>
      </c>
      <c r="AE150" s="62">
        <f>IF($V150="","",IF(AND(ISNUMBER($G150),$G150&lt;=IF($S150=MesCiclo,InicioCiclo,$S150+MOD(2-WEEKDAY($S150),7))+20),1,IF(N($W150)&gt;0,AVERAGEIFS($AA$5:$AA$1000,$U$5:$U$1000,ROW(),$V$5:$V$1000,"Sub"),$AA150)))</f>
        <v/>
      </c>
      <c r="AF150" s="62">
        <f>IF($V150="","",IF(AND(ISNUMBER($G150),$G150&lt;=IF($S150=MesCiclo,InicioCiclo,$S150+MOD(2-WEEKDAY($S150),7))+27),1,IF(N($W150)&gt;0,AVERAGEIFS($AB$5:$AB$1000,$U$5:$U$1000,ROW(),$V$5:$V$1000,"Sub"),$AB150)))</f>
        <v/>
      </c>
      <c r="AG150" s="62">
        <f>IF($V150&lt;&gt;"Macro","",IF(COUNTIFS($S$5:$S$1000,$S150,$V$5:$V$1000,"Macro",$H$5:$H$1000,"&gt;0")=0,1/COUNTIFS($S$5:$S$1000,$S150,$V$5:$V$1000,"Macro"),IF(AND(ISNUMBER($H150),N($H150)&gt;0),$H150,SUMIFS($H$5:$H$1000,$S$5:$S$1000,$S150,$V$5:$V$1000,"Macro")/COUNTIFS($S$5:$S$1000,$S150,$V$5:$V$1000,"Macro",$H$5:$H$1000,"&gt;0"))/(COUNTIFS($S$5:$S$1000,$S150,$V$5:$V$1000,"Macro")*SUMIFS($H$5:$H$1000,$S$5:$S$1000,$S150,$V$5:$V$1000,"Macro")/COUNTIFS($S$5:$S$1000,$S150,$V$5:$V$1000,"Macro",$H$5:$H$1000,"&gt;0"))))</f>
        <v/>
      </c>
      <c r="AH150" s="62" t="n"/>
      <c r="AI150" s="62" t="n"/>
      <c r="AJ150" s="62" t="n"/>
      <c r="AK150" s="62" t="n"/>
      <c r="AL150" s="62">
        <f>IF(LEFT($C150,11)="[Jefatura] ",IFERROR(MATCH("Riesgo Normativo|"&amp;MID($C150,12,500),rDname_ADM,0),0),"")</f>
        <v/>
      </c>
      <c r="AM150" s="62">
        <f>IF(N($AL150)&gt;0,INDEX(rIni_ADM,$AL150),IF(ISNUMBER($E150),$E150,""))</f>
        <v/>
      </c>
      <c r="AN150" s="62">
        <f>IF(N($AL150)&gt;0,INDEX(rLim_ADM,$AL150),IF(ISNUMBER($F150),$F150,""))</f>
        <v/>
      </c>
    </row>
    <row r="151">
      <c r="A151" s="56">
        <f>IF(NOT((COUNTA($B151:$D151)+COUNTA($G151:$L151)+COUNTA($Q151))&gt;0),"",IF($V151="Macro",COUNTIFS($V$5:$V151,"Macro",$S$5:$S151,$S151),IF(N($U151)=0,"?",COUNTIFS(INDEX($V$5:$V$1000,1):INDEX($V$5:$V$1000,$U151-4),"Macro",INDEX($S$5:$S$1000,1):INDEX($S$5:$S$1000,$U151-4),INDEX($S$5:$S$1000,$U151-4))&amp;"."&amp;COUNTIFS($U$5:$U151,$U151,$V$5:$V151,"Sub"))))</f>
        <v/>
      </c>
      <c r="B151" s="57" t="n"/>
      <c r="C151" s="58" t="n"/>
      <c r="D151" s="58" t="n"/>
      <c r="E151" s="59">
        <f>IF(N($AL151)&gt;0,INDEX(rIni_ADM,$AL151),"")</f>
        <v/>
      </c>
      <c r="F151" s="59">
        <f>IF(N($AL151)&gt;0,INDEX(rLim_ADM,$AL151),"")</f>
        <v/>
      </c>
      <c r="G151" s="59" t="n"/>
      <c r="H151" s="60" t="n"/>
      <c r="I151" s="60" t="n"/>
      <c r="J151" s="60" t="n"/>
      <c r="K151" s="60" t="n"/>
      <c r="L151" s="60" t="n"/>
      <c r="M151" s="61">
        <f>IF(NOT((COUNTA($B151:$D151)+COUNTA($G151:$L151)+COUNTA($Q151))&gt;0),"",IF(ISNUMBER($G151),1,IF(N($W151)&gt;0,AVERAGEIFS($X$5:$X$1000,$U$5:$U$1000,ROW(),$V$5:$V$1000,"Sub"),$X151)))</f>
        <v/>
      </c>
      <c r="N151" s="56">
        <f>IF($M151="","",IF($M151&gt;=1,"Completado",IF($M151&gt;0,"En curso","Pendiente")))</f>
        <v/>
      </c>
      <c r="O151" s="56">
        <f>IF(NOT((COUNTA($B151:$D151)+COUNTA($G151:$L151)+COUNTA($Q151))&gt;0),"",IF(ISNUMBER($G151),IF(AND(ISNUMBER($AN151),$G151&gt;$AN151),"Cumplida con "&amp;($G151-$AN151)&amp;IF($G151-$AN151=1," día"," días")&amp;" de retraso","Cumplida"),IF(N($M151)&gt;=1,"Cumplida",IF(NOT(ISNUMBER($AN151)),"Sin fecha límite",IF($AN151&lt;FechaRef,"Vencida hace "&amp;(FechaRef-$AN151)&amp;IF(FechaRef-$AN151=1," día"," días"),IF($AN151=FechaRef,"Vence hoy",IF($AN151-FechaRef&lt;=DiasAlerta,"Vence en "&amp;($AN151-FechaRef)&amp;IF($AN151-FechaRef=1," día"," días"),"En plazo")))))))</f>
        <v/>
      </c>
      <c r="P151" s="62" t="n"/>
      <c r="Q151" s="58" t="n"/>
      <c r="R151" s="63">
        <f>IF(NOT((COUNTA($B151:$D151)+COUNTA($G151:$L151)+COUNTA($Q151))&gt;0),"",IF((IF($C151="","Falta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",""))="","✔ OK","⚠ "&amp;LEFT(IF($C151="","Falta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",""),LEN(IF($C151="","Falta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",""))-3)))</f>
        <v/>
      </c>
      <c r="S151" s="64">
        <f>IF(NOT((COUNTA($B151:$D151)+COUNTA($G151:$L151)+COUNTA($Q151))&gt;0),"",IF(AND($V151="Sub",N($U151)&gt;0),IF(ISNUMBER(INDEX($AM$5:$AM$1000,$U151-4)),DATE(YEAR(INDEX($AM$5:$AM$1000,$U151-4)),MONTH(INDEX($AM$5:$AM$1000,$U151-4)),1),IF(ISNUMBER(INDEX($AN$5:$AN$1000,$U151-4)),DATE(YEAR(INDEX($AN$5:$AN$1000,$U151-4)),MONTH(INDEX($AN$5:$AN$1000,$U151-4)),1),MesCiclo)),IF(ISNUMBER($AM151),DATE(YEAR($AM151),MONTH($AM151),1),IF(ISNUMBER($AN151),DATE(YEAR($AN151),MONTH($AN151),1),MesCiclo))))</f>
        <v/>
      </c>
      <c r="T151" s="62">
        <f>IF(OR($S151="",$S151&lt;&gt;MesCiclo),"",COUNTIF($S$5:$S151,MesCiclo))</f>
        <v/>
      </c>
      <c r="U151" s="62">
        <f>IF($V151="","",IF($V151="Macro",ROW(),IFERROR(LOOKUP(2,1/($V$5:$V151="Macro"),ROW($V$5:$V151)),0)))</f>
        <v/>
      </c>
      <c r="V151" s="62">
        <f>IF(NOT((COUNTA($B151:$D151)+COUNTA($G151:$L151)+COUNTA($Q151))&gt;0),"",IF($B151="Subactividad","Sub","Macro"))</f>
        <v/>
      </c>
      <c r="W151" s="62">
        <f>IF($V151="Macro",COUNTIFS($U$5:$U$1000,ROW(),$V$5:$V$1000,"Sub"),"")</f>
        <v/>
      </c>
      <c r="X151" s="62">
        <f>IF($V151="","",IF(ISNUMBER($G151),1,IFERROR(LOOKUP(2,1/($I151:$L151&lt;&gt;""),$I151:$L151),0)))</f>
        <v/>
      </c>
      <c r="Y151" s="62">
        <f>IF($V151="","",IF(AND(ISNUMBER($G151),$G151&lt;=IF($S151=MesCiclo,InicioCiclo,$S151+MOD(2-WEEKDAY($S151),7))+6),1,IF(ISNUMBER($I151),$I151,0)))</f>
        <v/>
      </c>
      <c r="Z151" s="62">
        <f>IF($V151="","",IF(AND(ISNUMBER($G151),$G151&lt;=IF($S151=MesCiclo,InicioCiclo,$S151+MOD(2-WEEKDAY($S151),7))+13),1,IF(ISNUMBER($J151),$J151,$Y151)))</f>
        <v/>
      </c>
      <c r="AA151" s="62">
        <f>IF($V151="","",IF(AND(ISNUMBER($G151),$G151&lt;=IF($S151=MesCiclo,InicioCiclo,$S151+MOD(2-WEEKDAY($S151),7))+20),1,IF(ISNUMBER($K151),$K151,$Z151)))</f>
        <v/>
      </c>
      <c r="AB151" s="62">
        <f>IF($V151="","",IF(AND(ISNUMBER($G151),$G151&lt;=IF($S151=MesCiclo,InicioCiclo,$S151+MOD(2-WEEKDAY($S151),7))+27),1,IF(ISNUMBER($L151),$L151,$AA151)))</f>
        <v/>
      </c>
      <c r="AC151" s="62">
        <f>IF($V151="","",IF(AND(ISNUMBER($G151),$G151&lt;=IF($S151=MesCiclo,InicioCiclo,$S151+MOD(2-WEEKDAY($S151),7))+6),1,IF(N($W151)&gt;0,AVERAGEIFS($Y$5:$Y$1000,$U$5:$U$1000,ROW(),$V$5:$V$1000,"Sub"),$Y151)))</f>
        <v/>
      </c>
      <c r="AD151" s="62">
        <f>IF($V151="","",IF(AND(ISNUMBER($G151),$G151&lt;=IF($S151=MesCiclo,InicioCiclo,$S151+MOD(2-WEEKDAY($S151),7))+13),1,IF(N($W151)&gt;0,AVERAGEIFS($Z$5:$Z$1000,$U$5:$U$1000,ROW(),$V$5:$V$1000,"Sub"),$Z151)))</f>
        <v/>
      </c>
      <c r="AE151" s="62">
        <f>IF($V151="","",IF(AND(ISNUMBER($G151),$G151&lt;=IF($S151=MesCiclo,InicioCiclo,$S151+MOD(2-WEEKDAY($S151),7))+20),1,IF(N($W151)&gt;0,AVERAGEIFS($AA$5:$AA$1000,$U$5:$U$1000,ROW(),$V$5:$V$1000,"Sub"),$AA151)))</f>
        <v/>
      </c>
      <c r="AF151" s="62">
        <f>IF($V151="","",IF(AND(ISNUMBER($G151),$G151&lt;=IF($S151=MesCiclo,InicioCiclo,$S151+MOD(2-WEEKDAY($S151),7))+27),1,IF(N($W151)&gt;0,AVERAGEIFS($AB$5:$AB$1000,$U$5:$U$1000,ROW(),$V$5:$V$1000,"Sub"),$AB151)))</f>
        <v/>
      </c>
      <c r="AG151" s="62">
        <f>IF($V151&lt;&gt;"Macro","",IF(COUNTIFS($S$5:$S$1000,$S151,$V$5:$V$1000,"Macro",$H$5:$H$1000,"&gt;0")=0,1/COUNTIFS($S$5:$S$1000,$S151,$V$5:$V$1000,"Macro"),IF(AND(ISNUMBER($H151),N($H151)&gt;0),$H151,SUMIFS($H$5:$H$1000,$S$5:$S$1000,$S151,$V$5:$V$1000,"Macro")/COUNTIFS($S$5:$S$1000,$S151,$V$5:$V$1000,"Macro",$H$5:$H$1000,"&gt;0"))/(COUNTIFS($S$5:$S$1000,$S151,$V$5:$V$1000,"Macro")*SUMIFS($H$5:$H$1000,$S$5:$S$1000,$S151,$V$5:$V$1000,"Macro")/COUNTIFS($S$5:$S$1000,$S151,$V$5:$V$1000,"Macro",$H$5:$H$1000,"&gt;0"))))</f>
        <v/>
      </c>
      <c r="AH151" s="62" t="n"/>
      <c r="AI151" s="62" t="n"/>
      <c r="AJ151" s="62" t="n"/>
      <c r="AK151" s="62" t="n"/>
      <c r="AL151" s="62">
        <f>IF(LEFT($C151,11)="[Jefatura] ",IFERROR(MATCH("Riesgo Normativo|"&amp;MID($C151,12,500),rDname_ADM,0),0),"")</f>
        <v/>
      </c>
      <c r="AM151" s="62">
        <f>IF(N($AL151)&gt;0,INDEX(rIni_ADM,$AL151),IF(ISNUMBER($E151),$E151,""))</f>
        <v/>
      </c>
      <c r="AN151" s="62">
        <f>IF(N($AL151)&gt;0,INDEX(rLim_ADM,$AL151),IF(ISNUMBER($F151),$F151,""))</f>
        <v/>
      </c>
    </row>
    <row r="152">
      <c r="A152" s="56">
        <f>IF(NOT((COUNTA($B152:$D152)+COUNTA($G152:$L152)+COUNTA($Q152))&gt;0),"",IF($V152="Macro",COUNTIFS($V$5:$V152,"Macro",$S$5:$S152,$S152),IF(N($U152)=0,"?",COUNTIFS(INDEX($V$5:$V$1000,1):INDEX($V$5:$V$1000,$U152-4),"Macro",INDEX($S$5:$S$1000,1):INDEX($S$5:$S$1000,$U152-4),INDEX($S$5:$S$1000,$U152-4))&amp;"."&amp;COUNTIFS($U$5:$U152,$U152,$V$5:$V152,"Sub"))))</f>
        <v/>
      </c>
      <c r="B152" s="57" t="n"/>
      <c r="C152" s="58" t="n"/>
      <c r="D152" s="58" t="n"/>
      <c r="E152" s="59">
        <f>IF(N($AL152)&gt;0,INDEX(rIni_ADM,$AL152),"")</f>
        <v/>
      </c>
      <c r="F152" s="59">
        <f>IF(N($AL152)&gt;0,INDEX(rLim_ADM,$AL152),"")</f>
        <v/>
      </c>
      <c r="G152" s="59" t="n"/>
      <c r="H152" s="60" t="n"/>
      <c r="I152" s="60" t="n"/>
      <c r="J152" s="60" t="n"/>
      <c r="K152" s="60" t="n"/>
      <c r="L152" s="60" t="n"/>
      <c r="M152" s="61">
        <f>IF(NOT((COUNTA($B152:$D152)+COUNTA($G152:$L152)+COUNTA($Q152))&gt;0),"",IF(ISNUMBER($G152),1,IF(N($W152)&gt;0,AVERAGEIFS($X$5:$X$1000,$U$5:$U$1000,ROW(),$V$5:$V$1000,"Sub"),$X152)))</f>
        <v/>
      </c>
      <c r="N152" s="56">
        <f>IF($M152="","",IF($M152&gt;=1,"Completado",IF($M152&gt;0,"En curso","Pendiente")))</f>
        <v/>
      </c>
      <c r="O152" s="56">
        <f>IF(NOT((COUNTA($B152:$D152)+COUNTA($G152:$L152)+COUNTA($Q152))&gt;0),"",IF(ISNUMBER($G152),IF(AND(ISNUMBER($AN152),$G152&gt;$AN152),"Cumplida con "&amp;($G152-$AN152)&amp;IF($G152-$AN152=1," día"," días")&amp;" de retraso","Cumplida"),IF(N($M152)&gt;=1,"Cumplida",IF(NOT(ISNUMBER($AN152)),"Sin fecha límite",IF($AN152&lt;FechaRef,"Vencida hace "&amp;(FechaRef-$AN152)&amp;IF(FechaRef-$AN152=1," día"," días"),IF($AN152=FechaRef,"Vence hoy",IF($AN152-FechaRef&lt;=DiasAlerta,"Vence en "&amp;($AN152-FechaRef)&amp;IF($AN152-FechaRef=1," día"," días"),"En plazo")))))))</f>
        <v/>
      </c>
      <c r="P152" s="62" t="n"/>
      <c r="Q152" s="58" t="n"/>
      <c r="R152" s="63">
        <f>IF(NOT((COUNTA($B152:$D152)+COUNTA($G152:$L152)+COUNTA($Q152))&gt;0),"",IF((IF($C152="","Falta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",""))="","✔ OK","⚠ "&amp;LEFT(IF($C152="","Falta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",""),LEN(IF($C152="","Falta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",""))-3)))</f>
        <v/>
      </c>
      <c r="S152" s="64">
        <f>IF(NOT((COUNTA($B152:$D152)+COUNTA($G152:$L152)+COUNTA($Q152))&gt;0),"",IF(AND($V152="Sub",N($U152)&gt;0),IF(ISNUMBER(INDEX($AM$5:$AM$1000,$U152-4)),DATE(YEAR(INDEX($AM$5:$AM$1000,$U152-4)),MONTH(INDEX($AM$5:$AM$1000,$U152-4)),1),IF(ISNUMBER(INDEX($AN$5:$AN$1000,$U152-4)),DATE(YEAR(INDEX($AN$5:$AN$1000,$U152-4)),MONTH(INDEX($AN$5:$AN$1000,$U152-4)),1),MesCiclo)),IF(ISNUMBER($AM152),DATE(YEAR($AM152),MONTH($AM152),1),IF(ISNUMBER($AN152),DATE(YEAR($AN152),MONTH($AN152),1),MesCiclo))))</f>
        <v/>
      </c>
      <c r="T152" s="62">
        <f>IF(OR($S152="",$S152&lt;&gt;MesCiclo),"",COUNTIF($S$5:$S152,MesCiclo))</f>
        <v/>
      </c>
      <c r="U152" s="62">
        <f>IF($V152="","",IF($V152="Macro",ROW(),IFERROR(LOOKUP(2,1/($V$5:$V152="Macro"),ROW($V$5:$V152)),0)))</f>
        <v/>
      </c>
      <c r="V152" s="62">
        <f>IF(NOT((COUNTA($B152:$D152)+COUNTA($G152:$L152)+COUNTA($Q152))&gt;0),"",IF($B152="Subactividad","Sub","Macro"))</f>
        <v/>
      </c>
      <c r="W152" s="62">
        <f>IF($V152="Macro",COUNTIFS($U$5:$U$1000,ROW(),$V$5:$V$1000,"Sub"),"")</f>
        <v/>
      </c>
      <c r="X152" s="62">
        <f>IF($V152="","",IF(ISNUMBER($G152),1,IFERROR(LOOKUP(2,1/($I152:$L152&lt;&gt;""),$I152:$L152),0)))</f>
        <v/>
      </c>
      <c r="Y152" s="62">
        <f>IF($V152="","",IF(AND(ISNUMBER($G152),$G152&lt;=IF($S152=MesCiclo,InicioCiclo,$S152+MOD(2-WEEKDAY($S152),7))+6),1,IF(ISNUMBER($I152),$I152,0)))</f>
        <v/>
      </c>
      <c r="Z152" s="62">
        <f>IF($V152="","",IF(AND(ISNUMBER($G152),$G152&lt;=IF($S152=MesCiclo,InicioCiclo,$S152+MOD(2-WEEKDAY($S152),7))+13),1,IF(ISNUMBER($J152),$J152,$Y152)))</f>
        <v/>
      </c>
      <c r="AA152" s="62">
        <f>IF($V152="","",IF(AND(ISNUMBER($G152),$G152&lt;=IF($S152=MesCiclo,InicioCiclo,$S152+MOD(2-WEEKDAY($S152),7))+20),1,IF(ISNUMBER($K152),$K152,$Z152)))</f>
        <v/>
      </c>
      <c r="AB152" s="62">
        <f>IF($V152="","",IF(AND(ISNUMBER($G152),$G152&lt;=IF($S152=MesCiclo,InicioCiclo,$S152+MOD(2-WEEKDAY($S152),7))+27),1,IF(ISNUMBER($L152),$L152,$AA152)))</f>
        <v/>
      </c>
      <c r="AC152" s="62">
        <f>IF($V152="","",IF(AND(ISNUMBER($G152),$G152&lt;=IF($S152=MesCiclo,InicioCiclo,$S152+MOD(2-WEEKDAY($S152),7))+6),1,IF(N($W152)&gt;0,AVERAGEIFS($Y$5:$Y$1000,$U$5:$U$1000,ROW(),$V$5:$V$1000,"Sub"),$Y152)))</f>
        <v/>
      </c>
      <c r="AD152" s="62">
        <f>IF($V152="","",IF(AND(ISNUMBER($G152),$G152&lt;=IF($S152=MesCiclo,InicioCiclo,$S152+MOD(2-WEEKDAY($S152),7))+13),1,IF(N($W152)&gt;0,AVERAGEIFS($Z$5:$Z$1000,$U$5:$U$1000,ROW(),$V$5:$V$1000,"Sub"),$Z152)))</f>
        <v/>
      </c>
      <c r="AE152" s="62">
        <f>IF($V152="","",IF(AND(ISNUMBER($G152),$G152&lt;=IF($S152=MesCiclo,InicioCiclo,$S152+MOD(2-WEEKDAY($S152),7))+20),1,IF(N($W152)&gt;0,AVERAGEIFS($AA$5:$AA$1000,$U$5:$U$1000,ROW(),$V$5:$V$1000,"Sub"),$AA152)))</f>
        <v/>
      </c>
      <c r="AF152" s="62">
        <f>IF($V152="","",IF(AND(ISNUMBER($G152),$G152&lt;=IF($S152=MesCiclo,InicioCiclo,$S152+MOD(2-WEEKDAY($S152),7))+27),1,IF(N($W152)&gt;0,AVERAGEIFS($AB$5:$AB$1000,$U$5:$U$1000,ROW(),$V$5:$V$1000,"Sub"),$AB152)))</f>
        <v/>
      </c>
      <c r="AG152" s="62">
        <f>IF($V152&lt;&gt;"Macro","",IF(COUNTIFS($S$5:$S$1000,$S152,$V$5:$V$1000,"Macro",$H$5:$H$1000,"&gt;0")=0,1/COUNTIFS($S$5:$S$1000,$S152,$V$5:$V$1000,"Macro"),IF(AND(ISNUMBER($H152),N($H152)&gt;0),$H152,SUMIFS($H$5:$H$1000,$S$5:$S$1000,$S152,$V$5:$V$1000,"Macro")/COUNTIFS($S$5:$S$1000,$S152,$V$5:$V$1000,"Macro",$H$5:$H$1000,"&gt;0"))/(COUNTIFS($S$5:$S$1000,$S152,$V$5:$V$1000,"Macro")*SUMIFS($H$5:$H$1000,$S$5:$S$1000,$S152,$V$5:$V$1000,"Macro")/COUNTIFS($S$5:$S$1000,$S152,$V$5:$V$1000,"Macro",$H$5:$H$1000,"&gt;0"))))</f>
        <v/>
      </c>
      <c r="AH152" s="62" t="n"/>
      <c r="AI152" s="62" t="n"/>
      <c r="AJ152" s="62" t="n"/>
      <c r="AK152" s="62" t="n"/>
      <c r="AL152" s="62">
        <f>IF(LEFT($C152,11)="[Jefatura] ",IFERROR(MATCH("Riesgo Normativo|"&amp;MID($C152,12,500),rDname_ADM,0),0),"")</f>
        <v/>
      </c>
      <c r="AM152" s="62">
        <f>IF(N($AL152)&gt;0,INDEX(rIni_ADM,$AL152),IF(ISNUMBER($E152),$E152,""))</f>
        <v/>
      </c>
      <c r="AN152" s="62">
        <f>IF(N($AL152)&gt;0,INDEX(rLim_ADM,$AL152),IF(ISNUMBER($F152),$F152,""))</f>
        <v/>
      </c>
    </row>
    <row r="153">
      <c r="A153" s="56">
        <f>IF(NOT((COUNTA($B153:$D153)+COUNTA($G153:$L153)+COUNTA($Q153))&gt;0),"",IF($V153="Macro",COUNTIFS($V$5:$V153,"Macro",$S$5:$S153,$S153),IF(N($U153)=0,"?",COUNTIFS(INDEX($V$5:$V$1000,1):INDEX($V$5:$V$1000,$U153-4),"Macro",INDEX($S$5:$S$1000,1):INDEX($S$5:$S$1000,$U153-4),INDEX($S$5:$S$1000,$U153-4))&amp;"."&amp;COUNTIFS($U$5:$U153,$U153,$V$5:$V153,"Sub"))))</f>
        <v/>
      </c>
      <c r="B153" s="57" t="n"/>
      <c r="C153" s="58" t="n"/>
      <c r="D153" s="58" t="n"/>
      <c r="E153" s="59">
        <f>IF(N($AL153)&gt;0,INDEX(rIni_ADM,$AL153),"")</f>
        <v/>
      </c>
      <c r="F153" s="59">
        <f>IF(N($AL153)&gt;0,INDEX(rLim_ADM,$AL153),"")</f>
        <v/>
      </c>
      <c r="G153" s="59" t="n"/>
      <c r="H153" s="60" t="n"/>
      <c r="I153" s="60" t="n"/>
      <c r="J153" s="60" t="n"/>
      <c r="K153" s="60" t="n"/>
      <c r="L153" s="60" t="n"/>
      <c r="M153" s="61">
        <f>IF(NOT((COUNTA($B153:$D153)+COUNTA($G153:$L153)+COUNTA($Q153))&gt;0),"",IF(ISNUMBER($G153),1,IF(N($W153)&gt;0,AVERAGEIFS($X$5:$X$1000,$U$5:$U$1000,ROW(),$V$5:$V$1000,"Sub"),$X153)))</f>
        <v/>
      </c>
      <c r="N153" s="56">
        <f>IF($M153="","",IF($M153&gt;=1,"Completado",IF($M153&gt;0,"En curso","Pendiente")))</f>
        <v/>
      </c>
      <c r="O153" s="56">
        <f>IF(NOT((COUNTA($B153:$D153)+COUNTA($G153:$L153)+COUNTA($Q153))&gt;0),"",IF(ISNUMBER($G153),IF(AND(ISNUMBER($AN153),$G153&gt;$AN153),"Cumplida con "&amp;($G153-$AN153)&amp;IF($G153-$AN153=1," día"," días")&amp;" de retraso","Cumplida"),IF(N($M153)&gt;=1,"Cumplida",IF(NOT(ISNUMBER($AN153)),"Sin fecha límite",IF($AN153&lt;FechaRef,"Vencida hace "&amp;(FechaRef-$AN153)&amp;IF(FechaRef-$AN153=1," día"," días"),IF($AN153=FechaRef,"Vence hoy",IF($AN153-FechaRef&lt;=DiasAlerta,"Vence en "&amp;($AN153-FechaRef)&amp;IF($AN153-FechaRef=1," día"," días"),"En plazo")))))))</f>
        <v/>
      </c>
      <c r="P153" s="62" t="n"/>
      <c r="Q153" s="58" t="n"/>
      <c r="R153" s="63">
        <f>IF(NOT((COUNTA($B153:$D153)+COUNTA($G153:$L153)+COUNTA($Q153))&gt;0),"",IF((IF($C153="","Falta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",""))="","✔ OK","⚠ "&amp;LEFT(IF($C153="","Falta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",""),LEN(IF($C153="","Falta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",""))-3)))</f>
        <v/>
      </c>
      <c r="S153" s="64">
        <f>IF(NOT((COUNTA($B153:$D153)+COUNTA($G153:$L153)+COUNTA($Q153))&gt;0),"",IF(AND($V153="Sub",N($U153)&gt;0),IF(ISNUMBER(INDEX($AM$5:$AM$1000,$U153-4)),DATE(YEAR(INDEX($AM$5:$AM$1000,$U153-4)),MONTH(INDEX($AM$5:$AM$1000,$U153-4)),1),IF(ISNUMBER(INDEX($AN$5:$AN$1000,$U153-4)),DATE(YEAR(INDEX($AN$5:$AN$1000,$U153-4)),MONTH(INDEX($AN$5:$AN$1000,$U153-4)),1),MesCiclo)),IF(ISNUMBER($AM153),DATE(YEAR($AM153),MONTH($AM153),1),IF(ISNUMBER($AN153),DATE(YEAR($AN153),MONTH($AN153),1),MesCiclo))))</f>
        <v/>
      </c>
      <c r="T153" s="62">
        <f>IF(OR($S153="",$S153&lt;&gt;MesCiclo),"",COUNTIF($S$5:$S153,MesCiclo))</f>
        <v/>
      </c>
      <c r="U153" s="62">
        <f>IF($V153="","",IF($V153="Macro",ROW(),IFERROR(LOOKUP(2,1/($V$5:$V153="Macro"),ROW($V$5:$V153)),0)))</f>
        <v/>
      </c>
      <c r="V153" s="62">
        <f>IF(NOT((COUNTA($B153:$D153)+COUNTA($G153:$L153)+COUNTA($Q153))&gt;0),"",IF($B153="Subactividad","Sub","Macro"))</f>
        <v/>
      </c>
      <c r="W153" s="62">
        <f>IF($V153="Macro",COUNTIFS($U$5:$U$1000,ROW(),$V$5:$V$1000,"Sub"),"")</f>
        <v/>
      </c>
      <c r="X153" s="62">
        <f>IF($V153="","",IF(ISNUMBER($G153),1,IFERROR(LOOKUP(2,1/($I153:$L153&lt;&gt;""),$I153:$L153),0)))</f>
        <v/>
      </c>
      <c r="Y153" s="62">
        <f>IF($V153="","",IF(AND(ISNUMBER($G153),$G153&lt;=IF($S153=MesCiclo,InicioCiclo,$S153+MOD(2-WEEKDAY($S153),7))+6),1,IF(ISNUMBER($I153),$I153,0)))</f>
        <v/>
      </c>
      <c r="Z153" s="62">
        <f>IF($V153="","",IF(AND(ISNUMBER($G153),$G153&lt;=IF($S153=MesCiclo,InicioCiclo,$S153+MOD(2-WEEKDAY($S153),7))+13),1,IF(ISNUMBER($J153),$J153,$Y153)))</f>
        <v/>
      </c>
      <c r="AA153" s="62">
        <f>IF($V153="","",IF(AND(ISNUMBER($G153),$G153&lt;=IF($S153=MesCiclo,InicioCiclo,$S153+MOD(2-WEEKDAY($S153),7))+20),1,IF(ISNUMBER($K153),$K153,$Z153)))</f>
        <v/>
      </c>
      <c r="AB153" s="62">
        <f>IF($V153="","",IF(AND(ISNUMBER($G153),$G153&lt;=IF($S153=MesCiclo,InicioCiclo,$S153+MOD(2-WEEKDAY($S153),7))+27),1,IF(ISNUMBER($L153),$L153,$AA153)))</f>
        <v/>
      </c>
      <c r="AC153" s="62">
        <f>IF($V153="","",IF(AND(ISNUMBER($G153),$G153&lt;=IF($S153=MesCiclo,InicioCiclo,$S153+MOD(2-WEEKDAY($S153),7))+6),1,IF(N($W153)&gt;0,AVERAGEIFS($Y$5:$Y$1000,$U$5:$U$1000,ROW(),$V$5:$V$1000,"Sub"),$Y153)))</f>
        <v/>
      </c>
      <c r="AD153" s="62">
        <f>IF($V153="","",IF(AND(ISNUMBER($G153),$G153&lt;=IF($S153=MesCiclo,InicioCiclo,$S153+MOD(2-WEEKDAY($S153),7))+13),1,IF(N($W153)&gt;0,AVERAGEIFS($Z$5:$Z$1000,$U$5:$U$1000,ROW(),$V$5:$V$1000,"Sub"),$Z153)))</f>
        <v/>
      </c>
      <c r="AE153" s="62">
        <f>IF($V153="","",IF(AND(ISNUMBER($G153),$G153&lt;=IF($S153=MesCiclo,InicioCiclo,$S153+MOD(2-WEEKDAY($S153),7))+20),1,IF(N($W153)&gt;0,AVERAGEIFS($AA$5:$AA$1000,$U$5:$U$1000,ROW(),$V$5:$V$1000,"Sub"),$AA153)))</f>
        <v/>
      </c>
      <c r="AF153" s="62">
        <f>IF($V153="","",IF(AND(ISNUMBER($G153),$G153&lt;=IF($S153=MesCiclo,InicioCiclo,$S153+MOD(2-WEEKDAY($S153),7))+27),1,IF(N($W153)&gt;0,AVERAGEIFS($AB$5:$AB$1000,$U$5:$U$1000,ROW(),$V$5:$V$1000,"Sub"),$AB153)))</f>
        <v/>
      </c>
      <c r="AG153" s="62">
        <f>IF($V153&lt;&gt;"Macro","",IF(COUNTIFS($S$5:$S$1000,$S153,$V$5:$V$1000,"Macro",$H$5:$H$1000,"&gt;0")=0,1/COUNTIFS($S$5:$S$1000,$S153,$V$5:$V$1000,"Macro"),IF(AND(ISNUMBER($H153),N($H153)&gt;0),$H153,SUMIFS($H$5:$H$1000,$S$5:$S$1000,$S153,$V$5:$V$1000,"Macro")/COUNTIFS($S$5:$S$1000,$S153,$V$5:$V$1000,"Macro",$H$5:$H$1000,"&gt;0"))/(COUNTIFS($S$5:$S$1000,$S153,$V$5:$V$1000,"Macro")*SUMIFS($H$5:$H$1000,$S$5:$S$1000,$S153,$V$5:$V$1000,"Macro")/COUNTIFS($S$5:$S$1000,$S153,$V$5:$V$1000,"Macro",$H$5:$H$1000,"&gt;0"))))</f>
        <v/>
      </c>
      <c r="AH153" s="62" t="n"/>
      <c r="AI153" s="62" t="n"/>
      <c r="AJ153" s="62" t="n"/>
      <c r="AK153" s="62" t="n"/>
      <c r="AL153" s="62">
        <f>IF(LEFT($C153,11)="[Jefatura] ",IFERROR(MATCH("Riesgo Normativo|"&amp;MID($C153,12,500),rDname_ADM,0),0),"")</f>
        <v/>
      </c>
      <c r="AM153" s="62">
        <f>IF(N($AL153)&gt;0,INDEX(rIni_ADM,$AL153),IF(ISNUMBER($E153),$E153,""))</f>
        <v/>
      </c>
      <c r="AN153" s="62">
        <f>IF(N($AL153)&gt;0,INDEX(rLim_ADM,$AL153),IF(ISNUMBER($F153),$F153,""))</f>
        <v/>
      </c>
    </row>
    <row r="154">
      <c r="A154" s="56">
        <f>IF(NOT((COUNTA($B154:$D154)+COUNTA($G154:$L154)+COUNTA($Q154))&gt;0),"",IF($V154="Macro",COUNTIFS($V$5:$V154,"Macro",$S$5:$S154,$S154),IF(N($U154)=0,"?",COUNTIFS(INDEX($V$5:$V$1000,1):INDEX($V$5:$V$1000,$U154-4),"Macro",INDEX($S$5:$S$1000,1):INDEX($S$5:$S$1000,$U154-4),INDEX($S$5:$S$1000,$U154-4))&amp;"."&amp;COUNTIFS($U$5:$U154,$U154,$V$5:$V154,"Sub"))))</f>
        <v/>
      </c>
      <c r="B154" s="57" t="n"/>
      <c r="C154" s="58" t="n"/>
      <c r="D154" s="58" t="n"/>
      <c r="E154" s="59">
        <f>IF(N($AL154)&gt;0,INDEX(rIni_ADM,$AL154),"")</f>
        <v/>
      </c>
      <c r="F154" s="59">
        <f>IF(N($AL154)&gt;0,INDEX(rLim_ADM,$AL154),"")</f>
        <v/>
      </c>
      <c r="G154" s="59" t="n"/>
      <c r="H154" s="60" t="n"/>
      <c r="I154" s="60" t="n"/>
      <c r="J154" s="60" t="n"/>
      <c r="K154" s="60" t="n"/>
      <c r="L154" s="60" t="n"/>
      <c r="M154" s="61">
        <f>IF(NOT((COUNTA($B154:$D154)+COUNTA($G154:$L154)+COUNTA($Q154))&gt;0),"",IF(ISNUMBER($G154),1,IF(N($W154)&gt;0,AVERAGEIFS($X$5:$X$1000,$U$5:$U$1000,ROW(),$V$5:$V$1000,"Sub"),$X154)))</f>
        <v/>
      </c>
      <c r="N154" s="56">
        <f>IF($M154="","",IF($M154&gt;=1,"Completado",IF($M154&gt;0,"En curso","Pendiente")))</f>
        <v/>
      </c>
      <c r="O154" s="56">
        <f>IF(NOT((COUNTA($B154:$D154)+COUNTA($G154:$L154)+COUNTA($Q154))&gt;0),"",IF(ISNUMBER($G154),IF(AND(ISNUMBER($AN154),$G154&gt;$AN154),"Cumplida con "&amp;($G154-$AN154)&amp;IF($G154-$AN154=1," día"," días")&amp;" de retraso","Cumplida"),IF(N($M154)&gt;=1,"Cumplida",IF(NOT(ISNUMBER($AN154)),"Sin fecha límite",IF($AN154&lt;FechaRef,"Vencida hace "&amp;(FechaRef-$AN154)&amp;IF(FechaRef-$AN154=1," día"," días"),IF($AN154=FechaRef,"Vence hoy",IF($AN154-FechaRef&lt;=DiasAlerta,"Vence en "&amp;($AN154-FechaRef)&amp;IF($AN154-FechaRef=1," día"," días"),"En plazo")))))))</f>
        <v/>
      </c>
      <c r="P154" s="62" t="n"/>
      <c r="Q154" s="58" t="n"/>
      <c r="R154" s="63">
        <f>IF(NOT((COUNTA($B154:$D154)+COUNTA($G154:$L154)+COUNTA($Q154))&gt;0),"",IF((IF($C154="","Falta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",""))="","✔ OK","⚠ "&amp;LEFT(IF($C154="","Falta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",""),LEN(IF($C154="","Falta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",""))-3)))</f>
        <v/>
      </c>
      <c r="S154" s="64">
        <f>IF(NOT((COUNTA($B154:$D154)+COUNTA($G154:$L154)+COUNTA($Q154))&gt;0),"",IF(AND($V154="Sub",N($U154)&gt;0),IF(ISNUMBER(INDEX($AM$5:$AM$1000,$U154-4)),DATE(YEAR(INDEX($AM$5:$AM$1000,$U154-4)),MONTH(INDEX($AM$5:$AM$1000,$U154-4)),1),IF(ISNUMBER(INDEX($AN$5:$AN$1000,$U154-4)),DATE(YEAR(INDEX($AN$5:$AN$1000,$U154-4)),MONTH(INDEX($AN$5:$AN$1000,$U154-4)),1),MesCiclo)),IF(ISNUMBER($AM154),DATE(YEAR($AM154),MONTH($AM154),1),IF(ISNUMBER($AN154),DATE(YEAR($AN154),MONTH($AN154),1),MesCiclo))))</f>
        <v/>
      </c>
      <c r="T154" s="62">
        <f>IF(OR($S154="",$S154&lt;&gt;MesCiclo),"",COUNTIF($S$5:$S154,MesCiclo))</f>
        <v/>
      </c>
      <c r="U154" s="62">
        <f>IF($V154="","",IF($V154="Macro",ROW(),IFERROR(LOOKUP(2,1/($V$5:$V154="Macro"),ROW($V$5:$V154)),0)))</f>
        <v/>
      </c>
      <c r="V154" s="62">
        <f>IF(NOT((COUNTA($B154:$D154)+COUNTA($G154:$L154)+COUNTA($Q154))&gt;0),"",IF($B154="Subactividad","Sub","Macro"))</f>
        <v/>
      </c>
      <c r="W154" s="62">
        <f>IF($V154="Macro",COUNTIFS($U$5:$U$1000,ROW(),$V$5:$V$1000,"Sub"),"")</f>
        <v/>
      </c>
      <c r="X154" s="62">
        <f>IF($V154="","",IF(ISNUMBER($G154),1,IFERROR(LOOKUP(2,1/($I154:$L154&lt;&gt;""),$I154:$L154),0)))</f>
        <v/>
      </c>
      <c r="Y154" s="62">
        <f>IF($V154="","",IF(AND(ISNUMBER($G154),$G154&lt;=IF($S154=MesCiclo,InicioCiclo,$S154+MOD(2-WEEKDAY($S154),7))+6),1,IF(ISNUMBER($I154),$I154,0)))</f>
        <v/>
      </c>
      <c r="Z154" s="62">
        <f>IF($V154="","",IF(AND(ISNUMBER($G154),$G154&lt;=IF($S154=MesCiclo,InicioCiclo,$S154+MOD(2-WEEKDAY($S154),7))+13),1,IF(ISNUMBER($J154),$J154,$Y154)))</f>
        <v/>
      </c>
      <c r="AA154" s="62">
        <f>IF($V154="","",IF(AND(ISNUMBER($G154),$G154&lt;=IF($S154=MesCiclo,InicioCiclo,$S154+MOD(2-WEEKDAY($S154),7))+20),1,IF(ISNUMBER($K154),$K154,$Z154)))</f>
        <v/>
      </c>
      <c r="AB154" s="62">
        <f>IF($V154="","",IF(AND(ISNUMBER($G154),$G154&lt;=IF($S154=MesCiclo,InicioCiclo,$S154+MOD(2-WEEKDAY($S154),7))+27),1,IF(ISNUMBER($L154),$L154,$AA154)))</f>
        <v/>
      </c>
      <c r="AC154" s="62">
        <f>IF($V154="","",IF(AND(ISNUMBER($G154),$G154&lt;=IF($S154=MesCiclo,InicioCiclo,$S154+MOD(2-WEEKDAY($S154),7))+6),1,IF(N($W154)&gt;0,AVERAGEIFS($Y$5:$Y$1000,$U$5:$U$1000,ROW(),$V$5:$V$1000,"Sub"),$Y154)))</f>
        <v/>
      </c>
      <c r="AD154" s="62">
        <f>IF($V154="","",IF(AND(ISNUMBER($G154),$G154&lt;=IF($S154=MesCiclo,InicioCiclo,$S154+MOD(2-WEEKDAY($S154),7))+13),1,IF(N($W154)&gt;0,AVERAGEIFS($Z$5:$Z$1000,$U$5:$U$1000,ROW(),$V$5:$V$1000,"Sub"),$Z154)))</f>
        <v/>
      </c>
      <c r="AE154" s="62">
        <f>IF($V154="","",IF(AND(ISNUMBER($G154),$G154&lt;=IF($S154=MesCiclo,InicioCiclo,$S154+MOD(2-WEEKDAY($S154),7))+20),1,IF(N($W154)&gt;0,AVERAGEIFS($AA$5:$AA$1000,$U$5:$U$1000,ROW(),$V$5:$V$1000,"Sub"),$AA154)))</f>
        <v/>
      </c>
      <c r="AF154" s="62">
        <f>IF($V154="","",IF(AND(ISNUMBER($G154),$G154&lt;=IF($S154=MesCiclo,InicioCiclo,$S154+MOD(2-WEEKDAY($S154),7))+27),1,IF(N($W154)&gt;0,AVERAGEIFS($AB$5:$AB$1000,$U$5:$U$1000,ROW(),$V$5:$V$1000,"Sub"),$AB154)))</f>
        <v/>
      </c>
      <c r="AG154" s="62">
        <f>IF($V154&lt;&gt;"Macro","",IF(COUNTIFS($S$5:$S$1000,$S154,$V$5:$V$1000,"Macro",$H$5:$H$1000,"&gt;0")=0,1/COUNTIFS($S$5:$S$1000,$S154,$V$5:$V$1000,"Macro"),IF(AND(ISNUMBER($H154),N($H154)&gt;0),$H154,SUMIFS($H$5:$H$1000,$S$5:$S$1000,$S154,$V$5:$V$1000,"Macro")/COUNTIFS($S$5:$S$1000,$S154,$V$5:$V$1000,"Macro",$H$5:$H$1000,"&gt;0"))/(COUNTIFS($S$5:$S$1000,$S154,$V$5:$V$1000,"Macro")*SUMIFS($H$5:$H$1000,$S$5:$S$1000,$S154,$V$5:$V$1000,"Macro")/COUNTIFS($S$5:$S$1000,$S154,$V$5:$V$1000,"Macro",$H$5:$H$1000,"&gt;0"))))</f>
        <v/>
      </c>
      <c r="AH154" s="62" t="n"/>
      <c r="AI154" s="62" t="n"/>
      <c r="AJ154" s="62" t="n"/>
      <c r="AK154" s="62" t="n"/>
      <c r="AL154" s="62">
        <f>IF(LEFT($C154,11)="[Jefatura] ",IFERROR(MATCH("Riesgo Normativo|"&amp;MID($C154,12,500),rDname_ADM,0),0),"")</f>
        <v/>
      </c>
      <c r="AM154" s="62">
        <f>IF(N($AL154)&gt;0,INDEX(rIni_ADM,$AL154),IF(ISNUMBER($E154),$E154,""))</f>
        <v/>
      </c>
      <c r="AN154" s="62">
        <f>IF(N($AL154)&gt;0,INDEX(rLim_ADM,$AL154),IF(ISNUMBER($F154),$F154,""))</f>
        <v/>
      </c>
    </row>
    <row r="155">
      <c r="A155" s="56">
        <f>IF(NOT((COUNTA($B155:$D155)+COUNTA($G155:$L155)+COUNTA($Q155))&gt;0),"",IF($V155="Macro",COUNTIFS($V$5:$V155,"Macro",$S$5:$S155,$S155),IF(N($U155)=0,"?",COUNTIFS(INDEX($V$5:$V$1000,1):INDEX($V$5:$V$1000,$U155-4),"Macro",INDEX($S$5:$S$1000,1):INDEX($S$5:$S$1000,$U155-4),INDEX($S$5:$S$1000,$U155-4))&amp;"."&amp;COUNTIFS($U$5:$U155,$U155,$V$5:$V155,"Sub"))))</f>
        <v/>
      </c>
      <c r="B155" s="57" t="n"/>
      <c r="C155" s="58" t="n"/>
      <c r="D155" s="58" t="n"/>
      <c r="E155" s="59">
        <f>IF(N($AL155)&gt;0,INDEX(rIni_ADM,$AL155),"")</f>
        <v/>
      </c>
      <c r="F155" s="59">
        <f>IF(N($AL155)&gt;0,INDEX(rLim_ADM,$AL155),"")</f>
        <v/>
      </c>
      <c r="G155" s="59" t="n"/>
      <c r="H155" s="60" t="n"/>
      <c r="I155" s="60" t="n"/>
      <c r="J155" s="60" t="n"/>
      <c r="K155" s="60" t="n"/>
      <c r="L155" s="60" t="n"/>
      <c r="M155" s="61">
        <f>IF(NOT((COUNTA($B155:$D155)+COUNTA($G155:$L155)+COUNTA($Q155))&gt;0),"",IF(ISNUMBER($G155),1,IF(N($W155)&gt;0,AVERAGEIFS($X$5:$X$1000,$U$5:$U$1000,ROW(),$V$5:$V$1000,"Sub"),$X155)))</f>
        <v/>
      </c>
      <c r="N155" s="56">
        <f>IF($M155="","",IF($M155&gt;=1,"Completado",IF($M155&gt;0,"En curso","Pendiente")))</f>
        <v/>
      </c>
      <c r="O155" s="56">
        <f>IF(NOT((COUNTA($B155:$D155)+COUNTA($G155:$L155)+COUNTA($Q155))&gt;0),"",IF(ISNUMBER($G155),IF(AND(ISNUMBER($AN155),$G155&gt;$AN155),"Cumplida con "&amp;($G155-$AN155)&amp;IF($G155-$AN155=1," día"," días")&amp;" de retraso","Cumplida"),IF(N($M155)&gt;=1,"Cumplida",IF(NOT(ISNUMBER($AN155)),"Sin fecha límite",IF($AN155&lt;FechaRef,"Vencida hace "&amp;(FechaRef-$AN155)&amp;IF(FechaRef-$AN155=1," día"," días"),IF($AN155=FechaRef,"Vence hoy",IF($AN155-FechaRef&lt;=DiasAlerta,"Vence en "&amp;($AN155-FechaRef)&amp;IF($AN155-FechaRef=1," día"," días"),"En plazo")))))))</f>
        <v/>
      </c>
      <c r="P155" s="62" t="n"/>
      <c r="Q155" s="58" t="n"/>
      <c r="R155" s="63">
        <f>IF(NOT((COUNTA($B155:$D155)+COUNTA($G155:$L155)+COUNTA($Q155))&gt;0),"",IF((IF($C155="","Falta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",""))="","✔ OK","⚠ "&amp;LEFT(IF($C155="","Falta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",""),LEN(IF($C155="","Falta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",""))-3)))</f>
        <v/>
      </c>
      <c r="S155" s="64">
        <f>IF(NOT((COUNTA($B155:$D155)+COUNTA($G155:$L155)+COUNTA($Q155))&gt;0),"",IF(AND($V155="Sub",N($U155)&gt;0),IF(ISNUMBER(INDEX($AM$5:$AM$1000,$U155-4)),DATE(YEAR(INDEX($AM$5:$AM$1000,$U155-4)),MONTH(INDEX($AM$5:$AM$1000,$U155-4)),1),IF(ISNUMBER(INDEX($AN$5:$AN$1000,$U155-4)),DATE(YEAR(INDEX($AN$5:$AN$1000,$U155-4)),MONTH(INDEX($AN$5:$AN$1000,$U155-4)),1),MesCiclo)),IF(ISNUMBER($AM155),DATE(YEAR($AM155),MONTH($AM155),1),IF(ISNUMBER($AN155),DATE(YEAR($AN155),MONTH($AN155),1),MesCiclo))))</f>
        <v/>
      </c>
      <c r="T155" s="62">
        <f>IF(OR($S155="",$S155&lt;&gt;MesCiclo),"",COUNTIF($S$5:$S155,MesCiclo))</f>
        <v/>
      </c>
      <c r="U155" s="62">
        <f>IF($V155="","",IF($V155="Macro",ROW(),IFERROR(LOOKUP(2,1/($V$5:$V155="Macro"),ROW($V$5:$V155)),0)))</f>
        <v/>
      </c>
      <c r="V155" s="62">
        <f>IF(NOT((COUNTA($B155:$D155)+COUNTA($G155:$L155)+COUNTA($Q155))&gt;0),"",IF($B155="Subactividad","Sub","Macro"))</f>
        <v/>
      </c>
      <c r="W155" s="62">
        <f>IF($V155="Macro",COUNTIFS($U$5:$U$1000,ROW(),$V$5:$V$1000,"Sub"),"")</f>
        <v/>
      </c>
      <c r="X155" s="62">
        <f>IF($V155="","",IF(ISNUMBER($G155),1,IFERROR(LOOKUP(2,1/($I155:$L155&lt;&gt;""),$I155:$L155),0)))</f>
        <v/>
      </c>
      <c r="Y155" s="62">
        <f>IF($V155="","",IF(AND(ISNUMBER($G155),$G155&lt;=IF($S155=MesCiclo,InicioCiclo,$S155+MOD(2-WEEKDAY($S155),7))+6),1,IF(ISNUMBER($I155),$I155,0)))</f>
        <v/>
      </c>
      <c r="Z155" s="62">
        <f>IF($V155="","",IF(AND(ISNUMBER($G155),$G155&lt;=IF($S155=MesCiclo,InicioCiclo,$S155+MOD(2-WEEKDAY($S155),7))+13),1,IF(ISNUMBER($J155),$J155,$Y155)))</f>
        <v/>
      </c>
      <c r="AA155" s="62">
        <f>IF($V155="","",IF(AND(ISNUMBER($G155),$G155&lt;=IF($S155=MesCiclo,InicioCiclo,$S155+MOD(2-WEEKDAY($S155),7))+20),1,IF(ISNUMBER($K155),$K155,$Z155)))</f>
        <v/>
      </c>
      <c r="AB155" s="62">
        <f>IF($V155="","",IF(AND(ISNUMBER($G155),$G155&lt;=IF($S155=MesCiclo,InicioCiclo,$S155+MOD(2-WEEKDAY($S155),7))+27),1,IF(ISNUMBER($L155),$L155,$AA155)))</f>
        <v/>
      </c>
      <c r="AC155" s="62">
        <f>IF($V155="","",IF(AND(ISNUMBER($G155),$G155&lt;=IF($S155=MesCiclo,InicioCiclo,$S155+MOD(2-WEEKDAY($S155),7))+6),1,IF(N($W155)&gt;0,AVERAGEIFS($Y$5:$Y$1000,$U$5:$U$1000,ROW(),$V$5:$V$1000,"Sub"),$Y155)))</f>
        <v/>
      </c>
      <c r="AD155" s="62">
        <f>IF($V155="","",IF(AND(ISNUMBER($G155),$G155&lt;=IF($S155=MesCiclo,InicioCiclo,$S155+MOD(2-WEEKDAY($S155),7))+13),1,IF(N($W155)&gt;0,AVERAGEIFS($Z$5:$Z$1000,$U$5:$U$1000,ROW(),$V$5:$V$1000,"Sub"),$Z155)))</f>
        <v/>
      </c>
      <c r="AE155" s="62">
        <f>IF($V155="","",IF(AND(ISNUMBER($G155),$G155&lt;=IF($S155=MesCiclo,InicioCiclo,$S155+MOD(2-WEEKDAY($S155),7))+20),1,IF(N($W155)&gt;0,AVERAGEIFS($AA$5:$AA$1000,$U$5:$U$1000,ROW(),$V$5:$V$1000,"Sub"),$AA155)))</f>
        <v/>
      </c>
      <c r="AF155" s="62">
        <f>IF($V155="","",IF(AND(ISNUMBER($G155),$G155&lt;=IF($S155=MesCiclo,InicioCiclo,$S155+MOD(2-WEEKDAY($S155),7))+27),1,IF(N($W155)&gt;0,AVERAGEIFS($AB$5:$AB$1000,$U$5:$U$1000,ROW(),$V$5:$V$1000,"Sub"),$AB155)))</f>
        <v/>
      </c>
      <c r="AG155" s="62">
        <f>IF($V155&lt;&gt;"Macro","",IF(COUNTIFS($S$5:$S$1000,$S155,$V$5:$V$1000,"Macro",$H$5:$H$1000,"&gt;0")=0,1/COUNTIFS($S$5:$S$1000,$S155,$V$5:$V$1000,"Macro"),IF(AND(ISNUMBER($H155),N($H155)&gt;0),$H155,SUMIFS($H$5:$H$1000,$S$5:$S$1000,$S155,$V$5:$V$1000,"Macro")/COUNTIFS($S$5:$S$1000,$S155,$V$5:$V$1000,"Macro",$H$5:$H$1000,"&gt;0"))/(COUNTIFS($S$5:$S$1000,$S155,$V$5:$V$1000,"Macro")*SUMIFS($H$5:$H$1000,$S$5:$S$1000,$S155,$V$5:$V$1000,"Macro")/COUNTIFS($S$5:$S$1000,$S155,$V$5:$V$1000,"Macro",$H$5:$H$1000,"&gt;0"))))</f>
        <v/>
      </c>
      <c r="AH155" s="62" t="n"/>
      <c r="AI155" s="62" t="n"/>
      <c r="AJ155" s="62" t="n"/>
      <c r="AK155" s="62" t="n"/>
      <c r="AL155" s="62">
        <f>IF(LEFT($C155,11)="[Jefatura] ",IFERROR(MATCH("Riesgo Normativo|"&amp;MID($C155,12,500),rDname_ADM,0),0),"")</f>
        <v/>
      </c>
      <c r="AM155" s="62">
        <f>IF(N($AL155)&gt;0,INDEX(rIni_ADM,$AL155),IF(ISNUMBER($E155),$E155,""))</f>
        <v/>
      </c>
      <c r="AN155" s="62">
        <f>IF(N($AL155)&gt;0,INDEX(rLim_ADM,$AL155),IF(ISNUMBER($F155),$F155,""))</f>
        <v/>
      </c>
    </row>
    <row r="156">
      <c r="A156" s="56">
        <f>IF(NOT((COUNTA($B156:$D156)+COUNTA($G156:$L156)+COUNTA($Q156))&gt;0),"",IF($V156="Macro",COUNTIFS($V$5:$V156,"Macro",$S$5:$S156,$S156),IF(N($U156)=0,"?",COUNTIFS(INDEX($V$5:$V$1000,1):INDEX($V$5:$V$1000,$U156-4),"Macro",INDEX($S$5:$S$1000,1):INDEX($S$5:$S$1000,$U156-4),INDEX($S$5:$S$1000,$U156-4))&amp;"."&amp;COUNTIFS($U$5:$U156,$U156,$V$5:$V156,"Sub"))))</f>
        <v/>
      </c>
      <c r="B156" s="57" t="n"/>
      <c r="C156" s="58" t="n"/>
      <c r="D156" s="58" t="n"/>
      <c r="E156" s="59">
        <f>IF(N($AL156)&gt;0,INDEX(rIni_ADM,$AL156),"")</f>
        <v/>
      </c>
      <c r="F156" s="59">
        <f>IF(N($AL156)&gt;0,INDEX(rLim_ADM,$AL156),"")</f>
        <v/>
      </c>
      <c r="G156" s="59" t="n"/>
      <c r="H156" s="60" t="n"/>
      <c r="I156" s="60" t="n"/>
      <c r="J156" s="60" t="n"/>
      <c r="K156" s="60" t="n"/>
      <c r="L156" s="60" t="n"/>
      <c r="M156" s="61">
        <f>IF(NOT((COUNTA($B156:$D156)+COUNTA($G156:$L156)+COUNTA($Q156))&gt;0),"",IF(ISNUMBER($G156),1,IF(N($W156)&gt;0,AVERAGEIFS($X$5:$X$1000,$U$5:$U$1000,ROW(),$V$5:$V$1000,"Sub"),$X156)))</f>
        <v/>
      </c>
      <c r="N156" s="56">
        <f>IF($M156="","",IF($M156&gt;=1,"Completado",IF($M156&gt;0,"En curso","Pendiente")))</f>
        <v/>
      </c>
      <c r="O156" s="56">
        <f>IF(NOT((COUNTA($B156:$D156)+COUNTA($G156:$L156)+COUNTA($Q156))&gt;0),"",IF(ISNUMBER($G156),IF(AND(ISNUMBER($AN156),$G156&gt;$AN156),"Cumplida con "&amp;($G156-$AN156)&amp;IF($G156-$AN156=1," día"," días")&amp;" de retraso","Cumplida"),IF(N($M156)&gt;=1,"Cumplida",IF(NOT(ISNUMBER($AN156)),"Sin fecha límite",IF($AN156&lt;FechaRef,"Vencida hace "&amp;(FechaRef-$AN156)&amp;IF(FechaRef-$AN156=1," día"," días"),IF($AN156=FechaRef,"Vence hoy",IF($AN156-FechaRef&lt;=DiasAlerta,"Vence en "&amp;($AN156-FechaRef)&amp;IF($AN156-FechaRef=1," día"," días"),"En plazo")))))))</f>
        <v/>
      </c>
      <c r="P156" s="62" t="n"/>
      <c r="Q156" s="58" t="n"/>
      <c r="R156" s="63">
        <f>IF(NOT((COUNTA($B156:$D156)+COUNTA($G156:$L156)+COUNTA($Q156))&gt;0),"",IF((IF($C156="","Falta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",""))="","✔ OK","⚠ "&amp;LEFT(IF($C156="","Falta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",""),LEN(IF($C156="","Falta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",""))-3)))</f>
        <v/>
      </c>
      <c r="S156" s="64">
        <f>IF(NOT((COUNTA($B156:$D156)+COUNTA($G156:$L156)+COUNTA($Q156))&gt;0),"",IF(AND($V156="Sub",N($U156)&gt;0),IF(ISNUMBER(INDEX($AM$5:$AM$1000,$U156-4)),DATE(YEAR(INDEX($AM$5:$AM$1000,$U156-4)),MONTH(INDEX($AM$5:$AM$1000,$U156-4)),1),IF(ISNUMBER(INDEX($AN$5:$AN$1000,$U156-4)),DATE(YEAR(INDEX($AN$5:$AN$1000,$U156-4)),MONTH(INDEX($AN$5:$AN$1000,$U156-4)),1),MesCiclo)),IF(ISNUMBER($AM156),DATE(YEAR($AM156),MONTH($AM156),1),IF(ISNUMBER($AN156),DATE(YEAR($AN156),MONTH($AN156),1),MesCiclo))))</f>
        <v/>
      </c>
      <c r="T156" s="62">
        <f>IF(OR($S156="",$S156&lt;&gt;MesCiclo),"",COUNTIF($S$5:$S156,MesCiclo))</f>
        <v/>
      </c>
      <c r="U156" s="62">
        <f>IF($V156="","",IF($V156="Macro",ROW(),IFERROR(LOOKUP(2,1/($V$5:$V156="Macro"),ROW($V$5:$V156)),0)))</f>
        <v/>
      </c>
      <c r="V156" s="62">
        <f>IF(NOT((COUNTA($B156:$D156)+COUNTA($G156:$L156)+COUNTA($Q156))&gt;0),"",IF($B156="Subactividad","Sub","Macro"))</f>
        <v/>
      </c>
      <c r="W156" s="62">
        <f>IF($V156="Macro",COUNTIFS($U$5:$U$1000,ROW(),$V$5:$V$1000,"Sub"),"")</f>
        <v/>
      </c>
      <c r="X156" s="62">
        <f>IF($V156="","",IF(ISNUMBER($G156),1,IFERROR(LOOKUP(2,1/($I156:$L156&lt;&gt;""),$I156:$L156),0)))</f>
        <v/>
      </c>
      <c r="Y156" s="62">
        <f>IF($V156="","",IF(AND(ISNUMBER($G156),$G156&lt;=IF($S156=MesCiclo,InicioCiclo,$S156+MOD(2-WEEKDAY($S156),7))+6),1,IF(ISNUMBER($I156),$I156,0)))</f>
        <v/>
      </c>
      <c r="Z156" s="62">
        <f>IF($V156="","",IF(AND(ISNUMBER($G156),$G156&lt;=IF($S156=MesCiclo,InicioCiclo,$S156+MOD(2-WEEKDAY($S156),7))+13),1,IF(ISNUMBER($J156),$J156,$Y156)))</f>
        <v/>
      </c>
      <c r="AA156" s="62">
        <f>IF($V156="","",IF(AND(ISNUMBER($G156),$G156&lt;=IF($S156=MesCiclo,InicioCiclo,$S156+MOD(2-WEEKDAY($S156),7))+20),1,IF(ISNUMBER($K156),$K156,$Z156)))</f>
        <v/>
      </c>
      <c r="AB156" s="62">
        <f>IF($V156="","",IF(AND(ISNUMBER($G156),$G156&lt;=IF($S156=MesCiclo,InicioCiclo,$S156+MOD(2-WEEKDAY($S156),7))+27),1,IF(ISNUMBER($L156),$L156,$AA156)))</f>
        <v/>
      </c>
      <c r="AC156" s="62">
        <f>IF($V156="","",IF(AND(ISNUMBER($G156),$G156&lt;=IF($S156=MesCiclo,InicioCiclo,$S156+MOD(2-WEEKDAY($S156),7))+6),1,IF(N($W156)&gt;0,AVERAGEIFS($Y$5:$Y$1000,$U$5:$U$1000,ROW(),$V$5:$V$1000,"Sub"),$Y156)))</f>
        <v/>
      </c>
      <c r="AD156" s="62">
        <f>IF($V156="","",IF(AND(ISNUMBER($G156),$G156&lt;=IF($S156=MesCiclo,InicioCiclo,$S156+MOD(2-WEEKDAY($S156),7))+13),1,IF(N($W156)&gt;0,AVERAGEIFS($Z$5:$Z$1000,$U$5:$U$1000,ROW(),$V$5:$V$1000,"Sub"),$Z156)))</f>
        <v/>
      </c>
      <c r="AE156" s="62">
        <f>IF($V156="","",IF(AND(ISNUMBER($G156),$G156&lt;=IF($S156=MesCiclo,InicioCiclo,$S156+MOD(2-WEEKDAY($S156),7))+20),1,IF(N($W156)&gt;0,AVERAGEIFS($AA$5:$AA$1000,$U$5:$U$1000,ROW(),$V$5:$V$1000,"Sub"),$AA156)))</f>
        <v/>
      </c>
      <c r="AF156" s="62">
        <f>IF($V156="","",IF(AND(ISNUMBER($G156),$G156&lt;=IF($S156=MesCiclo,InicioCiclo,$S156+MOD(2-WEEKDAY($S156),7))+27),1,IF(N($W156)&gt;0,AVERAGEIFS($AB$5:$AB$1000,$U$5:$U$1000,ROW(),$V$5:$V$1000,"Sub"),$AB156)))</f>
        <v/>
      </c>
      <c r="AG156" s="62">
        <f>IF($V156&lt;&gt;"Macro","",IF(COUNTIFS($S$5:$S$1000,$S156,$V$5:$V$1000,"Macro",$H$5:$H$1000,"&gt;0")=0,1/COUNTIFS($S$5:$S$1000,$S156,$V$5:$V$1000,"Macro"),IF(AND(ISNUMBER($H156),N($H156)&gt;0),$H156,SUMIFS($H$5:$H$1000,$S$5:$S$1000,$S156,$V$5:$V$1000,"Macro")/COUNTIFS($S$5:$S$1000,$S156,$V$5:$V$1000,"Macro",$H$5:$H$1000,"&gt;0"))/(COUNTIFS($S$5:$S$1000,$S156,$V$5:$V$1000,"Macro")*SUMIFS($H$5:$H$1000,$S$5:$S$1000,$S156,$V$5:$V$1000,"Macro")/COUNTIFS($S$5:$S$1000,$S156,$V$5:$V$1000,"Macro",$H$5:$H$1000,"&gt;0"))))</f>
        <v/>
      </c>
      <c r="AH156" s="62" t="n"/>
      <c r="AI156" s="62" t="n"/>
      <c r="AJ156" s="62" t="n"/>
      <c r="AK156" s="62" t="n"/>
      <c r="AL156" s="62">
        <f>IF(LEFT($C156,11)="[Jefatura] ",IFERROR(MATCH("Riesgo Normativo|"&amp;MID($C156,12,500),rDname_ADM,0),0),"")</f>
        <v/>
      </c>
      <c r="AM156" s="62">
        <f>IF(N($AL156)&gt;0,INDEX(rIni_ADM,$AL156),IF(ISNUMBER($E156),$E156,""))</f>
        <v/>
      </c>
      <c r="AN156" s="62">
        <f>IF(N($AL156)&gt;0,INDEX(rLim_ADM,$AL156),IF(ISNUMBER($F156),$F156,""))</f>
        <v/>
      </c>
    </row>
    <row r="157">
      <c r="A157" s="56">
        <f>IF(NOT((COUNTA($B157:$D157)+COUNTA($G157:$L157)+COUNTA($Q157))&gt;0),"",IF($V157="Macro",COUNTIFS($V$5:$V157,"Macro",$S$5:$S157,$S157),IF(N($U157)=0,"?",COUNTIFS(INDEX($V$5:$V$1000,1):INDEX($V$5:$V$1000,$U157-4),"Macro",INDEX($S$5:$S$1000,1):INDEX($S$5:$S$1000,$U157-4),INDEX($S$5:$S$1000,$U157-4))&amp;"."&amp;COUNTIFS($U$5:$U157,$U157,$V$5:$V157,"Sub"))))</f>
        <v/>
      </c>
      <c r="B157" s="57" t="n"/>
      <c r="C157" s="58" t="n"/>
      <c r="D157" s="58" t="n"/>
      <c r="E157" s="59">
        <f>IF(N($AL157)&gt;0,INDEX(rIni_ADM,$AL157),"")</f>
        <v/>
      </c>
      <c r="F157" s="59">
        <f>IF(N($AL157)&gt;0,INDEX(rLim_ADM,$AL157),"")</f>
        <v/>
      </c>
      <c r="G157" s="59" t="n"/>
      <c r="H157" s="60" t="n"/>
      <c r="I157" s="60" t="n"/>
      <c r="J157" s="60" t="n"/>
      <c r="K157" s="60" t="n"/>
      <c r="L157" s="60" t="n"/>
      <c r="M157" s="61">
        <f>IF(NOT((COUNTA($B157:$D157)+COUNTA($G157:$L157)+COUNTA($Q157))&gt;0),"",IF(ISNUMBER($G157),1,IF(N($W157)&gt;0,AVERAGEIFS($X$5:$X$1000,$U$5:$U$1000,ROW(),$V$5:$V$1000,"Sub"),$X157)))</f>
        <v/>
      </c>
      <c r="N157" s="56">
        <f>IF($M157="","",IF($M157&gt;=1,"Completado",IF($M157&gt;0,"En curso","Pendiente")))</f>
        <v/>
      </c>
      <c r="O157" s="56">
        <f>IF(NOT((COUNTA($B157:$D157)+COUNTA($G157:$L157)+COUNTA($Q157))&gt;0),"",IF(ISNUMBER($G157),IF(AND(ISNUMBER($AN157),$G157&gt;$AN157),"Cumplida con "&amp;($G157-$AN157)&amp;IF($G157-$AN157=1," día"," días")&amp;" de retraso","Cumplida"),IF(N($M157)&gt;=1,"Cumplida",IF(NOT(ISNUMBER($AN157)),"Sin fecha límite",IF($AN157&lt;FechaRef,"Vencida hace "&amp;(FechaRef-$AN157)&amp;IF(FechaRef-$AN157=1," día"," días"),IF($AN157=FechaRef,"Vence hoy",IF($AN157-FechaRef&lt;=DiasAlerta,"Vence en "&amp;($AN157-FechaRef)&amp;IF($AN157-FechaRef=1," día"," días"),"En plazo")))))))</f>
        <v/>
      </c>
      <c r="P157" s="62" t="n"/>
      <c r="Q157" s="58" t="n"/>
      <c r="R157" s="63">
        <f>IF(NOT((COUNTA($B157:$D157)+COUNTA($G157:$L157)+COUNTA($Q157))&gt;0),"",IF((IF($C157="","Falta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",""))="","✔ OK","⚠ "&amp;LEFT(IF($C157="","Falta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",""),LEN(IF($C157="","Falta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",""))-3)))</f>
        <v/>
      </c>
      <c r="S157" s="64">
        <f>IF(NOT((COUNTA($B157:$D157)+COUNTA($G157:$L157)+COUNTA($Q157))&gt;0),"",IF(AND($V157="Sub",N($U157)&gt;0),IF(ISNUMBER(INDEX($AM$5:$AM$1000,$U157-4)),DATE(YEAR(INDEX($AM$5:$AM$1000,$U157-4)),MONTH(INDEX($AM$5:$AM$1000,$U157-4)),1),IF(ISNUMBER(INDEX($AN$5:$AN$1000,$U157-4)),DATE(YEAR(INDEX($AN$5:$AN$1000,$U157-4)),MONTH(INDEX($AN$5:$AN$1000,$U157-4)),1),MesCiclo)),IF(ISNUMBER($AM157),DATE(YEAR($AM157),MONTH($AM157),1),IF(ISNUMBER($AN157),DATE(YEAR($AN157),MONTH($AN157),1),MesCiclo))))</f>
        <v/>
      </c>
      <c r="T157" s="62">
        <f>IF(OR($S157="",$S157&lt;&gt;MesCiclo),"",COUNTIF($S$5:$S157,MesCiclo))</f>
        <v/>
      </c>
      <c r="U157" s="62">
        <f>IF($V157="","",IF($V157="Macro",ROW(),IFERROR(LOOKUP(2,1/($V$5:$V157="Macro"),ROW($V$5:$V157)),0)))</f>
        <v/>
      </c>
      <c r="V157" s="62">
        <f>IF(NOT((COUNTA($B157:$D157)+COUNTA($G157:$L157)+COUNTA($Q157))&gt;0),"",IF($B157="Subactividad","Sub","Macro"))</f>
        <v/>
      </c>
      <c r="W157" s="62">
        <f>IF($V157="Macro",COUNTIFS($U$5:$U$1000,ROW(),$V$5:$V$1000,"Sub"),"")</f>
        <v/>
      </c>
      <c r="X157" s="62">
        <f>IF($V157="","",IF(ISNUMBER($G157),1,IFERROR(LOOKUP(2,1/($I157:$L157&lt;&gt;""),$I157:$L157),0)))</f>
        <v/>
      </c>
      <c r="Y157" s="62">
        <f>IF($V157="","",IF(AND(ISNUMBER($G157),$G157&lt;=IF($S157=MesCiclo,InicioCiclo,$S157+MOD(2-WEEKDAY($S157),7))+6),1,IF(ISNUMBER($I157),$I157,0)))</f>
        <v/>
      </c>
      <c r="Z157" s="62">
        <f>IF($V157="","",IF(AND(ISNUMBER($G157),$G157&lt;=IF($S157=MesCiclo,InicioCiclo,$S157+MOD(2-WEEKDAY($S157),7))+13),1,IF(ISNUMBER($J157),$J157,$Y157)))</f>
        <v/>
      </c>
      <c r="AA157" s="62">
        <f>IF($V157="","",IF(AND(ISNUMBER($G157),$G157&lt;=IF($S157=MesCiclo,InicioCiclo,$S157+MOD(2-WEEKDAY($S157),7))+20),1,IF(ISNUMBER($K157),$K157,$Z157)))</f>
        <v/>
      </c>
      <c r="AB157" s="62">
        <f>IF($V157="","",IF(AND(ISNUMBER($G157),$G157&lt;=IF($S157=MesCiclo,InicioCiclo,$S157+MOD(2-WEEKDAY($S157),7))+27),1,IF(ISNUMBER($L157),$L157,$AA157)))</f>
        <v/>
      </c>
      <c r="AC157" s="62">
        <f>IF($V157="","",IF(AND(ISNUMBER($G157),$G157&lt;=IF($S157=MesCiclo,InicioCiclo,$S157+MOD(2-WEEKDAY($S157),7))+6),1,IF(N($W157)&gt;0,AVERAGEIFS($Y$5:$Y$1000,$U$5:$U$1000,ROW(),$V$5:$V$1000,"Sub"),$Y157)))</f>
        <v/>
      </c>
      <c r="AD157" s="62">
        <f>IF($V157="","",IF(AND(ISNUMBER($G157),$G157&lt;=IF($S157=MesCiclo,InicioCiclo,$S157+MOD(2-WEEKDAY($S157),7))+13),1,IF(N($W157)&gt;0,AVERAGEIFS($Z$5:$Z$1000,$U$5:$U$1000,ROW(),$V$5:$V$1000,"Sub"),$Z157)))</f>
        <v/>
      </c>
      <c r="AE157" s="62">
        <f>IF($V157="","",IF(AND(ISNUMBER($G157),$G157&lt;=IF($S157=MesCiclo,InicioCiclo,$S157+MOD(2-WEEKDAY($S157),7))+20),1,IF(N($W157)&gt;0,AVERAGEIFS($AA$5:$AA$1000,$U$5:$U$1000,ROW(),$V$5:$V$1000,"Sub"),$AA157)))</f>
        <v/>
      </c>
      <c r="AF157" s="62">
        <f>IF($V157="","",IF(AND(ISNUMBER($G157),$G157&lt;=IF($S157=MesCiclo,InicioCiclo,$S157+MOD(2-WEEKDAY($S157),7))+27),1,IF(N($W157)&gt;0,AVERAGEIFS($AB$5:$AB$1000,$U$5:$U$1000,ROW(),$V$5:$V$1000,"Sub"),$AB157)))</f>
        <v/>
      </c>
      <c r="AG157" s="62">
        <f>IF($V157&lt;&gt;"Macro","",IF(COUNTIFS($S$5:$S$1000,$S157,$V$5:$V$1000,"Macro",$H$5:$H$1000,"&gt;0")=0,1/COUNTIFS($S$5:$S$1000,$S157,$V$5:$V$1000,"Macro"),IF(AND(ISNUMBER($H157),N($H157)&gt;0),$H157,SUMIFS($H$5:$H$1000,$S$5:$S$1000,$S157,$V$5:$V$1000,"Macro")/COUNTIFS($S$5:$S$1000,$S157,$V$5:$V$1000,"Macro",$H$5:$H$1000,"&gt;0"))/(COUNTIFS($S$5:$S$1000,$S157,$V$5:$V$1000,"Macro")*SUMIFS($H$5:$H$1000,$S$5:$S$1000,$S157,$V$5:$V$1000,"Macro")/COUNTIFS($S$5:$S$1000,$S157,$V$5:$V$1000,"Macro",$H$5:$H$1000,"&gt;0"))))</f>
        <v/>
      </c>
      <c r="AH157" s="62" t="n"/>
      <c r="AI157" s="62" t="n"/>
      <c r="AJ157" s="62" t="n"/>
      <c r="AK157" s="62" t="n"/>
      <c r="AL157" s="62">
        <f>IF(LEFT($C157,11)="[Jefatura] ",IFERROR(MATCH("Riesgo Normativo|"&amp;MID($C157,12,500),rDname_ADM,0),0),"")</f>
        <v/>
      </c>
      <c r="AM157" s="62">
        <f>IF(N($AL157)&gt;0,INDEX(rIni_ADM,$AL157),IF(ISNUMBER($E157),$E157,""))</f>
        <v/>
      </c>
      <c r="AN157" s="62">
        <f>IF(N($AL157)&gt;0,INDEX(rLim_ADM,$AL157),IF(ISNUMBER($F157),$F157,""))</f>
        <v/>
      </c>
    </row>
    <row r="158">
      <c r="A158" s="56">
        <f>IF(NOT((COUNTA($B158:$D158)+COUNTA($G158:$L158)+COUNTA($Q158))&gt;0),"",IF($V158="Macro",COUNTIFS($V$5:$V158,"Macro",$S$5:$S158,$S158),IF(N($U158)=0,"?",COUNTIFS(INDEX($V$5:$V$1000,1):INDEX($V$5:$V$1000,$U158-4),"Macro",INDEX($S$5:$S$1000,1):INDEX($S$5:$S$1000,$U158-4),INDEX($S$5:$S$1000,$U158-4))&amp;"."&amp;COUNTIFS($U$5:$U158,$U158,$V$5:$V158,"Sub"))))</f>
        <v/>
      </c>
      <c r="B158" s="57" t="n"/>
      <c r="C158" s="58" t="n"/>
      <c r="D158" s="58" t="n"/>
      <c r="E158" s="59">
        <f>IF(N($AL158)&gt;0,INDEX(rIni_ADM,$AL158),"")</f>
        <v/>
      </c>
      <c r="F158" s="59">
        <f>IF(N($AL158)&gt;0,INDEX(rLim_ADM,$AL158),"")</f>
        <v/>
      </c>
      <c r="G158" s="59" t="n"/>
      <c r="H158" s="60" t="n"/>
      <c r="I158" s="60" t="n"/>
      <c r="J158" s="60" t="n"/>
      <c r="K158" s="60" t="n"/>
      <c r="L158" s="60" t="n"/>
      <c r="M158" s="61">
        <f>IF(NOT((COUNTA($B158:$D158)+COUNTA($G158:$L158)+COUNTA($Q158))&gt;0),"",IF(ISNUMBER($G158),1,IF(N($W158)&gt;0,AVERAGEIFS($X$5:$X$1000,$U$5:$U$1000,ROW(),$V$5:$V$1000,"Sub"),$X158)))</f>
        <v/>
      </c>
      <c r="N158" s="56">
        <f>IF($M158="","",IF($M158&gt;=1,"Completado",IF($M158&gt;0,"En curso","Pendiente")))</f>
        <v/>
      </c>
      <c r="O158" s="56">
        <f>IF(NOT((COUNTA($B158:$D158)+COUNTA($G158:$L158)+COUNTA($Q158))&gt;0),"",IF(ISNUMBER($G158),IF(AND(ISNUMBER($AN158),$G158&gt;$AN158),"Cumplida con "&amp;($G158-$AN158)&amp;IF($G158-$AN158=1," día"," días")&amp;" de retraso","Cumplida"),IF(N($M158)&gt;=1,"Cumplida",IF(NOT(ISNUMBER($AN158)),"Sin fecha límite",IF($AN158&lt;FechaRef,"Vencida hace "&amp;(FechaRef-$AN158)&amp;IF(FechaRef-$AN158=1," día"," días"),IF($AN158=FechaRef,"Vence hoy",IF($AN158-FechaRef&lt;=DiasAlerta,"Vence en "&amp;($AN158-FechaRef)&amp;IF($AN158-FechaRef=1," día"," días"),"En plazo")))))))</f>
        <v/>
      </c>
      <c r="P158" s="62" t="n"/>
      <c r="Q158" s="58" t="n"/>
      <c r="R158" s="63">
        <f>IF(NOT((COUNTA($B158:$D158)+COUNTA($G158:$L158)+COUNTA($Q158))&gt;0),"",IF((IF($C158="","Falta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",""))="","✔ OK","⚠ "&amp;LEFT(IF($C158="","Falta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",""),LEN(IF($C158="","Falta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",""))-3)))</f>
        <v/>
      </c>
      <c r="S158" s="64">
        <f>IF(NOT((COUNTA($B158:$D158)+COUNTA($G158:$L158)+COUNTA($Q158))&gt;0),"",IF(AND($V158="Sub",N($U158)&gt;0),IF(ISNUMBER(INDEX($AM$5:$AM$1000,$U158-4)),DATE(YEAR(INDEX($AM$5:$AM$1000,$U158-4)),MONTH(INDEX($AM$5:$AM$1000,$U158-4)),1),IF(ISNUMBER(INDEX($AN$5:$AN$1000,$U158-4)),DATE(YEAR(INDEX($AN$5:$AN$1000,$U158-4)),MONTH(INDEX($AN$5:$AN$1000,$U158-4)),1),MesCiclo)),IF(ISNUMBER($AM158),DATE(YEAR($AM158),MONTH($AM158),1),IF(ISNUMBER($AN158),DATE(YEAR($AN158),MONTH($AN158),1),MesCiclo))))</f>
        <v/>
      </c>
      <c r="T158" s="62">
        <f>IF(OR($S158="",$S158&lt;&gt;MesCiclo),"",COUNTIF($S$5:$S158,MesCiclo))</f>
        <v/>
      </c>
      <c r="U158" s="62">
        <f>IF($V158="","",IF($V158="Macro",ROW(),IFERROR(LOOKUP(2,1/($V$5:$V158="Macro"),ROW($V$5:$V158)),0)))</f>
        <v/>
      </c>
      <c r="V158" s="62">
        <f>IF(NOT((COUNTA($B158:$D158)+COUNTA($G158:$L158)+COUNTA($Q158))&gt;0),"",IF($B158="Subactividad","Sub","Macro"))</f>
        <v/>
      </c>
      <c r="W158" s="62">
        <f>IF($V158="Macro",COUNTIFS($U$5:$U$1000,ROW(),$V$5:$V$1000,"Sub"),"")</f>
        <v/>
      </c>
      <c r="X158" s="62">
        <f>IF($V158="","",IF(ISNUMBER($G158),1,IFERROR(LOOKUP(2,1/($I158:$L158&lt;&gt;""),$I158:$L158),0)))</f>
        <v/>
      </c>
      <c r="Y158" s="62">
        <f>IF($V158="","",IF(AND(ISNUMBER($G158),$G158&lt;=IF($S158=MesCiclo,InicioCiclo,$S158+MOD(2-WEEKDAY($S158),7))+6),1,IF(ISNUMBER($I158),$I158,0)))</f>
        <v/>
      </c>
      <c r="Z158" s="62">
        <f>IF($V158="","",IF(AND(ISNUMBER($G158),$G158&lt;=IF($S158=MesCiclo,InicioCiclo,$S158+MOD(2-WEEKDAY($S158),7))+13),1,IF(ISNUMBER($J158),$J158,$Y158)))</f>
        <v/>
      </c>
      <c r="AA158" s="62">
        <f>IF($V158="","",IF(AND(ISNUMBER($G158),$G158&lt;=IF($S158=MesCiclo,InicioCiclo,$S158+MOD(2-WEEKDAY($S158),7))+20),1,IF(ISNUMBER($K158),$K158,$Z158)))</f>
        <v/>
      </c>
      <c r="AB158" s="62">
        <f>IF($V158="","",IF(AND(ISNUMBER($G158),$G158&lt;=IF($S158=MesCiclo,InicioCiclo,$S158+MOD(2-WEEKDAY($S158),7))+27),1,IF(ISNUMBER($L158),$L158,$AA158)))</f>
        <v/>
      </c>
      <c r="AC158" s="62">
        <f>IF($V158="","",IF(AND(ISNUMBER($G158),$G158&lt;=IF($S158=MesCiclo,InicioCiclo,$S158+MOD(2-WEEKDAY($S158),7))+6),1,IF(N($W158)&gt;0,AVERAGEIFS($Y$5:$Y$1000,$U$5:$U$1000,ROW(),$V$5:$V$1000,"Sub"),$Y158)))</f>
        <v/>
      </c>
      <c r="AD158" s="62">
        <f>IF($V158="","",IF(AND(ISNUMBER($G158),$G158&lt;=IF($S158=MesCiclo,InicioCiclo,$S158+MOD(2-WEEKDAY($S158),7))+13),1,IF(N($W158)&gt;0,AVERAGEIFS($Z$5:$Z$1000,$U$5:$U$1000,ROW(),$V$5:$V$1000,"Sub"),$Z158)))</f>
        <v/>
      </c>
      <c r="AE158" s="62">
        <f>IF($V158="","",IF(AND(ISNUMBER($G158),$G158&lt;=IF($S158=MesCiclo,InicioCiclo,$S158+MOD(2-WEEKDAY($S158),7))+20),1,IF(N($W158)&gt;0,AVERAGEIFS($AA$5:$AA$1000,$U$5:$U$1000,ROW(),$V$5:$V$1000,"Sub"),$AA158)))</f>
        <v/>
      </c>
      <c r="AF158" s="62">
        <f>IF($V158="","",IF(AND(ISNUMBER($G158),$G158&lt;=IF($S158=MesCiclo,InicioCiclo,$S158+MOD(2-WEEKDAY($S158),7))+27),1,IF(N($W158)&gt;0,AVERAGEIFS($AB$5:$AB$1000,$U$5:$U$1000,ROW(),$V$5:$V$1000,"Sub"),$AB158)))</f>
        <v/>
      </c>
      <c r="AG158" s="62">
        <f>IF($V158&lt;&gt;"Macro","",IF(COUNTIFS($S$5:$S$1000,$S158,$V$5:$V$1000,"Macro",$H$5:$H$1000,"&gt;0")=0,1/COUNTIFS($S$5:$S$1000,$S158,$V$5:$V$1000,"Macro"),IF(AND(ISNUMBER($H158),N($H158)&gt;0),$H158,SUMIFS($H$5:$H$1000,$S$5:$S$1000,$S158,$V$5:$V$1000,"Macro")/COUNTIFS($S$5:$S$1000,$S158,$V$5:$V$1000,"Macro",$H$5:$H$1000,"&gt;0"))/(COUNTIFS($S$5:$S$1000,$S158,$V$5:$V$1000,"Macro")*SUMIFS($H$5:$H$1000,$S$5:$S$1000,$S158,$V$5:$V$1000,"Macro")/COUNTIFS($S$5:$S$1000,$S158,$V$5:$V$1000,"Macro",$H$5:$H$1000,"&gt;0"))))</f>
        <v/>
      </c>
      <c r="AH158" s="62" t="n"/>
      <c r="AI158" s="62" t="n"/>
      <c r="AJ158" s="62" t="n"/>
      <c r="AK158" s="62" t="n"/>
      <c r="AL158" s="62">
        <f>IF(LEFT($C158,11)="[Jefatura] ",IFERROR(MATCH("Riesgo Normativo|"&amp;MID($C158,12,500),rDname_ADM,0),0),"")</f>
        <v/>
      </c>
      <c r="AM158" s="62">
        <f>IF(N($AL158)&gt;0,INDEX(rIni_ADM,$AL158),IF(ISNUMBER($E158),$E158,""))</f>
        <v/>
      </c>
      <c r="AN158" s="62">
        <f>IF(N($AL158)&gt;0,INDEX(rLim_ADM,$AL158),IF(ISNUMBER($F158),$F158,""))</f>
        <v/>
      </c>
    </row>
    <row r="159">
      <c r="A159" s="56">
        <f>IF(NOT((COUNTA($B159:$D159)+COUNTA($G159:$L159)+COUNTA($Q159))&gt;0),"",IF($V159="Macro",COUNTIFS($V$5:$V159,"Macro",$S$5:$S159,$S159),IF(N($U159)=0,"?",COUNTIFS(INDEX($V$5:$V$1000,1):INDEX($V$5:$V$1000,$U159-4),"Macro",INDEX($S$5:$S$1000,1):INDEX($S$5:$S$1000,$U159-4),INDEX($S$5:$S$1000,$U159-4))&amp;"."&amp;COUNTIFS($U$5:$U159,$U159,$V$5:$V159,"Sub"))))</f>
        <v/>
      </c>
      <c r="B159" s="57" t="n"/>
      <c r="C159" s="58" t="n"/>
      <c r="D159" s="58" t="n"/>
      <c r="E159" s="59">
        <f>IF(N($AL159)&gt;0,INDEX(rIni_ADM,$AL159),"")</f>
        <v/>
      </c>
      <c r="F159" s="59">
        <f>IF(N($AL159)&gt;0,INDEX(rLim_ADM,$AL159),"")</f>
        <v/>
      </c>
      <c r="G159" s="59" t="n"/>
      <c r="H159" s="60" t="n"/>
      <c r="I159" s="60" t="n"/>
      <c r="J159" s="60" t="n"/>
      <c r="K159" s="60" t="n"/>
      <c r="L159" s="60" t="n"/>
      <c r="M159" s="61">
        <f>IF(NOT((COUNTA($B159:$D159)+COUNTA($G159:$L159)+COUNTA($Q159))&gt;0),"",IF(ISNUMBER($G159),1,IF(N($W159)&gt;0,AVERAGEIFS($X$5:$X$1000,$U$5:$U$1000,ROW(),$V$5:$V$1000,"Sub"),$X159)))</f>
        <v/>
      </c>
      <c r="N159" s="56">
        <f>IF($M159="","",IF($M159&gt;=1,"Completado",IF($M159&gt;0,"En curso","Pendiente")))</f>
        <v/>
      </c>
      <c r="O159" s="56">
        <f>IF(NOT((COUNTA($B159:$D159)+COUNTA($G159:$L159)+COUNTA($Q159))&gt;0),"",IF(ISNUMBER($G159),IF(AND(ISNUMBER($AN159),$G159&gt;$AN159),"Cumplida con "&amp;($G159-$AN159)&amp;IF($G159-$AN159=1," día"," días")&amp;" de retraso","Cumplida"),IF(N($M159)&gt;=1,"Cumplida",IF(NOT(ISNUMBER($AN159)),"Sin fecha límite",IF($AN159&lt;FechaRef,"Vencida hace "&amp;(FechaRef-$AN159)&amp;IF(FechaRef-$AN159=1," día"," días"),IF($AN159=FechaRef,"Vence hoy",IF($AN159-FechaRef&lt;=DiasAlerta,"Vence en "&amp;($AN159-FechaRef)&amp;IF($AN159-FechaRef=1," día"," días"),"En plazo")))))))</f>
        <v/>
      </c>
      <c r="P159" s="62" t="n"/>
      <c r="Q159" s="58" t="n"/>
      <c r="R159" s="63">
        <f>IF(NOT((COUNTA($B159:$D159)+COUNTA($G159:$L159)+COUNTA($Q159))&gt;0),"",IF((IF($C159="","Falta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",""))="","✔ OK","⚠ "&amp;LEFT(IF($C159="","Falta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",""),LEN(IF($C159="","Falta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",""))-3)))</f>
        <v/>
      </c>
      <c r="S159" s="64">
        <f>IF(NOT((COUNTA($B159:$D159)+COUNTA($G159:$L159)+COUNTA($Q159))&gt;0),"",IF(AND($V159="Sub",N($U159)&gt;0),IF(ISNUMBER(INDEX($AM$5:$AM$1000,$U159-4)),DATE(YEAR(INDEX($AM$5:$AM$1000,$U159-4)),MONTH(INDEX($AM$5:$AM$1000,$U159-4)),1),IF(ISNUMBER(INDEX($AN$5:$AN$1000,$U159-4)),DATE(YEAR(INDEX($AN$5:$AN$1000,$U159-4)),MONTH(INDEX($AN$5:$AN$1000,$U159-4)),1),MesCiclo)),IF(ISNUMBER($AM159),DATE(YEAR($AM159),MONTH($AM159),1),IF(ISNUMBER($AN159),DATE(YEAR($AN159),MONTH($AN159),1),MesCiclo))))</f>
        <v/>
      </c>
      <c r="T159" s="62">
        <f>IF(OR($S159="",$S159&lt;&gt;MesCiclo),"",COUNTIF($S$5:$S159,MesCiclo))</f>
        <v/>
      </c>
      <c r="U159" s="62">
        <f>IF($V159="","",IF($V159="Macro",ROW(),IFERROR(LOOKUP(2,1/($V$5:$V159="Macro"),ROW($V$5:$V159)),0)))</f>
        <v/>
      </c>
      <c r="V159" s="62">
        <f>IF(NOT((COUNTA($B159:$D159)+COUNTA($G159:$L159)+COUNTA($Q159))&gt;0),"",IF($B159="Subactividad","Sub","Macro"))</f>
        <v/>
      </c>
      <c r="W159" s="62">
        <f>IF($V159="Macro",COUNTIFS($U$5:$U$1000,ROW(),$V$5:$V$1000,"Sub"),"")</f>
        <v/>
      </c>
      <c r="X159" s="62">
        <f>IF($V159="","",IF(ISNUMBER($G159),1,IFERROR(LOOKUP(2,1/($I159:$L159&lt;&gt;""),$I159:$L159),0)))</f>
        <v/>
      </c>
      <c r="Y159" s="62">
        <f>IF($V159="","",IF(AND(ISNUMBER($G159),$G159&lt;=IF($S159=MesCiclo,InicioCiclo,$S159+MOD(2-WEEKDAY($S159),7))+6),1,IF(ISNUMBER($I159),$I159,0)))</f>
        <v/>
      </c>
      <c r="Z159" s="62">
        <f>IF($V159="","",IF(AND(ISNUMBER($G159),$G159&lt;=IF($S159=MesCiclo,InicioCiclo,$S159+MOD(2-WEEKDAY($S159),7))+13),1,IF(ISNUMBER($J159),$J159,$Y159)))</f>
        <v/>
      </c>
      <c r="AA159" s="62">
        <f>IF($V159="","",IF(AND(ISNUMBER($G159),$G159&lt;=IF($S159=MesCiclo,InicioCiclo,$S159+MOD(2-WEEKDAY($S159),7))+20),1,IF(ISNUMBER($K159),$K159,$Z159)))</f>
        <v/>
      </c>
      <c r="AB159" s="62">
        <f>IF($V159="","",IF(AND(ISNUMBER($G159),$G159&lt;=IF($S159=MesCiclo,InicioCiclo,$S159+MOD(2-WEEKDAY($S159),7))+27),1,IF(ISNUMBER($L159),$L159,$AA159)))</f>
        <v/>
      </c>
      <c r="AC159" s="62">
        <f>IF($V159="","",IF(AND(ISNUMBER($G159),$G159&lt;=IF($S159=MesCiclo,InicioCiclo,$S159+MOD(2-WEEKDAY($S159),7))+6),1,IF(N($W159)&gt;0,AVERAGEIFS($Y$5:$Y$1000,$U$5:$U$1000,ROW(),$V$5:$V$1000,"Sub"),$Y159)))</f>
        <v/>
      </c>
      <c r="AD159" s="62">
        <f>IF($V159="","",IF(AND(ISNUMBER($G159),$G159&lt;=IF($S159=MesCiclo,InicioCiclo,$S159+MOD(2-WEEKDAY($S159),7))+13),1,IF(N($W159)&gt;0,AVERAGEIFS($Z$5:$Z$1000,$U$5:$U$1000,ROW(),$V$5:$V$1000,"Sub"),$Z159)))</f>
        <v/>
      </c>
      <c r="AE159" s="62">
        <f>IF($V159="","",IF(AND(ISNUMBER($G159),$G159&lt;=IF($S159=MesCiclo,InicioCiclo,$S159+MOD(2-WEEKDAY($S159),7))+20),1,IF(N($W159)&gt;0,AVERAGEIFS($AA$5:$AA$1000,$U$5:$U$1000,ROW(),$V$5:$V$1000,"Sub"),$AA159)))</f>
        <v/>
      </c>
      <c r="AF159" s="62">
        <f>IF($V159="","",IF(AND(ISNUMBER($G159),$G159&lt;=IF($S159=MesCiclo,InicioCiclo,$S159+MOD(2-WEEKDAY($S159),7))+27),1,IF(N($W159)&gt;0,AVERAGEIFS($AB$5:$AB$1000,$U$5:$U$1000,ROW(),$V$5:$V$1000,"Sub"),$AB159)))</f>
        <v/>
      </c>
      <c r="AG159" s="62">
        <f>IF($V159&lt;&gt;"Macro","",IF(COUNTIFS($S$5:$S$1000,$S159,$V$5:$V$1000,"Macro",$H$5:$H$1000,"&gt;0")=0,1/COUNTIFS($S$5:$S$1000,$S159,$V$5:$V$1000,"Macro"),IF(AND(ISNUMBER($H159),N($H159)&gt;0),$H159,SUMIFS($H$5:$H$1000,$S$5:$S$1000,$S159,$V$5:$V$1000,"Macro")/COUNTIFS($S$5:$S$1000,$S159,$V$5:$V$1000,"Macro",$H$5:$H$1000,"&gt;0"))/(COUNTIFS($S$5:$S$1000,$S159,$V$5:$V$1000,"Macro")*SUMIFS($H$5:$H$1000,$S$5:$S$1000,$S159,$V$5:$V$1000,"Macro")/COUNTIFS($S$5:$S$1000,$S159,$V$5:$V$1000,"Macro",$H$5:$H$1000,"&gt;0"))))</f>
        <v/>
      </c>
      <c r="AH159" s="62" t="n"/>
      <c r="AI159" s="62" t="n"/>
      <c r="AJ159" s="62" t="n"/>
      <c r="AK159" s="62" t="n"/>
      <c r="AL159" s="62">
        <f>IF(LEFT($C159,11)="[Jefatura] ",IFERROR(MATCH("Riesgo Normativo|"&amp;MID($C159,12,500),rDname_ADM,0),0),"")</f>
        <v/>
      </c>
      <c r="AM159" s="62">
        <f>IF(N($AL159)&gt;0,INDEX(rIni_ADM,$AL159),IF(ISNUMBER($E159),$E159,""))</f>
        <v/>
      </c>
      <c r="AN159" s="62">
        <f>IF(N($AL159)&gt;0,INDEX(rLim_ADM,$AL159),IF(ISNUMBER($F159),$F159,""))</f>
        <v/>
      </c>
    </row>
    <row r="160">
      <c r="A160" s="56">
        <f>IF(NOT((COUNTA($B160:$D160)+COUNTA($G160:$L160)+COUNTA($Q160))&gt;0),"",IF($V160="Macro",COUNTIFS($V$5:$V160,"Macro",$S$5:$S160,$S160),IF(N($U160)=0,"?",COUNTIFS(INDEX($V$5:$V$1000,1):INDEX($V$5:$V$1000,$U160-4),"Macro",INDEX($S$5:$S$1000,1):INDEX($S$5:$S$1000,$U160-4),INDEX($S$5:$S$1000,$U160-4))&amp;"."&amp;COUNTIFS($U$5:$U160,$U160,$V$5:$V160,"Sub"))))</f>
        <v/>
      </c>
      <c r="B160" s="57" t="n"/>
      <c r="C160" s="58" t="n"/>
      <c r="D160" s="58" t="n"/>
      <c r="E160" s="59">
        <f>IF(N($AL160)&gt;0,INDEX(rIni_ADM,$AL160),"")</f>
        <v/>
      </c>
      <c r="F160" s="59">
        <f>IF(N($AL160)&gt;0,INDEX(rLim_ADM,$AL160),"")</f>
        <v/>
      </c>
      <c r="G160" s="59" t="n"/>
      <c r="H160" s="60" t="n"/>
      <c r="I160" s="60" t="n"/>
      <c r="J160" s="60" t="n"/>
      <c r="K160" s="60" t="n"/>
      <c r="L160" s="60" t="n"/>
      <c r="M160" s="61">
        <f>IF(NOT((COUNTA($B160:$D160)+COUNTA($G160:$L160)+COUNTA($Q160))&gt;0),"",IF(ISNUMBER($G160),1,IF(N($W160)&gt;0,AVERAGEIFS($X$5:$X$1000,$U$5:$U$1000,ROW(),$V$5:$V$1000,"Sub"),$X160)))</f>
        <v/>
      </c>
      <c r="N160" s="56">
        <f>IF($M160="","",IF($M160&gt;=1,"Completado",IF($M160&gt;0,"En curso","Pendiente")))</f>
        <v/>
      </c>
      <c r="O160" s="56">
        <f>IF(NOT((COUNTA($B160:$D160)+COUNTA($G160:$L160)+COUNTA($Q160))&gt;0),"",IF(ISNUMBER($G160),IF(AND(ISNUMBER($AN160),$G160&gt;$AN160),"Cumplida con "&amp;($G160-$AN160)&amp;IF($G160-$AN160=1," día"," días")&amp;" de retraso","Cumplida"),IF(N($M160)&gt;=1,"Cumplida",IF(NOT(ISNUMBER($AN160)),"Sin fecha límite",IF($AN160&lt;FechaRef,"Vencida hace "&amp;(FechaRef-$AN160)&amp;IF(FechaRef-$AN160=1," día"," días"),IF($AN160=FechaRef,"Vence hoy",IF($AN160-FechaRef&lt;=DiasAlerta,"Vence en "&amp;($AN160-FechaRef)&amp;IF($AN160-FechaRef=1," día"," días"),"En plazo")))))))</f>
        <v/>
      </c>
      <c r="P160" s="62" t="n"/>
      <c r="Q160" s="58" t="n"/>
      <c r="R160" s="63">
        <f>IF(NOT((COUNTA($B160:$D160)+COUNTA($G160:$L160)+COUNTA($Q160))&gt;0),"",IF((IF($C160="","Falta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",""))="","✔ OK","⚠ "&amp;LEFT(IF($C160="","Falta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",""),LEN(IF($C160="","Falta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",""))-3)))</f>
        <v/>
      </c>
      <c r="S160" s="64">
        <f>IF(NOT((COUNTA($B160:$D160)+COUNTA($G160:$L160)+COUNTA($Q160))&gt;0),"",IF(AND($V160="Sub",N($U160)&gt;0),IF(ISNUMBER(INDEX($AM$5:$AM$1000,$U160-4)),DATE(YEAR(INDEX($AM$5:$AM$1000,$U160-4)),MONTH(INDEX($AM$5:$AM$1000,$U160-4)),1),IF(ISNUMBER(INDEX($AN$5:$AN$1000,$U160-4)),DATE(YEAR(INDEX($AN$5:$AN$1000,$U160-4)),MONTH(INDEX($AN$5:$AN$1000,$U160-4)),1),MesCiclo)),IF(ISNUMBER($AM160),DATE(YEAR($AM160),MONTH($AM160),1),IF(ISNUMBER($AN160),DATE(YEAR($AN160),MONTH($AN160),1),MesCiclo))))</f>
        <v/>
      </c>
      <c r="T160" s="62">
        <f>IF(OR($S160="",$S160&lt;&gt;MesCiclo),"",COUNTIF($S$5:$S160,MesCiclo))</f>
        <v/>
      </c>
      <c r="U160" s="62">
        <f>IF($V160="","",IF($V160="Macro",ROW(),IFERROR(LOOKUP(2,1/($V$5:$V160="Macro"),ROW($V$5:$V160)),0)))</f>
        <v/>
      </c>
      <c r="V160" s="62">
        <f>IF(NOT((COUNTA($B160:$D160)+COUNTA($G160:$L160)+COUNTA($Q160))&gt;0),"",IF($B160="Subactividad","Sub","Macro"))</f>
        <v/>
      </c>
      <c r="W160" s="62">
        <f>IF($V160="Macro",COUNTIFS($U$5:$U$1000,ROW(),$V$5:$V$1000,"Sub"),"")</f>
        <v/>
      </c>
      <c r="X160" s="62">
        <f>IF($V160="","",IF(ISNUMBER($G160),1,IFERROR(LOOKUP(2,1/($I160:$L160&lt;&gt;""),$I160:$L160),0)))</f>
        <v/>
      </c>
      <c r="Y160" s="62">
        <f>IF($V160="","",IF(AND(ISNUMBER($G160),$G160&lt;=IF($S160=MesCiclo,InicioCiclo,$S160+MOD(2-WEEKDAY($S160),7))+6),1,IF(ISNUMBER($I160),$I160,0)))</f>
        <v/>
      </c>
      <c r="Z160" s="62">
        <f>IF($V160="","",IF(AND(ISNUMBER($G160),$G160&lt;=IF($S160=MesCiclo,InicioCiclo,$S160+MOD(2-WEEKDAY($S160),7))+13),1,IF(ISNUMBER($J160),$J160,$Y160)))</f>
        <v/>
      </c>
      <c r="AA160" s="62">
        <f>IF($V160="","",IF(AND(ISNUMBER($G160),$G160&lt;=IF($S160=MesCiclo,InicioCiclo,$S160+MOD(2-WEEKDAY($S160),7))+20),1,IF(ISNUMBER($K160),$K160,$Z160)))</f>
        <v/>
      </c>
      <c r="AB160" s="62">
        <f>IF($V160="","",IF(AND(ISNUMBER($G160),$G160&lt;=IF($S160=MesCiclo,InicioCiclo,$S160+MOD(2-WEEKDAY($S160),7))+27),1,IF(ISNUMBER($L160),$L160,$AA160)))</f>
        <v/>
      </c>
      <c r="AC160" s="62">
        <f>IF($V160="","",IF(AND(ISNUMBER($G160),$G160&lt;=IF($S160=MesCiclo,InicioCiclo,$S160+MOD(2-WEEKDAY($S160),7))+6),1,IF(N($W160)&gt;0,AVERAGEIFS($Y$5:$Y$1000,$U$5:$U$1000,ROW(),$V$5:$V$1000,"Sub"),$Y160)))</f>
        <v/>
      </c>
      <c r="AD160" s="62">
        <f>IF($V160="","",IF(AND(ISNUMBER($G160),$G160&lt;=IF($S160=MesCiclo,InicioCiclo,$S160+MOD(2-WEEKDAY($S160),7))+13),1,IF(N($W160)&gt;0,AVERAGEIFS($Z$5:$Z$1000,$U$5:$U$1000,ROW(),$V$5:$V$1000,"Sub"),$Z160)))</f>
        <v/>
      </c>
      <c r="AE160" s="62">
        <f>IF($V160="","",IF(AND(ISNUMBER($G160),$G160&lt;=IF($S160=MesCiclo,InicioCiclo,$S160+MOD(2-WEEKDAY($S160),7))+20),1,IF(N($W160)&gt;0,AVERAGEIFS($AA$5:$AA$1000,$U$5:$U$1000,ROW(),$V$5:$V$1000,"Sub"),$AA160)))</f>
        <v/>
      </c>
      <c r="AF160" s="62">
        <f>IF($V160="","",IF(AND(ISNUMBER($G160),$G160&lt;=IF($S160=MesCiclo,InicioCiclo,$S160+MOD(2-WEEKDAY($S160),7))+27),1,IF(N($W160)&gt;0,AVERAGEIFS($AB$5:$AB$1000,$U$5:$U$1000,ROW(),$V$5:$V$1000,"Sub"),$AB160)))</f>
        <v/>
      </c>
      <c r="AG160" s="62">
        <f>IF($V160&lt;&gt;"Macro","",IF(COUNTIFS($S$5:$S$1000,$S160,$V$5:$V$1000,"Macro",$H$5:$H$1000,"&gt;0")=0,1/COUNTIFS($S$5:$S$1000,$S160,$V$5:$V$1000,"Macro"),IF(AND(ISNUMBER($H160),N($H160)&gt;0),$H160,SUMIFS($H$5:$H$1000,$S$5:$S$1000,$S160,$V$5:$V$1000,"Macro")/COUNTIFS($S$5:$S$1000,$S160,$V$5:$V$1000,"Macro",$H$5:$H$1000,"&gt;0"))/(COUNTIFS($S$5:$S$1000,$S160,$V$5:$V$1000,"Macro")*SUMIFS($H$5:$H$1000,$S$5:$S$1000,$S160,$V$5:$V$1000,"Macro")/COUNTIFS($S$5:$S$1000,$S160,$V$5:$V$1000,"Macro",$H$5:$H$1000,"&gt;0"))))</f>
        <v/>
      </c>
      <c r="AH160" s="62" t="n"/>
      <c r="AI160" s="62" t="n"/>
      <c r="AJ160" s="62" t="n"/>
      <c r="AK160" s="62" t="n"/>
      <c r="AL160" s="62">
        <f>IF(LEFT($C160,11)="[Jefatura] ",IFERROR(MATCH("Riesgo Normativo|"&amp;MID($C160,12,500),rDname_ADM,0),0),"")</f>
        <v/>
      </c>
      <c r="AM160" s="62">
        <f>IF(N($AL160)&gt;0,INDEX(rIni_ADM,$AL160),IF(ISNUMBER($E160),$E160,""))</f>
        <v/>
      </c>
      <c r="AN160" s="62">
        <f>IF(N($AL160)&gt;0,INDEX(rLim_ADM,$AL160),IF(ISNUMBER($F160),$F160,""))</f>
        <v/>
      </c>
    </row>
    <row r="161">
      <c r="A161" s="56">
        <f>IF(NOT((COUNTA($B161:$D161)+COUNTA($G161:$L161)+COUNTA($Q161))&gt;0),"",IF($V161="Macro",COUNTIFS($V$5:$V161,"Macro",$S$5:$S161,$S161),IF(N($U161)=0,"?",COUNTIFS(INDEX($V$5:$V$1000,1):INDEX($V$5:$V$1000,$U161-4),"Macro",INDEX($S$5:$S$1000,1):INDEX($S$5:$S$1000,$U161-4),INDEX($S$5:$S$1000,$U161-4))&amp;"."&amp;COUNTIFS($U$5:$U161,$U161,$V$5:$V161,"Sub"))))</f>
        <v/>
      </c>
      <c r="B161" s="57" t="n"/>
      <c r="C161" s="58" t="n"/>
      <c r="D161" s="58" t="n"/>
      <c r="E161" s="59">
        <f>IF(N($AL161)&gt;0,INDEX(rIni_ADM,$AL161),"")</f>
        <v/>
      </c>
      <c r="F161" s="59">
        <f>IF(N($AL161)&gt;0,INDEX(rLim_ADM,$AL161),"")</f>
        <v/>
      </c>
      <c r="G161" s="59" t="n"/>
      <c r="H161" s="60" t="n"/>
      <c r="I161" s="60" t="n"/>
      <c r="J161" s="60" t="n"/>
      <c r="K161" s="60" t="n"/>
      <c r="L161" s="60" t="n"/>
      <c r="M161" s="61">
        <f>IF(NOT((COUNTA($B161:$D161)+COUNTA($G161:$L161)+COUNTA($Q161))&gt;0),"",IF(ISNUMBER($G161),1,IF(N($W161)&gt;0,AVERAGEIFS($X$5:$X$1000,$U$5:$U$1000,ROW(),$V$5:$V$1000,"Sub"),$X161)))</f>
        <v/>
      </c>
      <c r="N161" s="56">
        <f>IF($M161="","",IF($M161&gt;=1,"Completado",IF($M161&gt;0,"En curso","Pendiente")))</f>
        <v/>
      </c>
      <c r="O161" s="56">
        <f>IF(NOT((COUNTA($B161:$D161)+COUNTA($G161:$L161)+COUNTA($Q161))&gt;0),"",IF(ISNUMBER($G161),IF(AND(ISNUMBER($AN161),$G161&gt;$AN161),"Cumplida con "&amp;($G161-$AN161)&amp;IF($G161-$AN161=1," día"," días")&amp;" de retraso","Cumplida"),IF(N($M161)&gt;=1,"Cumplida",IF(NOT(ISNUMBER($AN161)),"Sin fecha límite",IF($AN161&lt;FechaRef,"Vencida hace "&amp;(FechaRef-$AN161)&amp;IF(FechaRef-$AN161=1," día"," días"),IF($AN161=FechaRef,"Vence hoy",IF($AN161-FechaRef&lt;=DiasAlerta,"Vence en "&amp;($AN161-FechaRef)&amp;IF($AN161-FechaRef=1," día"," días"),"En plazo")))))))</f>
        <v/>
      </c>
      <c r="P161" s="62" t="n"/>
      <c r="Q161" s="58" t="n"/>
      <c r="R161" s="63">
        <f>IF(NOT((COUNTA($B161:$D161)+COUNTA($G161:$L161)+COUNTA($Q161))&gt;0),"",IF((IF($C161="","Falta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",""))="","✔ OK","⚠ "&amp;LEFT(IF($C161="","Falta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",""),LEN(IF($C161="","Falta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",""))-3)))</f>
        <v/>
      </c>
      <c r="S161" s="64">
        <f>IF(NOT((COUNTA($B161:$D161)+COUNTA($G161:$L161)+COUNTA($Q161))&gt;0),"",IF(AND($V161="Sub",N($U161)&gt;0),IF(ISNUMBER(INDEX($AM$5:$AM$1000,$U161-4)),DATE(YEAR(INDEX($AM$5:$AM$1000,$U161-4)),MONTH(INDEX($AM$5:$AM$1000,$U161-4)),1),IF(ISNUMBER(INDEX($AN$5:$AN$1000,$U161-4)),DATE(YEAR(INDEX($AN$5:$AN$1000,$U161-4)),MONTH(INDEX($AN$5:$AN$1000,$U161-4)),1),MesCiclo)),IF(ISNUMBER($AM161),DATE(YEAR($AM161),MONTH($AM161),1),IF(ISNUMBER($AN161),DATE(YEAR($AN161),MONTH($AN161),1),MesCiclo))))</f>
        <v/>
      </c>
      <c r="T161" s="62">
        <f>IF(OR($S161="",$S161&lt;&gt;MesCiclo),"",COUNTIF($S$5:$S161,MesCiclo))</f>
        <v/>
      </c>
      <c r="U161" s="62">
        <f>IF($V161="","",IF($V161="Macro",ROW(),IFERROR(LOOKUP(2,1/($V$5:$V161="Macro"),ROW($V$5:$V161)),0)))</f>
        <v/>
      </c>
      <c r="V161" s="62">
        <f>IF(NOT((COUNTA($B161:$D161)+COUNTA($G161:$L161)+COUNTA($Q161))&gt;0),"",IF($B161="Subactividad","Sub","Macro"))</f>
        <v/>
      </c>
      <c r="W161" s="62">
        <f>IF($V161="Macro",COUNTIFS($U$5:$U$1000,ROW(),$V$5:$V$1000,"Sub"),"")</f>
        <v/>
      </c>
      <c r="X161" s="62">
        <f>IF($V161="","",IF(ISNUMBER($G161),1,IFERROR(LOOKUP(2,1/($I161:$L161&lt;&gt;""),$I161:$L161),0)))</f>
        <v/>
      </c>
      <c r="Y161" s="62">
        <f>IF($V161="","",IF(AND(ISNUMBER($G161),$G161&lt;=IF($S161=MesCiclo,InicioCiclo,$S161+MOD(2-WEEKDAY($S161),7))+6),1,IF(ISNUMBER($I161),$I161,0)))</f>
        <v/>
      </c>
      <c r="Z161" s="62">
        <f>IF($V161="","",IF(AND(ISNUMBER($G161),$G161&lt;=IF($S161=MesCiclo,InicioCiclo,$S161+MOD(2-WEEKDAY($S161),7))+13),1,IF(ISNUMBER($J161),$J161,$Y161)))</f>
        <v/>
      </c>
      <c r="AA161" s="62">
        <f>IF($V161="","",IF(AND(ISNUMBER($G161),$G161&lt;=IF($S161=MesCiclo,InicioCiclo,$S161+MOD(2-WEEKDAY($S161),7))+20),1,IF(ISNUMBER($K161),$K161,$Z161)))</f>
        <v/>
      </c>
      <c r="AB161" s="62">
        <f>IF($V161="","",IF(AND(ISNUMBER($G161),$G161&lt;=IF($S161=MesCiclo,InicioCiclo,$S161+MOD(2-WEEKDAY($S161),7))+27),1,IF(ISNUMBER($L161),$L161,$AA161)))</f>
        <v/>
      </c>
      <c r="AC161" s="62">
        <f>IF($V161="","",IF(AND(ISNUMBER($G161),$G161&lt;=IF($S161=MesCiclo,InicioCiclo,$S161+MOD(2-WEEKDAY($S161),7))+6),1,IF(N($W161)&gt;0,AVERAGEIFS($Y$5:$Y$1000,$U$5:$U$1000,ROW(),$V$5:$V$1000,"Sub"),$Y161)))</f>
        <v/>
      </c>
      <c r="AD161" s="62">
        <f>IF($V161="","",IF(AND(ISNUMBER($G161),$G161&lt;=IF($S161=MesCiclo,InicioCiclo,$S161+MOD(2-WEEKDAY($S161),7))+13),1,IF(N($W161)&gt;0,AVERAGEIFS($Z$5:$Z$1000,$U$5:$U$1000,ROW(),$V$5:$V$1000,"Sub"),$Z161)))</f>
        <v/>
      </c>
      <c r="AE161" s="62">
        <f>IF($V161="","",IF(AND(ISNUMBER($G161),$G161&lt;=IF($S161=MesCiclo,InicioCiclo,$S161+MOD(2-WEEKDAY($S161),7))+20),1,IF(N($W161)&gt;0,AVERAGEIFS($AA$5:$AA$1000,$U$5:$U$1000,ROW(),$V$5:$V$1000,"Sub"),$AA161)))</f>
        <v/>
      </c>
      <c r="AF161" s="62">
        <f>IF($V161="","",IF(AND(ISNUMBER($G161),$G161&lt;=IF($S161=MesCiclo,InicioCiclo,$S161+MOD(2-WEEKDAY($S161),7))+27),1,IF(N($W161)&gt;0,AVERAGEIFS($AB$5:$AB$1000,$U$5:$U$1000,ROW(),$V$5:$V$1000,"Sub"),$AB161)))</f>
        <v/>
      </c>
      <c r="AG161" s="62">
        <f>IF($V161&lt;&gt;"Macro","",IF(COUNTIFS($S$5:$S$1000,$S161,$V$5:$V$1000,"Macro",$H$5:$H$1000,"&gt;0")=0,1/COUNTIFS($S$5:$S$1000,$S161,$V$5:$V$1000,"Macro"),IF(AND(ISNUMBER($H161),N($H161)&gt;0),$H161,SUMIFS($H$5:$H$1000,$S$5:$S$1000,$S161,$V$5:$V$1000,"Macro")/COUNTIFS($S$5:$S$1000,$S161,$V$5:$V$1000,"Macro",$H$5:$H$1000,"&gt;0"))/(COUNTIFS($S$5:$S$1000,$S161,$V$5:$V$1000,"Macro")*SUMIFS($H$5:$H$1000,$S$5:$S$1000,$S161,$V$5:$V$1000,"Macro")/COUNTIFS($S$5:$S$1000,$S161,$V$5:$V$1000,"Macro",$H$5:$H$1000,"&gt;0"))))</f>
        <v/>
      </c>
      <c r="AH161" s="62" t="n"/>
      <c r="AI161" s="62" t="n"/>
      <c r="AJ161" s="62" t="n"/>
      <c r="AK161" s="62" t="n"/>
      <c r="AL161" s="62">
        <f>IF(LEFT($C161,11)="[Jefatura] ",IFERROR(MATCH("Riesgo Normativo|"&amp;MID($C161,12,500),rDname_ADM,0),0),"")</f>
        <v/>
      </c>
      <c r="AM161" s="62">
        <f>IF(N($AL161)&gt;0,INDEX(rIni_ADM,$AL161),IF(ISNUMBER($E161),$E161,""))</f>
        <v/>
      </c>
      <c r="AN161" s="62">
        <f>IF(N($AL161)&gt;0,INDEX(rLim_ADM,$AL161),IF(ISNUMBER($F161),$F161,""))</f>
        <v/>
      </c>
    </row>
    <row r="162">
      <c r="A162" s="56">
        <f>IF(NOT((COUNTA($B162:$D162)+COUNTA($G162:$L162)+COUNTA($Q162))&gt;0),"",IF($V162="Macro",COUNTIFS($V$5:$V162,"Macro",$S$5:$S162,$S162),IF(N($U162)=0,"?",COUNTIFS(INDEX($V$5:$V$1000,1):INDEX($V$5:$V$1000,$U162-4),"Macro",INDEX($S$5:$S$1000,1):INDEX($S$5:$S$1000,$U162-4),INDEX($S$5:$S$1000,$U162-4))&amp;"."&amp;COUNTIFS($U$5:$U162,$U162,$V$5:$V162,"Sub"))))</f>
        <v/>
      </c>
      <c r="B162" s="57" t="n"/>
      <c r="C162" s="58" t="n"/>
      <c r="D162" s="58" t="n"/>
      <c r="E162" s="59">
        <f>IF(N($AL162)&gt;0,INDEX(rIni_ADM,$AL162),"")</f>
        <v/>
      </c>
      <c r="F162" s="59">
        <f>IF(N($AL162)&gt;0,INDEX(rLim_ADM,$AL162),"")</f>
        <v/>
      </c>
      <c r="G162" s="59" t="n"/>
      <c r="H162" s="60" t="n"/>
      <c r="I162" s="60" t="n"/>
      <c r="J162" s="60" t="n"/>
      <c r="K162" s="60" t="n"/>
      <c r="L162" s="60" t="n"/>
      <c r="M162" s="61">
        <f>IF(NOT((COUNTA($B162:$D162)+COUNTA($G162:$L162)+COUNTA($Q162))&gt;0),"",IF(ISNUMBER($G162),1,IF(N($W162)&gt;0,AVERAGEIFS($X$5:$X$1000,$U$5:$U$1000,ROW(),$V$5:$V$1000,"Sub"),$X162)))</f>
        <v/>
      </c>
      <c r="N162" s="56">
        <f>IF($M162="","",IF($M162&gt;=1,"Completado",IF($M162&gt;0,"En curso","Pendiente")))</f>
        <v/>
      </c>
      <c r="O162" s="56">
        <f>IF(NOT((COUNTA($B162:$D162)+COUNTA($G162:$L162)+COUNTA($Q162))&gt;0),"",IF(ISNUMBER($G162),IF(AND(ISNUMBER($AN162),$G162&gt;$AN162),"Cumplida con "&amp;($G162-$AN162)&amp;IF($G162-$AN162=1," día"," días")&amp;" de retraso","Cumplida"),IF(N($M162)&gt;=1,"Cumplida",IF(NOT(ISNUMBER($AN162)),"Sin fecha límite",IF($AN162&lt;FechaRef,"Vencida hace "&amp;(FechaRef-$AN162)&amp;IF(FechaRef-$AN162=1," día"," días"),IF($AN162=FechaRef,"Vence hoy",IF($AN162-FechaRef&lt;=DiasAlerta,"Vence en "&amp;($AN162-FechaRef)&amp;IF($AN162-FechaRef=1," día"," días"),"En plazo")))))))</f>
        <v/>
      </c>
      <c r="P162" s="62" t="n"/>
      <c r="Q162" s="58" t="n"/>
      <c r="R162" s="63">
        <f>IF(NOT((COUNTA($B162:$D162)+COUNTA($G162:$L162)+COUNTA($Q162))&gt;0),"",IF((IF($C162="","Falta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",""))="","✔ OK","⚠ "&amp;LEFT(IF($C162="","Falta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",""),LEN(IF($C162="","Falta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",""))-3)))</f>
        <v/>
      </c>
      <c r="S162" s="64">
        <f>IF(NOT((COUNTA($B162:$D162)+COUNTA($G162:$L162)+COUNTA($Q162))&gt;0),"",IF(AND($V162="Sub",N($U162)&gt;0),IF(ISNUMBER(INDEX($AM$5:$AM$1000,$U162-4)),DATE(YEAR(INDEX($AM$5:$AM$1000,$U162-4)),MONTH(INDEX($AM$5:$AM$1000,$U162-4)),1),IF(ISNUMBER(INDEX($AN$5:$AN$1000,$U162-4)),DATE(YEAR(INDEX($AN$5:$AN$1000,$U162-4)),MONTH(INDEX($AN$5:$AN$1000,$U162-4)),1),MesCiclo)),IF(ISNUMBER($AM162),DATE(YEAR($AM162),MONTH($AM162),1),IF(ISNUMBER($AN162),DATE(YEAR($AN162),MONTH($AN162),1),MesCiclo))))</f>
        <v/>
      </c>
      <c r="T162" s="62">
        <f>IF(OR($S162="",$S162&lt;&gt;MesCiclo),"",COUNTIF($S$5:$S162,MesCiclo))</f>
        <v/>
      </c>
      <c r="U162" s="62">
        <f>IF($V162="","",IF($V162="Macro",ROW(),IFERROR(LOOKUP(2,1/($V$5:$V162="Macro"),ROW($V$5:$V162)),0)))</f>
        <v/>
      </c>
      <c r="V162" s="62">
        <f>IF(NOT((COUNTA($B162:$D162)+COUNTA($G162:$L162)+COUNTA($Q162))&gt;0),"",IF($B162="Subactividad","Sub","Macro"))</f>
        <v/>
      </c>
      <c r="W162" s="62">
        <f>IF($V162="Macro",COUNTIFS($U$5:$U$1000,ROW(),$V$5:$V$1000,"Sub"),"")</f>
        <v/>
      </c>
      <c r="X162" s="62">
        <f>IF($V162="","",IF(ISNUMBER($G162),1,IFERROR(LOOKUP(2,1/($I162:$L162&lt;&gt;""),$I162:$L162),0)))</f>
        <v/>
      </c>
      <c r="Y162" s="62">
        <f>IF($V162="","",IF(AND(ISNUMBER($G162),$G162&lt;=IF($S162=MesCiclo,InicioCiclo,$S162+MOD(2-WEEKDAY($S162),7))+6),1,IF(ISNUMBER($I162),$I162,0)))</f>
        <v/>
      </c>
      <c r="Z162" s="62">
        <f>IF($V162="","",IF(AND(ISNUMBER($G162),$G162&lt;=IF($S162=MesCiclo,InicioCiclo,$S162+MOD(2-WEEKDAY($S162),7))+13),1,IF(ISNUMBER($J162),$J162,$Y162)))</f>
        <v/>
      </c>
      <c r="AA162" s="62">
        <f>IF($V162="","",IF(AND(ISNUMBER($G162),$G162&lt;=IF($S162=MesCiclo,InicioCiclo,$S162+MOD(2-WEEKDAY($S162),7))+20),1,IF(ISNUMBER($K162),$K162,$Z162)))</f>
        <v/>
      </c>
      <c r="AB162" s="62">
        <f>IF($V162="","",IF(AND(ISNUMBER($G162),$G162&lt;=IF($S162=MesCiclo,InicioCiclo,$S162+MOD(2-WEEKDAY($S162),7))+27),1,IF(ISNUMBER($L162),$L162,$AA162)))</f>
        <v/>
      </c>
      <c r="AC162" s="62">
        <f>IF($V162="","",IF(AND(ISNUMBER($G162),$G162&lt;=IF($S162=MesCiclo,InicioCiclo,$S162+MOD(2-WEEKDAY($S162),7))+6),1,IF(N($W162)&gt;0,AVERAGEIFS($Y$5:$Y$1000,$U$5:$U$1000,ROW(),$V$5:$V$1000,"Sub"),$Y162)))</f>
        <v/>
      </c>
      <c r="AD162" s="62">
        <f>IF($V162="","",IF(AND(ISNUMBER($G162),$G162&lt;=IF($S162=MesCiclo,InicioCiclo,$S162+MOD(2-WEEKDAY($S162),7))+13),1,IF(N($W162)&gt;0,AVERAGEIFS($Z$5:$Z$1000,$U$5:$U$1000,ROW(),$V$5:$V$1000,"Sub"),$Z162)))</f>
        <v/>
      </c>
      <c r="AE162" s="62">
        <f>IF($V162="","",IF(AND(ISNUMBER($G162),$G162&lt;=IF($S162=MesCiclo,InicioCiclo,$S162+MOD(2-WEEKDAY($S162),7))+20),1,IF(N($W162)&gt;0,AVERAGEIFS($AA$5:$AA$1000,$U$5:$U$1000,ROW(),$V$5:$V$1000,"Sub"),$AA162)))</f>
        <v/>
      </c>
      <c r="AF162" s="62">
        <f>IF($V162="","",IF(AND(ISNUMBER($G162),$G162&lt;=IF($S162=MesCiclo,InicioCiclo,$S162+MOD(2-WEEKDAY($S162),7))+27),1,IF(N($W162)&gt;0,AVERAGEIFS($AB$5:$AB$1000,$U$5:$U$1000,ROW(),$V$5:$V$1000,"Sub"),$AB162)))</f>
        <v/>
      </c>
      <c r="AG162" s="62">
        <f>IF($V162&lt;&gt;"Macro","",IF(COUNTIFS($S$5:$S$1000,$S162,$V$5:$V$1000,"Macro",$H$5:$H$1000,"&gt;0")=0,1/COUNTIFS($S$5:$S$1000,$S162,$V$5:$V$1000,"Macro"),IF(AND(ISNUMBER($H162),N($H162)&gt;0),$H162,SUMIFS($H$5:$H$1000,$S$5:$S$1000,$S162,$V$5:$V$1000,"Macro")/COUNTIFS($S$5:$S$1000,$S162,$V$5:$V$1000,"Macro",$H$5:$H$1000,"&gt;0"))/(COUNTIFS($S$5:$S$1000,$S162,$V$5:$V$1000,"Macro")*SUMIFS($H$5:$H$1000,$S$5:$S$1000,$S162,$V$5:$V$1000,"Macro")/COUNTIFS($S$5:$S$1000,$S162,$V$5:$V$1000,"Macro",$H$5:$H$1000,"&gt;0"))))</f>
        <v/>
      </c>
      <c r="AH162" s="62" t="n"/>
      <c r="AI162" s="62" t="n"/>
      <c r="AJ162" s="62" t="n"/>
      <c r="AK162" s="62" t="n"/>
      <c r="AL162" s="62">
        <f>IF(LEFT($C162,11)="[Jefatura] ",IFERROR(MATCH("Riesgo Normativo|"&amp;MID($C162,12,500),rDname_ADM,0),0),"")</f>
        <v/>
      </c>
      <c r="AM162" s="62">
        <f>IF(N($AL162)&gt;0,INDEX(rIni_ADM,$AL162),IF(ISNUMBER($E162),$E162,""))</f>
        <v/>
      </c>
      <c r="AN162" s="62">
        <f>IF(N($AL162)&gt;0,INDEX(rLim_ADM,$AL162),IF(ISNUMBER($F162),$F162,""))</f>
        <v/>
      </c>
    </row>
    <row r="163">
      <c r="A163" s="56">
        <f>IF(NOT((COUNTA($B163:$D163)+COUNTA($G163:$L163)+COUNTA($Q163))&gt;0),"",IF($V163="Macro",COUNTIFS($V$5:$V163,"Macro",$S$5:$S163,$S163),IF(N($U163)=0,"?",COUNTIFS(INDEX($V$5:$V$1000,1):INDEX($V$5:$V$1000,$U163-4),"Macro",INDEX($S$5:$S$1000,1):INDEX($S$5:$S$1000,$U163-4),INDEX($S$5:$S$1000,$U163-4))&amp;"."&amp;COUNTIFS($U$5:$U163,$U163,$V$5:$V163,"Sub"))))</f>
        <v/>
      </c>
      <c r="B163" s="57" t="n"/>
      <c r="C163" s="58" t="n"/>
      <c r="D163" s="58" t="n"/>
      <c r="E163" s="59">
        <f>IF(N($AL163)&gt;0,INDEX(rIni_ADM,$AL163),"")</f>
        <v/>
      </c>
      <c r="F163" s="59">
        <f>IF(N($AL163)&gt;0,INDEX(rLim_ADM,$AL163),"")</f>
        <v/>
      </c>
      <c r="G163" s="59" t="n"/>
      <c r="H163" s="60" t="n"/>
      <c r="I163" s="60" t="n"/>
      <c r="J163" s="60" t="n"/>
      <c r="K163" s="60" t="n"/>
      <c r="L163" s="60" t="n"/>
      <c r="M163" s="61">
        <f>IF(NOT((COUNTA($B163:$D163)+COUNTA($G163:$L163)+COUNTA($Q163))&gt;0),"",IF(ISNUMBER($G163),1,IF(N($W163)&gt;0,AVERAGEIFS($X$5:$X$1000,$U$5:$U$1000,ROW(),$V$5:$V$1000,"Sub"),$X163)))</f>
        <v/>
      </c>
      <c r="N163" s="56">
        <f>IF($M163="","",IF($M163&gt;=1,"Completado",IF($M163&gt;0,"En curso","Pendiente")))</f>
        <v/>
      </c>
      <c r="O163" s="56">
        <f>IF(NOT((COUNTA($B163:$D163)+COUNTA($G163:$L163)+COUNTA($Q163))&gt;0),"",IF(ISNUMBER($G163),IF(AND(ISNUMBER($AN163),$G163&gt;$AN163),"Cumplida con "&amp;($G163-$AN163)&amp;IF($G163-$AN163=1," día"," días")&amp;" de retraso","Cumplida"),IF(N($M163)&gt;=1,"Cumplida",IF(NOT(ISNUMBER($AN163)),"Sin fecha límite",IF($AN163&lt;FechaRef,"Vencida hace "&amp;(FechaRef-$AN163)&amp;IF(FechaRef-$AN163=1," día"," días"),IF($AN163=FechaRef,"Vence hoy",IF($AN163-FechaRef&lt;=DiasAlerta,"Vence en "&amp;($AN163-FechaRef)&amp;IF($AN163-FechaRef=1," día"," días"),"En plazo")))))))</f>
        <v/>
      </c>
      <c r="P163" s="62" t="n"/>
      <c r="Q163" s="58" t="n"/>
      <c r="R163" s="63">
        <f>IF(NOT((COUNTA($B163:$D163)+COUNTA($G163:$L163)+COUNTA($Q163))&gt;0),"",IF((IF($C163="","Falta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",""))="","✔ OK","⚠ "&amp;LEFT(IF($C163="","Falta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",""),LEN(IF($C163="","Falta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",""))-3)))</f>
        <v/>
      </c>
      <c r="S163" s="64">
        <f>IF(NOT((COUNTA($B163:$D163)+COUNTA($G163:$L163)+COUNTA($Q163))&gt;0),"",IF(AND($V163="Sub",N($U163)&gt;0),IF(ISNUMBER(INDEX($AM$5:$AM$1000,$U163-4)),DATE(YEAR(INDEX($AM$5:$AM$1000,$U163-4)),MONTH(INDEX($AM$5:$AM$1000,$U163-4)),1),IF(ISNUMBER(INDEX($AN$5:$AN$1000,$U163-4)),DATE(YEAR(INDEX($AN$5:$AN$1000,$U163-4)),MONTH(INDEX($AN$5:$AN$1000,$U163-4)),1),MesCiclo)),IF(ISNUMBER($AM163),DATE(YEAR($AM163),MONTH($AM163),1),IF(ISNUMBER($AN163),DATE(YEAR($AN163),MONTH($AN163),1),MesCiclo))))</f>
        <v/>
      </c>
      <c r="T163" s="62">
        <f>IF(OR($S163="",$S163&lt;&gt;MesCiclo),"",COUNTIF($S$5:$S163,MesCiclo))</f>
        <v/>
      </c>
      <c r="U163" s="62">
        <f>IF($V163="","",IF($V163="Macro",ROW(),IFERROR(LOOKUP(2,1/($V$5:$V163="Macro"),ROW($V$5:$V163)),0)))</f>
        <v/>
      </c>
      <c r="V163" s="62">
        <f>IF(NOT((COUNTA($B163:$D163)+COUNTA($G163:$L163)+COUNTA($Q163))&gt;0),"",IF($B163="Subactividad","Sub","Macro"))</f>
        <v/>
      </c>
      <c r="W163" s="62">
        <f>IF($V163="Macro",COUNTIFS($U$5:$U$1000,ROW(),$V$5:$V$1000,"Sub"),"")</f>
        <v/>
      </c>
      <c r="X163" s="62">
        <f>IF($V163="","",IF(ISNUMBER($G163),1,IFERROR(LOOKUP(2,1/($I163:$L163&lt;&gt;""),$I163:$L163),0)))</f>
        <v/>
      </c>
      <c r="Y163" s="62">
        <f>IF($V163="","",IF(AND(ISNUMBER($G163),$G163&lt;=IF($S163=MesCiclo,InicioCiclo,$S163+MOD(2-WEEKDAY($S163),7))+6),1,IF(ISNUMBER($I163),$I163,0)))</f>
        <v/>
      </c>
      <c r="Z163" s="62">
        <f>IF($V163="","",IF(AND(ISNUMBER($G163),$G163&lt;=IF($S163=MesCiclo,InicioCiclo,$S163+MOD(2-WEEKDAY($S163),7))+13),1,IF(ISNUMBER($J163),$J163,$Y163)))</f>
        <v/>
      </c>
      <c r="AA163" s="62">
        <f>IF($V163="","",IF(AND(ISNUMBER($G163),$G163&lt;=IF($S163=MesCiclo,InicioCiclo,$S163+MOD(2-WEEKDAY($S163),7))+20),1,IF(ISNUMBER($K163),$K163,$Z163)))</f>
        <v/>
      </c>
      <c r="AB163" s="62">
        <f>IF($V163="","",IF(AND(ISNUMBER($G163),$G163&lt;=IF($S163=MesCiclo,InicioCiclo,$S163+MOD(2-WEEKDAY($S163),7))+27),1,IF(ISNUMBER($L163),$L163,$AA163)))</f>
        <v/>
      </c>
      <c r="AC163" s="62">
        <f>IF($V163="","",IF(AND(ISNUMBER($G163),$G163&lt;=IF($S163=MesCiclo,InicioCiclo,$S163+MOD(2-WEEKDAY($S163),7))+6),1,IF(N($W163)&gt;0,AVERAGEIFS($Y$5:$Y$1000,$U$5:$U$1000,ROW(),$V$5:$V$1000,"Sub"),$Y163)))</f>
        <v/>
      </c>
      <c r="AD163" s="62">
        <f>IF($V163="","",IF(AND(ISNUMBER($G163),$G163&lt;=IF($S163=MesCiclo,InicioCiclo,$S163+MOD(2-WEEKDAY($S163),7))+13),1,IF(N($W163)&gt;0,AVERAGEIFS($Z$5:$Z$1000,$U$5:$U$1000,ROW(),$V$5:$V$1000,"Sub"),$Z163)))</f>
        <v/>
      </c>
      <c r="AE163" s="62">
        <f>IF($V163="","",IF(AND(ISNUMBER($G163),$G163&lt;=IF($S163=MesCiclo,InicioCiclo,$S163+MOD(2-WEEKDAY($S163),7))+20),1,IF(N($W163)&gt;0,AVERAGEIFS($AA$5:$AA$1000,$U$5:$U$1000,ROW(),$V$5:$V$1000,"Sub"),$AA163)))</f>
        <v/>
      </c>
      <c r="AF163" s="62">
        <f>IF($V163="","",IF(AND(ISNUMBER($G163),$G163&lt;=IF($S163=MesCiclo,InicioCiclo,$S163+MOD(2-WEEKDAY($S163),7))+27),1,IF(N($W163)&gt;0,AVERAGEIFS($AB$5:$AB$1000,$U$5:$U$1000,ROW(),$V$5:$V$1000,"Sub"),$AB163)))</f>
        <v/>
      </c>
      <c r="AG163" s="62">
        <f>IF($V163&lt;&gt;"Macro","",IF(COUNTIFS($S$5:$S$1000,$S163,$V$5:$V$1000,"Macro",$H$5:$H$1000,"&gt;0")=0,1/COUNTIFS($S$5:$S$1000,$S163,$V$5:$V$1000,"Macro"),IF(AND(ISNUMBER($H163),N($H163)&gt;0),$H163,SUMIFS($H$5:$H$1000,$S$5:$S$1000,$S163,$V$5:$V$1000,"Macro")/COUNTIFS($S$5:$S$1000,$S163,$V$5:$V$1000,"Macro",$H$5:$H$1000,"&gt;0"))/(COUNTIFS($S$5:$S$1000,$S163,$V$5:$V$1000,"Macro")*SUMIFS($H$5:$H$1000,$S$5:$S$1000,$S163,$V$5:$V$1000,"Macro")/COUNTIFS($S$5:$S$1000,$S163,$V$5:$V$1000,"Macro",$H$5:$H$1000,"&gt;0"))))</f>
        <v/>
      </c>
      <c r="AH163" s="62" t="n"/>
      <c r="AI163" s="62" t="n"/>
      <c r="AJ163" s="62" t="n"/>
      <c r="AK163" s="62" t="n"/>
      <c r="AL163" s="62">
        <f>IF(LEFT($C163,11)="[Jefatura] ",IFERROR(MATCH("Riesgo Normativo|"&amp;MID($C163,12,500),rDname_ADM,0),0),"")</f>
        <v/>
      </c>
      <c r="AM163" s="62">
        <f>IF(N($AL163)&gt;0,INDEX(rIni_ADM,$AL163),IF(ISNUMBER($E163),$E163,""))</f>
        <v/>
      </c>
      <c r="AN163" s="62">
        <f>IF(N($AL163)&gt;0,INDEX(rLim_ADM,$AL163),IF(ISNUMBER($F163),$F163,""))</f>
        <v/>
      </c>
    </row>
    <row r="164">
      <c r="A164" s="56">
        <f>IF(NOT((COUNTA($B164:$D164)+COUNTA($G164:$L164)+COUNTA($Q164))&gt;0),"",IF($V164="Macro",COUNTIFS($V$5:$V164,"Macro",$S$5:$S164,$S164),IF(N($U164)=0,"?",COUNTIFS(INDEX($V$5:$V$1000,1):INDEX($V$5:$V$1000,$U164-4),"Macro",INDEX($S$5:$S$1000,1):INDEX($S$5:$S$1000,$U164-4),INDEX($S$5:$S$1000,$U164-4))&amp;"."&amp;COUNTIFS($U$5:$U164,$U164,$V$5:$V164,"Sub"))))</f>
        <v/>
      </c>
      <c r="B164" s="57" t="n"/>
      <c r="C164" s="58" t="n"/>
      <c r="D164" s="58" t="n"/>
      <c r="E164" s="59">
        <f>IF(N($AL164)&gt;0,INDEX(rIni_ADM,$AL164),"")</f>
        <v/>
      </c>
      <c r="F164" s="59">
        <f>IF(N($AL164)&gt;0,INDEX(rLim_ADM,$AL164),"")</f>
        <v/>
      </c>
      <c r="G164" s="59" t="n"/>
      <c r="H164" s="60" t="n"/>
      <c r="I164" s="60" t="n"/>
      <c r="J164" s="60" t="n"/>
      <c r="K164" s="60" t="n"/>
      <c r="L164" s="60" t="n"/>
      <c r="M164" s="61">
        <f>IF(NOT((COUNTA($B164:$D164)+COUNTA($G164:$L164)+COUNTA($Q164))&gt;0),"",IF(ISNUMBER($G164),1,IF(N($W164)&gt;0,AVERAGEIFS($X$5:$X$1000,$U$5:$U$1000,ROW(),$V$5:$V$1000,"Sub"),$X164)))</f>
        <v/>
      </c>
      <c r="N164" s="56">
        <f>IF($M164="","",IF($M164&gt;=1,"Completado",IF($M164&gt;0,"En curso","Pendiente")))</f>
        <v/>
      </c>
      <c r="O164" s="56">
        <f>IF(NOT((COUNTA($B164:$D164)+COUNTA($G164:$L164)+COUNTA($Q164))&gt;0),"",IF(ISNUMBER($G164),IF(AND(ISNUMBER($AN164),$G164&gt;$AN164),"Cumplida con "&amp;($G164-$AN164)&amp;IF($G164-$AN164=1," día"," días")&amp;" de retraso","Cumplida"),IF(N($M164)&gt;=1,"Cumplida",IF(NOT(ISNUMBER($AN164)),"Sin fecha límite",IF($AN164&lt;FechaRef,"Vencida hace "&amp;(FechaRef-$AN164)&amp;IF(FechaRef-$AN164=1," día"," días"),IF($AN164=FechaRef,"Vence hoy",IF($AN164-FechaRef&lt;=DiasAlerta,"Vence en "&amp;($AN164-FechaRef)&amp;IF($AN164-FechaRef=1," día"," días"),"En plazo")))))))</f>
        <v/>
      </c>
      <c r="P164" s="62" t="n"/>
      <c r="Q164" s="58" t="n"/>
      <c r="R164" s="63">
        <f>IF(NOT((COUNTA($B164:$D164)+COUNTA($G164:$L164)+COUNTA($Q164))&gt;0),"",IF((IF($C164="","Falta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",""))="","✔ OK","⚠ "&amp;LEFT(IF($C164="","Falta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",""),LEN(IF($C164="","Falta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",""))-3)))</f>
        <v/>
      </c>
      <c r="S164" s="64">
        <f>IF(NOT((COUNTA($B164:$D164)+COUNTA($G164:$L164)+COUNTA($Q164))&gt;0),"",IF(AND($V164="Sub",N($U164)&gt;0),IF(ISNUMBER(INDEX($AM$5:$AM$1000,$U164-4)),DATE(YEAR(INDEX($AM$5:$AM$1000,$U164-4)),MONTH(INDEX($AM$5:$AM$1000,$U164-4)),1),IF(ISNUMBER(INDEX($AN$5:$AN$1000,$U164-4)),DATE(YEAR(INDEX($AN$5:$AN$1000,$U164-4)),MONTH(INDEX($AN$5:$AN$1000,$U164-4)),1),MesCiclo)),IF(ISNUMBER($AM164),DATE(YEAR($AM164),MONTH($AM164),1),IF(ISNUMBER($AN164),DATE(YEAR($AN164),MONTH($AN164),1),MesCiclo))))</f>
        <v/>
      </c>
      <c r="T164" s="62">
        <f>IF(OR($S164="",$S164&lt;&gt;MesCiclo),"",COUNTIF($S$5:$S164,MesCiclo))</f>
        <v/>
      </c>
      <c r="U164" s="62">
        <f>IF($V164="","",IF($V164="Macro",ROW(),IFERROR(LOOKUP(2,1/($V$5:$V164="Macro"),ROW($V$5:$V164)),0)))</f>
        <v/>
      </c>
      <c r="V164" s="62">
        <f>IF(NOT((COUNTA($B164:$D164)+COUNTA($G164:$L164)+COUNTA($Q164))&gt;0),"",IF($B164="Subactividad","Sub","Macro"))</f>
        <v/>
      </c>
      <c r="W164" s="62">
        <f>IF($V164="Macro",COUNTIFS($U$5:$U$1000,ROW(),$V$5:$V$1000,"Sub"),"")</f>
        <v/>
      </c>
      <c r="X164" s="62">
        <f>IF($V164="","",IF(ISNUMBER($G164),1,IFERROR(LOOKUP(2,1/($I164:$L164&lt;&gt;""),$I164:$L164),0)))</f>
        <v/>
      </c>
      <c r="Y164" s="62">
        <f>IF($V164="","",IF(AND(ISNUMBER($G164),$G164&lt;=IF($S164=MesCiclo,InicioCiclo,$S164+MOD(2-WEEKDAY($S164),7))+6),1,IF(ISNUMBER($I164),$I164,0)))</f>
        <v/>
      </c>
      <c r="Z164" s="62">
        <f>IF($V164="","",IF(AND(ISNUMBER($G164),$G164&lt;=IF($S164=MesCiclo,InicioCiclo,$S164+MOD(2-WEEKDAY($S164),7))+13),1,IF(ISNUMBER($J164),$J164,$Y164)))</f>
        <v/>
      </c>
      <c r="AA164" s="62">
        <f>IF($V164="","",IF(AND(ISNUMBER($G164),$G164&lt;=IF($S164=MesCiclo,InicioCiclo,$S164+MOD(2-WEEKDAY($S164),7))+20),1,IF(ISNUMBER($K164),$K164,$Z164)))</f>
        <v/>
      </c>
      <c r="AB164" s="62">
        <f>IF($V164="","",IF(AND(ISNUMBER($G164),$G164&lt;=IF($S164=MesCiclo,InicioCiclo,$S164+MOD(2-WEEKDAY($S164),7))+27),1,IF(ISNUMBER($L164),$L164,$AA164)))</f>
        <v/>
      </c>
      <c r="AC164" s="62">
        <f>IF($V164="","",IF(AND(ISNUMBER($G164),$G164&lt;=IF($S164=MesCiclo,InicioCiclo,$S164+MOD(2-WEEKDAY($S164),7))+6),1,IF(N($W164)&gt;0,AVERAGEIFS($Y$5:$Y$1000,$U$5:$U$1000,ROW(),$V$5:$V$1000,"Sub"),$Y164)))</f>
        <v/>
      </c>
      <c r="AD164" s="62">
        <f>IF($V164="","",IF(AND(ISNUMBER($G164),$G164&lt;=IF($S164=MesCiclo,InicioCiclo,$S164+MOD(2-WEEKDAY($S164),7))+13),1,IF(N($W164)&gt;0,AVERAGEIFS($Z$5:$Z$1000,$U$5:$U$1000,ROW(),$V$5:$V$1000,"Sub"),$Z164)))</f>
        <v/>
      </c>
      <c r="AE164" s="62">
        <f>IF($V164="","",IF(AND(ISNUMBER($G164),$G164&lt;=IF($S164=MesCiclo,InicioCiclo,$S164+MOD(2-WEEKDAY($S164),7))+20),1,IF(N($W164)&gt;0,AVERAGEIFS($AA$5:$AA$1000,$U$5:$U$1000,ROW(),$V$5:$V$1000,"Sub"),$AA164)))</f>
        <v/>
      </c>
      <c r="AF164" s="62">
        <f>IF($V164="","",IF(AND(ISNUMBER($G164),$G164&lt;=IF($S164=MesCiclo,InicioCiclo,$S164+MOD(2-WEEKDAY($S164),7))+27),1,IF(N($W164)&gt;0,AVERAGEIFS($AB$5:$AB$1000,$U$5:$U$1000,ROW(),$V$5:$V$1000,"Sub"),$AB164)))</f>
        <v/>
      </c>
      <c r="AG164" s="62">
        <f>IF($V164&lt;&gt;"Macro","",IF(COUNTIFS($S$5:$S$1000,$S164,$V$5:$V$1000,"Macro",$H$5:$H$1000,"&gt;0")=0,1/COUNTIFS($S$5:$S$1000,$S164,$V$5:$V$1000,"Macro"),IF(AND(ISNUMBER($H164),N($H164)&gt;0),$H164,SUMIFS($H$5:$H$1000,$S$5:$S$1000,$S164,$V$5:$V$1000,"Macro")/COUNTIFS($S$5:$S$1000,$S164,$V$5:$V$1000,"Macro",$H$5:$H$1000,"&gt;0"))/(COUNTIFS($S$5:$S$1000,$S164,$V$5:$V$1000,"Macro")*SUMIFS($H$5:$H$1000,$S$5:$S$1000,$S164,$V$5:$V$1000,"Macro")/COUNTIFS($S$5:$S$1000,$S164,$V$5:$V$1000,"Macro",$H$5:$H$1000,"&gt;0"))))</f>
        <v/>
      </c>
      <c r="AH164" s="62" t="n"/>
      <c r="AI164" s="62" t="n"/>
      <c r="AJ164" s="62" t="n"/>
      <c r="AK164" s="62" t="n"/>
      <c r="AL164" s="62">
        <f>IF(LEFT($C164,11)="[Jefatura] ",IFERROR(MATCH("Riesgo Normativo|"&amp;MID($C164,12,500),rDname_ADM,0),0),"")</f>
        <v/>
      </c>
      <c r="AM164" s="62">
        <f>IF(N($AL164)&gt;0,INDEX(rIni_ADM,$AL164),IF(ISNUMBER($E164),$E164,""))</f>
        <v/>
      </c>
      <c r="AN164" s="62">
        <f>IF(N($AL164)&gt;0,INDEX(rLim_ADM,$AL164),IF(ISNUMBER($F164),$F164,""))</f>
        <v/>
      </c>
    </row>
    <row r="165">
      <c r="A165" s="56">
        <f>IF(NOT((COUNTA($B165:$D165)+COUNTA($G165:$L165)+COUNTA($Q165))&gt;0),"",IF($V165="Macro",COUNTIFS($V$5:$V165,"Macro",$S$5:$S165,$S165),IF(N($U165)=0,"?",COUNTIFS(INDEX($V$5:$V$1000,1):INDEX($V$5:$V$1000,$U165-4),"Macro",INDEX($S$5:$S$1000,1):INDEX($S$5:$S$1000,$U165-4),INDEX($S$5:$S$1000,$U165-4))&amp;"."&amp;COUNTIFS($U$5:$U165,$U165,$V$5:$V165,"Sub"))))</f>
        <v/>
      </c>
      <c r="B165" s="57" t="n"/>
      <c r="C165" s="58" t="n"/>
      <c r="D165" s="58" t="n"/>
      <c r="E165" s="59">
        <f>IF(N($AL165)&gt;0,INDEX(rIni_ADM,$AL165),"")</f>
        <v/>
      </c>
      <c r="F165" s="59">
        <f>IF(N($AL165)&gt;0,INDEX(rLim_ADM,$AL165),"")</f>
        <v/>
      </c>
      <c r="G165" s="59" t="n"/>
      <c r="H165" s="60" t="n"/>
      <c r="I165" s="60" t="n"/>
      <c r="J165" s="60" t="n"/>
      <c r="K165" s="60" t="n"/>
      <c r="L165" s="60" t="n"/>
      <c r="M165" s="61">
        <f>IF(NOT((COUNTA($B165:$D165)+COUNTA($G165:$L165)+COUNTA($Q165))&gt;0),"",IF(ISNUMBER($G165),1,IF(N($W165)&gt;0,AVERAGEIFS($X$5:$X$1000,$U$5:$U$1000,ROW(),$V$5:$V$1000,"Sub"),$X165)))</f>
        <v/>
      </c>
      <c r="N165" s="56">
        <f>IF($M165="","",IF($M165&gt;=1,"Completado",IF($M165&gt;0,"En curso","Pendiente")))</f>
        <v/>
      </c>
      <c r="O165" s="56">
        <f>IF(NOT((COUNTA($B165:$D165)+COUNTA($G165:$L165)+COUNTA($Q165))&gt;0),"",IF(ISNUMBER($G165),IF(AND(ISNUMBER($AN165),$G165&gt;$AN165),"Cumplida con "&amp;($G165-$AN165)&amp;IF($G165-$AN165=1," día"," días")&amp;" de retraso","Cumplida"),IF(N($M165)&gt;=1,"Cumplida",IF(NOT(ISNUMBER($AN165)),"Sin fecha límite",IF($AN165&lt;FechaRef,"Vencida hace "&amp;(FechaRef-$AN165)&amp;IF(FechaRef-$AN165=1," día"," días"),IF($AN165=FechaRef,"Vence hoy",IF($AN165-FechaRef&lt;=DiasAlerta,"Vence en "&amp;($AN165-FechaRef)&amp;IF($AN165-FechaRef=1," día"," días"),"En plazo")))))))</f>
        <v/>
      </c>
      <c r="P165" s="62" t="n"/>
      <c r="Q165" s="58" t="n"/>
      <c r="R165" s="63">
        <f>IF(NOT((COUNTA($B165:$D165)+COUNTA($G165:$L165)+COUNTA($Q165))&gt;0),"",IF((IF($C165="","Falta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",""))="","✔ OK","⚠ "&amp;LEFT(IF($C165="","Falta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",""),LEN(IF($C165="","Falta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",""))-3)))</f>
        <v/>
      </c>
      <c r="S165" s="64">
        <f>IF(NOT((COUNTA($B165:$D165)+COUNTA($G165:$L165)+COUNTA($Q165))&gt;0),"",IF(AND($V165="Sub",N($U165)&gt;0),IF(ISNUMBER(INDEX($AM$5:$AM$1000,$U165-4)),DATE(YEAR(INDEX($AM$5:$AM$1000,$U165-4)),MONTH(INDEX($AM$5:$AM$1000,$U165-4)),1),IF(ISNUMBER(INDEX($AN$5:$AN$1000,$U165-4)),DATE(YEAR(INDEX($AN$5:$AN$1000,$U165-4)),MONTH(INDEX($AN$5:$AN$1000,$U165-4)),1),MesCiclo)),IF(ISNUMBER($AM165),DATE(YEAR($AM165),MONTH($AM165),1),IF(ISNUMBER($AN165),DATE(YEAR($AN165),MONTH($AN165),1),MesCiclo))))</f>
        <v/>
      </c>
      <c r="T165" s="62">
        <f>IF(OR($S165="",$S165&lt;&gt;MesCiclo),"",COUNTIF($S$5:$S165,MesCiclo))</f>
        <v/>
      </c>
      <c r="U165" s="62">
        <f>IF($V165="","",IF($V165="Macro",ROW(),IFERROR(LOOKUP(2,1/($V$5:$V165="Macro"),ROW($V$5:$V165)),0)))</f>
        <v/>
      </c>
      <c r="V165" s="62">
        <f>IF(NOT((COUNTA($B165:$D165)+COUNTA($G165:$L165)+COUNTA($Q165))&gt;0),"",IF($B165="Subactividad","Sub","Macro"))</f>
        <v/>
      </c>
      <c r="W165" s="62">
        <f>IF($V165="Macro",COUNTIFS($U$5:$U$1000,ROW(),$V$5:$V$1000,"Sub"),"")</f>
        <v/>
      </c>
      <c r="X165" s="62">
        <f>IF($V165="","",IF(ISNUMBER($G165),1,IFERROR(LOOKUP(2,1/($I165:$L165&lt;&gt;""),$I165:$L165),0)))</f>
        <v/>
      </c>
      <c r="Y165" s="62">
        <f>IF($V165="","",IF(AND(ISNUMBER($G165),$G165&lt;=IF($S165=MesCiclo,InicioCiclo,$S165+MOD(2-WEEKDAY($S165),7))+6),1,IF(ISNUMBER($I165),$I165,0)))</f>
        <v/>
      </c>
      <c r="Z165" s="62">
        <f>IF($V165="","",IF(AND(ISNUMBER($G165),$G165&lt;=IF($S165=MesCiclo,InicioCiclo,$S165+MOD(2-WEEKDAY($S165),7))+13),1,IF(ISNUMBER($J165),$J165,$Y165)))</f>
        <v/>
      </c>
      <c r="AA165" s="62">
        <f>IF($V165="","",IF(AND(ISNUMBER($G165),$G165&lt;=IF($S165=MesCiclo,InicioCiclo,$S165+MOD(2-WEEKDAY($S165),7))+20),1,IF(ISNUMBER($K165),$K165,$Z165)))</f>
        <v/>
      </c>
      <c r="AB165" s="62">
        <f>IF($V165="","",IF(AND(ISNUMBER($G165),$G165&lt;=IF($S165=MesCiclo,InicioCiclo,$S165+MOD(2-WEEKDAY($S165),7))+27),1,IF(ISNUMBER($L165),$L165,$AA165)))</f>
        <v/>
      </c>
      <c r="AC165" s="62">
        <f>IF($V165="","",IF(AND(ISNUMBER($G165),$G165&lt;=IF($S165=MesCiclo,InicioCiclo,$S165+MOD(2-WEEKDAY($S165),7))+6),1,IF(N($W165)&gt;0,AVERAGEIFS($Y$5:$Y$1000,$U$5:$U$1000,ROW(),$V$5:$V$1000,"Sub"),$Y165)))</f>
        <v/>
      </c>
      <c r="AD165" s="62">
        <f>IF($V165="","",IF(AND(ISNUMBER($G165),$G165&lt;=IF($S165=MesCiclo,InicioCiclo,$S165+MOD(2-WEEKDAY($S165),7))+13),1,IF(N($W165)&gt;0,AVERAGEIFS($Z$5:$Z$1000,$U$5:$U$1000,ROW(),$V$5:$V$1000,"Sub"),$Z165)))</f>
        <v/>
      </c>
      <c r="AE165" s="62">
        <f>IF($V165="","",IF(AND(ISNUMBER($G165),$G165&lt;=IF($S165=MesCiclo,InicioCiclo,$S165+MOD(2-WEEKDAY($S165),7))+20),1,IF(N($W165)&gt;0,AVERAGEIFS($AA$5:$AA$1000,$U$5:$U$1000,ROW(),$V$5:$V$1000,"Sub"),$AA165)))</f>
        <v/>
      </c>
      <c r="AF165" s="62">
        <f>IF($V165="","",IF(AND(ISNUMBER($G165),$G165&lt;=IF($S165=MesCiclo,InicioCiclo,$S165+MOD(2-WEEKDAY($S165),7))+27),1,IF(N($W165)&gt;0,AVERAGEIFS($AB$5:$AB$1000,$U$5:$U$1000,ROW(),$V$5:$V$1000,"Sub"),$AB165)))</f>
        <v/>
      </c>
      <c r="AG165" s="62">
        <f>IF($V165&lt;&gt;"Macro","",IF(COUNTIFS($S$5:$S$1000,$S165,$V$5:$V$1000,"Macro",$H$5:$H$1000,"&gt;0")=0,1/COUNTIFS($S$5:$S$1000,$S165,$V$5:$V$1000,"Macro"),IF(AND(ISNUMBER($H165),N($H165)&gt;0),$H165,SUMIFS($H$5:$H$1000,$S$5:$S$1000,$S165,$V$5:$V$1000,"Macro")/COUNTIFS($S$5:$S$1000,$S165,$V$5:$V$1000,"Macro",$H$5:$H$1000,"&gt;0"))/(COUNTIFS($S$5:$S$1000,$S165,$V$5:$V$1000,"Macro")*SUMIFS($H$5:$H$1000,$S$5:$S$1000,$S165,$V$5:$V$1000,"Macro")/COUNTIFS($S$5:$S$1000,$S165,$V$5:$V$1000,"Macro",$H$5:$H$1000,"&gt;0"))))</f>
        <v/>
      </c>
      <c r="AH165" s="62" t="n"/>
      <c r="AI165" s="62" t="n"/>
      <c r="AJ165" s="62" t="n"/>
      <c r="AK165" s="62" t="n"/>
      <c r="AL165" s="62">
        <f>IF(LEFT($C165,11)="[Jefatura] ",IFERROR(MATCH("Riesgo Normativo|"&amp;MID($C165,12,500),rDname_ADM,0),0),"")</f>
        <v/>
      </c>
      <c r="AM165" s="62">
        <f>IF(N($AL165)&gt;0,INDEX(rIni_ADM,$AL165),IF(ISNUMBER($E165),$E165,""))</f>
        <v/>
      </c>
      <c r="AN165" s="62">
        <f>IF(N($AL165)&gt;0,INDEX(rLim_ADM,$AL165),IF(ISNUMBER($F165),$F165,""))</f>
        <v/>
      </c>
    </row>
    <row r="166">
      <c r="A166" s="56">
        <f>IF(NOT((COUNTA($B166:$D166)+COUNTA($G166:$L166)+COUNTA($Q166))&gt;0),"",IF($V166="Macro",COUNTIFS($V$5:$V166,"Macro",$S$5:$S166,$S166),IF(N($U166)=0,"?",COUNTIFS(INDEX($V$5:$V$1000,1):INDEX($V$5:$V$1000,$U166-4),"Macro",INDEX($S$5:$S$1000,1):INDEX($S$5:$S$1000,$U166-4),INDEX($S$5:$S$1000,$U166-4))&amp;"."&amp;COUNTIFS($U$5:$U166,$U166,$V$5:$V166,"Sub"))))</f>
        <v/>
      </c>
      <c r="B166" s="57" t="n"/>
      <c r="C166" s="58" t="n"/>
      <c r="D166" s="58" t="n"/>
      <c r="E166" s="59">
        <f>IF(N($AL166)&gt;0,INDEX(rIni_ADM,$AL166),"")</f>
        <v/>
      </c>
      <c r="F166" s="59">
        <f>IF(N($AL166)&gt;0,INDEX(rLim_ADM,$AL166),"")</f>
        <v/>
      </c>
      <c r="G166" s="59" t="n"/>
      <c r="H166" s="60" t="n"/>
      <c r="I166" s="60" t="n"/>
      <c r="J166" s="60" t="n"/>
      <c r="K166" s="60" t="n"/>
      <c r="L166" s="60" t="n"/>
      <c r="M166" s="61">
        <f>IF(NOT((COUNTA($B166:$D166)+COUNTA($G166:$L166)+COUNTA($Q166))&gt;0),"",IF(ISNUMBER($G166),1,IF(N($W166)&gt;0,AVERAGEIFS($X$5:$X$1000,$U$5:$U$1000,ROW(),$V$5:$V$1000,"Sub"),$X166)))</f>
        <v/>
      </c>
      <c r="N166" s="56">
        <f>IF($M166="","",IF($M166&gt;=1,"Completado",IF($M166&gt;0,"En curso","Pendiente")))</f>
        <v/>
      </c>
      <c r="O166" s="56">
        <f>IF(NOT((COUNTA($B166:$D166)+COUNTA($G166:$L166)+COUNTA($Q166))&gt;0),"",IF(ISNUMBER($G166),IF(AND(ISNUMBER($AN166),$G166&gt;$AN166),"Cumplida con "&amp;($G166-$AN166)&amp;IF($G166-$AN166=1," día"," días")&amp;" de retraso","Cumplida"),IF(N($M166)&gt;=1,"Cumplida",IF(NOT(ISNUMBER($AN166)),"Sin fecha límite",IF($AN166&lt;FechaRef,"Vencida hace "&amp;(FechaRef-$AN166)&amp;IF(FechaRef-$AN166=1," día"," días"),IF($AN166=FechaRef,"Vence hoy",IF($AN166-FechaRef&lt;=DiasAlerta,"Vence en "&amp;($AN166-FechaRef)&amp;IF($AN166-FechaRef=1," día"," días"),"En plazo")))))))</f>
        <v/>
      </c>
      <c r="P166" s="62" t="n"/>
      <c r="Q166" s="58" t="n"/>
      <c r="R166" s="63">
        <f>IF(NOT((COUNTA($B166:$D166)+COUNTA($G166:$L166)+COUNTA($Q166))&gt;0),"",IF((IF($C166="","Falta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",""))="","✔ OK","⚠ "&amp;LEFT(IF($C166="","Falta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",""),LEN(IF($C166="","Falta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",""))-3)))</f>
        <v/>
      </c>
      <c r="S166" s="64">
        <f>IF(NOT((COUNTA($B166:$D166)+COUNTA($G166:$L166)+COUNTA($Q166))&gt;0),"",IF(AND($V166="Sub",N($U166)&gt;0),IF(ISNUMBER(INDEX($AM$5:$AM$1000,$U166-4)),DATE(YEAR(INDEX($AM$5:$AM$1000,$U166-4)),MONTH(INDEX($AM$5:$AM$1000,$U166-4)),1),IF(ISNUMBER(INDEX($AN$5:$AN$1000,$U166-4)),DATE(YEAR(INDEX($AN$5:$AN$1000,$U166-4)),MONTH(INDEX($AN$5:$AN$1000,$U166-4)),1),MesCiclo)),IF(ISNUMBER($AM166),DATE(YEAR($AM166),MONTH($AM166),1),IF(ISNUMBER($AN166),DATE(YEAR($AN166),MONTH($AN166),1),MesCiclo))))</f>
        <v/>
      </c>
      <c r="T166" s="62">
        <f>IF(OR($S166="",$S166&lt;&gt;MesCiclo),"",COUNTIF($S$5:$S166,MesCiclo))</f>
        <v/>
      </c>
      <c r="U166" s="62">
        <f>IF($V166="","",IF($V166="Macro",ROW(),IFERROR(LOOKUP(2,1/($V$5:$V166="Macro"),ROW($V$5:$V166)),0)))</f>
        <v/>
      </c>
      <c r="V166" s="62">
        <f>IF(NOT((COUNTA($B166:$D166)+COUNTA($G166:$L166)+COUNTA($Q166))&gt;0),"",IF($B166="Subactividad","Sub","Macro"))</f>
        <v/>
      </c>
      <c r="W166" s="62">
        <f>IF($V166="Macro",COUNTIFS($U$5:$U$1000,ROW(),$V$5:$V$1000,"Sub"),"")</f>
        <v/>
      </c>
      <c r="X166" s="62">
        <f>IF($V166="","",IF(ISNUMBER($G166),1,IFERROR(LOOKUP(2,1/($I166:$L166&lt;&gt;""),$I166:$L166),0)))</f>
        <v/>
      </c>
      <c r="Y166" s="62">
        <f>IF($V166="","",IF(AND(ISNUMBER($G166),$G166&lt;=IF($S166=MesCiclo,InicioCiclo,$S166+MOD(2-WEEKDAY($S166),7))+6),1,IF(ISNUMBER($I166),$I166,0)))</f>
        <v/>
      </c>
      <c r="Z166" s="62">
        <f>IF($V166="","",IF(AND(ISNUMBER($G166),$G166&lt;=IF($S166=MesCiclo,InicioCiclo,$S166+MOD(2-WEEKDAY($S166),7))+13),1,IF(ISNUMBER($J166),$J166,$Y166)))</f>
        <v/>
      </c>
      <c r="AA166" s="62">
        <f>IF($V166="","",IF(AND(ISNUMBER($G166),$G166&lt;=IF($S166=MesCiclo,InicioCiclo,$S166+MOD(2-WEEKDAY($S166),7))+20),1,IF(ISNUMBER($K166),$K166,$Z166)))</f>
        <v/>
      </c>
      <c r="AB166" s="62">
        <f>IF($V166="","",IF(AND(ISNUMBER($G166),$G166&lt;=IF($S166=MesCiclo,InicioCiclo,$S166+MOD(2-WEEKDAY($S166),7))+27),1,IF(ISNUMBER($L166),$L166,$AA166)))</f>
        <v/>
      </c>
      <c r="AC166" s="62">
        <f>IF($V166="","",IF(AND(ISNUMBER($G166),$G166&lt;=IF($S166=MesCiclo,InicioCiclo,$S166+MOD(2-WEEKDAY($S166),7))+6),1,IF(N($W166)&gt;0,AVERAGEIFS($Y$5:$Y$1000,$U$5:$U$1000,ROW(),$V$5:$V$1000,"Sub"),$Y166)))</f>
        <v/>
      </c>
      <c r="AD166" s="62">
        <f>IF($V166="","",IF(AND(ISNUMBER($G166),$G166&lt;=IF($S166=MesCiclo,InicioCiclo,$S166+MOD(2-WEEKDAY($S166),7))+13),1,IF(N($W166)&gt;0,AVERAGEIFS($Z$5:$Z$1000,$U$5:$U$1000,ROW(),$V$5:$V$1000,"Sub"),$Z166)))</f>
        <v/>
      </c>
      <c r="AE166" s="62">
        <f>IF($V166="","",IF(AND(ISNUMBER($G166),$G166&lt;=IF($S166=MesCiclo,InicioCiclo,$S166+MOD(2-WEEKDAY($S166),7))+20),1,IF(N($W166)&gt;0,AVERAGEIFS($AA$5:$AA$1000,$U$5:$U$1000,ROW(),$V$5:$V$1000,"Sub"),$AA166)))</f>
        <v/>
      </c>
      <c r="AF166" s="62">
        <f>IF($V166="","",IF(AND(ISNUMBER($G166),$G166&lt;=IF($S166=MesCiclo,InicioCiclo,$S166+MOD(2-WEEKDAY($S166),7))+27),1,IF(N($W166)&gt;0,AVERAGEIFS($AB$5:$AB$1000,$U$5:$U$1000,ROW(),$V$5:$V$1000,"Sub"),$AB166)))</f>
        <v/>
      </c>
      <c r="AG166" s="62">
        <f>IF($V166&lt;&gt;"Macro","",IF(COUNTIFS($S$5:$S$1000,$S166,$V$5:$V$1000,"Macro",$H$5:$H$1000,"&gt;0")=0,1/COUNTIFS($S$5:$S$1000,$S166,$V$5:$V$1000,"Macro"),IF(AND(ISNUMBER($H166),N($H166)&gt;0),$H166,SUMIFS($H$5:$H$1000,$S$5:$S$1000,$S166,$V$5:$V$1000,"Macro")/COUNTIFS($S$5:$S$1000,$S166,$V$5:$V$1000,"Macro",$H$5:$H$1000,"&gt;0"))/(COUNTIFS($S$5:$S$1000,$S166,$V$5:$V$1000,"Macro")*SUMIFS($H$5:$H$1000,$S$5:$S$1000,$S166,$V$5:$V$1000,"Macro")/COUNTIFS($S$5:$S$1000,$S166,$V$5:$V$1000,"Macro",$H$5:$H$1000,"&gt;0"))))</f>
        <v/>
      </c>
      <c r="AH166" s="62" t="n"/>
      <c r="AI166" s="62" t="n"/>
      <c r="AJ166" s="62" t="n"/>
      <c r="AK166" s="62" t="n"/>
      <c r="AL166" s="62">
        <f>IF(LEFT($C166,11)="[Jefatura] ",IFERROR(MATCH("Riesgo Normativo|"&amp;MID($C166,12,500),rDname_ADM,0),0),"")</f>
        <v/>
      </c>
      <c r="AM166" s="62">
        <f>IF(N($AL166)&gt;0,INDEX(rIni_ADM,$AL166),IF(ISNUMBER($E166),$E166,""))</f>
        <v/>
      </c>
      <c r="AN166" s="62">
        <f>IF(N($AL166)&gt;0,INDEX(rLim_ADM,$AL166),IF(ISNUMBER($F166),$F166,""))</f>
        <v/>
      </c>
    </row>
    <row r="167">
      <c r="A167" s="56">
        <f>IF(NOT((COUNTA($B167:$D167)+COUNTA($G167:$L167)+COUNTA($Q167))&gt;0),"",IF($V167="Macro",COUNTIFS($V$5:$V167,"Macro",$S$5:$S167,$S167),IF(N($U167)=0,"?",COUNTIFS(INDEX($V$5:$V$1000,1):INDEX($V$5:$V$1000,$U167-4),"Macro",INDEX($S$5:$S$1000,1):INDEX($S$5:$S$1000,$U167-4),INDEX($S$5:$S$1000,$U167-4))&amp;"."&amp;COUNTIFS($U$5:$U167,$U167,$V$5:$V167,"Sub"))))</f>
        <v/>
      </c>
      <c r="B167" s="57" t="n"/>
      <c r="C167" s="58" t="n"/>
      <c r="D167" s="58" t="n"/>
      <c r="E167" s="59">
        <f>IF(N($AL167)&gt;0,INDEX(rIni_ADM,$AL167),"")</f>
        <v/>
      </c>
      <c r="F167" s="59">
        <f>IF(N($AL167)&gt;0,INDEX(rLim_ADM,$AL167),"")</f>
        <v/>
      </c>
      <c r="G167" s="59" t="n"/>
      <c r="H167" s="60" t="n"/>
      <c r="I167" s="60" t="n"/>
      <c r="J167" s="60" t="n"/>
      <c r="K167" s="60" t="n"/>
      <c r="L167" s="60" t="n"/>
      <c r="M167" s="61">
        <f>IF(NOT((COUNTA($B167:$D167)+COUNTA($G167:$L167)+COUNTA($Q167))&gt;0),"",IF(ISNUMBER($G167),1,IF(N($W167)&gt;0,AVERAGEIFS($X$5:$X$1000,$U$5:$U$1000,ROW(),$V$5:$V$1000,"Sub"),$X167)))</f>
        <v/>
      </c>
      <c r="N167" s="56">
        <f>IF($M167="","",IF($M167&gt;=1,"Completado",IF($M167&gt;0,"En curso","Pendiente")))</f>
        <v/>
      </c>
      <c r="O167" s="56">
        <f>IF(NOT((COUNTA($B167:$D167)+COUNTA($G167:$L167)+COUNTA($Q167))&gt;0),"",IF(ISNUMBER($G167),IF(AND(ISNUMBER($AN167),$G167&gt;$AN167),"Cumplida con "&amp;($G167-$AN167)&amp;IF($G167-$AN167=1," día"," días")&amp;" de retraso","Cumplida"),IF(N($M167)&gt;=1,"Cumplida",IF(NOT(ISNUMBER($AN167)),"Sin fecha límite",IF($AN167&lt;FechaRef,"Vencida hace "&amp;(FechaRef-$AN167)&amp;IF(FechaRef-$AN167=1," día"," días"),IF($AN167=FechaRef,"Vence hoy",IF($AN167-FechaRef&lt;=DiasAlerta,"Vence en "&amp;($AN167-FechaRef)&amp;IF($AN167-FechaRef=1," día"," días"),"En plazo")))))))</f>
        <v/>
      </c>
      <c r="P167" s="62" t="n"/>
      <c r="Q167" s="58" t="n"/>
      <c r="R167" s="63">
        <f>IF(NOT((COUNTA($B167:$D167)+COUNTA($G167:$L167)+COUNTA($Q167))&gt;0),"",IF((IF($C167="","Falta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",""))="","✔ OK","⚠ "&amp;LEFT(IF($C167="","Falta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",""),LEN(IF($C167="","Falta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",""))-3)))</f>
        <v/>
      </c>
      <c r="S167" s="64">
        <f>IF(NOT((COUNTA($B167:$D167)+COUNTA($G167:$L167)+COUNTA($Q167))&gt;0),"",IF(AND($V167="Sub",N($U167)&gt;0),IF(ISNUMBER(INDEX($AM$5:$AM$1000,$U167-4)),DATE(YEAR(INDEX($AM$5:$AM$1000,$U167-4)),MONTH(INDEX($AM$5:$AM$1000,$U167-4)),1),IF(ISNUMBER(INDEX($AN$5:$AN$1000,$U167-4)),DATE(YEAR(INDEX($AN$5:$AN$1000,$U167-4)),MONTH(INDEX($AN$5:$AN$1000,$U167-4)),1),MesCiclo)),IF(ISNUMBER($AM167),DATE(YEAR($AM167),MONTH($AM167),1),IF(ISNUMBER($AN167),DATE(YEAR($AN167),MONTH($AN167),1),MesCiclo))))</f>
        <v/>
      </c>
      <c r="T167" s="62">
        <f>IF(OR($S167="",$S167&lt;&gt;MesCiclo),"",COUNTIF($S$5:$S167,MesCiclo))</f>
        <v/>
      </c>
      <c r="U167" s="62">
        <f>IF($V167="","",IF($V167="Macro",ROW(),IFERROR(LOOKUP(2,1/($V$5:$V167="Macro"),ROW($V$5:$V167)),0)))</f>
        <v/>
      </c>
      <c r="V167" s="62">
        <f>IF(NOT((COUNTA($B167:$D167)+COUNTA($G167:$L167)+COUNTA($Q167))&gt;0),"",IF($B167="Subactividad","Sub","Macro"))</f>
        <v/>
      </c>
      <c r="W167" s="62">
        <f>IF($V167="Macro",COUNTIFS($U$5:$U$1000,ROW(),$V$5:$V$1000,"Sub"),"")</f>
        <v/>
      </c>
      <c r="X167" s="62">
        <f>IF($V167="","",IF(ISNUMBER($G167),1,IFERROR(LOOKUP(2,1/($I167:$L167&lt;&gt;""),$I167:$L167),0)))</f>
        <v/>
      </c>
      <c r="Y167" s="62">
        <f>IF($V167="","",IF(AND(ISNUMBER($G167),$G167&lt;=IF($S167=MesCiclo,InicioCiclo,$S167+MOD(2-WEEKDAY($S167),7))+6),1,IF(ISNUMBER($I167),$I167,0)))</f>
        <v/>
      </c>
      <c r="Z167" s="62">
        <f>IF($V167="","",IF(AND(ISNUMBER($G167),$G167&lt;=IF($S167=MesCiclo,InicioCiclo,$S167+MOD(2-WEEKDAY($S167),7))+13),1,IF(ISNUMBER($J167),$J167,$Y167)))</f>
        <v/>
      </c>
      <c r="AA167" s="62">
        <f>IF($V167="","",IF(AND(ISNUMBER($G167),$G167&lt;=IF($S167=MesCiclo,InicioCiclo,$S167+MOD(2-WEEKDAY($S167),7))+20),1,IF(ISNUMBER($K167),$K167,$Z167)))</f>
        <v/>
      </c>
      <c r="AB167" s="62">
        <f>IF($V167="","",IF(AND(ISNUMBER($G167),$G167&lt;=IF($S167=MesCiclo,InicioCiclo,$S167+MOD(2-WEEKDAY($S167),7))+27),1,IF(ISNUMBER($L167),$L167,$AA167)))</f>
        <v/>
      </c>
      <c r="AC167" s="62">
        <f>IF($V167="","",IF(AND(ISNUMBER($G167),$G167&lt;=IF($S167=MesCiclo,InicioCiclo,$S167+MOD(2-WEEKDAY($S167),7))+6),1,IF(N($W167)&gt;0,AVERAGEIFS($Y$5:$Y$1000,$U$5:$U$1000,ROW(),$V$5:$V$1000,"Sub"),$Y167)))</f>
        <v/>
      </c>
      <c r="AD167" s="62">
        <f>IF($V167="","",IF(AND(ISNUMBER($G167),$G167&lt;=IF($S167=MesCiclo,InicioCiclo,$S167+MOD(2-WEEKDAY($S167),7))+13),1,IF(N($W167)&gt;0,AVERAGEIFS($Z$5:$Z$1000,$U$5:$U$1000,ROW(),$V$5:$V$1000,"Sub"),$Z167)))</f>
        <v/>
      </c>
      <c r="AE167" s="62">
        <f>IF($V167="","",IF(AND(ISNUMBER($G167),$G167&lt;=IF($S167=MesCiclo,InicioCiclo,$S167+MOD(2-WEEKDAY($S167),7))+20),1,IF(N($W167)&gt;0,AVERAGEIFS($AA$5:$AA$1000,$U$5:$U$1000,ROW(),$V$5:$V$1000,"Sub"),$AA167)))</f>
        <v/>
      </c>
      <c r="AF167" s="62">
        <f>IF($V167="","",IF(AND(ISNUMBER($G167),$G167&lt;=IF($S167=MesCiclo,InicioCiclo,$S167+MOD(2-WEEKDAY($S167),7))+27),1,IF(N($W167)&gt;0,AVERAGEIFS($AB$5:$AB$1000,$U$5:$U$1000,ROW(),$V$5:$V$1000,"Sub"),$AB167)))</f>
        <v/>
      </c>
      <c r="AG167" s="62">
        <f>IF($V167&lt;&gt;"Macro","",IF(COUNTIFS($S$5:$S$1000,$S167,$V$5:$V$1000,"Macro",$H$5:$H$1000,"&gt;0")=0,1/COUNTIFS($S$5:$S$1000,$S167,$V$5:$V$1000,"Macro"),IF(AND(ISNUMBER($H167),N($H167)&gt;0),$H167,SUMIFS($H$5:$H$1000,$S$5:$S$1000,$S167,$V$5:$V$1000,"Macro")/COUNTIFS($S$5:$S$1000,$S167,$V$5:$V$1000,"Macro",$H$5:$H$1000,"&gt;0"))/(COUNTIFS($S$5:$S$1000,$S167,$V$5:$V$1000,"Macro")*SUMIFS($H$5:$H$1000,$S$5:$S$1000,$S167,$V$5:$V$1000,"Macro")/COUNTIFS($S$5:$S$1000,$S167,$V$5:$V$1000,"Macro",$H$5:$H$1000,"&gt;0"))))</f>
        <v/>
      </c>
      <c r="AH167" s="62" t="n"/>
      <c r="AI167" s="62" t="n"/>
      <c r="AJ167" s="62" t="n"/>
      <c r="AK167" s="62" t="n"/>
      <c r="AL167" s="62">
        <f>IF(LEFT($C167,11)="[Jefatura] ",IFERROR(MATCH("Riesgo Normativo|"&amp;MID($C167,12,500),rDname_ADM,0),0),"")</f>
        <v/>
      </c>
      <c r="AM167" s="62">
        <f>IF(N($AL167)&gt;0,INDEX(rIni_ADM,$AL167),IF(ISNUMBER($E167),$E167,""))</f>
        <v/>
      </c>
      <c r="AN167" s="62">
        <f>IF(N($AL167)&gt;0,INDEX(rLim_ADM,$AL167),IF(ISNUMBER($F167),$F167,""))</f>
        <v/>
      </c>
    </row>
    <row r="168">
      <c r="A168" s="56">
        <f>IF(NOT((COUNTA($B168:$D168)+COUNTA($G168:$L168)+COUNTA($Q168))&gt;0),"",IF($V168="Macro",COUNTIFS($V$5:$V168,"Macro",$S$5:$S168,$S168),IF(N($U168)=0,"?",COUNTIFS(INDEX($V$5:$V$1000,1):INDEX($V$5:$V$1000,$U168-4),"Macro",INDEX($S$5:$S$1000,1):INDEX($S$5:$S$1000,$U168-4),INDEX($S$5:$S$1000,$U168-4))&amp;"."&amp;COUNTIFS($U$5:$U168,$U168,$V$5:$V168,"Sub"))))</f>
        <v/>
      </c>
      <c r="B168" s="57" t="n"/>
      <c r="C168" s="58" t="n"/>
      <c r="D168" s="58" t="n"/>
      <c r="E168" s="59">
        <f>IF(N($AL168)&gt;0,INDEX(rIni_ADM,$AL168),"")</f>
        <v/>
      </c>
      <c r="F168" s="59">
        <f>IF(N($AL168)&gt;0,INDEX(rLim_ADM,$AL168),"")</f>
        <v/>
      </c>
      <c r="G168" s="59" t="n"/>
      <c r="H168" s="60" t="n"/>
      <c r="I168" s="60" t="n"/>
      <c r="J168" s="60" t="n"/>
      <c r="K168" s="60" t="n"/>
      <c r="L168" s="60" t="n"/>
      <c r="M168" s="61">
        <f>IF(NOT((COUNTA($B168:$D168)+COUNTA($G168:$L168)+COUNTA($Q168))&gt;0),"",IF(ISNUMBER($G168),1,IF(N($W168)&gt;0,AVERAGEIFS($X$5:$X$1000,$U$5:$U$1000,ROW(),$V$5:$V$1000,"Sub"),$X168)))</f>
        <v/>
      </c>
      <c r="N168" s="56">
        <f>IF($M168="","",IF($M168&gt;=1,"Completado",IF($M168&gt;0,"En curso","Pendiente")))</f>
        <v/>
      </c>
      <c r="O168" s="56">
        <f>IF(NOT((COUNTA($B168:$D168)+COUNTA($G168:$L168)+COUNTA($Q168))&gt;0),"",IF(ISNUMBER($G168),IF(AND(ISNUMBER($AN168),$G168&gt;$AN168),"Cumplida con "&amp;($G168-$AN168)&amp;IF($G168-$AN168=1," día"," días")&amp;" de retraso","Cumplida"),IF(N($M168)&gt;=1,"Cumplida",IF(NOT(ISNUMBER($AN168)),"Sin fecha límite",IF($AN168&lt;FechaRef,"Vencida hace "&amp;(FechaRef-$AN168)&amp;IF(FechaRef-$AN168=1," día"," días"),IF($AN168=FechaRef,"Vence hoy",IF($AN168-FechaRef&lt;=DiasAlerta,"Vence en "&amp;($AN168-FechaRef)&amp;IF($AN168-FechaRef=1," día"," días"),"En plazo")))))))</f>
        <v/>
      </c>
      <c r="P168" s="62" t="n"/>
      <c r="Q168" s="58" t="n"/>
      <c r="R168" s="63">
        <f>IF(NOT((COUNTA($B168:$D168)+COUNTA($G168:$L168)+COUNTA($Q168))&gt;0),"",IF((IF($C168="","Falta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",""))="","✔ OK","⚠ "&amp;LEFT(IF($C168="","Falta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",""),LEN(IF($C168="","Falta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",""))-3)))</f>
        <v/>
      </c>
      <c r="S168" s="64">
        <f>IF(NOT((COUNTA($B168:$D168)+COUNTA($G168:$L168)+COUNTA($Q168))&gt;0),"",IF(AND($V168="Sub",N($U168)&gt;0),IF(ISNUMBER(INDEX($AM$5:$AM$1000,$U168-4)),DATE(YEAR(INDEX($AM$5:$AM$1000,$U168-4)),MONTH(INDEX($AM$5:$AM$1000,$U168-4)),1),IF(ISNUMBER(INDEX($AN$5:$AN$1000,$U168-4)),DATE(YEAR(INDEX($AN$5:$AN$1000,$U168-4)),MONTH(INDEX($AN$5:$AN$1000,$U168-4)),1),MesCiclo)),IF(ISNUMBER($AM168),DATE(YEAR($AM168),MONTH($AM168),1),IF(ISNUMBER($AN168),DATE(YEAR($AN168),MONTH($AN168),1),MesCiclo))))</f>
        <v/>
      </c>
      <c r="T168" s="62">
        <f>IF(OR($S168="",$S168&lt;&gt;MesCiclo),"",COUNTIF($S$5:$S168,MesCiclo))</f>
        <v/>
      </c>
      <c r="U168" s="62">
        <f>IF($V168="","",IF($V168="Macro",ROW(),IFERROR(LOOKUP(2,1/($V$5:$V168="Macro"),ROW($V$5:$V168)),0)))</f>
        <v/>
      </c>
      <c r="V168" s="62">
        <f>IF(NOT((COUNTA($B168:$D168)+COUNTA($G168:$L168)+COUNTA($Q168))&gt;0),"",IF($B168="Subactividad","Sub","Macro"))</f>
        <v/>
      </c>
      <c r="W168" s="62">
        <f>IF($V168="Macro",COUNTIFS($U$5:$U$1000,ROW(),$V$5:$V$1000,"Sub"),"")</f>
        <v/>
      </c>
      <c r="X168" s="62">
        <f>IF($V168="","",IF(ISNUMBER($G168),1,IFERROR(LOOKUP(2,1/($I168:$L168&lt;&gt;""),$I168:$L168),0)))</f>
        <v/>
      </c>
      <c r="Y168" s="62">
        <f>IF($V168="","",IF(AND(ISNUMBER($G168),$G168&lt;=IF($S168=MesCiclo,InicioCiclo,$S168+MOD(2-WEEKDAY($S168),7))+6),1,IF(ISNUMBER($I168),$I168,0)))</f>
        <v/>
      </c>
      <c r="Z168" s="62">
        <f>IF($V168="","",IF(AND(ISNUMBER($G168),$G168&lt;=IF($S168=MesCiclo,InicioCiclo,$S168+MOD(2-WEEKDAY($S168),7))+13),1,IF(ISNUMBER($J168),$J168,$Y168)))</f>
        <v/>
      </c>
      <c r="AA168" s="62">
        <f>IF($V168="","",IF(AND(ISNUMBER($G168),$G168&lt;=IF($S168=MesCiclo,InicioCiclo,$S168+MOD(2-WEEKDAY($S168),7))+20),1,IF(ISNUMBER($K168),$K168,$Z168)))</f>
        <v/>
      </c>
      <c r="AB168" s="62">
        <f>IF($V168="","",IF(AND(ISNUMBER($G168),$G168&lt;=IF($S168=MesCiclo,InicioCiclo,$S168+MOD(2-WEEKDAY($S168),7))+27),1,IF(ISNUMBER($L168),$L168,$AA168)))</f>
        <v/>
      </c>
      <c r="AC168" s="62">
        <f>IF($V168="","",IF(AND(ISNUMBER($G168),$G168&lt;=IF($S168=MesCiclo,InicioCiclo,$S168+MOD(2-WEEKDAY($S168),7))+6),1,IF(N($W168)&gt;0,AVERAGEIFS($Y$5:$Y$1000,$U$5:$U$1000,ROW(),$V$5:$V$1000,"Sub"),$Y168)))</f>
        <v/>
      </c>
      <c r="AD168" s="62">
        <f>IF($V168="","",IF(AND(ISNUMBER($G168),$G168&lt;=IF($S168=MesCiclo,InicioCiclo,$S168+MOD(2-WEEKDAY($S168),7))+13),1,IF(N($W168)&gt;0,AVERAGEIFS($Z$5:$Z$1000,$U$5:$U$1000,ROW(),$V$5:$V$1000,"Sub"),$Z168)))</f>
        <v/>
      </c>
      <c r="AE168" s="62">
        <f>IF($V168="","",IF(AND(ISNUMBER($G168),$G168&lt;=IF($S168=MesCiclo,InicioCiclo,$S168+MOD(2-WEEKDAY($S168),7))+20),1,IF(N($W168)&gt;0,AVERAGEIFS($AA$5:$AA$1000,$U$5:$U$1000,ROW(),$V$5:$V$1000,"Sub"),$AA168)))</f>
        <v/>
      </c>
      <c r="AF168" s="62">
        <f>IF($V168="","",IF(AND(ISNUMBER($G168),$G168&lt;=IF($S168=MesCiclo,InicioCiclo,$S168+MOD(2-WEEKDAY($S168),7))+27),1,IF(N($W168)&gt;0,AVERAGEIFS($AB$5:$AB$1000,$U$5:$U$1000,ROW(),$V$5:$V$1000,"Sub"),$AB168)))</f>
        <v/>
      </c>
      <c r="AG168" s="62">
        <f>IF($V168&lt;&gt;"Macro","",IF(COUNTIFS($S$5:$S$1000,$S168,$V$5:$V$1000,"Macro",$H$5:$H$1000,"&gt;0")=0,1/COUNTIFS($S$5:$S$1000,$S168,$V$5:$V$1000,"Macro"),IF(AND(ISNUMBER($H168),N($H168)&gt;0),$H168,SUMIFS($H$5:$H$1000,$S$5:$S$1000,$S168,$V$5:$V$1000,"Macro")/COUNTIFS($S$5:$S$1000,$S168,$V$5:$V$1000,"Macro",$H$5:$H$1000,"&gt;0"))/(COUNTIFS($S$5:$S$1000,$S168,$V$5:$V$1000,"Macro")*SUMIFS($H$5:$H$1000,$S$5:$S$1000,$S168,$V$5:$V$1000,"Macro")/COUNTIFS($S$5:$S$1000,$S168,$V$5:$V$1000,"Macro",$H$5:$H$1000,"&gt;0"))))</f>
        <v/>
      </c>
      <c r="AH168" s="62" t="n"/>
      <c r="AI168" s="62" t="n"/>
      <c r="AJ168" s="62" t="n"/>
      <c r="AK168" s="62" t="n"/>
      <c r="AL168" s="62">
        <f>IF(LEFT($C168,11)="[Jefatura] ",IFERROR(MATCH("Riesgo Normativo|"&amp;MID($C168,12,500),rDname_ADM,0),0),"")</f>
        <v/>
      </c>
      <c r="AM168" s="62">
        <f>IF(N($AL168)&gt;0,INDEX(rIni_ADM,$AL168),IF(ISNUMBER($E168),$E168,""))</f>
        <v/>
      </c>
      <c r="AN168" s="62">
        <f>IF(N($AL168)&gt;0,INDEX(rLim_ADM,$AL168),IF(ISNUMBER($F168),$F168,""))</f>
        <v/>
      </c>
    </row>
    <row r="169">
      <c r="A169" s="56">
        <f>IF(NOT((COUNTA($B169:$D169)+COUNTA($G169:$L169)+COUNTA($Q169))&gt;0),"",IF($V169="Macro",COUNTIFS($V$5:$V169,"Macro",$S$5:$S169,$S169),IF(N($U169)=0,"?",COUNTIFS(INDEX($V$5:$V$1000,1):INDEX($V$5:$V$1000,$U169-4),"Macro",INDEX($S$5:$S$1000,1):INDEX($S$5:$S$1000,$U169-4),INDEX($S$5:$S$1000,$U169-4))&amp;"."&amp;COUNTIFS($U$5:$U169,$U169,$V$5:$V169,"Sub"))))</f>
        <v/>
      </c>
      <c r="B169" s="57" t="n"/>
      <c r="C169" s="58" t="n"/>
      <c r="D169" s="58" t="n"/>
      <c r="E169" s="59">
        <f>IF(N($AL169)&gt;0,INDEX(rIni_ADM,$AL169),"")</f>
        <v/>
      </c>
      <c r="F169" s="59">
        <f>IF(N($AL169)&gt;0,INDEX(rLim_ADM,$AL169),"")</f>
        <v/>
      </c>
      <c r="G169" s="59" t="n"/>
      <c r="H169" s="60" t="n"/>
      <c r="I169" s="60" t="n"/>
      <c r="J169" s="60" t="n"/>
      <c r="K169" s="60" t="n"/>
      <c r="L169" s="60" t="n"/>
      <c r="M169" s="61">
        <f>IF(NOT((COUNTA($B169:$D169)+COUNTA($G169:$L169)+COUNTA($Q169))&gt;0),"",IF(ISNUMBER($G169),1,IF(N($W169)&gt;0,AVERAGEIFS($X$5:$X$1000,$U$5:$U$1000,ROW(),$V$5:$V$1000,"Sub"),$X169)))</f>
        <v/>
      </c>
      <c r="N169" s="56">
        <f>IF($M169="","",IF($M169&gt;=1,"Completado",IF($M169&gt;0,"En curso","Pendiente")))</f>
        <v/>
      </c>
      <c r="O169" s="56">
        <f>IF(NOT((COUNTA($B169:$D169)+COUNTA($G169:$L169)+COUNTA($Q169))&gt;0),"",IF(ISNUMBER($G169),IF(AND(ISNUMBER($AN169),$G169&gt;$AN169),"Cumplida con "&amp;($G169-$AN169)&amp;IF($G169-$AN169=1," día"," días")&amp;" de retraso","Cumplida"),IF(N($M169)&gt;=1,"Cumplida",IF(NOT(ISNUMBER($AN169)),"Sin fecha límite",IF($AN169&lt;FechaRef,"Vencida hace "&amp;(FechaRef-$AN169)&amp;IF(FechaRef-$AN169=1," día"," días"),IF($AN169=FechaRef,"Vence hoy",IF($AN169-FechaRef&lt;=DiasAlerta,"Vence en "&amp;($AN169-FechaRef)&amp;IF($AN169-FechaRef=1," día"," días"),"En plazo")))))))</f>
        <v/>
      </c>
      <c r="P169" s="62" t="n"/>
      <c r="Q169" s="58" t="n"/>
      <c r="R169" s="63">
        <f>IF(NOT((COUNTA($B169:$D169)+COUNTA($G169:$L169)+COUNTA($Q169))&gt;0),"",IF((IF($C169="","Falta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",""))="","✔ OK","⚠ "&amp;LEFT(IF($C169="","Falta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",""),LEN(IF($C169="","Falta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",""))-3)))</f>
        <v/>
      </c>
      <c r="S169" s="64">
        <f>IF(NOT((COUNTA($B169:$D169)+COUNTA($G169:$L169)+COUNTA($Q169))&gt;0),"",IF(AND($V169="Sub",N($U169)&gt;0),IF(ISNUMBER(INDEX($AM$5:$AM$1000,$U169-4)),DATE(YEAR(INDEX($AM$5:$AM$1000,$U169-4)),MONTH(INDEX($AM$5:$AM$1000,$U169-4)),1),IF(ISNUMBER(INDEX($AN$5:$AN$1000,$U169-4)),DATE(YEAR(INDEX($AN$5:$AN$1000,$U169-4)),MONTH(INDEX($AN$5:$AN$1000,$U169-4)),1),MesCiclo)),IF(ISNUMBER($AM169),DATE(YEAR($AM169),MONTH($AM169),1),IF(ISNUMBER($AN169),DATE(YEAR($AN169),MONTH($AN169),1),MesCiclo))))</f>
        <v/>
      </c>
      <c r="T169" s="62">
        <f>IF(OR($S169="",$S169&lt;&gt;MesCiclo),"",COUNTIF($S$5:$S169,MesCiclo))</f>
        <v/>
      </c>
      <c r="U169" s="62">
        <f>IF($V169="","",IF($V169="Macro",ROW(),IFERROR(LOOKUP(2,1/($V$5:$V169="Macro"),ROW($V$5:$V169)),0)))</f>
        <v/>
      </c>
      <c r="V169" s="62">
        <f>IF(NOT((COUNTA($B169:$D169)+COUNTA($G169:$L169)+COUNTA($Q169))&gt;0),"",IF($B169="Subactividad","Sub","Macro"))</f>
        <v/>
      </c>
      <c r="W169" s="62">
        <f>IF($V169="Macro",COUNTIFS($U$5:$U$1000,ROW(),$V$5:$V$1000,"Sub"),"")</f>
        <v/>
      </c>
      <c r="X169" s="62">
        <f>IF($V169="","",IF(ISNUMBER($G169),1,IFERROR(LOOKUP(2,1/($I169:$L169&lt;&gt;""),$I169:$L169),0)))</f>
        <v/>
      </c>
      <c r="Y169" s="62">
        <f>IF($V169="","",IF(AND(ISNUMBER($G169),$G169&lt;=IF($S169=MesCiclo,InicioCiclo,$S169+MOD(2-WEEKDAY($S169),7))+6),1,IF(ISNUMBER($I169),$I169,0)))</f>
        <v/>
      </c>
      <c r="Z169" s="62">
        <f>IF($V169="","",IF(AND(ISNUMBER($G169),$G169&lt;=IF($S169=MesCiclo,InicioCiclo,$S169+MOD(2-WEEKDAY($S169),7))+13),1,IF(ISNUMBER($J169),$J169,$Y169)))</f>
        <v/>
      </c>
      <c r="AA169" s="62">
        <f>IF($V169="","",IF(AND(ISNUMBER($G169),$G169&lt;=IF($S169=MesCiclo,InicioCiclo,$S169+MOD(2-WEEKDAY($S169),7))+20),1,IF(ISNUMBER($K169),$K169,$Z169)))</f>
        <v/>
      </c>
      <c r="AB169" s="62">
        <f>IF($V169="","",IF(AND(ISNUMBER($G169),$G169&lt;=IF($S169=MesCiclo,InicioCiclo,$S169+MOD(2-WEEKDAY($S169),7))+27),1,IF(ISNUMBER($L169),$L169,$AA169)))</f>
        <v/>
      </c>
      <c r="AC169" s="62">
        <f>IF($V169="","",IF(AND(ISNUMBER($G169),$G169&lt;=IF($S169=MesCiclo,InicioCiclo,$S169+MOD(2-WEEKDAY($S169),7))+6),1,IF(N($W169)&gt;0,AVERAGEIFS($Y$5:$Y$1000,$U$5:$U$1000,ROW(),$V$5:$V$1000,"Sub"),$Y169)))</f>
        <v/>
      </c>
      <c r="AD169" s="62">
        <f>IF($V169="","",IF(AND(ISNUMBER($G169),$G169&lt;=IF($S169=MesCiclo,InicioCiclo,$S169+MOD(2-WEEKDAY($S169),7))+13),1,IF(N($W169)&gt;0,AVERAGEIFS($Z$5:$Z$1000,$U$5:$U$1000,ROW(),$V$5:$V$1000,"Sub"),$Z169)))</f>
        <v/>
      </c>
      <c r="AE169" s="62">
        <f>IF($V169="","",IF(AND(ISNUMBER($G169),$G169&lt;=IF($S169=MesCiclo,InicioCiclo,$S169+MOD(2-WEEKDAY($S169),7))+20),1,IF(N($W169)&gt;0,AVERAGEIFS($AA$5:$AA$1000,$U$5:$U$1000,ROW(),$V$5:$V$1000,"Sub"),$AA169)))</f>
        <v/>
      </c>
      <c r="AF169" s="62">
        <f>IF($V169="","",IF(AND(ISNUMBER($G169),$G169&lt;=IF($S169=MesCiclo,InicioCiclo,$S169+MOD(2-WEEKDAY($S169),7))+27),1,IF(N($W169)&gt;0,AVERAGEIFS($AB$5:$AB$1000,$U$5:$U$1000,ROW(),$V$5:$V$1000,"Sub"),$AB169)))</f>
        <v/>
      </c>
      <c r="AG169" s="62">
        <f>IF($V169&lt;&gt;"Macro","",IF(COUNTIFS($S$5:$S$1000,$S169,$V$5:$V$1000,"Macro",$H$5:$H$1000,"&gt;0")=0,1/COUNTIFS($S$5:$S$1000,$S169,$V$5:$V$1000,"Macro"),IF(AND(ISNUMBER($H169),N($H169)&gt;0),$H169,SUMIFS($H$5:$H$1000,$S$5:$S$1000,$S169,$V$5:$V$1000,"Macro")/COUNTIFS($S$5:$S$1000,$S169,$V$5:$V$1000,"Macro",$H$5:$H$1000,"&gt;0"))/(COUNTIFS($S$5:$S$1000,$S169,$V$5:$V$1000,"Macro")*SUMIFS($H$5:$H$1000,$S$5:$S$1000,$S169,$V$5:$V$1000,"Macro")/COUNTIFS($S$5:$S$1000,$S169,$V$5:$V$1000,"Macro",$H$5:$H$1000,"&gt;0"))))</f>
        <v/>
      </c>
      <c r="AH169" s="62" t="n"/>
      <c r="AI169" s="62" t="n"/>
      <c r="AJ169" s="62" t="n"/>
      <c r="AK169" s="62" t="n"/>
      <c r="AL169" s="62">
        <f>IF(LEFT($C169,11)="[Jefatura] ",IFERROR(MATCH("Riesgo Normativo|"&amp;MID($C169,12,500),rDname_ADM,0),0),"")</f>
        <v/>
      </c>
      <c r="AM169" s="62">
        <f>IF(N($AL169)&gt;0,INDEX(rIni_ADM,$AL169),IF(ISNUMBER($E169),$E169,""))</f>
        <v/>
      </c>
      <c r="AN169" s="62">
        <f>IF(N($AL169)&gt;0,INDEX(rLim_ADM,$AL169),IF(ISNUMBER($F169),$F169,""))</f>
        <v/>
      </c>
    </row>
    <row r="170">
      <c r="A170" s="56">
        <f>IF(NOT((COUNTA($B170:$D170)+COUNTA($G170:$L170)+COUNTA($Q170))&gt;0),"",IF($V170="Macro",COUNTIFS($V$5:$V170,"Macro",$S$5:$S170,$S170),IF(N($U170)=0,"?",COUNTIFS(INDEX($V$5:$V$1000,1):INDEX($V$5:$V$1000,$U170-4),"Macro",INDEX($S$5:$S$1000,1):INDEX($S$5:$S$1000,$U170-4),INDEX($S$5:$S$1000,$U170-4))&amp;"."&amp;COUNTIFS($U$5:$U170,$U170,$V$5:$V170,"Sub"))))</f>
        <v/>
      </c>
      <c r="B170" s="57" t="n"/>
      <c r="C170" s="58" t="n"/>
      <c r="D170" s="58" t="n"/>
      <c r="E170" s="59">
        <f>IF(N($AL170)&gt;0,INDEX(rIni_ADM,$AL170),"")</f>
        <v/>
      </c>
      <c r="F170" s="59">
        <f>IF(N($AL170)&gt;0,INDEX(rLim_ADM,$AL170),"")</f>
        <v/>
      </c>
      <c r="G170" s="59" t="n"/>
      <c r="H170" s="60" t="n"/>
      <c r="I170" s="60" t="n"/>
      <c r="J170" s="60" t="n"/>
      <c r="K170" s="60" t="n"/>
      <c r="L170" s="60" t="n"/>
      <c r="M170" s="61">
        <f>IF(NOT((COUNTA($B170:$D170)+COUNTA($G170:$L170)+COUNTA($Q170))&gt;0),"",IF(ISNUMBER($G170),1,IF(N($W170)&gt;0,AVERAGEIFS($X$5:$X$1000,$U$5:$U$1000,ROW(),$V$5:$V$1000,"Sub"),$X170)))</f>
        <v/>
      </c>
      <c r="N170" s="56">
        <f>IF($M170="","",IF($M170&gt;=1,"Completado",IF($M170&gt;0,"En curso","Pendiente")))</f>
        <v/>
      </c>
      <c r="O170" s="56">
        <f>IF(NOT((COUNTA($B170:$D170)+COUNTA($G170:$L170)+COUNTA($Q170))&gt;0),"",IF(ISNUMBER($G170),IF(AND(ISNUMBER($AN170),$G170&gt;$AN170),"Cumplida con "&amp;($G170-$AN170)&amp;IF($G170-$AN170=1," día"," días")&amp;" de retraso","Cumplida"),IF(N($M170)&gt;=1,"Cumplida",IF(NOT(ISNUMBER($AN170)),"Sin fecha límite",IF($AN170&lt;FechaRef,"Vencida hace "&amp;(FechaRef-$AN170)&amp;IF(FechaRef-$AN170=1," día"," días"),IF($AN170=FechaRef,"Vence hoy",IF($AN170-FechaRef&lt;=DiasAlerta,"Vence en "&amp;($AN170-FechaRef)&amp;IF($AN170-FechaRef=1," día"," días"),"En plazo")))))))</f>
        <v/>
      </c>
      <c r="P170" s="62" t="n"/>
      <c r="Q170" s="58" t="n"/>
      <c r="R170" s="63">
        <f>IF(NOT((COUNTA($B170:$D170)+COUNTA($G170:$L170)+COUNTA($Q170))&gt;0),"",IF((IF($C170="","Falta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",""))="","✔ OK","⚠ "&amp;LEFT(IF($C170="","Falta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",""),LEN(IF($C170="","Falta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",""))-3)))</f>
        <v/>
      </c>
      <c r="S170" s="64">
        <f>IF(NOT((COUNTA($B170:$D170)+COUNTA($G170:$L170)+COUNTA($Q170))&gt;0),"",IF(AND($V170="Sub",N($U170)&gt;0),IF(ISNUMBER(INDEX($AM$5:$AM$1000,$U170-4)),DATE(YEAR(INDEX($AM$5:$AM$1000,$U170-4)),MONTH(INDEX($AM$5:$AM$1000,$U170-4)),1),IF(ISNUMBER(INDEX($AN$5:$AN$1000,$U170-4)),DATE(YEAR(INDEX($AN$5:$AN$1000,$U170-4)),MONTH(INDEX($AN$5:$AN$1000,$U170-4)),1),MesCiclo)),IF(ISNUMBER($AM170),DATE(YEAR($AM170),MONTH($AM170),1),IF(ISNUMBER($AN170),DATE(YEAR($AN170),MONTH($AN170),1),MesCiclo))))</f>
        <v/>
      </c>
      <c r="T170" s="62">
        <f>IF(OR($S170="",$S170&lt;&gt;MesCiclo),"",COUNTIF($S$5:$S170,MesCiclo))</f>
        <v/>
      </c>
      <c r="U170" s="62">
        <f>IF($V170="","",IF($V170="Macro",ROW(),IFERROR(LOOKUP(2,1/($V$5:$V170="Macro"),ROW($V$5:$V170)),0)))</f>
        <v/>
      </c>
      <c r="V170" s="62">
        <f>IF(NOT((COUNTA($B170:$D170)+COUNTA($G170:$L170)+COUNTA($Q170))&gt;0),"",IF($B170="Subactividad","Sub","Macro"))</f>
        <v/>
      </c>
      <c r="W170" s="62">
        <f>IF($V170="Macro",COUNTIFS($U$5:$U$1000,ROW(),$V$5:$V$1000,"Sub"),"")</f>
        <v/>
      </c>
      <c r="X170" s="62">
        <f>IF($V170="","",IF(ISNUMBER($G170),1,IFERROR(LOOKUP(2,1/($I170:$L170&lt;&gt;""),$I170:$L170),0)))</f>
        <v/>
      </c>
      <c r="Y170" s="62">
        <f>IF($V170="","",IF(AND(ISNUMBER($G170),$G170&lt;=IF($S170=MesCiclo,InicioCiclo,$S170+MOD(2-WEEKDAY($S170),7))+6),1,IF(ISNUMBER($I170),$I170,0)))</f>
        <v/>
      </c>
      <c r="Z170" s="62">
        <f>IF($V170="","",IF(AND(ISNUMBER($G170),$G170&lt;=IF($S170=MesCiclo,InicioCiclo,$S170+MOD(2-WEEKDAY($S170),7))+13),1,IF(ISNUMBER($J170),$J170,$Y170)))</f>
        <v/>
      </c>
      <c r="AA170" s="62">
        <f>IF($V170="","",IF(AND(ISNUMBER($G170),$G170&lt;=IF($S170=MesCiclo,InicioCiclo,$S170+MOD(2-WEEKDAY($S170),7))+20),1,IF(ISNUMBER($K170),$K170,$Z170)))</f>
        <v/>
      </c>
      <c r="AB170" s="62">
        <f>IF($V170="","",IF(AND(ISNUMBER($G170),$G170&lt;=IF($S170=MesCiclo,InicioCiclo,$S170+MOD(2-WEEKDAY($S170),7))+27),1,IF(ISNUMBER($L170),$L170,$AA170)))</f>
        <v/>
      </c>
      <c r="AC170" s="62">
        <f>IF($V170="","",IF(AND(ISNUMBER($G170),$G170&lt;=IF($S170=MesCiclo,InicioCiclo,$S170+MOD(2-WEEKDAY($S170),7))+6),1,IF(N($W170)&gt;0,AVERAGEIFS($Y$5:$Y$1000,$U$5:$U$1000,ROW(),$V$5:$V$1000,"Sub"),$Y170)))</f>
        <v/>
      </c>
      <c r="AD170" s="62">
        <f>IF($V170="","",IF(AND(ISNUMBER($G170),$G170&lt;=IF($S170=MesCiclo,InicioCiclo,$S170+MOD(2-WEEKDAY($S170),7))+13),1,IF(N($W170)&gt;0,AVERAGEIFS($Z$5:$Z$1000,$U$5:$U$1000,ROW(),$V$5:$V$1000,"Sub"),$Z170)))</f>
        <v/>
      </c>
      <c r="AE170" s="62">
        <f>IF($V170="","",IF(AND(ISNUMBER($G170),$G170&lt;=IF($S170=MesCiclo,InicioCiclo,$S170+MOD(2-WEEKDAY($S170),7))+20),1,IF(N($W170)&gt;0,AVERAGEIFS($AA$5:$AA$1000,$U$5:$U$1000,ROW(),$V$5:$V$1000,"Sub"),$AA170)))</f>
        <v/>
      </c>
      <c r="AF170" s="62">
        <f>IF($V170="","",IF(AND(ISNUMBER($G170),$G170&lt;=IF($S170=MesCiclo,InicioCiclo,$S170+MOD(2-WEEKDAY($S170),7))+27),1,IF(N($W170)&gt;0,AVERAGEIFS($AB$5:$AB$1000,$U$5:$U$1000,ROW(),$V$5:$V$1000,"Sub"),$AB170)))</f>
        <v/>
      </c>
      <c r="AG170" s="62">
        <f>IF($V170&lt;&gt;"Macro","",IF(COUNTIFS($S$5:$S$1000,$S170,$V$5:$V$1000,"Macro",$H$5:$H$1000,"&gt;0")=0,1/COUNTIFS($S$5:$S$1000,$S170,$V$5:$V$1000,"Macro"),IF(AND(ISNUMBER($H170),N($H170)&gt;0),$H170,SUMIFS($H$5:$H$1000,$S$5:$S$1000,$S170,$V$5:$V$1000,"Macro")/COUNTIFS($S$5:$S$1000,$S170,$V$5:$V$1000,"Macro",$H$5:$H$1000,"&gt;0"))/(COUNTIFS($S$5:$S$1000,$S170,$V$5:$V$1000,"Macro")*SUMIFS($H$5:$H$1000,$S$5:$S$1000,$S170,$V$5:$V$1000,"Macro")/COUNTIFS($S$5:$S$1000,$S170,$V$5:$V$1000,"Macro",$H$5:$H$1000,"&gt;0"))))</f>
        <v/>
      </c>
      <c r="AH170" s="62" t="n"/>
      <c r="AI170" s="62" t="n"/>
      <c r="AJ170" s="62" t="n"/>
      <c r="AK170" s="62" t="n"/>
      <c r="AL170" s="62">
        <f>IF(LEFT($C170,11)="[Jefatura] ",IFERROR(MATCH("Riesgo Normativo|"&amp;MID($C170,12,500),rDname_ADM,0),0),"")</f>
        <v/>
      </c>
      <c r="AM170" s="62">
        <f>IF(N($AL170)&gt;0,INDEX(rIni_ADM,$AL170),IF(ISNUMBER($E170),$E170,""))</f>
        <v/>
      </c>
      <c r="AN170" s="62">
        <f>IF(N($AL170)&gt;0,INDEX(rLim_ADM,$AL170),IF(ISNUMBER($F170),$F170,""))</f>
        <v/>
      </c>
    </row>
    <row r="171">
      <c r="A171" s="56">
        <f>IF(NOT((COUNTA($B171:$D171)+COUNTA($G171:$L171)+COUNTA($Q171))&gt;0),"",IF($V171="Macro",COUNTIFS($V$5:$V171,"Macro",$S$5:$S171,$S171),IF(N($U171)=0,"?",COUNTIFS(INDEX($V$5:$V$1000,1):INDEX($V$5:$V$1000,$U171-4),"Macro",INDEX($S$5:$S$1000,1):INDEX($S$5:$S$1000,$U171-4),INDEX($S$5:$S$1000,$U171-4))&amp;"."&amp;COUNTIFS($U$5:$U171,$U171,$V$5:$V171,"Sub"))))</f>
        <v/>
      </c>
      <c r="B171" s="57" t="n"/>
      <c r="C171" s="58" t="n"/>
      <c r="D171" s="58" t="n"/>
      <c r="E171" s="59">
        <f>IF(N($AL171)&gt;0,INDEX(rIni_ADM,$AL171),"")</f>
        <v/>
      </c>
      <c r="F171" s="59">
        <f>IF(N($AL171)&gt;0,INDEX(rLim_ADM,$AL171),"")</f>
        <v/>
      </c>
      <c r="G171" s="59" t="n"/>
      <c r="H171" s="60" t="n"/>
      <c r="I171" s="60" t="n"/>
      <c r="J171" s="60" t="n"/>
      <c r="K171" s="60" t="n"/>
      <c r="L171" s="60" t="n"/>
      <c r="M171" s="61">
        <f>IF(NOT((COUNTA($B171:$D171)+COUNTA($G171:$L171)+COUNTA($Q171))&gt;0),"",IF(ISNUMBER($G171),1,IF(N($W171)&gt;0,AVERAGEIFS($X$5:$X$1000,$U$5:$U$1000,ROW(),$V$5:$V$1000,"Sub"),$X171)))</f>
        <v/>
      </c>
      <c r="N171" s="56">
        <f>IF($M171="","",IF($M171&gt;=1,"Completado",IF($M171&gt;0,"En curso","Pendiente")))</f>
        <v/>
      </c>
      <c r="O171" s="56">
        <f>IF(NOT((COUNTA($B171:$D171)+COUNTA($G171:$L171)+COUNTA($Q171))&gt;0),"",IF(ISNUMBER($G171),IF(AND(ISNUMBER($AN171),$G171&gt;$AN171),"Cumplida con "&amp;($G171-$AN171)&amp;IF($G171-$AN171=1," día"," días")&amp;" de retraso","Cumplida"),IF(N($M171)&gt;=1,"Cumplida",IF(NOT(ISNUMBER($AN171)),"Sin fecha límite",IF($AN171&lt;FechaRef,"Vencida hace "&amp;(FechaRef-$AN171)&amp;IF(FechaRef-$AN171=1," día"," días"),IF($AN171=FechaRef,"Vence hoy",IF($AN171-FechaRef&lt;=DiasAlerta,"Vence en "&amp;($AN171-FechaRef)&amp;IF($AN171-FechaRef=1," día"," días"),"En plazo")))))))</f>
        <v/>
      </c>
      <c r="P171" s="62" t="n"/>
      <c r="Q171" s="58" t="n"/>
      <c r="R171" s="63">
        <f>IF(NOT((COUNTA($B171:$D171)+COUNTA($G171:$L171)+COUNTA($Q171))&gt;0),"",IF((IF($C171="","Falta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",""))="","✔ OK","⚠ "&amp;LEFT(IF($C171="","Falta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",""),LEN(IF($C171="","Falta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",""))-3)))</f>
        <v/>
      </c>
      <c r="S171" s="64">
        <f>IF(NOT((COUNTA($B171:$D171)+COUNTA($G171:$L171)+COUNTA($Q171))&gt;0),"",IF(AND($V171="Sub",N($U171)&gt;0),IF(ISNUMBER(INDEX($AM$5:$AM$1000,$U171-4)),DATE(YEAR(INDEX($AM$5:$AM$1000,$U171-4)),MONTH(INDEX($AM$5:$AM$1000,$U171-4)),1),IF(ISNUMBER(INDEX($AN$5:$AN$1000,$U171-4)),DATE(YEAR(INDEX($AN$5:$AN$1000,$U171-4)),MONTH(INDEX($AN$5:$AN$1000,$U171-4)),1),MesCiclo)),IF(ISNUMBER($AM171),DATE(YEAR($AM171),MONTH($AM171),1),IF(ISNUMBER($AN171),DATE(YEAR($AN171),MONTH($AN171),1),MesCiclo))))</f>
        <v/>
      </c>
      <c r="T171" s="62">
        <f>IF(OR($S171="",$S171&lt;&gt;MesCiclo),"",COUNTIF($S$5:$S171,MesCiclo))</f>
        <v/>
      </c>
      <c r="U171" s="62">
        <f>IF($V171="","",IF($V171="Macro",ROW(),IFERROR(LOOKUP(2,1/($V$5:$V171="Macro"),ROW($V$5:$V171)),0)))</f>
        <v/>
      </c>
      <c r="V171" s="62">
        <f>IF(NOT((COUNTA($B171:$D171)+COUNTA($G171:$L171)+COUNTA($Q171))&gt;0),"",IF($B171="Subactividad","Sub","Macro"))</f>
        <v/>
      </c>
      <c r="W171" s="62">
        <f>IF($V171="Macro",COUNTIFS($U$5:$U$1000,ROW(),$V$5:$V$1000,"Sub"),"")</f>
        <v/>
      </c>
      <c r="X171" s="62">
        <f>IF($V171="","",IF(ISNUMBER($G171),1,IFERROR(LOOKUP(2,1/($I171:$L171&lt;&gt;""),$I171:$L171),0)))</f>
        <v/>
      </c>
      <c r="Y171" s="62">
        <f>IF($V171="","",IF(AND(ISNUMBER($G171),$G171&lt;=IF($S171=MesCiclo,InicioCiclo,$S171+MOD(2-WEEKDAY($S171),7))+6),1,IF(ISNUMBER($I171),$I171,0)))</f>
        <v/>
      </c>
      <c r="Z171" s="62">
        <f>IF($V171="","",IF(AND(ISNUMBER($G171),$G171&lt;=IF($S171=MesCiclo,InicioCiclo,$S171+MOD(2-WEEKDAY($S171),7))+13),1,IF(ISNUMBER($J171),$J171,$Y171)))</f>
        <v/>
      </c>
      <c r="AA171" s="62">
        <f>IF($V171="","",IF(AND(ISNUMBER($G171),$G171&lt;=IF($S171=MesCiclo,InicioCiclo,$S171+MOD(2-WEEKDAY($S171),7))+20),1,IF(ISNUMBER($K171),$K171,$Z171)))</f>
        <v/>
      </c>
      <c r="AB171" s="62">
        <f>IF($V171="","",IF(AND(ISNUMBER($G171),$G171&lt;=IF($S171=MesCiclo,InicioCiclo,$S171+MOD(2-WEEKDAY($S171),7))+27),1,IF(ISNUMBER($L171),$L171,$AA171)))</f>
        <v/>
      </c>
      <c r="AC171" s="62">
        <f>IF($V171="","",IF(AND(ISNUMBER($G171),$G171&lt;=IF($S171=MesCiclo,InicioCiclo,$S171+MOD(2-WEEKDAY($S171),7))+6),1,IF(N($W171)&gt;0,AVERAGEIFS($Y$5:$Y$1000,$U$5:$U$1000,ROW(),$V$5:$V$1000,"Sub"),$Y171)))</f>
        <v/>
      </c>
      <c r="AD171" s="62">
        <f>IF($V171="","",IF(AND(ISNUMBER($G171),$G171&lt;=IF($S171=MesCiclo,InicioCiclo,$S171+MOD(2-WEEKDAY($S171),7))+13),1,IF(N($W171)&gt;0,AVERAGEIFS($Z$5:$Z$1000,$U$5:$U$1000,ROW(),$V$5:$V$1000,"Sub"),$Z171)))</f>
        <v/>
      </c>
      <c r="AE171" s="62">
        <f>IF($V171="","",IF(AND(ISNUMBER($G171),$G171&lt;=IF($S171=MesCiclo,InicioCiclo,$S171+MOD(2-WEEKDAY($S171),7))+20),1,IF(N($W171)&gt;0,AVERAGEIFS($AA$5:$AA$1000,$U$5:$U$1000,ROW(),$V$5:$V$1000,"Sub"),$AA171)))</f>
        <v/>
      </c>
      <c r="AF171" s="62">
        <f>IF($V171="","",IF(AND(ISNUMBER($G171),$G171&lt;=IF($S171=MesCiclo,InicioCiclo,$S171+MOD(2-WEEKDAY($S171),7))+27),1,IF(N($W171)&gt;0,AVERAGEIFS($AB$5:$AB$1000,$U$5:$U$1000,ROW(),$V$5:$V$1000,"Sub"),$AB171)))</f>
        <v/>
      </c>
      <c r="AG171" s="62">
        <f>IF($V171&lt;&gt;"Macro","",IF(COUNTIFS($S$5:$S$1000,$S171,$V$5:$V$1000,"Macro",$H$5:$H$1000,"&gt;0")=0,1/COUNTIFS($S$5:$S$1000,$S171,$V$5:$V$1000,"Macro"),IF(AND(ISNUMBER($H171),N($H171)&gt;0),$H171,SUMIFS($H$5:$H$1000,$S$5:$S$1000,$S171,$V$5:$V$1000,"Macro")/COUNTIFS($S$5:$S$1000,$S171,$V$5:$V$1000,"Macro",$H$5:$H$1000,"&gt;0"))/(COUNTIFS($S$5:$S$1000,$S171,$V$5:$V$1000,"Macro")*SUMIFS($H$5:$H$1000,$S$5:$S$1000,$S171,$V$5:$V$1000,"Macro")/COUNTIFS($S$5:$S$1000,$S171,$V$5:$V$1000,"Macro",$H$5:$H$1000,"&gt;0"))))</f>
        <v/>
      </c>
      <c r="AH171" s="62" t="n"/>
      <c r="AI171" s="62" t="n"/>
      <c r="AJ171" s="62" t="n"/>
      <c r="AK171" s="62" t="n"/>
      <c r="AL171" s="62">
        <f>IF(LEFT($C171,11)="[Jefatura] ",IFERROR(MATCH("Riesgo Normativo|"&amp;MID($C171,12,500),rDname_ADM,0),0),"")</f>
        <v/>
      </c>
      <c r="AM171" s="62">
        <f>IF(N($AL171)&gt;0,INDEX(rIni_ADM,$AL171),IF(ISNUMBER($E171),$E171,""))</f>
        <v/>
      </c>
      <c r="AN171" s="62">
        <f>IF(N($AL171)&gt;0,INDEX(rLim_ADM,$AL171),IF(ISNUMBER($F171),$F171,""))</f>
        <v/>
      </c>
    </row>
    <row r="172">
      <c r="A172" s="56">
        <f>IF(NOT((COUNTA($B172:$D172)+COUNTA($G172:$L172)+COUNTA($Q172))&gt;0),"",IF($V172="Macro",COUNTIFS($V$5:$V172,"Macro",$S$5:$S172,$S172),IF(N($U172)=0,"?",COUNTIFS(INDEX($V$5:$V$1000,1):INDEX($V$5:$V$1000,$U172-4),"Macro",INDEX($S$5:$S$1000,1):INDEX($S$5:$S$1000,$U172-4),INDEX($S$5:$S$1000,$U172-4))&amp;"."&amp;COUNTIFS($U$5:$U172,$U172,$V$5:$V172,"Sub"))))</f>
        <v/>
      </c>
      <c r="B172" s="57" t="n"/>
      <c r="C172" s="58" t="n"/>
      <c r="D172" s="58" t="n"/>
      <c r="E172" s="59">
        <f>IF(N($AL172)&gt;0,INDEX(rIni_ADM,$AL172),"")</f>
        <v/>
      </c>
      <c r="F172" s="59">
        <f>IF(N($AL172)&gt;0,INDEX(rLim_ADM,$AL172),"")</f>
        <v/>
      </c>
      <c r="G172" s="59" t="n"/>
      <c r="H172" s="60" t="n"/>
      <c r="I172" s="60" t="n"/>
      <c r="J172" s="60" t="n"/>
      <c r="K172" s="60" t="n"/>
      <c r="L172" s="60" t="n"/>
      <c r="M172" s="61">
        <f>IF(NOT((COUNTA($B172:$D172)+COUNTA($G172:$L172)+COUNTA($Q172))&gt;0),"",IF(ISNUMBER($G172),1,IF(N($W172)&gt;0,AVERAGEIFS($X$5:$X$1000,$U$5:$U$1000,ROW(),$V$5:$V$1000,"Sub"),$X172)))</f>
        <v/>
      </c>
      <c r="N172" s="56">
        <f>IF($M172="","",IF($M172&gt;=1,"Completado",IF($M172&gt;0,"En curso","Pendiente")))</f>
        <v/>
      </c>
      <c r="O172" s="56">
        <f>IF(NOT((COUNTA($B172:$D172)+COUNTA($G172:$L172)+COUNTA($Q172))&gt;0),"",IF(ISNUMBER($G172),IF(AND(ISNUMBER($AN172),$G172&gt;$AN172),"Cumplida con "&amp;($G172-$AN172)&amp;IF($G172-$AN172=1," día"," días")&amp;" de retraso","Cumplida"),IF(N($M172)&gt;=1,"Cumplida",IF(NOT(ISNUMBER($AN172)),"Sin fecha límite",IF($AN172&lt;FechaRef,"Vencida hace "&amp;(FechaRef-$AN172)&amp;IF(FechaRef-$AN172=1," día"," días"),IF($AN172=FechaRef,"Vence hoy",IF($AN172-FechaRef&lt;=DiasAlerta,"Vence en "&amp;($AN172-FechaRef)&amp;IF($AN172-FechaRef=1," día"," días"),"En plazo")))))))</f>
        <v/>
      </c>
      <c r="P172" s="62" t="n"/>
      <c r="Q172" s="58" t="n"/>
      <c r="R172" s="63">
        <f>IF(NOT((COUNTA($B172:$D172)+COUNTA($G172:$L172)+COUNTA($Q172))&gt;0),"",IF((IF($C172="","Falta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",""))="","✔ OK","⚠ "&amp;LEFT(IF($C172="","Falta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",""),LEN(IF($C172="","Falta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",""))-3)))</f>
        <v/>
      </c>
      <c r="S172" s="64">
        <f>IF(NOT((COUNTA($B172:$D172)+COUNTA($G172:$L172)+COUNTA($Q172))&gt;0),"",IF(AND($V172="Sub",N($U172)&gt;0),IF(ISNUMBER(INDEX($AM$5:$AM$1000,$U172-4)),DATE(YEAR(INDEX($AM$5:$AM$1000,$U172-4)),MONTH(INDEX($AM$5:$AM$1000,$U172-4)),1),IF(ISNUMBER(INDEX($AN$5:$AN$1000,$U172-4)),DATE(YEAR(INDEX($AN$5:$AN$1000,$U172-4)),MONTH(INDEX($AN$5:$AN$1000,$U172-4)),1),MesCiclo)),IF(ISNUMBER($AM172),DATE(YEAR($AM172),MONTH($AM172),1),IF(ISNUMBER($AN172),DATE(YEAR($AN172),MONTH($AN172),1),MesCiclo))))</f>
        <v/>
      </c>
      <c r="T172" s="62">
        <f>IF(OR($S172="",$S172&lt;&gt;MesCiclo),"",COUNTIF($S$5:$S172,MesCiclo))</f>
        <v/>
      </c>
      <c r="U172" s="62">
        <f>IF($V172="","",IF($V172="Macro",ROW(),IFERROR(LOOKUP(2,1/($V$5:$V172="Macro"),ROW($V$5:$V172)),0)))</f>
        <v/>
      </c>
      <c r="V172" s="62">
        <f>IF(NOT((COUNTA($B172:$D172)+COUNTA($G172:$L172)+COUNTA($Q172))&gt;0),"",IF($B172="Subactividad","Sub","Macro"))</f>
        <v/>
      </c>
      <c r="W172" s="62">
        <f>IF($V172="Macro",COUNTIFS($U$5:$U$1000,ROW(),$V$5:$V$1000,"Sub"),"")</f>
        <v/>
      </c>
      <c r="X172" s="62">
        <f>IF($V172="","",IF(ISNUMBER($G172),1,IFERROR(LOOKUP(2,1/($I172:$L172&lt;&gt;""),$I172:$L172),0)))</f>
        <v/>
      </c>
      <c r="Y172" s="62">
        <f>IF($V172="","",IF(AND(ISNUMBER($G172),$G172&lt;=IF($S172=MesCiclo,InicioCiclo,$S172+MOD(2-WEEKDAY($S172),7))+6),1,IF(ISNUMBER($I172),$I172,0)))</f>
        <v/>
      </c>
      <c r="Z172" s="62">
        <f>IF($V172="","",IF(AND(ISNUMBER($G172),$G172&lt;=IF($S172=MesCiclo,InicioCiclo,$S172+MOD(2-WEEKDAY($S172),7))+13),1,IF(ISNUMBER($J172),$J172,$Y172)))</f>
        <v/>
      </c>
      <c r="AA172" s="62">
        <f>IF($V172="","",IF(AND(ISNUMBER($G172),$G172&lt;=IF($S172=MesCiclo,InicioCiclo,$S172+MOD(2-WEEKDAY($S172),7))+20),1,IF(ISNUMBER($K172),$K172,$Z172)))</f>
        <v/>
      </c>
      <c r="AB172" s="62">
        <f>IF($V172="","",IF(AND(ISNUMBER($G172),$G172&lt;=IF($S172=MesCiclo,InicioCiclo,$S172+MOD(2-WEEKDAY($S172),7))+27),1,IF(ISNUMBER($L172),$L172,$AA172)))</f>
        <v/>
      </c>
      <c r="AC172" s="62">
        <f>IF($V172="","",IF(AND(ISNUMBER($G172),$G172&lt;=IF($S172=MesCiclo,InicioCiclo,$S172+MOD(2-WEEKDAY($S172),7))+6),1,IF(N($W172)&gt;0,AVERAGEIFS($Y$5:$Y$1000,$U$5:$U$1000,ROW(),$V$5:$V$1000,"Sub"),$Y172)))</f>
        <v/>
      </c>
      <c r="AD172" s="62">
        <f>IF($V172="","",IF(AND(ISNUMBER($G172),$G172&lt;=IF($S172=MesCiclo,InicioCiclo,$S172+MOD(2-WEEKDAY($S172),7))+13),1,IF(N($W172)&gt;0,AVERAGEIFS($Z$5:$Z$1000,$U$5:$U$1000,ROW(),$V$5:$V$1000,"Sub"),$Z172)))</f>
        <v/>
      </c>
      <c r="AE172" s="62">
        <f>IF($V172="","",IF(AND(ISNUMBER($G172),$G172&lt;=IF($S172=MesCiclo,InicioCiclo,$S172+MOD(2-WEEKDAY($S172),7))+20),1,IF(N($W172)&gt;0,AVERAGEIFS($AA$5:$AA$1000,$U$5:$U$1000,ROW(),$V$5:$V$1000,"Sub"),$AA172)))</f>
        <v/>
      </c>
      <c r="AF172" s="62">
        <f>IF($V172="","",IF(AND(ISNUMBER($G172),$G172&lt;=IF($S172=MesCiclo,InicioCiclo,$S172+MOD(2-WEEKDAY($S172),7))+27),1,IF(N($W172)&gt;0,AVERAGEIFS($AB$5:$AB$1000,$U$5:$U$1000,ROW(),$V$5:$V$1000,"Sub"),$AB172)))</f>
        <v/>
      </c>
      <c r="AG172" s="62">
        <f>IF($V172&lt;&gt;"Macro","",IF(COUNTIFS($S$5:$S$1000,$S172,$V$5:$V$1000,"Macro",$H$5:$H$1000,"&gt;0")=0,1/COUNTIFS($S$5:$S$1000,$S172,$V$5:$V$1000,"Macro"),IF(AND(ISNUMBER($H172),N($H172)&gt;0),$H172,SUMIFS($H$5:$H$1000,$S$5:$S$1000,$S172,$V$5:$V$1000,"Macro")/COUNTIFS($S$5:$S$1000,$S172,$V$5:$V$1000,"Macro",$H$5:$H$1000,"&gt;0"))/(COUNTIFS($S$5:$S$1000,$S172,$V$5:$V$1000,"Macro")*SUMIFS($H$5:$H$1000,$S$5:$S$1000,$S172,$V$5:$V$1000,"Macro")/COUNTIFS($S$5:$S$1000,$S172,$V$5:$V$1000,"Macro",$H$5:$H$1000,"&gt;0"))))</f>
        <v/>
      </c>
      <c r="AH172" s="62" t="n"/>
      <c r="AI172" s="62" t="n"/>
      <c r="AJ172" s="62" t="n"/>
      <c r="AK172" s="62" t="n"/>
      <c r="AL172" s="62">
        <f>IF(LEFT($C172,11)="[Jefatura] ",IFERROR(MATCH("Riesgo Normativo|"&amp;MID($C172,12,500),rDname_ADM,0),0),"")</f>
        <v/>
      </c>
      <c r="AM172" s="62">
        <f>IF(N($AL172)&gt;0,INDEX(rIni_ADM,$AL172),IF(ISNUMBER($E172),$E172,""))</f>
        <v/>
      </c>
      <c r="AN172" s="62">
        <f>IF(N($AL172)&gt;0,INDEX(rLim_ADM,$AL172),IF(ISNUMBER($F172),$F172,""))</f>
        <v/>
      </c>
    </row>
    <row r="173">
      <c r="A173" s="56">
        <f>IF(NOT((COUNTA($B173:$D173)+COUNTA($G173:$L173)+COUNTA($Q173))&gt;0),"",IF($V173="Macro",COUNTIFS($V$5:$V173,"Macro",$S$5:$S173,$S173),IF(N($U173)=0,"?",COUNTIFS(INDEX($V$5:$V$1000,1):INDEX($V$5:$V$1000,$U173-4),"Macro",INDEX($S$5:$S$1000,1):INDEX($S$5:$S$1000,$U173-4),INDEX($S$5:$S$1000,$U173-4))&amp;"."&amp;COUNTIFS($U$5:$U173,$U173,$V$5:$V173,"Sub"))))</f>
        <v/>
      </c>
      <c r="B173" s="57" t="n"/>
      <c r="C173" s="58" t="n"/>
      <c r="D173" s="58" t="n"/>
      <c r="E173" s="59">
        <f>IF(N($AL173)&gt;0,INDEX(rIni_ADM,$AL173),"")</f>
        <v/>
      </c>
      <c r="F173" s="59">
        <f>IF(N($AL173)&gt;0,INDEX(rLim_ADM,$AL173),"")</f>
        <v/>
      </c>
      <c r="G173" s="59" t="n"/>
      <c r="H173" s="60" t="n"/>
      <c r="I173" s="60" t="n"/>
      <c r="J173" s="60" t="n"/>
      <c r="K173" s="60" t="n"/>
      <c r="L173" s="60" t="n"/>
      <c r="M173" s="61">
        <f>IF(NOT((COUNTA($B173:$D173)+COUNTA($G173:$L173)+COUNTA($Q173))&gt;0),"",IF(ISNUMBER($G173),1,IF(N($W173)&gt;0,AVERAGEIFS($X$5:$X$1000,$U$5:$U$1000,ROW(),$V$5:$V$1000,"Sub"),$X173)))</f>
        <v/>
      </c>
      <c r="N173" s="56">
        <f>IF($M173="","",IF($M173&gt;=1,"Completado",IF($M173&gt;0,"En curso","Pendiente")))</f>
        <v/>
      </c>
      <c r="O173" s="56">
        <f>IF(NOT((COUNTA($B173:$D173)+COUNTA($G173:$L173)+COUNTA($Q173))&gt;0),"",IF(ISNUMBER($G173),IF(AND(ISNUMBER($AN173),$G173&gt;$AN173),"Cumplida con "&amp;($G173-$AN173)&amp;IF($G173-$AN173=1," día"," días")&amp;" de retraso","Cumplida"),IF(N($M173)&gt;=1,"Cumplida",IF(NOT(ISNUMBER($AN173)),"Sin fecha límite",IF($AN173&lt;FechaRef,"Vencida hace "&amp;(FechaRef-$AN173)&amp;IF(FechaRef-$AN173=1," día"," días"),IF($AN173=FechaRef,"Vence hoy",IF($AN173-FechaRef&lt;=DiasAlerta,"Vence en "&amp;($AN173-FechaRef)&amp;IF($AN173-FechaRef=1," día"," días"),"En plazo")))))))</f>
        <v/>
      </c>
      <c r="P173" s="62" t="n"/>
      <c r="Q173" s="58" t="n"/>
      <c r="R173" s="63">
        <f>IF(NOT((COUNTA($B173:$D173)+COUNTA($G173:$L173)+COUNTA($Q173))&gt;0),"",IF((IF($C173="","Falta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",""))="","✔ OK","⚠ "&amp;LEFT(IF($C173="","Falta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",""),LEN(IF($C173="","Falta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",""))-3)))</f>
        <v/>
      </c>
      <c r="S173" s="64">
        <f>IF(NOT((COUNTA($B173:$D173)+COUNTA($G173:$L173)+COUNTA($Q173))&gt;0),"",IF(AND($V173="Sub",N($U173)&gt;0),IF(ISNUMBER(INDEX($AM$5:$AM$1000,$U173-4)),DATE(YEAR(INDEX($AM$5:$AM$1000,$U173-4)),MONTH(INDEX($AM$5:$AM$1000,$U173-4)),1),IF(ISNUMBER(INDEX($AN$5:$AN$1000,$U173-4)),DATE(YEAR(INDEX($AN$5:$AN$1000,$U173-4)),MONTH(INDEX($AN$5:$AN$1000,$U173-4)),1),MesCiclo)),IF(ISNUMBER($AM173),DATE(YEAR($AM173),MONTH($AM173),1),IF(ISNUMBER($AN173),DATE(YEAR($AN173),MONTH($AN173),1),MesCiclo))))</f>
        <v/>
      </c>
      <c r="T173" s="62">
        <f>IF(OR($S173="",$S173&lt;&gt;MesCiclo),"",COUNTIF($S$5:$S173,MesCiclo))</f>
        <v/>
      </c>
      <c r="U173" s="62">
        <f>IF($V173="","",IF($V173="Macro",ROW(),IFERROR(LOOKUP(2,1/($V$5:$V173="Macro"),ROW($V$5:$V173)),0)))</f>
        <v/>
      </c>
      <c r="V173" s="62">
        <f>IF(NOT((COUNTA($B173:$D173)+COUNTA($G173:$L173)+COUNTA($Q173))&gt;0),"",IF($B173="Subactividad","Sub","Macro"))</f>
        <v/>
      </c>
      <c r="W173" s="62">
        <f>IF($V173="Macro",COUNTIFS($U$5:$U$1000,ROW(),$V$5:$V$1000,"Sub"),"")</f>
        <v/>
      </c>
      <c r="X173" s="62">
        <f>IF($V173="","",IF(ISNUMBER($G173),1,IFERROR(LOOKUP(2,1/($I173:$L173&lt;&gt;""),$I173:$L173),0)))</f>
        <v/>
      </c>
      <c r="Y173" s="62">
        <f>IF($V173="","",IF(AND(ISNUMBER($G173),$G173&lt;=IF($S173=MesCiclo,InicioCiclo,$S173+MOD(2-WEEKDAY($S173),7))+6),1,IF(ISNUMBER($I173),$I173,0)))</f>
        <v/>
      </c>
      <c r="Z173" s="62">
        <f>IF($V173="","",IF(AND(ISNUMBER($G173),$G173&lt;=IF($S173=MesCiclo,InicioCiclo,$S173+MOD(2-WEEKDAY($S173),7))+13),1,IF(ISNUMBER($J173),$J173,$Y173)))</f>
        <v/>
      </c>
      <c r="AA173" s="62">
        <f>IF($V173="","",IF(AND(ISNUMBER($G173),$G173&lt;=IF($S173=MesCiclo,InicioCiclo,$S173+MOD(2-WEEKDAY($S173),7))+20),1,IF(ISNUMBER($K173),$K173,$Z173)))</f>
        <v/>
      </c>
      <c r="AB173" s="62">
        <f>IF($V173="","",IF(AND(ISNUMBER($G173),$G173&lt;=IF($S173=MesCiclo,InicioCiclo,$S173+MOD(2-WEEKDAY($S173),7))+27),1,IF(ISNUMBER($L173),$L173,$AA173)))</f>
        <v/>
      </c>
      <c r="AC173" s="62">
        <f>IF($V173="","",IF(AND(ISNUMBER($G173),$G173&lt;=IF($S173=MesCiclo,InicioCiclo,$S173+MOD(2-WEEKDAY($S173),7))+6),1,IF(N($W173)&gt;0,AVERAGEIFS($Y$5:$Y$1000,$U$5:$U$1000,ROW(),$V$5:$V$1000,"Sub"),$Y173)))</f>
        <v/>
      </c>
      <c r="AD173" s="62">
        <f>IF($V173="","",IF(AND(ISNUMBER($G173),$G173&lt;=IF($S173=MesCiclo,InicioCiclo,$S173+MOD(2-WEEKDAY($S173),7))+13),1,IF(N($W173)&gt;0,AVERAGEIFS($Z$5:$Z$1000,$U$5:$U$1000,ROW(),$V$5:$V$1000,"Sub"),$Z173)))</f>
        <v/>
      </c>
      <c r="AE173" s="62">
        <f>IF($V173="","",IF(AND(ISNUMBER($G173),$G173&lt;=IF($S173=MesCiclo,InicioCiclo,$S173+MOD(2-WEEKDAY($S173),7))+20),1,IF(N($W173)&gt;0,AVERAGEIFS($AA$5:$AA$1000,$U$5:$U$1000,ROW(),$V$5:$V$1000,"Sub"),$AA173)))</f>
        <v/>
      </c>
      <c r="AF173" s="62">
        <f>IF($V173="","",IF(AND(ISNUMBER($G173),$G173&lt;=IF($S173=MesCiclo,InicioCiclo,$S173+MOD(2-WEEKDAY($S173),7))+27),1,IF(N($W173)&gt;0,AVERAGEIFS($AB$5:$AB$1000,$U$5:$U$1000,ROW(),$V$5:$V$1000,"Sub"),$AB173)))</f>
        <v/>
      </c>
      <c r="AG173" s="62">
        <f>IF($V173&lt;&gt;"Macro","",IF(COUNTIFS($S$5:$S$1000,$S173,$V$5:$V$1000,"Macro",$H$5:$H$1000,"&gt;0")=0,1/COUNTIFS($S$5:$S$1000,$S173,$V$5:$V$1000,"Macro"),IF(AND(ISNUMBER($H173),N($H173)&gt;0),$H173,SUMIFS($H$5:$H$1000,$S$5:$S$1000,$S173,$V$5:$V$1000,"Macro")/COUNTIFS($S$5:$S$1000,$S173,$V$5:$V$1000,"Macro",$H$5:$H$1000,"&gt;0"))/(COUNTIFS($S$5:$S$1000,$S173,$V$5:$V$1000,"Macro")*SUMIFS($H$5:$H$1000,$S$5:$S$1000,$S173,$V$5:$V$1000,"Macro")/COUNTIFS($S$5:$S$1000,$S173,$V$5:$V$1000,"Macro",$H$5:$H$1000,"&gt;0"))))</f>
        <v/>
      </c>
      <c r="AH173" s="62" t="n"/>
      <c r="AI173" s="62" t="n"/>
      <c r="AJ173" s="62" t="n"/>
      <c r="AK173" s="62" t="n"/>
      <c r="AL173" s="62">
        <f>IF(LEFT($C173,11)="[Jefatura] ",IFERROR(MATCH("Riesgo Normativo|"&amp;MID($C173,12,500),rDname_ADM,0),0),"")</f>
        <v/>
      </c>
      <c r="AM173" s="62">
        <f>IF(N($AL173)&gt;0,INDEX(rIni_ADM,$AL173),IF(ISNUMBER($E173),$E173,""))</f>
        <v/>
      </c>
      <c r="AN173" s="62">
        <f>IF(N($AL173)&gt;0,INDEX(rLim_ADM,$AL173),IF(ISNUMBER($F173),$F173,""))</f>
        <v/>
      </c>
    </row>
    <row r="174">
      <c r="A174" s="56">
        <f>IF(NOT((COUNTA($B174:$D174)+COUNTA($G174:$L174)+COUNTA($Q174))&gt;0),"",IF($V174="Macro",COUNTIFS($V$5:$V174,"Macro",$S$5:$S174,$S174),IF(N($U174)=0,"?",COUNTIFS(INDEX($V$5:$V$1000,1):INDEX($V$5:$V$1000,$U174-4),"Macro",INDEX($S$5:$S$1000,1):INDEX($S$5:$S$1000,$U174-4),INDEX($S$5:$S$1000,$U174-4))&amp;"."&amp;COUNTIFS($U$5:$U174,$U174,$V$5:$V174,"Sub"))))</f>
        <v/>
      </c>
      <c r="B174" s="57" t="n"/>
      <c r="C174" s="58" t="n"/>
      <c r="D174" s="58" t="n"/>
      <c r="E174" s="59">
        <f>IF(N($AL174)&gt;0,INDEX(rIni_ADM,$AL174),"")</f>
        <v/>
      </c>
      <c r="F174" s="59">
        <f>IF(N($AL174)&gt;0,INDEX(rLim_ADM,$AL174),"")</f>
        <v/>
      </c>
      <c r="G174" s="59" t="n"/>
      <c r="H174" s="60" t="n"/>
      <c r="I174" s="60" t="n"/>
      <c r="J174" s="60" t="n"/>
      <c r="K174" s="60" t="n"/>
      <c r="L174" s="60" t="n"/>
      <c r="M174" s="61">
        <f>IF(NOT((COUNTA($B174:$D174)+COUNTA($G174:$L174)+COUNTA($Q174))&gt;0),"",IF(ISNUMBER($G174),1,IF(N($W174)&gt;0,AVERAGEIFS($X$5:$X$1000,$U$5:$U$1000,ROW(),$V$5:$V$1000,"Sub"),$X174)))</f>
        <v/>
      </c>
      <c r="N174" s="56">
        <f>IF($M174="","",IF($M174&gt;=1,"Completado",IF($M174&gt;0,"En curso","Pendiente")))</f>
        <v/>
      </c>
      <c r="O174" s="56">
        <f>IF(NOT((COUNTA($B174:$D174)+COUNTA($G174:$L174)+COUNTA($Q174))&gt;0),"",IF(ISNUMBER($G174),IF(AND(ISNUMBER($AN174),$G174&gt;$AN174),"Cumplida con "&amp;($G174-$AN174)&amp;IF($G174-$AN174=1," día"," días")&amp;" de retraso","Cumplida"),IF(N($M174)&gt;=1,"Cumplida",IF(NOT(ISNUMBER($AN174)),"Sin fecha límite",IF($AN174&lt;FechaRef,"Vencida hace "&amp;(FechaRef-$AN174)&amp;IF(FechaRef-$AN174=1," día"," días"),IF($AN174=FechaRef,"Vence hoy",IF($AN174-FechaRef&lt;=DiasAlerta,"Vence en "&amp;($AN174-FechaRef)&amp;IF($AN174-FechaRef=1," día"," días"),"En plazo")))))))</f>
        <v/>
      </c>
      <c r="P174" s="62" t="n"/>
      <c r="Q174" s="58" t="n"/>
      <c r="R174" s="63">
        <f>IF(NOT((COUNTA($B174:$D174)+COUNTA($G174:$L174)+COUNTA($Q174))&gt;0),"",IF((IF($C174="","Falta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",""))="","✔ OK","⚠ "&amp;LEFT(IF($C174="","Falta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",""),LEN(IF($C174="","Falta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",""))-3)))</f>
        <v/>
      </c>
      <c r="S174" s="64">
        <f>IF(NOT((COUNTA($B174:$D174)+COUNTA($G174:$L174)+COUNTA($Q174))&gt;0),"",IF(AND($V174="Sub",N($U174)&gt;0),IF(ISNUMBER(INDEX($AM$5:$AM$1000,$U174-4)),DATE(YEAR(INDEX($AM$5:$AM$1000,$U174-4)),MONTH(INDEX($AM$5:$AM$1000,$U174-4)),1),IF(ISNUMBER(INDEX($AN$5:$AN$1000,$U174-4)),DATE(YEAR(INDEX($AN$5:$AN$1000,$U174-4)),MONTH(INDEX($AN$5:$AN$1000,$U174-4)),1),MesCiclo)),IF(ISNUMBER($AM174),DATE(YEAR($AM174),MONTH($AM174),1),IF(ISNUMBER($AN174),DATE(YEAR($AN174),MONTH($AN174),1),MesCiclo))))</f>
        <v/>
      </c>
      <c r="T174" s="62">
        <f>IF(OR($S174="",$S174&lt;&gt;MesCiclo),"",COUNTIF($S$5:$S174,MesCiclo))</f>
        <v/>
      </c>
      <c r="U174" s="62">
        <f>IF($V174="","",IF($V174="Macro",ROW(),IFERROR(LOOKUP(2,1/($V$5:$V174="Macro"),ROW($V$5:$V174)),0)))</f>
        <v/>
      </c>
      <c r="V174" s="62">
        <f>IF(NOT((COUNTA($B174:$D174)+COUNTA($G174:$L174)+COUNTA($Q174))&gt;0),"",IF($B174="Subactividad","Sub","Macro"))</f>
        <v/>
      </c>
      <c r="W174" s="62">
        <f>IF($V174="Macro",COUNTIFS($U$5:$U$1000,ROW(),$V$5:$V$1000,"Sub"),"")</f>
        <v/>
      </c>
      <c r="X174" s="62">
        <f>IF($V174="","",IF(ISNUMBER($G174),1,IFERROR(LOOKUP(2,1/($I174:$L174&lt;&gt;""),$I174:$L174),0)))</f>
        <v/>
      </c>
      <c r="Y174" s="62">
        <f>IF($V174="","",IF(AND(ISNUMBER($G174),$G174&lt;=IF($S174=MesCiclo,InicioCiclo,$S174+MOD(2-WEEKDAY($S174),7))+6),1,IF(ISNUMBER($I174),$I174,0)))</f>
        <v/>
      </c>
      <c r="Z174" s="62">
        <f>IF($V174="","",IF(AND(ISNUMBER($G174),$G174&lt;=IF($S174=MesCiclo,InicioCiclo,$S174+MOD(2-WEEKDAY($S174),7))+13),1,IF(ISNUMBER($J174),$J174,$Y174)))</f>
        <v/>
      </c>
      <c r="AA174" s="62">
        <f>IF($V174="","",IF(AND(ISNUMBER($G174),$G174&lt;=IF($S174=MesCiclo,InicioCiclo,$S174+MOD(2-WEEKDAY($S174),7))+20),1,IF(ISNUMBER($K174),$K174,$Z174)))</f>
        <v/>
      </c>
      <c r="AB174" s="62">
        <f>IF($V174="","",IF(AND(ISNUMBER($G174),$G174&lt;=IF($S174=MesCiclo,InicioCiclo,$S174+MOD(2-WEEKDAY($S174),7))+27),1,IF(ISNUMBER($L174),$L174,$AA174)))</f>
        <v/>
      </c>
      <c r="AC174" s="62">
        <f>IF($V174="","",IF(AND(ISNUMBER($G174),$G174&lt;=IF($S174=MesCiclo,InicioCiclo,$S174+MOD(2-WEEKDAY($S174),7))+6),1,IF(N($W174)&gt;0,AVERAGEIFS($Y$5:$Y$1000,$U$5:$U$1000,ROW(),$V$5:$V$1000,"Sub"),$Y174)))</f>
        <v/>
      </c>
      <c r="AD174" s="62">
        <f>IF($V174="","",IF(AND(ISNUMBER($G174),$G174&lt;=IF($S174=MesCiclo,InicioCiclo,$S174+MOD(2-WEEKDAY($S174),7))+13),1,IF(N($W174)&gt;0,AVERAGEIFS($Z$5:$Z$1000,$U$5:$U$1000,ROW(),$V$5:$V$1000,"Sub"),$Z174)))</f>
        <v/>
      </c>
      <c r="AE174" s="62">
        <f>IF($V174="","",IF(AND(ISNUMBER($G174),$G174&lt;=IF($S174=MesCiclo,InicioCiclo,$S174+MOD(2-WEEKDAY($S174),7))+20),1,IF(N($W174)&gt;0,AVERAGEIFS($AA$5:$AA$1000,$U$5:$U$1000,ROW(),$V$5:$V$1000,"Sub"),$AA174)))</f>
        <v/>
      </c>
      <c r="AF174" s="62">
        <f>IF($V174="","",IF(AND(ISNUMBER($G174),$G174&lt;=IF($S174=MesCiclo,InicioCiclo,$S174+MOD(2-WEEKDAY($S174),7))+27),1,IF(N($W174)&gt;0,AVERAGEIFS($AB$5:$AB$1000,$U$5:$U$1000,ROW(),$V$5:$V$1000,"Sub"),$AB174)))</f>
        <v/>
      </c>
      <c r="AG174" s="62">
        <f>IF($V174&lt;&gt;"Macro","",IF(COUNTIFS($S$5:$S$1000,$S174,$V$5:$V$1000,"Macro",$H$5:$H$1000,"&gt;0")=0,1/COUNTIFS($S$5:$S$1000,$S174,$V$5:$V$1000,"Macro"),IF(AND(ISNUMBER($H174),N($H174)&gt;0),$H174,SUMIFS($H$5:$H$1000,$S$5:$S$1000,$S174,$V$5:$V$1000,"Macro")/COUNTIFS($S$5:$S$1000,$S174,$V$5:$V$1000,"Macro",$H$5:$H$1000,"&gt;0"))/(COUNTIFS($S$5:$S$1000,$S174,$V$5:$V$1000,"Macro")*SUMIFS($H$5:$H$1000,$S$5:$S$1000,$S174,$V$5:$V$1000,"Macro")/COUNTIFS($S$5:$S$1000,$S174,$V$5:$V$1000,"Macro",$H$5:$H$1000,"&gt;0"))))</f>
        <v/>
      </c>
      <c r="AH174" s="62" t="n"/>
      <c r="AI174" s="62" t="n"/>
      <c r="AJ174" s="62" t="n"/>
      <c r="AK174" s="62" t="n"/>
      <c r="AL174" s="62">
        <f>IF(LEFT($C174,11)="[Jefatura] ",IFERROR(MATCH("Riesgo Normativo|"&amp;MID($C174,12,500),rDname_ADM,0),0),"")</f>
        <v/>
      </c>
      <c r="AM174" s="62">
        <f>IF(N($AL174)&gt;0,INDEX(rIni_ADM,$AL174),IF(ISNUMBER($E174),$E174,""))</f>
        <v/>
      </c>
      <c r="AN174" s="62">
        <f>IF(N($AL174)&gt;0,INDEX(rLim_ADM,$AL174),IF(ISNUMBER($F174),$F174,""))</f>
        <v/>
      </c>
    </row>
    <row r="175">
      <c r="A175" s="56">
        <f>IF(NOT((COUNTA($B175:$D175)+COUNTA($G175:$L175)+COUNTA($Q175))&gt;0),"",IF($V175="Macro",COUNTIFS($V$5:$V175,"Macro",$S$5:$S175,$S175),IF(N($U175)=0,"?",COUNTIFS(INDEX($V$5:$V$1000,1):INDEX($V$5:$V$1000,$U175-4),"Macro",INDEX($S$5:$S$1000,1):INDEX($S$5:$S$1000,$U175-4),INDEX($S$5:$S$1000,$U175-4))&amp;"."&amp;COUNTIFS($U$5:$U175,$U175,$V$5:$V175,"Sub"))))</f>
        <v/>
      </c>
      <c r="B175" s="57" t="n"/>
      <c r="C175" s="58" t="n"/>
      <c r="D175" s="58" t="n"/>
      <c r="E175" s="59">
        <f>IF(N($AL175)&gt;0,INDEX(rIni_ADM,$AL175),"")</f>
        <v/>
      </c>
      <c r="F175" s="59">
        <f>IF(N($AL175)&gt;0,INDEX(rLim_ADM,$AL175),"")</f>
        <v/>
      </c>
      <c r="G175" s="59" t="n"/>
      <c r="H175" s="60" t="n"/>
      <c r="I175" s="60" t="n"/>
      <c r="J175" s="60" t="n"/>
      <c r="K175" s="60" t="n"/>
      <c r="L175" s="60" t="n"/>
      <c r="M175" s="61">
        <f>IF(NOT((COUNTA($B175:$D175)+COUNTA($G175:$L175)+COUNTA($Q175))&gt;0),"",IF(ISNUMBER($G175),1,IF(N($W175)&gt;0,AVERAGEIFS($X$5:$X$1000,$U$5:$U$1000,ROW(),$V$5:$V$1000,"Sub"),$X175)))</f>
        <v/>
      </c>
      <c r="N175" s="56">
        <f>IF($M175="","",IF($M175&gt;=1,"Completado",IF($M175&gt;0,"En curso","Pendiente")))</f>
        <v/>
      </c>
      <c r="O175" s="56">
        <f>IF(NOT((COUNTA($B175:$D175)+COUNTA($G175:$L175)+COUNTA($Q175))&gt;0),"",IF(ISNUMBER($G175),IF(AND(ISNUMBER($AN175),$G175&gt;$AN175),"Cumplida con "&amp;($G175-$AN175)&amp;IF($G175-$AN175=1," día"," días")&amp;" de retraso","Cumplida"),IF(N($M175)&gt;=1,"Cumplida",IF(NOT(ISNUMBER($AN175)),"Sin fecha límite",IF($AN175&lt;FechaRef,"Vencida hace "&amp;(FechaRef-$AN175)&amp;IF(FechaRef-$AN175=1," día"," días"),IF($AN175=FechaRef,"Vence hoy",IF($AN175-FechaRef&lt;=DiasAlerta,"Vence en "&amp;($AN175-FechaRef)&amp;IF($AN175-FechaRef=1," día"," días"),"En plazo")))))))</f>
        <v/>
      </c>
      <c r="P175" s="62" t="n"/>
      <c r="Q175" s="58" t="n"/>
      <c r="R175" s="63">
        <f>IF(NOT((COUNTA($B175:$D175)+COUNTA($G175:$L175)+COUNTA($Q175))&gt;0),"",IF((IF($C175="","Falta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",""))="","✔ OK","⚠ "&amp;LEFT(IF($C175="","Falta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",""),LEN(IF($C175="","Falta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",""))-3)))</f>
        <v/>
      </c>
      <c r="S175" s="64">
        <f>IF(NOT((COUNTA($B175:$D175)+COUNTA($G175:$L175)+COUNTA($Q175))&gt;0),"",IF(AND($V175="Sub",N($U175)&gt;0),IF(ISNUMBER(INDEX($AM$5:$AM$1000,$U175-4)),DATE(YEAR(INDEX($AM$5:$AM$1000,$U175-4)),MONTH(INDEX($AM$5:$AM$1000,$U175-4)),1),IF(ISNUMBER(INDEX($AN$5:$AN$1000,$U175-4)),DATE(YEAR(INDEX($AN$5:$AN$1000,$U175-4)),MONTH(INDEX($AN$5:$AN$1000,$U175-4)),1),MesCiclo)),IF(ISNUMBER($AM175),DATE(YEAR($AM175),MONTH($AM175),1),IF(ISNUMBER($AN175),DATE(YEAR($AN175),MONTH($AN175),1),MesCiclo))))</f>
        <v/>
      </c>
      <c r="T175" s="62">
        <f>IF(OR($S175="",$S175&lt;&gt;MesCiclo),"",COUNTIF($S$5:$S175,MesCiclo))</f>
        <v/>
      </c>
      <c r="U175" s="62">
        <f>IF($V175="","",IF($V175="Macro",ROW(),IFERROR(LOOKUP(2,1/($V$5:$V175="Macro"),ROW($V$5:$V175)),0)))</f>
        <v/>
      </c>
      <c r="V175" s="62">
        <f>IF(NOT((COUNTA($B175:$D175)+COUNTA($G175:$L175)+COUNTA($Q175))&gt;0),"",IF($B175="Subactividad","Sub","Macro"))</f>
        <v/>
      </c>
      <c r="W175" s="62">
        <f>IF($V175="Macro",COUNTIFS($U$5:$U$1000,ROW(),$V$5:$V$1000,"Sub"),"")</f>
        <v/>
      </c>
      <c r="X175" s="62">
        <f>IF($V175="","",IF(ISNUMBER($G175),1,IFERROR(LOOKUP(2,1/($I175:$L175&lt;&gt;""),$I175:$L175),0)))</f>
        <v/>
      </c>
      <c r="Y175" s="62">
        <f>IF($V175="","",IF(AND(ISNUMBER($G175),$G175&lt;=IF($S175=MesCiclo,InicioCiclo,$S175+MOD(2-WEEKDAY($S175),7))+6),1,IF(ISNUMBER($I175),$I175,0)))</f>
        <v/>
      </c>
      <c r="Z175" s="62">
        <f>IF($V175="","",IF(AND(ISNUMBER($G175),$G175&lt;=IF($S175=MesCiclo,InicioCiclo,$S175+MOD(2-WEEKDAY($S175),7))+13),1,IF(ISNUMBER($J175),$J175,$Y175)))</f>
        <v/>
      </c>
      <c r="AA175" s="62">
        <f>IF($V175="","",IF(AND(ISNUMBER($G175),$G175&lt;=IF($S175=MesCiclo,InicioCiclo,$S175+MOD(2-WEEKDAY($S175),7))+20),1,IF(ISNUMBER($K175),$K175,$Z175)))</f>
        <v/>
      </c>
      <c r="AB175" s="62">
        <f>IF($V175="","",IF(AND(ISNUMBER($G175),$G175&lt;=IF($S175=MesCiclo,InicioCiclo,$S175+MOD(2-WEEKDAY($S175),7))+27),1,IF(ISNUMBER($L175),$L175,$AA175)))</f>
        <v/>
      </c>
      <c r="AC175" s="62">
        <f>IF($V175="","",IF(AND(ISNUMBER($G175),$G175&lt;=IF($S175=MesCiclo,InicioCiclo,$S175+MOD(2-WEEKDAY($S175),7))+6),1,IF(N($W175)&gt;0,AVERAGEIFS($Y$5:$Y$1000,$U$5:$U$1000,ROW(),$V$5:$V$1000,"Sub"),$Y175)))</f>
        <v/>
      </c>
      <c r="AD175" s="62">
        <f>IF($V175="","",IF(AND(ISNUMBER($G175),$G175&lt;=IF($S175=MesCiclo,InicioCiclo,$S175+MOD(2-WEEKDAY($S175),7))+13),1,IF(N($W175)&gt;0,AVERAGEIFS($Z$5:$Z$1000,$U$5:$U$1000,ROW(),$V$5:$V$1000,"Sub"),$Z175)))</f>
        <v/>
      </c>
      <c r="AE175" s="62">
        <f>IF($V175="","",IF(AND(ISNUMBER($G175),$G175&lt;=IF($S175=MesCiclo,InicioCiclo,$S175+MOD(2-WEEKDAY($S175),7))+20),1,IF(N($W175)&gt;0,AVERAGEIFS($AA$5:$AA$1000,$U$5:$U$1000,ROW(),$V$5:$V$1000,"Sub"),$AA175)))</f>
        <v/>
      </c>
      <c r="AF175" s="62">
        <f>IF($V175="","",IF(AND(ISNUMBER($G175),$G175&lt;=IF($S175=MesCiclo,InicioCiclo,$S175+MOD(2-WEEKDAY($S175),7))+27),1,IF(N($W175)&gt;0,AVERAGEIFS($AB$5:$AB$1000,$U$5:$U$1000,ROW(),$V$5:$V$1000,"Sub"),$AB175)))</f>
        <v/>
      </c>
      <c r="AG175" s="62">
        <f>IF($V175&lt;&gt;"Macro","",IF(COUNTIFS($S$5:$S$1000,$S175,$V$5:$V$1000,"Macro",$H$5:$H$1000,"&gt;0")=0,1/COUNTIFS($S$5:$S$1000,$S175,$V$5:$V$1000,"Macro"),IF(AND(ISNUMBER($H175),N($H175)&gt;0),$H175,SUMIFS($H$5:$H$1000,$S$5:$S$1000,$S175,$V$5:$V$1000,"Macro")/COUNTIFS($S$5:$S$1000,$S175,$V$5:$V$1000,"Macro",$H$5:$H$1000,"&gt;0"))/(COUNTIFS($S$5:$S$1000,$S175,$V$5:$V$1000,"Macro")*SUMIFS($H$5:$H$1000,$S$5:$S$1000,$S175,$V$5:$V$1000,"Macro")/COUNTIFS($S$5:$S$1000,$S175,$V$5:$V$1000,"Macro",$H$5:$H$1000,"&gt;0"))))</f>
        <v/>
      </c>
      <c r="AH175" s="62" t="n"/>
      <c r="AI175" s="62" t="n"/>
      <c r="AJ175" s="62" t="n"/>
      <c r="AK175" s="62" t="n"/>
      <c r="AL175" s="62">
        <f>IF(LEFT($C175,11)="[Jefatura] ",IFERROR(MATCH("Riesgo Normativo|"&amp;MID($C175,12,500),rDname_ADM,0),0),"")</f>
        <v/>
      </c>
      <c r="AM175" s="62">
        <f>IF(N($AL175)&gt;0,INDEX(rIni_ADM,$AL175),IF(ISNUMBER($E175),$E175,""))</f>
        <v/>
      </c>
      <c r="AN175" s="62">
        <f>IF(N($AL175)&gt;0,INDEX(rLim_ADM,$AL175),IF(ISNUMBER($F175),$F175,""))</f>
        <v/>
      </c>
    </row>
    <row r="176">
      <c r="A176" s="56">
        <f>IF(NOT((COUNTA($B176:$D176)+COUNTA($G176:$L176)+COUNTA($Q176))&gt;0),"",IF($V176="Macro",COUNTIFS($V$5:$V176,"Macro",$S$5:$S176,$S176),IF(N($U176)=0,"?",COUNTIFS(INDEX($V$5:$V$1000,1):INDEX($V$5:$V$1000,$U176-4),"Macro",INDEX($S$5:$S$1000,1):INDEX($S$5:$S$1000,$U176-4),INDEX($S$5:$S$1000,$U176-4))&amp;"."&amp;COUNTIFS($U$5:$U176,$U176,$V$5:$V176,"Sub"))))</f>
        <v/>
      </c>
      <c r="B176" s="57" t="n"/>
      <c r="C176" s="58" t="n"/>
      <c r="D176" s="58" t="n"/>
      <c r="E176" s="59">
        <f>IF(N($AL176)&gt;0,INDEX(rIni_ADM,$AL176),"")</f>
        <v/>
      </c>
      <c r="F176" s="59">
        <f>IF(N($AL176)&gt;0,INDEX(rLim_ADM,$AL176),"")</f>
        <v/>
      </c>
      <c r="G176" s="59" t="n"/>
      <c r="H176" s="60" t="n"/>
      <c r="I176" s="60" t="n"/>
      <c r="J176" s="60" t="n"/>
      <c r="K176" s="60" t="n"/>
      <c r="L176" s="60" t="n"/>
      <c r="M176" s="61">
        <f>IF(NOT((COUNTA($B176:$D176)+COUNTA($G176:$L176)+COUNTA($Q176))&gt;0),"",IF(ISNUMBER($G176),1,IF(N($W176)&gt;0,AVERAGEIFS($X$5:$X$1000,$U$5:$U$1000,ROW(),$V$5:$V$1000,"Sub"),$X176)))</f>
        <v/>
      </c>
      <c r="N176" s="56">
        <f>IF($M176="","",IF($M176&gt;=1,"Completado",IF($M176&gt;0,"En curso","Pendiente")))</f>
        <v/>
      </c>
      <c r="O176" s="56">
        <f>IF(NOT((COUNTA($B176:$D176)+COUNTA($G176:$L176)+COUNTA($Q176))&gt;0),"",IF(ISNUMBER($G176),IF(AND(ISNUMBER($AN176),$G176&gt;$AN176),"Cumplida con "&amp;($G176-$AN176)&amp;IF($G176-$AN176=1," día"," días")&amp;" de retraso","Cumplida"),IF(N($M176)&gt;=1,"Cumplida",IF(NOT(ISNUMBER($AN176)),"Sin fecha límite",IF($AN176&lt;FechaRef,"Vencida hace "&amp;(FechaRef-$AN176)&amp;IF(FechaRef-$AN176=1," día"," días"),IF($AN176=FechaRef,"Vence hoy",IF($AN176-FechaRef&lt;=DiasAlerta,"Vence en "&amp;($AN176-FechaRef)&amp;IF($AN176-FechaRef=1," día"," días"),"En plazo")))))))</f>
        <v/>
      </c>
      <c r="P176" s="62" t="n"/>
      <c r="Q176" s="58" t="n"/>
      <c r="R176" s="63">
        <f>IF(NOT((COUNTA($B176:$D176)+COUNTA($G176:$L176)+COUNTA($Q176))&gt;0),"",IF((IF($C176="","Falta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",""))="","✔ OK","⚠ "&amp;LEFT(IF($C176="","Falta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",""),LEN(IF($C176="","Falta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",""))-3)))</f>
        <v/>
      </c>
      <c r="S176" s="64">
        <f>IF(NOT((COUNTA($B176:$D176)+COUNTA($G176:$L176)+COUNTA($Q176))&gt;0),"",IF(AND($V176="Sub",N($U176)&gt;0),IF(ISNUMBER(INDEX($AM$5:$AM$1000,$U176-4)),DATE(YEAR(INDEX($AM$5:$AM$1000,$U176-4)),MONTH(INDEX($AM$5:$AM$1000,$U176-4)),1),IF(ISNUMBER(INDEX($AN$5:$AN$1000,$U176-4)),DATE(YEAR(INDEX($AN$5:$AN$1000,$U176-4)),MONTH(INDEX($AN$5:$AN$1000,$U176-4)),1),MesCiclo)),IF(ISNUMBER($AM176),DATE(YEAR($AM176),MONTH($AM176),1),IF(ISNUMBER($AN176),DATE(YEAR($AN176),MONTH($AN176),1),MesCiclo))))</f>
        <v/>
      </c>
      <c r="T176" s="62">
        <f>IF(OR($S176="",$S176&lt;&gt;MesCiclo),"",COUNTIF($S$5:$S176,MesCiclo))</f>
        <v/>
      </c>
      <c r="U176" s="62">
        <f>IF($V176="","",IF($V176="Macro",ROW(),IFERROR(LOOKUP(2,1/($V$5:$V176="Macro"),ROW($V$5:$V176)),0)))</f>
        <v/>
      </c>
      <c r="V176" s="62">
        <f>IF(NOT((COUNTA($B176:$D176)+COUNTA($G176:$L176)+COUNTA($Q176))&gt;0),"",IF($B176="Subactividad","Sub","Macro"))</f>
        <v/>
      </c>
      <c r="W176" s="62">
        <f>IF($V176="Macro",COUNTIFS($U$5:$U$1000,ROW(),$V$5:$V$1000,"Sub"),"")</f>
        <v/>
      </c>
      <c r="X176" s="62">
        <f>IF($V176="","",IF(ISNUMBER($G176),1,IFERROR(LOOKUP(2,1/($I176:$L176&lt;&gt;""),$I176:$L176),0)))</f>
        <v/>
      </c>
      <c r="Y176" s="62">
        <f>IF($V176="","",IF(AND(ISNUMBER($G176),$G176&lt;=IF($S176=MesCiclo,InicioCiclo,$S176+MOD(2-WEEKDAY($S176),7))+6),1,IF(ISNUMBER($I176),$I176,0)))</f>
        <v/>
      </c>
      <c r="Z176" s="62">
        <f>IF($V176="","",IF(AND(ISNUMBER($G176),$G176&lt;=IF($S176=MesCiclo,InicioCiclo,$S176+MOD(2-WEEKDAY($S176),7))+13),1,IF(ISNUMBER($J176),$J176,$Y176)))</f>
        <v/>
      </c>
      <c r="AA176" s="62">
        <f>IF($V176="","",IF(AND(ISNUMBER($G176),$G176&lt;=IF($S176=MesCiclo,InicioCiclo,$S176+MOD(2-WEEKDAY($S176),7))+20),1,IF(ISNUMBER($K176),$K176,$Z176)))</f>
        <v/>
      </c>
      <c r="AB176" s="62">
        <f>IF($V176="","",IF(AND(ISNUMBER($G176),$G176&lt;=IF($S176=MesCiclo,InicioCiclo,$S176+MOD(2-WEEKDAY($S176),7))+27),1,IF(ISNUMBER($L176),$L176,$AA176)))</f>
        <v/>
      </c>
      <c r="AC176" s="62">
        <f>IF($V176="","",IF(AND(ISNUMBER($G176),$G176&lt;=IF($S176=MesCiclo,InicioCiclo,$S176+MOD(2-WEEKDAY($S176),7))+6),1,IF(N($W176)&gt;0,AVERAGEIFS($Y$5:$Y$1000,$U$5:$U$1000,ROW(),$V$5:$V$1000,"Sub"),$Y176)))</f>
        <v/>
      </c>
      <c r="AD176" s="62">
        <f>IF($V176="","",IF(AND(ISNUMBER($G176),$G176&lt;=IF($S176=MesCiclo,InicioCiclo,$S176+MOD(2-WEEKDAY($S176),7))+13),1,IF(N($W176)&gt;0,AVERAGEIFS($Z$5:$Z$1000,$U$5:$U$1000,ROW(),$V$5:$V$1000,"Sub"),$Z176)))</f>
        <v/>
      </c>
      <c r="AE176" s="62">
        <f>IF($V176="","",IF(AND(ISNUMBER($G176),$G176&lt;=IF($S176=MesCiclo,InicioCiclo,$S176+MOD(2-WEEKDAY($S176),7))+20),1,IF(N($W176)&gt;0,AVERAGEIFS($AA$5:$AA$1000,$U$5:$U$1000,ROW(),$V$5:$V$1000,"Sub"),$AA176)))</f>
        <v/>
      </c>
      <c r="AF176" s="62">
        <f>IF($V176="","",IF(AND(ISNUMBER($G176),$G176&lt;=IF($S176=MesCiclo,InicioCiclo,$S176+MOD(2-WEEKDAY($S176),7))+27),1,IF(N($W176)&gt;0,AVERAGEIFS($AB$5:$AB$1000,$U$5:$U$1000,ROW(),$V$5:$V$1000,"Sub"),$AB176)))</f>
        <v/>
      </c>
      <c r="AG176" s="62">
        <f>IF($V176&lt;&gt;"Macro","",IF(COUNTIFS($S$5:$S$1000,$S176,$V$5:$V$1000,"Macro",$H$5:$H$1000,"&gt;0")=0,1/COUNTIFS($S$5:$S$1000,$S176,$V$5:$V$1000,"Macro"),IF(AND(ISNUMBER($H176),N($H176)&gt;0),$H176,SUMIFS($H$5:$H$1000,$S$5:$S$1000,$S176,$V$5:$V$1000,"Macro")/COUNTIFS($S$5:$S$1000,$S176,$V$5:$V$1000,"Macro",$H$5:$H$1000,"&gt;0"))/(COUNTIFS($S$5:$S$1000,$S176,$V$5:$V$1000,"Macro")*SUMIFS($H$5:$H$1000,$S$5:$S$1000,$S176,$V$5:$V$1000,"Macro")/COUNTIFS($S$5:$S$1000,$S176,$V$5:$V$1000,"Macro",$H$5:$H$1000,"&gt;0"))))</f>
        <v/>
      </c>
      <c r="AH176" s="62" t="n"/>
      <c r="AI176" s="62" t="n"/>
      <c r="AJ176" s="62" t="n"/>
      <c r="AK176" s="62" t="n"/>
      <c r="AL176" s="62">
        <f>IF(LEFT($C176,11)="[Jefatura] ",IFERROR(MATCH("Riesgo Normativo|"&amp;MID($C176,12,500),rDname_ADM,0),0),"")</f>
        <v/>
      </c>
      <c r="AM176" s="62">
        <f>IF(N($AL176)&gt;0,INDEX(rIni_ADM,$AL176),IF(ISNUMBER($E176),$E176,""))</f>
        <v/>
      </c>
      <c r="AN176" s="62">
        <f>IF(N($AL176)&gt;0,INDEX(rLim_ADM,$AL176),IF(ISNUMBER($F176),$F176,""))</f>
        <v/>
      </c>
    </row>
    <row r="177">
      <c r="A177" s="56">
        <f>IF(NOT((COUNTA($B177:$D177)+COUNTA($G177:$L177)+COUNTA($Q177))&gt;0),"",IF($V177="Macro",COUNTIFS($V$5:$V177,"Macro",$S$5:$S177,$S177),IF(N($U177)=0,"?",COUNTIFS(INDEX($V$5:$V$1000,1):INDEX($V$5:$V$1000,$U177-4),"Macro",INDEX($S$5:$S$1000,1):INDEX($S$5:$S$1000,$U177-4),INDEX($S$5:$S$1000,$U177-4))&amp;"."&amp;COUNTIFS($U$5:$U177,$U177,$V$5:$V177,"Sub"))))</f>
        <v/>
      </c>
      <c r="B177" s="57" t="n"/>
      <c r="C177" s="58" t="n"/>
      <c r="D177" s="58" t="n"/>
      <c r="E177" s="59">
        <f>IF(N($AL177)&gt;0,INDEX(rIni_ADM,$AL177),"")</f>
        <v/>
      </c>
      <c r="F177" s="59">
        <f>IF(N($AL177)&gt;0,INDEX(rLim_ADM,$AL177),"")</f>
        <v/>
      </c>
      <c r="G177" s="59" t="n"/>
      <c r="H177" s="60" t="n"/>
      <c r="I177" s="60" t="n"/>
      <c r="J177" s="60" t="n"/>
      <c r="K177" s="60" t="n"/>
      <c r="L177" s="60" t="n"/>
      <c r="M177" s="61">
        <f>IF(NOT((COUNTA($B177:$D177)+COUNTA($G177:$L177)+COUNTA($Q177))&gt;0),"",IF(ISNUMBER($G177),1,IF(N($W177)&gt;0,AVERAGEIFS($X$5:$X$1000,$U$5:$U$1000,ROW(),$V$5:$V$1000,"Sub"),$X177)))</f>
        <v/>
      </c>
      <c r="N177" s="56">
        <f>IF($M177="","",IF($M177&gt;=1,"Completado",IF($M177&gt;0,"En curso","Pendiente")))</f>
        <v/>
      </c>
      <c r="O177" s="56">
        <f>IF(NOT((COUNTA($B177:$D177)+COUNTA($G177:$L177)+COUNTA($Q177))&gt;0),"",IF(ISNUMBER($G177),IF(AND(ISNUMBER($AN177),$G177&gt;$AN177),"Cumplida con "&amp;($G177-$AN177)&amp;IF($G177-$AN177=1," día"," días")&amp;" de retraso","Cumplida"),IF(N($M177)&gt;=1,"Cumplida",IF(NOT(ISNUMBER($AN177)),"Sin fecha límite",IF($AN177&lt;FechaRef,"Vencida hace "&amp;(FechaRef-$AN177)&amp;IF(FechaRef-$AN177=1," día"," días"),IF($AN177=FechaRef,"Vence hoy",IF($AN177-FechaRef&lt;=DiasAlerta,"Vence en "&amp;($AN177-FechaRef)&amp;IF($AN177-FechaRef=1," día"," días"),"En plazo")))))))</f>
        <v/>
      </c>
      <c r="P177" s="62" t="n"/>
      <c r="Q177" s="58" t="n"/>
      <c r="R177" s="63">
        <f>IF(NOT((COUNTA($B177:$D177)+COUNTA($G177:$L177)+COUNTA($Q177))&gt;0),"",IF((IF($C177="","Falta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",""))="","✔ OK","⚠ "&amp;LEFT(IF($C177="","Falta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",""),LEN(IF($C177="","Falta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",""))-3)))</f>
        <v/>
      </c>
      <c r="S177" s="64">
        <f>IF(NOT((COUNTA($B177:$D177)+COUNTA($G177:$L177)+COUNTA($Q177))&gt;0),"",IF(AND($V177="Sub",N($U177)&gt;0),IF(ISNUMBER(INDEX($AM$5:$AM$1000,$U177-4)),DATE(YEAR(INDEX($AM$5:$AM$1000,$U177-4)),MONTH(INDEX($AM$5:$AM$1000,$U177-4)),1),IF(ISNUMBER(INDEX($AN$5:$AN$1000,$U177-4)),DATE(YEAR(INDEX($AN$5:$AN$1000,$U177-4)),MONTH(INDEX($AN$5:$AN$1000,$U177-4)),1),MesCiclo)),IF(ISNUMBER($AM177),DATE(YEAR($AM177),MONTH($AM177),1),IF(ISNUMBER($AN177),DATE(YEAR($AN177),MONTH($AN177),1),MesCiclo))))</f>
        <v/>
      </c>
      <c r="T177" s="62">
        <f>IF(OR($S177="",$S177&lt;&gt;MesCiclo),"",COUNTIF($S$5:$S177,MesCiclo))</f>
        <v/>
      </c>
      <c r="U177" s="62">
        <f>IF($V177="","",IF($V177="Macro",ROW(),IFERROR(LOOKUP(2,1/($V$5:$V177="Macro"),ROW($V$5:$V177)),0)))</f>
        <v/>
      </c>
      <c r="V177" s="62">
        <f>IF(NOT((COUNTA($B177:$D177)+COUNTA($G177:$L177)+COUNTA($Q177))&gt;0),"",IF($B177="Subactividad","Sub","Macro"))</f>
        <v/>
      </c>
      <c r="W177" s="62">
        <f>IF($V177="Macro",COUNTIFS($U$5:$U$1000,ROW(),$V$5:$V$1000,"Sub"),"")</f>
        <v/>
      </c>
      <c r="X177" s="62">
        <f>IF($V177="","",IF(ISNUMBER($G177),1,IFERROR(LOOKUP(2,1/($I177:$L177&lt;&gt;""),$I177:$L177),0)))</f>
        <v/>
      </c>
      <c r="Y177" s="62">
        <f>IF($V177="","",IF(AND(ISNUMBER($G177),$G177&lt;=IF($S177=MesCiclo,InicioCiclo,$S177+MOD(2-WEEKDAY($S177),7))+6),1,IF(ISNUMBER($I177),$I177,0)))</f>
        <v/>
      </c>
      <c r="Z177" s="62">
        <f>IF($V177="","",IF(AND(ISNUMBER($G177),$G177&lt;=IF($S177=MesCiclo,InicioCiclo,$S177+MOD(2-WEEKDAY($S177),7))+13),1,IF(ISNUMBER($J177),$J177,$Y177)))</f>
        <v/>
      </c>
      <c r="AA177" s="62">
        <f>IF($V177="","",IF(AND(ISNUMBER($G177),$G177&lt;=IF($S177=MesCiclo,InicioCiclo,$S177+MOD(2-WEEKDAY($S177),7))+20),1,IF(ISNUMBER($K177),$K177,$Z177)))</f>
        <v/>
      </c>
      <c r="AB177" s="62">
        <f>IF($V177="","",IF(AND(ISNUMBER($G177),$G177&lt;=IF($S177=MesCiclo,InicioCiclo,$S177+MOD(2-WEEKDAY($S177),7))+27),1,IF(ISNUMBER($L177),$L177,$AA177)))</f>
        <v/>
      </c>
      <c r="AC177" s="62">
        <f>IF($V177="","",IF(AND(ISNUMBER($G177),$G177&lt;=IF($S177=MesCiclo,InicioCiclo,$S177+MOD(2-WEEKDAY($S177),7))+6),1,IF(N($W177)&gt;0,AVERAGEIFS($Y$5:$Y$1000,$U$5:$U$1000,ROW(),$V$5:$V$1000,"Sub"),$Y177)))</f>
        <v/>
      </c>
      <c r="AD177" s="62">
        <f>IF($V177="","",IF(AND(ISNUMBER($G177),$G177&lt;=IF($S177=MesCiclo,InicioCiclo,$S177+MOD(2-WEEKDAY($S177),7))+13),1,IF(N($W177)&gt;0,AVERAGEIFS($Z$5:$Z$1000,$U$5:$U$1000,ROW(),$V$5:$V$1000,"Sub"),$Z177)))</f>
        <v/>
      </c>
      <c r="AE177" s="62">
        <f>IF($V177="","",IF(AND(ISNUMBER($G177),$G177&lt;=IF($S177=MesCiclo,InicioCiclo,$S177+MOD(2-WEEKDAY($S177),7))+20),1,IF(N($W177)&gt;0,AVERAGEIFS($AA$5:$AA$1000,$U$5:$U$1000,ROW(),$V$5:$V$1000,"Sub"),$AA177)))</f>
        <v/>
      </c>
      <c r="AF177" s="62">
        <f>IF($V177="","",IF(AND(ISNUMBER($G177),$G177&lt;=IF($S177=MesCiclo,InicioCiclo,$S177+MOD(2-WEEKDAY($S177),7))+27),1,IF(N($W177)&gt;0,AVERAGEIFS($AB$5:$AB$1000,$U$5:$U$1000,ROW(),$V$5:$V$1000,"Sub"),$AB177)))</f>
        <v/>
      </c>
      <c r="AG177" s="62">
        <f>IF($V177&lt;&gt;"Macro","",IF(COUNTIFS($S$5:$S$1000,$S177,$V$5:$V$1000,"Macro",$H$5:$H$1000,"&gt;0")=0,1/COUNTIFS($S$5:$S$1000,$S177,$V$5:$V$1000,"Macro"),IF(AND(ISNUMBER($H177),N($H177)&gt;0),$H177,SUMIFS($H$5:$H$1000,$S$5:$S$1000,$S177,$V$5:$V$1000,"Macro")/COUNTIFS($S$5:$S$1000,$S177,$V$5:$V$1000,"Macro",$H$5:$H$1000,"&gt;0"))/(COUNTIFS($S$5:$S$1000,$S177,$V$5:$V$1000,"Macro")*SUMIFS($H$5:$H$1000,$S$5:$S$1000,$S177,$V$5:$V$1000,"Macro")/COUNTIFS($S$5:$S$1000,$S177,$V$5:$V$1000,"Macro",$H$5:$H$1000,"&gt;0"))))</f>
        <v/>
      </c>
      <c r="AH177" s="62" t="n"/>
      <c r="AI177" s="62" t="n"/>
      <c r="AJ177" s="62" t="n"/>
      <c r="AK177" s="62" t="n"/>
      <c r="AL177" s="62">
        <f>IF(LEFT($C177,11)="[Jefatura] ",IFERROR(MATCH("Riesgo Normativo|"&amp;MID($C177,12,500),rDname_ADM,0),0),"")</f>
        <v/>
      </c>
      <c r="AM177" s="62">
        <f>IF(N($AL177)&gt;0,INDEX(rIni_ADM,$AL177),IF(ISNUMBER($E177),$E177,""))</f>
        <v/>
      </c>
      <c r="AN177" s="62">
        <f>IF(N($AL177)&gt;0,INDEX(rLim_ADM,$AL177),IF(ISNUMBER($F177),$F177,""))</f>
        <v/>
      </c>
    </row>
    <row r="178">
      <c r="A178" s="56">
        <f>IF(NOT((COUNTA($B178:$D178)+COUNTA($G178:$L178)+COUNTA($Q178))&gt;0),"",IF($V178="Macro",COUNTIFS($V$5:$V178,"Macro",$S$5:$S178,$S178),IF(N($U178)=0,"?",COUNTIFS(INDEX($V$5:$V$1000,1):INDEX($V$5:$V$1000,$U178-4),"Macro",INDEX($S$5:$S$1000,1):INDEX($S$5:$S$1000,$U178-4),INDEX($S$5:$S$1000,$U178-4))&amp;"."&amp;COUNTIFS($U$5:$U178,$U178,$V$5:$V178,"Sub"))))</f>
        <v/>
      </c>
      <c r="B178" s="57" t="n"/>
      <c r="C178" s="58" t="n"/>
      <c r="D178" s="58" t="n"/>
      <c r="E178" s="59">
        <f>IF(N($AL178)&gt;0,INDEX(rIni_ADM,$AL178),"")</f>
        <v/>
      </c>
      <c r="F178" s="59">
        <f>IF(N($AL178)&gt;0,INDEX(rLim_ADM,$AL178),"")</f>
        <v/>
      </c>
      <c r="G178" s="59" t="n"/>
      <c r="H178" s="60" t="n"/>
      <c r="I178" s="60" t="n"/>
      <c r="J178" s="60" t="n"/>
      <c r="K178" s="60" t="n"/>
      <c r="L178" s="60" t="n"/>
      <c r="M178" s="61">
        <f>IF(NOT((COUNTA($B178:$D178)+COUNTA($G178:$L178)+COUNTA($Q178))&gt;0),"",IF(ISNUMBER($G178),1,IF(N($W178)&gt;0,AVERAGEIFS($X$5:$X$1000,$U$5:$U$1000,ROW(),$V$5:$V$1000,"Sub"),$X178)))</f>
        <v/>
      </c>
      <c r="N178" s="56">
        <f>IF($M178="","",IF($M178&gt;=1,"Completado",IF($M178&gt;0,"En curso","Pendiente")))</f>
        <v/>
      </c>
      <c r="O178" s="56">
        <f>IF(NOT((COUNTA($B178:$D178)+COUNTA($G178:$L178)+COUNTA($Q178))&gt;0),"",IF(ISNUMBER($G178),IF(AND(ISNUMBER($AN178),$G178&gt;$AN178),"Cumplida con "&amp;($G178-$AN178)&amp;IF($G178-$AN178=1," día"," días")&amp;" de retraso","Cumplida"),IF(N($M178)&gt;=1,"Cumplida",IF(NOT(ISNUMBER($AN178)),"Sin fecha límite",IF($AN178&lt;FechaRef,"Vencida hace "&amp;(FechaRef-$AN178)&amp;IF(FechaRef-$AN178=1," día"," días"),IF($AN178=FechaRef,"Vence hoy",IF($AN178-FechaRef&lt;=DiasAlerta,"Vence en "&amp;($AN178-FechaRef)&amp;IF($AN178-FechaRef=1," día"," días"),"En plazo")))))))</f>
        <v/>
      </c>
      <c r="P178" s="62" t="n"/>
      <c r="Q178" s="58" t="n"/>
      <c r="R178" s="63">
        <f>IF(NOT((COUNTA($B178:$D178)+COUNTA($G178:$L178)+COUNTA($Q178))&gt;0),"",IF((IF($C178="","Falta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",""))="","✔ OK","⚠ "&amp;LEFT(IF($C178="","Falta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",""),LEN(IF($C178="","Falta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",""))-3)))</f>
        <v/>
      </c>
      <c r="S178" s="64">
        <f>IF(NOT((COUNTA($B178:$D178)+COUNTA($G178:$L178)+COUNTA($Q178))&gt;0),"",IF(AND($V178="Sub",N($U178)&gt;0),IF(ISNUMBER(INDEX($AM$5:$AM$1000,$U178-4)),DATE(YEAR(INDEX($AM$5:$AM$1000,$U178-4)),MONTH(INDEX($AM$5:$AM$1000,$U178-4)),1),IF(ISNUMBER(INDEX($AN$5:$AN$1000,$U178-4)),DATE(YEAR(INDEX($AN$5:$AN$1000,$U178-4)),MONTH(INDEX($AN$5:$AN$1000,$U178-4)),1),MesCiclo)),IF(ISNUMBER($AM178),DATE(YEAR($AM178),MONTH($AM178),1),IF(ISNUMBER($AN178),DATE(YEAR($AN178),MONTH($AN178),1),MesCiclo))))</f>
        <v/>
      </c>
      <c r="T178" s="62">
        <f>IF(OR($S178="",$S178&lt;&gt;MesCiclo),"",COUNTIF($S$5:$S178,MesCiclo))</f>
        <v/>
      </c>
      <c r="U178" s="62">
        <f>IF($V178="","",IF($V178="Macro",ROW(),IFERROR(LOOKUP(2,1/($V$5:$V178="Macro"),ROW($V$5:$V178)),0)))</f>
        <v/>
      </c>
      <c r="V178" s="62">
        <f>IF(NOT((COUNTA($B178:$D178)+COUNTA($G178:$L178)+COUNTA($Q178))&gt;0),"",IF($B178="Subactividad","Sub","Macro"))</f>
        <v/>
      </c>
      <c r="W178" s="62">
        <f>IF($V178="Macro",COUNTIFS($U$5:$U$1000,ROW(),$V$5:$V$1000,"Sub"),"")</f>
        <v/>
      </c>
      <c r="X178" s="62">
        <f>IF($V178="","",IF(ISNUMBER($G178),1,IFERROR(LOOKUP(2,1/($I178:$L178&lt;&gt;""),$I178:$L178),0)))</f>
        <v/>
      </c>
      <c r="Y178" s="62">
        <f>IF($V178="","",IF(AND(ISNUMBER($G178),$G178&lt;=IF($S178=MesCiclo,InicioCiclo,$S178+MOD(2-WEEKDAY($S178),7))+6),1,IF(ISNUMBER($I178),$I178,0)))</f>
        <v/>
      </c>
      <c r="Z178" s="62">
        <f>IF($V178="","",IF(AND(ISNUMBER($G178),$G178&lt;=IF($S178=MesCiclo,InicioCiclo,$S178+MOD(2-WEEKDAY($S178),7))+13),1,IF(ISNUMBER($J178),$J178,$Y178)))</f>
        <v/>
      </c>
      <c r="AA178" s="62">
        <f>IF($V178="","",IF(AND(ISNUMBER($G178),$G178&lt;=IF($S178=MesCiclo,InicioCiclo,$S178+MOD(2-WEEKDAY($S178),7))+20),1,IF(ISNUMBER($K178),$K178,$Z178)))</f>
        <v/>
      </c>
      <c r="AB178" s="62">
        <f>IF($V178="","",IF(AND(ISNUMBER($G178),$G178&lt;=IF($S178=MesCiclo,InicioCiclo,$S178+MOD(2-WEEKDAY($S178),7))+27),1,IF(ISNUMBER($L178),$L178,$AA178)))</f>
        <v/>
      </c>
      <c r="AC178" s="62">
        <f>IF($V178="","",IF(AND(ISNUMBER($G178),$G178&lt;=IF($S178=MesCiclo,InicioCiclo,$S178+MOD(2-WEEKDAY($S178),7))+6),1,IF(N($W178)&gt;0,AVERAGEIFS($Y$5:$Y$1000,$U$5:$U$1000,ROW(),$V$5:$V$1000,"Sub"),$Y178)))</f>
        <v/>
      </c>
      <c r="AD178" s="62">
        <f>IF($V178="","",IF(AND(ISNUMBER($G178),$G178&lt;=IF($S178=MesCiclo,InicioCiclo,$S178+MOD(2-WEEKDAY($S178),7))+13),1,IF(N($W178)&gt;0,AVERAGEIFS($Z$5:$Z$1000,$U$5:$U$1000,ROW(),$V$5:$V$1000,"Sub"),$Z178)))</f>
        <v/>
      </c>
      <c r="AE178" s="62">
        <f>IF($V178="","",IF(AND(ISNUMBER($G178),$G178&lt;=IF($S178=MesCiclo,InicioCiclo,$S178+MOD(2-WEEKDAY($S178),7))+20),1,IF(N($W178)&gt;0,AVERAGEIFS($AA$5:$AA$1000,$U$5:$U$1000,ROW(),$V$5:$V$1000,"Sub"),$AA178)))</f>
        <v/>
      </c>
      <c r="AF178" s="62">
        <f>IF($V178="","",IF(AND(ISNUMBER($G178),$G178&lt;=IF($S178=MesCiclo,InicioCiclo,$S178+MOD(2-WEEKDAY($S178),7))+27),1,IF(N($W178)&gt;0,AVERAGEIFS($AB$5:$AB$1000,$U$5:$U$1000,ROW(),$V$5:$V$1000,"Sub"),$AB178)))</f>
        <v/>
      </c>
      <c r="AG178" s="62">
        <f>IF($V178&lt;&gt;"Macro","",IF(COUNTIFS($S$5:$S$1000,$S178,$V$5:$V$1000,"Macro",$H$5:$H$1000,"&gt;0")=0,1/COUNTIFS($S$5:$S$1000,$S178,$V$5:$V$1000,"Macro"),IF(AND(ISNUMBER($H178),N($H178)&gt;0),$H178,SUMIFS($H$5:$H$1000,$S$5:$S$1000,$S178,$V$5:$V$1000,"Macro")/COUNTIFS($S$5:$S$1000,$S178,$V$5:$V$1000,"Macro",$H$5:$H$1000,"&gt;0"))/(COUNTIFS($S$5:$S$1000,$S178,$V$5:$V$1000,"Macro")*SUMIFS($H$5:$H$1000,$S$5:$S$1000,$S178,$V$5:$V$1000,"Macro")/COUNTIFS($S$5:$S$1000,$S178,$V$5:$V$1000,"Macro",$H$5:$H$1000,"&gt;0"))))</f>
        <v/>
      </c>
      <c r="AH178" s="62" t="n"/>
      <c r="AI178" s="62" t="n"/>
      <c r="AJ178" s="62" t="n"/>
      <c r="AK178" s="62" t="n"/>
      <c r="AL178" s="62">
        <f>IF(LEFT($C178,11)="[Jefatura] ",IFERROR(MATCH("Riesgo Normativo|"&amp;MID($C178,12,500),rDname_ADM,0),0),"")</f>
        <v/>
      </c>
      <c r="AM178" s="62">
        <f>IF(N($AL178)&gt;0,INDEX(rIni_ADM,$AL178),IF(ISNUMBER($E178),$E178,""))</f>
        <v/>
      </c>
      <c r="AN178" s="62">
        <f>IF(N($AL178)&gt;0,INDEX(rLim_ADM,$AL178),IF(ISNUMBER($F178),$F178,""))</f>
        <v/>
      </c>
    </row>
    <row r="179">
      <c r="A179" s="56">
        <f>IF(NOT((COUNTA($B179:$D179)+COUNTA($G179:$L179)+COUNTA($Q179))&gt;0),"",IF($V179="Macro",COUNTIFS($V$5:$V179,"Macro",$S$5:$S179,$S179),IF(N($U179)=0,"?",COUNTIFS(INDEX($V$5:$V$1000,1):INDEX($V$5:$V$1000,$U179-4),"Macro",INDEX($S$5:$S$1000,1):INDEX($S$5:$S$1000,$U179-4),INDEX($S$5:$S$1000,$U179-4))&amp;"."&amp;COUNTIFS($U$5:$U179,$U179,$V$5:$V179,"Sub"))))</f>
        <v/>
      </c>
      <c r="B179" s="57" t="n"/>
      <c r="C179" s="58" t="n"/>
      <c r="D179" s="58" t="n"/>
      <c r="E179" s="59">
        <f>IF(N($AL179)&gt;0,INDEX(rIni_ADM,$AL179),"")</f>
        <v/>
      </c>
      <c r="F179" s="59">
        <f>IF(N($AL179)&gt;0,INDEX(rLim_ADM,$AL179),"")</f>
        <v/>
      </c>
      <c r="G179" s="59" t="n"/>
      <c r="H179" s="60" t="n"/>
      <c r="I179" s="60" t="n"/>
      <c r="J179" s="60" t="n"/>
      <c r="K179" s="60" t="n"/>
      <c r="L179" s="60" t="n"/>
      <c r="M179" s="61">
        <f>IF(NOT((COUNTA($B179:$D179)+COUNTA($G179:$L179)+COUNTA($Q179))&gt;0),"",IF(ISNUMBER($G179),1,IF(N($W179)&gt;0,AVERAGEIFS($X$5:$X$1000,$U$5:$U$1000,ROW(),$V$5:$V$1000,"Sub"),$X179)))</f>
        <v/>
      </c>
      <c r="N179" s="56">
        <f>IF($M179="","",IF($M179&gt;=1,"Completado",IF($M179&gt;0,"En curso","Pendiente")))</f>
        <v/>
      </c>
      <c r="O179" s="56">
        <f>IF(NOT((COUNTA($B179:$D179)+COUNTA($G179:$L179)+COUNTA($Q179))&gt;0),"",IF(ISNUMBER($G179),IF(AND(ISNUMBER($AN179),$G179&gt;$AN179),"Cumplida con "&amp;($G179-$AN179)&amp;IF($G179-$AN179=1," día"," días")&amp;" de retraso","Cumplida"),IF(N($M179)&gt;=1,"Cumplida",IF(NOT(ISNUMBER($AN179)),"Sin fecha límite",IF($AN179&lt;FechaRef,"Vencida hace "&amp;(FechaRef-$AN179)&amp;IF(FechaRef-$AN179=1," día"," días"),IF($AN179=FechaRef,"Vence hoy",IF($AN179-FechaRef&lt;=DiasAlerta,"Vence en "&amp;($AN179-FechaRef)&amp;IF($AN179-FechaRef=1," día"," días"),"En plazo")))))))</f>
        <v/>
      </c>
      <c r="P179" s="62" t="n"/>
      <c r="Q179" s="58" t="n"/>
      <c r="R179" s="63">
        <f>IF(NOT((COUNTA($B179:$D179)+COUNTA($G179:$L179)+COUNTA($Q179))&gt;0),"",IF((IF($C179="","Falta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",""))="","✔ OK","⚠ "&amp;LEFT(IF($C179="","Falta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",""),LEN(IF($C179="","Falta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",""))-3)))</f>
        <v/>
      </c>
      <c r="S179" s="64">
        <f>IF(NOT((COUNTA($B179:$D179)+COUNTA($G179:$L179)+COUNTA($Q179))&gt;0),"",IF(AND($V179="Sub",N($U179)&gt;0),IF(ISNUMBER(INDEX($AM$5:$AM$1000,$U179-4)),DATE(YEAR(INDEX($AM$5:$AM$1000,$U179-4)),MONTH(INDEX($AM$5:$AM$1000,$U179-4)),1),IF(ISNUMBER(INDEX($AN$5:$AN$1000,$U179-4)),DATE(YEAR(INDEX($AN$5:$AN$1000,$U179-4)),MONTH(INDEX($AN$5:$AN$1000,$U179-4)),1),MesCiclo)),IF(ISNUMBER($AM179),DATE(YEAR($AM179),MONTH($AM179),1),IF(ISNUMBER($AN179),DATE(YEAR($AN179),MONTH($AN179),1),MesCiclo))))</f>
        <v/>
      </c>
      <c r="T179" s="62">
        <f>IF(OR($S179="",$S179&lt;&gt;MesCiclo),"",COUNTIF($S$5:$S179,MesCiclo))</f>
        <v/>
      </c>
      <c r="U179" s="62">
        <f>IF($V179="","",IF($V179="Macro",ROW(),IFERROR(LOOKUP(2,1/($V$5:$V179="Macro"),ROW($V$5:$V179)),0)))</f>
        <v/>
      </c>
      <c r="V179" s="62">
        <f>IF(NOT((COUNTA($B179:$D179)+COUNTA($G179:$L179)+COUNTA($Q179))&gt;0),"",IF($B179="Subactividad","Sub","Macro"))</f>
        <v/>
      </c>
      <c r="W179" s="62">
        <f>IF($V179="Macro",COUNTIFS($U$5:$U$1000,ROW(),$V$5:$V$1000,"Sub"),"")</f>
        <v/>
      </c>
      <c r="X179" s="62">
        <f>IF($V179="","",IF(ISNUMBER($G179),1,IFERROR(LOOKUP(2,1/($I179:$L179&lt;&gt;""),$I179:$L179),0)))</f>
        <v/>
      </c>
      <c r="Y179" s="62">
        <f>IF($V179="","",IF(AND(ISNUMBER($G179),$G179&lt;=IF($S179=MesCiclo,InicioCiclo,$S179+MOD(2-WEEKDAY($S179),7))+6),1,IF(ISNUMBER($I179),$I179,0)))</f>
        <v/>
      </c>
      <c r="Z179" s="62">
        <f>IF($V179="","",IF(AND(ISNUMBER($G179),$G179&lt;=IF($S179=MesCiclo,InicioCiclo,$S179+MOD(2-WEEKDAY($S179),7))+13),1,IF(ISNUMBER($J179),$J179,$Y179)))</f>
        <v/>
      </c>
      <c r="AA179" s="62">
        <f>IF($V179="","",IF(AND(ISNUMBER($G179),$G179&lt;=IF($S179=MesCiclo,InicioCiclo,$S179+MOD(2-WEEKDAY($S179),7))+20),1,IF(ISNUMBER($K179),$K179,$Z179)))</f>
        <v/>
      </c>
      <c r="AB179" s="62">
        <f>IF($V179="","",IF(AND(ISNUMBER($G179),$G179&lt;=IF($S179=MesCiclo,InicioCiclo,$S179+MOD(2-WEEKDAY($S179),7))+27),1,IF(ISNUMBER($L179),$L179,$AA179)))</f>
        <v/>
      </c>
      <c r="AC179" s="62">
        <f>IF($V179="","",IF(AND(ISNUMBER($G179),$G179&lt;=IF($S179=MesCiclo,InicioCiclo,$S179+MOD(2-WEEKDAY($S179),7))+6),1,IF(N($W179)&gt;0,AVERAGEIFS($Y$5:$Y$1000,$U$5:$U$1000,ROW(),$V$5:$V$1000,"Sub"),$Y179)))</f>
        <v/>
      </c>
      <c r="AD179" s="62">
        <f>IF($V179="","",IF(AND(ISNUMBER($G179),$G179&lt;=IF($S179=MesCiclo,InicioCiclo,$S179+MOD(2-WEEKDAY($S179),7))+13),1,IF(N($W179)&gt;0,AVERAGEIFS($Z$5:$Z$1000,$U$5:$U$1000,ROW(),$V$5:$V$1000,"Sub"),$Z179)))</f>
        <v/>
      </c>
      <c r="AE179" s="62">
        <f>IF($V179="","",IF(AND(ISNUMBER($G179),$G179&lt;=IF($S179=MesCiclo,InicioCiclo,$S179+MOD(2-WEEKDAY($S179),7))+20),1,IF(N($W179)&gt;0,AVERAGEIFS($AA$5:$AA$1000,$U$5:$U$1000,ROW(),$V$5:$V$1000,"Sub"),$AA179)))</f>
        <v/>
      </c>
      <c r="AF179" s="62">
        <f>IF($V179="","",IF(AND(ISNUMBER($G179),$G179&lt;=IF($S179=MesCiclo,InicioCiclo,$S179+MOD(2-WEEKDAY($S179),7))+27),1,IF(N($W179)&gt;0,AVERAGEIFS($AB$5:$AB$1000,$U$5:$U$1000,ROW(),$V$5:$V$1000,"Sub"),$AB179)))</f>
        <v/>
      </c>
      <c r="AG179" s="62">
        <f>IF($V179&lt;&gt;"Macro","",IF(COUNTIFS($S$5:$S$1000,$S179,$V$5:$V$1000,"Macro",$H$5:$H$1000,"&gt;0")=0,1/COUNTIFS($S$5:$S$1000,$S179,$V$5:$V$1000,"Macro"),IF(AND(ISNUMBER($H179),N($H179)&gt;0),$H179,SUMIFS($H$5:$H$1000,$S$5:$S$1000,$S179,$V$5:$V$1000,"Macro")/COUNTIFS($S$5:$S$1000,$S179,$V$5:$V$1000,"Macro",$H$5:$H$1000,"&gt;0"))/(COUNTIFS($S$5:$S$1000,$S179,$V$5:$V$1000,"Macro")*SUMIFS($H$5:$H$1000,$S$5:$S$1000,$S179,$V$5:$V$1000,"Macro")/COUNTIFS($S$5:$S$1000,$S179,$V$5:$V$1000,"Macro",$H$5:$H$1000,"&gt;0"))))</f>
        <v/>
      </c>
      <c r="AH179" s="62" t="n"/>
      <c r="AI179" s="62" t="n"/>
      <c r="AJ179" s="62" t="n"/>
      <c r="AK179" s="62" t="n"/>
      <c r="AL179" s="62">
        <f>IF(LEFT($C179,11)="[Jefatura] ",IFERROR(MATCH("Riesgo Normativo|"&amp;MID($C179,12,500),rDname_ADM,0),0),"")</f>
        <v/>
      </c>
      <c r="AM179" s="62">
        <f>IF(N($AL179)&gt;0,INDEX(rIni_ADM,$AL179),IF(ISNUMBER($E179),$E179,""))</f>
        <v/>
      </c>
      <c r="AN179" s="62">
        <f>IF(N($AL179)&gt;0,INDEX(rLim_ADM,$AL179),IF(ISNUMBER($F179),$F179,""))</f>
        <v/>
      </c>
    </row>
    <row r="180">
      <c r="A180" s="56">
        <f>IF(NOT((COUNTA($B180:$D180)+COUNTA($G180:$L180)+COUNTA($Q180))&gt;0),"",IF($V180="Macro",COUNTIFS($V$5:$V180,"Macro",$S$5:$S180,$S180),IF(N($U180)=0,"?",COUNTIFS(INDEX($V$5:$V$1000,1):INDEX($V$5:$V$1000,$U180-4),"Macro",INDEX($S$5:$S$1000,1):INDEX($S$5:$S$1000,$U180-4),INDEX($S$5:$S$1000,$U180-4))&amp;"."&amp;COUNTIFS($U$5:$U180,$U180,$V$5:$V180,"Sub"))))</f>
        <v/>
      </c>
      <c r="B180" s="57" t="n"/>
      <c r="C180" s="58" t="n"/>
      <c r="D180" s="58" t="n"/>
      <c r="E180" s="59">
        <f>IF(N($AL180)&gt;0,INDEX(rIni_ADM,$AL180),"")</f>
        <v/>
      </c>
      <c r="F180" s="59">
        <f>IF(N($AL180)&gt;0,INDEX(rLim_ADM,$AL180),"")</f>
        <v/>
      </c>
      <c r="G180" s="59" t="n"/>
      <c r="H180" s="60" t="n"/>
      <c r="I180" s="60" t="n"/>
      <c r="J180" s="60" t="n"/>
      <c r="K180" s="60" t="n"/>
      <c r="L180" s="60" t="n"/>
      <c r="M180" s="61">
        <f>IF(NOT((COUNTA($B180:$D180)+COUNTA($G180:$L180)+COUNTA($Q180))&gt;0),"",IF(ISNUMBER($G180),1,IF(N($W180)&gt;0,AVERAGEIFS($X$5:$X$1000,$U$5:$U$1000,ROW(),$V$5:$V$1000,"Sub"),$X180)))</f>
        <v/>
      </c>
      <c r="N180" s="56">
        <f>IF($M180="","",IF($M180&gt;=1,"Completado",IF($M180&gt;0,"En curso","Pendiente")))</f>
        <v/>
      </c>
      <c r="O180" s="56">
        <f>IF(NOT((COUNTA($B180:$D180)+COUNTA($G180:$L180)+COUNTA($Q180))&gt;0),"",IF(ISNUMBER($G180),IF(AND(ISNUMBER($AN180),$G180&gt;$AN180),"Cumplida con "&amp;($G180-$AN180)&amp;IF($G180-$AN180=1," día"," días")&amp;" de retraso","Cumplida"),IF(N($M180)&gt;=1,"Cumplida",IF(NOT(ISNUMBER($AN180)),"Sin fecha límite",IF($AN180&lt;FechaRef,"Vencida hace "&amp;(FechaRef-$AN180)&amp;IF(FechaRef-$AN180=1," día"," días"),IF($AN180=FechaRef,"Vence hoy",IF($AN180-FechaRef&lt;=DiasAlerta,"Vence en "&amp;($AN180-FechaRef)&amp;IF($AN180-FechaRef=1," día"," días"),"En plazo")))))))</f>
        <v/>
      </c>
      <c r="P180" s="62" t="n"/>
      <c r="Q180" s="58" t="n"/>
      <c r="R180" s="63">
        <f>IF(NOT((COUNTA($B180:$D180)+COUNTA($G180:$L180)+COUNTA($Q180))&gt;0),"",IF((IF($C180="","Falta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",""))="","✔ OK","⚠ "&amp;LEFT(IF($C180="","Falta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",""),LEN(IF($C180="","Falta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",""))-3)))</f>
        <v/>
      </c>
      <c r="S180" s="64">
        <f>IF(NOT((COUNTA($B180:$D180)+COUNTA($G180:$L180)+COUNTA($Q180))&gt;0),"",IF(AND($V180="Sub",N($U180)&gt;0),IF(ISNUMBER(INDEX($AM$5:$AM$1000,$U180-4)),DATE(YEAR(INDEX($AM$5:$AM$1000,$U180-4)),MONTH(INDEX($AM$5:$AM$1000,$U180-4)),1),IF(ISNUMBER(INDEX($AN$5:$AN$1000,$U180-4)),DATE(YEAR(INDEX($AN$5:$AN$1000,$U180-4)),MONTH(INDEX($AN$5:$AN$1000,$U180-4)),1),MesCiclo)),IF(ISNUMBER($AM180),DATE(YEAR($AM180),MONTH($AM180),1),IF(ISNUMBER($AN180),DATE(YEAR($AN180),MONTH($AN180),1),MesCiclo))))</f>
        <v/>
      </c>
      <c r="T180" s="62">
        <f>IF(OR($S180="",$S180&lt;&gt;MesCiclo),"",COUNTIF($S$5:$S180,MesCiclo))</f>
        <v/>
      </c>
      <c r="U180" s="62">
        <f>IF($V180="","",IF($V180="Macro",ROW(),IFERROR(LOOKUP(2,1/($V$5:$V180="Macro"),ROW($V$5:$V180)),0)))</f>
        <v/>
      </c>
      <c r="V180" s="62">
        <f>IF(NOT((COUNTA($B180:$D180)+COUNTA($G180:$L180)+COUNTA($Q180))&gt;0),"",IF($B180="Subactividad","Sub","Macro"))</f>
        <v/>
      </c>
      <c r="W180" s="62">
        <f>IF($V180="Macro",COUNTIFS($U$5:$U$1000,ROW(),$V$5:$V$1000,"Sub"),"")</f>
        <v/>
      </c>
      <c r="X180" s="62">
        <f>IF($V180="","",IF(ISNUMBER($G180),1,IFERROR(LOOKUP(2,1/($I180:$L180&lt;&gt;""),$I180:$L180),0)))</f>
        <v/>
      </c>
      <c r="Y180" s="62">
        <f>IF($V180="","",IF(AND(ISNUMBER($G180),$G180&lt;=IF($S180=MesCiclo,InicioCiclo,$S180+MOD(2-WEEKDAY($S180),7))+6),1,IF(ISNUMBER($I180),$I180,0)))</f>
        <v/>
      </c>
      <c r="Z180" s="62">
        <f>IF($V180="","",IF(AND(ISNUMBER($G180),$G180&lt;=IF($S180=MesCiclo,InicioCiclo,$S180+MOD(2-WEEKDAY($S180),7))+13),1,IF(ISNUMBER($J180),$J180,$Y180)))</f>
        <v/>
      </c>
      <c r="AA180" s="62">
        <f>IF($V180="","",IF(AND(ISNUMBER($G180),$G180&lt;=IF($S180=MesCiclo,InicioCiclo,$S180+MOD(2-WEEKDAY($S180),7))+20),1,IF(ISNUMBER($K180),$K180,$Z180)))</f>
        <v/>
      </c>
      <c r="AB180" s="62">
        <f>IF($V180="","",IF(AND(ISNUMBER($G180),$G180&lt;=IF($S180=MesCiclo,InicioCiclo,$S180+MOD(2-WEEKDAY($S180),7))+27),1,IF(ISNUMBER($L180),$L180,$AA180)))</f>
        <v/>
      </c>
      <c r="AC180" s="62">
        <f>IF($V180="","",IF(AND(ISNUMBER($G180),$G180&lt;=IF($S180=MesCiclo,InicioCiclo,$S180+MOD(2-WEEKDAY($S180),7))+6),1,IF(N($W180)&gt;0,AVERAGEIFS($Y$5:$Y$1000,$U$5:$U$1000,ROW(),$V$5:$V$1000,"Sub"),$Y180)))</f>
        <v/>
      </c>
      <c r="AD180" s="62">
        <f>IF($V180="","",IF(AND(ISNUMBER($G180),$G180&lt;=IF($S180=MesCiclo,InicioCiclo,$S180+MOD(2-WEEKDAY($S180),7))+13),1,IF(N($W180)&gt;0,AVERAGEIFS($Z$5:$Z$1000,$U$5:$U$1000,ROW(),$V$5:$V$1000,"Sub"),$Z180)))</f>
        <v/>
      </c>
      <c r="AE180" s="62">
        <f>IF($V180="","",IF(AND(ISNUMBER($G180),$G180&lt;=IF($S180=MesCiclo,InicioCiclo,$S180+MOD(2-WEEKDAY($S180),7))+20),1,IF(N($W180)&gt;0,AVERAGEIFS($AA$5:$AA$1000,$U$5:$U$1000,ROW(),$V$5:$V$1000,"Sub"),$AA180)))</f>
        <v/>
      </c>
      <c r="AF180" s="62">
        <f>IF($V180="","",IF(AND(ISNUMBER($G180),$G180&lt;=IF($S180=MesCiclo,InicioCiclo,$S180+MOD(2-WEEKDAY($S180),7))+27),1,IF(N($W180)&gt;0,AVERAGEIFS($AB$5:$AB$1000,$U$5:$U$1000,ROW(),$V$5:$V$1000,"Sub"),$AB180)))</f>
        <v/>
      </c>
      <c r="AG180" s="62">
        <f>IF($V180&lt;&gt;"Macro","",IF(COUNTIFS($S$5:$S$1000,$S180,$V$5:$V$1000,"Macro",$H$5:$H$1000,"&gt;0")=0,1/COUNTIFS($S$5:$S$1000,$S180,$V$5:$V$1000,"Macro"),IF(AND(ISNUMBER($H180),N($H180)&gt;0),$H180,SUMIFS($H$5:$H$1000,$S$5:$S$1000,$S180,$V$5:$V$1000,"Macro")/COUNTIFS($S$5:$S$1000,$S180,$V$5:$V$1000,"Macro",$H$5:$H$1000,"&gt;0"))/(COUNTIFS($S$5:$S$1000,$S180,$V$5:$V$1000,"Macro")*SUMIFS($H$5:$H$1000,$S$5:$S$1000,$S180,$V$5:$V$1000,"Macro")/COUNTIFS($S$5:$S$1000,$S180,$V$5:$V$1000,"Macro",$H$5:$H$1000,"&gt;0"))))</f>
        <v/>
      </c>
      <c r="AH180" s="62" t="n"/>
      <c r="AI180" s="62" t="n"/>
      <c r="AJ180" s="62" t="n"/>
      <c r="AK180" s="62" t="n"/>
      <c r="AL180" s="62">
        <f>IF(LEFT($C180,11)="[Jefatura] ",IFERROR(MATCH("Riesgo Normativo|"&amp;MID($C180,12,500),rDname_ADM,0),0),"")</f>
        <v/>
      </c>
      <c r="AM180" s="62">
        <f>IF(N($AL180)&gt;0,INDEX(rIni_ADM,$AL180),IF(ISNUMBER($E180),$E180,""))</f>
        <v/>
      </c>
      <c r="AN180" s="62">
        <f>IF(N($AL180)&gt;0,INDEX(rLim_ADM,$AL180),IF(ISNUMBER($F180),$F180,""))</f>
        <v/>
      </c>
    </row>
    <row r="181">
      <c r="A181" s="56">
        <f>IF(NOT((COUNTA($B181:$D181)+COUNTA($G181:$L181)+COUNTA($Q181))&gt;0),"",IF($V181="Macro",COUNTIFS($V$5:$V181,"Macro",$S$5:$S181,$S181),IF(N($U181)=0,"?",COUNTIFS(INDEX($V$5:$V$1000,1):INDEX($V$5:$V$1000,$U181-4),"Macro",INDEX($S$5:$S$1000,1):INDEX($S$5:$S$1000,$U181-4),INDEX($S$5:$S$1000,$U181-4))&amp;"."&amp;COUNTIFS($U$5:$U181,$U181,$V$5:$V181,"Sub"))))</f>
        <v/>
      </c>
      <c r="B181" s="57" t="n"/>
      <c r="C181" s="58" t="n"/>
      <c r="D181" s="58" t="n"/>
      <c r="E181" s="59">
        <f>IF(N($AL181)&gt;0,INDEX(rIni_ADM,$AL181),"")</f>
        <v/>
      </c>
      <c r="F181" s="59">
        <f>IF(N($AL181)&gt;0,INDEX(rLim_ADM,$AL181),"")</f>
        <v/>
      </c>
      <c r="G181" s="59" t="n"/>
      <c r="H181" s="60" t="n"/>
      <c r="I181" s="60" t="n"/>
      <c r="J181" s="60" t="n"/>
      <c r="K181" s="60" t="n"/>
      <c r="L181" s="60" t="n"/>
      <c r="M181" s="61">
        <f>IF(NOT((COUNTA($B181:$D181)+COUNTA($G181:$L181)+COUNTA($Q181))&gt;0),"",IF(ISNUMBER($G181),1,IF(N($W181)&gt;0,AVERAGEIFS($X$5:$X$1000,$U$5:$U$1000,ROW(),$V$5:$V$1000,"Sub"),$X181)))</f>
        <v/>
      </c>
      <c r="N181" s="56">
        <f>IF($M181="","",IF($M181&gt;=1,"Completado",IF($M181&gt;0,"En curso","Pendiente")))</f>
        <v/>
      </c>
      <c r="O181" s="56">
        <f>IF(NOT((COUNTA($B181:$D181)+COUNTA($G181:$L181)+COUNTA($Q181))&gt;0),"",IF(ISNUMBER($G181),IF(AND(ISNUMBER($AN181),$G181&gt;$AN181),"Cumplida con "&amp;($G181-$AN181)&amp;IF($G181-$AN181=1," día"," días")&amp;" de retraso","Cumplida"),IF(N($M181)&gt;=1,"Cumplida",IF(NOT(ISNUMBER($AN181)),"Sin fecha límite",IF($AN181&lt;FechaRef,"Vencida hace "&amp;(FechaRef-$AN181)&amp;IF(FechaRef-$AN181=1," día"," días"),IF($AN181=FechaRef,"Vence hoy",IF($AN181-FechaRef&lt;=DiasAlerta,"Vence en "&amp;($AN181-FechaRef)&amp;IF($AN181-FechaRef=1," día"," días"),"En plazo")))))))</f>
        <v/>
      </c>
      <c r="P181" s="62" t="n"/>
      <c r="Q181" s="58" t="n"/>
      <c r="R181" s="63">
        <f>IF(NOT((COUNTA($B181:$D181)+COUNTA($G181:$L181)+COUNTA($Q181))&gt;0),"",IF((IF($C181="","Falta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",""))="","✔ OK","⚠ "&amp;LEFT(IF($C181="","Falta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",""),LEN(IF($C181="","Falta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",""))-3)))</f>
        <v/>
      </c>
      <c r="S181" s="64">
        <f>IF(NOT((COUNTA($B181:$D181)+COUNTA($G181:$L181)+COUNTA($Q181))&gt;0),"",IF(AND($V181="Sub",N($U181)&gt;0),IF(ISNUMBER(INDEX($AM$5:$AM$1000,$U181-4)),DATE(YEAR(INDEX($AM$5:$AM$1000,$U181-4)),MONTH(INDEX($AM$5:$AM$1000,$U181-4)),1),IF(ISNUMBER(INDEX($AN$5:$AN$1000,$U181-4)),DATE(YEAR(INDEX($AN$5:$AN$1000,$U181-4)),MONTH(INDEX($AN$5:$AN$1000,$U181-4)),1),MesCiclo)),IF(ISNUMBER($AM181),DATE(YEAR($AM181),MONTH($AM181),1),IF(ISNUMBER($AN181),DATE(YEAR($AN181),MONTH($AN181),1),MesCiclo))))</f>
        <v/>
      </c>
      <c r="T181" s="62">
        <f>IF(OR($S181="",$S181&lt;&gt;MesCiclo),"",COUNTIF($S$5:$S181,MesCiclo))</f>
        <v/>
      </c>
      <c r="U181" s="62">
        <f>IF($V181="","",IF($V181="Macro",ROW(),IFERROR(LOOKUP(2,1/($V$5:$V181="Macro"),ROW($V$5:$V181)),0)))</f>
        <v/>
      </c>
      <c r="V181" s="62">
        <f>IF(NOT((COUNTA($B181:$D181)+COUNTA($G181:$L181)+COUNTA($Q181))&gt;0),"",IF($B181="Subactividad","Sub","Macro"))</f>
        <v/>
      </c>
      <c r="W181" s="62">
        <f>IF($V181="Macro",COUNTIFS($U$5:$U$1000,ROW(),$V$5:$V$1000,"Sub"),"")</f>
        <v/>
      </c>
      <c r="X181" s="62">
        <f>IF($V181="","",IF(ISNUMBER($G181),1,IFERROR(LOOKUP(2,1/($I181:$L181&lt;&gt;""),$I181:$L181),0)))</f>
        <v/>
      </c>
      <c r="Y181" s="62">
        <f>IF($V181="","",IF(AND(ISNUMBER($G181),$G181&lt;=IF($S181=MesCiclo,InicioCiclo,$S181+MOD(2-WEEKDAY($S181),7))+6),1,IF(ISNUMBER($I181),$I181,0)))</f>
        <v/>
      </c>
      <c r="Z181" s="62">
        <f>IF($V181="","",IF(AND(ISNUMBER($G181),$G181&lt;=IF($S181=MesCiclo,InicioCiclo,$S181+MOD(2-WEEKDAY($S181),7))+13),1,IF(ISNUMBER($J181),$J181,$Y181)))</f>
        <v/>
      </c>
      <c r="AA181" s="62">
        <f>IF($V181="","",IF(AND(ISNUMBER($G181),$G181&lt;=IF($S181=MesCiclo,InicioCiclo,$S181+MOD(2-WEEKDAY($S181),7))+20),1,IF(ISNUMBER($K181),$K181,$Z181)))</f>
        <v/>
      </c>
      <c r="AB181" s="62">
        <f>IF($V181="","",IF(AND(ISNUMBER($G181),$G181&lt;=IF($S181=MesCiclo,InicioCiclo,$S181+MOD(2-WEEKDAY($S181),7))+27),1,IF(ISNUMBER($L181),$L181,$AA181)))</f>
        <v/>
      </c>
      <c r="AC181" s="62">
        <f>IF($V181="","",IF(AND(ISNUMBER($G181),$G181&lt;=IF($S181=MesCiclo,InicioCiclo,$S181+MOD(2-WEEKDAY($S181),7))+6),1,IF(N($W181)&gt;0,AVERAGEIFS($Y$5:$Y$1000,$U$5:$U$1000,ROW(),$V$5:$V$1000,"Sub"),$Y181)))</f>
        <v/>
      </c>
      <c r="AD181" s="62">
        <f>IF($V181="","",IF(AND(ISNUMBER($G181),$G181&lt;=IF($S181=MesCiclo,InicioCiclo,$S181+MOD(2-WEEKDAY($S181),7))+13),1,IF(N($W181)&gt;0,AVERAGEIFS($Z$5:$Z$1000,$U$5:$U$1000,ROW(),$V$5:$V$1000,"Sub"),$Z181)))</f>
        <v/>
      </c>
      <c r="AE181" s="62">
        <f>IF($V181="","",IF(AND(ISNUMBER($G181),$G181&lt;=IF($S181=MesCiclo,InicioCiclo,$S181+MOD(2-WEEKDAY($S181),7))+20),1,IF(N($W181)&gt;0,AVERAGEIFS($AA$5:$AA$1000,$U$5:$U$1000,ROW(),$V$5:$V$1000,"Sub"),$AA181)))</f>
        <v/>
      </c>
      <c r="AF181" s="62">
        <f>IF($V181="","",IF(AND(ISNUMBER($G181),$G181&lt;=IF($S181=MesCiclo,InicioCiclo,$S181+MOD(2-WEEKDAY($S181),7))+27),1,IF(N($W181)&gt;0,AVERAGEIFS($AB$5:$AB$1000,$U$5:$U$1000,ROW(),$V$5:$V$1000,"Sub"),$AB181)))</f>
        <v/>
      </c>
      <c r="AG181" s="62">
        <f>IF($V181&lt;&gt;"Macro","",IF(COUNTIFS($S$5:$S$1000,$S181,$V$5:$V$1000,"Macro",$H$5:$H$1000,"&gt;0")=0,1/COUNTIFS($S$5:$S$1000,$S181,$V$5:$V$1000,"Macro"),IF(AND(ISNUMBER($H181),N($H181)&gt;0),$H181,SUMIFS($H$5:$H$1000,$S$5:$S$1000,$S181,$V$5:$V$1000,"Macro")/COUNTIFS($S$5:$S$1000,$S181,$V$5:$V$1000,"Macro",$H$5:$H$1000,"&gt;0"))/(COUNTIFS($S$5:$S$1000,$S181,$V$5:$V$1000,"Macro")*SUMIFS($H$5:$H$1000,$S$5:$S$1000,$S181,$V$5:$V$1000,"Macro")/COUNTIFS($S$5:$S$1000,$S181,$V$5:$V$1000,"Macro",$H$5:$H$1000,"&gt;0"))))</f>
        <v/>
      </c>
      <c r="AH181" s="62" t="n"/>
      <c r="AI181" s="62" t="n"/>
      <c r="AJ181" s="62" t="n"/>
      <c r="AK181" s="62" t="n"/>
      <c r="AL181" s="62">
        <f>IF(LEFT($C181,11)="[Jefatura] ",IFERROR(MATCH("Riesgo Normativo|"&amp;MID($C181,12,500),rDname_ADM,0),0),"")</f>
        <v/>
      </c>
      <c r="AM181" s="62">
        <f>IF(N($AL181)&gt;0,INDEX(rIni_ADM,$AL181),IF(ISNUMBER($E181),$E181,""))</f>
        <v/>
      </c>
      <c r="AN181" s="62">
        <f>IF(N($AL181)&gt;0,INDEX(rLim_ADM,$AL181),IF(ISNUMBER($F181),$F181,""))</f>
        <v/>
      </c>
    </row>
    <row r="182">
      <c r="A182" s="56">
        <f>IF(NOT((COUNTA($B182:$D182)+COUNTA($G182:$L182)+COUNTA($Q182))&gt;0),"",IF($V182="Macro",COUNTIFS($V$5:$V182,"Macro",$S$5:$S182,$S182),IF(N($U182)=0,"?",COUNTIFS(INDEX($V$5:$V$1000,1):INDEX($V$5:$V$1000,$U182-4),"Macro",INDEX($S$5:$S$1000,1):INDEX($S$5:$S$1000,$U182-4),INDEX($S$5:$S$1000,$U182-4))&amp;"."&amp;COUNTIFS($U$5:$U182,$U182,$V$5:$V182,"Sub"))))</f>
        <v/>
      </c>
      <c r="B182" s="57" t="n"/>
      <c r="C182" s="58" t="n"/>
      <c r="D182" s="58" t="n"/>
      <c r="E182" s="59">
        <f>IF(N($AL182)&gt;0,INDEX(rIni_ADM,$AL182),"")</f>
        <v/>
      </c>
      <c r="F182" s="59">
        <f>IF(N($AL182)&gt;0,INDEX(rLim_ADM,$AL182),"")</f>
        <v/>
      </c>
      <c r="G182" s="59" t="n"/>
      <c r="H182" s="60" t="n"/>
      <c r="I182" s="60" t="n"/>
      <c r="J182" s="60" t="n"/>
      <c r="K182" s="60" t="n"/>
      <c r="L182" s="60" t="n"/>
      <c r="M182" s="61">
        <f>IF(NOT((COUNTA($B182:$D182)+COUNTA($G182:$L182)+COUNTA($Q182))&gt;0),"",IF(ISNUMBER($G182),1,IF(N($W182)&gt;0,AVERAGEIFS($X$5:$X$1000,$U$5:$U$1000,ROW(),$V$5:$V$1000,"Sub"),$X182)))</f>
        <v/>
      </c>
      <c r="N182" s="56">
        <f>IF($M182="","",IF($M182&gt;=1,"Completado",IF($M182&gt;0,"En curso","Pendiente")))</f>
        <v/>
      </c>
      <c r="O182" s="56">
        <f>IF(NOT((COUNTA($B182:$D182)+COUNTA($G182:$L182)+COUNTA($Q182))&gt;0),"",IF(ISNUMBER($G182),IF(AND(ISNUMBER($AN182),$G182&gt;$AN182),"Cumplida con "&amp;($G182-$AN182)&amp;IF($G182-$AN182=1," día"," días")&amp;" de retraso","Cumplida"),IF(N($M182)&gt;=1,"Cumplida",IF(NOT(ISNUMBER($AN182)),"Sin fecha límite",IF($AN182&lt;FechaRef,"Vencida hace "&amp;(FechaRef-$AN182)&amp;IF(FechaRef-$AN182=1," día"," días"),IF($AN182=FechaRef,"Vence hoy",IF($AN182-FechaRef&lt;=DiasAlerta,"Vence en "&amp;($AN182-FechaRef)&amp;IF($AN182-FechaRef=1," día"," días"),"En plazo")))))))</f>
        <v/>
      </c>
      <c r="P182" s="62" t="n"/>
      <c r="Q182" s="58" t="n"/>
      <c r="R182" s="63">
        <f>IF(NOT((COUNTA($B182:$D182)+COUNTA($G182:$L182)+COUNTA($Q182))&gt;0),"",IF((IF($C182="","Falta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",""))="","✔ OK","⚠ "&amp;LEFT(IF($C182="","Falta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",""),LEN(IF($C182="","Falta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",""))-3)))</f>
        <v/>
      </c>
      <c r="S182" s="64">
        <f>IF(NOT((COUNTA($B182:$D182)+COUNTA($G182:$L182)+COUNTA($Q182))&gt;0),"",IF(AND($V182="Sub",N($U182)&gt;0),IF(ISNUMBER(INDEX($AM$5:$AM$1000,$U182-4)),DATE(YEAR(INDEX($AM$5:$AM$1000,$U182-4)),MONTH(INDEX($AM$5:$AM$1000,$U182-4)),1),IF(ISNUMBER(INDEX($AN$5:$AN$1000,$U182-4)),DATE(YEAR(INDEX($AN$5:$AN$1000,$U182-4)),MONTH(INDEX($AN$5:$AN$1000,$U182-4)),1),MesCiclo)),IF(ISNUMBER($AM182),DATE(YEAR($AM182),MONTH($AM182),1),IF(ISNUMBER($AN182),DATE(YEAR($AN182),MONTH($AN182),1),MesCiclo))))</f>
        <v/>
      </c>
      <c r="T182" s="62">
        <f>IF(OR($S182="",$S182&lt;&gt;MesCiclo),"",COUNTIF($S$5:$S182,MesCiclo))</f>
        <v/>
      </c>
      <c r="U182" s="62">
        <f>IF($V182="","",IF($V182="Macro",ROW(),IFERROR(LOOKUP(2,1/($V$5:$V182="Macro"),ROW($V$5:$V182)),0)))</f>
        <v/>
      </c>
      <c r="V182" s="62">
        <f>IF(NOT((COUNTA($B182:$D182)+COUNTA($G182:$L182)+COUNTA($Q182))&gt;0),"",IF($B182="Subactividad","Sub","Macro"))</f>
        <v/>
      </c>
      <c r="W182" s="62">
        <f>IF($V182="Macro",COUNTIFS($U$5:$U$1000,ROW(),$V$5:$V$1000,"Sub"),"")</f>
        <v/>
      </c>
      <c r="X182" s="62">
        <f>IF($V182="","",IF(ISNUMBER($G182),1,IFERROR(LOOKUP(2,1/($I182:$L182&lt;&gt;""),$I182:$L182),0)))</f>
        <v/>
      </c>
      <c r="Y182" s="62">
        <f>IF($V182="","",IF(AND(ISNUMBER($G182),$G182&lt;=IF($S182=MesCiclo,InicioCiclo,$S182+MOD(2-WEEKDAY($S182),7))+6),1,IF(ISNUMBER($I182),$I182,0)))</f>
        <v/>
      </c>
      <c r="Z182" s="62">
        <f>IF($V182="","",IF(AND(ISNUMBER($G182),$G182&lt;=IF($S182=MesCiclo,InicioCiclo,$S182+MOD(2-WEEKDAY($S182),7))+13),1,IF(ISNUMBER($J182),$J182,$Y182)))</f>
        <v/>
      </c>
      <c r="AA182" s="62">
        <f>IF($V182="","",IF(AND(ISNUMBER($G182),$G182&lt;=IF($S182=MesCiclo,InicioCiclo,$S182+MOD(2-WEEKDAY($S182),7))+20),1,IF(ISNUMBER($K182),$K182,$Z182)))</f>
        <v/>
      </c>
      <c r="AB182" s="62">
        <f>IF($V182="","",IF(AND(ISNUMBER($G182),$G182&lt;=IF($S182=MesCiclo,InicioCiclo,$S182+MOD(2-WEEKDAY($S182),7))+27),1,IF(ISNUMBER($L182),$L182,$AA182)))</f>
        <v/>
      </c>
      <c r="AC182" s="62">
        <f>IF($V182="","",IF(AND(ISNUMBER($G182),$G182&lt;=IF($S182=MesCiclo,InicioCiclo,$S182+MOD(2-WEEKDAY($S182),7))+6),1,IF(N($W182)&gt;0,AVERAGEIFS($Y$5:$Y$1000,$U$5:$U$1000,ROW(),$V$5:$V$1000,"Sub"),$Y182)))</f>
        <v/>
      </c>
      <c r="AD182" s="62">
        <f>IF($V182="","",IF(AND(ISNUMBER($G182),$G182&lt;=IF($S182=MesCiclo,InicioCiclo,$S182+MOD(2-WEEKDAY($S182),7))+13),1,IF(N($W182)&gt;0,AVERAGEIFS($Z$5:$Z$1000,$U$5:$U$1000,ROW(),$V$5:$V$1000,"Sub"),$Z182)))</f>
        <v/>
      </c>
      <c r="AE182" s="62">
        <f>IF($V182="","",IF(AND(ISNUMBER($G182),$G182&lt;=IF($S182=MesCiclo,InicioCiclo,$S182+MOD(2-WEEKDAY($S182),7))+20),1,IF(N($W182)&gt;0,AVERAGEIFS($AA$5:$AA$1000,$U$5:$U$1000,ROW(),$V$5:$V$1000,"Sub"),$AA182)))</f>
        <v/>
      </c>
      <c r="AF182" s="62">
        <f>IF($V182="","",IF(AND(ISNUMBER($G182),$G182&lt;=IF($S182=MesCiclo,InicioCiclo,$S182+MOD(2-WEEKDAY($S182),7))+27),1,IF(N($W182)&gt;0,AVERAGEIFS($AB$5:$AB$1000,$U$5:$U$1000,ROW(),$V$5:$V$1000,"Sub"),$AB182)))</f>
        <v/>
      </c>
      <c r="AG182" s="62">
        <f>IF($V182&lt;&gt;"Macro","",IF(COUNTIFS($S$5:$S$1000,$S182,$V$5:$V$1000,"Macro",$H$5:$H$1000,"&gt;0")=0,1/COUNTIFS($S$5:$S$1000,$S182,$V$5:$V$1000,"Macro"),IF(AND(ISNUMBER($H182),N($H182)&gt;0),$H182,SUMIFS($H$5:$H$1000,$S$5:$S$1000,$S182,$V$5:$V$1000,"Macro")/COUNTIFS($S$5:$S$1000,$S182,$V$5:$V$1000,"Macro",$H$5:$H$1000,"&gt;0"))/(COUNTIFS($S$5:$S$1000,$S182,$V$5:$V$1000,"Macro")*SUMIFS($H$5:$H$1000,$S$5:$S$1000,$S182,$V$5:$V$1000,"Macro")/COUNTIFS($S$5:$S$1000,$S182,$V$5:$V$1000,"Macro",$H$5:$H$1000,"&gt;0"))))</f>
        <v/>
      </c>
      <c r="AH182" s="62" t="n"/>
      <c r="AI182" s="62" t="n"/>
      <c r="AJ182" s="62" t="n"/>
      <c r="AK182" s="62" t="n"/>
      <c r="AL182" s="62">
        <f>IF(LEFT($C182,11)="[Jefatura] ",IFERROR(MATCH("Riesgo Normativo|"&amp;MID($C182,12,500),rDname_ADM,0),0),"")</f>
        <v/>
      </c>
      <c r="AM182" s="62">
        <f>IF(N($AL182)&gt;0,INDEX(rIni_ADM,$AL182),IF(ISNUMBER($E182),$E182,""))</f>
        <v/>
      </c>
      <c r="AN182" s="62">
        <f>IF(N($AL182)&gt;0,INDEX(rLim_ADM,$AL182),IF(ISNUMBER($F182),$F182,""))</f>
        <v/>
      </c>
    </row>
    <row r="183">
      <c r="A183" s="56">
        <f>IF(NOT((COUNTA($B183:$D183)+COUNTA($G183:$L183)+COUNTA($Q183))&gt;0),"",IF($V183="Macro",COUNTIFS($V$5:$V183,"Macro",$S$5:$S183,$S183),IF(N($U183)=0,"?",COUNTIFS(INDEX($V$5:$V$1000,1):INDEX($V$5:$V$1000,$U183-4),"Macro",INDEX($S$5:$S$1000,1):INDEX($S$5:$S$1000,$U183-4),INDEX($S$5:$S$1000,$U183-4))&amp;"."&amp;COUNTIFS($U$5:$U183,$U183,$V$5:$V183,"Sub"))))</f>
        <v/>
      </c>
      <c r="B183" s="57" t="n"/>
      <c r="C183" s="58" t="n"/>
      <c r="D183" s="58" t="n"/>
      <c r="E183" s="59">
        <f>IF(N($AL183)&gt;0,INDEX(rIni_ADM,$AL183),"")</f>
        <v/>
      </c>
      <c r="F183" s="59">
        <f>IF(N($AL183)&gt;0,INDEX(rLim_ADM,$AL183),"")</f>
        <v/>
      </c>
      <c r="G183" s="59" t="n"/>
      <c r="H183" s="60" t="n"/>
      <c r="I183" s="60" t="n"/>
      <c r="J183" s="60" t="n"/>
      <c r="K183" s="60" t="n"/>
      <c r="L183" s="60" t="n"/>
      <c r="M183" s="61">
        <f>IF(NOT((COUNTA($B183:$D183)+COUNTA($G183:$L183)+COUNTA($Q183))&gt;0),"",IF(ISNUMBER($G183),1,IF(N($W183)&gt;0,AVERAGEIFS($X$5:$X$1000,$U$5:$U$1000,ROW(),$V$5:$V$1000,"Sub"),$X183)))</f>
        <v/>
      </c>
      <c r="N183" s="56">
        <f>IF($M183="","",IF($M183&gt;=1,"Completado",IF($M183&gt;0,"En curso","Pendiente")))</f>
        <v/>
      </c>
      <c r="O183" s="56">
        <f>IF(NOT((COUNTA($B183:$D183)+COUNTA($G183:$L183)+COUNTA($Q183))&gt;0),"",IF(ISNUMBER($G183),IF(AND(ISNUMBER($AN183),$G183&gt;$AN183),"Cumplida con "&amp;($G183-$AN183)&amp;IF($G183-$AN183=1," día"," días")&amp;" de retraso","Cumplida"),IF(N($M183)&gt;=1,"Cumplida",IF(NOT(ISNUMBER($AN183)),"Sin fecha límite",IF($AN183&lt;FechaRef,"Vencida hace "&amp;(FechaRef-$AN183)&amp;IF(FechaRef-$AN183=1," día"," días"),IF($AN183=FechaRef,"Vence hoy",IF($AN183-FechaRef&lt;=DiasAlerta,"Vence en "&amp;($AN183-FechaRef)&amp;IF($AN183-FechaRef=1," día"," días"),"En plazo")))))))</f>
        <v/>
      </c>
      <c r="P183" s="62" t="n"/>
      <c r="Q183" s="58" t="n"/>
      <c r="R183" s="63">
        <f>IF(NOT((COUNTA($B183:$D183)+COUNTA($G183:$L183)+COUNTA($Q183))&gt;0),"",IF((IF($C183="","Falta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",""))="","✔ OK","⚠ "&amp;LEFT(IF($C183="","Falta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",""),LEN(IF($C183="","Falta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",""))-3)))</f>
        <v/>
      </c>
      <c r="S183" s="64">
        <f>IF(NOT((COUNTA($B183:$D183)+COUNTA($G183:$L183)+COUNTA($Q183))&gt;0),"",IF(AND($V183="Sub",N($U183)&gt;0),IF(ISNUMBER(INDEX($AM$5:$AM$1000,$U183-4)),DATE(YEAR(INDEX($AM$5:$AM$1000,$U183-4)),MONTH(INDEX($AM$5:$AM$1000,$U183-4)),1),IF(ISNUMBER(INDEX($AN$5:$AN$1000,$U183-4)),DATE(YEAR(INDEX($AN$5:$AN$1000,$U183-4)),MONTH(INDEX($AN$5:$AN$1000,$U183-4)),1),MesCiclo)),IF(ISNUMBER($AM183),DATE(YEAR($AM183),MONTH($AM183),1),IF(ISNUMBER($AN183),DATE(YEAR($AN183),MONTH($AN183),1),MesCiclo))))</f>
        <v/>
      </c>
      <c r="T183" s="62">
        <f>IF(OR($S183="",$S183&lt;&gt;MesCiclo),"",COUNTIF($S$5:$S183,MesCiclo))</f>
        <v/>
      </c>
      <c r="U183" s="62">
        <f>IF($V183="","",IF($V183="Macro",ROW(),IFERROR(LOOKUP(2,1/($V$5:$V183="Macro"),ROW($V$5:$V183)),0)))</f>
        <v/>
      </c>
      <c r="V183" s="62">
        <f>IF(NOT((COUNTA($B183:$D183)+COUNTA($G183:$L183)+COUNTA($Q183))&gt;0),"",IF($B183="Subactividad","Sub","Macro"))</f>
        <v/>
      </c>
      <c r="W183" s="62">
        <f>IF($V183="Macro",COUNTIFS($U$5:$U$1000,ROW(),$V$5:$V$1000,"Sub"),"")</f>
        <v/>
      </c>
      <c r="X183" s="62">
        <f>IF($V183="","",IF(ISNUMBER($G183),1,IFERROR(LOOKUP(2,1/($I183:$L183&lt;&gt;""),$I183:$L183),0)))</f>
        <v/>
      </c>
      <c r="Y183" s="62">
        <f>IF($V183="","",IF(AND(ISNUMBER($G183),$G183&lt;=IF($S183=MesCiclo,InicioCiclo,$S183+MOD(2-WEEKDAY($S183),7))+6),1,IF(ISNUMBER($I183),$I183,0)))</f>
        <v/>
      </c>
      <c r="Z183" s="62">
        <f>IF($V183="","",IF(AND(ISNUMBER($G183),$G183&lt;=IF($S183=MesCiclo,InicioCiclo,$S183+MOD(2-WEEKDAY($S183),7))+13),1,IF(ISNUMBER($J183),$J183,$Y183)))</f>
        <v/>
      </c>
      <c r="AA183" s="62">
        <f>IF($V183="","",IF(AND(ISNUMBER($G183),$G183&lt;=IF($S183=MesCiclo,InicioCiclo,$S183+MOD(2-WEEKDAY($S183),7))+20),1,IF(ISNUMBER($K183),$K183,$Z183)))</f>
        <v/>
      </c>
      <c r="AB183" s="62">
        <f>IF($V183="","",IF(AND(ISNUMBER($G183),$G183&lt;=IF($S183=MesCiclo,InicioCiclo,$S183+MOD(2-WEEKDAY($S183),7))+27),1,IF(ISNUMBER($L183),$L183,$AA183)))</f>
        <v/>
      </c>
      <c r="AC183" s="62">
        <f>IF($V183="","",IF(AND(ISNUMBER($G183),$G183&lt;=IF($S183=MesCiclo,InicioCiclo,$S183+MOD(2-WEEKDAY($S183),7))+6),1,IF(N($W183)&gt;0,AVERAGEIFS($Y$5:$Y$1000,$U$5:$U$1000,ROW(),$V$5:$V$1000,"Sub"),$Y183)))</f>
        <v/>
      </c>
      <c r="AD183" s="62">
        <f>IF($V183="","",IF(AND(ISNUMBER($G183),$G183&lt;=IF($S183=MesCiclo,InicioCiclo,$S183+MOD(2-WEEKDAY($S183),7))+13),1,IF(N($W183)&gt;0,AVERAGEIFS($Z$5:$Z$1000,$U$5:$U$1000,ROW(),$V$5:$V$1000,"Sub"),$Z183)))</f>
        <v/>
      </c>
      <c r="AE183" s="62">
        <f>IF($V183="","",IF(AND(ISNUMBER($G183),$G183&lt;=IF($S183=MesCiclo,InicioCiclo,$S183+MOD(2-WEEKDAY($S183),7))+20),1,IF(N($W183)&gt;0,AVERAGEIFS($AA$5:$AA$1000,$U$5:$U$1000,ROW(),$V$5:$V$1000,"Sub"),$AA183)))</f>
        <v/>
      </c>
      <c r="AF183" s="62">
        <f>IF($V183="","",IF(AND(ISNUMBER($G183),$G183&lt;=IF($S183=MesCiclo,InicioCiclo,$S183+MOD(2-WEEKDAY($S183),7))+27),1,IF(N($W183)&gt;0,AVERAGEIFS($AB$5:$AB$1000,$U$5:$U$1000,ROW(),$V$5:$V$1000,"Sub"),$AB183)))</f>
        <v/>
      </c>
      <c r="AG183" s="62">
        <f>IF($V183&lt;&gt;"Macro","",IF(COUNTIFS($S$5:$S$1000,$S183,$V$5:$V$1000,"Macro",$H$5:$H$1000,"&gt;0")=0,1/COUNTIFS($S$5:$S$1000,$S183,$V$5:$V$1000,"Macro"),IF(AND(ISNUMBER($H183),N($H183)&gt;0),$H183,SUMIFS($H$5:$H$1000,$S$5:$S$1000,$S183,$V$5:$V$1000,"Macro")/COUNTIFS($S$5:$S$1000,$S183,$V$5:$V$1000,"Macro",$H$5:$H$1000,"&gt;0"))/(COUNTIFS($S$5:$S$1000,$S183,$V$5:$V$1000,"Macro")*SUMIFS($H$5:$H$1000,$S$5:$S$1000,$S183,$V$5:$V$1000,"Macro")/COUNTIFS($S$5:$S$1000,$S183,$V$5:$V$1000,"Macro",$H$5:$H$1000,"&gt;0"))))</f>
        <v/>
      </c>
      <c r="AH183" s="62" t="n"/>
      <c r="AI183" s="62" t="n"/>
      <c r="AJ183" s="62" t="n"/>
      <c r="AK183" s="62" t="n"/>
      <c r="AL183" s="62">
        <f>IF(LEFT($C183,11)="[Jefatura] ",IFERROR(MATCH("Riesgo Normativo|"&amp;MID($C183,12,500),rDname_ADM,0),0),"")</f>
        <v/>
      </c>
      <c r="AM183" s="62">
        <f>IF(N($AL183)&gt;0,INDEX(rIni_ADM,$AL183),IF(ISNUMBER($E183),$E183,""))</f>
        <v/>
      </c>
      <c r="AN183" s="62">
        <f>IF(N($AL183)&gt;0,INDEX(rLim_ADM,$AL183),IF(ISNUMBER($F183),$F183,""))</f>
        <v/>
      </c>
    </row>
    <row r="184">
      <c r="A184" s="56">
        <f>IF(NOT((COUNTA($B184:$D184)+COUNTA($G184:$L184)+COUNTA($Q184))&gt;0),"",IF($V184="Macro",COUNTIFS($V$5:$V184,"Macro",$S$5:$S184,$S184),IF(N($U184)=0,"?",COUNTIFS(INDEX($V$5:$V$1000,1):INDEX($V$5:$V$1000,$U184-4),"Macro",INDEX($S$5:$S$1000,1):INDEX($S$5:$S$1000,$U184-4),INDEX($S$5:$S$1000,$U184-4))&amp;"."&amp;COUNTIFS($U$5:$U184,$U184,$V$5:$V184,"Sub"))))</f>
        <v/>
      </c>
      <c r="B184" s="57" t="n"/>
      <c r="C184" s="58" t="n"/>
      <c r="D184" s="58" t="n"/>
      <c r="E184" s="59">
        <f>IF(N($AL184)&gt;0,INDEX(rIni_ADM,$AL184),"")</f>
        <v/>
      </c>
      <c r="F184" s="59">
        <f>IF(N($AL184)&gt;0,INDEX(rLim_ADM,$AL184),"")</f>
        <v/>
      </c>
      <c r="G184" s="59" t="n"/>
      <c r="H184" s="60" t="n"/>
      <c r="I184" s="60" t="n"/>
      <c r="J184" s="60" t="n"/>
      <c r="K184" s="60" t="n"/>
      <c r="L184" s="60" t="n"/>
      <c r="M184" s="61">
        <f>IF(NOT((COUNTA($B184:$D184)+COUNTA($G184:$L184)+COUNTA($Q184))&gt;0),"",IF(ISNUMBER($G184),1,IF(N($W184)&gt;0,AVERAGEIFS($X$5:$X$1000,$U$5:$U$1000,ROW(),$V$5:$V$1000,"Sub"),$X184)))</f>
        <v/>
      </c>
      <c r="N184" s="56">
        <f>IF($M184="","",IF($M184&gt;=1,"Completado",IF($M184&gt;0,"En curso","Pendiente")))</f>
        <v/>
      </c>
      <c r="O184" s="56">
        <f>IF(NOT((COUNTA($B184:$D184)+COUNTA($G184:$L184)+COUNTA($Q184))&gt;0),"",IF(ISNUMBER($G184),IF(AND(ISNUMBER($AN184),$G184&gt;$AN184),"Cumplida con "&amp;($G184-$AN184)&amp;IF($G184-$AN184=1," día"," días")&amp;" de retraso","Cumplida"),IF(N($M184)&gt;=1,"Cumplida",IF(NOT(ISNUMBER($AN184)),"Sin fecha límite",IF($AN184&lt;FechaRef,"Vencida hace "&amp;(FechaRef-$AN184)&amp;IF(FechaRef-$AN184=1," día"," días"),IF($AN184=FechaRef,"Vence hoy",IF($AN184-FechaRef&lt;=DiasAlerta,"Vence en "&amp;($AN184-FechaRef)&amp;IF($AN184-FechaRef=1," día"," días"),"En plazo")))))))</f>
        <v/>
      </c>
      <c r="P184" s="62" t="n"/>
      <c r="Q184" s="58" t="n"/>
      <c r="R184" s="63">
        <f>IF(NOT((COUNTA($B184:$D184)+COUNTA($G184:$L184)+COUNTA($Q184))&gt;0),"",IF((IF($C184="","Falta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",""))="","✔ OK","⚠ "&amp;LEFT(IF($C184="","Falta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",""),LEN(IF($C184="","Falta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",""))-3)))</f>
        <v/>
      </c>
      <c r="S184" s="64">
        <f>IF(NOT((COUNTA($B184:$D184)+COUNTA($G184:$L184)+COUNTA($Q184))&gt;0),"",IF(AND($V184="Sub",N($U184)&gt;0),IF(ISNUMBER(INDEX($AM$5:$AM$1000,$U184-4)),DATE(YEAR(INDEX($AM$5:$AM$1000,$U184-4)),MONTH(INDEX($AM$5:$AM$1000,$U184-4)),1),IF(ISNUMBER(INDEX($AN$5:$AN$1000,$U184-4)),DATE(YEAR(INDEX($AN$5:$AN$1000,$U184-4)),MONTH(INDEX($AN$5:$AN$1000,$U184-4)),1),MesCiclo)),IF(ISNUMBER($AM184),DATE(YEAR($AM184),MONTH($AM184),1),IF(ISNUMBER($AN184),DATE(YEAR($AN184),MONTH($AN184),1),MesCiclo))))</f>
        <v/>
      </c>
      <c r="T184" s="62">
        <f>IF(OR($S184="",$S184&lt;&gt;MesCiclo),"",COUNTIF($S$5:$S184,MesCiclo))</f>
        <v/>
      </c>
      <c r="U184" s="62">
        <f>IF($V184="","",IF($V184="Macro",ROW(),IFERROR(LOOKUP(2,1/($V$5:$V184="Macro"),ROW($V$5:$V184)),0)))</f>
        <v/>
      </c>
      <c r="V184" s="62">
        <f>IF(NOT((COUNTA($B184:$D184)+COUNTA($G184:$L184)+COUNTA($Q184))&gt;0),"",IF($B184="Subactividad","Sub","Macro"))</f>
        <v/>
      </c>
      <c r="W184" s="62">
        <f>IF($V184="Macro",COUNTIFS($U$5:$U$1000,ROW(),$V$5:$V$1000,"Sub"),"")</f>
        <v/>
      </c>
      <c r="X184" s="62">
        <f>IF($V184="","",IF(ISNUMBER($G184),1,IFERROR(LOOKUP(2,1/($I184:$L184&lt;&gt;""),$I184:$L184),0)))</f>
        <v/>
      </c>
      <c r="Y184" s="62">
        <f>IF($V184="","",IF(AND(ISNUMBER($G184),$G184&lt;=IF($S184=MesCiclo,InicioCiclo,$S184+MOD(2-WEEKDAY($S184),7))+6),1,IF(ISNUMBER($I184),$I184,0)))</f>
        <v/>
      </c>
      <c r="Z184" s="62">
        <f>IF($V184="","",IF(AND(ISNUMBER($G184),$G184&lt;=IF($S184=MesCiclo,InicioCiclo,$S184+MOD(2-WEEKDAY($S184),7))+13),1,IF(ISNUMBER($J184),$J184,$Y184)))</f>
        <v/>
      </c>
      <c r="AA184" s="62">
        <f>IF($V184="","",IF(AND(ISNUMBER($G184),$G184&lt;=IF($S184=MesCiclo,InicioCiclo,$S184+MOD(2-WEEKDAY($S184),7))+20),1,IF(ISNUMBER($K184),$K184,$Z184)))</f>
        <v/>
      </c>
      <c r="AB184" s="62">
        <f>IF($V184="","",IF(AND(ISNUMBER($G184),$G184&lt;=IF($S184=MesCiclo,InicioCiclo,$S184+MOD(2-WEEKDAY($S184),7))+27),1,IF(ISNUMBER($L184),$L184,$AA184)))</f>
        <v/>
      </c>
      <c r="AC184" s="62">
        <f>IF($V184="","",IF(AND(ISNUMBER($G184),$G184&lt;=IF($S184=MesCiclo,InicioCiclo,$S184+MOD(2-WEEKDAY($S184),7))+6),1,IF(N($W184)&gt;0,AVERAGEIFS($Y$5:$Y$1000,$U$5:$U$1000,ROW(),$V$5:$V$1000,"Sub"),$Y184)))</f>
        <v/>
      </c>
      <c r="AD184" s="62">
        <f>IF($V184="","",IF(AND(ISNUMBER($G184),$G184&lt;=IF($S184=MesCiclo,InicioCiclo,$S184+MOD(2-WEEKDAY($S184),7))+13),1,IF(N($W184)&gt;0,AVERAGEIFS($Z$5:$Z$1000,$U$5:$U$1000,ROW(),$V$5:$V$1000,"Sub"),$Z184)))</f>
        <v/>
      </c>
      <c r="AE184" s="62">
        <f>IF($V184="","",IF(AND(ISNUMBER($G184),$G184&lt;=IF($S184=MesCiclo,InicioCiclo,$S184+MOD(2-WEEKDAY($S184),7))+20),1,IF(N($W184)&gt;0,AVERAGEIFS($AA$5:$AA$1000,$U$5:$U$1000,ROW(),$V$5:$V$1000,"Sub"),$AA184)))</f>
        <v/>
      </c>
      <c r="AF184" s="62">
        <f>IF($V184="","",IF(AND(ISNUMBER($G184),$G184&lt;=IF($S184=MesCiclo,InicioCiclo,$S184+MOD(2-WEEKDAY($S184),7))+27),1,IF(N($W184)&gt;0,AVERAGEIFS($AB$5:$AB$1000,$U$5:$U$1000,ROW(),$V$5:$V$1000,"Sub"),$AB184)))</f>
        <v/>
      </c>
      <c r="AG184" s="62">
        <f>IF($V184&lt;&gt;"Macro","",IF(COUNTIFS($S$5:$S$1000,$S184,$V$5:$V$1000,"Macro",$H$5:$H$1000,"&gt;0")=0,1/COUNTIFS($S$5:$S$1000,$S184,$V$5:$V$1000,"Macro"),IF(AND(ISNUMBER($H184),N($H184)&gt;0),$H184,SUMIFS($H$5:$H$1000,$S$5:$S$1000,$S184,$V$5:$V$1000,"Macro")/COUNTIFS($S$5:$S$1000,$S184,$V$5:$V$1000,"Macro",$H$5:$H$1000,"&gt;0"))/(COUNTIFS($S$5:$S$1000,$S184,$V$5:$V$1000,"Macro")*SUMIFS($H$5:$H$1000,$S$5:$S$1000,$S184,$V$5:$V$1000,"Macro")/COUNTIFS($S$5:$S$1000,$S184,$V$5:$V$1000,"Macro",$H$5:$H$1000,"&gt;0"))))</f>
        <v/>
      </c>
      <c r="AH184" s="62" t="n"/>
      <c r="AI184" s="62" t="n"/>
      <c r="AJ184" s="62" t="n"/>
      <c r="AK184" s="62" t="n"/>
      <c r="AL184" s="62">
        <f>IF(LEFT($C184,11)="[Jefatura] ",IFERROR(MATCH("Riesgo Normativo|"&amp;MID($C184,12,500),rDname_ADM,0),0),"")</f>
        <v/>
      </c>
      <c r="AM184" s="62">
        <f>IF(N($AL184)&gt;0,INDEX(rIni_ADM,$AL184),IF(ISNUMBER($E184),$E184,""))</f>
        <v/>
      </c>
      <c r="AN184" s="62">
        <f>IF(N($AL184)&gt;0,INDEX(rLim_ADM,$AL184),IF(ISNUMBER($F184),$F184,""))</f>
        <v/>
      </c>
    </row>
    <row r="185">
      <c r="A185" s="56">
        <f>IF(NOT((COUNTA($B185:$D185)+COUNTA($G185:$L185)+COUNTA($Q185))&gt;0),"",IF($V185="Macro",COUNTIFS($V$5:$V185,"Macro",$S$5:$S185,$S185),IF(N($U185)=0,"?",COUNTIFS(INDEX($V$5:$V$1000,1):INDEX($V$5:$V$1000,$U185-4),"Macro",INDEX($S$5:$S$1000,1):INDEX($S$5:$S$1000,$U185-4),INDEX($S$5:$S$1000,$U185-4))&amp;"."&amp;COUNTIFS($U$5:$U185,$U185,$V$5:$V185,"Sub"))))</f>
        <v/>
      </c>
      <c r="B185" s="57" t="n"/>
      <c r="C185" s="58" t="n"/>
      <c r="D185" s="58" t="n"/>
      <c r="E185" s="59">
        <f>IF(N($AL185)&gt;0,INDEX(rIni_ADM,$AL185),"")</f>
        <v/>
      </c>
      <c r="F185" s="59">
        <f>IF(N($AL185)&gt;0,INDEX(rLim_ADM,$AL185),"")</f>
        <v/>
      </c>
      <c r="G185" s="59" t="n"/>
      <c r="H185" s="60" t="n"/>
      <c r="I185" s="60" t="n"/>
      <c r="J185" s="60" t="n"/>
      <c r="K185" s="60" t="n"/>
      <c r="L185" s="60" t="n"/>
      <c r="M185" s="61">
        <f>IF(NOT((COUNTA($B185:$D185)+COUNTA($G185:$L185)+COUNTA($Q185))&gt;0),"",IF(ISNUMBER($G185),1,IF(N($W185)&gt;0,AVERAGEIFS($X$5:$X$1000,$U$5:$U$1000,ROW(),$V$5:$V$1000,"Sub"),$X185)))</f>
        <v/>
      </c>
      <c r="N185" s="56">
        <f>IF($M185="","",IF($M185&gt;=1,"Completado",IF($M185&gt;0,"En curso","Pendiente")))</f>
        <v/>
      </c>
      <c r="O185" s="56">
        <f>IF(NOT((COUNTA($B185:$D185)+COUNTA($G185:$L185)+COUNTA($Q185))&gt;0),"",IF(ISNUMBER($G185),IF(AND(ISNUMBER($AN185),$G185&gt;$AN185),"Cumplida con "&amp;($G185-$AN185)&amp;IF($G185-$AN185=1," día"," días")&amp;" de retraso","Cumplida"),IF(N($M185)&gt;=1,"Cumplida",IF(NOT(ISNUMBER($AN185)),"Sin fecha límite",IF($AN185&lt;FechaRef,"Vencida hace "&amp;(FechaRef-$AN185)&amp;IF(FechaRef-$AN185=1," día"," días"),IF($AN185=FechaRef,"Vence hoy",IF($AN185-FechaRef&lt;=DiasAlerta,"Vence en "&amp;($AN185-FechaRef)&amp;IF($AN185-FechaRef=1," día"," días"),"En plazo")))))))</f>
        <v/>
      </c>
      <c r="P185" s="62" t="n"/>
      <c r="Q185" s="58" t="n"/>
      <c r="R185" s="63">
        <f>IF(NOT((COUNTA($B185:$D185)+COUNTA($G185:$L185)+COUNTA($Q185))&gt;0),"",IF((IF($C185="","Falta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",""))="","✔ OK","⚠ "&amp;LEFT(IF($C185="","Falta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",""),LEN(IF($C185="","Falta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",""))-3)))</f>
        <v/>
      </c>
      <c r="S185" s="64">
        <f>IF(NOT((COUNTA($B185:$D185)+COUNTA($G185:$L185)+COUNTA($Q185))&gt;0),"",IF(AND($V185="Sub",N($U185)&gt;0),IF(ISNUMBER(INDEX($AM$5:$AM$1000,$U185-4)),DATE(YEAR(INDEX($AM$5:$AM$1000,$U185-4)),MONTH(INDEX($AM$5:$AM$1000,$U185-4)),1),IF(ISNUMBER(INDEX($AN$5:$AN$1000,$U185-4)),DATE(YEAR(INDEX($AN$5:$AN$1000,$U185-4)),MONTH(INDEX($AN$5:$AN$1000,$U185-4)),1),MesCiclo)),IF(ISNUMBER($AM185),DATE(YEAR($AM185),MONTH($AM185),1),IF(ISNUMBER($AN185),DATE(YEAR($AN185),MONTH($AN185),1),MesCiclo))))</f>
        <v/>
      </c>
      <c r="T185" s="62">
        <f>IF(OR($S185="",$S185&lt;&gt;MesCiclo),"",COUNTIF($S$5:$S185,MesCiclo))</f>
        <v/>
      </c>
      <c r="U185" s="62">
        <f>IF($V185="","",IF($V185="Macro",ROW(),IFERROR(LOOKUP(2,1/($V$5:$V185="Macro"),ROW($V$5:$V185)),0)))</f>
        <v/>
      </c>
      <c r="V185" s="62">
        <f>IF(NOT((COUNTA($B185:$D185)+COUNTA($G185:$L185)+COUNTA($Q185))&gt;0),"",IF($B185="Subactividad","Sub","Macro"))</f>
        <v/>
      </c>
      <c r="W185" s="62">
        <f>IF($V185="Macro",COUNTIFS($U$5:$U$1000,ROW(),$V$5:$V$1000,"Sub"),"")</f>
        <v/>
      </c>
      <c r="X185" s="62">
        <f>IF($V185="","",IF(ISNUMBER($G185),1,IFERROR(LOOKUP(2,1/($I185:$L185&lt;&gt;""),$I185:$L185),0)))</f>
        <v/>
      </c>
      <c r="Y185" s="62">
        <f>IF($V185="","",IF(AND(ISNUMBER($G185),$G185&lt;=IF($S185=MesCiclo,InicioCiclo,$S185+MOD(2-WEEKDAY($S185),7))+6),1,IF(ISNUMBER($I185),$I185,0)))</f>
        <v/>
      </c>
      <c r="Z185" s="62">
        <f>IF($V185="","",IF(AND(ISNUMBER($G185),$G185&lt;=IF($S185=MesCiclo,InicioCiclo,$S185+MOD(2-WEEKDAY($S185),7))+13),1,IF(ISNUMBER($J185),$J185,$Y185)))</f>
        <v/>
      </c>
      <c r="AA185" s="62">
        <f>IF($V185="","",IF(AND(ISNUMBER($G185),$G185&lt;=IF($S185=MesCiclo,InicioCiclo,$S185+MOD(2-WEEKDAY($S185),7))+20),1,IF(ISNUMBER($K185),$K185,$Z185)))</f>
        <v/>
      </c>
      <c r="AB185" s="62">
        <f>IF($V185="","",IF(AND(ISNUMBER($G185),$G185&lt;=IF($S185=MesCiclo,InicioCiclo,$S185+MOD(2-WEEKDAY($S185),7))+27),1,IF(ISNUMBER($L185),$L185,$AA185)))</f>
        <v/>
      </c>
      <c r="AC185" s="62">
        <f>IF($V185="","",IF(AND(ISNUMBER($G185),$G185&lt;=IF($S185=MesCiclo,InicioCiclo,$S185+MOD(2-WEEKDAY($S185),7))+6),1,IF(N($W185)&gt;0,AVERAGEIFS($Y$5:$Y$1000,$U$5:$U$1000,ROW(),$V$5:$V$1000,"Sub"),$Y185)))</f>
        <v/>
      </c>
      <c r="AD185" s="62">
        <f>IF($V185="","",IF(AND(ISNUMBER($G185),$G185&lt;=IF($S185=MesCiclo,InicioCiclo,$S185+MOD(2-WEEKDAY($S185),7))+13),1,IF(N($W185)&gt;0,AVERAGEIFS($Z$5:$Z$1000,$U$5:$U$1000,ROW(),$V$5:$V$1000,"Sub"),$Z185)))</f>
        <v/>
      </c>
      <c r="AE185" s="62">
        <f>IF($V185="","",IF(AND(ISNUMBER($G185),$G185&lt;=IF($S185=MesCiclo,InicioCiclo,$S185+MOD(2-WEEKDAY($S185),7))+20),1,IF(N($W185)&gt;0,AVERAGEIFS($AA$5:$AA$1000,$U$5:$U$1000,ROW(),$V$5:$V$1000,"Sub"),$AA185)))</f>
        <v/>
      </c>
      <c r="AF185" s="62">
        <f>IF($V185="","",IF(AND(ISNUMBER($G185),$G185&lt;=IF($S185=MesCiclo,InicioCiclo,$S185+MOD(2-WEEKDAY($S185),7))+27),1,IF(N($W185)&gt;0,AVERAGEIFS($AB$5:$AB$1000,$U$5:$U$1000,ROW(),$V$5:$V$1000,"Sub"),$AB185)))</f>
        <v/>
      </c>
      <c r="AG185" s="62">
        <f>IF($V185&lt;&gt;"Macro","",IF(COUNTIFS($S$5:$S$1000,$S185,$V$5:$V$1000,"Macro",$H$5:$H$1000,"&gt;0")=0,1/COUNTIFS($S$5:$S$1000,$S185,$V$5:$V$1000,"Macro"),IF(AND(ISNUMBER($H185),N($H185)&gt;0),$H185,SUMIFS($H$5:$H$1000,$S$5:$S$1000,$S185,$V$5:$V$1000,"Macro")/COUNTIFS($S$5:$S$1000,$S185,$V$5:$V$1000,"Macro",$H$5:$H$1000,"&gt;0"))/(COUNTIFS($S$5:$S$1000,$S185,$V$5:$V$1000,"Macro")*SUMIFS($H$5:$H$1000,$S$5:$S$1000,$S185,$V$5:$V$1000,"Macro")/COUNTIFS($S$5:$S$1000,$S185,$V$5:$V$1000,"Macro",$H$5:$H$1000,"&gt;0"))))</f>
        <v/>
      </c>
      <c r="AH185" s="62" t="n"/>
      <c r="AI185" s="62" t="n"/>
      <c r="AJ185" s="62" t="n"/>
      <c r="AK185" s="62" t="n"/>
      <c r="AL185" s="62">
        <f>IF(LEFT($C185,11)="[Jefatura] ",IFERROR(MATCH("Riesgo Normativo|"&amp;MID($C185,12,500),rDname_ADM,0),0),"")</f>
        <v/>
      </c>
      <c r="AM185" s="62">
        <f>IF(N($AL185)&gt;0,INDEX(rIni_ADM,$AL185),IF(ISNUMBER($E185),$E185,""))</f>
        <v/>
      </c>
      <c r="AN185" s="62">
        <f>IF(N($AL185)&gt;0,INDEX(rLim_ADM,$AL185),IF(ISNUMBER($F185),$F185,""))</f>
        <v/>
      </c>
    </row>
    <row r="186">
      <c r="A186" s="56">
        <f>IF(NOT((COUNTA($B186:$D186)+COUNTA($G186:$L186)+COUNTA($Q186))&gt;0),"",IF($V186="Macro",COUNTIFS($V$5:$V186,"Macro",$S$5:$S186,$S186),IF(N($U186)=0,"?",COUNTIFS(INDEX($V$5:$V$1000,1):INDEX($V$5:$V$1000,$U186-4),"Macro",INDEX($S$5:$S$1000,1):INDEX($S$5:$S$1000,$U186-4),INDEX($S$5:$S$1000,$U186-4))&amp;"."&amp;COUNTIFS($U$5:$U186,$U186,$V$5:$V186,"Sub"))))</f>
        <v/>
      </c>
      <c r="B186" s="57" t="n"/>
      <c r="C186" s="58" t="n"/>
      <c r="D186" s="58" t="n"/>
      <c r="E186" s="59">
        <f>IF(N($AL186)&gt;0,INDEX(rIni_ADM,$AL186),"")</f>
        <v/>
      </c>
      <c r="F186" s="59">
        <f>IF(N($AL186)&gt;0,INDEX(rLim_ADM,$AL186),"")</f>
        <v/>
      </c>
      <c r="G186" s="59" t="n"/>
      <c r="H186" s="60" t="n"/>
      <c r="I186" s="60" t="n"/>
      <c r="J186" s="60" t="n"/>
      <c r="K186" s="60" t="n"/>
      <c r="L186" s="60" t="n"/>
      <c r="M186" s="61">
        <f>IF(NOT((COUNTA($B186:$D186)+COUNTA($G186:$L186)+COUNTA($Q186))&gt;0),"",IF(ISNUMBER($G186),1,IF(N($W186)&gt;0,AVERAGEIFS($X$5:$X$1000,$U$5:$U$1000,ROW(),$V$5:$V$1000,"Sub"),$X186)))</f>
        <v/>
      </c>
      <c r="N186" s="56">
        <f>IF($M186="","",IF($M186&gt;=1,"Completado",IF($M186&gt;0,"En curso","Pendiente")))</f>
        <v/>
      </c>
      <c r="O186" s="56">
        <f>IF(NOT((COUNTA($B186:$D186)+COUNTA($G186:$L186)+COUNTA($Q186))&gt;0),"",IF(ISNUMBER($G186),IF(AND(ISNUMBER($AN186),$G186&gt;$AN186),"Cumplida con "&amp;($G186-$AN186)&amp;IF($G186-$AN186=1," día"," días")&amp;" de retraso","Cumplida"),IF(N($M186)&gt;=1,"Cumplida",IF(NOT(ISNUMBER($AN186)),"Sin fecha límite",IF($AN186&lt;FechaRef,"Vencida hace "&amp;(FechaRef-$AN186)&amp;IF(FechaRef-$AN186=1," día"," días"),IF($AN186=FechaRef,"Vence hoy",IF($AN186-FechaRef&lt;=DiasAlerta,"Vence en "&amp;($AN186-FechaRef)&amp;IF($AN186-FechaRef=1," día"," días"),"En plazo")))))))</f>
        <v/>
      </c>
      <c r="P186" s="62" t="n"/>
      <c r="Q186" s="58" t="n"/>
      <c r="R186" s="63">
        <f>IF(NOT((COUNTA($B186:$D186)+COUNTA($G186:$L186)+COUNTA($Q186))&gt;0),"",IF((IF($C186="","Falta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",""))="","✔ OK","⚠ "&amp;LEFT(IF($C186="","Falta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",""),LEN(IF($C186="","Falta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",""))-3)))</f>
        <v/>
      </c>
      <c r="S186" s="64">
        <f>IF(NOT((COUNTA($B186:$D186)+COUNTA($G186:$L186)+COUNTA($Q186))&gt;0),"",IF(AND($V186="Sub",N($U186)&gt;0),IF(ISNUMBER(INDEX($AM$5:$AM$1000,$U186-4)),DATE(YEAR(INDEX($AM$5:$AM$1000,$U186-4)),MONTH(INDEX($AM$5:$AM$1000,$U186-4)),1),IF(ISNUMBER(INDEX($AN$5:$AN$1000,$U186-4)),DATE(YEAR(INDEX($AN$5:$AN$1000,$U186-4)),MONTH(INDEX($AN$5:$AN$1000,$U186-4)),1),MesCiclo)),IF(ISNUMBER($AM186),DATE(YEAR($AM186),MONTH($AM186),1),IF(ISNUMBER($AN186),DATE(YEAR($AN186),MONTH($AN186),1),MesCiclo))))</f>
        <v/>
      </c>
      <c r="T186" s="62">
        <f>IF(OR($S186="",$S186&lt;&gt;MesCiclo),"",COUNTIF($S$5:$S186,MesCiclo))</f>
        <v/>
      </c>
      <c r="U186" s="62">
        <f>IF($V186="","",IF($V186="Macro",ROW(),IFERROR(LOOKUP(2,1/($V$5:$V186="Macro"),ROW($V$5:$V186)),0)))</f>
        <v/>
      </c>
      <c r="V186" s="62">
        <f>IF(NOT((COUNTA($B186:$D186)+COUNTA($G186:$L186)+COUNTA($Q186))&gt;0),"",IF($B186="Subactividad","Sub","Macro"))</f>
        <v/>
      </c>
      <c r="W186" s="62">
        <f>IF($V186="Macro",COUNTIFS($U$5:$U$1000,ROW(),$V$5:$V$1000,"Sub"),"")</f>
        <v/>
      </c>
      <c r="X186" s="62">
        <f>IF($V186="","",IF(ISNUMBER($G186),1,IFERROR(LOOKUP(2,1/($I186:$L186&lt;&gt;""),$I186:$L186),0)))</f>
        <v/>
      </c>
      <c r="Y186" s="62">
        <f>IF($V186="","",IF(AND(ISNUMBER($G186),$G186&lt;=IF($S186=MesCiclo,InicioCiclo,$S186+MOD(2-WEEKDAY($S186),7))+6),1,IF(ISNUMBER($I186),$I186,0)))</f>
        <v/>
      </c>
      <c r="Z186" s="62">
        <f>IF($V186="","",IF(AND(ISNUMBER($G186),$G186&lt;=IF($S186=MesCiclo,InicioCiclo,$S186+MOD(2-WEEKDAY($S186),7))+13),1,IF(ISNUMBER($J186),$J186,$Y186)))</f>
        <v/>
      </c>
      <c r="AA186" s="62">
        <f>IF($V186="","",IF(AND(ISNUMBER($G186),$G186&lt;=IF($S186=MesCiclo,InicioCiclo,$S186+MOD(2-WEEKDAY($S186),7))+20),1,IF(ISNUMBER($K186),$K186,$Z186)))</f>
        <v/>
      </c>
      <c r="AB186" s="62">
        <f>IF($V186="","",IF(AND(ISNUMBER($G186),$G186&lt;=IF($S186=MesCiclo,InicioCiclo,$S186+MOD(2-WEEKDAY($S186),7))+27),1,IF(ISNUMBER($L186),$L186,$AA186)))</f>
        <v/>
      </c>
      <c r="AC186" s="62">
        <f>IF($V186="","",IF(AND(ISNUMBER($G186),$G186&lt;=IF($S186=MesCiclo,InicioCiclo,$S186+MOD(2-WEEKDAY($S186),7))+6),1,IF(N($W186)&gt;0,AVERAGEIFS($Y$5:$Y$1000,$U$5:$U$1000,ROW(),$V$5:$V$1000,"Sub"),$Y186)))</f>
        <v/>
      </c>
      <c r="AD186" s="62">
        <f>IF($V186="","",IF(AND(ISNUMBER($G186),$G186&lt;=IF($S186=MesCiclo,InicioCiclo,$S186+MOD(2-WEEKDAY($S186),7))+13),1,IF(N($W186)&gt;0,AVERAGEIFS($Z$5:$Z$1000,$U$5:$U$1000,ROW(),$V$5:$V$1000,"Sub"),$Z186)))</f>
        <v/>
      </c>
      <c r="AE186" s="62">
        <f>IF($V186="","",IF(AND(ISNUMBER($G186),$G186&lt;=IF($S186=MesCiclo,InicioCiclo,$S186+MOD(2-WEEKDAY($S186),7))+20),1,IF(N($W186)&gt;0,AVERAGEIFS($AA$5:$AA$1000,$U$5:$U$1000,ROW(),$V$5:$V$1000,"Sub"),$AA186)))</f>
        <v/>
      </c>
      <c r="AF186" s="62">
        <f>IF($V186="","",IF(AND(ISNUMBER($G186),$G186&lt;=IF($S186=MesCiclo,InicioCiclo,$S186+MOD(2-WEEKDAY($S186),7))+27),1,IF(N($W186)&gt;0,AVERAGEIFS($AB$5:$AB$1000,$U$5:$U$1000,ROW(),$V$5:$V$1000,"Sub"),$AB186)))</f>
        <v/>
      </c>
      <c r="AG186" s="62">
        <f>IF($V186&lt;&gt;"Macro","",IF(COUNTIFS($S$5:$S$1000,$S186,$V$5:$V$1000,"Macro",$H$5:$H$1000,"&gt;0")=0,1/COUNTIFS($S$5:$S$1000,$S186,$V$5:$V$1000,"Macro"),IF(AND(ISNUMBER($H186),N($H186)&gt;0),$H186,SUMIFS($H$5:$H$1000,$S$5:$S$1000,$S186,$V$5:$V$1000,"Macro")/COUNTIFS($S$5:$S$1000,$S186,$V$5:$V$1000,"Macro",$H$5:$H$1000,"&gt;0"))/(COUNTIFS($S$5:$S$1000,$S186,$V$5:$V$1000,"Macro")*SUMIFS($H$5:$H$1000,$S$5:$S$1000,$S186,$V$5:$V$1000,"Macro")/COUNTIFS($S$5:$S$1000,$S186,$V$5:$V$1000,"Macro",$H$5:$H$1000,"&gt;0"))))</f>
        <v/>
      </c>
      <c r="AH186" s="62" t="n"/>
      <c r="AI186" s="62" t="n"/>
      <c r="AJ186" s="62" t="n"/>
      <c r="AK186" s="62" t="n"/>
      <c r="AL186" s="62">
        <f>IF(LEFT($C186,11)="[Jefatura] ",IFERROR(MATCH("Riesgo Normativo|"&amp;MID($C186,12,500),rDname_ADM,0),0),"")</f>
        <v/>
      </c>
      <c r="AM186" s="62">
        <f>IF(N($AL186)&gt;0,INDEX(rIni_ADM,$AL186),IF(ISNUMBER($E186),$E186,""))</f>
        <v/>
      </c>
      <c r="AN186" s="62">
        <f>IF(N($AL186)&gt;0,INDEX(rLim_ADM,$AL186),IF(ISNUMBER($F186),$F186,""))</f>
        <v/>
      </c>
    </row>
    <row r="187">
      <c r="A187" s="56">
        <f>IF(NOT((COUNTA($B187:$D187)+COUNTA($G187:$L187)+COUNTA($Q187))&gt;0),"",IF($V187="Macro",COUNTIFS($V$5:$V187,"Macro",$S$5:$S187,$S187),IF(N($U187)=0,"?",COUNTIFS(INDEX($V$5:$V$1000,1):INDEX($V$5:$V$1000,$U187-4),"Macro",INDEX($S$5:$S$1000,1):INDEX($S$5:$S$1000,$U187-4),INDEX($S$5:$S$1000,$U187-4))&amp;"."&amp;COUNTIFS($U$5:$U187,$U187,$V$5:$V187,"Sub"))))</f>
        <v/>
      </c>
      <c r="B187" s="57" t="n"/>
      <c r="C187" s="58" t="n"/>
      <c r="D187" s="58" t="n"/>
      <c r="E187" s="59">
        <f>IF(N($AL187)&gt;0,INDEX(rIni_ADM,$AL187),"")</f>
        <v/>
      </c>
      <c r="F187" s="59">
        <f>IF(N($AL187)&gt;0,INDEX(rLim_ADM,$AL187),"")</f>
        <v/>
      </c>
      <c r="G187" s="59" t="n"/>
      <c r="H187" s="60" t="n"/>
      <c r="I187" s="60" t="n"/>
      <c r="J187" s="60" t="n"/>
      <c r="K187" s="60" t="n"/>
      <c r="L187" s="60" t="n"/>
      <c r="M187" s="61">
        <f>IF(NOT((COUNTA($B187:$D187)+COUNTA($G187:$L187)+COUNTA($Q187))&gt;0),"",IF(ISNUMBER($G187),1,IF(N($W187)&gt;0,AVERAGEIFS($X$5:$X$1000,$U$5:$U$1000,ROW(),$V$5:$V$1000,"Sub"),$X187)))</f>
        <v/>
      </c>
      <c r="N187" s="56">
        <f>IF($M187="","",IF($M187&gt;=1,"Completado",IF($M187&gt;0,"En curso","Pendiente")))</f>
        <v/>
      </c>
      <c r="O187" s="56">
        <f>IF(NOT((COUNTA($B187:$D187)+COUNTA($G187:$L187)+COUNTA($Q187))&gt;0),"",IF(ISNUMBER($G187),IF(AND(ISNUMBER($AN187),$G187&gt;$AN187),"Cumplida con "&amp;($G187-$AN187)&amp;IF($G187-$AN187=1," día"," días")&amp;" de retraso","Cumplida"),IF(N($M187)&gt;=1,"Cumplida",IF(NOT(ISNUMBER($AN187)),"Sin fecha límite",IF($AN187&lt;FechaRef,"Vencida hace "&amp;(FechaRef-$AN187)&amp;IF(FechaRef-$AN187=1," día"," días"),IF($AN187=FechaRef,"Vence hoy",IF($AN187-FechaRef&lt;=DiasAlerta,"Vence en "&amp;($AN187-FechaRef)&amp;IF($AN187-FechaRef=1," día"," días"),"En plazo")))))))</f>
        <v/>
      </c>
      <c r="P187" s="62" t="n"/>
      <c r="Q187" s="58" t="n"/>
      <c r="R187" s="63">
        <f>IF(NOT((COUNTA($B187:$D187)+COUNTA($G187:$L187)+COUNTA($Q187))&gt;0),"",IF((IF($C187="","Falta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",""))="","✔ OK","⚠ "&amp;LEFT(IF($C187="","Falta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",""),LEN(IF($C187="","Falta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",""))-3)))</f>
        <v/>
      </c>
      <c r="S187" s="64">
        <f>IF(NOT((COUNTA($B187:$D187)+COUNTA($G187:$L187)+COUNTA($Q187))&gt;0),"",IF(AND($V187="Sub",N($U187)&gt;0),IF(ISNUMBER(INDEX($AM$5:$AM$1000,$U187-4)),DATE(YEAR(INDEX($AM$5:$AM$1000,$U187-4)),MONTH(INDEX($AM$5:$AM$1000,$U187-4)),1),IF(ISNUMBER(INDEX($AN$5:$AN$1000,$U187-4)),DATE(YEAR(INDEX($AN$5:$AN$1000,$U187-4)),MONTH(INDEX($AN$5:$AN$1000,$U187-4)),1),MesCiclo)),IF(ISNUMBER($AM187),DATE(YEAR($AM187),MONTH($AM187),1),IF(ISNUMBER($AN187),DATE(YEAR($AN187),MONTH($AN187),1),MesCiclo))))</f>
        <v/>
      </c>
      <c r="T187" s="62">
        <f>IF(OR($S187="",$S187&lt;&gt;MesCiclo),"",COUNTIF($S$5:$S187,MesCiclo))</f>
        <v/>
      </c>
      <c r="U187" s="62">
        <f>IF($V187="","",IF($V187="Macro",ROW(),IFERROR(LOOKUP(2,1/($V$5:$V187="Macro"),ROW($V$5:$V187)),0)))</f>
        <v/>
      </c>
      <c r="V187" s="62">
        <f>IF(NOT((COUNTA($B187:$D187)+COUNTA($G187:$L187)+COUNTA($Q187))&gt;0),"",IF($B187="Subactividad","Sub","Macro"))</f>
        <v/>
      </c>
      <c r="W187" s="62">
        <f>IF($V187="Macro",COUNTIFS($U$5:$U$1000,ROW(),$V$5:$V$1000,"Sub"),"")</f>
        <v/>
      </c>
      <c r="X187" s="62">
        <f>IF($V187="","",IF(ISNUMBER($G187),1,IFERROR(LOOKUP(2,1/($I187:$L187&lt;&gt;""),$I187:$L187),0)))</f>
        <v/>
      </c>
      <c r="Y187" s="62">
        <f>IF($V187="","",IF(AND(ISNUMBER($G187),$G187&lt;=IF($S187=MesCiclo,InicioCiclo,$S187+MOD(2-WEEKDAY($S187),7))+6),1,IF(ISNUMBER($I187),$I187,0)))</f>
        <v/>
      </c>
      <c r="Z187" s="62">
        <f>IF($V187="","",IF(AND(ISNUMBER($G187),$G187&lt;=IF($S187=MesCiclo,InicioCiclo,$S187+MOD(2-WEEKDAY($S187),7))+13),1,IF(ISNUMBER($J187),$J187,$Y187)))</f>
        <v/>
      </c>
      <c r="AA187" s="62">
        <f>IF($V187="","",IF(AND(ISNUMBER($G187),$G187&lt;=IF($S187=MesCiclo,InicioCiclo,$S187+MOD(2-WEEKDAY($S187),7))+20),1,IF(ISNUMBER($K187),$K187,$Z187)))</f>
        <v/>
      </c>
      <c r="AB187" s="62">
        <f>IF($V187="","",IF(AND(ISNUMBER($G187),$G187&lt;=IF($S187=MesCiclo,InicioCiclo,$S187+MOD(2-WEEKDAY($S187),7))+27),1,IF(ISNUMBER($L187),$L187,$AA187)))</f>
        <v/>
      </c>
      <c r="AC187" s="62">
        <f>IF($V187="","",IF(AND(ISNUMBER($G187),$G187&lt;=IF($S187=MesCiclo,InicioCiclo,$S187+MOD(2-WEEKDAY($S187),7))+6),1,IF(N($W187)&gt;0,AVERAGEIFS($Y$5:$Y$1000,$U$5:$U$1000,ROW(),$V$5:$V$1000,"Sub"),$Y187)))</f>
        <v/>
      </c>
      <c r="AD187" s="62">
        <f>IF($V187="","",IF(AND(ISNUMBER($G187),$G187&lt;=IF($S187=MesCiclo,InicioCiclo,$S187+MOD(2-WEEKDAY($S187),7))+13),1,IF(N($W187)&gt;0,AVERAGEIFS($Z$5:$Z$1000,$U$5:$U$1000,ROW(),$V$5:$V$1000,"Sub"),$Z187)))</f>
        <v/>
      </c>
      <c r="AE187" s="62">
        <f>IF($V187="","",IF(AND(ISNUMBER($G187),$G187&lt;=IF($S187=MesCiclo,InicioCiclo,$S187+MOD(2-WEEKDAY($S187),7))+20),1,IF(N($W187)&gt;0,AVERAGEIFS($AA$5:$AA$1000,$U$5:$U$1000,ROW(),$V$5:$V$1000,"Sub"),$AA187)))</f>
        <v/>
      </c>
      <c r="AF187" s="62">
        <f>IF($V187="","",IF(AND(ISNUMBER($G187),$G187&lt;=IF($S187=MesCiclo,InicioCiclo,$S187+MOD(2-WEEKDAY($S187),7))+27),1,IF(N($W187)&gt;0,AVERAGEIFS($AB$5:$AB$1000,$U$5:$U$1000,ROW(),$V$5:$V$1000,"Sub"),$AB187)))</f>
        <v/>
      </c>
      <c r="AG187" s="62">
        <f>IF($V187&lt;&gt;"Macro","",IF(COUNTIFS($S$5:$S$1000,$S187,$V$5:$V$1000,"Macro",$H$5:$H$1000,"&gt;0")=0,1/COUNTIFS($S$5:$S$1000,$S187,$V$5:$V$1000,"Macro"),IF(AND(ISNUMBER($H187),N($H187)&gt;0),$H187,SUMIFS($H$5:$H$1000,$S$5:$S$1000,$S187,$V$5:$V$1000,"Macro")/COUNTIFS($S$5:$S$1000,$S187,$V$5:$V$1000,"Macro",$H$5:$H$1000,"&gt;0"))/(COUNTIFS($S$5:$S$1000,$S187,$V$5:$V$1000,"Macro")*SUMIFS($H$5:$H$1000,$S$5:$S$1000,$S187,$V$5:$V$1000,"Macro")/COUNTIFS($S$5:$S$1000,$S187,$V$5:$V$1000,"Macro",$H$5:$H$1000,"&gt;0"))))</f>
        <v/>
      </c>
      <c r="AH187" s="62" t="n"/>
      <c r="AI187" s="62" t="n"/>
      <c r="AJ187" s="62" t="n"/>
      <c r="AK187" s="62" t="n"/>
      <c r="AL187" s="62">
        <f>IF(LEFT($C187,11)="[Jefatura] ",IFERROR(MATCH("Riesgo Normativo|"&amp;MID($C187,12,500),rDname_ADM,0),0),"")</f>
        <v/>
      </c>
      <c r="AM187" s="62">
        <f>IF(N($AL187)&gt;0,INDEX(rIni_ADM,$AL187),IF(ISNUMBER($E187),$E187,""))</f>
        <v/>
      </c>
      <c r="AN187" s="62">
        <f>IF(N($AL187)&gt;0,INDEX(rLim_ADM,$AL187),IF(ISNUMBER($F187),$F187,""))</f>
        <v/>
      </c>
    </row>
    <row r="188">
      <c r="A188" s="56">
        <f>IF(NOT((COUNTA($B188:$D188)+COUNTA($G188:$L188)+COUNTA($Q188))&gt;0),"",IF($V188="Macro",COUNTIFS($V$5:$V188,"Macro",$S$5:$S188,$S188),IF(N($U188)=0,"?",COUNTIFS(INDEX($V$5:$V$1000,1):INDEX($V$5:$V$1000,$U188-4),"Macro",INDEX($S$5:$S$1000,1):INDEX($S$5:$S$1000,$U188-4),INDEX($S$5:$S$1000,$U188-4))&amp;"."&amp;COUNTIFS($U$5:$U188,$U188,$V$5:$V188,"Sub"))))</f>
        <v/>
      </c>
      <c r="B188" s="57" t="n"/>
      <c r="C188" s="58" t="n"/>
      <c r="D188" s="58" t="n"/>
      <c r="E188" s="59">
        <f>IF(N($AL188)&gt;0,INDEX(rIni_ADM,$AL188),"")</f>
        <v/>
      </c>
      <c r="F188" s="59">
        <f>IF(N($AL188)&gt;0,INDEX(rLim_ADM,$AL188),"")</f>
        <v/>
      </c>
      <c r="G188" s="59" t="n"/>
      <c r="H188" s="60" t="n"/>
      <c r="I188" s="60" t="n"/>
      <c r="J188" s="60" t="n"/>
      <c r="K188" s="60" t="n"/>
      <c r="L188" s="60" t="n"/>
      <c r="M188" s="61">
        <f>IF(NOT((COUNTA($B188:$D188)+COUNTA($G188:$L188)+COUNTA($Q188))&gt;0),"",IF(ISNUMBER($G188),1,IF(N($W188)&gt;0,AVERAGEIFS($X$5:$X$1000,$U$5:$U$1000,ROW(),$V$5:$V$1000,"Sub"),$X188)))</f>
        <v/>
      </c>
      <c r="N188" s="56">
        <f>IF($M188="","",IF($M188&gt;=1,"Completado",IF($M188&gt;0,"En curso","Pendiente")))</f>
        <v/>
      </c>
      <c r="O188" s="56">
        <f>IF(NOT((COUNTA($B188:$D188)+COUNTA($G188:$L188)+COUNTA($Q188))&gt;0),"",IF(ISNUMBER($G188),IF(AND(ISNUMBER($AN188),$G188&gt;$AN188),"Cumplida con "&amp;($G188-$AN188)&amp;IF($G188-$AN188=1," día"," días")&amp;" de retraso","Cumplida"),IF(N($M188)&gt;=1,"Cumplida",IF(NOT(ISNUMBER($AN188)),"Sin fecha límite",IF($AN188&lt;FechaRef,"Vencida hace "&amp;(FechaRef-$AN188)&amp;IF(FechaRef-$AN188=1," día"," días"),IF($AN188=FechaRef,"Vence hoy",IF($AN188-FechaRef&lt;=DiasAlerta,"Vence en "&amp;($AN188-FechaRef)&amp;IF($AN188-FechaRef=1," día"," días"),"En plazo")))))))</f>
        <v/>
      </c>
      <c r="P188" s="62" t="n"/>
      <c r="Q188" s="58" t="n"/>
      <c r="R188" s="63">
        <f>IF(NOT((COUNTA($B188:$D188)+COUNTA($G188:$L188)+COUNTA($Q188))&gt;0),"",IF((IF($C188="","Falta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",""))="","✔ OK","⚠ "&amp;LEFT(IF($C188="","Falta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",""),LEN(IF($C188="","Falta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",""))-3)))</f>
        <v/>
      </c>
      <c r="S188" s="64">
        <f>IF(NOT((COUNTA($B188:$D188)+COUNTA($G188:$L188)+COUNTA($Q188))&gt;0),"",IF(AND($V188="Sub",N($U188)&gt;0),IF(ISNUMBER(INDEX($AM$5:$AM$1000,$U188-4)),DATE(YEAR(INDEX($AM$5:$AM$1000,$U188-4)),MONTH(INDEX($AM$5:$AM$1000,$U188-4)),1),IF(ISNUMBER(INDEX($AN$5:$AN$1000,$U188-4)),DATE(YEAR(INDEX($AN$5:$AN$1000,$U188-4)),MONTH(INDEX($AN$5:$AN$1000,$U188-4)),1),MesCiclo)),IF(ISNUMBER($AM188),DATE(YEAR($AM188),MONTH($AM188),1),IF(ISNUMBER($AN188),DATE(YEAR($AN188),MONTH($AN188),1),MesCiclo))))</f>
        <v/>
      </c>
      <c r="T188" s="62">
        <f>IF(OR($S188="",$S188&lt;&gt;MesCiclo),"",COUNTIF($S$5:$S188,MesCiclo))</f>
        <v/>
      </c>
      <c r="U188" s="62">
        <f>IF($V188="","",IF($V188="Macro",ROW(),IFERROR(LOOKUP(2,1/($V$5:$V188="Macro"),ROW($V$5:$V188)),0)))</f>
        <v/>
      </c>
      <c r="V188" s="62">
        <f>IF(NOT((COUNTA($B188:$D188)+COUNTA($G188:$L188)+COUNTA($Q188))&gt;0),"",IF($B188="Subactividad","Sub","Macro"))</f>
        <v/>
      </c>
      <c r="W188" s="62">
        <f>IF($V188="Macro",COUNTIFS($U$5:$U$1000,ROW(),$V$5:$V$1000,"Sub"),"")</f>
        <v/>
      </c>
      <c r="X188" s="62">
        <f>IF($V188="","",IF(ISNUMBER($G188),1,IFERROR(LOOKUP(2,1/($I188:$L188&lt;&gt;""),$I188:$L188),0)))</f>
        <v/>
      </c>
      <c r="Y188" s="62">
        <f>IF($V188="","",IF(AND(ISNUMBER($G188),$G188&lt;=IF($S188=MesCiclo,InicioCiclo,$S188+MOD(2-WEEKDAY($S188),7))+6),1,IF(ISNUMBER($I188),$I188,0)))</f>
        <v/>
      </c>
      <c r="Z188" s="62">
        <f>IF($V188="","",IF(AND(ISNUMBER($G188),$G188&lt;=IF($S188=MesCiclo,InicioCiclo,$S188+MOD(2-WEEKDAY($S188),7))+13),1,IF(ISNUMBER($J188),$J188,$Y188)))</f>
        <v/>
      </c>
      <c r="AA188" s="62">
        <f>IF($V188="","",IF(AND(ISNUMBER($G188),$G188&lt;=IF($S188=MesCiclo,InicioCiclo,$S188+MOD(2-WEEKDAY($S188),7))+20),1,IF(ISNUMBER($K188),$K188,$Z188)))</f>
        <v/>
      </c>
      <c r="AB188" s="62">
        <f>IF($V188="","",IF(AND(ISNUMBER($G188),$G188&lt;=IF($S188=MesCiclo,InicioCiclo,$S188+MOD(2-WEEKDAY($S188),7))+27),1,IF(ISNUMBER($L188),$L188,$AA188)))</f>
        <v/>
      </c>
      <c r="AC188" s="62">
        <f>IF($V188="","",IF(AND(ISNUMBER($G188),$G188&lt;=IF($S188=MesCiclo,InicioCiclo,$S188+MOD(2-WEEKDAY($S188),7))+6),1,IF(N($W188)&gt;0,AVERAGEIFS($Y$5:$Y$1000,$U$5:$U$1000,ROW(),$V$5:$V$1000,"Sub"),$Y188)))</f>
        <v/>
      </c>
      <c r="AD188" s="62">
        <f>IF($V188="","",IF(AND(ISNUMBER($G188),$G188&lt;=IF($S188=MesCiclo,InicioCiclo,$S188+MOD(2-WEEKDAY($S188),7))+13),1,IF(N($W188)&gt;0,AVERAGEIFS($Z$5:$Z$1000,$U$5:$U$1000,ROW(),$V$5:$V$1000,"Sub"),$Z188)))</f>
        <v/>
      </c>
      <c r="AE188" s="62">
        <f>IF($V188="","",IF(AND(ISNUMBER($G188),$G188&lt;=IF($S188=MesCiclo,InicioCiclo,$S188+MOD(2-WEEKDAY($S188),7))+20),1,IF(N($W188)&gt;0,AVERAGEIFS($AA$5:$AA$1000,$U$5:$U$1000,ROW(),$V$5:$V$1000,"Sub"),$AA188)))</f>
        <v/>
      </c>
      <c r="AF188" s="62">
        <f>IF($V188="","",IF(AND(ISNUMBER($G188),$G188&lt;=IF($S188=MesCiclo,InicioCiclo,$S188+MOD(2-WEEKDAY($S188),7))+27),1,IF(N($W188)&gt;0,AVERAGEIFS($AB$5:$AB$1000,$U$5:$U$1000,ROW(),$V$5:$V$1000,"Sub"),$AB188)))</f>
        <v/>
      </c>
      <c r="AG188" s="62">
        <f>IF($V188&lt;&gt;"Macro","",IF(COUNTIFS($S$5:$S$1000,$S188,$V$5:$V$1000,"Macro",$H$5:$H$1000,"&gt;0")=0,1/COUNTIFS($S$5:$S$1000,$S188,$V$5:$V$1000,"Macro"),IF(AND(ISNUMBER($H188),N($H188)&gt;0),$H188,SUMIFS($H$5:$H$1000,$S$5:$S$1000,$S188,$V$5:$V$1000,"Macro")/COUNTIFS($S$5:$S$1000,$S188,$V$5:$V$1000,"Macro",$H$5:$H$1000,"&gt;0"))/(COUNTIFS($S$5:$S$1000,$S188,$V$5:$V$1000,"Macro")*SUMIFS($H$5:$H$1000,$S$5:$S$1000,$S188,$V$5:$V$1000,"Macro")/COUNTIFS($S$5:$S$1000,$S188,$V$5:$V$1000,"Macro",$H$5:$H$1000,"&gt;0"))))</f>
        <v/>
      </c>
      <c r="AH188" s="62" t="n"/>
      <c r="AI188" s="62" t="n"/>
      <c r="AJ188" s="62" t="n"/>
      <c r="AK188" s="62" t="n"/>
      <c r="AL188" s="62">
        <f>IF(LEFT($C188,11)="[Jefatura] ",IFERROR(MATCH("Riesgo Normativo|"&amp;MID($C188,12,500),rDname_ADM,0),0),"")</f>
        <v/>
      </c>
      <c r="AM188" s="62">
        <f>IF(N($AL188)&gt;0,INDEX(rIni_ADM,$AL188),IF(ISNUMBER($E188),$E188,""))</f>
        <v/>
      </c>
      <c r="AN188" s="62">
        <f>IF(N($AL188)&gt;0,INDEX(rLim_ADM,$AL188),IF(ISNUMBER($F188),$F188,""))</f>
        <v/>
      </c>
    </row>
    <row r="189">
      <c r="A189" s="56">
        <f>IF(NOT((COUNTA($B189:$D189)+COUNTA($G189:$L189)+COUNTA($Q189))&gt;0),"",IF($V189="Macro",COUNTIFS($V$5:$V189,"Macro",$S$5:$S189,$S189),IF(N($U189)=0,"?",COUNTIFS(INDEX($V$5:$V$1000,1):INDEX($V$5:$V$1000,$U189-4),"Macro",INDEX($S$5:$S$1000,1):INDEX($S$5:$S$1000,$U189-4),INDEX($S$5:$S$1000,$U189-4))&amp;"."&amp;COUNTIFS($U$5:$U189,$U189,$V$5:$V189,"Sub"))))</f>
        <v/>
      </c>
      <c r="B189" s="57" t="n"/>
      <c r="C189" s="58" t="n"/>
      <c r="D189" s="58" t="n"/>
      <c r="E189" s="59">
        <f>IF(N($AL189)&gt;0,INDEX(rIni_ADM,$AL189),"")</f>
        <v/>
      </c>
      <c r="F189" s="59">
        <f>IF(N($AL189)&gt;0,INDEX(rLim_ADM,$AL189),"")</f>
        <v/>
      </c>
      <c r="G189" s="59" t="n"/>
      <c r="H189" s="60" t="n"/>
      <c r="I189" s="60" t="n"/>
      <c r="J189" s="60" t="n"/>
      <c r="K189" s="60" t="n"/>
      <c r="L189" s="60" t="n"/>
      <c r="M189" s="61">
        <f>IF(NOT((COUNTA($B189:$D189)+COUNTA($G189:$L189)+COUNTA($Q189))&gt;0),"",IF(ISNUMBER($G189),1,IF(N($W189)&gt;0,AVERAGEIFS($X$5:$X$1000,$U$5:$U$1000,ROW(),$V$5:$V$1000,"Sub"),$X189)))</f>
        <v/>
      </c>
      <c r="N189" s="56">
        <f>IF($M189="","",IF($M189&gt;=1,"Completado",IF($M189&gt;0,"En curso","Pendiente")))</f>
        <v/>
      </c>
      <c r="O189" s="56">
        <f>IF(NOT((COUNTA($B189:$D189)+COUNTA($G189:$L189)+COUNTA($Q189))&gt;0),"",IF(ISNUMBER($G189),IF(AND(ISNUMBER($AN189),$G189&gt;$AN189),"Cumplida con "&amp;($G189-$AN189)&amp;IF($G189-$AN189=1," día"," días")&amp;" de retraso","Cumplida"),IF(N($M189)&gt;=1,"Cumplida",IF(NOT(ISNUMBER($AN189)),"Sin fecha límite",IF($AN189&lt;FechaRef,"Vencida hace "&amp;(FechaRef-$AN189)&amp;IF(FechaRef-$AN189=1," día"," días"),IF($AN189=FechaRef,"Vence hoy",IF($AN189-FechaRef&lt;=DiasAlerta,"Vence en "&amp;($AN189-FechaRef)&amp;IF($AN189-FechaRef=1," día"," días"),"En plazo")))))))</f>
        <v/>
      </c>
      <c r="P189" s="62" t="n"/>
      <c r="Q189" s="58" t="n"/>
      <c r="R189" s="63">
        <f>IF(NOT((COUNTA($B189:$D189)+COUNTA($G189:$L189)+COUNTA($Q189))&gt;0),"",IF((IF($C189="","Falta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",""))="","✔ OK","⚠ "&amp;LEFT(IF($C189="","Falta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",""),LEN(IF($C189="","Falta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",""))-3)))</f>
        <v/>
      </c>
      <c r="S189" s="64">
        <f>IF(NOT((COUNTA($B189:$D189)+COUNTA($G189:$L189)+COUNTA($Q189))&gt;0),"",IF(AND($V189="Sub",N($U189)&gt;0),IF(ISNUMBER(INDEX($AM$5:$AM$1000,$U189-4)),DATE(YEAR(INDEX($AM$5:$AM$1000,$U189-4)),MONTH(INDEX($AM$5:$AM$1000,$U189-4)),1),IF(ISNUMBER(INDEX($AN$5:$AN$1000,$U189-4)),DATE(YEAR(INDEX($AN$5:$AN$1000,$U189-4)),MONTH(INDEX($AN$5:$AN$1000,$U189-4)),1),MesCiclo)),IF(ISNUMBER($AM189),DATE(YEAR($AM189),MONTH($AM189),1),IF(ISNUMBER($AN189),DATE(YEAR($AN189),MONTH($AN189),1),MesCiclo))))</f>
        <v/>
      </c>
      <c r="T189" s="62">
        <f>IF(OR($S189="",$S189&lt;&gt;MesCiclo),"",COUNTIF($S$5:$S189,MesCiclo))</f>
        <v/>
      </c>
      <c r="U189" s="62">
        <f>IF($V189="","",IF($V189="Macro",ROW(),IFERROR(LOOKUP(2,1/($V$5:$V189="Macro"),ROW($V$5:$V189)),0)))</f>
        <v/>
      </c>
      <c r="V189" s="62">
        <f>IF(NOT((COUNTA($B189:$D189)+COUNTA($G189:$L189)+COUNTA($Q189))&gt;0),"",IF($B189="Subactividad","Sub","Macro"))</f>
        <v/>
      </c>
      <c r="W189" s="62">
        <f>IF($V189="Macro",COUNTIFS($U$5:$U$1000,ROW(),$V$5:$V$1000,"Sub"),"")</f>
        <v/>
      </c>
      <c r="X189" s="62">
        <f>IF($V189="","",IF(ISNUMBER($G189),1,IFERROR(LOOKUP(2,1/($I189:$L189&lt;&gt;""),$I189:$L189),0)))</f>
        <v/>
      </c>
      <c r="Y189" s="62">
        <f>IF($V189="","",IF(AND(ISNUMBER($G189),$G189&lt;=IF($S189=MesCiclo,InicioCiclo,$S189+MOD(2-WEEKDAY($S189),7))+6),1,IF(ISNUMBER($I189),$I189,0)))</f>
        <v/>
      </c>
      <c r="Z189" s="62">
        <f>IF($V189="","",IF(AND(ISNUMBER($G189),$G189&lt;=IF($S189=MesCiclo,InicioCiclo,$S189+MOD(2-WEEKDAY($S189),7))+13),1,IF(ISNUMBER($J189),$J189,$Y189)))</f>
        <v/>
      </c>
      <c r="AA189" s="62">
        <f>IF($V189="","",IF(AND(ISNUMBER($G189),$G189&lt;=IF($S189=MesCiclo,InicioCiclo,$S189+MOD(2-WEEKDAY($S189),7))+20),1,IF(ISNUMBER($K189),$K189,$Z189)))</f>
        <v/>
      </c>
      <c r="AB189" s="62">
        <f>IF($V189="","",IF(AND(ISNUMBER($G189),$G189&lt;=IF($S189=MesCiclo,InicioCiclo,$S189+MOD(2-WEEKDAY($S189),7))+27),1,IF(ISNUMBER($L189),$L189,$AA189)))</f>
        <v/>
      </c>
      <c r="AC189" s="62">
        <f>IF($V189="","",IF(AND(ISNUMBER($G189),$G189&lt;=IF($S189=MesCiclo,InicioCiclo,$S189+MOD(2-WEEKDAY($S189),7))+6),1,IF(N($W189)&gt;0,AVERAGEIFS($Y$5:$Y$1000,$U$5:$U$1000,ROW(),$V$5:$V$1000,"Sub"),$Y189)))</f>
        <v/>
      </c>
      <c r="AD189" s="62">
        <f>IF($V189="","",IF(AND(ISNUMBER($G189),$G189&lt;=IF($S189=MesCiclo,InicioCiclo,$S189+MOD(2-WEEKDAY($S189),7))+13),1,IF(N($W189)&gt;0,AVERAGEIFS($Z$5:$Z$1000,$U$5:$U$1000,ROW(),$V$5:$V$1000,"Sub"),$Z189)))</f>
        <v/>
      </c>
      <c r="AE189" s="62">
        <f>IF($V189="","",IF(AND(ISNUMBER($G189),$G189&lt;=IF($S189=MesCiclo,InicioCiclo,$S189+MOD(2-WEEKDAY($S189),7))+20),1,IF(N($W189)&gt;0,AVERAGEIFS($AA$5:$AA$1000,$U$5:$U$1000,ROW(),$V$5:$V$1000,"Sub"),$AA189)))</f>
        <v/>
      </c>
      <c r="AF189" s="62">
        <f>IF($V189="","",IF(AND(ISNUMBER($G189),$G189&lt;=IF($S189=MesCiclo,InicioCiclo,$S189+MOD(2-WEEKDAY($S189),7))+27),1,IF(N($W189)&gt;0,AVERAGEIFS($AB$5:$AB$1000,$U$5:$U$1000,ROW(),$V$5:$V$1000,"Sub"),$AB189)))</f>
        <v/>
      </c>
      <c r="AG189" s="62">
        <f>IF($V189&lt;&gt;"Macro","",IF(COUNTIFS($S$5:$S$1000,$S189,$V$5:$V$1000,"Macro",$H$5:$H$1000,"&gt;0")=0,1/COUNTIFS($S$5:$S$1000,$S189,$V$5:$V$1000,"Macro"),IF(AND(ISNUMBER($H189),N($H189)&gt;0),$H189,SUMIFS($H$5:$H$1000,$S$5:$S$1000,$S189,$V$5:$V$1000,"Macro")/COUNTIFS($S$5:$S$1000,$S189,$V$5:$V$1000,"Macro",$H$5:$H$1000,"&gt;0"))/(COUNTIFS($S$5:$S$1000,$S189,$V$5:$V$1000,"Macro")*SUMIFS($H$5:$H$1000,$S$5:$S$1000,$S189,$V$5:$V$1000,"Macro")/COUNTIFS($S$5:$S$1000,$S189,$V$5:$V$1000,"Macro",$H$5:$H$1000,"&gt;0"))))</f>
        <v/>
      </c>
      <c r="AH189" s="62" t="n"/>
      <c r="AI189" s="62" t="n"/>
      <c r="AJ189" s="62" t="n"/>
      <c r="AK189" s="62" t="n"/>
      <c r="AL189" s="62">
        <f>IF(LEFT($C189,11)="[Jefatura] ",IFERROR(MATCH("Riesgo Normativo|"&amp;MID($C189,12,500),rDname_ADM,0),0),"")</f>
        <v/>
      </c>
      <c r="AM189" s="62">
        <f>IF(N($AL189)&gt;0,INDEX(rIni_ADM,$AL189),IF(ISNUMBER($E189),$E189,""))</f>
        <v/>
      </c>
      <c r="AN189" s="62">
        <f>IF(N($AL189)&gt;0,INDEX(rLim_ADM,$AL189),IF(ISNUMBER($F189),$F189,""))</f>
        <v/>
      </c>
    </row>
    <row r="190">
      <c r="A190" s="56">
        <f>IF(NOT((COUNTA($B190:$D190)+COUNTA($G190:$L190)+COUNTA($Q190))&gt;0),"",IF($V190="Macro",COUNTIFS($V$5:$V190,"Macro",$S$5:$S190,$S190),IF(N($U190)=0,"?",COUNTIFS(INDEX($V$5:$V$1000,1):INDEX($V$5:$V$1000,$U190-4),"Macro",INDEX($S$5:$S$1000,1):INDEX($S$5:$S$1000,$U190-4),INDEX($S$5:$S$1000,$U190-4))&amp;"."&amp;COUNTIFS($U$5:$U190,$U190,$V$5:$V190,"Sub"))))</f>
        <v/>
      </c>
      <c r="B190" s="57" t="n"/>
      <c r="C190" s="58" t="n"/>
      <c r="D190" s="58" t="n"/>
      <c r="E190" s="59">
        <f>IF(N($AL190)&gt;0,INDEX(rIni_ADM,$AL190),"")</f>
        <v/>
      </c>
      <c r="F190" s="59">
        <f>IF(N($AL190)&gt;0,INDEX(rLim_ADM,$AL190),"")</f>
        <v/>
      </c>
      <c r="G190" s="59" t="n"/>
      <c r="H190" s="60" t="n"/>
      <c r="I190" s="60" t="n"/>
      <c r="J190" s="60" t="n"/>
      <c r="K190" s="60" t="n"/>
      <c r="L190" s="60" t="n"/>
      <c r="M190" s="61">
        <f>IF(NOT((COUNTA($B190:$D190)+COUNTA($G190:$L190)+COUNTA($Q190))&gt;0),"",IF(ISNUMBER($G190),1,IF(N($W190)&gt;0,AVERAGEIFS($X$5:$X$1000,$U$5:$U$1000,ROW(),$V$5:$V$1000,"Sub"),$X190)))</f>
        <v/>
      </c>
      <c r="N190" s="56">
        <f>IF($M190="","",IF($M190&gt;=1,"Completado",IF($M190&gt;0,"En curso","Pendiente")))</f>
        <v/>
      </c>
      <c r="O190" s="56">
        <f>IF(NOT((COUNTA($B190:$D190)+COUNTA($G190:$L190)+COUNTA($Q190))&gt;0),"",IF(ISNUMBER($G190),IF(AND(ISNUMBER($AN190),$G190&gt;$AN190),"Cumplida con "&amp;($G190-$AN190)&amp;IF($G190-$AN190=1," día"," días")&amp;" de retraso","Cumplida"),IF(N($M190)&gt;=1,"Cumplida",IF(NOT(ISNUMBER($AN190)),"Sin fecha límite",IF($AN190&lt;FechaRef,"Vencida hace "&amp;(FechaRef-$AN190)&amp;IF(FechaRef-$AN190=1," día"," días"),IF($AN190=FechaRef,"Vence hoy",IF($AN190-FechaRef&lt;=DiasAlerta,"Vence en "&amp;($AN190-FechaRef)&amp;IF($AN190-FechaRef=1," día"," días"),"En plazo")))))))</f>
        <v/>
      </c>
      <c r="P190" s="62" t="n"/>
      <c r="Q190" s="58" t="n"/>
      <c r="R190" s="63">
        <f>IF(NOT((COUNTA($B190:$D190)+COUNTA($G190:$L190)+COUNTA($Q190))&gt;0),"",IF((IF($C190="","Falta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",""))="","✔ OK","⚠ "&amp;LEFT(IF($C190="","Falta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",""),LEN(IF($C190="","Falta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",""))-3)))</f>
        <v/>
      </c>
      <c r="S190" s="64">
        <f>IF(NOT((COUNTA($B190:$D190)+COUNTA($G190:$L190)+COUNTA($Q190))&gt;0),"",IF(AND($V190="Sub",N($U190)&gt;0),IF(ISNUMBER(INDEX($AM$5:$AM$1000,$U190-4)),DATE(YEAR(INDEX($AM$5:$AM$1000,$U190-4)),MONTH(INDEX($AM$5:$AM$1000,$U190-4)),1),IF(ISNUMBER(INDEX($AN$5:$AN$1000,$U190-4)),DATE(YEAR(INDEX($AN$5:$AN$1000,$U190-4)),MONTH(INDEX($AN$5:$AN$1000,$U190-4)),1),MesCiclo)),IF(ISNUMBER($AM190),DATE(YEAR($AM190),MONTH($AM190),1),IF(ISNUMBER($AN190),DATE(YEAR($AN190),MONTH($AN190),1),MesCiclo))))</f>
        <v/>
      </c>
      <c r="T190" s="62">
        <f>IF(OR($S190="",$S190&lt;&gt;MesCiclo),"",COUNTIF($S$5:$S190,MesCiclo))</f>
        <v/>
      </c>
      <c r="U190" s="62">
        <f>IF($V190="","",IF($V190="Macro",ROW(),IFERROR(LOOKUP(2,1/($V$5:$V190="Macro"),ROW($V$5:$V190)),0)))</f>
        <v/>
      </c>
      <c r="V190" s="62">
        <f>IF(NOT((COUNTA($B190:$D190)+COUNTA($G190:$L190)+COUNTA($Q190))&gt;0),"",IF($B190="Subactividad","Sub","Macro"))</f>
        <v/>
      </c>
      <c r="W190" s="62">
        <f>IF($V190="Macro",COUNTIFS($U$5:$U$1000,ROW(),$V$5:$V$1000,"Sub"),"")</f>
        <v/>
      </c>
      <c r="X190" s="62">
        <f>IF($V190="","",IF(ISNUMBER($G190),1,IFERROR(LOOKUP(2,1/($I190:$L190&lt;&gt;""),$I190:$L190),0)))</f>
        <v/>
      </c>
      <c r="Y190" s="62">
        <f>IF($V190="","",IF(AND(ISNUMBER($G190),$G190&lt;=IF($S190=MesCiclo,InicioCiclo,$S190+MOD(2-WEEKDAY($S190),7))+6),1,IF(ISNUMBER($I190),$I190,0)))</f>
        <v/>
      </c>
      <c r="Z190" s="62">
        <f>IF($V190="","",IF(AND(ISNUMBER($G190),$G190&lt;=IF($S190=MesCiclo,InicioCiclo,$S190+MOD(2-WEEKDAY($S190),7))+13),1,IF(ISNUMBER($J190),$J190,$Y190)))</f>
        <v/>
      </c>
      <c r="AA190" s="62">
        <f>IF($V190="","",IF(AND(ISNUMBER($G190),$G190&lt;=IF($S190=MesCiclo,InicioCiclo,$S190+MOD(2-WEEKDAY($S190),7))+20),1,IF(ISNUMBER($K190),$K190,$Z190)))</f>
        <v/>
      </c>
      <c r="AB190" s="62">
        <f>IF($V190="","",IF(AND(ISNUMBER($G190),$G190&lt;=IF($S190=MesCiclo,InicioCiclo,$S190+MOD(2-WEEKDAY($S190),7))+27),1,IF(ISNUMBER($L190),$L190,$AA190)))</f>
        <v/>
      </c>
      <c r="AC190" s="62">
        <f>IF($V190="","",IF(AND(ISNUMBER($G190),$G190&lt;=IF($S190=MesCiclo,InicioCiclo,$S190+MOD(2-WEEKDAY($S190),7))+6),1,IF(N($W190)&gt;0,AVERAGEIFS($Y$5:$Y$1000,$U$5:$U$1000,ROW(),$V$5:$V$1000,"Sub"),$Y190)))</f>
        <v/>
      </c>
      <c r="AD190" s="62">
        <f>IF($V190="","",IF(AND(ISNUMBER($G190),$G190&lt;=IF($S190=MesCiclo,InicioCiclo,$S190+MOD(2-WEEKDAY($S190),7))+13),1,IF(N($W190)&gt;0,AVERAGEIFS($Z$5:$Z$1000,$U$5:$U$1000,ROW(),$V$5:$V$1000,"Sub"),$Z190)))</f>
        <v/>
      </c>
      <c r="AE190" s="62">
        <f>IF($V190="","",IF(AND(ISNUMBER($G190),$G190&lt;=IF($S190=MesCiclo,InicioCiclo,$S190+MOD(2-WEEKDAY($S190),7))+20),1,IF(N($W190)&gt;0,AVERAGEIFS($AA$5:$AA$1000,$U$5:$U$1000,ROW(),$V$5:$V$1000,"Sub"),$AA190)))</f>
        <v/>
      </c>
      <c r="AF190" s="62">
        <f>IF($V190="","",IF(AND(ISNUMBER($G190),$G190&lt;=IF($S190=MesCiclo,InicioCiclo,$S190+MOD(2-WEEKDAY($S190),7))+27),1,IF(N($W190)&gt;0,AVERAGEIFS($AB$5:$AB$1000,$U$5:$U$1000,ROW(),$V$5:$V$1000,"Sub"),$AB190)))</f>
        <v/>
      </c>
      <c r="AG190" s="62">
        <f>IF($V190&lt;&gt;"Macro","",IF(COUNTIFS($S$5:$S$1000,$S190,$V$5:$V$1000,"Macro",$H$5:$H$1000,"&gt;0")=0,1/COUNTIFS($S$5:$S$1000,$S190,$V$5:$V$1000,"Macro"),IF(AND(ISNUMBER($H190),N($H190)&gt;0),$H190,SUMIFS($H$5:$H$1000,$S$5:$S$1000,$S190,$V$5:$V$1000,"Macro")/COUNTIFS($S$5:$S$1000,$S190,$V$5:$V$1000,"Macro",$H$5:$H$1000,"&gt;0"))/(COUNTIFS($S$5:$S$1000,$S190,$V$5:$V$1000,"Macro")*SUMIFS($H$5:$H$1000,$S$5:$S$1000,$S190,$V$5:$V$1000,"Macro")/COUNTIFS($S$5:$S$1000,$S190,$V$5:$V$1000,"Macro",$H$5:$H$1000,"&gt;0"))))</f>
        <v/>
      </c>
      <c r="AH190" s="62" t="n"/>
      <c r="AI190" s="62" t="n"/>
      <c r="AJ190" s="62" t="n"/>
      <c r="AK190" s="62" t="n"/>
      <c r="AL190" s="62">
        <f>IF(LEFT($C190,11)="[Jefatura] ",IFERROR(MATCH("Riesgo Normativo|"&amp;MID($C190,12,500),rDname_ADM,0),0),"")</f>
        <v/>
      </c>
      <c r="AM190" s="62">
        <f>IF(N($AL190)&gt;0,INDEX(rIni_ADM,$AL190),IF(ISNUMBER($E190),$E190,""))</f>
        <v/>
      </c>
      <c r="AN190" s="62">
        <f>IF(N($AL190)&gt;0,INDEX(rLim_ADM,$AL190),IF(ISNUMBER($F190),$F190,""))</f>
        <v/>
      </c>
    </row>
    <row r="191">
      <c r="A191" s="56">
        <f>IF(NOT((COUNTA($B191:$D191)+COUNTA($G191:$L191)+COUNTA($Q191))&gt;0),"",IF($V191="Macro",COUNTIFS($V$5:$V191,"Macro",$S$5:$S191,$S191),IF(N($U191)=0,"?",COUNTIFS(INDEX($V$5:$V$1000,1):INDEX($V$5:$V$1000,$U191-4),"Macro",INDEX($S$5:$S$1000,1):INDEX($S$5:$S$1000,$U191-4),INDEX($S$5:$S$1000,$U191-4))&amp;"."&amp;COUNTIFS($U$5:$U191,$U191,$V$5:$V191,"Sub"))))</f>
        <v/>
      </c>
      <c r="B191" s="57" t="n"/>
      <c r="C191" s="58" t="n"/>
      <c r="D191" s="58" t="n"/>
      <c r="E191" s="59">
        <f>IF(N($AL191)&gt;0,INDEX(rIni_ADM,$AL191),"")</f>
        <v/>
      </c>
      <c r="F191" s="59">
        <f>IF(N($AL191)&gt;0,INDEX(rLim_ADM,$AL191),"")</f>
        <v/>
      </c>
      <c r="G191" s="59" t="n"/>
      <c r="H191" s="60" t="n"/>
      <c r="I191" s="60" t="n"/>
      <c r="J191" s="60" t="n"/>
      <c r="K191" s="60" t="n"/>
      <c r="L191" s="60" t="n"/>
      <c r="M191" s="61">
        <f>IF(NOT((COUNTA($B191:$D191)+COUNTA($G191:$L191)+COUNTA($Q191))&gt;0),"",IF(ISNUMBER($G191),1,IF(N($W191)&gt;0,AVERAGEIFS($X$5:$X$1000,$U$5:$U$1000,ROW(),$V$5:$V$1000,"Sub"),$X191)))</f>
        <v/>
      </c>
      <c r="N191" s="56">
        <f>IF($M191="","",IF($M191&gt;=1,"Completado",IF($M191&gt;0,"En curso","Pendiente")))</f>
        <v/>
      </c>
      <c r="O191" s="56">
        <f>IF(NOT((COUNTA($B191:$D191)+COUNTA($G191:$L191)+COUNTA($Q191))&gt;0),"",IF(ISNUMBER($G191),IF(AND(ISNUMBER($AN191),$G191&gt;$AN191),"Cumplida con "&amp;($G191-$AN191)&amp;IF($G191-$AN191=1," día"," días")&amp;" de retraso","Cumplida"),IF(N($M191)&gt;=1,"Cumplida",IF(NOT(ISNUMBER($AN191)),"Sin fecha límite",IF($AN191&lt;FechaRef,"Vencida hace "&amp;(FechaRef-$AN191)&amp;IF(FechaRef-$AN191=1," día"," días"),IF($AN191=FechaRef,"Vence hoy",IF($AN191-FechaRef&lt;=DiasAlerta,"Vence en "&amp;($AN191-FechaRef)&amp;IF($AN191-FechaRef=1," día"," días"),"En plazo")))))))</f>
        <v/>
      </c>
      <c r="P191" s="62" t="n"/>
      <c r="Q191" s="58" t="n"/>
      <c r="R191" s="63">
        <f>IF(NOT((COUNTA($B191:$D191)+COUNTA($G191:$L191)+COUNTA($Q191))&gt;0),"",IF((IF($C191="","Falta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",""))="","✔ OK","⚠ "&amp;LEFT(IF($C191="","Falta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",""),LEN(IF($C191="","Falta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",""))-3)))</f>
        <v/>
      </c>
      <c r="S191" s="64">
        <f>IF(NOT((COUNTA($B191:$D191)+COUNTA($G191:$L191)+COUNTA($Q191))&gt;0),"",IF(AND($V191="Sub",N($U191)&gt;0),IF(ISNUMBER(INDEX($AM$5:$AM$1000,$U191-4)),DATE(YEAR(INDEX($AM$5:$AM$1000,$U191-4)),MONTH(INDEX($AM$5:$AM$1000,$U191-4)),1),IF(ISNUMBER(INDEX($AN$5:$AN$1000,$U191-4)),DATE(YEAR(INDEX($AN$5:$AN$1000,$U191-4)),MONTH(INDEX($AN$5:$AN$1000,$U191-4)),1),MesCiclo)),IF(ISNUMBER($AM191),DATE(YEAR($AM191),MONTH($AM191),1),IF(ISNUMBER($AN191),DATE(YEAR($AN191),MONTH($AN191),1),MesCiclo))))</f>
        <v/>
      </c>
      <c r="T191" s="62">
        <f>IF(OR($S191="",$S191&lt;&gt;MesCiclo),"",COUNTIF($S$5:$S191,MesCiclo))</f>
        <v/>
      </c>
      <c r="U191" s="62">
        <f>IF($V191="","",IF($V191="Macro",ROW(),IFERROR(LOOKUP(2,1/($V$5:$V191="Macro"),ROW($V$5:$V191)),0)))</f>
        <v/>
      </c>
      <c r="V191" s="62">
        <f>IF(NOT((COUNTA($B191:$D191)+COUNTA($G191:$L191)+COUNTA($Q191))&gt;0),"",IF($B191="Subactividad","Sub","Macro"))</f>
        <v/>
      </c>
      <c r="W191" s="62">
        <f>IF($V191="Macro",COUNTIFS($U$5:$U$1000,ROW(),$V$5:$V$1000,"Sub"),"")</f>
        <v/>
      </c>
      <c r="X191" s="62">
        <f>IF($V191="","",IF(ISNUMBER($G191),1,IFERROR(LOOKUP(2,1/($I191:$L191&lt;&gt;""),$I191:$L191),0)))</f>
        <v/>
      </c>
      <c r="Y191" s="62">
        <f>IF($V191="","",IF(AND(ISNUMBER($G191),$G191&lt;=IF($S191=MesCiclo,InicioCiclo,$S191+MOD(2-WEEKDAY($S191),7))+6),1,IF(ISNUMBER($I191),$I191,0)))</f>
        <v/>
      </c>
      <c r="Z191" s="62">
        <f>IF($V191="","",IF(AND(ISNUMBER($G191),$G191&lt;=IF($S191=MesCiclo,InicioCiclo,$S191+MOD(2-WEEKDAY($S191),7))+13),1,IF(ISNUMBER($J191),$J191,$Y191)))</f>
        <v/>
      </c>
      <c r="AA191" s="62">
        <f>IF($V191="","",IF(AND(ISNUMBER($G191),$G191&lt;=IF($S191=MesCiclo,InicioCiclo,$S191+MOD(2-WEEKDAY($S191),7))+20),1,IF(ISNUMBER($K191),$K191,$Z191)))</f>
        <v/>
      </c>
      <c r="AB191" s="62">
        <f>IF($V191="","",IF(AND(ISNUMBER($G191),$G191&lt;=IF($S191=MesCiclo,InicioCiclo,$S191+MOD(2-WEEKDAY($S191),7))+27),1,IF(ISNUMBER($L191),$L191,$AA191)))</f>
        <v/>
      </c>
      <c r="AC191" s="62">
        <f>IF($V191="","",IF(AND(ISNUMBER($G191),$G191&lt;=IF($S191=MesCiclo,InicioCiclo,$S191+MOD(2-WEEKDAY($S191),7))+6),1,IF(N($W191)&gt;0,AVERAGEIFS($Y$5:$Y$1000,$U$5:$U$1000,ROW(),$V$5:$V$1000,"Sub"),$Y191)))</f>
        <v/>
      </c>
      <c r="AD191" s="62">
        <f>IF($V191="","",IF(AND(ISNUMBER($G191),$G191&lt;=IF($S191=MesCiclo,InicioCiclo,$S191+MOD(2-WEEKDAY($S191),7))+13),1,IF(N($W191)&gt;0,AVERAGEIFS($Z$5:$Z$1000,$U$5:$U$1000,ROW(),$V$5:$V$1000,"Sub"),$Z191)))</f>
        <v/>
      </c>
      <c r="AE191" s="62">
        <f>IF($V191="","",IF(AND(ISNUMBER($G191),$G191&lt;=IF($S191=MesCiclo,InicioCiclo,$S191+MOD(2-WEEKDAY($S191),7))+20),1,IF(N($W191)&gt;0,AVERAGEIFS($AA$5:$AA$1000,$U$5:$U$1000,ROW(),$V$5:$V$1000,"Sub"),$AA191)))</f>
        <v/>
      </c>
      <c r="AF191" s="62">
        <f>IF($V191="","",IF(AND(ISNUMBER($G191),$G191&lt;=IF($S191=MesCiclo,InicioCiclo,$S191+MOD(2-WEEKDAY($S191),7))+27),1,IF(N($W191)&gt;0,AVERAGEIFS($AB$5:$AB$1000,$U$5:$U$1000,ROW(),$V$5:$V$1000,"Sub"),$AB191)))</f>
        <v/>
      </c>
      <c r="AG191" s="62">
        <f>IF($V191&lt;&gt;"Macro","",IF(COUNTIFS($S$5:$S$1000,$S191,$V$5:$V$1000,"Macro",$H$5:$H$1000,"&gt;0")=0,1/COUNTIFS($S$5:$S$1000,$S191,$V$5:$V$1000,"Macro"),IF(AND(ISNUMBER($H191),N($H191)&gt;0),$H191,SUMIFS($H$5:$H$1000,$S$5:$S$1000,$S191,$V$5:$V$1000,"Macro")/COUNTIFS($S$5:$S$1000,$S191,$V$5:$V$1000,"Macro",$H$5:$H$1000,"&gt;0"))/(COUNTIFS($S$5:$S$1000,$S191,$V$5:$V$1000,"Macro")*SUMIFS($H$5:$H$1000,$S$5:$S$1000,$S191,$V$5:$V$1000,"Macro")/COUNTIFS($S$5:$S$1000,$S191,$V$5:$V$1000,"Macro",$H$5:$H$1000,"&gt;0"))))</f>
        <v/>
      </c>
      <c r="AH191" s="62" t="n"/>
      <c r="AI191" s="62" t="n"/>
      <c r="AJ191" s="62" t="n"/>
      <c r="AK191" s="62" t="n"/>
      <c r="AL191" s="62">
        <f>IF(LEFT($C191,11)="[Jefatura] ",IFERROR(MATCH("Riesgo Normativo|"&amp;MID($C191,12,500),rDname_ADM,0),0),"")</f>
        <v/>
      </c>
      <c r="AM191" s="62">
        <f>IF(N($AL191)&gt;0,INDEX(rIni_ADM,$AL191),IF(ISNUMBER($E191),$E191,""))</f>
        <v/>
      </c>
      <c r="AN191" s="62">
        <f>IF(N($AL191)&gt;0,INDEX(rLim_ADM,$AL191),IF(ISNUMBER($F191),$F191,""))</f>
        <v/>
      </c>
    </row>
    <row r="192">
      <c r="A192" s="56">
        <f>IF(NOT((COUNTA($B192:$D192)+COUNTA($G192:$L192)+COUNTA($Q192))&gt;0),"",IF($V192="Macro",COUNTIFS($V$5:$V192,"Macro",$S$5:$S192,$S192),IF(N($U192)=0,"?",COUNTIFS(INDEX($V$5:$V$1000,1):INDEX($V$5:$V$1000,$U192-4),"Macro",INDEX($S$5:$S$1000,1):INDEX($S$5:$S$1000,$U192-4),INDEX($S$5:$S$1000,$U192-4))&amp;"."&amp;COUNTIFS($U$5:$U192,$U192,$V$5:$V192,"Sub"))))</f>
        <v/>
      </c>
      <c r="B192" s="57" t="n"/>
      <c r="C192" s="58" t="n"/>
      <c r="D192" s="58" t="n"/>
      <c r="E192" s="59">
        <f>IF(N($AL192)&gt;0,INDEX(rIni_ADM,$AL192),"")</f>
        <v/>
      </c>
      <c r="F192" s="59">
        <f>IF(N($AL192)&gt;0,INDEX(rLim_ADM,$AL192),"")</f>
        <v/>
      </c>
      <c r="G192" s="59" t="n"/>
      <c r="H192" s="60" t="n"/>
      <c r="I192" s="60" t="n"/>
      <c r="J192" s="60" t="n"/>
      <c r="K192" s="60" t="n"/>
      <c r="L192" s="60" t="n"/>
      <c r="M192" s="61">
        <f>IF(NOT((COUNTA($B192:$D192)+COUNTA($G192:$L192)+COUNTA($Q192))&gt;0),"",IF(ISNUMBER($G192),1,IF(N($W192)&gt;0,AVERAGEIFS($X$5:$X$1000,$U$5:$U$1000,ROW(),$V$5:$V$1000,"Sub"),$X192)))</f>
        <v/>
      </c>
      <c r="N192" s="56">
        <f>IF($M192="","",IF($M192&gt;=1,"Completado",IF($M192&gt;0,"En curso","Pendiente")))</f>
        <v/>
      </c>
      <c r="O192" s="56">
        <f>IF(NOT((COUNTA($B192:$D192)+COUNTA($G192:$L192)+COUNTA($Q192))&gt;0),"",IF(ISNUMBER($G192),IF(AND(ISNUMBER($AN192),$G192&gt;$AN192),"Cumplida con "&amp;($G192-$AN192)&amp;IF($G192-$AN192=1," día"," días")&amp;" de retraso","Cumplida"),IF(N($M192)&gt;=1,"Cumplida",IF(NOT(ISNUMBER($AN192)),"Sin fecha límite",IF($AN192&lt;FechaRef,"Vencida hace "&amp;(FechaRef-$AN192)&amp;IF(FechaRef-$AN192=1," día"," días"),IF($AN192=FechaRef,"Vence hoy",IF($AN192-FechaRef&lt;=DiasAlerta,"Vence en "&amp;($AN192-FechaRef)&amp;IF($AN192-FechaRef=1," día"," días"),"En plazo")))))))</f>
        <v/>
      </c>
      <c r="P192" s="62" t="n"/>
      <c r="Q192" s="58" t="n"/>
      <c r="R192" s="63">
        <f>IF(NOT((COUNTA($B192:$D192)+COUNTA($G192:$L192)+COUNTA($Q192))&gt;0),"",IF((IF($C192="","Falta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",""))="","✔ OK","⚠ "&amp;LEFT(IF($C192="","Falta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",""),LEN(IF($C192="","Falta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",""))-3)))</f>
        <v/>
      </c>
      <c r="S192" s="64">
        <f>IF(NOT((COUNTA($B192:$D192)+COUNTA($G192:$L192)+COUNTA($Q192))&gt;0),"",IF(AND($V192="Sub",N($U192)&gt;0),IF(ISNUMBER(INDEX($AM$5:$AM$1000,$U192-4)),DATE(YEAR(INDEX($AM$5:$AM$1000,$U192-4)),MONTH(INDEX($AM$5:$AM$1000,$U192-4)),1),IF(ISNUMBER(INDEX($AN$5:$AN$1000,$U192-4)),DATE(YEAR(INDEX($AN$5:$AN$1000,$U192-4)),MONTH(INDEX($AN$5:$AN$1000,$U192-4)),1),MesCiclo)),IF(ISNUMBER($AM192),DATE(YEAR($AM192),MONTH($AM192),1),IF(ISNUMBER($AN192),DATE(YEAR($AN192),MONTH($AN192),1),MesCiclo))))</f>
        <v/>
      </c>
      <c r="T192" s="62">
        <f>IF(OR($S192="",$S192&lt;&gt;MesCiclo),"",COUNTIF($S$5:$S192,MesCiclo))</f>
        <v/>
      </c>
      <c r="U192" s="62">
        <f>IF($V192="","",IF($V192="Macro",ROW(),IFERROR(LOOKUP(2,1/($V$5:$V192="Macro"),ROW($V$5:$V192)),0)))</f>
        <v/>
      </c>
      <c r="V192" s="62">
        <f>IF(NOT((COUNTA($B192:$D192)+COUNTA($G192:$L192)+COUNTA($Q192))&gt;0),"",IF($B192="Subactividad","Sub","Macro"))</f>
        <v/>
      </c>
      <c r="W192" s="62">
        <f>IF($V192="Macro",COUNTIFS($U$5:$U$1000,ROW(),$V$5:$V$1000,"Sub"),"")</f>
        <v/>
      </c>
      <c r="X192" s="62">
        <f>IF($V192="","",IF(ISNUMBER($G192),1,IFERROR(LOOKUP(2,1/($I192:$L192&lt;&gt;""),$I192:$L192),0)))</f>
        <v/>
      </c>
      <c r="Y192" s="62">
        <f>IF($V192="","",IF(AND(ISNUMBER($G192),$G192&lt;=IF($S192=MesCiclo,InicioCiclo,$S192+MOD(2-WEEKDAY($S192),7))+6),1,IF(ISNUMBER($I192),$I192,0)))</f>
        <v/>
      </c>
      <c r="Z192" s="62">
        <f>IF($V192="","",IF(AND(ISNUMBER($G192),$G192&lt;=IF($S192=MesCiclo,InicioCiclo,$S192+MOD(2-WEEKDAY($S192),7))+13),1,IF(ISNUMBER($J192),$J192,$Y192)))</f>
        <v/>
      </c>
      <c r="AA192" s="62">
        <f>IF($V192="","",IF(AND(ISNUMBER($G192),$G192&lt;=IF($S192=MesCiclo,InicioCiclo,$S192+MOD(2-WEEKDAY($S192),7))+20),1,IF(ISNUMBER($K192),$K192,$Z192)))</f>
        <v/>
      </c>
      <c r="AB192" s="62">
        <f>IF($V192="","",IF(AND(ISNUMBER($G192),$G192&lt;=IF($S192=MesCiclo,InicioCiclo,$S192+MOD(2-WEEKDAY($S192),7))+27),1,IF(ISNUMBER($L192),$L192,$AA192)))</f>
        <v/>
      </c>
      <c r="AC192" s="62">
        <f>IF($V192="","",IF(AND(ISNUMBER($G192),$G192&lt;=IF($S192=MesCiclo,InicioCiclo,$S192+MOD(2-WEEKDAY($S192),7))+6),1,IF(N($W192)&gt;0,AVERAGEIFS($Y$5:$Y$1000,$U$5:$U$1000,ROW(),$V$5:$V$1000,"Sub"),$Y192)))</f>
        <v/>
      </c>
      <c r="AD192" s="62">
        <f>IF($V192="","",IF(AND(ISNUMBER($G192),$G192&lt;=IF($S192=MesCiclo,InicioCiclo,$S192+MOD(2-WEEKDAY($S192),7))+13),1,IF(N($W192)&gt;0,AVERAGEIFS($Z$5:$Z$1000,$U$5:$U$1000,ROW(),$V$5:$V$1000,"Sub"),$Z192)))</f>
        <v/>
      </c>
      <c r="AE192" s="62">
        <f>IF($V192="","",IF(AND(ISNUMBER($G192),$G192&lt;=IF($S192=MesCiclo,InicioCiclo,$S192+MOD(2-WEEKDAY($S192),7))+20),1,IF(N($W192)&gt;0,AVERAGEIFS($AA$5:$AA$1000,$U$5:$U$1000,ROW(),$V$5:$V$1000,"Sub"),$AA192)))</f>
        <v/>
      </c>
      <c r="AF192" s="62">
        <f>IF($V192="","",IF(AND(ISNUMBER($G192),$G192&lt;=IF($S192=MesCiclo,InicioCiclo,$S192+MOD(2-WEEKDAY($S192),7))+27),1,IF(N($W192)&gt;0,AVERAGEIFS($AB$5:$AB$1000,$U$5:$U$1000,ROW(),$V$5:$V$1000,"Sub"),$AB192)))</f>
        <v/>
      </c>
      <c r="AG192" s="62">
        <f>IF($V192&lt;&gt;"Macro","",IF(COUNTIFS($S$5:$S$1000,$S192,$V$5:$V$1000,"Macro",$H$5:$H$1000,"&gt;0")=0,1/COUNTIFS($S$5:$S$1000,$S192,$V$5:$V$1000,"Macro"),IF(AND(ISNUMBER($H192),N($H192)&gt;0),$H192,SUMIFS($H$5:$H$1000,$S$5:$S$1000,$S192,$V$5:$V$1000,"Macro")/COUNTIFS($S$5:$S$1000,$S192,$V$5:$V$1000,"Macro",$H$5:$H$1000,"&gt;0"))/(COUNTIFS($S$5:$S$1000,$S192,$V$5:$V$1000,"Macro")*SUMIFS($H$5:$H$1000,$S$5:$S$1000,$S192,$V$5:$V$1000,"Macro")/COUNTIFS($S$5:$S$1000,$S192,$V$5:$V$1000,"Macro",$H$5:$H$1000,"&gt;0"))))</f>
        <v/>
      </c>
      <c r="AH192" s="62" t="n"/>
      <c r="AI192" s="62" t="n"/>
      <c r="AJ192" s="62" t="n"/>
      <c r="AK192" s="62" t="n"/>
      <c r="AL192" s="62">
        <f>IF(LEFT($C192,11)="[Jefatura] ",IFERROR(MATCH("Riesgo Normativo|"&amp;MID($C192,12,500),rDname_ADM,0),0),"")</f>
        <v/>
      </c>
      <c r="AM192" s="62">
        <f>IF(N($AL192)&gt;0,INDEX(rIni_ADM,$AL192),IF(ISNUMBER($E192),$E192,""))</f>
        <v/>
      </c>
      <c r="AN192" s="62">
        <f>IF(N($AL192)&gt;0,INDEX(rLim_ADM,$AL192),IF(ISNUMBER($F192),$F192,""))</f>
        <v/>
      </c>
    </row>
    <row r="193">
      <c r="A193" s="56">
        <f>IF(NOT((COUNTA($B193:$D193)+COUNTA($G193:$L193)+COUNTA($Q193))&gt;0),"",IF($V193="Macro",COUNTIFS($V$5:$V193,"Macro",$S$5:$S193,$S193),IF(N($U193)=0,"?",COUNTIFS(INDEX($V$5:$V$1000,1):INDEX($V$5:$V$1000,$U193-4),"Macro",INDEX($S$5:$S$1000,1):INDEX($S$5:$S$1000,$U193-4),INDEX($S$5:$S$1000,$U193-4))&amp;"."&amp;COUNTIFS($U$5:$U193,$U193,$V$5:$V193,"Sub"))))</f>
        <v/>
      </c>
      <c r="B193" s="57" t="n"/>
      <c r="C193" s="58" t="n"/>
      <c r="D193" s="58" t="n"/>
      <c r="E193" s="59">
        <f>IF(N($AL193)&gt;0,INDEX(rIni_ADM,$AL193),"")</f>
        <v/>
      </c>
      <c r="F193" s="59">
        <f>IF(N($AL193)&gt;0,INDEX(rLim_ADM,$AL193),"")</f>
        <v/>
      </c>
      <c r="G193" s="59" t="n"/>
      <c r="H193" s="60" t="n"/>
      <c r="I193" s="60" t="n"/>
      <c r="J193" s="60" t="n"/>
      <c r="K193" s="60" t="n"/>
      <c r="L193" s="60" t="n"/>
      <c r="M193" s="61">
        <f>IF(NOT((COUNTA($B193:$D193)+COUNTA($G193:$L193)+COUNTA($Q193))&gt;0),"",IF(ISNUMBER($G193),1,IF(N($W193)&gt;0,AVERAGEIFS($X$5:$X$1000,$U$5:$U$1000,ROW(),$V$5:$V$1000,"Sub"),$X193)))</f>
        <v/>
      </c>
      <c r="N193" s="56">
        <f>IF($M193="","",IF($M193&gt;=1,"Completado",IF($M193&gt;0,"En curso","Pendiente")))</f>
        <v/>
      </c>
      <c r="O193" s="56">
        <f>IF(NOT((COUNTA($B193:$D193)+COUNTA($G193:$L193)+COUNTA($Q193))&gt;0),"",IF(ISNUMBER($G193),IF(AND(ISNUMBER($AN193),$G193&gt;$AN193),"Cumplida con "&amp;($G193-$AN193)&amp;IF($G193-$AN193=1," día"," días")&amp;" de retraso","Cumplida"),IF(N($M193)&gt;=1,"Cumplida",IF(NOT(ISNUMBER($AN193)),"Sin fecha límite",IF($AN193&lt;FechaRef,"Vencida hace "&amp;(FechaRef-$AN193)&amp;IF(FechaRef-$AN193=1," día"," días"),IF($AN193=FechaRef,"Vence hoy",IF($AN193-FechaRef&lt;=DiasAlerta,"Vence en "&amp;($AN193-FechaRef)&amp;IF($AN193-FechaRef=1," día"," días"),"En plazo")))))))</f>
        <v/>
      </c>
      <c r="P193" s="62" t="n"/>
      <c r="Q193" s="58" t="n"/>
      <c r="R193" s="63">
        <f>IF(NOT((COUNTA($B193:$D193)+COUNTA($G193:$L193)+COUNTA($Q193))&gt;0),"",IF((IF($C193="","Falta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",""))="","✔ OK","⚠ "&amp;LEFT(IF($C193="","Falta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",""),LEN(IF($C193="","Falta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",""))-3)))</f>
        <v/>
      </c>
      <c r="S193" s="64">
        <f>IF(NOT((COUNTA($B193:$D193)+COUNTA($G193:$L193)+COUNTA($Q193))&gt;0),"",IF(AND($V193="Sub",N($U193)&gt;0),IF(ISNUMBER(INDEX($AM$5:$AM$1000,$U193-4)),DATE(YEAR(INDEX($AM$5:$AM$1000,$U193-4)),MONTH(INDEX($AM$5:$AM$1000,$U193-4)),1),IF(ISNUMBER(INDEX($AN$5:$AN$1000,$U193-4)),DATE(YEAR(INDEX($AN$5:$AN$1000,$U193-4)),MONTH(INDEX($AN$5:$AN$1000,$U193-4)),1),MesCiclo)),IF(ISNUMBER($AM193),DATE(YEAR($AM193),MONTH($AM193),1),IF(ISNUMBER($AN193),DATE(YEAR($AN193),MONTH($AN193),1),MesCiclo))))</f>
        <v/>
      </c>
      <c r="T193" s="62">
        <f>IF(OR($S193="",$S193&lt;&gt;MesCiclo),"",COUNTIF($S$5:$S193,MesCiclo))</f>
        <v/>
      </c>
      <c r="U193" s="62">
        <f>IF($V193="","",IF($V193="Macro",ROW(),IFERROR(LOOKUP(2,1/($V$5:$V193="Macro"),ROW($V$5:$V193)),0)))</f>
        <v/>
      </c>
      <c r="V193" s="62">
        <f>IF(NOT((COUNTA($B193:$D193)+COUNTA($G193:$L193)+COUNTA($Q193))&gt;0),"",IF($B193="Subactividad","Sub","Macro"))</f>
        <v/>
      </c>
      <c r="W193" s="62">
        <f>IF($V193="Macro",COUNTIFS($U$5:$U$1000,ROW(),$V$5:$V$1000,"Sub"),"")</f>
        <v/>
      </c>
      <c r="X193" s="62">
        <f>IF($V193="","",IF(ISNUMBER($G193),1,IFERROR(LOOKUP(2,1/($I193:$L193&lt;&gt;""),$I193:$L193),0)))</f>
        <v/>
      </c>
      <c r="Y193" s="62">
        <f>IF($V193="","",IF(AND(ISNUMBER($G193),$G193&lt;=IF($S193=MesCiclo,InicioCiclo,$S193+MOD(2-WEEKDAY($S193),7))+6),1,IF(ISNUMBER($I193),$I193,0)))</f>
        <v/>
      </c>
      <c r="Z193" s="62">
        <f>IF($V193="","",IF(AND(ISNUMBER($G193),$G193&lt;=IF($S193=MesCiclo,InicioCiclo,$S193+MOD(2-WEEKDAY($S193),7))+13),1,IF(ISNUMBER($J193),$J193,$Y193)))</f>
        <v/>
      </c>
      <c r="AA193" s="62">
        <f>IF($V193="","",IF(AND(ISNUMBER($G193),$G193&lt;=IF($S193=MesCiclo,InicioCiclo,$S193+MOD(2-WEEKDAY($S193),7))+20),1,IF(ISNUMBER($K193),$K193,$Z193)))</f>
        <v/>
      </c>
      <c r="AB193" s="62">
        <f>IF($V193="","",IF(AND(ISNUMBER($G193),$G193&lt;=IF($S193=MesCiclo,InicioCiclo,$S193+MOD(2-WEEKDAY($S193),7))+27),1,IF(ISNUMBER($L193),$L193,$AA193)))</f>
        <v/>
      </c>
      <c r="AC193" s="62">
        <f>IF($V193="","",IF(AND(ISNUMBER($G193),$G193&lt;=IF($S193=MesCiclo,InicioCiclo,$S193+MOD(2-WEEKDAY($S193),7))+6),1,IF(N($W193)&gt;0,AVERAGEIFS($Y$5:$Y$1000,$U$5:$U$1000,ROW(),$V$5:$V$1000,"Sub"),$Y193)))</f>
        <v/>
      </c>
      <c r="AD193" s="62">
        <f>IF($V193="","",IF(AND(ISNUMBER($G193),$G193&lt;=IF($S193=MesCiclo,InicioCiclo,$S193+MOD(2-WEEKDAY($S193),7))+13),1,IF(N($W193)&gt;0,AVERAGEIFS($Z$5:$Z$1000,$U$5:$U$1000,ROW(),$V$5:$V$1000,"Sub"),$Z193)))</f>
        <v/>
      </c>
      <c r="AE193" s="62">
        <f>IF($V193="","",IF(AND(ISNUMBER($G193),$G193&lt;=IF($S193=MesCiclo,InicioCiclo,$S193+MOD(2-WEEKDAY($S193),7))+20),1,IF(N($W193)&gt;0,AVERAGEIFS($AA$5:$AA$1000,$U$5:$U$1000,ROW(),$V$5:$V$1000,"Sub"),$AA193)))</f>
        <v/>
      </c>
      <c r="AF193" s="62">
        <f>IF($V193="","",IF(AND(ISNUMBER($G193),$G193&lt;=IF($S193=MesCiclo,InicioCiclo,$S193+MOD(2-WEEKDAY($S193),7))+27),1,IF(N($W193)&gt;0,AVERAGEIFS($AB$5:$AB$1000,$U$5:$U$1000,ROW(),$V$5:$V$1000,"Sub"),$AB193)))</f>
        <v/>
      </c>
      <c r="AG193" s="62">
        <f>IF($V193&lt;&gt;"Macro","",IF(COUNTIFS($S$5:$S$1000,$S193,$V$5:$V$1000,"Macro",$H$5:$H$1000,"&gt;0")=0,1/COUNTIFS($S$5:$S$1000,$S193,$V$5:$V$1000,"Macro"),IF(AND(ISNUMBER($H193),N($H193)&gt;0),$H193,SUMIFS($H$5:$H$1000,$S$5:$S$1000,$S193,$V$5:$V$1000,"Macro")/COUNTIFS($S$5:$S$1000,$S193,$V$5:$V$1000,"Macro",$H$5:$H$1000,"&gt;0"))/(COUNTIFS($S$5:$S$1000,$S193,$V$5:$V$1000,"Macro")*SUMIFS($H$5:$H$1000,$S$5:$S$1000,$S193,$V$5:$V$1000,"Macro")/COUNTIFS($S$5:$S$1000,$S193,$V$5:$V$1000,"Macro",$H$5:$H$1000,"&gt;0"))))</f>
        <v/>
      </c>
      <c r="AH193" s="62" t="n"/>
      <c r="AI193" s="62" t="n"/>
      <c r="AJ193" s="62" t="n"/>
      <c r="AK193" s="62" t="n"/>
      <c r="AL193" s="62">
        <f>IF(LEFT($C193,11)="[Jefatura] ",IFERROR(MATCH("Riesgo Normativo|"&amp;MID($C193,12,500),rDname_ADM,0),0),"")</f>
        <v/>
      </c>
      <c r="AM193" s="62">
        <f>IF(N($AL193)&gt;0,INDEX(rIni_ADM,$AL193),IF(ISNUMBER($E193),$E193,""))</f>
        <v/>
      </c>
      <c r="AN193" s="62">
        <f>IF(N($AL193)&gt;0,INDEX(rLim_ADM,$AL193),IF(ISNUMBER($F193),$F193,""))</f>
        <v/>
      </c>
    </row>
    <row r="194">
      <c r="A194" s="56">
        <f>IF(NOT((COUNTA($B194:$D194)+COUNTA($G194:$L194)+COUNTA($Q194))&gt;0),"",IF($V194="Macro",COUNTIFS($V$5:$V194,"Macro",$S$5:$S194,$S194),IF(N($U194)=0,"?",COUNTIFS(INDEX($V$5:$V$1000,1):INDEX($V$5:$V$1000,$U194-4),"Macro",INDEX($S$5:$S$1000,1):INDEX($S$5:$S$1000,$U194-4),INDEX($S$5:$S$1000,$U194-4))&amp;"."&amp;COUNTIFS($U$5:$U194,$U194,$V$5:$V194,"Sub"))))</f>
        <v/>
      </c>
      <c r="B194" s="57" t="n"/>
      <c r="C194" s="58" t="n"/>
      <c r="D194" s="58" t="n"/>
      <c r="E194" s="59">
        <f>IF(N($AL194)&gt;0,INDEX(rIni_ADM,$AL194),"")</f>
        <v/>
      </c>
      <c r="F194" s="59">
        <f>IF(N($AL194)&gt;0,INDEX(rLim_ADM,$AL194),"")</f>
        <v/>
      </c>
      <c r="G194" s="59" t="n"/>
      <c r="H194" s="60" t="n"/>
      <c r="I194" s="60" t="n"/>
      <c r="J194" s="60" t="n"/>
      <c r="K194" s="60" t="n"/>
      <c r="L194" s="60" t="n"/>
      <c r="M194" s="61">
        <f>IF(NOT((COUNTA($B194:$D194)+COUNTA($G194:$L194)+COUNTA($Q194))&gt;0),"",IF(ISNUMBER($G194),1,IF(N($W194)&gt;0,AVERAGEIFS($X$5:$X$1000,$U$5:$U$1000,ROW(),$V$5:$V$1000,"Sub"),$X194)))</f>
        <v/>
      </c>
      <c r="N194" s="56">
        <f>IF($M194="","",IF($M194&gt;=1,"Completado",IF($M194&gt;0,"En curso","Pendiente")))</f>
        <v/>
      </c>
      <c r="O194" s="56">
        <f>IF(NOT((COUNTA($B194:$D194)+COUNTA($G194:$L194)+COUNTA($Q194))&gt;0),"",IF(ISNUMBER($G194),IF(AND(ISNUMBER($AN194),$G194&gt;$AN194),"Cumplida con "&amp;($G194-$AN194)&amp;IF($G194-$AN194=1," día"," días")&amp;" de retraso","Cumplida"),IF(N($M194)&gt;=1,"Cumplida",IF(NOT(ISNUMBER($AN194)),"Sin fecha límite",IF($AN194&lt;FechaRef,"Vencida hace "&amp;(FechaRef-$AN194)&amp;IF(FechaRef-$AN194=1," día"," días"),IF($AN194=FechaRef,"Vence hoy",IF($AN194-FechaRef&lt;=DiasAlerta,"Vence en "&amp;($AN194-FechaRef)&amp;IF($AN194-FechaRef=1," día"," días"),"En plazo")))))))</f>
        <v/>
      </c>
      <c r="P194" s="62" t="n"/>
      <c r="Q194" s="58" t="n"/>
      <c r="R194" s="63">
        <f>IF(NOT((COUNTA($B194:$D194)+COUNTA($G194:$L194)+COUNTA($Q194))&gt;0),"",IF((IF($C194="","Falta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",""))="","✔ OK","⚠ "&amp;LEFT(IF($C194="","Falta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",""),LEN(IF($C194="","Falta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",""))-3)))</f>
        <v/>
      </c>
      <c r="S194" s="64">
        <f>IF(NOT((COUNTA($B194:$D194)+COUNTA($G194:$L194)+COUNTA($Q194))&gt;0),"",IF(AND($V194="Sub",N($U194)&gt;0),IF(ISNUMBER(INDEX($AM$5:$AM$1000,$U194-4)),DATE(YEAR(INDEX($AM$5:$AM$1000,$U194-4)),MONTH(INDEX($AM$5:$AM$1000,$U194-4)),1),IF(ISNUMBER(INDEX($AN$5:$AN$1000,$U194-4)),DATE(YEAR(INDEX($AN$5:$AN$1000,$U194-4)),MONTH(INDEX($AN$5:$AN$1000,$U194-4)),1),MesCiclo)),IF(ISNUMBER($AM194),DATE(YEAR($AM194),MONTH($AM194),1),IF(ISNUMBER($AN194),DATE(YEAR($AN194),MONTH($AN194),1),MesCiclo))))</f>
        <v/>
      </c>
      <c r="T194" s="62">
        <f>IF(OR($S194="",$S194&lt;&gt;MesCiclo),"",COUNTIF($S$5:$S194,MesCiclo))</f>
        <v/>
      </c>
      <c r="U194" s="62">
        <f>IF($V194="","",IF($V194="Macro",ROW(),IFERROR(LOOKUP(2,1/($V$5:$V194="Macro"),ROW($V$5:$V194)),0)))</f>
        <v/>
      </c>
      <c r="V194" s="62">
        <f>IF(NOT((COUNTA($B194:$D194)+COUNTA($G194:$L194)+COUNTA($Q194))&gt;0),"",IF($B194="Subactividad","Sub","Macro"))</f>
        <v/>
      </c>
      <c r="W194" s="62">
        <f>IF($V194="Macro",COUNTIFS($U$5:$U$1000,ROW(),$V$5:$V$1000,"Sub"),"")</f>
        <v/>
      </c>
      <c r="X194" s="62">
        <f>IF($V194="","",IF(ISNUMBER($G194),1,IFERROR(LOOKUP(2,1/($I194:$L194&lt;&gt;""),$I194:$L194),0)))</f>
        <v/>
      </c>
      <c r="Y194" s="62">
        <f>IF($V194="","",IF(AND(ISNUMBER($G194),$G194&lt;=IF($S194=MesCiclo,InicioCiclo,$S194+MOD(2-WEEKDAY($S194),7))+6),1,IF(ISNUMBER($I194),$I194,0)))</f>
        <v/>
      </c>
      <c r="Z194" s="62">
        <f>IF($V194="","",IF(AND(ISNUMBER($G194),$G194&lt;=IF($S194=MesCiclo,InicioCiclo,$S194+MOD(2-WEEKDAY($S194),7))+13),1,IF(ISNUMBER($J194),$J194,$Y194)))</f>
        <v/>
      </c>
      <c r="AA194" s="62">
        <f>IF($V194="","",IF(AND(ISNUMBER($G194),$G194&lt;=IF($S194=MesCiclo,InicioCiclo,$S194+MOD(2-WEEKDAY($S194),7))+20),1,IF(ISNUMBER($K194),$K194,$Z194)))</f>
        <v/>
      </c>
      <c r="AB194" s="62">
        <f>IF($V194="","",IF(AND(ISNUMBER($G194),$G194&lt;=IF($S194=MesCiclo,InicioCiclo,$S194+MOD(2-WEEKDAY($S194),7))+27),1,IF(ISNUMBER($L194),$L194,$AA194)))</f>
        <v/>
      </c>
      <c r="AC194" s="62">
        <f>IF($V194="","",IF(AND(ISNUMBER($G194),$G194&lt;=IF($S194=MesCiclo,InicioCiclo,$S194+MOD(2-WEEKDAY($S194),7))+6),1,IF(N($W194)&gt;0,AVERAGEIFS($Y$5:$Y$1000,$U$5:$U$1000,ROW(),$V$5:$V$1000,"Sub"),$Y194)))</f>
        <v/>
      </c>
      <c r="AD194" s="62">
        <f>IF($V194="","",IF(AND(ISNUMBER($G194),$G194&lt;=IF($S194=MesCiclo,InicioCiclo,$S194+MOD(2-WEEKDAY($S194),7))+13),1,IF(N($W194)&gt;0,AVERAGEIFS($Z$5:$Z$1000,$U$5:$U$1000,ROW(),$V$5:$V$1000,"Sub"),$Z194)))</f>
        <v/>
      </c>
      <c r="AE194" s="62">
        <f>IF($V194="","",IF(AND(ISNUMBER($G194),$G194&lt;=IF($S194=MesCiclo,InicioCiclo,$S194+MOD(2-WEEKDAY($S194),7))+20),1,IF(N($W194)&gt;0,AVERAGEIFS($AA$5:$AA$1000,$U$5:$U$1000,ROW(),$V$5:$V$1000,"Sub"),$AA194)))</f>
        <v/>
      </c>
      <c r="AF194" s="62">
        <f>IF($V194="","",IF(AND(ISNUMBER($G194),$G194&lt;=IF($S194=MesCiclo,InicioCiclo,$S194+MOD(2-WEEKDAY($S194),7))+27),1,IF(N($W194)&gt;0,AVERAGEIFS($AB$5:$AB$1000,$U$5:$U$1000,ROW(),$V$5:$V$1000,"Sub"),$AB194)))</f>
        <v/>
      </c>
      <c r="AG194" s="62">
        <f>IF($V194&lt;&gt;"Macro","",IF(COUNTIFS($S$5:$S$1000,$S194,$V$5:$V$1000,"Macro",$H$5:$H$1000,"&gt;0")=0,1/COUNTIFS($S$5:$S$1000,$S194,$V$5:$V$1000,"Macro"),IF(AND(ISNUMBER($H194),N($H194)&gt;0),$H194,SUMIFS($H$5:$H$1000,$S$5:$S$1000,$S194,$V$5:$V$1000,"Macro")/COUNTIFS($S$5:$S$1000,$S194,$V$5:$V$1000,"Macro",$H$5:$H$1000,"&gt;0"))/(COUNTIFS($S$5:$S$1000,$S194,$V$5:$V$1000,"Macro")*SUMIFS($H$5:$H$1000,$S$5:$S$1000,$S194,$V$5:$V$1000,"Macro")/COUNTIFS($S$5:$S$1000,$S194,$V$5:$V$1000,"Macro",$H$5:$H$1000,"&gt;0"))))</f>
        <v/>
      </c>
      <c r="AH194" s="62" t="n"/>
      <c r="AI194" s="62" t="n"/>
      <c r="AJ194" s="62" t="n"/>
      <c r="AK194" s="62" t="n"/>
      <c r="AL194" s="62">
        <f>IF(LEFT($C194,11)="[Jefatura] ",IFERROR(MATCH("Riesgo Normativo|"&amp;MID($C194,12,500),rDname_ADM,0),0),"")</f>
        <v/>
      </c>
      <c r="AM194" s="62">
        <f>IF(N($AL194)&gt;0,INDEX(rIni_ADM,$AL194),IF(ISNUMBER($E194),$E194,""))</f>
        <v/>
      </c>
      <c r="AN194" s="62">
        <f>IF(N($AL194)&gt;0,INDEX(rLim_ADM,$AL194),IF(ISNUMBER($F194),$F194,""))</f>
        <v/>
      </c>
    </row>
    <row r="195">
      <c r="A195" s="56">
        <f>IF(NOT((COUNTA($B195:$D195)+COUNTA($G195:$L195)+COUNTA($Q195))&gt;0),"",IF($V195="Macro",COUNTIFS($V$5:$V195,"Macro",$S$5:$S195,$S195),IF(N($U195)=0,"?",COUNTIFS(INDEX($V$5:$V$1000,1):INDEX($V$5:$V$1000,$U195-4),"Macro",INDEX($S$5:$S$1000,1):INDEX($S$5:$S$1000,$U195-4),INDEX($S$5:$S$1000,$U195-4))&amp;"."&amp;COUNTIFS($U$5:$U195,$U195,$V$5:$V195,"Sub"))))</f>
        <v/>
      </c>
      <c r="B195" s="57" t="n"/>
      <c r="C195" s="58" t="n"/>
      <c r="D195" s="58" t="n"/>
      <c r="E195" s="59">
        <f>IF(N($AL195)&gt;0,INDEX(rIni_ADM,$AL195),"")</f>
        <v/>
      </c>
      <c r="F195" s="59">
        <f>IF(N($AL195)&gt;0,INDEX(rLim_ADM,$AL195),"")</f>
        <v/>
      </c>
      <c r="G195" s="59" t="n"/>
      <c r="H195" s="60" t="n"/>
      <c r="I195" s="60" t="n"/>
      <c r="J195" s="60" t="n"/>
      <c r="K195" s="60" t="n"/>
      <c r="L195" s="60" t="n"/>
      <c r="M195" s="61">
        <f>IF(NOT((COUNTA($B195:$D195)+COUNTA($G195:$L195)+COUNTA($Q195))&gt;0),"",IF(ISNUMBER($G195),1,IF(N($W195)&gt;0,AVERAGEIFS($X$5:$X$1000,$U$5:$U$1000,ROW(),$V$5:$V$1000,"Sub"),$X195)))</f>
        <v/>
      </c>
      <c r="N195" s="56">
        <f>IF($M195="","",IF($M195&gt;=1,"Completado",IF($M195&gt;0,"En curso","Pendiente")))</f>
        <v/>
      </c>
      <c r="O195" s="56">
        <f>IF(NOT((COUNTA($B195:$D195)+COUNTA($G195:$L195)+COUNTA($Q195))&gt;0),"",IF(ISNUMBER($G195),IF(AND(ISNUMBER($AN195),$G195&gt;$AN195),"Cumplida con "&amp;($G195-$AN195)&amp;IF($G195-$AN195=1," día"," días")&amp;" de retraso","Cumplida"),IF(N($M195)&gt;=1,"Cumplida",IF(NOT(ISNUMBER($AN195)),"Sin fecha límite",IF($AN195&lt;FechaRef,"Vencida hace "&amp;(FechaRef-$AN195)&amp;IF(FechaRef-$AN195=1," día"," días"),IF($AN195=FechaRef,"Vence hoy",IF($AN195-FechaRef&lt;=DiasAlerta,"Vence en "&amp;($AN195-FechaRef)&amp;IF($AN195-FechaRef=1," día"," días"),"En plazo")))))))</f>
        <v/>
      </c>
      <c r="P195" s="62" t="n"/>
      <c r="Q195" s="58" t="n"/>
      <c r="R195" s="63">
        <f>IF(NOT((COUNTA($B195:$D195)+COUNTA($G195:$L195)+COUNTA($Q195))&gt;0),"",IF((IF($C195="","Falta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",""))="","✔ OK","⚠ "&amp;LEFT(IF($C195="","Falta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",""),LEN(IF($C195="","Falta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",""))-3)))</f>
        <v/>
      </c>
      <c r="S195" s="64">
        <f>IF(NOT((COUNTA($B195:$D195)+COUNTA($G195:$L195)+COUNTA($Q195))&gt;0),"",IF(AND($V195="Sub",N($U195)&gt;0),IF(ISNUMBER(INDEX($AM$5:$AM$1000,$U195-4)),DATE(YEAR(INDEX($AM$5:$AM$1000,$U195-4)),MONTH(INDEX($AM$5:$AM$1000,$U195-4)),1),IF(ISNUMBER(INDEX($AN$5:$AN$1000,$U195-4)),DATE(YEAR(INDEX($AN$5:$AN$1000,$U195-4)),MONTH(INDEX($AN$5:$AN$1000,$U195-4)),1),MesCiclo)),IF(ISNUMBER($AM195),DATE(YEAR($AM195),MONTH($AM195),1),IF(ISNUMBER($AN195),DATE(YEAR($AN195),MONTH($AN195),1),MesCiclo))))</f>
        <v/>
      </c>
      <c r="T195" s="62">
        <f>IF(OR($S195="",$S195&lt;&gt;MesCiclo),"",COUNTIF($S$5:$S195,MesCiclo))</f>
        <v/>
      </c>
      <c r="U195" s="62">
        <f>IF($V195="","",IF($V195="Macro",ROW(),IFERROR(LOOKUP(2,1/($V$5:$V195="Macro"),ROW($V$5:$V195)),0)))</f>
        <v/>
      </c>
      <c r="V195" s="62">
        <f>IF(NOT((COUNTA($B195:$D195)+COUNTA($G195:$L195)+COUNTA($Q195))&gt;0),"",IF($B195="Subactividad","Sub","Macro"))</f>
        <v/>
      </c>
      <c r="W195" s="62">
        <f>IF($V195="Macro",COUNTIFS($U$5:$U$1000,ROW(),$V$5:$V$1000,"Sub"),"")</f>
        <v/>
      </c>
      <c r="X195" s="62">
        <f>IF($V195="","",IF(ISNUMBER($G195),1,IFERROR(LOOKUP(2,1/($I195:$L195&lt;&gt;""),$I195:$L195),0)))</f>
        <v/>
      </c>
      <c r="Y195" s="62">
        <f>IF($V195="","",IF(AND(ISNUMBER($G195),$G195&lt;=IF($S195=MesCiclo,InicioCiclo,$S195+MOD(2-WEEKDAY($S195),7))+6),1,IF(ISNUMBER($I195),$I195,0)))</f>
        <v/>
      </c>
      <c r="Z195" s="62">
        <f>IF($V195="","",IF(AND(ISNUMBER($G195),$G195&lt;=IF($S195=MesCiclo,InicioCiclo,$S195+MOD(2-WEEKDAY($S195),7))+13),1,IF(ISNUMBER($J195),$J195,$Y195)))</f>
        <v/>
      </c>
      <c r="AA195" s="62">
        <f>IF($V195="","",IF(AND(ISNUMBER($G195),$G195&lt;=IF($S195=MesCiclo,InicioCiclo,$S195+MOD(2-WEEKDAY($S195),7))+20),1,IF(ISNUMBER($K195),$K195,$Z195)))</f>
        <v/>
      </c>
      <c r="AB195" s="62">
        <f>IF($V195="","",IF(AND(ISNUMBER($G195),$G195&lt;=IF($S195=MesCiclo,InicioCiclo,$S195+MOD(2-WEEKDAY($S195),7))+27),1,IF(ISNUMBER($L195),$L195,$AA195)))</f>
        <v/>
      </c>
      <c r="AC195" s="62">
        <f>IF($V195="","",IF(AND(ISNUMBER($G195),$G195&lt;=IF($S195=MesCiclo,InicioCiclo,$S195+MOD(2-WEEKDAY($S195),7))+6),1,IF(N($W195)&gt;0,AVERAGEIFS($Y$5:$Y$1000,$U$5:$U$1000,ROW(),$V$5:$V$1000,"Sub"),$Y195)))</f>
        <v/>
      </c>
      <c r="AD195" s="62">
        <f>IF($V195="","",IF(AND(ISNUMBER($G195),$G195&lt;=IF($S195=MesCiclo,InicioCiclo,$S195+MOD(2-WEEKDAY($S195),7))+13),1,IF(N($W195)&gt;0,AVERAGEIFS($Z$5:$Z$1000,$U$5:$U$1000,ROW(),$V$5:$V$1000,"Sub"),$Z195)))</f>
        <v/>
      </c>
      <c r="AE195" s="62">
        <f>IF($V195="","",IF(AND(ISNUMBER($G195),$G195&lt;=IF($S195=MesCiclo,InicioCiclo,$S195+MOD(2-WEEKDAY($S195),7))+20),1,IF(N($W195)&gt;0,AVERAGEIFS($AA$5:$AA$1000,$U$5:$U$1000,ROW(),$V$5:$V$1000,"Sub"),$AA195)))</f>
        <v/>
      </c>
      <c r="AF195" s="62">
        <f>IF($V195="","",IF(AND(ISNUMBER($G195),$G195&lt;=IF($S195=MesCiclo,InicioCiclo,$S195+MOD(2-WEEKDAY($S195),7))+27),1,IF(N($W195)&gt;0,AVERAGEIFS($AB$5:$AB$1000,$U$5:$U$1000,ROW(),$V$5:$V$1000,"Sub"),$AB195)))</f>
        <v/>
      </c>
      <c r="AG195" s="62">
        <f>IF($V195&lt;&gt;"Macro","",IF(COUNTIFS($S$5:$S$1000,$S195,$V$5:$V$1000,"Macro",$H$5:$H$1000,"&gt;0")=0,1/COUNTIFS($S$5:$S$1000,$S195,$V$5:$V$1000,"Macro"),IF(AND(ISNUMBER($H195),N($H195)&gt;0),$H195,SUMIFS($H$5:$H$1000,$S$5:$S$1000,$S195,$V$5:$V$1000,"Macro")/COUNTIFS($S$5:$S$1000,$S195,$V$5:$V$1000,"Macro",$H$5:$H$1000,"&gt;0"))/(COUNTIFS($S$5:$S$1000,$S195,$V$5:$V$1000,"Macro")*SUMIFS($H$5:$H$1000,$S$5:$S$1000,$S195,$V$5:$V$1000,"Macro")/COUNTIFS($S$5:$S$1000,$S195,$V$5:$V$1000,"Macro",$H$5:$H$1000,"&gt;0"))))</f>
        <v/>
      </c>
      <c r="AH195" s="62" t="n"/>
      <c r="AI195" s="62" t="n"/>
      <c r="AJ195" s="62" t="n"/>
      <c r="AK195" s="62" t="n"/>
      <c r="AL195" s="62">
        <f>IF(LEFT($C195,11)="[Jefatura] ",IFERROR(MATCH("Riesgo Normativo|"&amp;MID($C195,12,500),rDname_ADM,0),0),"")</f>
        <v/>
      </c>
      <c r="AM195" s="62">
        <f>IF(N($AL195)&gt;0,INDEX(rIni_ADM,$AL195),IF(ISNUMBER($E195),$E195,""))</f>
        <v/>
      </c>
      <c r="AN195" s="62">
        <f>IF(N($AL195)&gt;0,INDEX(rLim_ADM,$AL195),IF(ISNUMBER($F195),$F195,""))</f>
        <v/>
      </c>
    </row>
    <row r="196">
      <c r="A196" s="56">
        <f>IF(NOT((COUNTA($B196:$D196)+COUNTA($G196:$L196)+COUNTA($Q196))&gt;0),"",IF($V196="Macro",COUNTIFS($V$5:$V196,"Macro",$S$5:$S196,$S196),IF(N($U196)=0,"?",COUNTIFS(INDEX($V$5:$V$1000,1):INDEX($V$5:$V$1000,$U196-4),"Macro",INDEX($S$5:$S$1000,1):INDEX($S$5:$S$1000,$U196-4),INDEX($S$5:$S$1000,$U196-4))&amp;"."&amp;COUNTIFS($U$5:$U196,$U196,$V$5:$V196,"Sub"))))</f>
        <v/>
      </c>
      <c r="B196" s="57" t="n"/>
      <c r="C196" s="58" t="n"/>
      <c r="D196" s="58" t="n"/>
      <c r="E196" s="59">
        <f>IF(N($AL196)&gt;0,INDEX(rIni_ADM,$AL196),"")</f>
        <v/>
      </c>
      <c r="F196" s="59">
        <f>IF(N($AL196)&gt;0,INDEX(rLim_ADM,$AL196),"")</f>
        <v/>
      </c>
      <c r="G196" s="59" t="n"/>
      <c r="H196" s="60" t="n"/>
      <c r="I196" s="60" t="n"/>
      <c r="J196" s="60" t="n"/>
      <c r="K196" s="60" t="n"/>
      <c r="L196" s="60" t="n"/>
      <c r="M196" s="61">
        <f>IF(NOT((COUNTA($B196:$D196)+COUNTA($G196:$L196)+COUNTA($Q196))&gt;0),"",IF(ISNUMBER($G196),1,IF(N($W196)&gt;0,AVERAGEIFS($X$5:$X$1000,$U$5:$U$1000,ROW(),$V$5:$V$1000,"Sub"),$X196)))</f>
        <v/>
      </c>
      <c r="N196" s="56">
        <f>IF($M196="","",IF($M196&gt;=1,"Completado",IF($M196&gt;0,"En curso","Pendiente")))</f>
        <v/>
      </c>
      <c r="O196" s="56">
        <f>IF(NOT((COUNTA($B196:$D196)+COUNTA($G196:$L196)+COUNTA($Q196))&gt;0),"",IF(ISNUMBER($G196),IF(AND(ISNUMBER($AN196),$G196&gt;$AN196),"Cumplida con "&amp;($G196-$AN196)&amp;IF($G196-$AN196=1," día"," días")&amp;" de retraso","Cumplida"),IF(N($M196)&gt;=1,"Cumplida",IF(NOT(ISNUMBER($AN196)),"Sin fecha límite",IF($AN196&lt;FechaRef,"Vencida hace "&amp;(FechaRef-$AN196)&amp;IF(FechaRef-$AN196=1," día"," días"),IF($AN196=FechaRef,"Vence hoy",IF($AN196-FechaRef&lt;=DiasAlerta,"Vence en "&amp;($AN196-FechaRef)&amp;IF($AN196-FechaRef=1," día"," días"),"En plazo")))))))</f>
        <v/>
      </c>
      <c r="P196" s="62" t="n"/>
      <c r="Q196" s="58" t="n"/>
      <c r="R196" s="63">
        <f>IF(NOT((COUNTA($B196:$D196)+COUNTA($G196:$L196)+COUNTA($Q196))&gt;0),"",IF((IF($C196="","Falta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",""))="","✔ OK","⚠ "&amp;LEFT(IF($C196="","Falta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",""),LEN(IF($C196="","Falta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",""))-3)))</f>
        <v/>
      </c>
      <c r="S196" s="64">
        <f>IF(NOT((COUNTA($B196:$D196)+COUNTA($G196:$L196)+COUNTA($Q196))&gt;0),"",IF(AND($V196="Sub",N($U196)&gt;0),IF(ISNUMBER(INDEX($AM$5:$AM$1000,$U196-4)),DATE(YEAR(INDEX($AM$5:$AM$1000,$U196-4)),MONTH(INDEX($AM$5:$AM$1000,$U196-4)),1),IF(ISNUMBER(INDEX($AN$5:$AN$1000,$U196-4)),DATE(YEAR(INDEX($AN$5:$AN$1000,$U196-4)),MONTH(INDEX($AN$5:$AN$1000,$U196-4)),1),MesCiclo)),IF(ISNUMBER($AM196),DATE(YEAR($AM196),MONTH($AM196),1),IF(ISNUMBER($AN196),DATE(YEAR($AN196),MONTH($AN196),1),MesCiclo))))</f>
        <v/>
      </c>
      <c r="T196" s="62">
        <f>IF(OR($S196="",$S196&lt;&gt;MesCiclo),"",COUNTIF($S$5:$S196,MesCiclo))</f>
        <v/>
      </c>
      <c r="U196" s="62">
        <f>IF($V196="","",IF($V196="Macro",ROW(),IFERROR(LOOKUP(2,1/($V$5:$V196="Macro"),ROW($V$5:$V196)),0)))</f>
        <v/>
      </c>
      <c r="V196" s="62">
        <f>IF(NOT((COUNTA($B196:$D196)+COUNTA($G196:$L196)+COUNTA($Q196))&gt;0),"",IF($B196="Subactividad","Sub","Macro"))</f>
        <v/>
      </c>
      <c r="W196" s="62">
        <f>IF($V196="Macro",COUNTIFS($U$5:$U$1000,ROW(),$V$5:$V$1000,"Sub"),"")</f>
        <v/>
      </c>
      <c r="X196" s="62">
        <f>IF($V196="","",IF(ISNUMBER($G196),1,IFERROR(LOOKUP(2,1/($I196:$L196&lt;&gt;""),$I196:$L196),0)))</f>
        <v/>
      </c>
      <c r="Y196" s="62">
        <f>IF($V196="","",IF(AND(ISNUMBER($G196),$G196&lt;=IF($S196=MesCiclo,InicioCiclo,$S196+MOD(2-WEEKDAY($S196),7))+6),1,IF(ISNUMBER($I196),$I196,0)))</f>
        <v/>
      </c>
      <c r="Z196" s="62">
        <f>IF($V196="","",IF(AND(ISNUMBER($G196),$G196&lt;=IF($S196=MesCiclo,InicioCiclo,$S196+MOD(2-WEEKDAY($S196),7))+13),1,IF(ISNUMBER($J196),$J196,$Y196)))</f>
        <v/>
      </c>
      <c r="AA196" s="62">
        <f>IF($V196="","",IF(AND(ISNUMBER($G196),$G196&lt;=IF($S196=MesCiclo,InicioCiclo,$S196+MOD(2-WEEKDAY($S196),7))+20),1,IF(ISNUMBER($K196),$K196,$Z196)))</f>
        <v/>
      </c>
      <c r="AB196" s="62">
        <f>IF($V196="","",IF(AND(ISNUMBER($G196),$G196&lt;=IF($S196=MesCiclo,InicioCiclo,$S196+MOD(2-WEEKDAY($S196),7))+27),1,IF(ISNUMBER($L196),$L196,$AA196)))</f>
        <v/>
      </c>
      <c r="AC196" s="62">
        <f>IF($V196="","",IF(AND(ISNUMBER($G196),$G196&lt;=IF($S196=MesCiclo,InicioCiclo,$S196+MOD(2-WEEKDAY($S196),7))+6),1,IF(N($W196)&gt;0,AVERAGEIFS($Y$5:$Y$1000,$U$5:$U$1000,ROW(),$V$5:$V$1000,"Sub"),$Y196)))</f>
        <v/>
      </c>
      <c r="AD196" s="62">
        <f>IF($V196="","",IF(AND(ISNUMBER($G196),$G196&lt;=IF($S196=MesCiclo,InicioCiclo,$S196+MOD(2-WEEKDAY($S196),7))+13),1,IF(N($W196)&gt;0,AVERAGEIFS($Z$5:$Z$1000,$U$5:$U$1000,ROW(),$V$5:$V$1000,"Sub"),$Z196)))</f>
        <v/>
      </c>
      <c r="AE196" s="62">
        <f>IF($V196="","",IF(AND(ISNUMBER($G196),$G196&lt;=IF($S196=MesCiclo,InicioCiclo,$S196+MOD(2-WEEKDAY($S196),7))+20),1,IF(N($W196)&gt;0,AVERAGEIFS($AA$5:$AA$1000,$U$5:$U$1000,ROW(),$V$5:$V$1000,"Sub"),$AA196)))</f>
        <v/>
      </c>
      <c r="AF196" s="62">
        <f>IF($V196="","",IF(AND(ISNUMBER($G196),$G196&lt;=IF($S196=MesCiclo,InicioCiclo,$S196+MOD(2-WEEKDAY($S196),7))+27),1,IF(N($W196)&gt;0,AVERAGEIFS($AB$5:$AB$1000,$U$5:$U$1000,ROW(),$V$5:$V$1000,"Sub"),$AB196)))</f>
        <v/>
      </c>
      <c r="AG196" s="62">
        <f>IF($V196&lt;&gt;"Macro","",IF(COUNTIFS($S$5:$S$1000,$S196,$V$5:$V$1000,"Macro",$H$5:$H$1000,"&gt;0")=0,1/COUNTIFS($S$5:$S$1000,$S196,$V$5:$V$1000,"Macro"),IF(AND(ISNUMBER($H196),N($H196)&gt;0),$H196,SUMIFS($H$5:$H$1000,$S$5:$S$1000,$S196,$V$5:$V$1000,"Macro")/COUNTIFS($S$5:$S$1000,$S196,$V$5:$V$1000,"Macro",$H$5:$H$1000,"&gt;0"))/(COUNTIFS($S$5:$S$1000,$S196,$V$5:$V$1000,"Macro")*SUMIFS($H$5:$H$1000,$S$5:$S$1000,$S196,$V$5:$V$1000,"Macro")/COUNTIFS($S$5:$S$1000,$S196,$V$5:$V$1000,"Macro",$H$5:$H$1000,"&gt;0"))))</f>
        <v/>
      </c>
      <c r="AH196" s="62" t="n"/>
      <c r="AI196" s="62" t="n"/>
      <c r="AJ196" s="62" t="n"/>
      <c r="AK196" s="62" t="n"/>
      <c r="AL196" s="62">
        <f>IF(LEFT($C196,11)="[Jefatura] ",IFERROR(MATCH("Riesgo Normativo|"&amp;MID($C196,12,500),rDname_ADM,0),0),"")</f>
        <v/>
      </c>
      <c r="AM196" s="62">
        <f>IF(N($AL196)&gt;0,INDEX(rIni_ADM,$AL196),IF(ISNUMBER($E196),$E196,""))</f>
        <v/>
      </c>
      <c r="AN196" s="62">
        <f>IF(N($AL196)&gt;0,INDEX(rLim_ADM,$AL196),IF(ISNUMBER($F196),$F196,""))</f>
        <v/>
      </c>
    </row>
    <row r="197">
      <c r="A197" s="56">
        <f>IF(NOT((COUNTA($B197:$D197)+COUNTA($G197:$L197)+COUNTA($Q197))&gt;0),"",IF($V197="Macro",COUNTIFS($V$5:$V197,"Macro",$S$5:$S197,$S197),IF(N($U197)=0,"?",COUNTIFS(INDEX($V$5:$V$1000,1):INDEX($V$5:$V$1000,$U197-4),"Macro",INDEX($S$5:$S$1000,1):INDEX($S$5:$S$1000,$U197-4),INDEX($S$5:$S$1000,$U197-4))&amp;"."&amp;COUNTIFS($U$5:$U197,$U197,$V$5:$V197,"Sub"))))</f>
        <v/>
      </c>
      <c r="B197" s="57" t="n"/>
      <c r="C197" s="58" t="n"/>
      <c r="D197" s="58" t="n"/>
      <c r="E197" s="59">
        <f>IF(N($AL197)&gt;0,INDEX(rIni_ADM,$AL197),"")</f>
        <v/>
      </c>
      <c r="F197" s="59">
        <f>IF(N($AL197)&gt;0,INDEX(rLim_ADM,$AL197),"")</f>
        <v/>
      </c>
      <c r="G197" s="59" t="n"/>
      <c r="H197" s="60" t="n"/>
      <c r="I197" s="60" t="n"/>
      <c r="J197" s="60" t="n"/>
      <c r="K197" s="60" t="n"/>
      <c r="L197" s="60" t="n"/>
      <c r="M197" s="61">
        <f>IF(NOT((COUNTA($B197:$D197)+COUNTA($G197:$L197)+COUNTA($Q197))&gt;0),"",IF(ISNUMBER($G197),1,IF(N($W197)&gt;0,AVERAGEIFS($X$5:$X$1000,$U$5:$U$1000,ROW(),$V$5:$V$1000,"Sub"),$X197)))</f>
        <v/>
      </c>
      <c r="N197" s="56">
        <f>IF($M197="","",IF($M197&gt;=1,"Completado",IF($M197&gt;0,"En curso","Pendiente")))</f>
        <v/>
      </c>
      <c r="O197" s="56">
        <f>IF(NOT((COUNTA($B197:$D197)+COUNTA($G197:$L197)+COUNTA($Q197))&gt;0),"",IF(ISNUMBER($G197),IF(AND(ISNUMBER($AN197),$G197&gt;$AN197),"Cumplida con "&amp;($G197-$AN197)&amp;IF($G197-$AN197=1," día"," días")&amp;" de retraso","Cumplida"),IF(N($M197)&gt;=1,"Cumplida",IF(NOT(ISNUMBER($AN197)),"Sin fecha límite",IF($AN197&lt;FechaRef,"Vencida hace "&amp;(FechaRef-$AN197)&amp;IF(FechaRef-$AN197=1," día"," días"),IF($AN197=FechaRef,"Vence hoy",IF($AN197-FechaRef&lt;=DiasAlerta,"Vence en "&amp;($AN197-FechaRef)&amp;IF($AN197-FechaRef=1," día"," días"),"En plazo")))))))</f>
        <v/>
      </c>
      <c r="P197" s="62" t="n"/>
      <c r="Q197" s="58" t="n"/>
      <c r="R197" s="63">
        <f>IF(NOT((COUNTA($B197:$D197)+COUNTA($G197:$L197)+COUNTA($Q197))&gt;0),"",IF((IF($C197="","Falta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",""))="","✔ OK","⚠ "&amp;LEFT(IF($C197="","Falta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",""),LEN(IF($C197="","Falta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",""))-3)))</f>
        <v/>
      </c>
      <c r="S197" s="64">
        <f>IF(NOT((COUNTA($B197:$D197)+COUNTA($G197:$L197)+COUNTA($Q197))&gt;0),"",IF(AND($V197="Sub",N($U197)&gt;0),IF(ISNUMBER(INDEX($AM$5:$AM$1000,$U197-4)),DATE(YEAR(INDEX($AM$5:$AM$1000,$U197-4)),MONTH(INDEX($AM$5:$AM$1000,$U197-4)),1),IF(ISNUMBER(INDEX($AN$5:$AN$1000,$U197-4)),DATE(YEAR(INDEX($AN$5:$AN$1000,$U197-4)),MONTH(INDEX($AN$5:$AN$1000,$U197-4)),1),MesCiclo)),IF(ISNUMBER($AM197),DATE(YEAR($AM197),MONTH($AM197),1),IF(ISNUMBER($AN197),DATE(YEAR($AN197),MONTH($AN197),1),MesCiclo))))</f>
        <v/>
      </c>
      <c r="T197" s="62">
        <f>IF(OR($S197="",$S197&lt;&gt;MesCiclo),"",COUNTIF($S$5:$S197,MesCiclo))</f>
        <v/>
      </c>
      <c r="U197" s="62">
        <f>IF($V197="","",IF($V197="Macro",ROW(),IFERROR(LOOKUP(2,1/($V$5:$V197="Macro"),ROW($V$5:$V197)),0)))</f>
        <v/>
      </c>
      <c r="V197" s="62">
        <f>IF(NOT((COUNTA($B197:$D197)+COUNTA($G197:$L197)+COUNTA($Q197))&gt;0),"",IF($B197="Subactividad","Sub","Macro"))</f>
        <v/>
      </c>
      <c r="W197" s="62">
        <f>IF($V197="Macro",COUNTIFS($U$5:$U$1000,ROW(),$V$5:$V$1000,"Sub"),"")</f>
        <v/>
      </c>
      <c r="X197" s="62">
        <f>IF($V197="","",IF(ISNUMBER($G197),1,IFERROR(LOOKUP(2,1/($I197:$L197&lt;&gt;""),$I197:$L197),0)))</f>
        <v/>
      </c>
      <c r="Y197" s="62">
        <f>IF($V197="","",IF(AND(ISNUMBER($G197),$G197&lt;=IF($S197=MesCiclo,InicioCiclo,$S197+MOD(2-WEEKDAY($S197),7))+6),1,IF(ISNUMBER($I197),$I197,0)))</f>
        <v/>
      </c>
      <c r="Z197" s="62">
        <f>IF($V197="","",IF(AND(ISNUMBER($G197),$G197&lt;=IF($S197=MesCiclo,InicioCiclo,$S197+MOD(2-WEEKDAY($S197),7))+13),1,IF(ISNUMBER($J197),$J197,$Y197)))</f>
        <v/>
      </c>
      <c r="AA197" s="62">
        <f>IF($V197="","",IF(AND(ISNUMBER($G197),$G197&lt;=IF($S197=MesCiclo,InicioCiclo,$S197+MOD(2-WEEKDAY($S197),7))+20),1,IF(ISNUMBER($K197),$K197,$Z197)))</f>
        <v/>
      </c>
      <c r="AB197" s="62">
        <f>IF($V197="","",IF(AND(ISNUMBER($G197),$G197&lt;=IF($S197=MesCiclo,InicioCiclo,$S197+MOD(2-WEEKDAY($S197),7))+27),1,IF(ISNUMBER($L197),$L197,$AA197)))</f>
        <v/>
      </c>
      <c r="AC197" s="62">
        <f>IF($V197="","",IF(AND(ISNUMBER($G197),$G197&lt;=IF($S197=MesCiclo,InicioCiclo,$S197+MOD(2-WEEKDAY($S197),7))+6),1,IF(N($W197)&gt;0,AVERAGEIFS($Y$5:$Y$1000,$U$5:$U$1000,ROW(),$V$5:$V$1000,"Sub"),$Y197)))</f>
        <v/>
      </c>
      <c r="AD197" s="62">
        <f>IF($V197="","",IF(AND(ISNUMBER($G197),$G197&lt;=IF($S197=MesCiclo,InicioCiclo,$S197+MOD(2-WEEKDAY($S197),7))+13),1,IF(N($W197)&gt;0,AVERAGEIFS($Z$5:$Z$1000,$U$5:$U$1000,ROW(),$V$5:$V$1000,"Sub"),$Z197)))</f>
        <v/>
      </c>
      <c r="AE197" s="62">
        <f>IF($V197="","",IF(AND(ISNUMBER($G197),$G197&lt;=IF($S197=MesCiclo,InicioCiclo,$S197+MOD(2-WEEKDAY($S197),7))+20),1,IF(N($W197)&gt;0,AVERAGEIFS($AA$5:$AA$1000,$U$5:$U$1000,ROW(),$V$5:$V$1000,"Sub"),$AA197)))</f>
        <v/>
      </c>
      <c r="AF197" s="62">
        <f>IF($V197="","",IF(AND(ISNUMBER($G197),$G197&lt;=IF($S197=MesCiclo,InicioCiclo,$S197+MOD(2-WEEKDAY($S197),7))+27),1,IF(N($W197)&gt;0,AVERAGEIFS($AB$5:$AB$1000,$U$5:$U$1000,ROW(),$V$5:$V$1000,"Sub"),$AB197)))</f>
        <v/>
      </c>
      <c r="AG197" s="62">
        <f>IF($V197&lt;&gt;"Macro","",IF(COUNTIFS($S$5:$S$1000,$S197,$V$5:$V$1000,"Macro",$H$5:$H$1000,"&gt;0")=0,1/COUNTIFS($S$5:$S$1000,$S197,$V$5:$V$1000,"Macro"),IF(AND(ISNUMBER($H197),N($H197)&gt;0),$H197,SUMIFS($H$5:$H$1000,$S$5:$S$1000,$S197,$V$5:$V$1000,"Macro")/COUNTIFS($S$5:$S$1000,$S197,$V$5:$V$1000,"Macro",$H$5:$H$1000,"&gt;0"))/(COUNTIFS($S$5:$S$1000,$S197,$V$5:$V$1000,"Macro")*SUMIFS($H$5:$H$1000,$S$5:$S$1000,$S197,$V$5:$V$1000,"Macro")/COUNTIFS($S$5:$S$1000,$S197,$V$5:$V$1000,"Macro",$H$5:$H$1000,"&gt;0"))))</f>
        <v/>
      </c>
      <c r="AH197" s="62" t="n"/>
      <c r="AI197" s="62" t="n"/>
      <c r="AJ197" s="62" t="n"/>
      <c r="AK197" s="62" t="n"/>
      <c r="AL197" s="62">
        <f>IF(LEFT($C197,11)="[Jefatura] ",IFERROR(MATCH("Riesgo Normativo|"&amp;MID($C197,12,500),rDname_ADM,0),0),"")</f>
        <v/>
      </c>
      <c r="AM197" s="62">
        <f>IF(N($AL197)&gt;0,INDEX(rIni_ADM,$AL197),IF(ISNUMBER($E197),$E197,""))</f>
        <v/>
      </c>
      <c r="AN197" s="62">
        <f>IF(N($AL197)&gt;0,INDEX(rLim_ADM,$AL197),IF(ISNUMBER($F197),$F197,""))</f>
        <v/>
      </c>
    </row>
    <row r="198">
      <c r="A198" s="56">
        <f>IF(NOT((COUNTA($B198:$D198)+COUNTA($G198:$L198)+COUNTA($Q198))&gt;0),"",IF($V198="Macro",COUNTIFS($V$5:$V198,"Macro",$S$5:$S198,$S198),IF(N($U198)=0,"?",COUNTIFS(INDEX($V$5:$V$1000,1):INDEX($V$5:$V$1000,$U198-4),"Macro",INDEX($S$5:$S$1000,1):INDEX($S$5:$S$1000,$U198-4),INDEX($S$5:$S$1000,$U198-4))&amp;"."&amp;COUNTIFS($U$5:$U198,$U198,$V$5:$V198,"Sub"))))</f>
        <v/>
      </c>
      <c r="B198" s="57" t="n"/>
      <c r="C198" s="58" t="n"/>
      <c r="D198" s="58" t="n"/>
      <c r="E198" s="59">
        <f>IF(N($AL198)&gt;0,INDEX(rIni_ADM,$AL198),"")</f>
        <v/>
      </c>
      <c r="F198" s="59">
        <f>IF(N($AL198)&gt;0,INDEX(rLim_ADM,$AL198),"")</f>
        <v/>
      </c>
      <c r="G198" s="59" t="n"/>
      <c r="H198" s="60" t="n"/>
      <c r="I198" s="60" t="n"/>
      <c r="J198" s="60" t="n"/>
      <c r="K198" s="60" t="n"/>
      <c r="L198" s="60" t="n"/>
      <c r="M198" s="61">
        <f>IF(NOT((COUNTA($B198:$D198)+COUNTA($G198:$L198)+COUNTA($Q198))&gt;0),"",IF(ISNUMBER($G198),1,IF(N($W198)&gt;0,AVERAGEIFS($X$5:$X$1000,$U$5:$U$1000,ROW(),$V$5:$V$1000,"Sub"),$X198)))</f>
        <v/>
      </c>
      <c r="N198" s="56">
        <f>IF($M198="","",IF($M198&gt;=1,"Completado",IF($M198&gt;0,"En curso","Pendiente")))</f>
        <v/>
      </c>
      <c r="O198" s="56">
        <f>IF(NOT((COUNTA($B198:$D198)+COUNTA($G198:$L198)+COUNTA($Q198))&gt;0),"",IF(ISNUMBER($G198),IF(AND(ISNUMBER($AN198),$G198&gt;$AN198),"Cumplida con "&amp;($G198-$AN198)&amp;IF($G198-$AN198=1," día"," días")&amp;" de retraso","Cumplida"),IF(N($M198)&gt;=1,"Cumplida",IF(NOT(ISNUMBER($AN198)),"Sin fecha límite",IF($AN198&lt;FechaRef,"Vencida hace "&amp;(FechaRef-$AN198)&amp;IF(FechaRef-$AN198=1," día"," días"),IF($AN198=FechaRef,"Vence hoy",IF($AN198-FechaRef&lt;=DiasAlerta,"Vence en "&amp;($AN198-FechaRef)&amp;IF($AN198-FechaRef=1," día"," días"),"En plazo")))))))</f>
        <v/>
      </c>
      <c r="P198" s="62" t="n"/>
      <c r="Q198" s="58" t="n"/>
      <c r="R198" s="63">
        <f>IF(NOT((COUNTA($B198:$D198)+COUNTA($G198:$L198)+COUNTA($Q198))&gt;0),"",IF((IF($C198="","Falta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",""))="","✔ OK","⚠ "&amp;LEFT(IF($C198="","Falta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",""),LEN(IF($C198="","Falta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",""))-3)))</f>
        <v/>
      </c>
      <c r="S198" s="64">
        <f>IF(NOT((COUNTA($B198:$D198)+COUNTA($G198:$L198)+COUNTA($Q198))&gt;0),"",IF(AND($V198="Sub",N($U198)&gt;0),IF(ISNUMBER(INDEX($AM$5:$AM$1000,$U198-4)),DATE(YEAR(INDEX($AM$5:$AM$1000,$U198-4)),MONTH(INDEX($AM$5:$AM$1000,$U198-4)),1),IF(ISNUMBER(INDEX($AN$5:$AN$1000,$U198-4)),DATE(YEAR(INDEX($AN$5:$AN$1000,$U198-4)),MONTH(INDEX($AN$5:$AN$1000,$U198-4)),1),MesCiclo)),IF(ISNUMBER($AM198),DATE(YEAR($AM198),MONTH($AM198),1),IF(ISNUMBER($AN198),DATE(YEAR($AN198),MONTH($AN198),1),MesCiclo))))</f>
        <v/>
      </c>
      <c r="T198" s="62">
        <f>IF(OR($S198="",$S198&lt;&gt;MesCiclo),"",COUNTIF($S$5:$S198,MesCiclo))</f>
        <v/>
      </c>
      <c r="U198" s="62">
        <f>IF($V198="","",IF($V198="Macro",ROW(),IFERROR(LOOKUP(2,1/($V$5:$V198="Macro"),ROW($V$5:$V198)),0)))</f>
        <v/>
      </c>
      <c r="V198" s="62">
        <f>IF(NOT((COUNTA($B198:$D198)+COUNTA($G198:$L198)+COUNTA($Q198))&gt;0),"",IF($B198="Subactividad","Sub","Macro"))</f>
        <v/>
      </c>
      <c r="W198" s="62">
        <f>IF($V198="Macro",COUNTIFS($U$5:$U$1000,ROW(),$V$5:$V$1000,"Sub"),"")</f>
        <v/>
      </c>
      <c r="X198" s="62">
        <f>IF($V198="","",IF(ISNUMBER($G198),1,IFERROR(LOOKUP(2,1/($I198:$L198&lt;&gt;""),$I198:$L198),0)))</f>
        <v/>
      </c>
      <c r="Y198" s="62">
        <f>IF($V198="","",IF(AND(ISNUMBER($G198),$G198&lt;=IF($S198=MesCiclo,InicioCiclo,$S198+MOD(2-WEEKDAY($S198),7))+6),1,IF(ISNUMBER($I198),$I198,0)))</f>
        <v/>
      </c>
      <c r="Z198" s="62">
        <f>IF($V198="","",IF(AND(ISNUMBER($G198),$G198&lt;=IF($S198=MesCiclo,InicioCiclo,$S198+MOD(2-WEEKDAY($S198),7))+13),1,IF(ISNUMBER($J198),$J198,$Y198)))</f>
        <v/>
      </c>
      <c r="AA198" s="62">
        <f>IF($V198="","",IF(AND(ISNUMBER($G198),$G198&lt;=IF($S198=MesCiclo,InicioCiclo,$S198+MOD(2-WEEKDAY($S198),7))+20),1,IF(ISNUMBER($K198),$K198,$Z198)))</f>
        <v/>
      </c>
      <c r="AB198" s="62">
        <f>IF($V198="","",IF(AND(ISNUMBER($G198),$G198&lt;=IF($S198=MesCiclo,InicioCiclo,$S198+MOD(2-WEEKDAY($S198),7))+27),1,IF(ISNUMBER($L198),$L198,$AA198)))</f>
        <v/>
      </c>
      <c r="AC198" s="62">
        <f>IF($V198="","",IF(AND(ISNUMBER($G198),$G198&lt;=IF($S198=MesCiclo,InicioCiclo,$S198+MOD(2-WEEKDAY($S198),7))+6),1,IF(N($W198)&gt;0,AVERAGEIFS($Y$5:$Y$1000,$U$5:$U$1000,ROW(),$V$5:$V$1000,"Sub"),$Y198)))</f>
        <v/>
      </c>
      <c r="AD198" s="62">
        <f>IF($V198="","",IF(AND(ISNUMBER($G198),$G198&lt;=IF($S198=MesCiclo,InicioCiclo,$S198+MOD(2-WEEKDAY($S198),7))+13),1,IF(N($W198)&gt;0,AVERAGEIFS($Z$5:$Z$1000,$U$5:$U$1000,ROW(),$V$5:$V$1000,"Sub"),$Z198)))</f>
        <v/>
      </c>
      <c r="AE198" s="62">
        <f>IF($V198="","",IF(AND(ISNUMBER($G198),$G198&lt;=IF($S198=MesCiclo,InicioCiclo,$S198+MOD(2-WEEKDAY($S198),7))+20),1,IF(N($W198)&gt;0,AVERAGEIFS($AA$5:$AA$1000,$U$5:$U$1000,ROW(),$V$5:$V$1000,"Sub"),$AA198)))</f>
        <v/>
      </c>
      <c r="AF198" s="62">
        <f>IF($V198="","",IF(AND(ISNUMBER($G198),$G198&lt;=IF($S198=MesCiclo,InicioCiclo,$S198+MOD(2-WEEKDAY($S198),7))+27),1,IF(N($W198)&gt;0,AVERAGEIFS($AB$5:$AB$1000,$U$5:$U$1000,ROW(),$V$5:$V$1000,"Sub"),$AB198)))</f>
        <v/>
      </c>
      <c r="AG198" s="62">
        <f>IF($V198&lt;&gt;"Macro","",IF(COUNTIFS($S$5:$S$1000,$S198,$V$5:$V$1000,"Macro",$H$5:$H$1000,"&gt;0")=0,1/COUNTIFS($S$5:$S$1000,$S198,$V$5:$V$1000,"Macro"),IF(AND(ISNUMBER($H198),N($H198)&gt;0),$H198,SUMIFS($H$5:$H$1000,$S$5:$S$1000,$S198,$V$5:$V$1000,"Macro")/COUNTIFS($S$5:$S$1000,$S198,$V$5:$V$1000,"Macro",$H$5:$H$1000,"&gt;0"))/(COUNTIFS($S$5:$S$1000,$S198,$V$5:$V$1000,"Macro")*SUMIFS($H$5:$H$1000,$S$5:$S$1000,$S198,$V$5:$V$1000,"Macro")/COUNTIFS($S$5:$S$1000,$S198,$V$5:$V$1000,"Macro",$H$5:$H$1000,"&gt;0"))))</f>
        <v/>
      </c>
      <c r="AH198" s="62" t="n"/>
      <c r="AI198" s="62" t="n"/>
      <c r="AJ198" s="62" t="n"/>
      <c r="AK198" s="62" t="n"/>
      <c r="AL198" s="62">
        <f>IF(LEFT($C198,11)="[Jefatura] ",IFERROR(MATCH("Riesgo Normativo|"&amp;MID($C198,12,500),rDname_ADM,0),0),"")</f>
        <v/>
      </c>
      <c r="AM198" s="62">
        <f>IF(N($AL198)&gt;0,INDEX(rIni_ADM,$AL198),IF(ISNUMBER($E198),$E198,""))</f>
        <v/>
      </c>
      <c r="AN198" s="62">
        <f>IF(N($AL198)&gt;0,INDEX(rLim_ADM,$AL198),IF(ISNUMBER($F198),$F198,""))</f>
        <v/>
      </c>
    </row>
    <row r="199">
      <c r="A199" s="56">
        <f>IF(NOT((COUNTA($B199:$D199)+COUNTA($G199:$L199)+COUNTA($Q199))&gt;0),"",IF($V199="Macro",COUNTIFS($V$5:$V199,"Macro",$S$5:$S199,$S199),IF(N($U199)=0,"?",COUNTIFS(INDEX($V$5:$V$1000,1):INDEX($V$5:$V$1000,$U199-4),"Macro",INDEX($S$5:$S$1000,1):INDEX($S$5:$S$1000,$U199-4),INDEX($S$5:$S$1000,$U199-4))&amp;"."&amp;COUNTIFS($U$5:$U199,$U199,$V$5:$V199,"Sub"))))</f>
        <v/>
      </c>
      <c r="B199" s="57" t="n"/>
      <c r="C199" s="58" t="n"/>
      <c r="D199" s="58" t="n"/>
      <c r="E199" s="59">
        <f>IF(N($AL199)&gt;0,INDEX(rIni_ADM,$AL199),"")</f>
        <v/>
      </c>
      <c r="F199" s="59">
        <f>IF(N($AL199)&gt;0,INDEX(rLim_ADM,$AL199),"")</f>
        <v/>
      </c>
      <c r="G199" s="59" t="n"/>
      <c r="H199" s="60" t="n"/>
      <c r="I199" s="60" t="n"/>
      <c r="J199" s="60" t="n"/>
      <c r="K199" s="60" t="n"/>
      <c r="L199" s="60" t="n"/>
      <c r="M199" s="61">
        <f>IF(NOT((COUNTA($B199:$D199)+COUNTA($G199:$L199)+COUNTA($Q199))&gt;0),"",IF(ISNUMBER($G199),1,IF(N($W199)&gt;0,AVERAGEIFS($X$5:$X$1000,$U$5:$U$1000,ROW(),$V$5:$V$1000,"Sub"),$X199)))</f>
        <v/>
      </c>
      <c r="N199" s="56">
        <f>IF($M199="","",IF($M199&gt;=1,"Completado",IF($M199&gt;0,"En curso","Pendiente")))</f>
        <v/>
      </c>
      <c r="O199" s="56">
        <f>IF(NOT((COUNTA($B199:$D199)+COUNTA($G199:$L199)+COUNTA($Q199))&gt;0),"",IF(ISNUMBER($G199),IF(AND(ISNUMBER($AN199),$G199&gt;$AN199),"Cumplida con "&amp;($G199-$AN199)&amp;IF($G199-$AN199=1," día"," días")&amp;" de retraso","Cumplida"),IF(N($M199)&gt;=1,"Cumplida",IF(NOT(ISNUMBER($AN199)),"Sin fecha límite",IF($AN199&lt;FechaRef,"Vencida hace "&amp;(FechaRef-$AN199)&amp;IF(FechaRef-$AN199=1," día"," días"),IF($AN199=FechaRef,"Vence hoy",IF($AN199-FechaRef&lt;=DiasAlerta,"Vence en "&amp;($AN199-FechaRef)&amp;IF($AN199-FechaRef=1," día"," días"),"En plazo")))))))</f>
        <v/>
      </c>
      <c r="P199" s="62" t="n"/>
      <c r="Q199" s="58" t="n"/>
      <c r="R199" s="63">
        <f>IF(NOT((COUNTA($B199:$D199)+COUNTA($G199:$L199)+COUNTA($Q199))&gt;0),"",IF((IF($C199="","Falta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",""))="","✔ OK","⚠ "&amp;LEFT(IF($C199="","Falta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",""),LEN(IF($C199="","Falta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",""))-3)))</f>
        <v/>
      </c>
      <c r="S199" s="64">
        <f>IF(NOT((COUNTA($B199:$D199)+COUNTA($G199:$L199)+COUNTA($Q199))&gt;0),"",IF(AND($V199="Sub",N($U199)&gt;0),IF(ISNUMBER(INDEX($AM$5:$AM$1000,$U199-4)),DATE(YEAR(INDEX($AM$5:$AM$1000,$U199-4)),MONTH(INDEX($AM$5:$AM$1000,$U199-4)),1),IF(ISNUMBER(INDEX($AN$5:$AN$1000,$U199-4)),DATE(YEAR(INDEX($AN$5:$AN$1000,$U199-4)),MONTH(INDEX($AN$5:$AN$1000,$U199-4)),1),MesCiclo)),IF(ISNUMBER($AM199),DATE(YEAR($AM199),MONTH($AM199),1),IF(ISNUMBER($AN199),DATE(YEAR($AN199),MONTH($AN199),1),MesCiclo))))</f>
        <v/>
      </c>
      <c r="T199" s="62">
        <f>IF(OR($S199="",$S199&lt;&gt;MesCiclo),"",COUNTIF($S$5:$S199,MesCiclo))</f>
        <v/>
      </c>
      <c r="U199" s="62">
        <f>IF($V199="","",IF($V199="Macro",ROW(),IFERROR(LOOKUP(2,1/($V$5:$V199="Macro"),ROW($V$5:$V199)),0)))</f>
        <v/>
      </c>
      <c r="V199" s="62">
        <f>IF(NOT((COUNTA($B199:$D199)+COUNTA($G199:$L199)+COUNTA($Q199))&gt;0),"",IF($B199="Subactividad","Sub","Macro"))</f>
        <v/>
      </c>
      <c r="W199" s="62">
        <f>IF($V199="Macro",COUNTIFS($U$5:$U$1000,ROW(),$V$5:$V$1000,"Sub"),"")</f>
        <v/>
      </c>
      <c r="X199" s="62">
        <f>IF($V199="","",IF(ISNUMBER($G199),1,IFERROR(LOOKUP(2,1/($I199:$L199&lt;&gt;""),$I199:$L199),0)))</f>
        <v/>
      </c>
      <c r="Y199" s="62">
        <f>IF($V199="","",IF(AND(ISNUMBER($G199),$G199&lt;=IF($S199=MesCiclo,InicioCiclo,$S199+MOD(2-WEEKDAY($S199),7))+6),1,IF(ISNUMBER($I199),$I199,0)))</f>
        <v/>
      </c>
      <c r="Z199" s="62">
        <f>IF($V199="","",IF(AND(ISNUMBER($G199),$G199&lt;=IF($S199=MesCiclo,InicioCiclo,$S199+MOD(2-WEEKDAY($S199),7))+13),1,IF(ISNUMBER($J199),$J199,$Y199)))</f>
        <v/>
      </c>
      <c r="AA199" s="62">
        <f>IF($V199="","",IF(AND(ISNUMBER($G199),$G199&lt;=IF($S199=MesCiclo,InicioCiclo,$S199+MOD(2-WEEKDAY($S199),7))+20),1,IF(ISNUMBER($K199),$K199,$Z199)))</f>
        <v/>
      </c>
      <c r="AB199" s="62">
        <f>IF($V199="","",IF(AND(ISNUMBER($G199),$G199&lt;=IF($S199=MesCiclo,InicioCiclo,$S199+MOD(2-WEEKDAY($S199),7))+27),1,IF(ISNUMBER($L199),$L199,$AA199)))</f>
        <v/>
      </c>
      <c r="AC199" s="62">
        <f>IF($V199="","",IF(AND(ISNUMBER($G199),$G199&lt;=IF($S199=MesCiclo,InicioCiclo,$S199+MOD(2-WEEKDAY($S199),7))+6),1,IF(N($W199)&gt;0,AVERAGEIFS($Y$5:$Y$1000,$U$5:$U$1000,ROW(),$V$5:$V$1000,"Sub"),$Y199)))</f>
        <v/>
      </c>
      <c r="AD199" s="62">
        <f>IF($V199="","",IF(AND(ISNUMBER($G199),$G199&lt;=IF($S199=MesCiclo,InicioCiclo,$S199+MOD(2-WEEKDAY($S199),7))+13),1,IF(N($W199)&gt;0,AVERAGEIFS($Z$5:$Z$1000,$U$5:$U$1000,ROW(),$V$5:$V$1000,"Sub"),$Z199)))</f>
        <v/>
      </c>
      <c r="AE199" s="62">
        <f>IF($V199="","",IF(AND(ISNUMBER($G199),$G199&lt;=IF($S199=MesCiclo,InicioCiclo,$S199+MOD(2-WEEKDAY($S199),7))+20),1,IF(N($W199)&gt;0,AVERAGEIFS($AA$5:$AA$1000,$U$5:$U$1000,ROW(),$V$5:$V$1000,"Sub"),$AA199)))</f>
        <v/>
      </c>
      <c r="AF199" s="62">
        <f>IF($V199="","",IF(AND(ISNUMBER($G199),$G199&lt;=IF($S199=MesCiclo,InicioCiclo,$S199+MOD(2-WEEKDAY($S199),7))+27),1,IF(N($W199)&gt;0,AVERAGEIFS($AB$5:$AB$1000,$U$5:$U$1000,ROW(),$V$5:$V$1000,"Sub"),$AB199)))</f>
        <v/>
      </c>
      <c r="AG199" s="62">
        <f>IF($V199&lt;&gt;"Macro","",IF(COUNTIFS($S$5:$S$1000,$S199,$V$5:$V$1000,"Macro",$H$5:$H$1000,"&gt;0")=0,1/COUNTIFS($S$5:$S$1000,$S199,$V$5:$V$1000,"Macro"),IF(AND(ISNUMBER($H199),N($H199)&gt;0),$H199,SUMIFS($H$5:$H$1000,$S$5:$S$1000,$S199,$V$5:$V$1000,"Macro")/COUNTIFS($S$5:$S$1000,$S199,$V$5:$V$1000,"Macro",$H$5:$H$1000,"&gt;0"))/(COUNTIFS($S$5:$S$1000,$S199,$V$5:$V$1000,"Macro")*SUMIFS($H$5:$H$1000,$S$5:$S$1000,$S199,$V$5:$V$1000,"Macro")/COUNTIFS($S$5:$S$1000,$S199,$V$5:$V$1000,"Macro",$H$5:$H$1000,"&gt;0"))))</f>
        <v/>
      </c>
      <c r="AH199" s="62" t="n"/>
      <c r="AI199" s="62" t="n"/>
      <c r="AJ199" s="62" t="n"/>
      <c r="AK199" s="62" t="n"/>
      <c r="AL199" s="62">
        <f>IF(LEFT($C199,11)="[Jefatura] ",IFERROR(MATCH("Riesgo Normativo|"&amp;MID($C199,12,500),rDname_ADM,0),0),"")</f>
        <v/>
      </c>
      <c r="AM199" s="62">
        <f>IF(N($AL199)&gt;0,INDEX(rIni_ADM,$AL199),IF(ISNUMBER($E199),$E199,""))</f>
        <v/>
      </c>
      <c r="AN199" s="62">
        <f>IF(N($AL199)&gt;0,INDEX(rLim_ADM,$AL199),IF(ISNUMBER($F199),$F199,""))</f>
        <v/>
      </c>
    </row>
    <row r="200">
      <c r="A200" s="56">
        <f>IF(NOT((COUNTA($B200:$D200)+COUNTA($G200:$L200)+COUNTA($Q200))&gt;0),"",IF($V200="Macro",COUNTIFS($V$5:$V200,"Macro",$S$5:$S200,$S200),IF(N($U200)=0,"?",COUNTIFS(INDEX($V$5:$V$1000,1):INDEX($V$5:$V$1000,$U200-4),"Macro",INDEX($S$5:$S$1000,1):INDEX($S$5:$S$1000,$U200-4),INDEX($S$5:$S$1000,$U200-4))&amp;"."&amp;COUNTIFS($U$5:$U200,$U200,$V$5:$V200,"Sub"))))</f>
        <v/>
      </c>
      <c r="B200" s="57" t="n"/>
      <c r="C200" s="58" t="n"/>
      <c r="D200" s="58" t="n"/>
      <c r="E200" s="59">
        <f>IF(N($AL200)&gt;0,INDEX(rIni_ADM,$AL200),"")</f>
        <v/>
      </c>
      <c r="F200" s="59">
        <f>IF(N($AL200)&gt;0,INDEX(rLim_ADM,$AL200),"")</f>
        <v/>
      </c>
      <c r="G200" s="59" t="n"/>
      <c r="H200" s="60" t="n"/>
      <c r="I200" s="60" t="n"/>
      <c r="J200" s="60" t="n"/>
      <c r="K200" s="60" t="n"/>
      <c r="L200" s="60" t="n"/>
      <c r="M200" s="61">
        <f>IF(NOT((COUNTA($B200:$D200)+COUNTA($G200:$L200)+COUNTA($Q200))&gt;0),"",IF(ISNUMBER($G200),1,IF(N($W200)&gt;0,AVERAGEIFS($X$5:$X$1000,$U$5:$U$1000,ROW(),$V$5:$V$1000,"Sub"),$X200)))</f>
        <v/>
      </c>
      <c r="N200" s="56">
        <f>IF($M200="","",IF($M200&gt;=1,"Completado",IF($M200&gt;0,"En curso","Pendiente")))</f>
        <v/>
      </c>
      <c r="O200" s="56">
        <f>IF(NOT((COUNTA($B200:$D200)+COUNTA($G200:$L200)+COUNTA($Q200))&gt;0),"",IF(ISNUMBER($G200),IF(AND(ISNUMBER($AN200),$G200&gt;$AN200),"Cumplida con "&amp;($G200-$AN200)&amp;IF($G200-$AN200=1," día"," días")&amp;" de retraso","Cumplida"),IF(N($M200)&gt;=1,"Cumplida",IF(NOT(ISNUMBER($AN200)),"Sin fecha límite",IF($AN200&lt;FechaRef,"Vencida hace "&amp;(FechaRef-$AN200)&amp;IF(FechaRef-$AN200=1," día"," días"),IF($AN200=FechaRef,"Vence hoy",IF($AN200-FechaRef&lt;=DiasAlerta,"Vence en "&amp;($AN200-FechaRef)&amp;IF($AN200-FechaRef=1," día"," días"),"En plazo")))))))</f>
        <v/>
      </c>
      <c r="P200" s="62" t="n"/>
      <c r="Q200" s="58" t="n"/>
      <c r="R200" s="63">
        <f>IF(NOT((COUNTA($B200:$D200)+COUNTA($G200:$L200)+COUNTA($Q200))&gt;0),"",IF((IF($C200="","Falta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",""))="","✔ OK","⚠ "&amp;LEFT(IF($C200="","Falta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",""),LEN(IF($C200="","Falta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",""))-3)))</f>
        <v/>
      </c>
      <c r="S200" s="64">
        <f>IF(NOT((COUNTA($B200:$D200)+COUNTA($G200:$L200)+COUNTA($Q200))&gt;0),"",IF(AND($V200="Sub",N($U200)&gt;0),IF(ISNUMBER(INDEX($AM$5:$AM$1000,$U200-4)),DATE(YEAR(INDEX($AM$5:$AM$1000,$U200-4)),MONTH(INDEX($AM$5:$AM$1000,$U200-4)),1),IF(ISNUMBER(INDEX($AN$5:$AN$1000,$U200-4)),DATE(YEAR(INDEX($AN$5:$AN$1000,$U200-4)),MONTH(INDEX($AN$5:$AN$1000,$U200-4)),1),MesCiclo)),IF(ISNUMBER($AM200),DATE(YEAR($AM200),MONTH($AM200),1),IF(ISNUMBER($AN200),DATE(YEAR($AN200),MONTH($AN200),1),MesCiclo))))</f>
        <v/>
      </c>
      <c r="T200" s="62">
        <f>IF(OR($S200="",$S200&lt;&gt;MesCiclo),"",COUNTIF($S$5:$S200,MesCiclo))</f>
        <v/>
      </c>
      <c r="U200" s="62">
        <f>IF($V200="","",IF($V200="Macro",ROW(),IFERROR(LOOKUP(2,1/($V$5:$V200="Macro"),ROW($V$5:$V200)),0)))</f>
        <v/>
      </c>
      <c r="V200" s="62">
        <f>IF(NOT((COUNTA($B200:$D200)+COUNTA($G200:$L200)+COUNTA($Q200))&gt;0),"",IF($B200="Subactividad","Sub","Macro"))</f>
        <v/>
      </c>
      <c r="W200" s="62">
        <f>IF($V200="Macro",COUNTIFS($U$5:$U$1000,ROW(),$V$5:$V$1000,"Sub"),"")</f>
        <v/>
      </c>
      <c r="X200" s="62">
        <f>IF($V200="","",IF(ISNUMBER($G200),1,IFERROR(LOOKUP(2,1/($I200:$L200&lt;&gt;""),$I200:$L200),0)))</f>
        <v/>
      </c>
      <c r="Y200" s="62">
        <f>IF($V200="","",IF(AND(ISNUMBER($G200),$G200&lt;=IF($S200=MesCiclo,InicioCiclo,$S200+MOD(2-WEEKDAY($S200),7))+6),1,IF(ISNUMBER($I200),$I200,0)))</f>
        <v/>
      </c>
      <c r="Z200" s="62">
        <f>IF($V200="","",IF(AND(ISNUMBER($G200),$G200&lt;=IF($S200=MesCiclo,InicioCiclo,$S200+MOD(2-WEEKDAY($S200),7))+13),1,IF(ISNUMBER($J200),$J200,$Y200)))</f>
        <v/>
      </c>
      <c r="AA200" s="62">
        <f>IF($V200="","",IF(AND(ISNUMBER($G200),$G200&lt;=IF($S200=MesCiclo,InicioCiclo,$S200+MOD(2-WEEKDAY($S200),7))+20),1,IF(ISNUMBER($K200),$K200,$Z200)))</f>
        <v/>
      </c>
      <c r="AB200" s="62">
        <f>IF($V200="","",IF(AND(ISNUMBER($G200),$G200&lt;=IF($S200=MesCiclo,InicioCiclo,$S200+MOD(2-WEEKDAY($S200),7))+27),1,IF(ISNUMBER($L200),$L200,$AA200)))</f>
        <v/>
      </c>
      <c r="AC200" s="62">
        <f>IF($V200="","",IF(AND(ISNUMBER($G200),$G200&lt;=IF($S200=MesCiclo,InicioCiclo,$S200+MOD(2-WEEKDAY($S200),7))+6),1,IF(N($W200)&gt;0,AVERAGEIFS($Y$5:$Y$1000,$U$5:$U$1000,ROW(),$V$5:$V$1000,"Sub"),$Y200)))</f>
        <v/>
      </c>
      <c r="AD200" s="62">
        <f>IF($V200="","",IF(AND(ISNUMBER($G200),$G200&lt;=IF($S200=MesCiclo,InicioCiclo,$S200+MOD(2-WEEKDAY($S200),7))+13),1,IF(N($W200)&gt;0,AVERAGEIFS($Z$5:$Z$1000,$U$5:$U$1000,ROW(),$V$5:$V$1000,"Sub"),$Z200)))</f>
        <v/>
      </c>
      <c r="AE200" s="62">
        <f>IF($V200="","",IF(AND(ISNUMBER($G200),$G200&lt;=IF($S200=MesCiclo,InicioCiclo,$S200+MOD(2-WEEKDAY($S200),7))+20),1,IF(N($W200)&gt;0,AVERAGEIFS($AA$5:$AA$1000,$U$5:$U$1000,ROW(),$V$5:$V$1000,"Sub"),$AA200)))</f>
        <v/>
      </c>
      <c r="AF200" s="62">
        <f>IF($V200="","",IF(AND(ISNUMBER($G200),$G200&lt;=IF($S200=MesCiclo,InicioCiclo,$S200+MOD(2-WEEKDAY($S200),7))+27),1,IF(N($W200)&gt;0,AVERAGEIFS($AB$5:$AB$1000,$U$5:$U$1000,ROW(),$V$5:$V$1000,"Sub"),$AB200)))</f>
        <v/>
      </c>
      <c r="AG200" s="62">
        <f>IF($V200&lt;&gt;"Macro","",IF(COUNTIFS($S$5:$S$1000,$S200,$V$5:$V$1000,"Macro",$H$5:$H$1000,"&gt;0")=0,1/COUNTIFS($S$5:$S$1000,$S200,$V$5:$V$1000,"Macro"),IF(AND(ISNUMBER($H200),N($H200)&gt;0),$H200,SUMIFS($H$5:$H$1000,$S$5:$S$1000,$S200,$V$5:$V$1000,"Macro")/COUNTIFS($S$5:$S$1000,$S200,$V$5:$V$1000,"Macro",$H$5:$H$1000,"&gt;0"))/(COUNTIFS($S$5:$S$1000,$S200,$V$5:$V$1000,"Macro")*SUMIFS($H$5:$H$1000,$S$5:$S$1000,$S200,$V$5:$V$1000,"Macro")/COUNTIFS($S$5:$S$1000,$S200,$V$5:$V$1000,"Macro",$H$5:$H$1000,"&gt;0"))))</f>
        <v/>
      </c>
      <c r="AH200" s="62" t="n"/>
      <c r="AI200" s="62" t="n"/>
      <c r="AJ200" s="62" t="n"/>
      <c r="AK200" s="62" t="n"/>
      <c r="AL200" s="62">
        <f>IF(LEFT($C200,11)="[Jefatura] ",IFERROR(MATCH("Riesgo Normativo|"&amp;MID($C200,12,500),rDname_ADM,0),0),"")</f>
        <v/>
      </c>
      <c r="AM200" s="62">
        <f>IF(N($AL200)&gt;0,INDEX(rIni_ADM,$AL200),IF(ISNUMBER($E200),$E200,""))</f>
        <v/>
      </c>
      <c r="AN200" s="62">
        <f>IF(N($AL200)&gt;0,INDEX(rLim_ADM,$AL200),IF(ISNUMBER($F200),$F200,""))</f>
        <v/>
      </c>
    </row>
    <row r="201">
      <c r="A201" s="56">
        <f>IF(NOT((COUNTA($B201:$D201)+COUNTA($G201:$L201)+COUNTA($Q201))&gt;0),"",IF($V201="Macro",COUNTIFS($V$5:$V201,"Macro",$S$5:$S201,$S201),IF(N($U201)=0,"?",COUNTIFS(INDEX($V$5:$V$1000,1):INDEX($V$5:$V$1000,$U201-4),"Macro",INDEX($S$5:$S$1000,1):INDEX($S$5:$S$1000,$U201-4),INDEX($S$5:$S$1000,$U201-4))&amp;"."&amp;COUNTIFS($U$5:$U201,$U201,$V$5:$V201,"Sub"))))</f>
        <v/>
      </c>
      <c r="B201" s="57" t="n"/>
      <c r="C201" s="58" t="n"/>
      <c r="D201" s="58" t="n"/>
      <c r="E201" s="59">
        <f>IF(N($AL201)&gt;0,INDEX(rIni_ADM,$AL201),"")</f>
        <v/>
      </c>
      <c r="F201" s="59">
        <f>IF(N($AL201)&gt;0,INDEX(rLim_ADM,$AL201),"")</f>
        <v/>
      </c>
      <c r="G201" s="59" t="n"/>
      <c r="H201" s="60" t="n"/>
      <c r="I201" s="60" t="n"/>
      <c r="J201" s="60" t="n"/>
      <c r="K201" s="60" t="n"/>
      <c r="L201" s="60" t="n"/>
      <c r="M201" s="61">
        <f>IF(NOT((COUNTA($B201:$D201)+COUNTA($G201:$L201)+COUNTA($Q201))&gt;0),"",IF(ISNUMBER($G201),1,IF(N($W201)&gt;0,AVERAGEIFS($X$5:$X$1000,$U$5:$U$1000,ROW(),$V$5:$V$1000,"Sub"),$X201)))</f>
        <v/>
      </c>
      <c r="N201" s="56">
        <f>IF($M201="","",IF($M201&gt;=1,"Completado",IF($M201&gt;0,"En curso","Pendiente")))</f>
        <v/>
      </c>
      <c r="O201" s="56">
        <f>IF(NOT((COUNTA($B201:$D201)+COUNTA($G201:$L201)+COUNTA($Q201))&gt;0),"",IF(ISNUMBER($G201),IF(AND(ISNUMBER($AN201),$G201&gt;$AN201),"Cumplida con "&amp;($G201-$AN201)&amp;IF($G201-$AN201=1," día"," días")&amp;" de retraso","Cumplida"),IF(N($M201)&gt;=1,"Cumplida",IF(NOT(ISNUMBER($AN201)),"Sin fecha límite",IF($AN201&lt;FechaRef,"Vencida hace "&amp;(FechaRef-$AN201)&amp;IF(FechaRef-$AN201=1," día"," días"),IF($AN201=FechaRef,"Vence hoy",IF($AN201-FechaRef&lt;=DiasAlerta,"Vence en "&amp;($AN201-FechaRef)&amp;IF($AN201-FechaRef=1," día"," días"),"En plazo")))))))</f>
        <v/>
      </c>
      <c r="P201" s="62" t="n"/>
      <c r="Q201" s="58" t="n"/>
      <c r="R201" s="63">
        <f>IF(NOT((COUNTA($B201:$D201)+COUNTA($G201:$L201)+COUNTA($Q201))&gt;0),"",IF((IF($C201="","Falta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",""))="","✔ OK","⚠ "&amp;LEFT(IF($C201="","Falta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",""),LEN(IF($C201="","Falta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",""))-3)))</f>
        <v/>
      </c>
      <c r="S201" s="64">
        <f>IF(NOT((COUNTA($B201:$D201)+COUNTA($G201:$L201)+COUNTA($Q201))&gt;0),"",IF(AND($V201="Sub",N($U201)&gt;0),IF(ISNUMBER(INDEX($AM$5:$AM$1000,$U201-4)),DATE(YEAR(INDEX($AM$5:$AM$1000,$U201-4)),MONTH(INDEX($AM$5:$AM$1000,$U201-4)),1),IF(ISNUMBER(INDEX($AN$5:$AN$1000,$U201-4)),DATE(YEAR(INDEX($AN$5:$AN$1000,$U201-4)),MONTH(INDEX($AN$5:$AN$1000,$U201-4)),1),MesCiclo)),IF(ISNUMBER($AM201),DATE(YEAR($AM201),MONTH($AM201),1),IF(ISNUMBER($AN201),DATE(YEAR($AN201),MONTH($AN201),1),MesCiclo))))</f>
        <v/>
      </c>
      <c r="T201" s="62">
        <f>IF(OR($S201="",$S201&lt;&gt;MesCiclo),"",COUNTIF($S$5:$S201,MesCiclo))</f>
        <v/>
      </c>
      <c r="U201" s="62">
        <f>IF($V201="","",IF($V201="Macro",ROW(),IFERROR(LOOKUP(2,1/($V$5:$V201="Macro"),ROW($V$5:$V201)),0)))</f>
        <v/>
      </c>
      <c r="V201" s="62">
        <f>IF(NOT((COUNTA($B201:$D201)+COUNTA($G201:$L201)+COUNTA($Q201))&gt;0),"",IF($B201="Subactividad","Sub","Macro"))</f>
        <v/>
      </c>
      <c r="W201" s="62">
        <f>IF($V201="Macro",COUNTIFS($U$5:$U$1000,ROW(),$V$5:$V$1000,"Sub"),"")</f>
        <v/>
      </c>
      <c r="X201" s="62">
        <f>IF($V201="","",IF(ISNUMBER($G201),1,IFERROR(LOOKUP(2,1/($I201:$L201&lt;&gt;""),$I201:$L201),0)))</f>
        <v/>
      </c>
      <c r="Y201" s="62">
        <f>IF($V201="","",IF(AND(ISNUMBER($G201),$G201&lt;=IF($S201=MesCiclo,InicioCiclo,$S201+MOD(2-WEEKDAY($S201),7))+6),1,IF(ISNUMBER($I201),$I201,0)))</f>
        <v/>
      </c>
      <c r="Z201" s="62">
        <f>IF($V201="","",IF(AND(ISNUMBER($G201),$G201&lt;=IF($S201=MesCiclo,InicioCiclo,$S201+MOD(2-WEEKDAY($S201),7))+13),1,IF(ISNUMBER($J201),$J201,$Y201)))</f>
        <v/>
      </c>
      <c r="AA201" s="62">
        <f>IF($V201="","",IF(AND(ISNUMBER($G201),$G201&lt;=IF($S201=MesCiclo,InicioCiclo,$S201+MOD(2-WEEKDAY($S201),7))+20),1,IF(ISNUMBER($K201),$K201,$Z201)))</f>
        <v/>
      </c>
      <c r="AB201" s="62">
        <f>IF($V201="","",IF(AND(ISNUMBER($G201),$G201&lt;=IF($S201=MesCiclo,InicioCiclo,$S201+MOD(2-WEEKDAY($S201),7))+27),1,IF(ISNUMBER($L201),$L201,$AA201)))</f>
        <v/>
      </c>
      <c r="AC201" s="62">
        <f>IF($V201="","",IF(AND(ISNUMBER($G201),$G201&lt;=IF($S201=MesCiclo,InicioCiclo,$S201+MOD(2-WEEKDAY($S201),7))+6),1,IF(N($W201)&gt;0,AVERAGEIFS($Y$5:$Y$1000,$U$5:$U$1000,ROW(),$V$5:$V$1000,"Sub"),$Y201)))</f>
        <v/>
      </c>
      <c r="AD201" s="62">
        <f>IF($V201="","",IF(AND(ISNUMBER($G201),$G201&lt;=IF($S201=MesCiclo,InicioCiclo,$S201+MOD(2-WEEKDAY($S201),7))+13),1,IF(N($W201)&gt;0,AVERAGEIFS($Z$5:$Z$1000,$U$5:$U$1000,ROW(),$V$5:$V$1000,"Sub"),$Z201)))</f>
        <v/>
      </c>
      <c r="AE201" s="62">
        <f>IF($V201="","",IF(AND(ISNUMBER($G201),$G201&lt;=IF($S201=MesCiclo,InicioCiclo,$S201+MOD(2-WEEKDAY($S201),7))+20),1,IF(N($W201)&gt;0,AVERAGEIFS($AA$5:$AA$1000,$U$5:$U$1000,ROW(),$V$5:$V$1000,"Sub"),$AA201)))</f>
        <v/>
      </c>
      <c r="AF201" s="62">
        <f>IF($V201="","",IF(AND(ISNUMBER($G201),$G201&lt;=IF($S201=MesCiclo,InicioCiclo,$S201+MOD(2-WEEKDAY($S201),7))+27),1,IF(N($W201)&gt;0,AVERAGEIFS($AB$5:$AB$1000,$U$5:$U$1000,ROW(),$V$5:$V$1000,"Sub"),$AB201)))</f>
        <v/>
      </c>
      <c r="AG201" s="62">
        <f>IF($V201&lt;&gt;"Macro","",IF(COUNTIFS($S$5:$S$1000,$S201,$V$5:$V$1000,"Macro",$H$5:$H$1000,"&gt;0")=0,1/COUNTIFS($S$5:$S$1000,$S201,$V$5:$V$1000,"Macro"),IF(AND(ISNUMBER($H201),N($H201)&gt;0),$H201,SUMIFS($H$5:$H$1000,$S$5:$S$1000,$S201,$V$5:$V$1000,"Macro")/COUNTIFS($S$5:$S$1000,$S201,$V$5:$V$1000,"Macro",$H$5:$H$1000,"&gt;0"))/(COUNTIFS($S$5:$S$1000,$S201,$V$5:$V$1000,"Macro")*SUMIFS($H$5:$H$1000,$S$5:$S$1000,$S201,$V$5:$V$1000,"Macro")/COUNTIFS($S$5:$S$1000,$S201,$V$5:$V$1000,"Macro",$H$5:$H$1000,"&gt;0"))))</f>
        <v/>
      </c>
      <c r="AH201" s="62" t="n"/>
      <c r="AI201" s="62" t="n"/>
      <c r="AJ201" s="62" t="n"/>
      <c r="AK201" s="62" t="n"/>
      <c r="AL201" s="62">
        <f>IF(LEFT($C201,11)="[Jefatura] ",IFERROR(MATCH("Riesgo Normativo|"&amp;MID($C201,12,500),rDname_ADM,0),0),"")</f>
        <v/>
      </c>
      <c r="AM201" s="62">
        <f>IF(N($AL201)&gt;0,INDEX(rIni_ADM,$AL201),IF(ISNUMBER($E201),$E201,""))</f>
        <v/>
      </c>
      <c r="AN201" s="62">
        <f>IF(N($AL201)&gt;0,INDEX(rLim_ADM,$AL201),IF(ISNUMBER($F201),$F201,""))</f>
        <v/>
      </c>
    </row>
    <row r="202">
      <c r="A202" s="56">
        <f>IF(NOT((COUNTA($B202:$D202)+COUNTA($G202:$L202)+COUNTA($Q202))&gt;0),"",IF($V202="Macro",COUNTIFS($V$5:$V202,"Macro",$S$5:$S202,$S202),IF(N($U202)=0,"?",COUNTIFS(INDEX($V$5:$V$1000,1):INDEX($V$5:$V$1000,$U202-4),"Macro",INDEX($S$5:$S$1000,1):INDEX($S$5:$S$1000,$U202-4),INDEX($S$5:$S$1000,$U202-4))&amp;"."&amp;COUNTIFS($U$5:$U202,$U202,$V$5:$V202,"Sub"))))</f>
        <v/>
      </c>
      <c r="B202" s="57" t="n"/>
      <c r="C202" s="58" t="n"/>
      <c r="D202" s="58" t="n"/>
      <c r="E202" s="59">
        <f>IF(N($AL202)&gt;0,INDEX(rIni_ADM,$AL202),"")</f>
        <v/>
      </c>
      <c r="F202" s="59">
        <f>IF(N($AL202)&gt;0,INDEX(rLim_ADM,$AL202),"")</f>
        <v/>
      </c>
      <c r="G202" s="59" t="n"/>
      <c r="H202" s="60" t="n"/>
      <c r="I202" s="60" t="n"/>
      <c r="J202" s="60" t="n"/>
      <c r="K202" s="60" t="n"/>
      <c r="L202" s="60" t="n"/>
      <c r="M202" s="61">
        <f>IF(NOT((COUNTA($B202:$D202)+COUNTA($G202:$L202)+COUNTA($Q202))&gt;0),"",IF(ISNUMBER($G202),1,IF(N($W202)&gt;0,AVERAGEIFS($X$5:$X$1000,$U$5:$U$1000,ROW(),$V$5:$V$1000,"Sub"),$X202)))</f>
        <v/>
      </c>
      <c r="N202" s="56">
        <f>IF($M202="","",IF($M202&gt;=1,"Completado",IF($M202&gt;0,"En curso","Pendiente")))</f>
        <v/>
      </c>
      <c r="O202" s="56">
        <f>IF(NOT((COUNTA($B202:$D202)+COUNTA($G202:$L202)+COUNTA($Q202))&gt;0),"",IF(ISNUMBER($G202),IF(AND(ISNUMBER($AN202),$G202&gt;$AN202),"Cumplida con "&amp;($G202-$AN202)&amp;IF($G202-$AN202=1," día"," días")&amp;" de retraso","Cumplida"),IF(N($M202)&gt;=1,"Cumplida",IF(NOT(ISNUMBER($AN202)),"Sin fecha límite",IF($AN202&lt;FechaRef,"Vencida hace "&amp;(FechaRef-$AN202)&amp;IF(FechaRef-$AN202=1," día"," días"),IF($AN202=FechaRef,"Vence hoy",IF($AN202-FechaRef&lt;=DiasAlerta,"Vence en "&amp;($AN202-FechaRef)&amp;IF($AN202-FechaRef=1," día"," días"),"En plazo")))))))</f>
        <v/>
      </c>
      <c r="P202" s="62" t="n"/>
      <c r="Q202" s="58" t="n"/>
      <c r="R202" s="63">
        <f>IF(NOT((COUNTA($B202:$D202)+COUNTA($G202:$L202)+COUNTA($Q202))&gt;0),"",IF((IF($C202="","Falta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",""))="","✔ OK","⚠ "&amp;LEFT(IF($C202="","Falta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",""),LEN(IF($C202="","Falta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",""))-3)))</f>
        <v/>
      </c>
      <c r="S202" s="64">
        <f>IF(NOT((COUNTA($B202:$D202)+COUNTA($G202:$L202)+COUNTA($Q202))&gt;0),"",IF(AND($V202="Sub",N($U202)&gt;0),IF(ISNUMBER(INDEX($AM$5:$AM$1000,$U202-4)),DATE(YEAR(INDEX($AM$5:$AM$1000,$U202-4)),MONTH(INDEX($AM$5:$AM$1000,$U202-4)),1),IF(ISNUMBER(INDEX($AN$5:$AN$1000,$U202-4)),DATE(YEAR(INDEX($AN$5:$AN$1000,$U202-4)),MONTH(INDEX($AN$5:$AN$1000,$U202-4)),1),MesCiclo)),IF(ISNUMBER($AM202),DATE(YEAR($AM202),MONTH($AM202),1),IF(ISNUMBER($AN202),DATE(YEAR($AN202),MONTH($AN202),1),MesCiclo))))</f>
        <v/>
      </c>
      <c r="T202" s="62">
        <f>IF(OR($S202="",$S202&lt;&gt;MesCiclo),"",COUNTIF($S$5:$S202,MesCiclo))</f>
        <v/>
      </c>
      <c r="U202" s="62">
        <f>IF($V202="","",IF($V202="Macro",ROW(),IFERROR(LOOKUP(2,1/($V$5:$V202="Macro"),ROW($V$5:$V202)),0)))</f>
        <v/>
      </c>
      <c r="V202" s="62">
        <f>IF(NOT((COUNTA($B202:$D202)+COUNTA($G202:$L202)+COUNTA($Q202))&gt;0),"",IF($B202="Subactividad","Sub","Macro"))</f>
        <v/>
      </c>
      <c r="W202" s="62">
        <f>IF($V202="Macro",COUNTIFS($U$5:$U$1000,ROW(),$V$5:$V$1000,"Sub"),"")</f>
        <v/>
      </c>
      <c r="X202" s="62">
        <f>IF($V202="","",IF(ISNUMBER($G202),1,IFERROR(LOOKUP(2,1/($I202:$L202&lt;&gt;""),$I202:$L202),0)))</f>
        <v/>
      </c>
      <c r="Y202" s="62">
        <f>IF($V202="","",IF(AND(ISNUMBER($G202),$G202&lt;=IF($S202=MesCiclo,InicioCiclo,$S202+MOD(2-WEEKDAY($S202),7))+6),1,IF(ISNUMBER($I202),$I202,0)))</f>
        <v/>
      </c>
      <c r="Z202" s="62">
        <f>IF($V202="","",IF(AND(ISNUMBER($G202),$G202&lt;=IF($S202=MesCiclo,InicioCiclo,$S202+MOD(2-WEEKDAY($S202),7))+13),1,IF(ISNUMBER($J202),$J202,$Y202)))</f>
        <v/>
      </c>
      <c r="AA202" s="62">
        <f>IF($V202="","",IF(AND(ISNUMBER($G202),$G202&lt;=IF($S202=MesCiclo,InicioCiclo,$S202+MOD(2-WEEKDAY($S202),7))+20),1,IF(ISNUMBER($K202),$K202,$Z202)))</f>
        <v/>
      </c>
      <c r="AB202" s="62">
        <f>IF($V202="","",IF(AND(ISNUMBER($G202),$G202&lt;=IF($S202=MesCiclo,InicioCiclo,$S202+MOD(2-WEEKDAY($S202),7))+27),1,IF(ISNUMBER($L202),$L202,$AA202)))</f>
        <v/>
      </c>
      <c r="AC202" s="62">
        <f>IF($V202="","",IF(AND(ISNUMBER($G202),$G202&lt;=IF($S202=MesCiclo,InicioCiclo,$S202+MOD(2-WEEKDAY($S202),7))+6),1,IF(N($W202)&gt;0,AVERAGEIFS($Y$5:$Y$1000,$U$5:$U$1000,ROW(),$V$5:$V$1000,"Sub"),$Y202)))</f>
        <v/>
      </c>
      <c r="AD202" s="62">
        <f>IF($V202="","",IF(AND(ISNUMBER($G202),$G202&lt;=IF($S202=MesCiclo,InicioCiclo,$S202+MOD(2-WEEKDAY($S202),7))+13),1,IF(N($W202)&gt;0,AVERAGEIFS($Z$5:$Z$1000,$U$5:$U$1000,ROW(),$V$5:$V$1000,"Sub"),$Z202)))</f>
        <v/>
      </c>
      <c r="AE202" s="62">
        <f>IF($V202="","",IF(AND(ISNUMBER($G202),$G202&lt;=IF($S202=MesCiclo,InicioCiclo,$S202+MOD(2-WEEKDAY($S202),7))+20),1,IF(N($W202)&gt;0,AVERAGEIFS($AA$5:$AA$1000,$U$5:$U$1000,ROW(),$V$5:$V$1000,"Sub"),$AA202)))</f>
        <v/>
      </c>
      <c r="AF202" s="62">
        <f>IF($V202="","",IF(AND(ISNUMBER($G202),$G202&lt;=IF($S202=MesCiclo,InicioCiclo,$S202+MOD(2-WEEKDAY($S202),7))+27),1,IF(N($W202)&gt;0,AVERAGEIFS($AB$5:$AB$1000,$U$5:$U$1000,ROW(),$V$5:$V$1000,"Sub"),$AB202)))</f>
        <v/>
      </c>
      <c r="AG202" s="62">
        <f>IF($V202&lt;&gt;"Macro","",IF(COUNTIFS($S$5:$S$1000,$S202,$V$5:$V$1000,"Macro",$H$5:$H$1000,"&gt;0")=0,1/COUNTIFS($S$5:$S$1000,$S202,$V$5:$V$1000,"Macro"),IF(AND(ISNUMBER($H202),N($H202)&gt;0),$H202,SUMIFS($H$5:$H$1000,$S$5:$S$1000,$S202,$V$5:$V$1000,"Macro")/COUNTIFS($S$5:$S$1000,$S202,$V$5:$V$1000,"Macro",$H$5:$H$1000,"&gt;0"))/(COUNTIFS($S$5:$S$1000,$S202,$V$5:$V$1000,"Macro")*SUMIFS($H$5:$H$1000,$S$5:$S$1000,$S202,$V$5:$V$1000,"Macro")/COUNTIFS($S$5:$S$1000,$S202,$V$5:$V$1000,"Macro",$H$5:$H$1000,"&gt;0"))))</f>
        <v/>
      </c>
      <c r="AH202" s="62" t="n"/>
      <c r="AI202" s="62" t="n"/>
      <c r="AJ202" s="62" t="n"/>
      <c r="AK202" s="62" t="n"/>
      <c r="AL202" s="62">
        <f>IF(LEFT($C202,11)="[Jefatura] ",IFERROR(MATCH("Riesgo Normativo|"&amp;MID($C202,12,500),rDname_ADM,0),0),"")</f>
        <v/>
      </c>
      <c r="AM202" s="62">
        <f>IF(N($AL202)&gt;0,INDEX(rIni_ADM,$AL202),IF(ISNUMBER($E202),$E202,""))</f>
        <v/>
      </c>
      <c r="AN202" s="62">
        <f>IF(N($AL202)&gt;0,INDEX(rLim_ADM,$AL202),IF(ISNUMBER($F202),$F202,""))</f>
        <v/>
      </c>
    </row>
    <row r="203">
      <c r="A203" s="56">
        <f>IF(NOT((COUNTA($B203:$D203)+COUNTA($G203:$L203)+COUNTA($Q203))&gt;0),"",IF($V203="Macro",COUNTIFS($V$5:$V203,"Macro",$S$5:$S203,$S203),IF(N($U203)=0,"?",COUNTIFS(INDEX($V$5:$V$1000,1):INDEX($V$5:$V$1000,$U203-4),"Macro",INDEX($S$5:$S$1000,1):INDEX($S$5:$S$1000,$U203-4),INDEX($S$5:$S$1000,$U203-4))&amp;"."&amp;COUNTIFS($U$5:$U203,$U203,$V$5:$V203,"Sub"))))</f>
        <v/>
      </c>
      <c r="B203" s="57" t="n"/>
      <c r="C203" s="58" t="n"/>
      <c r="D203" s="58" t="n"/>
      <c r="E203" s="59">
        <f>IF(N($AL203)&gt;0,INDEX(rIni_ADM,$AL203),"")</f>
        <v/>
      </c>
      <c r="F203" s="59">
        <f>IF(N($AL203)&gt;0,INDEX(rLim_ADM,$AL203),"")</f>
        <v/>
      </c>
      <c r="G203" s="59" t="n"/>
      <c r="H203" s="60" t="n"/>
      <c r="I203" s="60" t="n"/>
      <c r="J203" s="60" t="n"/>
      <c r="K203" s="60" t="n"/>
      <c r="L203" s="60" t="n"/>
      <c r="M203" s="61">
        <f>IF(NOT((COUNTA($B203:$D203)+COUNTA($G203:$L203)+COUNTA($Q203))&gt;0),"",IF(ISNUMBER($G203),1,IF(N($W203)&gt;0,AVERAGEIFS($X$5:$X$1000,$U$5:$U$1000,ROW(),$V$5:$V$1000,"Sub"),$X203)))</f>
        <v/>
      </c>
      <c r="N203" s="56">
        <f>IF($M203="","",IF($M203&gt;=1,"Completado",IF($M203&gt;0,"En curso","Pendiente")))</f>
        <v/>
      </c>
      <c r="O203" s="56">
        <f>IF(NOT((COUNTA($B203:$D203)+COUNTA($G203:$L203)+COUNTA($Q203))&gt;0),"",IF(ISNUMBER($G203),IF(AND(ISNUMBER($AN203),$G203&gt;$AN203),"Cumplida con "&amp;($G203-$AN203)&amp;IF($G203-$AN203=1," día"," días")&amp;" de retraso","Cumplida"),IF(N($M203)&gt;=1,"Cumplida",IF(NOT(ISNUMBER($AN203)),"Sin fecha límite",IF($AN203&lt;FechaRef,"Vencida hace "&amp;(FechaRef-$AN203)&amp;IF(FechaRef-$AN203=1," día"," días"),IF($AN203=FechaRef,"Vence hoy",IF($AN203-FechaRef&lt;=DiasAlerta,"Vence en "&amp;($AN203-FechaRef)&amp;IF($AN203-FechaRef=1," día"," días"),"En plazo")))))))</f>
        <v/>
      </c>
      <c r="P203" s="62" t="n"/>
      <c r="Q203" s="58" t="n"/>
      <c r="R203" s="63">
        <f>IF(NOT((COUNTA($B203:$D203)+COUNTA($G203:$L203)+COUNTA($Q203))&gt;0),"",IF((IF($C203="","Falta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",""))="","✔ OK","⚠ "&amp;LEFT(IF($C203="","Falta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",""),LEN(IF($C203="","Falta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",""))-3)))</f>
        <v/>
      </c>
      <c r="S203" s="64">
        <f>IF(NOT((COUNTA($B203:$D203)+COUNTA($G203:$L203)+COUNTA($Q203))&gt;0),"",IF(AND($V203="Sub",N($U203)&gt;0),IF(ISNUMBER(INDEX($AM$5:$AM$1000,$U203-4)),DATE(YEAR(INDEX($AM$5:$AM$1000,$U203-4)),MONTH(INDEX($AM$5:$AM$1000,$U203-4)),1),IF(ISNUMBER(INDEX($AN$5:$AN$1000,$U203-4)),DATE(YEAR(INDEX($AN$5:$AN$1000,$U203-4)),MONTH(INDEX($AN$5:$AN$1000,$U203-4)),1),MesCiclo)),IF(ISNUMBER($AM203),DATE(YEAR($AM203),MONTH($AM203),1),IF(ISNUMBER($AN203),DATE(YEAR($AN203),MONTH($AN203),1),MesCiclo))))</f>
        <v/>
      </c>
      <c r="T203" s="62">
        <f>IF(OR($S203="",$S203&lt;&gt;MesCiclo),"",COUNTIF($S$5:$S203,MesCiclo))</f>
        <v/>
      </c>
      <c r="U203" s="62">
        <f>IF($V203="","",IF($V203="Macro",ROW(),IFERROR(LOOKUP(2,1/($V$5:$V203="Macro"),ROW($V$5:$V203)),0)))</f>
        <v/>
      </c>
      <c r="V203" s="62">
        <f>IF(NOT((COUNTA($B203:$D203)+COUNTA($G203:$L203)+COUNTA($Q203))&gt;0),"",IF($B203="Subactividad","Sub","Macro"))</f>
        <v/>
      </c>
      <c r="W203" s="62">
        <f>IF($V203="Macro",COUNTIFS($U$5:$U$1000,ROW(),$V$5:$V$1000,"Sub"),"")</f>
        <v/>
      </c>
      <c r="X203" s="62">
        <f>IF($V203="","",IF(ISNUMBER($G203),1,IFERROR(LOOKUP(2,1/($I203:$L203&lt;&gt;""),$I203:$L203),0)))</f>
        <v/>
      </c>
      <c r="Y203" s="62">
        <f>IF($V203="","",IF(AND(ISNUMBER($G203),$G203&lt;=IF($S203=MesCiclo,InicioCiclo,$S203+MOD(2-WEEKDAY($S203),7))+6),1,IF(ISNUMBER($I203),$I203,0)))</f>
        <v/>
      </c>
      <c r="Z203" s="62">
        <f>IF($V203="","",IF(AND(ISNUMBER($G203),$G203&lt;=IF($S203=MesCiclo,InicioCiclo,$S203+MOD(2-WEEKDAY($S203),7))+13),1,IF(ISNUMBER($J203),$J203,$Y203)))</f>
        <v/>
      </c>
      <c r="AA203" s="62">
        <f>IF($V203="","",IF(AND(ISNUMBER($G203),$G203&lt;=IF($S203=MesCiclo,InicioCiclo,$S203+MOD(2-WEEKDAY($S203),7))+20),1,IF(ISNUMBER($K203),$K203,$Z203)))</f>
        <v/>
      </c>
      <c r="AB203" s="62">
        <f>IF($V203="","",IF(AND(ISNUMBER($G203),$G203&lt;=IF($S203=MesCiclo,InicioCiclo,$S203+MOD(2-WEEKDAY($S203),7))+27),1,IF(ISNUMBER($L203),$L203,$AA203)))</f>
        <v/>
      </c>
      <c r="AC203" s="62">
        <f>IF($V203="","",IF(AND(ISNUMBER($G203),$G203&lt;=IF($S203=MesCiclo,InicioCiclo,$S203+MOD(2-WEEKDAY($S203),7))+6),1,IF(N($W203)&gt;0,AVERAGEIFS($Y$5:$Y$1000,$U$5:$U$1000,ROW(),$V$5:$V$1000,"Sub"),$Y203)))</f>
        <v/>
      </c>
      <c r="AD203" s="62">
        <f>IF($V203="","",IF(AND(ISNUMBER($G203),$G203&lt;=IF($S203=MesCiclo,InicioCiclo,$S203+MOD(2-WEEKDAY($S203),7))+13),1,IF(N($W203)&gt;0,AVERAGEIFS($Z$5:$Z$1000,$U$5:$U$1000,ROW(),$V$5:$V$1000,"Sub"),$Z203)))</f>
        <v/>
      </c>
      <c r="AE203" s="62">
        <f>IF($V203="","",IF(AND(ISNUMBER($G203),$G203&lt;=IF($S203=MesCiclo,InicioCiclo,$S203+MOD(2-WEEKDAY($S203),7))+20),1,IF(N($W203)&gt;0,AVERAGEIFS($AA$5:$AA$1000,$U$5:$U$1000,ROW(),$V$5:$V$1000,"Sub"),$AA203)))</f>
        <v/>
      </c>
      <c r="AF203" s="62">
        <f>IF($V203="","",IF(AND(ISNUMBER($G203),$G203&lt;=IF($S203=MesCiclo,InicioCiclo,$S203+MOD(2-WEEKDAY($S203),7))+27),1,IF(N($W203)&gt;0,AVERAGEIFS($AB$5:$AB$1000,$U$5:$U$1000,ROW(),$V$5:$V$1000,"Sub"),$AB203)))</f>
        <v/>
      </c>
      <c r="AG203" s="62">
        <f>IF($V203&lt;&gt;"Macro","",IF(COUNTIFS($S$5:$S$1000,$S203,$V$5:$V$1000,"Macro",$H$5:$H$1000,"&gt;0")=0,1/COUNTIFS($S$5:$S$1000,$S203,$V$5:$V$1000,"Macro"),IF(AND(ISNUMBER($H203),N($H203)&gt;0),$H203,SUMIFS($H$5:$H$1000,$S$5:$S$1000,$S203,$V$5:$V$1000,"Macro")/COUNTIFS($S$5:$S$1000,$S203,$V$5:$V$1000,"Macro",$H$5:$H$1000,"&gt;0"))/(COUNTIFS($S$5:$S$1000,$S203,$V$5:$V$1000,"Macro")*SUMIFS($H$5:$H$1000,$S$5:$S$1000,$S203,$V$5:$V$1000,"Macro")/COUNTIFS($S$5:$S$1000,$S203,$V$5:$V$1000,"Macro",$H$5:$H$1000,"&gt;0"))))</f>
        <v/>
      </c>
      <c r="AH203" s="62" t="n"/>
      <c r="AI203" s="62" t="n"/>
      <c r="AJ203" s="62" t="n"/>
      <c r="AK203" s="62" t="n"/>
      <c r="AL203" s="62">
        <f>IF(LEFT($C203,11)="[Jefatura] ",IFERROR(MATCH("Riesgo Normativo|"&amp;MID($C203,12,500),rDname_ADM,0),0),"")</f>
        <v/>
      </c>
      <c r="AM203" s="62">
        <f>IF(N($AL203)&gt;0,INDEX(rIni_ADM,$AL203),IF(ISNUMBER($E203),$E203,""))</f>
        <v/>
      </c>
      <c r="AN203" s="62">
        <f>IF(N($AL203)&gt;0,INDEX(rLim_ADM,$AL203),IF(ISNUMBER($F203),$F203,""))</f>
        <v/>
      </c>
    </row>
    <row r="204">
      <c r="A204" s="56">
        <f>IF(NOT((COUNTA($B204:$D204)+COUNTA($G204:$L204)+COUNTA($Q204))&gt;0),"",IF($V204="Macro",COUNTIFS($V$5:$V204,"Macro",$S$5:$S204,$S204),IF(N($U204)=0,"?",COUNTIFS(INDEX($V$5:$V$1000,1):INDEX($V$5:$V$1000,$U204-4),"Macro",INDEX($S$5:$S$1000,1):INDEX($S$5:$S$1000,$U204-4),INDEX($S$5:$S$1000,$U204-4))&amp;"."&amp;COUNTIFS($U$5:$U204,$U204,$V$5:$V204,"Sub"))))</f>
        <v/>
      </c>
      <c r="B204" s="57" t="n"/>
      <c r="C204" s="58" t="n"/>
      <c r="D204" s="58" t="n"/>
      <c r="E204" s="59">
        <f>IF(N($AL204)&gt;0,INDEX(rIni_ADM,$AL204),"")</f>
        <v/>
      </c>
      <c r="F204" s="59">
        <f>IF(N($AL204)&gt;0,INDEX(rLim_ADM,$AL204),"")</f>
        <v/>
      </c>
      <c r="G204" s="59" t="n"/>
      <c r="H204" s="60" t="n"/>
      <c r="I204" s="60" t="n"/>
      <c r="J204" s="60" t="n"/>
      <c r="K204" s="60" t="n"/>
      <c r="L204" s="60" t="n"/>
      <c r="M204" s="61">
        <f>IF(NOT((COUNTA($B204:$D204)+COUNTA($G204:$L204)+COUNTA($Q204))&gt;0),"",IF(ISNUMBER($G204),1,IF(N($W204)&gt;0,AVERAGEIFS($X$5:$X$1000,$U$5:$U$1000,ROW(),$V$5:$V$1000,"Sub"),$X204)))</f>
        <v/>
      </c>
      <c r="N204" s="56">
        <f>IF($M204="","",IF($M204&gt;=1,"Completado",IF($M204&gt;0,"En curso","Pendiente")))</f>
        <v/>
      </c>
      <c r="O204" s="56">
        <f>IF(NOT((COUNTA($B204:$D204)+COUNTA($G204:$L204)+COUNTA($Q204))&gt;0),"",IF(ISNUMBER($G204),IF(AND(ISNUMBER($AN204),$G204&gt;$AN204),"Cumplida con "&amp;($G204-$AN204)&amp;IF($G204-$AN204=1," día"," días")&amp;" de retraso","Cumplida"),IF(N($M204)&gt;=1,"Cumplida",IF(NOT(ISNUMBER($AN204)),"Sin fecha límite",IF($AN204&lt;FechaRef,"Vencida hace "&amp;(FechaRef-$AN204)&amp;IF(FechaRef-$AN204=1," día"," días"),IF($AN204=FechaRef,"Vence hoy",IF($AN204-FechaRef&lt;=DiasAlerta,"Vence en "&amp;($AN204-FechaRef)&amp;IF($AN204-FechaRef=1," día"," días"),"En plazo")))))))</f>
        <v/>
      </c>
      <c r="P204" s="62" t="n"/>
      <c r="Q204" s="58" t="n"/>
      <c r="R204" s="63">
        <f>IF(NOT((COUNTA($B204:$D204)+COUNTA($G204:$L204)+COUNTA($Q204))&gt;0),"",IF((IF($C204="","Falta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",""))="","✔ OK","⚠ "&amp;LEFT(IF($C204="","Falta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",""),LEN(IF($C204="","Falta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",""))-3)))</f>
        <v/>
      </c>
      <c r="S204" s="64">
        <f>IF(NOT((COUNTA($B204:$D204)+COUNTA($G204:$L204)+COUNTA($Q204))&gt;0),"",IF(AND($V204="Sub",N($U204)&gt;0),IF(ISNUMBER(INDEX($AM$5:$AM$1000,$U204-4)),DATE(YEAR(INDEX($AM$5:$AM$1000,$U204-4)),MONTH(INDEX($AM$5:$AM$1000,$U204-4)),1),IF(ISNUMBER(INDEX($AN$5:$AN$1000,$U204-4)),DATE(YEAR(INDEX($AN$5:$AN$1000,$U204-4)),MONTH(INDEX($AN$5:$AN$1000,$U204-4)),1),MesCiclo)),IF(ISNUMBER($AM204),DATE(YEAR($AM204),MONTH($AM204),1),IF(ISNUMBER($AN204),DATE(YEAR($AN204),MONTH($AN204),1),MesCiclo))))</f>
        <v/>
      </c>
      <c r="T204" s="62">
        <f>IF(OR($S204="",$S204&lt;&gt;MesCiclo),"",COUNTIF($S$5:$S204,MesCiclo))</f>
        <v/>
      </c>
      <c r="U204" s="62">
        <f>IF($V204="","",IF($V204="Macro",ROW(),IFERROR(LOOKUP(2,1/($V$5:$V204="Macro"),ROW($V$5:$V204)),0)))</f>
        <v/>
      </c>
      <c r="V204" s="62">
        <f>IF(NOT((COUNTA($B204:$D204)+COUNTA($G204:$L204)+COUNTA($Q204))&gt;0),"",IF($B204="Subactividad","Sub","Macro"))</f>
        <v/>
      </c>
      <c r="W204" s="62">
        <f>IF($V204="Macro",COUNTIFS($U$5:$U$1000,ROW(),$V$5:$V$1000,"Sub"),"")</f>
        <v/>
      </c>
      <c r="X204" s="62">
        <f>IF($V204="","",IF(ISNUMBER($G204),1,IFERROR(LOOKUP(2,1/($I204:$L204&lt;&gt;""),$I204:$L204),0)))</f>
        <v/>
      </c>
      <c r="Y204" s="62">
        <f>IF($V204="","",IF(AND(ISNUMBER($G204),$G204&lt;=IF($S204=MesCiclo,InicioCiclo,$S204+MOD(2-WEEKDAY($S204),7))+6),1,IF(ISNUMBER($I204),$I204,0)))</f>
        <v/>
      </c>
      <c r="Z204" s="62">
        <f>IF($V204="","",IF(AND(ISNUMBER($G204),$G204&lt;=IF($S204=MesCiclo,InicioCiclo,$S204+MOD(2-WEEKDAY($S204),7))+13),1,IF(ISNUMBER($J204),$J204,$Y204)))</f>
        <v/>
      </c>
      <c r="AA204" s="62">
        <f>IF($V204="","",IF(AND(ISNUMBER($G204),$G204&lt;=IF($S204=MesCiclo,InicioCiclo,$S204+MOD(2-WEEKDAY($S204),7))+20),1,IF(ISNUMBER($K204),$K204,$Z204)))</f>
        <v/>
      </c>
      <c r="AB204" s="62">
        <f>IF($V204="","",IF(AND(ISNUMBER($G204),$G204&lt;=IF($S204=MesCiclo,InicioCiclo,$S204+MOD(2-WEEKDAY($S204),7))+27),1,IF(ISNUMBER($L204),$L204,$AA204)))</f>
        <v/>
      </c>
      <c r="AC204" s="62">
        <f>IF($V204="","",IF(AND(ISNUMBER($G204),$G204&lt;=IF($S204=MesCiclo,InicioCiclo,$S204+MOD(2-WEEKDAY($S204),7))+6),1,IF(N($W204)&gt;0,AVERAGEIFS($Y$5:$Y$1000,$U$5:$U$1000,ROW(),$V$5:$V$1000,"Sub"),$Y204)))</f>
        <v/>
      </c>
      <c r="AD204" s="62">
        <f>IF($V204="","",IF(AND(ISNUMBER($G204),$G204&lt;=IF($S204=MesCiclo,InicioCiclo,$S204+MOD(2-WEEKDAY($S204),7))+13),1,IF(N($W204)&gt;0,AVERAGEIFS($Z$5:$Z$1000,$U$5:$U$1000,ROW(),$V$5:$V$1000,"Sub"),$Z204)))</f>
        <v/>
      </c>
      <c r="AE204" s="62">
        <f>IF($V204="","",IF(AND(ISNUMBER($G204),$G204&lt;=IF($S204=MesCiclo,InicioCiclo,$S204+MOD(2-WEEKDAY($S204),7))+20),1,IF(N($W204)&gt;0,AVERAGEIFS($AA$5:$AA$1000,$U$5:$U$1000,ROW(),$V$5:$V$1000,"Sub"),$AA204)))</f>
        <v/>
      </c>
      <c r="AF204" s="62">
        <f>IF($V204="","",IF(AND(ISNUMBER($G204),$G204&lt;=IF($S204=MesCiclo,InicioCiclo,$S204+MOD(2-WEEKDAY($S204),7))+27),1,IF(N($W204)&gt;0,AVERAGEIFS($AB$5:$AB$1000,$U$5:$U$1000,ROW(),$V$5:$V$1000,"Sub"),$AB204)))</f>
        <v/>
      </c>
      <c r="AG204" s="62">
        <f>IF($V204&lt;&gt;"Macro","",IF(COUNTIFS($S$5:$S$1000,$S204,$V$5:$V$1000,"Macro",$H$5:$H$1000,"&gt;0")=0,1/COUNTIFS($S$5:$S$1000,$S204,$V$5:$V$1000,"Macro"),IF(AND(ISNUMBER($H204),N($H204)&gt;0),$H204,SUMIFS($H$5:$H$1000,$S$5:$S$1000,$S204,$V$5:$V$1000,"Macro")/COUNTIFS($S$5:$S$1000,$S204,$V$5:$V$1000,"Macro",$H$5:$H$1000,"&gt;0"))/(COUNTIFS($S$5:$S$1000,$S204,$V$5:$V$1000,"Macro")*SUMIFS($H$5:$H$1000,$S$5:$S$1000,$S204,$V$5:$V$1000,"Macro")/COUNTIFS($S$5:$S$1000,$S204,$V$5:$V$1000,"Macro",$H$5:$H$1000,"&gt;0"))))</f>
        <v/>
      </c>
      <c r="AH204" s="62" t="n"/>
      <c r="AI204" s="62" t="n"/>
      <c r="AJ204" s="62" t="n"/>
      <c r="AK204" s="62" t="n"/>
      <c r="AL204" s="62">
        <f>IF(LEFT($C204,11)="[Jefatura] ",IFERROR(MATCH("Riesgo Normativo|"&amp;MID($C204,12,500),rDname_ADM,0),0),"")</f>
        <v/>
      </c>
      <c r="AM204" s="62">
        <f>IF(N($AL204)&gt;0,INDEX(rIni_ADM,$AL204),IF(ISNUMBER($E204),$E204,""))</f>
        <v/>
      </c>
      <c r="AN204" s="62">
        <f>IF(N($AL204)&gt;0,INDEX(rLim_ADM,$AL204),IF(ISNUMBER($F204),$F204,""))</f>
        <v/>
      </c>
    </row>
    <row r="205">
      <c r="A205" s="56">
        <f>IF(NOT((COUNTA($B205:$D205)+COUNTA($G205:$L205)+COUNTA($Q205))&gt;0),"",IF($V205="Macro",COUNTIFS($V$5:$V205,"Macro",$S$5:$S205,$S205),IF(N($U205)=0,"?",COUNTIFS(INDEX($V$5:$V$1000,1):INDEX($V$5:$V$1000,$U205-4),"Macro",INDEX($S$5:$S$1000,1):INDEX($S$5:$S$1000,$U205-4),INDEX($S$5:$S$1000,$U205-4))&amp;"."&amp;COUNTIFS($U$5:$U205,$U205,$V$5:$V205,"Sub"))))</f>
        <v/>
      </c>
      <c r="B205" s="57" t="n"/>
      <c r="C205" s="58" t="n"/>
      <c r="D205" s="58" t="n"/>
      <c r="E205" s="59">
        <f>IF(N($AL205)&gt;0,INDEX(rIni_ADM,$AL205),"")</f>
        <v/>
      </c>
      <c r="F205" s="59">
        <f>IF(N($AL205)&gt;0,INDEX(rLim_ADM,$AL205),"")</f>
        <v/>
      </c>
      <c r="G205" s="59" t="n"/>
      <c r="H205" s="60" t="n"/>
      <c r="I205" s="60" t="n"/>
      <c r="J205" s="60" t="n"/>
      <c r="K205" s="60" t="n"/>
      <c r="L205" s="60" t="n"/>
      <c r="M205" s="61">
        <f>IF(NOT((COUNTA($B205:$D205)+COUNTA($G205:$L205)+COUNTA($Q205))&gt;0),"",IF(ISNUMBER($G205),1,IF(N($W205)&gt;0,AVERAGEIFS($X$5:$X$1000,$U$5:$U$1000,ROW(),$V$5:$V$1000,"Sub"),$X205)))</f>
        <v/>
      </c>
      <c r="N205" s="56">
        <f>IF($M205="","",IF($M205&gt;=1,"Completado",IF($M205&gt;0,"En curso","Pendiente")))</f>
        <v/>
      </c>
      <c r="O205" s="56">
        <f>IF(NOT((COUNTA($B205:$D205)+COUNTA($G205:$L205)+COUNTA($Q205))&gt;0),"",IF(ISNUMBER($G205),IF(AND(ISNUMBER($AN205),$G205&gt;$AN205),"Cumplida con "&amp;($G205-$AN205)&amp;IF($G205-$AN205=1," día"," días")&amp;" de retraso","Cumplida"),IF(N($M205)&gt;=1,"Cumplida",IF(NOT(ISNUMBER($AN205)),"Sin fecha límite",IF($AN205&lt;FechaRef,"Vencida hace "&amp;(FechaRef-$AN205)&amp;IF(FechaRef-$AN205=1," día"," días"),IF($AN205=FechaRef,"Vence hoy",IF($AN205-FechaRef&lt;=DiasAlerta,"Vence en "&amp;($AN205-FechaRef)&amp;IF($AN205-FechaRef=1," día"," días"),"En plazo")))))))</f>
        <v/>
      </c>
      <c r="P205" s="62" t="n"/>
      <c r="Q205" s="58" t="n"/>
      <c r="R205" s="63">
        <f>IF(NOT((COUNTA($B205:$D205)+COUNTA($G205:$L205)+COUNTA($Q205))&gt;0),"",IF((IF($C205="","Falta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",""))="","✔ OK","⚠ "&amp;LEFT(IF($C205="","Falta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",""),LEN(IF($C205="","Falta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",""))-3)))</f>
        <v/>
      </c>
      <c r="S205" s="64">
        <f>IF(NOT((COUNTA($B205:$D205)+COUNTA($G205:$L205)+COUNTA($Q205))&gt;0),"",IF(AND($V205="Sub",N($U205)&gt;0),IF(ISNUMBER(INDEX($AM$5:$AM$1000,$U205-4)),DATE(YEAR(INDEX($AM$5:$AM$1000,$U205-4)),MONTH(INDEX($AM$5:$AM$1000,$U205-4)),1),IF(ISNUMBER(INDEX($AN$5:$AN$1000,$U205-4)),DATE(YEAR(INDEX($AN$5:$AN$1000,$U205-4)),MONTH(INDEX($AN$5:$AN$1000,$U205-4)),1),MesCiclo)),IF(ISNUMBER($AM205),DATE(YEAR($AM205),MONTH($AM205),1),IF(ISNUMBER($AN205),DATE(YEAR($AN205),MONTH($AN205),1),MesCiclo))))</f>
        <v/>
      </c>
      <c r="T205" s="62">
        <f>IF(OR($S205="",$S205&lt;&gt;MesCiclo),"",COUNTIF($S$5:$S205,MesCiclo))</f>
        <v/>
      </c>
      <c r="U205" s="62">
        <f>IF($V205="","",IF($V205="Macro",ROW(),IFERROR(LOOKUP(2,1/($V$5:$V205="Macro"),ROW($V$5:$V205)),0)))</f>
        <v/>
      </c>
      <c r="V205" s="62">
        <f>IF(NOT((COUNTA($B205:$D205)+COUNTA($G205:$L205)+COUNTA($Q205))&gt;0),"",IF($B205="Subactividad","Sub","Macro"))</f>
        <v/>
      </c>
      <c r="W205" s="62">
        <f>IF($V205="Macro",COUNTIFS($U$5:$U$1000,ROW(),$V$5:$V$1000,"Sub"),"")</f>
        <v/>
      </c>
      <c r="X205" s="62">
        <f>IF($V205="","",IF(ISNUMBER($G205),1,IFERROR(LOOKUP(2,1/($I205:$L205&lt;&gt;""),$I205:$L205),0)))</f>
        <v/>
      </c>
      <c r="Y205" s="62">
        <f>IF($V205="","",IF(AND(ISNUMBER($G205),$G205&lt;=IF($S205=MesCiclo,InicioCiclo,$S205+MOD(2-WEEKDAY($S205),7))+6),1,IF(ISNUMBER($I205),$I205,0)))</f>
        <v/>
      </c>
      <c r="Z205" s="62">
        <f>IF($V205="","",IF(AND(ISNUMBER($G205),$G205&lt;=IF($S205=MesCiclo,InicioCiclo,$S205+MOD(2-WEEKDAY($S205),7))+13),1,IF(ISNUMBER($J205),$J205,$Y205)))</f>
        <v/>
      </c>
      <c r="AA205" s="62">
        <f>IF($V205="","",IF(AND(ISNUMBER($G205),$G205&lt;=IF($S205=MesCiclo,InicioCiclo,$S205+MOD(2-WEEKDAY($S205),7))+20),1,IF(ISNUMBER($K205),$K205,$Z205)))</f>
        <v/>
      </c>
      <c r="AB205" s="62">
        <f>IF($V205="","",IF(AND(ISNUMBER($G205),$G205&lt;=IF($S205=MesCiclo,InicioCiclo,$S205+MOD(2-WEEKDAY($S205),7))+27),1,IF(ISNUMBER($L205),$L205,$AA205)))</f>
        <v/>
      </c>
      <c r="AC205" s="62">
        <f>IF($V205="","",IF(AND(ISNUMBER($G205),$G205&lt;=IF($S205=MesCiclo,InicioCiclo,$S205+MOD(2-WEEKDAY($S205),7))+6),1,IF(N($W205)&gt;0,AVERAGEIFS($Y$5:$Y$1000,$U$5:$U$1000,ROW(),$V$5:$V$1000,"Sub"),$Y205)))</f>
        <v/>
      </c>
      <c r="AD205" s="62">
        <f>IF($V205="","",IF(AND(ISNUMBER($G205),$G205&lt;=IF($S205=MesCiclo,InicioCiclo,$S205+MOD(2-WEEKDAY($S205),7))+13),1,IF(N($W205)&gt;0,AVERAGEIFS($Z$5:$Z$1000,$U$5:$U$1000,ROW(),$V$5:$V$1000,"Sub"),$Z205)))</f>
        <v/>
      </c>
      <c r="AE205" s="62">
        <f>IF($V205="","",IF(AND(ISNUMBER($G205),$G205&lt;=IF($S205=MesCiclo,InicioCiclo,$S205+MOD(2-WEEKDAY($S205),7))+20),1,IF(N($W205)&gt;0,AVERAGEIFS($AA$5:$AA$1000,$U$5:$U$1000,ROW(),$V$5:$V$1000,"Sub"),$AA205)))</f>
        <v/>
      </c>
      <c r="AF205" s="62">
        <f>IF($V205="","",IF(AND(ISNUMBER($G205),$G205&lt;=IF($S205=MesCiclo,InicioCiclo,$S205+MOD(2-WEEKDAY($S205),7))+27),1,IF(N($W205)&gt;0,AVERAGEIFS($AB$5:$AB$1000,$U$5:$U$1000,ROW(),$V$5:$V$1000,"Sub"),$AB205)))</f>
        <v/>
      </c>
      <c r="AG205" s="62">
        <f>IF($V205&lt;&gt;"Macro","",IF(COUNTIFS($S$5:$S$1000,$S205,$V$5:$V$1000,"Macro",$H$5:$H$1000,"&gt;0")=0,1/COUNTIFS($S$5:$S$1000,$S205,$V$5:$V$1000,"Macro"),IF(AND(ISNUMBER($H205),N($H205)&gt;0),$H205,SUMIFS($H$5:$H$1000,$S$5:$S$1000,$S205,$V$5:$V$1000,"Macro")/COUNTIFS($S$5:$S$1000,$S205,$V$5:$V$1000,"Macro",$H$5:$H$1000,"&gt;0"))/(COUNTIFS($S$5:$S$1000,$S205,$V$5:$V$1000,"Macro")*SUMIFS($H$5:$H$1000,$S$5:$S$1000,$S205,$V$5:$V$1000,"Macro")/COUNTIFS($S$5:$S$1000,$S205,$V$5:$V$1000,"Macro",$H$5:$H$1000,"&gt;0"))))</f>
        <v/>
      </c>
      <c r="AH205" s="62" t="n"/>
      <c r="AI205" s="62" t="n"/>
      <c r="AJ205" s="62" t="n"/>
      <c r="AK205" s="62" t="n"/>
      <c r="AL205" s="62">
        <f>IF(LEFT($C205,11)="[Jefatura] ",IFERROR(MATCH("Riesgo Normativo|"&amp;MID($C205,12,500),rDname_ADM,0),0),"")</f>
        <v/>
      </c>
      <c r="AM205" s="62">
        <f>IF(N($AL205)&gt;0,INDEX(rIni_ADM,$AL205),IF(ISNUMBER($E205),$E205,""))</f>
        <v/>
      </c>
      <c r="AN205" s="62">
        <f>IF(N($AL205)&gt;0,INDEX(rLim_ADM,$AL205),IF(ISNUMBER($F205),$F205,""))</f>
        <v/>
      </c>
    </row>
    <row r="206">
      <c r="A206" s="56">
        <f>IF(NOT((COUNTA($B206:$D206)+COUNTA($G206:$L206)+COUNTA($Q206))&gt;0),"",IF($V206="Macro",COUNTIFS($V$5:$V206,"Macro",$S$5:$S206,$S206),IF(N($U206)=0,"?",COUNTIFS(INDEX($V$5:$V$1000,1):INDEX($V$5:$V$1000,$U206-4),"Macro",INDEX($S$5:$S$1000,1):INDEX($S$5:$S$1000,$U206-4),INDEX($S$5:$S$1000,$U206-4))&amp;"."&amp;COUNTIFS($U$5:$U206,$U206,$V$5:$V206,"Sub"))))</f>
        <v/>
      </c>
      <c r="B206" s="57" t="n"/>
      <c r="C206" s="58" t="n"/>
      <c r="D206" s="58" t="n"/>
      <c r="E206" s="59">
        <f>IF(N($AL206)&gt;0,INDEX(rIni_ADM,$AL206),"")</f>
        <v/>
      </c>
      <c r="F206" s="59">
        <f>IF(N($AL206)&gt;0,INDEX(rLim_ADM,$AL206),"")</f>
        <v/>
      </c>
      <c r="G206" s="59" t="n"/>
      <c r="H206" s="60" t="n"/>
      <c r="I206" s="60" t="n"/>
      <c r="J206" s="60" t="n"/>
      <c r="K206" s="60" t="n"/>
      <c r="L206" s="60" t="n"/>
      <c r="M206" s="61">
        <f>IF(NOT((COUNTA($B206:$D206)+COUNTA($G206:$L206)+COUNTA($Q206))&gt;0),"",IF(ISNUMBER($G206),1,IF(N($W206)&gt;0,AVERAGEIFS($X$5:$X$1000,$U$5:$U$1000,ROW(),$V$5:$V$1000,"Sub"),$X206)))</f>
        <v/>
      </c>
      <c r="N206" s="56">
        <f>IF($M206="","",IF($M206&gt;=1,"Completado",IF($M206&gt;0,"En curso","Pendiente")))</f>
        <v/>
      </c>
      <c r="O206" s="56">
        <f>IF(NOT((COUNTA($B206:$D206)+COUNTA($G206:$L206)+COUNTA($Q206))&gt;0),"",IF(ISNUMBER($G206),IF(AND(ISNUMBER($AN206),$G206&gt;$AN206),"Cumplida con "&amp;($G206-$AN206)&amp;IF($G206-$AN206=1," día"," días")&amp;" de retraso","Cumplida"),IF(N($M206)&gt;=1,"Cumplida",IF(NOT(ISNUMBER($AN206)),"Sin fecha límite",IF($AN206&lt;FechaRef,"Vencida hace "&amp;(FechaRef-$AN206)&amp;IF(FechaRef-$AN206=1," día"," días"),IF($AN206=FechaRef,"Vence hoy",IF($AN206-FechaRef&lt;=DiasAlerta,"Vence en "&amp;($AN206-FechaRef)&amp;IF($AN206-FechaRef=1," día"," días"),"En plazo")))))))</f>
        <v/>
      </c>
      <c r="P206" s="62" t="n"/>
      <c r="Q206" s="58" t="n"/>
      <c r="R206" s="63">
        <f>IF(NOT((COUNTA($B206:$D206)+COUNTA($G206:$L206)+COUNTA($Q206))&gt;0),"",IF((IF($C206="","Falta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",""))="","✔ OK","⚠ "&amp;LEFT(IF($C206="","Falta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",""),LEN(IF($C206="","Falta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",""))-3)))</f>
        <v/>
      </c>
      <c r="S206" s="64">
        <f>IF(NOT((COUNTA($B206:$D206)+COUNTA($G206:$L206)+COUNTA($Q206))&gt;0),"",IF(AND($V206="Sub",N($U206)&gt;0),IF(ISNUMBER(INDEX($AM$5:$AM$1000,$U206-4)),DATE(YEAR(INDEX($AM$5:$AM$1000,$U206-4)),MONTH(INDEX($AM$5:$AM$1000,$U206-4)),1),IF(ISNUMBER(INDEX($AN$5:$AN$1000,$U206-4)),DATE(YEAR(INDEX($AN$5:$AN$1000,$U206-4)),MONTH(INDEX($AN$5:$AN$1000,$U206-4)),1),MesCiclo)),IF(ISNUMBER($AM206),DATE(YEAR($AM206),MONTH($AM206),1),IF(ISNUMBER($AN206),DATE(YEAR($AN206),MONTH($AN206),1),MesCiclo))))</f>
        <v/>
      </c>
      <c r="T206" s="62">
        <f>IF(OR($S206="",$S206&lt;&gt;MesCiclo),"",COUNTIF($S$5:$S206,MesCiclo))</f>
        <v/>
      </c>
      <c r="U206" s="62">
        <f>IF($V206="","",IF($V206="Macro",ROW(),IFERROR(LOOKUP(2,1/($V$5:$V206="Macro"),ROW($V$5:$V206)),0)))</f>
        <v/>
      </c>
      <c r="V206" s="62">
        <f>IF(NOT((COUNTA($B206:$D206)+COUNTA($G206:$L206)+COUNTA($Q206))&gt;0),"",IF($B206="Subactividad","Sub","Macro"))</f>
        <v/>
      </c>
      <c r="W206" s="62">
        <f>IF($V206="Macro",COUNTIFS($U$5:$U$1000,ROW(),$V$5:$V$1000,"Sub"),"")</f>
        <v/>
      </c>
      <c r="X206" s="62">
        <f>IF($V206="","",IF(ISNUMBER($G206),1,IFERROR(LOOKUP(2,1/($I206:$L206&lt;&gt;""),$I206:$L206),0)))</f>
        <v/>
      </c>
      <c r="Y206" s="62">
        <f>IF($V206="","",IF(AND(ISNUMBER($G206),$G206&lt;=IF($S206=MesCiclo,InicioCiclo,$S206+MOD(2-WEEKDAY($S206),7))+6),1,IF(ISNUMBER($I206),$I206,0)))</f>
        <v/>
      </c>
      <c r="Z206" s="62">
        <f>IF($V206="","",IF(AND(ISNUMBER($G206),$G206&lt;=IF($S206=MesCiclo,InicioCiclo,$S206+MOD(2-WEEKDAY($S206),7))+13),1,IF(ISNUMBER($J206),$J206,$Y206)))</f>
        <v/>
      </c>
      <c r="AA206" s="62">
        <f>IF($V206="","",IF(AND(ISNUMBER($G206),$G206&lt;=IF($S206=MesCiclo,InicioCiclo,$S206+MOD(2-WEEKDAY($S206),7))+20),1,IF(ISNUMBER($K206),$K206,$Z206)))</f>
        <v/>
      </c>
      <c r="AB206" s="62">
        <f>IF($V206="","",IF(AND(ISNUMBER($G206),$G206&lt;=IF($S206=MesCiclo,InicioCiclo,$S206+MOD(2-WEEKDAY($S206),7))+27),1,IF(ISNUMBER($L206),$L206,$AA206)))</f>
        <v/>
      </c>
      <c r="AC206" s="62">
        <f>IF($V206="","",IF(AND(ISNUMBER($G206),$G206&lt;=IF($S206=MesCiclo,InicioCiclo,$S206+MOD(2-WEEKDAY($S206),7))+6),1,IF(N($W206)&gt;0,AVERAGEIFS($Y$5:$Y$1000,$U$5:$U$1000,ROW(),$V$5:$V$1000,"Sub"),$Y206)))</f>
        <v/>
      </c>
      <c r="AD206" s="62">
        <f>IF($V206="","",IF(AND(ISNUMBER($G206),$G206&lt;=IF($S206=MesCiclo,InicioCiclo,$S206+MOD(2-WEEKDAY($S206),7))+13),1,IF(N($W206)&gt;0,AVERAGEIFS($Z$5:$Z$1000,$U$5:$U$1000,ROW(),$V$5:$V$1000,"Sub"),$Z206)))</f>
        <v/>
      </c>
      <c r="AE206" s="62">
        <f>IF($V206="","",IF(AND(ISNUMBER($G206),$G206&lt;=IF($S206=MesCiclo,InicioCiclo,$S206+MOD(2-WEEKDAY($S206),7))+20),1,IF(N($W206)&gt;0,AVERAGEIFS($AA$5:$AA$1000,$U$5:$U$1000,ROW(),$V$5:$V$1000,"Sub"),$AA206)))</f>
        <v/>
      </c>
      <c r="AF206" s="62">
        <f>IF($V206="","",IF(AND(ISNUMBER($G206),$G206&lt;=IF($S206=MesCiclo,InicioCiclo,$S206+MOD(2-WEEKDAY($S206),7))+27),1,IF(N($W206)&gt;0,AVERAGEIFS($AB$5:$AB$1000,$U$5:$U$1000,ROW(),$V$5:$V$1000,"Sub"),$AB206)))</f>
        <v/>
      </c>
      <c r="AG206" s="62">
        <f>IF($V206&lt;&gt;"Macro","",IF(COUNTIFS($S$5:$S$1000,$S206,$V$5:$V$1000,"Macro",$H$5:$H$1000,"&gt;0")=0,1/COUNTIFS($S$5:$S$1000,$S206,$V$5:$V$1000,"Macro"),IF(AND(ISNUMBER($H206),N($H206)&gt;0),$H206,SUMIFS($H$5:$H$1000,$S$5:$S$1000,$S206,$V$5:$V$1000,"Macro")/COUNTIFS($S$5:$S$1000,$S206,$V$5:$V$1000,"Macro",$H$5:$H$1000,"&gt;0"))/(COUNTIFS($S$5:$S$1000,$S206,$V$5:$V$1000,"Macro")*SUMIFS($H$5:$H$1000,$S$5:$S$1000,$S206,$V$5:$V$1000,"Macro")/COUNTIFS($S$5:$S$1000,$S206,$V$5:$V$1000,"Macro",$H$5:$H$1000,"&gt;0"))))</f>
        <v/>
      </c>
      <c r="AH206" s="62" t="n"/>
      <c r="AI206" s="62" t="n"/>
      <c r="AJ206" s="62" t="n"/>
      <c r="AK206" s="62" t="n"/>
      <c r="AL206" s="62">
        <f>IF(LEFT($C206,11)="[Jefatura] ",IFERROR(MATCH("Riesgo Normativo|"&amp;MID($C206,12,500),rDname_ADM,0),0),"")</f>
        <v/>
      </c>
      <c r="AM206" s="62">
        <f>IF(N($AL206)&gt;0,INDEX(rIni_ADM,$AL206),IF(ISNUMBER($E206),$E206,""))</f>
        <v/>
      </c>
      <c r="AN206" s="62">
        <f>IF(N($AL206)&gt;0,INDEX(rLim_ADM,$AL206),IF(ISNUMBER($F206),$F206,""))</f>
        <v/>
      </c>
    </row>
    <row r="207">
      <c r="A207" s="56">
        <f>IF(NOT((COUNTA($B207:$D207)+COUNTA($G207:$L207)+COUNTA($Q207))&gt;0),"",IF($V207="Macro",COUNTIFS($V$5:$V207,"Macro",$S$5:$S207,$S207),IF(N($U207)=0,"?",COUNTIFS(INDEX($V$5:$V$1000,1):INDEX($V$5:$V$1000,$U207-4),"Macro",INDEX($S$5:$S$1000,1):INDEX($S$5:$S$1000,$U207-4),INDEX($S$5:$S$1000,$U207-4))&amp;"."&amp;COUNTIFS($U$5:$U207,$U207,$V$5:$V207,"Sub"))))</f>
        <v/>
      </c>
      <c r="B207" s="57" t="n"/>
      <c r="C207" s="58" t="n"/>
      <c r="D207" s="58" t="n"/>
      <c r="E207" s="59">
        <f>IF(N($AL207)&gt;0,INDEX(rIni_ADM,$AL207),"")</f>
        <v/>
      </c>
      <c r="F207" s="59">
        <f>IF(N($AL207)&gt;0,INDEX(rLim_ADM,$AL207),"")</f>
        <v/>
      </c>
      <c r="G207" s="59" t="n"/>
      <c r="H207" s="60" t="n"/>
      <c r="I207" s="60" t="n"/>
      <c r="J207" s="60" t="n"/>
      <c r="K207" s="60" t="n"/>
      <c r="L207" s="60" t="n"/>
      <c r="M207" s="61">
        <f>IF(NOT((COUNTA($B207:$D207)+COUNTA($G207:$L207)+COUNTA($Q207))&gt;0),"",IF(ISNUMBER($G207),1,IF(N($W207)&gt;0,AVERAGEIFS($X$5:$X$1000,$U$5:$U$1000,ROW(),$V$5:$V$1000,"Sub"),$X207)))</f>
        <v/>
      </c>
      <c r="N207" s="56">
        <f>IF($M207="","",IF($M207&gt;=1,"Completado",IF($M207&gt;0,"En curso","Pendiente")))</f>
        <v/>
      </c>
      <c r="O207" s="56">
        <f>IF(NOT((COUNTA($B207:$D207)+COUNTA($G207:$L207)+COUNTA($Q207))&gt;0),"",IF(ISNUMBER($G207),IF(AND(ISNUMBER($AN207),$G207&gt;$AN207),"Cumplida con "&amp;($G207-$AN207)&amp;IF($G207-$AN207=1," día"," días")&amp;" de retraso","Cumplida"),IF(N($M207)&gt;=1,"Cumplida",IF(NOT(ISNUMBER($AN207)),"Sin fecha límite",IF($AN207&lt;FechaRef,"Vencida hace "&amp;(FechaRef-$AN207)&amp;IF(FechaRef-$AN207=1," día"," días"),IF($AN207=FechaRef,"Vence hoy",IF($AN207-FechaRef&lt;=DiasAlerta,"Vence en "&amp;($AN207-FechaRef)&amp;IF($AN207-FechaRef=1," día"," días"),"En plazo")))))))</f>
        <v/>
      </c>
      <c r="P207" s="62" t="n"/>
      <c r="Q207" s="58" t="n"/>
      <c r="R207" s="63">
        <f>IF(NOT((COUNTA($B207:$D207)+COUNTA($G207:$L207)+COUNTA($Q207))&gt;0),"",IF((IF($C207="","Falta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",""))="","✔ OK","⚠ "&amp;LEFT(IF($C207="","Falta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",""),LEN(IF($C207="","Falta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",""))-3)))</f>
        <v/>
      </c>
      <c r="S207" s="64">
        <f>IF(NOT((COUNTA($B207:$D207)+COUNTA($G207:$L207)+COUNTA($Q207))&gt;0),"",IF(AND($V207="Sub",N($U207)&gt;0),IF(ISNUMBER(INDEX($AM$5:$AM$1000,$U207-4)),DATE(YEAR(INDEX($AM$5:$AM$1000,$U207-4)),MONTH(INDEX($AM$5:$AM$1000,$U207-4)),1),IF(ISNUMBER(INDEX($AN$5:$AN$1000,$U207-4)),DATE(YEAR(INDEX($AN$5:$AN$1000,$U207-4)),MONTH(INDEX($AN$5:$AN$1000,$U207-4)),1),MesCiclo)),IF(ISNUMBER($AM207),DATE(YEAR($AM207),MONTH($AM207),1),IF(ISNUMBER($AN207),DATE(YEAR($AN207),MONTH($AN207),1),MesCiclo))))</f>
        <v/>
      </c>
      <c r="T207" s="62">
        <f>IF(OR($S207="",$S207&lt;&gt;MesCiclo),"",COUNTIF($S$5:$S207,MesCiclo))</f>
        <v/>
      </c>
      <c r="U207" s="62">
        <f>IF($V207="","",IF($V207="Macro",ROW(),IFERROR(LOOKUP(2,1/($V$5:$V207="Macro"),ROW($V$5:$V207)),0)))</f>
        <v/>
      </c>
      <c r="V207" s="62">
        <f>IF(NOT((COUNTA($B207:$D207)+COUNTA($G207:$L207)+COUNTA($Q207))&gt;0),"",IF($B207="Subactividad","Sub","Macro"))</f>
        <v/>
      </c>
      <c r="W207" s="62">
        <f>IF($V207="Macro",COUNTIFS($U$5:$U$1000,ROW(),$V$5:$V$1000,"Sub"),"")</f>
        <v/>
      </c>
      <c r="X207" s="62">
        <f>IF($V207="","",IF(ISNUMBER($G207),1,IFERROR(LOOKUP(2,1/($I207:$L207&lt;&gt;""),$I207:$L207),0)))</f>
        <v/>
      </c>
      <c r="Y207" s="62">
        <f>IF($V207="","",IF(AND(ISNUMBER($G207),$G207&lt;=IF($S207=MesCiclo,InicioCiclo,$S207+MOD(2-WEEKDAY($S207),7))+6),1,IF(ISNUMBER($I207),$I207,0)))</f>
        <v/>
      </c>
      <c r="Z207" s="62">
        <f>IF($V207="","",IF(AND(ISNUMBER($G207),$G207&lt;=IF($S207=MesCiclo,InicioCiclo,$S207+MOD(2-WEEKDAY($S207),7))+13),1,IF(ISNUMBER($J207),$J207,$Y207)))</f>
        <v/>
      </c>
      <c r="AA207" s="62">
        <f>IF($V207="","",IF(AND(ISNUMBER($G207),$G207&lt;=IF($S207=MesCiclo,InicioCiclo,$S207+MOD(2-WEEKDAY($S207),7))+20),1,IF(ISNUMBER($K207),$K207,$Z207)))</f>
        <v/>
      </c>
      <c r="AB207" s="62">
        <f>IF($V207="","",IF(AND(ISNUMBER($G207),$G207&lt;=IF($S207=MesCiclo,InicioCiclo,$S207+MOD(2-WEEKDAY($S207),7))+27),1,IF(ISNUMBER($L207),$L207,$AA207)))</f>
        <v/>
      </c>
      <c r="AC207" s="62">
        <f>IF($V207="","",IF(AND(ISNUMBER($G207),$G207&lt;=IF($S207=MesCiclo,InicioCiclo,$S207+MOD(2-WEEKDAY($S207),7))+6),1,IF(N($W207)&gt;0,AVERAGEIFS($Y$5:$Y$1000,$U$5:$U$1000,ROW(),$V$5:$V$1000,"Sub"),$Y207)))</f>
        <v/>
      </c>
      <c r="AD207" s="62">
        <f>IF($V207="","",IF(AND(ISNUMBER($G207),$G207&lt;=IF($S207=MesCiclo,InicioCiclo,$S207+MOD(2-WEEKDAY($S207),7))+13),1,IF(N($W207)&gt;0,AVERAGEIFS($Z$5:$Z$1000,$U$5:$U$1000,ROW(),$V$5:$V$1000,"Sub"),$Z207)))</f>
        <v/>
      </c>
      <c r="AE207" s="62">
        <f>IF($V207="","",IF(AND(ISNUMBER($G207),$G207&lt;=IF($S207=MesCiclo,InicioCiclo,$S207+MOD(2-WEEKDAY($S207),7))+20),1,IF(N($W207)&gt;0,AVERAGEIFS($AA$5:$AA$1000,$U$5:$U$1000,ROW(),$V$5:$V$1000,"Sub"),$AA207)))</f>
        <v/>
      </c>
      <c r="AF207" s="62">
        <f>IF($V207="","",IF(AND(ISNUMBER($G207),$G207&lt;=IF($S207=MesCiclo,InicioCiclo,$S207+MOD(2-WEEKDAY($S207),7))+27),1,IF(N($W207)&gt;0,AVERAGEIFS($AB$5:$AB$1000,$U$5:$U$1000,ROW(),$V$5:$V$1000,"Sub"),$AB207)))</f>
        <v/>
      </c>
      <c r="AG207" s="62">
        <f>IF($V207&lt;&gt;"Macro","",IF(COUNTIFS($S$5:$S$1000,$S207,$V$5:$V$1000,"Macro",$H$5:$H$1000,"&gt;0")=0,1/COUNTIFS($S$5:$S$1000,$S207,$V$5:$V$1000,"Macro"),IF(AND(ISNUMBER($H207),N($H207)&gt;0),$H207,SUMIFS($H$5:$H$1000,$S$5:$S$1000,$S207,$V$5:$V$1000,"Macro")/COUNTIFS($S$5:$S$1000,$S207,$V$5:$V$1000,"Macro",$H$5:$H$1000,"&gt;0"))/(COUNTIFS($S$5:$S$1000,$S207,$V$5:$V$1000,"Macro")*SUMIFS($H$5:$H$1000,$S$5:$S$1000,$S207,$V$5:$V$1000,"Macro")/COUNTIFS($S$5:$S$1000,$S207,$V$5:$V$1000,"Macro",$H$5:$H$1000,"&gt;0"))))</f>
        <v/>
      </c>
      <c r="AH207" s="62" t="n"/>
      <c r="AI207" s="62" t="n"/>
      <c r="AJ207" s="62" t="n"/>
      <c r="AK207" s="62" t="n"/>
      <c r="AL207" s="62">
        <f>IF(LEFT($C207,11)="[Jefatura] ",IFERROR(MATCH("Riesgo Normativo|"&amp;MID($C207,12,500),rDname_ADM,0),0),"")</f>
        <v/>
      </c>
      <c r="AM207" s="62">
        <f>IF(N($AL207)&gt;0,INDEX(rIni_ADM,$AL207),IF(ISNUMBER($E207),$E207,""))</f>
        <v/>
      </c>
      <c r="AN207" s="62">
        <f>IF(N($AL207)&gt;0,INDEX(rLim_ADM,$AL207),IF(ISNUMBER($F207),$F207,""))</f>
        <v/>
      </c>
    </row>
    <row r="208">
      <c r="A208" s="56">
        <f>IF(NOT((COUNTA($B208:$D208)+COUNTA($G208:$L208)+COUNTA($Q208))&gt;0),"",IF($V208="Macro",COUNTIFS($V$5:$V208,"Macro",$S$5:$S208,$S208),IF(N($U208)=0,"?",COUNTIFS(INDEX($V$5:$V$1000,1):INDEX($V$5:$V$1000,$U208-4),"Macro",INDEX($S$5:$S$1000,1):INDEX($S$5:$S$1000,$U208-4),INDEX($S$5:$S$1000,$U208-4))&amp;"."&amp;COUNTIFS($U$5:$U208,$U208,$V$5:$V208,"Sub"))))</f>
        <v/>
      </c>
      <c r="B208" s="57" t="n"/>
      <c r="C208" s="58" t="n"/>
      <c r="D208" s="58" t="n"/>
      <c r="E208" s="59">
        <f>IF(N($AL208)&gt;0,INDEX(rIni_ADM,$AL208),"")</f>
        <v/>
      </c>
      <c r="F208" s="59">
        <f>IF(N($AL208)&gt;0,INDEX(rLim_ADM,$AL208),"")</f>
        <v/>
      </c>
      <c r="G208" s="59" t="n"/>
      <c r="H208" s="60" t="n"/>
      <c r="I208" s="60" t="n"/>
      <c r="J208" s="60" t="n"/>
      <c r="K208" s="60" t="n"/>
      <c r="L208" s="60" t="n"/>
      <c r="M208" s="61">
        <f>IF(NOT((COUNTA($B208:$D208)+COUNTA($G208:$L208)+COUNTA($Q208))&gt;0),"",IF(ISNUMBER($G208),1,IF(N($W208)&gt;0,AVERAGEIFS($X$5:$X$1000,$U$5:$U$1000,ROW(),$V$5:$V$1000,"Sub"),$X208)))</f>
        <v/>
      </c>
      <c r="N208" s="56">
        <f>IF($M208="","",IF($M208&gt;=1,"Completado",IF($M208&gt;0,"En curso","Pendiente")))</f>
        <v/>
      </c>
      <c r="O208" s="56">
        <f>IF(NOT((COUNTA($B208:$D208)+COUNTA($G208:$L208)+COUNTA($Q208))&gt;0),"",IF(ISNUMBER($G208),IF(AND(ISNUMBER($AN208),$G208&gt;$AN208),"Cumplida con "&amp;($G208-$AN208)&amp;IF($G208-$AN208=1," día"," días")&amp;" de retraso","Cumplida"),IF(N($M208)&gt;=1,"Cumplida",IF(NOT(ISNUMBER($AN208)),"Sin fecha límite",IF($AN208&lt;FechaRef,"Vencida hace "&amp;(FechaRef-$AN208)&amp;IF(FechaRef-$AN208=1," día"," días"),IF($AN208=FechaRef,"Vence hoy",IF($AN208-FechaRef&lt;=DiasAlerta,"Vence en "&amp;($AN208-FechaRef)&amp;IF($AN208-FechaRef=1," día"," días"),"En plazo")))))))</f>
        <v/>
      </c>
      <c r="P208" s="62" t="n"/>
      <c r="Q208" s="58" t="n"/>
      <c r="R208" s="63">
        <f>IF(NOT((COUNTA($B208:$D208)+COUNTA($G208:$L208)+COUNTA($Q208))&gt;0),"",IF((IF($C208="","Falta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",""))="","✔ OK","⚠ "&amp;LEFT(IF($C208="","Falta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",""),LEN(IF($C208="","Falta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",""))-3)))</f>
        <v/>
      </c>
      <c r="S208" s="64">
        <f>IF(NOT((COUNTA($B208:$D208)+COUNTA($G208:$L208)+COUNTA($Q208))&gt;0),"",IF(AND($V208="Sub",N($U208)&gt;0),IF(ISNUMBER(INDEX($AM$5:$AM$1000,$U208-4)),DATE(YEAR(INDEX($AM$5:$AM$1000,$U208-4)),MONTH(INDEX($AM$5:$AM$1000,$U208-4)),1),IF(ISNUMBER(INDEX($AN$5:$AN$1000,$U208-4)),DATE(YEAR(INDEX($AN$5:$AN$1000,$U208-4)),MONTH(INDEX($AN$5:$AN$1000,$U208-4)),1),MesCiclo)),IF(ISNUMBER($AM208),DATE(YEAR($AM208),MONTH($AM208),1),IF(ISNUMBER($AN208),DATE(YEAR($AN208),MONTH($AN208),1),MesCiclo))))</f>
        <v/>
      </c>
      <c r="T208" s="62">
        <f>IF(OR($S208="",$S208&lt;&gt;MesCiclo),"",COUNTIF($S$5:$S208,MesCiclo))</f>
        <v/>
      </c>
      <c r="U208" s="62">
        <f>IF($V208="","",IF($V208="Macro",ROW(),IFERROR(LOOKUP(2,1/($V$5:$V208="Macro"),ROW($V$5:$V208)),0)))</f>
        <v/>
      </c>
      <c r="V208" s="62">
        <f>IF(NOT((COUNTA($B208:$D208)+COUNTA($G208:$L208)+COUNTA($Q208))&gt;0),"",IF($B208="Subactividad","Sub","Macro"))</f>
        <v/>
      </c>
      <c r="W208" s="62">
        <f>IF($V208="Macro",COUNTIFS($U$5:$U$1000,ROW(),$V$5:$V$1000,"Sub"),"")</f>
        <v/>
      </c>
      <c r="X208" s="62">
        <f>IF($V208="","",IF(ISNUMBER($G208),1,IFERROR(LOOKUP(2,1/($I208:$L208&lt;&gt;""),$I208:$L208),0)))</f>
        <v/>
      </c>
      <c r="Y208" s="62">
        <f>IF($V208="","",IF(AND(ISNUMBER($G208),$G208&lt;=IF($S208=MesCiclo,InicioCiclo,$S208+MOD(2-WEEKDAY($S208),7))+6),1,IF(ISNUMBER($I208),$I208,0)))</f>
        <v/>
      </c>
      <c r="Z208" s="62">
        <f>IF($V208="","",IF(AND(ISNUMBER($G208),$G208&lt;=IF($S208=MesCiclo,InicioCiclo,$S208+MOD(2-WEEKDAY($S208),7))+13),1,IF(ISNUMBER($J208),$J208,$Y208)))</f>
        <v/>
      </c>
      <c r="AA208" s="62">
        <f>IF($V208="","",IF(AND(ISNUMBER($G208),$G208&lt;=IF($S208=MesCiclo,InicioCiclo,$S208+MOD(2-WEEKDAY($S208),7))+20),1,IF(ISNUMBER($K208),$K208,$Z208)))</f>
        <v/>
      </c>
      <c r="AB208" s="62">
        <f>IF($V208="","",IF(AND(ISNUMBER($G208),$G208&lt;=IF($S208=MesCiclo,InicioCiclo,$S208+MOD(2-WEEKDAY($S208),7))+27),1,IF(ISNUMBER($L208),$L208,$AA208)))</f>
        <v/>
      </c>
      <c r="AC208" s="62">
        <f>IF($V208="","",IF(AND(ISNUMBER($G208),$G208&lt;=IF($S208=MesCiclo,InicioCiclo,$S208+MOD(2-WEEKDAY($S208),7))+6),1,IF(N($W208)&gt;0,AVERAGEIFS($Y$5:$Y$1000,$U$5:$U$1000,ROW(),$V$5:$V$1000,"Sub"),$Y208)))</f>
        <v/>
      </c>
      <c r="AD208" s="62">
        <f>IF($V208="","",IF(AND(ISNUMBER($G208),$G208&lt;=IF($S208=MesCiclo,InicioCiclo,$S208+MOD(2-WEEKDAY($S208),7))+13),1,IF(N($W208)&gt;0,AVERAGEIFS($Z$5:$Z$1000,$U$5:$U$1000,ROW(),$V$5:$V$1000,"Sub"),$Z208)))</f>
        <v/>
      </c>
      <c r="AE208" s="62">
        <f>IF($V208="","",IF(AND(ISNUMBER($G208),$G208&lt;=IF($S208=MesCiclo,InicioCiclo,$S208+MOD(2-WEEKDAY($S208),7))+20),1,IF(N($W208)&gt;0,AVERAGEIFS($AA$5:$AA$1000,$U$5:$U$1000,ROW(),$V$5:$V$1000,"Sub"),$AA208)))</f>
        <v/>
      </c>
      <c r="AF208" s="62">
        <f>IF($V208="","",IF(AND(ISNUMBER($G208),$G208&lt;=IF($S208=MesCiclo,InicioCiclo,$S208+MOD(2-WEEKDAY($S208),7))+27),1,IF(N($W208)&gt;0,AVERAGEIFS($AB$5:$AB$1000,$U$5:$U$1000,ROW(),$V$5:$V$1000,"Sub"),$AB208)))</f>
        <v/>
      </c>
      <c r="AG208" s="62">
        <f>IF($V208&lt;&gt;"Macro","",IF(COUNTIFS($S$5:$S$1000,$S208,$V$5:$V$1000,"Macro",$H$5:$H$1000,"&gt;0")=0,1/COUNTIFS($S$5:$S$1000,$S208,$V$5:$V$1000,"Macro"),IF(AND(ISNUMBER($H208),N($H208)&gt;0),$H208,SUMIFS($H$5:$H$1000,$S$5:$S$1000,$S208,$V$5:$V$1000,"Macro")/COUNTIFS($S$5:$S$1000,$S208,$V$5:$V$1000,"Macro",$H$5:$H$1000,"&gt;0"))/(COUNTIFS($S$5:$S$1000,$S208,$V$5:$V$1000,"Macro")*SUMIFS($H$5:$H$1000,$S$5:$S$1000,$S208,$V$5:$V$1000,"Macro")/COUNTIFS($S$5:$S$1000,$S208,$V$5:$V$1000,"Macro",$H$5:$H$1000,"&gt;0"))))</f>
        <v/>
      </c>
      <c r="AH208" s="62" t="n"/>
      <c r="AI208" s="62" t="n"/>
      <c r="AJ208" s="62" t="n"/>
      <c r="AK208" s="62" t="n"/>
      <c r="AL208" s="62">
        <f>IF(LEFT($C208,11)="[Jefatura] ",IFERROR(MATCH("Riesgo Normativo|"&amp;MID($C208,12,500),rDname_ADM,0),0),"")</f>
        <v/>
      </c>
      <c r="AM208" s="62">
        <f>IF(N($AL208)&gt;0,INDEX(rIni_ADM,$AL208),IF(ISNUMBER($E208),$E208,""))</f>
        <v/>
      </c>
      <c r="AN208" s="62">
        <f>IF(N($AL208)&gt;0,INDEX(rLim_ADM,$AL208),IF(ISNUMBER($F208),$F208,""))</f>
        <v/>
      </c>
    </row>
    <row r="209">
      <c r="A209" s="56">
        <f>IF(NOT((COUNTA($B209:$D209)+COUNTA($G209:$L209)+COUNTA($Q209))&gt;0),"",IF($V209="Macro",COUNTIFS($V$5:$V209,"Macro",$S$5:$S209,$S209),IF(N($U209)=0,"?",COUNTIFS(INDEX($V$5:$V$1000,1):INDEX($V$5:$V$1000,$U209-4),"Macro",INDEX($S$5:$S$1000,1):INDEX($S$5:$S$1000,$U209-4),INDEX($S$5:$S$1000,$U209-4))&amp;"."&amp;COUNTIFS($U$5:$U209,$U209,$V$5:$V209,"Sub"))))</f>
        <v/>
      </c>
      <c r="B209" s="57" t="n"/>
      <c r="C209" s="58" t="n"/>
      <c r="D209" s="58" t="n"/>
      <c r="E209" s="59">
        <f>IF(N($AL209)&gt;0,INDEX(rIni_ADM,$AL209),"")</f>
        <v/>
      </c>
      <c r="F209" s="59">
        <f>IF(N($AL209)&gt;0,INDEX(rLim_ADM,$AL209),"")</f>
        <v/>
      </c>
      <c r="G209" s="59" t="n"/>
      <c r="H209" s="60" t="n"/>
      <c r="I209" s="60" t="n"/>
      <c r="J209" s="60" t="n"/>
      <c r="K209" s="60" t="n"/>
      <c r="L209" s="60" t="n"/>
      <c r="M209" s="61">
        <f>IF(NOT((COUNTA($B209:$D209)+COUNTA($G209:$L209)+COUNTA($Q209))&gt;0),"",IF(ISNUMBER($G209),1,IF(N($W209)&gt;0,AVERAGEIFS($X$5:$X$1000,$U$5:$U$1000,ROW(),$V$5:$V$1000,"Sub"),$X209)))</f>
        <v/>
      </c>
      <c r="N209" s="56">
        <f>IF($M209="","",IF($M209&gt;=1,"Completado",IF($M209&gt;0,"En curso","Pendiente")))</f>
        <v/>
      </c>
      <c r="O209" s="56">
        <f>IF(NOT((COUNTA($B209:$D209)+COUNTA($G209:$L209)+COUNTA($Q209))&gt;0),"",IF(ISNUMBER($G209),IF(AND(ISNUMBER($AN209),$G209&gt;$AN209),"Cumplida con "&amp;($G209-$AN209)&amp;IF($G209-$AN209=1," día"," días")&amp;" de retraso","Cumplida"),IF(N($M209)&gt;=1,"Cumplida",IF(NOT(ISNUMBER($AN209)),"Sin fecha límite",IF($AN209&lt;FechaRef,"Vencida hace "&amp;(FechaRef-$AN209)&amp;IF(FechaRef-$AN209=1," día"," días"),IF($AN209=FechaRef,"Vence hoy",IF($AN209-FechaRef&lt;=DiasAlerta,"Vence en "&amp;($AN209-FechaRef)&amp;IF($AN209-FechaRef=1," día"," días"),"En plazo")))))))</f>
        <v/>
      </c>
      <c r="P209" s="62" t="n"/>
      <c r="Q209" s="58" t="n"/>
      <c r="R209" s="63">
        <f>IF(NOT((COUNTA($B209:$D209)+COUNTA($G209:$L209)+COUNTA($Q209))&gt;0),"",IF((IF($C209="","Falta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",""))="","✔ OK","⚠ "&amp;LEFT(IF($C209="","Falta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",""),LEN(IF($C209="","Falta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",""))-3)))</f>
        <v/>
      </c>
      <c r="S209" s="64">
        <f>IF(NOT((COUNTA($B209:$D209)+COUNTA($G209:$L209)+COUNTA($Q209))&gt;0),"",IF(AND($V209="Sub",N($U209)&gt;0),IF(ISNUMBER(INDEX($AM$5:$AM$1000,$U209-4)),DATE(YEAR(INDEX($AM$5:$AM$1000,$U209-4)),MONTH(INDEX($AM$5:$AM$1000,$U209-4)),1),IF(ISNUMBER(INDEX($AN$5:$AN$1000,$U209-4)),DATE(YEAR(INDEX($AN$5:$AN$1000,$U209-4)),MONTH(INDEX($AN$5:$AN$1000,$U209-4)),1),MesCiclo)),IF(ISNUMBER($AM209),DATE(YEAR($AM209),MONTH($AM209),1),IF(ISNUMBER($AN209),DATE(YEAR($AN209),MONTH($AN209),1),MesCiclo))))</f>
        <v/>
      </c>
      <c r="T209" s="62">
        <f>IF(OR($S209="",$S209&lt;&gt;MesCiclo),"",COUNTIF($S$5:$S209,MesCiclo))</f>
        <v/>
      </c>
      <c r="U209" s="62">
        <f>IF($V209="","",IF($V209="Macro",ROW(),IFERROR(LOOKUP(2,1/($V$5:$V209="Macro"),ROW($V$5:$V209)),0)))</f>
        <v/>
      </c>
      <c r="V209" s="62">
        <f>IF(NOT((COUNTA($B209:$D209)+COUNTA($G209:$L209)+COUNTA($Q209))&gt;0),"",IF($B209="Subactividad","Sub","Macro"))</f>
        <v/>
      </c>
      <c r="W209" s="62">
        <f>IF($V209="Macro",COUNTIFS($U$5:$U$1000,ROW(),$V$5:$V$1000,"Sub"),"")</f>
        <v/>
      </c>
      <c r="X209" s="62">
        <f>IF($V209="","",IF(ISNUMBER($G209),1,IFERROR(LOOKUP(2,1/($I209:$L209&lt;&gt;""),$I209:$L209),0)))</f>
        <v/>
      </c>
      <c r="Y209" s="62">
        <f>IF($V209="","",IF(AND(ISNUMBER($G209),$G209&lt;=IF($S209=MesCiclo,InicioCiclo,$S209+MOD(2-WEEKDAY($S209),7))+6),1,IF(ISNUMBER($I209),$I209,0)))</f>
        <v/>
      </c>
      <c r="Z209" s="62">
        <f>IF($V209="","",IF(AND(ISNUMBER($G209),$G209&lt;=IF($S209=MesCiclo,InicioCiclo,$S209+MOD(2-WEEKDAY($S209),7))+13),1,IF(ISNUMBER($J209),$J209,$Y209)))</f>
        <v/>
      </c>
      <c r="AA209" s="62">
        <f>IF($V209="","",IF(AND(ISNUMBER($G209),$G209&lt;=IF($S209=MesCiclo,InicioCiclo,$S209+MOD(2-WEEKDAY($S209),7))+20),1,IF(ISNUMBER($K209),$K209,$Z209)))</f>
        <v/>
      </c>
      <c r="AB209" s="62">
        <f>IF($V209="","",IF(AND(ISNUMBER($G209),$G209&lt;=IF($S209=MesCiclo,InicioCiclo,$S209+MOD(2-WEEKDAY($S209),7))+27),1,IF(ISNUMBER($L209),$L209,$AA209)))</f>
        <v/>
      </c>
      <c r="AC209" s="62">
        <f>IF($V209="","",IF(AND(ISNUMBER($G209),$G209&lt;=IF($S209=MesCiclo,InicioCiclo,$S209+MOD(2-WEEKDAY($S209),7))+6),1,IF(N($W209)&gt;0,AVERAGEIFS($Y$5:$Y$1000,$U$5:$U$1000,ROW(),$V$5:$V$1000,"Sub"),$Y209)))</f>
        <v/>
      </c>
      <c r="AD209" s="62">
        <f>IF($V209="","",IF(AND(ISNUMBER($G209),$G209&lt;=IF($S209=MesCiclo,InicioCiclo,$S209+MOD(2-WEEKDAY($S209),7))+13),1,IF(N($W209)&gt;0,AVERAGEIFS($Z$5:$Z$1000,$U$5:$U$1000,ROW(),$V$5:$V$1000,"Sub"),$Z209)))</f>
        <v/>
      </c>
      <c r="AE209" s="62">
        <f>IF($V209="","",IF(AND(ISNUMBER($G209),$G209&lt;=IF($S209=MesCiclo,InicioCiclo,$S209+MOD(2-WEEKDAY($S209),7))+20),1,IF(N($W209)&gt;0,AVERAGEIFS($AA$5:$AA$1000,$U$5:$U$1000,ROW(),$V$5:$V$1000,"Sub"),$AA209)))</f>
        <v/>
      </c>
      <c r="AF209" s="62">
        <f>IF($V209="","",IF(AND(ISNUMBER($G209),$G209&lt;=IF($S209=MesCiclo,InicioCiclo,$S209+MOD(2-WEEKDAY($S209),7))+27),1,IF(N($W209)&gt;0,AVERAGEIFS($AB$5:$AB$1000,$U$5:$U$1000,ROW(),$V$5:$V$1000,"Sub"),$AB209)))</f>
        <v/>
      </c>
      <c r="AG209" s="62">
        <f>IF($V209&lt;&gt;"Macro","",IF(COUNTIFS($S$5:$S$1000,$S209,$V$5:$V$1000,"Macro",$H$5:$H$1000,"&gt;0")=0,1/COUNTIFS($S$5:$S$1000,$S209,$V$5:$V$1000,"Macro"),IF(AND(ISNUMBER($H209),N($H209)&gt;0),$H209,SUMIFS($H$5:$H$1000,$S$5:$S$1000,$S209,$V$5:$V$1000,"Macro")/COUNTIFS($S$5:$S$1000,$S209,$V$5:$V$1000,"Macro",$H$5:$H$1000,"&gt;0"))/(COUNTIFS($S$5:$S$1000,$S209,$V$5:$V$1000,"Macro")*SUMIFS($H$5:$H$1000,$S$5:$S$1000,$S209,$V$5:$V$1000,"Macro")/COUNTIFS($S$5:$S$1000,$S209,$V$5:$V$1000,"Macro",$H$5:$H$1000,"&gt;0"))))</f>
        <v/>
      </c>
      <c r="AH209" s="62" t="n"/>
      <c r="AI209" s="62" t="n"/>
      <c r="AJ209" s="62" t="n"/>
      <c r="AK209" s="62" t="n"/>
      <c r="AL209" s="62">
        <f>IF(LEFT($C209,11)="[Jefatura] ",IFERROR(MATCH("Riesgo Normativo|"&amp;MID($C209,12,500),rDname_ADM,0),0),"")</f>
        <v/>
      </c>
      <c r="AM209" s="62">
        <f>IF(N($AL209)&gt;0,INDEX(rIni_ADM,$AL209),IF(ISNUMBER($E209),$E209,""))</f>
        <v/>
      </c>
      <c r="AN209" s="62">
        <f>IF(N($AL209)&gt;0,INDEX(rLim_ADM,$AL209),IF(ISNUMBER($F209),$F209,""))</f>
        <v/>
      </c>
    </row>
    <row r="210">
      <c r="A210" s="56">
        <f>IF(NOT((COUNTA($B210:$D210)+COUNTA($G210:$L210)+COUNTA($Q210))&gt;0),"",IF($V210="Macro",COUNTIFS($V$5:$V210,"Macro",$S$5:$S210,$S210),IF(N($U210)=0,"?",COUNTIFS(INDEX($V$5:$V$1000,1):INDEX($V$5:$V$1000,$U210-4),"Macro",INDEX($S$5:$S$1000,1):INDEX($S$5:$S$1000,$U210-4),INDEX($S$5:$S$1000,$U210-4))&amp;"."&amp;COUNTIFS($U$5:$U210,$U210,$V$5:$V210,"Sub"))))</f>
        <v/>
      </c>
      <c r="B210" s="57" t="n"/>
      <c r="C210" s="58" t="n"/>
      <c r="D210" s="58" t="n"/>
      <c r="E210" s="59">
        <f>IF(N($AL210)&gt;0,INDEX(rIni_ADM,$AL210),"")</f>
        <v/>
      </c>
      <c r="F210" s="59">
        <f>IF(N($AL210)&gt;0,INDEX(rLim_ADM,$AL210),"")</f>
        <v/>
      </c>
      <c r="G210" s="59" t="n"/>
      <c r="H210" s="60" t="n"/>
      <c r="I210" s="60" t="n"/>
      <c r="J210" s="60" t="n"/>
      <c r="K210" s="60" t="n"/>
      <c r="L210" s="60" t="n"/>
      <c r="M210" s="61">
        <f>IF(NOT((COUNTA($B210:$D210)+COUNTA($G210:$L210)+COUNTA($Q210))&gt;0),"",IF(ISNUMBER($G210),1,IF(N($W210)&gt;0,AVERAGEIFS($X$5:$X$1000,$U$5:$U$1000,ROW(),$V$5:$V$1000,"Sub"),$X210)))</f>
        <v/>
      </c>
      <c r="N210" s="56">
        <f>IF($M210="","",IF($M210&gt;=1,"Completado",IF($M210&gt;0,"En curso","Pendiente")))</f>
        <v/>
      </c>
      <c r="O210" s="56">
        <f>IF(NOT((COUNTA($B210:$D210)+COUNTA($G210:$L210)+COUNTA($Q210))&gt;0),"",IF(ISNUMBER($G210),IF(AND(ISNUMBER($AN210),$G210&gt;$AN210),"Cumplida con "&amp;($G210-$AN210)&amp;IF($G210-$AN210=1," día"," días")&amp;" de retraso","Cumplida"),IF(N($M210)&gt;=1,"Cumplida",IF(NOT(ISNUMBER($AN210)),"Sin fecha límite",IF($AN210&lt;FechaRef,"Vencida hace "&amp;(FechaRef-$AN210)&amp;IF(FechaRef-$AN210=1," día"," días"),IF($AN210=FechaRef,"Vence hoy",IF($AN210-FechaRef&lt;=DiasAlerta,"Vence en "&amp;($AN210-FechaRef)&amp;IF($AN210-FechaRef=1," día"," días"),"En plazo")))))))</f>
        <v/>
      </c>
      <c r="P210" s="62" t="n"/>
      <c r="Q210" s="58" t="n"/>
      <c r="R210" s="63">
        <f>IF(NOT((COUNTA($B210:$D210)+COUNTA($G210:$L210)+COUNTA($Q210))&gt;0),"",IF((IF($C210="","Falta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",""))="","✔ OK","⚠ "&amp;LEFT(IF($C210="","Falta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",""),LEN(IF($C210="","Falta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",""))-3)))</f>
        <v/>
      </c>
      <c r="S210" s="64">
        <f>IF(NOT((COUNTA($B210:$D210)+COUNTA($G210:$L210)+COUNTA($Q210))&gt;0),"",IF(AND($V210="Sub",N($U210)&gt;0),IF(ISNUMBER(INDEX($AM$5:$AM$1000,$U210-4)),DATE(YEAR(INDEX($AM$5:$AM$1000,$U210-4)),MONTH(INDEX($AM$5:$AM$1000,$U210-4)),1),IF(ISNUMBER(INDEX($AN$5:$AN$1000,$U210-4)),DATE(YEAR(INDEX($AN$5:$AN$1000,$U210-4)),MONTH(INDEX($AN$5:$AN$1000,$U210-4)),1),MesCiclo)),IF(ISNUMBER($AM210),DATE(YEAR($AM210),MONTH($AM210),1),IF(ISNUMBER($AN210),DATE(YEAR($AN210),MONTH($AN210),1),MesCiclo))))</f>
        <v/>
      </c>
      <c r="T210" s="62">
        <f>IF(OR($S210="",$S210&lt;&gt;MesCiclo),"",COUNTIF($S$5:$S210,MesCiclo))</f>
        <v/>
      </c>
      <c r="U210" s="62">
        <f>IF($V210="","",IF($V210="Macro",ROW(),IFERROR(LOOKUP(2,1/($V$5:$V210="Macro"),ROW($V$5:$V210)),0)))</f>
        <v/>
      </c>
      <c r="V210" s="62">
        <f>IF(NOT((COUNTA($B210:$D210)+COUNTA($G210:$L210)+COUNTA($Q210))&gt;0),"",IF($B210="Subactividad","Sub","Macro"))</f>
        <v/>
      </c>
      <c r="W210" s="62">
        <f>IF($V210="Macro",COUNTIFS($U$5:$U$1000,ROW(),$V$5:$V$1000,"Sub"),"")</f>
        <v/>
      </c>
      <c r="X210" s="62">
        <f>IF($V210="","",IF(ISNUMBER($G210),1,IFERROR(LOOKUP(2,1/($I210:$L210&lt;&gt;""),$I210:$L210),0)))</f>
        <v/>
      </c>
      <c r="Y210" s="62">
        <f>IF($V210="","",IF(AND(ISNUMBER($G210),$G210&lt;=IF($S210=MesCiclo,InicioCiclo,$S210+MOD(2-WEEKDAY($S210),7))+6),1,IF(ISNUMBER($I210),$I210,0)))</f>
        <v/>
      </c>
      <c r="Z210" s="62">
        <f>IF($V210="","",IF(AND(ISNUMBER($G210),$G210&lt;=IF($S210=MesCiclo,InicioCiclo,$S210+MOD(2-WEEKDAY($S210),7))+13),1,IF(ISNUMBER($J210),$J210,$Y210)))</f>
        <v/>
      </c>
      <c r="AA210" s="62">
        <f>IF($V210="","",IF(AND(ISNUMBER($G210),$G210&lt;=IF($S210=MesCiclo,InicioCiclo,$S210+MOD(2-WEEKDAY($S210),7))+20),1,IF(ISNUMBER($K210),$K210,$Z210)))</f>
        <v/>
      </c>
      <c r="AB210" s="62">
        <f>IF($V210="","",IF(AND(ISNUMBER($G210),$G210&lt;=IF($S210=MesCiclo,InicioCiclo,$S210+MOD(2-WEEKDAY($S210),7))+27),1,IF(ISNUMBER($L210),$L210,$AA210)))</f>
        <v/>
      </c>
      <c r="AC210" s="62">
        <f>IF($V210="","",IF(AND(ISNUMBER($G210),$G210&lt;=IF($S210=MesCiclo,InicioCiclo,$S210+MOD(2-WEEKDAY($S210),7))+6),1,IF(N($W210)&gt;0,AVERAGEIFS($Y$5:$Y$1000,$U$5:$U$1000,ROW(),$V$5:$V$1000,"Sub"),$Y210)))</f>
        <v/>
      </c>
      <c r="AD210" s="62">
        <f>IF($V210="","",IF(AND(ISNUMBER($G210),$G210&lt;=IF($S210=MesCiclo,InicioCiclo,$S210+MOD(2-WEEKDAY($S210),7))+13),1,IF(N($W210)&gt;0,AVERAGEIFS($Z$5:$Z$1000,$U$5:$U$1000,ROW(),$V$5:$V$1000,"Sub"),$Z210)))</f>
        <v/>
      </c>
      <c r="AE210" s="62">
        <f>IF($V210="","",IF(AND(ISNUMBER($G210),$G210&lt;=IF($S210=MesCiclo,InicioCiclo,$S210+MOD(2-WEEKDAY($S210),7))+20),1,IF(N($W210)&gt;0,AVERAGEIFS($AA$5:$AA$1000,$U$5:$U$1000,ROW(),$V$5:$V$1000,"Sub"),$AA210)))</f>
        <v/>
      </c>
      <c r="AF210" s="62">
        <f>IF($V210="","",IF(AND(ISNUMBER($G210),$G210&lt;=IF($S210=MesCiclo,InicioCiclo,$S210+MOD(2-WEEKDAY($S210),7))+27),1,IF(N($W210)&gt;0,AVERAGEIFS($AB$5:$AB$1000,$U$5:$U$1000,ROW(),$V$5:$V$1000,"Sub"),$AB210)))</f>
        <v/>
      </c>
      <c r="AG210" s="62">
        <f>IF($V210&lt;&gt;"Macro","",IF(COUNTIFS($S$5:$S$1000,$S210,$V$5:$V$1000,"Macro",$H$5:$H$1000,"&gt;0")=0,1/COUNTIFS($S$5:$S$1000,$S210,$V$5:$V$1000,"Macro"),IF(AND(ISNUMBER($H210),N($H210)&gt;0),$H210,SUMIFS($H$5:$H$1000,$S$5:$S$1000,$S210,$V$5:$V$1000,"Macro")/COUNTIFS($S$5:$S$1000,$S210,$V$5:$V$1000,"Macro",$H$5:$H$1000,"&gt;0"))/(COUNTIFS($S$5:$S$1000,$S210,$V$5:$V$1000,"Macro")*SUMIFS($H$5:$H$1000,$S$5:$S$1000,$S210,$V$5:$V$1000,"Macro")/COUNTIFS($S$5:$S$1000,$S210,$V$5:$V$1000,"Macro",$H$5:$H$1000,"&gt;0"))))</f>
        <v/>
      </c>
      <c r="AH210" s="62" t="n"/>
      <c r="AI210" s="62" t="n"/>
      <c r="AJ210" s="62" t="n"/>
      <c r="AK210" s="62" t="n"/>
      <c r="AL210" s="62">
        <f>IF(LEFT($C210,11)="[Jefatura] ",IFERROR(MATCH("Riesgo Normativo|"&amp;MID($C210,12,500),rDname_ADM,0),0),"")</f>
        <v/>
      </c>
      <c r="AM210" s="62">
        <f>IF(N($AL210)&gt;0,INDEX(rIni_ADM,$AL210),IF(ISNUMBER($E210),$E210,""))</f>
        <v/>
      </c>
      <c r="AN210" s="62">
        <f>IF(N($AL210)&gt;0,INDEX(rLim_ADM,$AL210),IF(ISNUMBER($F210),$F210,""))</f>
        <v/>
      </c>
    </row>
    <row r="211">
      <c r="A211" s="56">
        <f>IF(NOT((COUNTA($B211:$D211)+COUNTA($G211:$L211)+COUNTA($Q211))&gt;0),"",IF($V211="Macro",COUNTIFS($V$5:$V211,"Macro",$S$5:$S211,$S211),IF(N($U211)=0,"?",COUNTIFS(INDEX($V$5:$V$1000,1):INDEX($V$5:$V$1000,$U211-4),"Macro",INDEX($S$5:$S$1000,1):INDEX($S$5:$S$1000,$U211-4),INDEX($S$5:$S$1000,$U211-4))&amp;"."&amp;COUNTIFS($U$5:$U211,$U211,$V$5:$V211,"Sub"))))</f>
        <v/>
      </c>
      <c r="B211" s="57" t="n"/>
      <c r="C211" s="58" t="n"/>
      <c r="D211" s="58" t="n"/>
      <c r="E211" s="59">
        <f>IF(N($AL211)&gt;0,INDEX(rIni_ADM,$AL211),"")</f>
        <v/>
      </c>
      <c r="F211" s="59">
        <f>IF(N($AL211)&gt;0,INDEX(rLim_ADM,$AL211),"")</f>
        <v/>
      </c>
      <c r="G211" s="59" t="n"/>
      <c r="H211" s="60" t="n"/>
      <c r="I211" s="60" t="n"/>
      <c r="J211" s="60" t="n"/>
      <c r="K211" s="60" t="n"/>
      <c r="L211" s="60" t="n"/>
      <c r="M211" s="61">
        <f>IF(NOT((COUNTA($B211:$D211)+COUNTA($G211:$L211)+COUNTA($Q211))&gt;0),"",IF(ISNUMBER($G211),1,IF(N($W211)&gt;0,AVERAGEIFS($X$5:$X$1000,$U$5:$U$1000,ROW(),$V$5:$V$1000,"Sub"),$X211)))</f>
        <v/>
      </c>
      <c r="N211" s="56">
        <f>IF($M211="","",IF($M211&gt;=1,"Completado",IF($M211&gt;0,"En curso","Pendiente")))</f>
        <v/>
      </c>
      <c r="O211" s="56">
        <f>IF(NOT((COUNTA($B211:$D211)+COUNTA($G211:$L211)+COUNTA($Q211))&gt;0),"",IF(ISNUMBER($G211),IF(AND(ISNUMBER($AN211),$G211&gt;$AN211),"Cumplida con "&amp;($G211-$AN211)&amp;IF($G211-$AN211=1," día"," días")&amp;" de retraso","Cumplida"),IF(N($M211)&gt;=1,"Cumplida",IF(NOT(ISNUMBER($AN211)),"Sin fecha límite",IF($AN211&lt;FechaRef,"Vencida hace "&amp;(FechaRef-$AN211)&amp;IF(FechaRef-$AN211=1," día"," días"),IF($AN211=FechaRef,"Vence hoy",IF($AN211-FechaRef&lt;=DiasAlerta,"Vence en "&amp;($AN211-FechaRef)&amp;IF($AN211-FechaRef=1," día"," días"),"En plazo")))))))</f>
        <v/>
      </c>
      <c r="P211" s="62" t="n"/>
      <c r="Q211" s="58" t="n"/>
      <c r="R211" s="63">
        <f>IF(NOT((COUNTA($B211:$D211)+COUNTA($G211:$L211)+COUNTA($Q211))&gt;0),"",IF((IF($C211="","Falta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",""))="","✔ OK","⚠ "&amp;LEFT(IF($C211="","Falta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",""),LEN(IF($C211="","Falta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",""))-3)))</f>
        <v/>
      </c>
      <c r="S211" s="64">
        <f>IF(NOT((COUNTA($B211:$D211)+COUNTA($G211:$L211)+COUNTA($Q211))&gt;0),"",IF(AND($V211="Sub",N($U211)&gt;0),IF(ISNUMBER(INDEX($AM$5:$AM$1000,$U211-4)),DATE(YEAR(INDEX($AM$5:$AM$1000,$U211-4)),MONTH(INDEX($AM$5:$AM$1000,$U211-4)),1),IF(ISNUMBER(INDEX($AN$5:$AN$1000,$U211-4)),DATE(YEAR(INDEX($AN$5:$AN$1000,$U211-4)),MONTH(INDEX($AN$5:$AN$1000,$U211-4)),1),MesCiclo)),IF(ISNUMBER($AM211),DATE(YEAR($AM211),MONTH($AM211),1),IF(ISNUMBER($AN211),DATE(YEAR($AN211),MONTH($AN211),1),MesCiclo))))</f>
        <v/>
      </c>
      <c r="T211" s="62">
        <f>IF(OR($S211="",$S211&lt;&gt;MesCiclo),"",COUNTIF($S$5:$S211,MesCiclo))</f>
        <v/>
      </c>
      <c r="U211" s="62">
        <f>IF($V211="","",IF($V211="Macro",ROW(),IFERROR(LOOKUP(2,1/($V$5:$V211="Macro"),ROW($V$5:$V211)),0)))</f>
        <v/>
      </c>
      <c r="V211" s="62">
        <f>IF(NOT((COUNTA($B211:$D211)+COUNTA($G211:$L211)+COUNTA($Q211))&gt;0),"",IF($B211="Subactividad","Sub","Macro"))</f>
        <v/>
      </c>
      <c r="W211" s="62">
        <f>IF($V211="Macro",COUNTIFS($U$5:$U$1000,ROW(),$V$5:$V$1000,"Sub"),"")</f>
        <v/>
      </c>
      <c r="X211" s="62">
        <f>IF($V211="","",IF(ISNUMBER($G211),1,IFERROR(LOOKUP(2,1/($I211:$L211&lt;&gt;""),$I211:$L211),0)))</f>
        <v/>
      </c>
      <c r="Y211" s="62">
        <f>IF($V211="","",IF(AND(ISNUMBER($G211),$G211&lt;=IF($S211=MesCiclo,InicioCiclo,$S211+MOD(2-WEEKDAY($S211),7))+6),1,IF(ISNUMBER($I211),$I211,0)))</f>
        <v/>
      </c>
      <c r="Z211" s="62">
        <f>IF($V211="","",IF(AND(ISNUMBER($G211),$G211&lt;=IF($S211=MesCiclo,InicioCiclo,$S211+MOD(2-WEEKDAY($S211),7))+13),1,IF(ISNUMBER($J211),$J211,$Y211)))</f>
        <v/>
      </c>
      <c r="AA211" s="62">
        <f>IF($V211="","",IF(AND(ISNUMBER($G211),$G211&lt;=IF($S211=MesCiclo,InicioCiclo,$S211+MOD(2-WEEKDAY($S211),7))+20),1,IF(ISNUMBER($K211),$K211,$Z211)))</f>
        <v/>
      </c>
      <c r="AB211" s="62">
        <f>IF($V211="","",IF(AND(ISNUMBER($G211),$G211&lt;=IF($S211=MesCiclo,InicioCiclo,$S211+MOD(2-WEEKDAY($S211),7))+27),1,IF(ISNUMBER($L211),$L211,$AA211)))</f>
        <v/>
      </c>
      <c r="AC211" s="62">
        <f>IF($V211="","",IF(AND(ISNUMBER($G211),$G211&lt;=IF($S211=MesCiclo,InicioCiclo,$S211+MOD(2-WEEKDAY($S211),7))+6),1,IF(N($W211)&gt;0,AVERAGEIFS($Y$5:$Y$1000,$U$5:$U$1000,ROW(),$V$5:$V$1000,"Sub"),$Y211)))</f>
        <v/>
      </c>
      <c r="AD211" s="62">
        <f>IF($V211="","",IF(AND(ISNUMBER($G211),$G211&lt;=IF($S211=MesCiclo,InicioCiclo,$S211+MOD(2-WEEKDAY($S211),7))+13),1,IF(N($W211)&gt;0,AVERAGEIFS($Z$5:$Z$1000,$U$5:$U$1000,ROW(),$V$5:$V$1000,"Sub"),$Z211)))</f>
        <v/>
      </c>
      <c r="AE211" s="62">
        <f>IF($V211="","",IF(AND(ISNUMBER($G211),$G211&lt;=IF($S211=MesCiclo,InicioCiclo,$S211+MOD(2-WEEKDAY($S211),7))+20),1,IF(N($W211)&gt;0,AVERAGEIFS($AA$5:$AA$1000,$U$5:$U$1000,ROW(),$V$5:$V$1000,"Sub"),$AA211)))</f>
        <v/>
      </c>
      <c r="AF211" s="62">
        <f>IF($V211="","",IF(AND(ISNUMBER($G211),$G211&lt;=IF($S211=MesCiclo,InicioCiclo,$S211+MOD(2-WEEKDAY($S211),7))+27),1,IF(N($W211)&gt;0,AVERAGEIFS($AB$5:$AB$1000,$U$5:$U$1000,ROW(),$V$5:$V$1000,"Sub"),$AB211)))</f>
        <v/>
      </c>
      <c r="AG211" s="62">
        <f>IF($V211&lt;&gt;"Macro","",IF(COUNTIFS($S$5:$S$1000,$S211,$V$5:$V$1000,"Macro",$H$5:$H$1000,"&gt;0")=0,1/COUNTIFS($S$5:$S$1000,$S211,$V$5:$V$1000,"Macro"),IF(AND(ISNUMBER($H211),N($H211)&gt;0),$H211,SUMIFS($H$5:$H$1000,$S$5:$S$1000,$S211,$V$5:$V$1000,"Macro")/COUNTIFS($S$5:$S$1000,$S211,$V$5:$V$1000,"Macro",$H$5:$H$1000,"&gt;0"))/(COUNTIFS($S$5:$S$1000,$S211,$V$5:$V$1000,"Macro")*SUMIFS($H$5:$H$1000,$S$5:$S$1000,$S211,$V$5:$V$1000,"Macro")/COUNTIFS($S$5:$S$1000,$S211,$V$5:$V$1000,"Macro",$H$5:$H$1000,"&gt;0"))))</f>
        <v/>
      </c>
      <c r="AH211" s="62" t="n"/>
      <c r="AI211" s="62" t="n"/>
      <c r="AJ211" s="62" t="n"/>
      <c r="AK211" s="62" t="n"/>
      <c r="AL211" s="62">
        <f>IF(LEFT($C211,11)="[Jefatura] ",IFERROR(MATCH("Riesgo Normativo|"&amp;MID($C211,12,500),rDname_ADM,0),0),"")</f>
        <v/>
      </c>
      <c r="AM211" s="62">
        <f>IF(N($AL211)&gt;0,INDEX(rIni_ADM,$AL211),IF(ISNUMBER($E211),$E211,""))</f>
        <v/>
      </c>
      <c r="AN211" s="62">
        <f>IF(N($AL211)&gt;0,INDEX(rLim_ADM,$AL211),IF(ISNUMBER($F211),$F211,""))</f>
        <v/>
      </c>
    </row>
    <row r="212">
      <c r="A212" s="56">
        <f>IF(NOT((COUNTA($B212:$D212)+COUNTA($G212:$L212)+COUNTA($Q212))&gt;0),"",IF($V212="Macro",COUNTIFS($V$5:$V212,"Macro",$S$5:$S212,$S212),IF(N($U212)=0,"?",COUNTIFS(INDEX($V$5:$V$1000,1):INDEX($V$5:$V$1000,$U212-4),"Macro",INDEX($S$5:$S$1000,1):INDEX($S$5:$S$1000,$U212-4),INDEX($S$5:$S$1000,$U212-4))&amp;"."&amp;COUNTIFS($U$5:$U212,$U212,$V$5:$V212,"Sub"))))</f>
        <v/>
      </c>
      <c r="B212" s="57" t="n"/>
      <c r="C212" s="58" t="n"/>
      <c r="D212" s="58" t="n"/>
      <c r="E212" s="59">
        <f>IF(N($AL212)&gt;0,INDEX(rIni_ADM,$AL212),"")</f>
        <v/>
      </c>
      <c r="F212" s="59">
        <f>IF(N($AL212)&gt;0,INDEX(rLim_ADM,$AL212),"")</f>
        <v/>
      </c>
      <c r="G212" s="59" t="n"/>
      <c r="H212" s="60" t="n"/>
      <c r="I212" s="60" t="n"/>
      <c r="J212" s="60" t="n"/>
      <c r="K212" s="60" t="n"/>
      <c r="L212" s="60" t="n"/>
      <c r="M212" s="61">
        <f>IF(NOT((COUNTA($B212:$D212)+COUNTA($G212:$L212)+COUNTA($Q212))&gt;0),"",IF(ISNUMBER($G212),1,IF(N($W212)&gt;0,AVERAGEIFS($X$5:$X$1000,$U$5:$U$1000,ROW(),$V$5:$V$1000,"Sub"),$X212)))</f>
        <v/>
      </c>
      <c r="N212" s="56">
        <f>IF($M212="","",IF($M212&gt;=1,"Completado",IF($M212&gt;0,"En curso","Pendiente")))</f>
        <v/>
      </c>
      <c r="O212" s="56">
        <f>IF(NOT((COUNTA($B212:$D212)+COUNTA($G212:$L212)+COUNTA($Q212))&gt;0),"",IF(ISNUMBER($G212),IF(AND(ISNUMBER($AN212),$G212&gt;$AN212),"Cumplida con "&amp;($G212-$AN212)&amp;IF($G212-$AN212=1," día"," días")&amp;" de retraso","Cumplida"),IF(N($M212)&gt;=1,"Cumplida",IF(NOT(ISNUMBER($AN212)),"Sin fecha límite",IF($AN212&lt;FechaRef,"Vencida hace "&amp;(FechaRef-$AN212)&amp;IF(FechaRef-$AN212=1," día"," días"),IF($AN212=FechaRef,"Vence hoy",IF($AN212-FechaRef&lt;=DiasAlerta,"Vence en "&amp;($AN212-FechaRef)&amp;IF($AN212-FechaRef=1," día"," días"),"En plazo")))))))</f>
        <v/>
      </c>
      <c r="P212" s="62" t="n"/>
      <c r="Q212" s="58" t="n"/>
      <c r="R212" s="63">
        <f>IF(NOT((COUNTA($B212:$D212)+COUNTA($G212:$L212)+COUNTA($Q212))&gt;0),"",IF((IF($C212="","Falta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",""))="","✔ OK","⚠ "&amp;LEFT(IF($C212="","Falta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",""),LEN(IF($C212="","Falta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",""))-3)))</f>
        <v/>
      </c>
      <c r="S212" s="64">
        <f>IF(NOT((COUNTA($B212:$D212)+COUNTA($G212:$L212)+COUNTA($Q212))&gt;0),"",IF(AND($V212="Sub",N($U212)&gt;0),IF(ISNUMBER(INDEX($AM$5:$AM$1000,$U212-4)),DATE(YEAR(INDEX($AM$5:$AM$1000,$U212-4)),MONTH(INDEX($AM$5:$AM$1000,$U212-4)),1),IF(ISNUMBER(INDEX($AN$5:$AN$1000,$U212-4)),DATE(YEAR(INDEX($AN$5:$AN$1000,$U212-4)),MONTH(INDEX($AN$5:$AN$1000,$U212-4)),1),MesCiclo)),IF(ISNUMBER($AM212),DATE(YEAR($AM212),MONTH($AM212),1),IF(ISNUMBER($AN212),DATE(YEAR($AN212),MONTH($AN212),1),MesCiclo))))</f>
        <v/>
      </c>
      <c r="T212" s="62">
        <f>IF(OR($S212="",$S212&lt;&gt;MesCiclo),"",COUNTIF($S$5:$S212,MesCiclo))</f>
        <v/>
      </c>
      <c r="U212" s="62">
        <f>IF($V212="","",IF($V212="Macro",ROW(),IFERROR(LOOKUP(2,1/($V$5:$V212="Macro"),ROW($V$5:$V212)),0)))</f>
        <v/>
      </c>
      <c r="V212" s="62">
        <f>IF(NOT((COUNTA($B212:$D212)+COUNTA($G212:$L212)+COUNTA($Q212))&gt;0),"",IF($B212="Subactividad","Sub","Macro"))</f>
        <v/>
      </c>
      <c r="W212" s="62">
        <f>IF($V212="Macro",COUNTIFS($U$5:$U$1000,ROW(),$V$5:$V$1000,"Sub"),"")</f>
        <v/>
      </c>
      <c r="X212" s="62">
        <f>IF($V212="","",IF(ISNUMBER($G212),1,IFERROR(LOOKUP(2,1/($I212:$L212&lt;&gt;""),$I212:$L212),0)))</f>
        <v/>
      </c>
      <c r="Y212" s="62">
        <f>IF($V212="","",IF(AND(ISNUMBER($G212),$G212&lt;=IF($S212=MesCiclo,InicioCiclo,$S212+MOD(2-WEEKDAY($S212),7))+6),1,IF(ISNUMBER($I212),$I212,0)))</f>
        <v/>
      </c>
      <c r="Z212" s="62">
        <f>IF($V212="","",IF(AND(ISNUMBER($G212),$G212&lt;=IF($S212=MesCiclo,InicioCiclo,$S212+MOD(2-WEEKDAY($S212),7))+13),1,IF(ISNUMBER($J212),$J212,$Y212)))</f>
        <v/>
      </c>
      <c r="AA212" s="62">
        <f>IF($V212="","",IF(AND(ISNUMBER($G212),$G212&lt;=IF($S212=MesCiclo,InicioCiclo,$S212+MOD(2-WEEKDAY($S212),7))+20),1,IF(ISNUMBER($K212),$K212,$Z212)))</f>
        <v/>
      </c>
      <c r="AB212" s="62">
        <f>IF($V212="","",IF(AND(ISNUMBER($G212),$G212&lt;=IF($S212=MesCiclo,InicioCiclo,$S212+MOD(2-WEEKDAY($S212),7))+27),1,IF(ISNUMBER($L212),$L212,$AA212)))</f>
        <v/>
      </c>
      <c r="AC212" s="62">
        <f>IF($V212="","",IF(AND(ISNUMBER($G212),$G212&lt;=IF($S212=MesCiclo,InicioCiclo,$S212+MOD(2-WEEKDAY($S212),7))+6),1,IF(N($W212)&gt;0,AVERAGEIFS($Y$5:$Y$1000,$U$5:$U$1000,ROW(),$V$5:$V$1000,"Sub"),$Y212)))</f>
        <v/>
      </c>
      <c r="AD212" s="62">
        <f>IF($V212="","",IF(AND(ISNUMBER($G212),$G212&lt;=IF($S212=MesCiclo,InicioCiclo,$S212+MOD(2-WEEKDAY($S212),7))+13),1,IF(N($W212)&gt;0,AVERAGEIFS($Z$5:$Z$1000,$U$5:$U$1000,ROW(),$V$5:$V$1000,"Sub"),$Z212)))</f>
        <v/>
      </c>
      <c r="AE212" s="62">
        <f>IF($V212="","",IF(AND(ISNUMBER($G212),$G212&lt;=IF($S212=MesCiclo,InicioCiclo,$S212+MOD(2-WEEKDAY($S212),7))+20),1,IF(N($W212)&gt;0,AVERAGEIFS($AA$5:$AA$1000,$U$5:$U$1000,ROW(),$V$5:$V$1000,"Sub"),$AA212)))</f>
        <v/>
      </c>
      <c r="AF212" s="62">
        <f>IF($V212="","",IF(AND(ISNUMBER($G212),$G212&lt;=IF($S212=MesCiclo,InicioCiclo,$S212+MOD(2-WEEKDAY($S212),7))+27),1,IF(N($W212)&gt;0,AVERAGEIFS($AB$5:$AB$1000,$U$5:$U$1000,ROW(),$V$5:$V$1000,"Sub"),$AB212)))</f>
        <v/>
      </c>
      <c r="AG212" s="62">
        <f>IF($V212&lt;&gt;"Macro","",IF(COUNTIFS($S$5:$S$1000,$S212,$V$5:$V$1000,"Macro",$H$5:$H$1000,"&gt;0")=0,1/COUNTIFS($S$5:$S$1000,$S212,$V$5:$V$1000,"Macro"),IF(AND(ISNUMBER($H212),N($H212)&gt;0),$H212,SUMIFS($H$5:$H$1000,$S$5:$S$1000,$S212,$V$5:$V$1000,"Macro")/COUNTIFS($S$5:$S$1000,$S212,$V$5:$V$1000,"Macro",$H$5:$H$1000,"&gt;0"))/(COUNTIFS($S$5:$S$1000,$S212,$V$5:$V$1000,"Macro")*SUMIFS($H$5:$H$1000,$S$5:$S$1000,$S212,$V$5:$V$1000,"Macro")/COUNTIFS($S$5:$S$1000,$S212,$V$5:$V$1000,"Macro",$H$5:$H$1000,"&gt;0"))))</f>
        <v/>
      </c>
      <c r="AH212" s="62" t="n"/>
      <c r="AI212" s="62" t="n"/>
      <c r="AJ212" s="62" t="n"/>
      <c r="AK212" s="62" t="n"/>
      <c r="AL212" s="62">
        <f>IF(LEFT($C212,11)="[Jefatura] ",IFERROR(MATCH("Riesgo Normativo|"&amp;MID($C212,12,500),rDname_ADM,0),0),"")</f>
        <v/>
      </c>
      <c r="AM212" s="62">
        <f>IF(N($AL212)&gt;0,INDEX(rIni_ADM,$AL212),IF(ISNUMBER($E212),$E212,""))</f>
        <v/>
      </c>
      <c r="AN212" s="62">
        <f>IF(N($AL212)&gt;0,INDEX(rLim_ADM,$AL212),IF(ISNUMBER($F212),$F212,""))</f>
        <v/>
      </c>
    </row>
    <row r="213">
      <c r="A213" s="56">
        <f>IF(NOT((COUNTA($B213:$D213)+COUNTA($G213:$L213)+COUNTA($Q213))&gt;0),"",IF($V213="Macro",COUNTIFS($V$5:$V213,"Macro",$S$5:$S213,$S213),IF(N($U213)=0,"?",COUNTIFS(INDEX($V$5:$V$1000,1):INDEX($V$5:$V$1000,$U213-4),"Macro",INDEX($S$5:$S$1000,1):INDEX($S$5:$S$1000,$U213-4),INDEX($S$5:$S$1000,$U213-4))&amp;"."&amp;COUNTIFS($U$5:$U213,$U213,$V$5:$V213,"Sub"))))</f>
        <v/>
      </c>
      <c r="B213" s="57" t="n"/>
      <c r="C213" s="58" t="n"/>
      <c r="D213" s="58" t="n"/>
      <c r="E213" s="59">
        <f>IF(N($AL213)&gt;0,INDEX(rIni_ADM,$AL213),"")</f>
        <v/>
      </c>
      <c r="F213" s="59">
        <f>IF(N($AL213)&gt;0,INDEX(rLim_ADM,$AL213),"")</f>
        <v/>
      </c>
      <c r="G213" s="59" t="n"/>
      <c r="H213" s="60" t="n"/>
      <c r="I213" s="60" t="n"/>
      <c r="J213" s="60" t="n"/>
      <c r="K213" s="60" t="n"/>
      <c r="L213" s="60" t="n"/>
      <c r="M213" s="61">
        <f>IF(NOT((COUNTA($B213:$D213)+COUNTA($G213:$L213)+COUNTA($Q213))&gt;0),"",IF(ISNUMBER($G213),1,IF(N($W213)&gt;0,AVERAGEIFS($X$5:$X$1000,$U$5:$U$1000,ROW(),$V$5:$V$1000,"Sub"),$X213)))</f>
        <v/>
      </c>
      <c r="N213" s="56">
        <f>IF($M213="","",IF($M213&gt;=1,"Completado",IF($M213&gt;0,"En curso","Pendiente")))</f>
        <v/>
      </c>
      <c r="O213" s="56">
        <f>IF(NOT((COUNTA($B213:$D213)+COUNTA($G213:$L213)+COUNTA($Q213))&gt;0),"",IF(ISNUMBER($G213),IF(AND(ISNUMBER($AN213),$G213&gt;$AN213),"Cumplida con "&amp;($G213-$AN213)&amp;IF($G213-$AN213=1," día"," días")&amp;" de retraso","Cumplida"),IF(N($M213)&gt;=1,"Cumplida",IF(NOT(ISNUMBER($AN213)),"Sin fecha límite",IF($AN213&lt;FechaRef,"Vencida hace "&amp;(FechaRef-$AN213)&amp;IF(FechaRef-$AN213=1," día"," días"),IF($AN213=FechaRef,"Vence hoy",IF($AN213-FechaRef&lt;=DiasAlerta,"Vence en "&amp;($AN213-FechaRef)&amp;IF($AN213-FechaRef=1," día"," días"),"En plazo")))))))</f>
        <v/>
      </c>
      <c r="P213" s="62" t="n"/>
      <c r="Q213" s="58" t="n"/>
      <c r="R213" s="63">
        <f>IF(NOT((COUNTA($B213:$D213)+COUNTA($G213:$L213)+COUNTA($Q213))&gt;0),"",IF((IF($C213="","Falta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",""))="","✔ OK","⚠ "&amp;LEFT(IF($C213="","Falta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",""),LEN(IF($C213="","Falta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",""))-3)))</f>
        <v/>
      </c>
      <c r="S213" s="64">
        <f>IF(NOT((COUNTA($B213:$D213)+COUNTA($G213:$L213)+COUNTA($Q213))&gt;0),"",IF(AND($V213="Sub",N($U213)&gt;0),IF(ISNUMBER(INDEX($AM$5:$AM$1000,$U213-4)),DATE(YEAR(INDEX($AM$5:$AM$1000,$U213-4)),MONTH(INDEX($AM$5:$AM$1000,$U213-4)),1),IF(ISNUMBER(INDEX($AN$5:$AN$1000,$U213-4)),DATE(YEAR(INDEX($AN$5:$AN$1000,$U213-4)),MONTH(INDEX($AN$5:$AN$1000,$U213-4)),1),MesCiclo)),IF(ISNUMBER($AM213),DATE(YEAR($AM213),MONTH($AM213),1),IF(ISNUMBER($AN213),DATE(YEAR($AN213),MONTH($AN213),1),MesCiclo))))</f>
        <v/>
      </c>
      <c r="T213" s="62">
        <f>IF(OR($S213="",$S213&lt;&gt;MesCiclo),"",COUNTIF($S$5:$S213,MesCiclo))</f>
        <v/>
      </c>
      <c r="U213" s="62">
        <f>IF($V213="","",IF($V213="Macro",ROW(),IFERROR(LOOKUP(2,1/($V$5:$V213="Macro"),ROW($V$5:$V213)),0)))</f>
        <v/>
      </c>
      <c r="V213" s="62">
        <f>IF(NOT((COUNTA($B213:$D213)+COUNTA($G213:$L213)+COUNTA($Q213))&gt;0),"",IF($B213="Subactividad","Sub","Macro"))</f>
        <v/>
      </c>
      <c r="W213" s="62">
        <f>IF($V213="Macro",COUNTIFS($U$5:$U$1000,ROW(),$V$5:$V$1000,"Sub"),"")</f>
        <v/>
      </c>
      <c r="X213" s="62">
        <f>IF($V213="","",IF(ISNUMBER($G213),1,IFERROR(LOOKUP(2,1/($I213:$L213&lt;&gt;""),$I213:$L213),0)))</f>
        <v/>
      </c>
      <c r="Y213" s="62">
        <f>IF($V213="","",IF(AND(ISNUMBER($G213),$G213&lt;=IF($S213=MesCiclo,InicioCiclo,$S213+MOD(2-WEEKDAY($S213),7))+6),1,IF(ISNUMBER($I213),$I213,0)))</f>
        <v/>
      </c>
      <c r="Z213" s="62">
        <f>IF($V213="","",IF(AND(ISNUMBER($G213),$G213&lt;=IF($S213=MesCiclo,InicioCiclo,$S213+MOD(2-WEEKDAY($S213),7))+13),1,IF(ISNUMBER($J213),$J213,$Y213)))</f>
        <v/>
      </c>
      <c r="AA213" s="62">
        <f>IF($V213="","",IF(AND(ISNUMBER($G213),$G213&lt;=IF($S213=MesCiclo,InicioCiclo,$S213+MOD(2-WEEKDAY($S213),7))+20),1,IF(ISNUMBER($K213),$K213,$Z213)))</f>
        <v/>
      </c>
      <c r="AB213" s="62">
        <f>IF($V213="","",IF(AND(ISNUMBER($G213),$G213&lt;=IF($S213=MesCiclo,InicioCiclo,$S213+MOD(2-WEEKDAY($S213),7))+27),1,IF(ISNUMBER($L213),$L213,$AA213)))</f>
        <v/>
      </c>
      <c r="AC213" s="62">
        <f>IF($V213="","",IF(AND(ISNUMBER($G213),$G213&lt;=IF($S213=MesCiclo,InicioCiclo,$S213+MOD(2-WEEKDAY($S213),7))+6),1,IF(N($W213)&gt;0,AVERAGEIFS($Y$5:$Y$1000,$U$5:$U$1000,ROW(),$V$5:$V$1000,"Sub"),$Y213)))</f>
        <v/>
      </c>
      <c r="AD213" s="62">
        <f>IF($V213="","",IF(AND(ISNUMBER($G213),$G213&lt;=IF($S213=MesCiclo,InicioCiclo,$S213+MOD(2-WEEKDAY($S213),7))+13),1,IF(N($W213)&gt;0,AVERAGEIFS($Z$5:$Z$1000,$U$5:$U$1000,ROW(),$V$5:$V$1000,"Sub"),$Z213)))</f>
        <v/>
      </c>
      <c r="AE213" s="62">
        <f>IF($V213="","",IF(AND(ISNUMBER($G213),$G213&lt;=IF($S213=MesCiclo,InicioCiclo,$S213+MOD(2-WEEKDAY($S213),7))+20),1,IF(N($W213)&gt;0,AVERAGEIFS($AA$5:$AA$1000,$U$5:$U$1000,ROW(),$V$5:$V$1000,"Sub"),$AA213)))</f>
        <v/>
      </c>
      <c r="AF213" s="62">
        <f>IF($V213="","",IF(AND(ISNUMBER($G213),$G213&lt;=IF($S213=MesCiclo,InicioCiclo,$S213+MOD(2-WEEKDAY($S213),7))+27),1,IF(N($W213)&gt;0,AVERAGEIFS($AB$5:$AB$1000,$U$5:$U$1000,ROW(),$V$5:$V$1000,"Sub"),$AB213)))</f>
        <v/>
      </c>
      <c r="AG213" s="62">
        <f>IF($V213&lt;&gt;"Macro","",IF(COUNTIFS($S$5:$S$1000,$S213,$V$5:$V$1000,"Macro",$H$5:$H$1000,"&gt;0")=0,1/COUNTIFS($S$5:$S$1000,$S213,$V$5:$V$1000,"Macro"),IF(AND(ISNUMBER($H213),N($H213)&gt;0),$H213,SUMIFS($H$5:$H$1000,$S$5:$S$1000,$S213,$V$5:$V$1000,"Macro")/COUNTIFS($S$5:$S$1000,$S213,$V$5:$V$1000,"Macro",$H$5:$H$1000,"&gt;0"))/(COUNTIFS($S$5:$S$1000,$S213,$V$5:$V$1000,"Macro")*SUMIFS($H$5:$H$1000,$S$5:$S$1000,$S213,$V$5:$V$1000,"Macro")/COUNTIFS($S$5:$S$1000,$S213,$V$5:$V$1000,"Macro",$H$5:$H$1000,"&gt;0"))))</f>
        <v/>
      </c>
      <c r="AH213" s="62" t="n"/>
      <c r="AI213" s="62" t="n"/>
      <c r="AJ213" s="62" t="n"/>
      <c r="AK213" s="62" t="n"/>
      <c r="AL213" s="62">
        <f>IF(LEFT($C213,11)="[Jefatura] ",IFERROR(MATCH("Riesgo Normativo|"&amp;MID($C213,12,500),rDname_ADM,0),0),"")</f>
        <v/>
      </c>
      <c r="AM213" s="62">
        <f>IF(N($AL213)&gt;0,INDEX(rIni_ADM,$AL213),IF(ISNUMBER($E213),$E213,""))</f>
        <v/>
      </c>
      <c r="AN213" s="62">
        <f>IF(N($AL213)&gt;0,INDEX(rLim_ADM,$AL213),IF(ISNUMBER($F213),$F213,""))</f>
        <v/>
      </c>
    </row>
    <row r="214">
      <c r="A214" s="56">
        <f>IF(NOT((COUNTA($B214:$D214)+COUNTA($G214:$L214)+COUNTA($Q214))&gt;0),"",IF($V214="Macro",COUNTIFS($V$5:$V214,"Macro",$S$5:$S214,$S214),IF(N($U214)=0,"?",COUNTIFS(INDEX($V$5:$V$1000,1):INDEX($V$5:$V$1000,$U214-4),"Macro",INDEX($S$5:$S$1000,1):INDEX($S$5:$S$1000,$U214-4),INDEX($S$5:$S$1000,$U214-4))&amp;"."&amp;COUNTIFS($U$5:$U214,$U214,$V$5:$V214,"Sub"))))</f>
        <v/>
      </c>
      <c r="B214" s="57" t="n"/>
      <c r="C214" s="58" t="n"/>
      <c r="D214" s="58" t="n"/>
      <c r="E214" s="59">
        <f>IF(N($AL214)&gt;0,INDEX(rIni_ADM,$AL214),"")</f>
        <v/>
      </c>
      <c r="F214" s="59">
        <f>IF(N($AL214)&gt;0,INDEX(rLim_ADM,$AL214),"")</f>
        <v/>
      </c>
      <c r="G214" s="59" t="n"/>
      <c r="H214" s="60" t="n"/>
      <c r="I214" s="60" t="n"/>
      <c r="J214" s="60" t="n"/>
      <c r="K214" s="60" t="n"/>
      <c r="L214" s="60" t="n"/>
      <c r="M214" s="61">
        <f>IF(NOT((COUNTA($B214:$D214)+COUNTA($G214:$L214)+COUNTA($Q214))&gt;0),"",IF(ISNUMBER($G214),1,IF(N($W214)&gt;0,AVERAGEIFS($X$5:$X$1000,$U$5:$U$1000,ROW(),$V$5:$V$1000,"Sub"),$X214)))</f>
        <v/>
      </c>
      <c r="N214" s="56">
        <f>IF($M214="","",IF($M214&gt;=1,"Completado",IF($M214&gt;0,"En curso","Pendiente")))</f>
        <v/>
      </c>
      <c r="O214" s="56">
        <f>IF(NOT((COUNTA($B214:$D214)+COUNTA($G214:$L214)+COUNTA($Q214))&gt;0),"",IF(ISNUMBER($G214),IF(AND(ISNUMBER($AN214),$G214&gt;$AN214),"Cumplida con "&amp;($G214-$AN214)&amp;IF($G214-$AN214=1," día"," días")&amp;" de retraso","Cumplida"),IF(N($M214)&gt;=1,"Cumplida",IF(NOT(ISNUMBER($AN214)),"Sin fecha límite",IF($AN214&lt;FechaRef,"Vencida hace "&amp;(FechaRef-$AN214)&amp;IF(FechaRef-$AN214=1," día"," días"),IF($AN214=FechaRef,"Vence hoy",IF($AN214-FechaRef&lt;=DiasAlerta,"Vence en "&amp;($AN214-FechaRef)&amp;IF($AN214-FechaRef=1," día"," días"),"En plazo")))))))</f>
        <v/>
      </c>
      <c r="P214" s="62" t="n"/>
      <c r="Q214" s="58" t="n"/>
      <c r="R214" s="63">
        <f>IF(NOT((COUNTA($B214:$D214)+COUNTA($G214:$L214)+COUNTA($Q214))&gt;0),"",IF((IF($C214="","Falta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",""))="","✔ OK","⚠ "&amp;LEFT(IF($C214="","Falta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",""),LEN(IF($C214="","Falta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",""))-3)))</f>
        <v/>
      </c>
      <c r="S214" s="64">
        <f>IF(NOT((COUNTA($B214:$D214)+COUNTA($G214:$L214)+COUNTA($Q214))&gt;0),"",IF(AND($V214="Sub",N($U214)&gt;0),IF(ISNUMBER(INDEX($AM$5:$AM$1000,$U214-4)),DATE(YEAR(INDEX($AM$5:$AM$1000,$U214-4)),MONTH(INDEX($AM$5:$AM$1000,$U214-4)),1),IF(ISNUMBER(INDEX($AN$5:$AN$1000,$U214-4)),DATE(YEAR(INDEX($AN$5:$AN$1000,$U214-4)),MONTH(INDEX($AN$5:$AN$1000,$U214-4)),1),MesCiclo)),IF(ISNUMBER($AM214),DATE(YEAR($AM214),MONTH($AM214),1),IF(ISNUMBER($AN214),DATE(YEAR($AN214),MONTH($AN214),1),MesCiclo))))</f>
        <v/>
      </c>
      <c r="T214" s="62">
        <f>IF(OR($S214="",$S214&lt;&gt;MesCiclo),"",COUNTIF($S$5:$S214,MesCiclo))</f>
        <v/>
      </c>
      <c r="U214" s="62">
        <f>IF($V214="","",IF($V214="Macro",ROW(),IFERROR(LOOKUP(2,1/($V$5:$V214="Macro"),ROW($V$5:$V214)),0)))</f>
        <v/>
      </c>
      <c r="V214" s="62">
        <f>IF(NOT((COUNTA($B214:$D214)+COUNTA($G214:$L214)+COUNTA($Q214))&gt;0),"",IF($B214="Subactividad","Sub","Macro"))</f>
        <v/>
      </c>
      <c r="W214" s="62">
        <f>IF($V214="Macro",COUNTIFS($U$5:$U$1000,ROW(),$V$5:$V$1000,"Sub"),"")</f>
        <v/>
      </c>
      <c r="X214" s="62">
        <f>IF($V214="","",IF(ISNUMBER($G214),1,IFERROR(LOOKUP(2,1/($I214:$L214&lt;&gt;""),$I214:$L214),0)))</f>
        <v/>
      </c>
      <c r="Y214" s="62">
        <f>IF($V214="","",IF(AND(ISNUMBER($G214),$G214&lt;=IF($S214=MesCiclo,InicioCiclo,$S214+MOD(2-WEEKDAY($S214),7))+6),1,IF(ISNUMBER($I214),$I214,0)))</f>
        <v/>
      </c>
      <c r="Z214" s="62">
        <f>IF($V214="","",IF(AND(ISNUMBER($G214),$G214&lt;=IF($S214=MesCiclo,InicioCiclo,$S214+MOD(2-WEEKDAY($S214),7))+13),1,IF(ISNUMBER($J214),$J214,$Y214)))</f>
        <v/>
      </c>
      <c r="AA214" s="62">
        <f>IF($V214="","",IF(AND(ISNUMBER($G214),$G214&lt;=IF($S214=MesCiclo,InicioCiclo,$S214+MOD(2-WEEKDAY($S214),7))+20),1,IF(ISNUMBER($K214),$K214,$Z214)))</f>
        <v/>
      </c>
      <c r="AB214" s="62">
        <f>IF($V214="","",IF(AND(ISNUMBER($G214),$G214&lt;=IF($S214=MesCiclo,InicioCiclo,$S214+MOD(2-WEEKDAY($S214),7))+27),1,IF(ISNUMBER($L214),$L214,$AA214)))</f>
        <v/>
      </c>
      <c r="AC214" s="62">
        <f>IF($V214="","",IF(AND(ISNUMBER($G214),$G214&lt;=IF($S214=MesCiclo,InicioCiclo,$S214+MOD(2-WEEKDAY($S214),7))+6),1,IF(N($W214)&gt;0,AVERAGEIFS($Y$5:$Y$1000,$U$5:$U$1000,ROW(),$V$5:$V$1000,"Sub"),$Y214)))</f>
        <v/>
      </c>
      <c r="AD214" s="62">
        <f>IF($V214="","",IF(AND(ISNUMBER($G214),$G214&lt;=IF($S214=MesCiclo,InicioCiclo,$S214+MOD(2-WEEKDAY($S214),7))+13),1,IF(N($W214)&gt;0,AVERAGEIFS($Z$5:$Z$1000,$U$5:$U$1000,ROW(),$V$5:$V$1000,"Sub"),$Z214)))</f>
        <v/>
      </c>
      <c r="AE214" s="62">
        <f>IF($V214="","",IF(AND(ISNUMBER($G214),$G214&lt;=IF($S214=MesCiclo,InicioCiclo,$S214+MOD(2-WEEKDAY($S214),7))+20),1,IF(N($W214)&gt;0,AVERAGEIFS($AA$5:$AA$1000,$U$5:$U$1000,ROW(),$V$5:$V$1000,"Sub"),$AA214)))</f>
        <v/>
      </c>
      <c r="AF214" s="62">
        <f>IF($V214="","",IF(AND(ISNUMBER($G214),$G214&lt;=IF($S214=MesCiclo,InicioCiclo,$S214+MOD(2-WEEKDAY($S214),7))+27),1,IF(N($W214)&gt;0,AVERAGEIFS($AB$5:$AB$1000,$U$5:$U$1000,ROW(),$V$5:$V$1000,"Sub"),$AB214)))</f>
        <v/>
      </c>
      <c r="AG214" s="62">
        <f>IF($V214&lt;&gt;"Macro","",IF(COUNTIFS($S$5:$S$1000,$S214,$V$5:$V$1000,"Macro",$H$5:$H$1000,"&gt;0")=0,1/COUNTIFS($S$5:$S$1000,$S214,$V$5:$V$1000,"Macro"),IF(AND(ISNUMBER($H214),N($H214)&gt;0),$H214,SUMIFS($H$5:$H$1000,$S$5:$S$1000,$S214,$V$5:$V$1000,"Macro")/COUNTIFS($S$5:$S$1000,$S214,$V$5:$V$1000,"Macro",$H$5:$H$1000,"&gt;0"))/(COUNTIFS($S$5:$S$1000,$S214,$V$5:$V$1000,"Macro")*SUMIFS($H$5:$H$1000,$S$5:$S$1000,$S214,$V$5:$V$1000,"Macro")/COUNTIFS($S$5:$S$1000,$S214,$V$5:$V$1000,"Macro",$H$5:$H$1000,"&gt;0"))))</f>
        <v/>
      </c>
      <c r="AH214" s="62" t="n"/>
      <c r="AI214" s="62" t="n"/>
      <c r="AJ214" s="62" t="n"/>
      <c r="AK214" s="62" t="n"/>
      <c r="AL214" s="62">
        <f>IF(LEFT($C214,11)="[Jefatura] ",IFERROR(MATCH("Riesgo Normativo|"&amp;MID($C214,12,500),rDname_ADM,0),0),"")</f>
        <v/>
      </c>
      <c r="AM214" s="62">
        <f>IF(N($AL214)&gt;0,INDEX(rIni_ADM,$AL214),IF(ISNUMBER($E214),$E214,""))</f>
        <v/>
      </c>
      <c r="AN214" s="62">
        <f>IF(N($AL214)&gt;0,INDEX(rLim_ADM,$AL214),IF(ISNUMBER($F214),$F214,""))</f>
        <v/>
      </c>
    </row>
    <row r="215">
      <c r="A215" s="56">
        <f>IF(NOT((COUNTA($B215:$D215)+COUNTA($G215:$L215)+COUNTA($Q215))&gt;0),"",IF($V215="Macro",COUNTIFS($V$5:$V215,"Macro",$S$5:$S215,$S215),IF(N($U215)=0,"?",COUNTIFS(INDEX($V$5:$V$1000,1):INDEX($V$5:$V$1000,$U215-4),"Macro",INDEX($S$5:$S$1000,1):INDEX($S$5:$S$1000,$U215-4),INDEX($S$5:$S$1000,$U215-4))&amp;"."&amp;COUNTIFS($U$5:$U215,$U215,$V$5:$V215,"Sub"))))</f>
        <v/>
      </c>
      <c r="B215" s="57" t="n"/>
      <c r="C215" s="58" t="n"/>
      <c r="D215" s="58" t="n"/>
      <c r="E215" s="59">
        <f>IF(N($AL215)&gt;0,INDEX(rIni_ADM,$AL215),"")</f>
        <v/>
      </c>
      <c r="F215" s="59">
        <f>IF(N($AL215)&gt;0,INDEX(rLim_ADM,$AL215),"")</f>
        <v/>
      </c>
      <c r="G215" s="59" t="n"/>
      <c r="H215" s="60" t="n"/>
      <c r="I215" s="60" t="n"/>
      <c r="J215" s="60" t="n"/>
      <c r="K215" s="60" t="n"/>
      <c r="L215" s="60" t="n"/>
      <c r="M215" s="61">
        <f>IF(NOT((COUNTA($B215:$D215)+COUNTA($G215:$L215)+COUNTA($Q215))&gt;0),"",IF(ISNUMBER($G215),1,IF(N($W215)&gt;0,AVERAGEIFS($X$5:$X$1000,$U$5:$U$1000,ROW(),$V$5:$V$1000,"Sub"),$X215)))</f>
        <v/>
      </c>
      <c r="N215" s="56">
        <f>IF($M215="","",IF($M215&gt;=1,"Completado",IF($M215&gt;0,"En curso","Pendiente")))</f>
        <v/>
      </c>
      <c r="O215" s="56">
        <f>IF(NOT((COUNTA($B215:$D215)+COUNTA($G215:$L215)+COUNTA($Q215))&gt;0),"",IF(ISNUMBER($G215),IF(AND(ISNUMBER($AN215),$G215&gt;$AN215),"Cumplida con "&amp;($G215-$AN215)&amp;IF($G215-$AN215=1," día"," días")&amp;" de retraso","Cumplida"),IF(N($M215)&gt;=1,"Cumplida",IF(NOT(ISNUMBER($AN215)),"Sin fecha límite",IF($AN215&lt;FechaRef,"Vencida hace "&amp;(FechaRef-$AN215)&amp;IF(FechaRef-$AN215=1," día"," días"),IF($AN215=FechaRef,"Vence hoy",IF($AN215-FechaRef&lt;=DiasAlerta,"Vence en "&amp;($AN215-FechaRef)&amp;IF($AN215-FechaRef=1," día"," días"),"En plazo")))))))</f>
        <v/>
      </c>
      <c r="P215" s="62" t="n"/>
      <c r="Q215" s="58" t="n"/>
      <c r="R215" s="63">
        <f>IF(NOT((COUNTA($B215:$D215)+COUNTA($G215:$L215)+COUNTA($Q215))&gt;0),"",IF((IF($C215="","Falta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",""))="","✔ OK","⚠ "&amp;LEFT(IF($C215="","Falta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",""),LEN(IF($C215="","Falta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",""))-3)))</f>
        <v/>
      </c>
      <c r="S215" s="64">
        <f>IF(NOT((COUNTA($B215:$D215)+COUNTA($G215:$L215)+COUNTA($Q215))&gt;0),"",IF(AND($V215="Sub",N($U215)&gt;0),IF(ISNUMBER(INDEX($AM$5:$AM$1000,$U215-4)),DATE(YEAR(INDEX($AM$5:$AM$1000,$U215-4)),MONTH(INDEX($AM$5:$AM$1000,$U215-4)),1),IF(ISNUMBER(INDEX($AN$5:$AN$1000,$U215-4)),DATE(YEAR(INDEX($AN$5:$AN$1000,$U215-4)),MONTH(INDEX($AN$5:$AN$1000,$U215-4)),1),MesCiclo)),IF(ISNUMBER($AM215),DATE(YEAR($AM215),MONTH($AM215),1),IF(ISNUMBER($AN215),DATE(YEAR($AN215),MONTH($AN215),1),MesCiclo))))</f>
        <v/>
      </c>
      <c r="T215" s="62">
        <f>IF(OR($S215="",$S215&lt;&gt;MesCiclo),"",COUNTIF($S$5:$S215,MesCiclo))</f>
        <v/>
      </c>
      <c r="U215" s="62">
        <f>IF($V215="","",IF($V215="Macro",ROW(),IFERROR(LOOKUP(2,1/($V$5:$V215="Macro"),ROW($V$5:$V215)),0)))</f>
        <v/>
      </c>
      <c r="V215" s="62">
        <f>IF(NOT((COUNTA($B215:$D215)+COUNTA($G215:$L215)+COUNTA($Q215))&gt;0),"",IF($B215="Subactividad","Sub","Macro"))</f>
        <v/>
      </c>
      <c r="W215" s="62">
        <f>IF($V215="Macro",COUNTIFS($U$5:$U$1000,ROW(),$V$5:$V$1000,"Sub"),"")</f>
        <v/>
      </c>
      <c r="X215" s="62">
        <f>IF($V215="","",IF(ISNUMBER($G215),1,IFERROR(LOOKUP(2,1/($I215:$L215&lt;&gt;""),$I215:$L215),0)))</f>
        <v/>
      </c>
      <c r="Y215" s="62">
        <f>IF($V215="","",IF(AND(ISNUMBER($G215),$G215&lt;=IF($S215=MesCiclo,InicioCiclo,$S215+MOD(2-WEEKDAY($S215),7))+6),1,IF(ISNUMBER($I215),$I215,0)))</f>
        <v/>
      </c>
      <c r="Z215" s="62">
        <f>IF($V215="","",IF(AND(ISNUMBER($G215),$G215&lt;=IF($S215=MesCiclo,InicioCiclo,$S215+MOD(2-WEEKDAY($S215),7))+13),1,IF(ISNUMBER($J215),$J215,$Y215)))</f>
        <v/>
      </c>
      <c r="AA215" s="62">
        <f>IF($V215="","",IF(AND(ISNUMBER($G215),$G215&lt;=IF($S215=MesCiclo,InicioCiclo,$S215+MOD(2-WEEKDAY($S215),7))+20),1,IF(ISNUMBER($K215),$K215,$Z215)))</f>
        <v/>
      </c>
      <c r="AB215" s="62">
        <f>IF($V215="","",IF(AND(ISNUMBER($G215),$G215&lt;=IF($S215=MesCiclo,InicioCiclo,$S215+MOD(2-WEEKDAY($S215),7))+27),1,IF(ISNUMBER($L215),$L215,$AA215)))</f>
        <v/>
      </c>
      <c r="AC215" s="62">
        <f>IF($V215="","",IF(AND(ISNUMBER($G215),$G215&lt;=IF($S215=MesCiclo,InicioCiclo,$S215+MOD(2-WEEKDAY($S215),7))+6),1,IF(N($W215)&gt;0,AVERAGEIFS($Y$5:$Y$1000,$U$5:$U$1000,ROW(),$V$5:$V$1000,"Sub"),$Y215)))</f>
        <v/>
      </c>
      <c r="AD215" s="62">
        <f>IF($V215="","",IF(AND(ISNUMBER($G215),$G215&lt;=IF($S215=MesCiclo,InicioCiclo,$S215+MOD(2-WEEKDAY($S215),7))+13),1,IF(N($W215)&gt;0,AVERAGEIFS($Z$5:$Z$1000,$U$5:$U$1000,ROW(),$V$5:$V$1000,"Sub"),$Z215)))</f>
        <v/>
      </c>
      <c r="AE215" s="62">
        <f>IF($V215="","",IF(AND(ISNUMBER($G215),$G215&lt;=IF($S215=MesCiclo,InicioCiclo,$S215+MOD(2-WEEKDAY($S215),7))+20),1,IF(N($W215)&gt;0,AVERAGEIFS($AA$5:$AA$1000,$U$5:$U$1000,ROW(),$V$5:$V$1000,"Sub"),$AA215)))</f>
        <v/>
      </c>
      <c r="AF215" s="62">
        <f>IF($V215="","",IF(AND(ISNUMBER($G215),$G215&lt;=IF($S215=MesCiclo,InicioCiclo,$S215+MOD(2-WEEKDAY($S215),7))+27),1,IF(N($W215)&gt;0,AVERAGEIFS($AB$5:$AB$1000,$U$5:$U$1000,ROW(),$V$5:$V$1000,"Sub"),$AB215)))</f>
        <v/>
      </c>
      <c r="AG215" s="62">
        <f>IF($V215&lt;&gt;"Macro","",IF(COUNTIFS($S$5:$S$1000,$S215,$V$5:$V$1000,"Macro",$H$5:$H$1000,"&gt;0")=0,1/COUNTIFS($S$5:$S$1000,$S215,$V$5:$V$1000,"Macro"),IF(AND(ISNUMBER($H215),N($H215)&gt;0),$H215,SUMIFS($H$5:$H$1000,$S$5:$S$1000,$S215,$V$5:$V$1000,"Macro")/COUNTIFS($S$5:$S$1000,$S215,$V$5:$V$1000,"Macro",$H$5:$H$1000,"&gt;0"))/(COUNTIFS($S$5:$S$1000,$S215,$V$5:$V$1000,"Macro")*SUMIFS($H$5:$H$1000,$S$5:$S$1000,$S215,$V$5:$V$1000,"Macro")/COUNTIFS($S$5:$S$1000,$S215,$V$5:$V$1000,"Macro",$H$5:$H$1000,"&gt;0"))))</f>
        <v/>
      </c>
      <c r="AH215" s="62" t="n"/>
      <c r="AI215" s="62" t="n"/>
      <c r="AJ215" s="62" t="n"/>
      <c r="AK215" s="62" t="n"/>
      <c r="AL215" s="62">
        <f>IF(LEFT($C215,11)="[Jefatura] ",IFERROR(MATCH("Riesgo Normativo|"&amp;MID($C215,12,500),rDname_ADM,0),0),"")</f>
        <v/>
      </c>
      <c r="AM215" s="62">
        <f>IF(N($AL215)&gt;0,INDEX(rIni_ADM,$AL215),IF(ISNUMBER($E215),$E215,""))</f>
        <v/>
      </c>
      <c r="AN215" s="62">
        <f>IF(N($AL215)&gt;0,INDEX(rLim_ADM,$AL215),IF(ISNUMBER($F215),$F215,""))</f>
        <v/>
      </c>
    </row>
    <row r="216">
      <c r="A216" s="56">
        <f>IF(NOT((COUNTA($B216:$D216)+COUNTA($G216:$L216)+COUNTA($Q216))&gt;0),"",IF($V216="Macro",COUNTIFS($V$5:$V216,"Macro",$S$5:$S216,$S216),IF(N($U216)=0,"?",COUNTIFS(INDEX($V$5:$V$1000,1):INDEX($V$5:$V$1000,$U216-4),"Macro",INDEX($S$5:$S$1000,1):INDEX($S$5:$S$1000,$U216-4),INDEX($S$5:$S$1000,$U216-4))&amp;"."&amp;COUNTIFS($U$5:$U216,$U216,$V$5:$V216,"Sub"))))</f>
        <v/>
      </c>
      <c r="B216" s="57" t="n"/>
      <c r="C216" s="58" t="n"/>
      <c r="D216" s="58" t="n"/>
      <c r="E216" s="59">
        <f>IF(N($AL216)&gt;0,INDEX(rIni_ADM,$AL216),"")</f>
        <v/>
      </c>
      <c r="F216" s="59">
        <f>IF(N($AL216)&gt;0,INDEX(rLim_ADM,$AL216),"")</f>
        <v/>
      </c>
      <c r="G216" s="59" t="n"/>
      <c r="H216" s="60" t="n"/>
      <c r="I216" s="60" t="n"/>
      <c r="J216" s="60" t="n"/>
      <c r="K216" s="60" t="n"/>
      <c r="L216" s="60" t="n"/>
      <c r="M216" s="61">
        <f>IF(NOT((COUNTA($B216:$D216)+COUNTA($G216:$L216)+COUNTA($Q216))&gt;0),"",IF(ISNUMBER($G216),1,IF(N($W216)&gt;0,AVERAGEIFS($X$5:$X$1000,$U$5:$U$1000,ROW(),$V$5:$V$1000,"Sub"),$X216)))</f>
        <v/>
      </c>
      <c r="N216" s="56">
        <f>IF($M216="","",IF($M216&gt;=1,"Completado",IF($M216&gt;0,"En curso","Pendiente")))</f>
        <v/>
      </c>
      <c r="O216" s="56">
        <f>IF(NOT((COUNTA($B216:$D216)+COUNTA($G216:$L216)+COUNTA($Q216))&gt;0),"",IF(ISNUMBER($G216),IF(AND(ISNUMBER($AN216),$G216&gt;$AN216),"Cumplida con "&amp;($G216-$AN216)&amp;IF($G216-$AN216=1," día"," días")&amp;" de retraso","Cumplida"),IF(N($M216)&gt;=1,"Cumplida",IF(NOT(ISNUMBER($AN216)),"Sin fecha límite",IF($AN216&lt;FechaRef,"Vencida hace "&amp;(FechaRef-$AN216)&amp;IF(FechaRef-$AN216=1," día"," días"),IF($AN216=FechaRef,"Vence hoy",IF($AN216-FechaRef&lt;=DiasAlerta,"Vence en "&amp;($AN216-FechaRef)&amp;IF($AN216-FechaRef=1," día"," días"),"En plazo")))))))</f>
        <v/>
      </c>
      <c r="P216" s="62" t="n"/>
      <c r="Q216" s="58" t="n"/>
      <c r="R216" s="63">
        <f>IF(NOT((COUNTA($B216:$D216)+COUNTA($G216:$L216)+COUNTA($Q216))&gt;0),"",IF((IF($C216="","Falta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",""))="","✔ OK","⚠ "&amp;LEFT(IF($C216="","Falta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",""),LEN(IF($C216="","Falta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",""))-3)))</f>
        <v/>
      </c>
      <c r="S216" s="64">
        <f>IF(NOT((COUNTA($B216:$D216)+COUNTA($G216:$L216)+COUNTA($Q216))&gt;0),"",IF(AND($V216="Sub",N($U216)&gt;0),IF(ISNUMBER(INDEX($AM$5:$AM$1000,$U216-4)),DATE(YEAR(INDEX($AM$5:$AM$1000,$U216-4)),MONTH(INDEX($AM$5:$AM$1000,$U216-4)),1),IF(ISNUMBER(INDEX($AN$5:$AN$1000,$U216-4)),DATE(YEAR(INDEX($AN$5:$AN$1000,$U216-4)),MONTH(INDEX($AN$5:$AN$1000,$U216-4)),1),MesCiclo)),IF(ISNUMBER($AM216),DATE(YEAR($AM216),MONTH($AM216),1),IF(ISNUMBER($AN216),DATE(YEAR($AN216),MONTH($AN216),1),MesCiclo))))</f>
        <v/>
      </c>
      <c r="T216" s="62">
        <f>IF(OR($S216="",$S216&lt;&gt;MesCiclo),"",COUNTIF($S$5:$S216,MesCiclo))</f>
        <v/>
      </c>
      <c r="U216" s="62">
        <f>IF($V216="","",IF($V216="Macro",ROW(),IFERROR(LOOKUP(2,1/($V$5:$V216="Macro"),ROW($V$5:$V216)),0)))</f>
        <v/>
      </c>
      <c r="V216" s="62">
        <f>IF(NOT((COUNTA($B216:$D216)+COUNTA($G216:$L216)+COUNTA($Q216))&gt;0),"",IF($B216="Subactividad","Sub","Macro"))</f>
        <v/>
      </c>
      <c r="W216" s="62">
        <f>IF($V216="Macro",COUNTIFS($U$5:$U$1000,ROW(),$V$5:$V$1000,"Sub"),"")</f>
        <v/>
      </c>
      <c r="X216" s="62">
        <f>IF($V216="","",IF(ISNUMBER($G216),1,IFERROR(LOOKUP(2,1/($I216:$L216&lt;&gt;""),$I216:$L216),0)))</f>
        <v/>
      </c>
      <c r="Y216" s="62">
        <f>IF($V216="","",IF(AND(ISNUMBER($G216),$G216&lt;=IF($S216=MesCiclo,InicioCiclo,$S216+MOD(2-WEEKDAY($S216),7))+6),1,IF(ISNUMBER($I216),$I216,0)))</f>
        <v/>
      </c>
      <c r="Z216" s="62">
        <f>IF($V216="","",IF(AND(ISNUMBER($G216),$G216&lt;=IF($S216=MesCiclo,InicioCiclo,$S216+MOD(2-WEEKDAY($S216),7))+13),1,IF(ISNUMBER($J216),$J216,$Y216)))</f>
        <v/>
      </c>
      <c r="AA216" s="62">
        <f>IF($V216="","",IF(AND(ISNUMBER($G216),$G216&lt;=IF($S216=MesCiclo,InicioCiclo,$S216+MOD(2-WEEKDAY($S216),7))+20),1,IF(ISNUMBER($K216),$K216,$Z216)))</f>
        <v/>
      </c>
      <c r="AB216" s="62">
        <f>IF($V216="","",IF(AND(ISNUMBER($G216),$G216&lt;=IF($S216=MesCiclo,InicioCiclo,$S216+MOD(2-WEEKDAY($S216),7))+27),1,IF(ISNUMBER($L216),$L216,$AA216)))</f>
        <v/>
      </c>
      <c r="AC216" s="62">
        <f>IF($V216="","",IF(AND(ISNUMBER($G216),$G216&lt;=IF($S216=MesCiclo,InicioCiclo,$S216+MOD(2-WEEKDAY($S216),7))+6),1,IF(N($W216)&gt;0,AVERAGEIFS($Y$5:$Y$1000,$U$5:$U$1000,ROW(),$V$5:$V$1000,"Sub"),$Y216)))</f>
        <v/>
      </c>
      <c r="AD216" s="62">
        <f>IF($V216="","",IF(AND(ISNUMBER($G216),$G216&lt;=IF($S216=MesCiclo,InicioCiclo,$S216+MOD(2-WEEKDAY($S216),7))+13),1,IF(N($W216)&gt;0,AVERAGEIFS($Z$5:$Z$1000,$U$5:$U$1000,ROW(),$V$5:$V$1000,"Sub"),$Z216)))</f>
        <v/>
      </c>
      <c r="AE216" s="62">
        <f>IF($V216="","",IF(AND(ISNUMBER($G216),$G216&lt;=IF($S216=MesCiclo,InicioCiclo,$S216+MOD(2-WEEKDAY($S216),7))+20),1,IF(N($W216)&gt;0,AVERAGEIFS($AA$5:$AA$1000,$U$5:$U$1000,ROW(),$V$5:$V$1000,"Sub"),$AA216)))</f>
        <v/>
      </c>
      <c r="AF216" s="62">
        <f>IF($V216="","",IF(AND(ISNUMBER($G216),$G216&lt;=IF($S216=MesCiclo,InicioCiclo,$S216+MOD(2-WEEKDAY($S216),7))+27),1,IF(N($W216)&gt;0,AVERAGEIFS($AB$5:$AB$1000,$U$5:$U$1000,ROW(),$V$5:$V$1000,"Sub"),$AB216)))</f>
        <v/>
      </c>
      <c r="AG216" s="62">
        <f>IF($V216&lt;&gt;"Macro","",IF(COUNTIFS($S$5:$S$1000,$S216,$V$5:$V$1000,"Macro",$H$5:$H$1000,"&gt;0")=0,1/COUNTIFS($S$5:$S$1000,$S216,$V$5:$V$1000,"Macro"),IF(AND(ISNUMBER($H216),N($H216)&gt;0),$H216,SUMIFS($H$5:$H$1000,$S$5:$S$1000,$S216,$V$5:$V$1000,"Macro")/COUNTIFS($S$5:$S$1000,$S216,$V$5:$V$1000,"Macro",$H$5:$H$1000,"&gt;0"))/(COUNTIFS($S$5:$S$1000,$S216,$V$5:$V$1000,"Macro")*SUMIFS($H$5:$H$1000,$S$5:$S$1000,$S216,$V$5:$V$1000,"Macro")/COUNTIFS($S$5:$S$1000,$S216,$V$5:$V$1000,"Macro",$H$5:$H$1000,"&gt;0"))))</f>
        <v/>
      </c>
      <c r="AH216" s="62" t="n"/>
      <c r="AI216" s="62" t="n"/>
      <c r="AJ216" s="62" t="n"/>
      <c r="AK216" s="62" t="n"/>
      <c r="AL216" s="62">
        <f>IF(LEFT($C216,11)="[Jefatura] ",IFERROR(MATCH("Riesgo Normativo|"&amp;MID($C216,12,500),rDname_ADM,0),0),"")</f>
        <v/>
      </c>
      <c r="AM216" s="62">
        <f>IF(N($AL216)&gt;0,INDEX(rIni_ADM,$AL216),IF(ISNUMBER($E216),$E216,""))</f>
        <v/>
      </c>
      <c r="AN216" s="62">
        <f>IF(N($AL216)&gt;0,INDEX(rLim_ADM,$AL216),IF(ISNUMBER($F216),$F216,""))</f>
        <v/>
      </c>
    </row>
    <row r="217">
      <c r="A217" s="56">
        <f>IF(NOT((COUNTA($B217:$D217)+COUNTA($G217:$L217)+COUNTA($Q217))&gt;0),"",IF($V217="Macro",COUNTIFS($V$5:$V217,"Macro",$S$5:$S217,$S217),IF(N($U217)=0,"?",COUNTIFS(INDEX($V$5:$V$1000,1):INDEX($V$5:$V$1000,$U217-4),"Macro",INDEX($S$5:$S$1000,1):INDEX($S$5:$S$1000,$U217-4),INDEX($S$5:$S$1000,$U217-4))&amp;"."&amp;COUNTIFS($U$5:$U217,$U217,$V$5:$V217,"Sub"))))</f>
        <v/>
      </c>
      <c r="B217" s="57" t="n"/>
      <c r="C217" s="58" t="n"/>
      <c r="D217" s="58" t="n"/>
      <c r="E217" s="59">
        <f>IF(N($AL217)&gt;0,INDEX(rIni_ADM,$AL217),"")</f>
        <v/>
      </c>
      <c r="F217" s="59">
        <f>IF(N($AL217)&gt;0,INDEX(rLim_ADM,$AL217),"")</f>
        <v/>
      </c>
      <c r="G217" s="59" t="n"/>
      <c r="H217" s="60" t="n"/>
      <c r="I217" s="60" t="n"/>
      <c r="J217" s="60" t="n"/>
      <c r="K217" s="60" t="n"/>
      <c r="L217" s="60" t="n"/>
      <c r="M217" s="61">
        <f>IF(NOT((COUNTA($B217:$D217)+COUNTA($G217:$L217)+COUNTA($Q217))&gt;0),"",IF(ISNUMBER($G217),1,IF(N($W217)&gt;0,AVERAGEIFS($X$5:$X$1000,$U$5:$U$1000,ROW(),$V$5:$V$1000,"Sub"),$X217)))</f>
        <v/>
      </c>
      <c r="N217" s="56">
        <f>IF($M217="","",IF($M217&gt;=1,"Completado",IF($M217&gt;0,"En curso","Pendiente")))</f>
        <v/>
      </c>
      <c r="O217" s="56">
        <f>IF(NOT((COUNTA($B217:$D217)+COUNTA($G217:$L217)+COUNTA($Q217))&gt;0),"",IF(ISNUMBER($G217),IF(AND(ISNUMBER($AN217),$G217&gt;$AN217),"Cumplida con "&amp;($G217-$AN217)&amp;IF($G217-$AN217=1," día"," días")&amp;" de retraso","Cumplida"),IF(N($M217)&gt;=1,"Cumplida",IF(NOT(ISNUMBER($AN217)),"Sin fecha límite",IF($AN217&lt;FechaRef,"Vencida hace "&amp;(FechaRef-$AN217)&amp;IF(FechaRef-$AN217=1," día"," días"),IF($AN217=FechaRef,"Vence hoy",IF($AN217-FechaRef&lt;=DiasAlerta,"Vence en "&amp;($AN217-FechaRef)&amp;IF($AN217-FechaRef=1," día"," días"),"En plazo")))))))</f>
        <v/>
      </c>
      <c r="P217" s="62" t="n"/>
      <c r="Q217" s="58" t="n"/>
      <c r="R217" s="63">
        <f>IF(NOT((COUNTA($B217:$D217)+COUNTA($G217:$L217)+COUNTA($Q217))&gt;0),"",IF((IF($C217="","Falta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",""))="","✔ OK","⚠ "&amp;LEFT(IF($C217="","Falta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",""),LEN(IF($C217="","Falta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",""))-3)))</f>
        <v/>
      </c>
      <c r="S217" s="64">
        <f>IF(NOT((COUNTA($B217:$D217)+COUNTA($G217:$L217)+COUNTA($Q217))&gt;0),"",IF(AND($V217="Sub",N($U217)&gt;0),IF(ISNUMBER(INDEX($AM$5:$AM$1000,$U217-4)),DATE(YEAR(INDEX($AM$5:$AM$1000,$U217-4)),MONTH(INDEX($AM$5:$AM$1000,$U217-4)),1),IF(ISNUMBER(INDEX($AN$5:$AN$1000,$U217-4)),DATE(YEAR(INDEX($AN$5:$AN$1000,$U217-4)),MONTH(INDEX($AN$5:$AN$1000,$U217-4)),1),MesCiclo)),IF(ISNUMBER($AM217),DATE(YEAR($AM217),MONTH($AM217),1),IF(ISNUMBER($AN217),DATE(YEAR($AN217),MONTH($AN217),1),MesCiclo))))</f>
        <v/>
      </c>
      <c r="T217" s="62">
        <f>IF(OR($S217="",$S217&lt;&gt;MesCiclo),"",COUNTIF($S$5:$S217,MesCiclo))</f>
        <v/>
      </c>
      <c r="U217" s="62">
        <f>IF($V217="","",IF($V217="Macro",ROW(),IFERROR(LOOKUP(2,1/($V$5:$V217="Macro"),ROW($V$5:$V217)),0)))</f>
        <v/>
      </c>
      <c r="V217" s="62">
        <f>IF(NOT((COUNTA($B217:$D217)+COUNTA($G217:$L217)+COUNTA($Q217))&gt;0),"",IF($B217="Subactividad","Sub","Macro"))</f>
        <v/>
      </c>
      <c r="W217" s="62">
        <f>IF($V217="Macro",COUNTIFS($U$5:$U$1000,ROW(),$V$5:$V$1000,"Sub"),"")</f>
        <v/>
      </c>
      <c r="X217" s="62">
        <f>IF($V217="","",IF(ISNUMBER($G217),1,IFERROR(LOOKUP(2,1/($I217:$L217&lt;&gt;""),$I217:$L217),0)))</f>
        <v/>
      </c>
      <c r="Y217" s="62">
        <f>IF($V217="","",IF(AND(ISNUMBER($G217),$G217&lt;=IF($S217=MesCiclo,InicioCiclo,$S217+MOD(2-WEEKDAY($S217),7))+6),1,IF(ISNUMBER($I217),$I217,0)))</f>
        <v/>
      </c>
      <c r="Z217" s="62">
        <f>IF($V217="","",IF(AND(ISNUMBER($G217),$G217&lt;=IF($S217=MesCiclo,InicioCiclo,$S217+MOD(2-WEEKDAY($S217),7))+13),1,IF(ISNUMBER($J217),$J217,$Y217)))</f>
        <v/>
      </c>
      <c r="AA217" s="62">
        <f>IF($V217="","",IF(AND(ISNUMBER($G217),$G217&lt;=IF($S217=MesCiclo,InicioCiclo,$S217+MOD(2-WEEKDAY($S217),7))+20),1,IF(ISNUMBER($K217),$K217,$Z217)))</f>
        <v/>
      </c>
      <c r="AB217" s="62">
        <f>IF($V217="","",IF(AND(ISNUMBER($G217),$G217&lt;=IF($S217=MesCiclo,InicioCiclo,$S217+MOD(2-WEEKDAY($S217),7))+27),1,IF(ISNUMBER($L217),$L217,$AA217)))</f>
        <v/>
      </c>
      <c r="AC217" s="62">
        <f>IF($V217="","",IF(AND(ISNUMBER($G217),$G217&lt;=IF($S217=MesCiclo,InicioCiclo,$S217+MOD(2-WEEKDAY($S217),7))+6),1,IF(N($W217)&gt;0,AVERAGEIFS($Y$5:$Y$1000,$U$5:$U$1000,ROW(),$V$5:$V$1000,"Sub"),$Y217)))</f>
        <v/>
      </c>
      <c r="AD217" s="62">
        <f>IF($V217="","",IF(AND(ISNUMBER($G217),$G217&lt;=IF($S217=MesCiclo,InicioCiclo,$S217+MOD(2-WEEKDAY($S217),7))+13),1,IF(N($W217)&gt;0,AVERAGEIFS($Z$5:$Z$1000,$U$5:$U$1000,ROW(),$V$5:$V$1000,"Sub"),$Z217)))</f>
        <v/>
      </c>
      <c r="AE217" s="62">
        <f>IF($V217="","",IF(AND(ISNUMBER($G217),$G217&lt;=IF($S217=MesCiclo,InicioCiclo,$S217+MOD(2-WEEKDAY($S217),7))+20),1,IF(N($W217)&gt;0,AVERAGEIFS($AA$5:$AA$1000,$U$5:$U$1000,ROW(),$V$5:$V$1000,"Sub"),$AA217)))</f>
        <v/>
      </c>
      <c r="AF217" s="62">
        <f>IF($V217="","",IF(AND(ISNUMBER($G217),$G217&lt;=IF($S217=MesCiclo,InicioCiclo,$S217+MOD(2-WEEKDAY($S217),7))+27),1,IF(N($W217)&gt;0,AVERAGEIFS($AB$5:$AB$1000,$U$5:$U$1000,ROW(),$V$5:$V$1000,"Sub"),$AB217)))</f>
        <v/>
      </c>
      <c r="AG217" s="62">
        <f>IF($V217&lt;&gt;"Macro","",IF(COUNTIFS($S$5:$S$1000,$S217,$V$5:$V$1000,"Macro",$H$5:$H$1000,"&gt;0")=0,1/COUNTIFS($S$5:$S$1000,$S217,$V$5:$V$1000,"Macro"),IF(AND(ISNUMBER($H217),N($H217)&gt;0),$H217,SUMIFS($H$5:$H$1000,$S$5:$S$1000,$S217,$V$5:$V$1000,"Macro")/COUNTIFS($S$5:$S$1000,$S217,$V$5:$V$1000,"Macro",$H$5:$H$1000,"&gt;0"))/(COUNTIFS($S$5:$S$1000,$S217,$V$5:$V$1000,"Macro")*SUMIFS($H$5:$H$1000,$S$5:$S$1000,$S217,$V$5:$V$1000,"Macro")/COUNTIFS($S$5:$S$1000,$S217,$V$5:$V$1000,"Macro",$H$5:$H$1000,"&gt;0"))))</f>
        <v/>
      </c>
      <c r="AH217" s="62" t="n"/>
      <c r="AI217" s="62" t="n"/>
      <c r="AJ217" s="62" t="n"/>
      <c r="AK217" s="62" t="n"/>
      <c r="AL217" s="62">
        <f>IF(LEFT($C217,11)="[Jefatura] ",IFERROR(MATCH("Riesgo Normativo|"&amp;MID($C217,12,500),rDname_ADM,0),0),"")</f>
        <v/>
      </c>
      <c r="AM217" s="62">
        <f>IF(N($AL217)&gt;0,INDEX(rIni_ADM,$AL217),IF(ISNUMBER($E217),$E217,""))</f>
        <v/>
      </c>
      <c r="AN217" s="62">
        <f>IF(N($AL217)&gt;0,INDEX(rLim_ADM,$AL217),IF(ISNUMBER($F217),$F217,""))</f>
        <v/>
      </c>
    </row>
    <row r="218">
      <c r="A218" s="56">
        <f>IF(NOT((COUNTA($B218:$D218)+COUNTA($G218:$L218)+COUNTA($Q218))&gt;0),"",IF($V218="Macro",COUNTIFS($V$5:$V218,"Macro",$S$5:$S218,$S218),IF(N($U218)=0,"?",COUNTIFS(INDEX($V$5:$V$1000,1):INDEX($V$5:$V$1000,$U218-4),"Macro",INDEX($S$5:$S$1000,1):INDEX($S$5:$S$1000,$U218-4),INDEX($S$5:$S$1000,$U218-4))&amp;"."&amp;COUNTIFS($U$5:$U218,$U218,$V$5:$V218,"Sub"))))</f>
        <v/>
      </c>
      <c r="B218" s="57" t="n"/>
      <c r="C218" s="58" t="n"/>
      <c r="D218" s="58" t="n"/>
      <c r="E218" s="59">
        <f>IF(N($AL218)&gt;0,INDEX(rIni_ADM,$AL218),"")</f>
        <v/>
      </c>
      <c r="F218" s="59">
        <f>IF(N($AL218)&gt;0,INDEX(rLim_ADM,$AL218),"")</f>
        <v/>
      </c>
      <c r="G218" s="59" t="n"/>
      <c r="H218" s="60" t="n"/>
      <c r="I218" s="60" t="n"/>
      <c r="J218" s="60" t="n"/>
      <c r="K218" s="60" t="n"/>
      <c r="L218" s="60" t="n"/>
      <c r="M218" s="61">
        <f>IF(NOT((COUNTA($B218:$D218)+COUNTA($G218:$L218)+COUNTA($Q218))&gt;0),"",IF(ISNUMBER($G218),1,IF(N($W218)&gt;0,AVERAGEIFS($X$5:$X$1000,$U$5:$U$1000,ROW(),$V$5:$V$1000,"Sub"),$X218)))</f>
        <v/>
      </c>
      <c r="N218" s="56">
        <f>IF($M218="","",IF($M218&gt;=1,"Completado",IF($M218&gt;0,"En curso","Pendiente")))</f>
        <v/>
      </c>
      <c r="O218" s="56">
        <f>IF(NOT((COUNTA($B218:$D218)+COUNTA($G218:$L218)+COUNTA($Q218))&gt;0),"",IF(ISNUMBER($G218),IF(AND(ISNUMBER($AN218),$G218&gt;$AN218),"Cumplida con "&amp;($G218-$AN218)&amp;IF($G218-$AN218=1," día"," días")&amp;" de retraso","Cumplida"),IF(N($M218)&gt;=1,"Cumplida",IF(NOT(ISNUMBER($AN218)),"Sin fecha límite",IF($AN218&lt;FechaRef,"Vencida hace "&amp;(FechaRef-$AN218)&amp;IF(FechaRef-$AN218=1," día"," días"),IF($AN218=FechaRef,"Vence hoy",IF($AN218-FechaRef&lt;=DiasAlerta,"Vence en "&amp;($AN218-FechaRef)&amp;IF($AN218-FechaRef=1," día"," días"),"En plazo")))))))</f>
        <v/>
      </c>
      <c r="P218" s="62" t="n"/>
      <c r="Q218" s="58" t="n"/>
      <c r="R218" s="63">
        <f>IF(NOT((COUNTA($B218:$D218)+COUNTA($G218:$L218)+COUNTA($Q218))&gt;0),"",IF((IF($C218="","Falta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",""))="","✔ OK","⚠ "&amp;LEFT(IF($C218="","Falta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",""),LEN(IF($C218="","Falta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",""))-3)))</f>
        <v/>
      </c>
      <c r="S218" s="64">
        <f>IF(NOT((COUNTA($B218:$D218)+COUNTA($G218:$L218)+COUNTA($Q218))&gt;0),"",IF(AND($V218="Sub",N($U218)&gt;0),IF(ISNUMBER(INDEX($AM$5:$AM$1000,$U218-4)),DATE(YEAR(INDEX($AM$5:$AM$1000,$U218-4)),MONTH(INDEX($AM$5:$AM$1000,$U218-4)),1),IF(ISNUMBER(INDEX($AN$5:$AN$1000,$U218-4)),DATE(YEAR(INDEX($AN$5:$AN$1000,$U218-4)),MONTH(INDEX($AN$5:$AN$1000,$U218-4)),1),MesCiclo)),IF(ISNUMBER($AM218),DATE(YEAR($AM218),MONTH($AM218),1),IF(ISNUMBER($AN218),DATE(YEAR($AN218),MONTH($AN218),1),MesCiclo))))</f>
        <v/>
      </c>
      <c r="T218" s="62">
        <f>IF(OR($S218="",$S218&lt;&gt;MesCiclo),"",COUNTIF($S$5:$S218,MesCiclo))</f>
        <v/>
      </c>
      <c r="U218" s="62">
        <f>IF($V218="","",IF($V218="Macro",ROW(),IFERROR(LOOKUP(2,1/($V$5:$V218="Macro"),ROW($V$5:$V218)),0)))</f>
        <v/>
      </c>
      <c r="V218" s="62">
        <f>IF(NOT((COUNTA($B218:$D218)+COUNTA($G218:$L218)+COUNTA($Q218))&gt;0),"",IF($B218="Subactividad","Sub","Macro"))</f>
        <v/>
      </c>
      <c r="W218" s="62">
        <f>IF($V218="Macro",COUNTIFS($U$5:$U$1000,ROW(),$V$5:$V$1000,"Sub"),"")</f>
        <v/>
      </c>
      <c r="X218" s="62">
        <f>IF($V218="","",IF(ISNUMBER($G218),1,IFERROR(LOOKUP(2,1/($I218:$L218&lt;&gt;""),$I218:$L218),0)))</f>
        <v/>
      </c>
      <c r="Y218" s="62">
        <f>IF($V218="","",IF(AND(ISNUMBER($G218),$G218&lt;=IF($S218=MesCiclo,InicioCiclo,$S218+MOD(2-WEEKDAY($S218),7))+6),1,IF(ISNUMBER($I218),$I218,0)))</f>
        <v/>
      </c>
      <c r="Z218" s="62">
        <f>IF($V218="","",IF(AND(ISNUMBER($G218),$G218&lt;=IF($S218=MesCiclo,InicioCiclo,$S218+MOD(2-WEEKDAY($S218),7))+13),1,IF(ISNUMBER($J218),$J218,$Y218)))</f>
        <v/>
      </c>
      <c r="AA218" s="62">
        <f>IF($V218="","",IF(AND(ISNUMBER($G218),$G218&lt;=IF($S218=MesCiclo,InicioCiclo,$S218+MOD(2-WEEKDAY($S218),7))+20),1,IF(ISNUMBER($K218),$K218,$Z218)))</f>
        <v/>
      </c>
      <c r="AB218" s="62">
        <f>IF($V218="","",IF(AND(ISNUMBER($G218),$G218&lt;=IF($S218=MesCiclo,InicioCiclo,$S218+MOD(2-WEEKDAY($S218),7))+27),1,IF(ISNUMBER($L218),$L218,$AA218)))</f>
        <v/>
      </c>
      <c r="AC218" s="62">
        <f>IF($V218="","",IF(AND(ISNUMBER($G218),$G218&lt;=IF($S218=MesCiclo,InicioCiclo,$S218+MOD(2-WEEKDAY($S218),7))+6),1,IF(N($W218)&gt;0,AVERAGEIFS($Y$5:$Y$1000,$U$5:$U$1000,ROW(),$V$5:$V$1000,"Sub"),$Y218)))</f>
        <v/>
      </c>
      <c r="AD218" s="62">
        <f>IF($V218="","",IF(AND(ISNUMBER($G218),$G218&lt;=IF($S218=MesCiclo,InicioCiclo,$S218+MOD(2-WEEKDAY($S218),7))+13),1,IF(N($W218)&gt;0,AVERAGEIFS($Z$5:$Z$1000,$U$5:$U$1000,ROW(),$V$5:$V$1000,"Sub"),$Z218)))</f>
        <v/>
      </c>
      <c r="AE218" s="62">
        <f>IF($V218="","",IF(AND(ISNUMBER($G218),$G218&lt;=IF($S218=MesCiclo,InicioCiclo,$S218+MOD(2-WEEKDAY($S218),7))+20),1,IF(N($W218)&gt;0,AVERAGEIFS($AA$5:$AA$1000,$U$5:$U$1000,ROW(),$V$5:$V$1000,"Sub"),$AA218)))</f>
        <v/>
      </c>
      <c r="AF218" s="62">
        <f>IF($V218="","",IF(AND(ISNUMBER($G218),$G218&lt;=IF($S218=MesCiclo,InicioCiclo,$S218+MOD(2-WEEKDAY($S218),7))+27),1,IF(N($W218)&gt;0,AVERAGEIFS($AB$5:$AB$1000,$U$5:$U$1000,ROW(),$V$5:$V$1000,"Sub"),$AB218)))</f>
        <v/>
      </c>
      <c r="AG218" s="62">
        <f>IF($V218&lt;&gt;"Macro","",IF(COUNTIFS($S$5:$S$1000,$S218,$V$5:$V$1000,"Macro",$H$5:$H$1000,"&gt;0")=0,1/COUNTIFS($S$5:$S$1000,$S218,$V$5:$V$1000,"Macro"),IF(AND(ISNUMBER($H218),N($H218)&gt;0),$H218,SUMIFS($H$5:$H$1000,$S$5:$S$1000,$S218,$V$5:$V$1000,"Macro")/COUNTIFS($S$5:$S$1000,$S218,$V$5:$V$1000,"Macro",$H$5:$H$1000,"&gt;0"))/(COUNTIFS($S$5:$S$1000,$S218,$V$5:$V$1000,"Macro")*SUMIFS($H$5:$H$1000,$S$5:$S$1000,$S218,$V$5:$V$1000,"Macro")/COUNTIFS($S$5:$S$1000,$S218,$V$5:$V$1000,"Macro",$H$5:$H$1000,"&gt;0"))))</f>
        <v/>
      </c>
      <c r="AH218" s="62" t="n"/>
      <c r="AI218" s="62" t="n"/>
      <c r="AJ218" s="62" t="n"/>
      <c r="AK218" s="62" t="n"/>
      <c r="AL218" s="62">
        <f>IF(LEFT($C218,11)="[Jefatura] ",IFERROR(MATCH("Riesgo Normativo|"&amp;MID($C218,12,500),rDname_ADM,0),0),"")</f>
        <v/>
      </c>
      <c r="AM218" s="62">
        <f>IF(N($AL218)&gt;0,INDEX(rIni_ADM,$AL218),IF(ISNUMBER($E218),$E218,""))</f>
        <v/>
      </c>
      <c r="AN218" s="62">
        <f>IF(N($AL218)&gt;0,INDEX(rLim_ADM,$AL218),IF(ISNUMBER($F218),$F218,""))</f>
        <v/>
      </c>
    </row>
    <row r="219">
      <c r="A219" s="56">
        <f>IF(NOT((COUNTA($B219:$D219)+COUNTA($G219:$L219)+COUNTA($Q219))&gt;0),"",IF($V219="Macro",COUNTIFS($V$5:$V219,"Macro",$S$5:$S219,$S219),IF(N($U219)=0,"?",COUNTIFS(INDEX($V$5:$V$1000,1):INDEX($V$5:$V$1000,$U219-4),"Macro",INDEX($S$5:$S$1000,1):INDEX($S$5:$S$1000,$U219-4),INDEX($S$5:$S$1000,$U219-4))&amp;"."&amp;COUNTIFS($U$5:$U219,$U219,$V$5:$V219,"Sub"))))</f>
        <v/>
      </c>
      <c r="B219" s="57" t="n"/>
      <c r="C219" s="58" t="n"/>
      <c r="D219" s="58" t="n"/>
      <c r="E219" s="59">
        <f>IF(N($AL219)&gt;0,INDEX(rIni_ADM,$AL219),"")</f>
        <v/>
      </c>
      <c r="F219" s="59">
        <f>IF(N($AL219)&gt;0,INDEX(rLim_ADM,$AL219),"")</f>
        <v/>
      </c>
      <c r="G219" s="59" t="n"/>
      <c r="H219" s="60" t="n"/>
      <c r="I219" s="60" t="n"/>
      <c r="J219" s="60" t="n"/>
      <c r="K219" s="60" t="n"/>
      <c r="L219" s="60" t="n"/>
      <c r="M219" s="61">
        <f>IF(NOT((COUNTA($B219:$D219)+COUNTA($G219:$L219)+COUNTA($Q219))&gt;0),"",IF(ISNUMBER($G219),1,IF(N($W219)&gt;0,AVERAGEIFS($X$5:$X$1000,$U$5:$U$1000,ROW(),$V$5:$V$1000,"Sub"),$X219)))</f>
        <v/>
      </c>
      <c r="N219" s="56">
        <f>IF($M219="","",IF($M219&gt;=1,"Completado",IF($M219&gt;0,"En curso","Pendiente")))</f>
        <v/>
      </c>
      <c r="O219" s="56">
        <f>IF(NOT((COUNTA($B219:$D219)+COUNTA($G219:$L219)+COUNTA($Q219))&gt;0),"",IF(ISNUMBER($G219),IF(AND(ISNUMBER($AN219),$G219&gt;$AN219),"Cumplida con "&amp;($G219-$AN219)&amp;IF($G219-$AN219=1," día"," días")&amp;" de retraso","Cumplida"),IF(N($M219)&gt;=1,"Cumplida",IF(NOT(ISNUMBER($AN219)),"Sin fecha límite",IF($AN219&lt;FechaRef,"Vencida hace "&amp;(FechaRef-$AN219)&amp;IF(FechaRef-$AN219=1," día"," días"),IF($AN219=FechaRef,"Vence hoy",IF($AN219-FechaRef&lt;=DiasAlerta,"Vence en "&amp;($AN219-FechaRef)&amp;IF($AN219-FechaRef=1," día"," días"),"En plazo")))))))</f>
        <v/>
      </c>
      <c r="P219" s="62" t="n"/>
      <c r="Q219" s="58" t="n"/>
      <c r="R219" s="63">
        <f>IF(NOT((COUNTA($B219:$D219)+COUNTA($G219:$L219)+COUNTA($Q219))&gt;0),"",IF((IF($C219="","Falta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",""))="","✔ OK","⚠ "&amp;LEFT(IF($C219="","Falta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",""),LEN(IF($C219="","Falta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",""))-3)))</f>
        <v/>
      </c>
      <c r="S219" s="64">
        <f>IF(NOT((COUNTA($B219:$D219)+COUNTA($G219:$L219)+COUNTA($Q219))&gt;0),"",IF(AND($V219="Sub",N($U219)&gt;0),IF(ISNUMBER(INDEX($AM$5:$AM$1000,$U219-4)),DATE(YEAR(INDEX($AM$5:$AM$1000,$U219-4)),MONTH(INDEX($AM$5:$AM$1000,$U219-4)),1),IF(ISNUMBER(INDEX($AN$5:$AN$1000,$U219-4)),DATE(YEAR(INDEX($AN$5:$AN$1000,$U219-4)),MONTH(INDEX($AN$5:$AN$1000,$U219-4)),1),MesCiclo)),IF(ISNUMBER($AM219),DATE(YEAR($AM219),MONTH($AM219),1),IF(ISNUMBER($AN219),DATE(YEAR($AN219),MONTH($AN219),1),MesCiclo))))</f>
        <v/>
      </c>
      <c r="T219" s="62">
        <f>IF(OR($S219="",$S219&lt;&gt;MesCiclo),"",COUNTIF($S$5:$S219,MesCiclo))</f>
        <v/>
      </c>
      <c r="U219" s="62">
        <f>IF($V219="","",IF($V219="Macro",ROW(),IFERROR(LOOKUP(2,1/($V$5:$V219="Macro"),ROW($V$5:$V219)),0)))</f>
        <v/>
      </c>
      <c r="V219" s="62">
        <f>IF(NOT((COUNTA($B219:$D219)+COUNTA($G219:$L219)+COUNTA($Q219))&gt;0),"",IF($B219="Subactividad","Sub","Macro"))</f>
        <v/>
      </c>
      <c r="W219" s="62">
        <f>IF($V219="Macro",COUNTIFS($U$5:$U$1000,ROW(),$V$5:$V$1000,"Sub"),"")</f>
        <v/>
      </c>
      <c r="X219" s="62">
        <f>IF($V219="","",IF(ISNUMBER($G219),1,IFERROR(LOOKUP(2,1/($I219:$L219&lt;&gt;""),$I219:$L219),0)))</f>
        <v/>
      </c>
      <c r="Y219" s="62">
        <f>IF($V219="","",IF(AND(ISNUMBER($G219),$G219&lt;=IF($S219=MesCiclo,InicioCiclo,$S219+MOD(2-WEEKDAY($S219),7))+6),1,IF(ISNUMBER($I219),$I219,0)))</f>
        <v/>
      </c>
      <c r="Z219" s="62">
        <f>IF($V219="","",IF(AND(ISNUMBER($G219),$G219&lt;=IF($S219=MesCiclo,InicioCiclo,$S219+MOD(2-WEEKDAY($S219),7))+13),1,IF(ISNUMBER($J219),$J219,$Y219)))</f>
        <v/>
      </c>
      <c r="AA219" s="62">
        <f>IF($V219="","",IF(AND(ISNUMBER($G219),$G219&lt;=IF($S219=MesCiclo,InicioCiclo,$S219+MOD(2-WEEKDAY($S219),7))+20),1,IF(ISNUMBER($K219),$K219,$Z219)))</f>
        <v/>
      </c>
      <c r="AB219" s="62">
        <f>IF($V219="","",IF(AND(ISNUMBER($G219),$G219&lt;=IF($S219=MesCiclo,InicioCiclo,$S219+MOD(2-WEEKDAY($S219),7))+27),1,IF(ISNUMBER($L219),$L219,$AA219)))</f>
        <v/>
      </c>
      <c r="AC219" s="62">
        <f>IF($V219="","",IF(AND(ISNUMBER($G219),$G219&lt;=IF($S219=MesCiclo,InicioCiclo,$S219+MOD(2-WEEKDAY($S219),7))+6),1,IF(N($W219)&gt;0,AVERAGEIFS($Y$5:$Y$1000,$U$5:$U$1000,ROW(),$V$5:$V$1000,"Sub"),$Y219)))</f>
        <v/>
      </c>
      <c r="AD219" s="62">
        <f>IF($V219="","",IF(AND(ISNUMBER($G219),$G219&lt;=IF($S219=MesCiclo,InicioCiclo,$S219+MOD(2-WEEKDAY($S219),7))+13),1,IF(N($W219)&gt;0,AVERAGEIFS($Z$5:$Z$1000,$U$5:$U$1000,ROW(),$V$5:$V$1000,"Sub"),$Z219)))</f>
        <v/>
      </c>
      <c r="AE219" s="62">
        <f>IF($V219="","",IF(AND(ISNUMBER($G219),$G219&lt;=IF($S219=MesCiclo,InicioCiclo,$S219+MOD(2-WEEKDAY($S219),7))+20),1,IF(N($W219)&gt;0,AVERAGEIFS($AA$5:$AA$1000,$U$5:$U$1000,ROW(),$V$5:$V$1000,"Sub"),$AA219)))</f>
        <v/>
      </c>
      <c r="AF219" s="62">
        <f>IF($V219="","",IF(AND(ISNUMBER($G219),$G219&lt;=IF($S219=MesCiclo,InicioCiclo,$S219+MOD(2-WEEKDAY($S219),7))+27),1,IF(N($W219)&gt;0,AVERAGEIFS($AB$5:$AB$1000,$U$5:$U$1000,ROW(),$V$5:$V$1000,"Sub"),$AB219)))</f>
        <v/>
      </c>
      <c r="AG219" s="62">
        <f>IF($V219&lt;&gt;"Macro","",IF(COUNTIFS($S$5:$S$1000,$S219,$V$5:$V$1000,"Macro",$H$5:$H$1000,"&gt;0")=0,1/COUNTIFS($S$5:$S$1000,$S219,$V$5:$V$1000,"Macro"),IF(AND(ISNUMBER($H219),N($H219)&gt;0),$H219,SUMIFS($H$5:$H$1000,$S$5:$S$1000,$S219,$V$5:$V$1000,"Macro")/COUNTIFS($S$5:$S$1000,$S219,$V$5:$V$1000,"Macro",$H$5:$H$1000,"&gt;0"))/(COUNTIFS($S$5:$S$1000,$S219,$V$5:$V$1000,"Macro")*SUMIFS($H$5:$H$1000,$S$5:$S$1000,$S219,$V$5:$V$1000,"Macro")/COUNTIFS($S$5:$S$1000,$S219,$V$5:$V$1000,"Macro",$H$5:$H$1000,"&gt;0"))))</f>
        <v/>
      </c>
      <c r="AH219" s="62" t="n"/>
      <c r="AI219" s="62" t="n"/>
      <c r="AJ219" s="62" t="n"/>
      <c r="AK219" s="62" t="n"/>
      <c r="AL219" s="62">
        <f>IF(LEFT($C219,11)="[Jefatura] ",IFERROR(MATCH("Riesgo Normativo|"&amp;MID($C219,12,500),rDname_ADM,0),0),"")</f>
        <v/>
      </c>
      <c r="AM219" s="62">
        <f>IF(N($AL219)&gt;0,INDEX(rIni_ADM,$AL219),IF(ISNUMBER($E219),$E219,""))</f>
        <v/>
      </c>
      <c r="AN219" s="62">
        <f>IF(N($AL219)&gt;0,INDEX(rLim_ADM,$AL219),IF(ISNUMBER($F219),$F219,""))</f>
        <v/>
      </c>
    </row>
    <row r="220">
      <c r="A220" s="56">
        <f>IF(NOT((COUNTA($B220:$D220)+COUNTA($G220:$L220)+COUNTA($Q220))&gt;0),"",IF($V220="Macro",COUNTIFS($V$5:$V220,"Macro",$S$5:$S220,$S220),IF(N($U220)=0,"?",COUNTIFS(INDEX($V$5:$V$1000,1):INDEX($V$5:$V$1000,$U220-4),"Macro",INDEX($S$5:$S$1000,1):INDEX($S$5:$S$1000,$U220-4),INDEX($S$5:$S$1000,$U220-4))&amp;"."&amp;COUNTIFS($U$5:$U220,$U220,$V$5:$V220,"Sub"))))</f>
        <v/>
      </c>
      <c r="B220" s="57" t="n"/>
      <c r="C220" s="58" t="n"/>
      <c r="D220" s="58" t="n"/>
      <c r="E220" s="59">
        <f>IF(N($AL220)&gt;0,INDEX(rIni_ADM,$AL220),"")</f>
        <v/>
      </c>
      <c r="F220" s="59">
        <f>IF(N($AL220)&gt;0,INDEX(rLim_ADM,$AL220),"")</f>
        <v/>
      </c>
      <c r="G220" s="59" t="n"/>
      <c r="H220" s="60" t="n"/>
      <c r="I220" s="60" t="n"/>
      <c r="J220" s="60" t="n"/>
      <c r="K220" s="60" t="n"/>
      <c r="L220" s="60" t="n"/>
      <c r="M220" s="61">
        <f>IF(NOT((COUNTA($B220:$D220)+COUNTA($G220:$L220)+COUNTA($Q220))&gt;0),"",IF(ISNUMBER($G220),1,IF(N($W220)&gt;0,AVERAGEIFS($X$5:$X$1000,$U$5:$U$1000,ROW(),$V$5:$V$1000,"Sub"),$X220)))</f>
        <v/>
      </c>
      <c r="N220" s="56">
        <f>IF($M220="","",IF($M220&gt;=1,"Completado",IF($M220&gt;0,"En curso","Pendiente")))</f>
        <v/>
      </c>
      <c r="O220" s="56">
        <f>IF(NOT((COUNTA($B220:$D220)+COUNTA($G220:$L220)+COUNTA($Q220))&gt;0),"",IF(ISNUMBER($G220),IF(AND(ISNUMBER($AN220),$G220&gt;$AN220),"Cumplida con "&amp;($G220-$AN220)&amp;IF($G220-$AN220=1," día"," días")&amp;" de retraso","Cumplida"),IF(N($M220)&gt;=1,"Cumplida",IF(NOT(ISNUMBER($AN220)),"Sin fecha límite",IF($AN220&lt;FechaRef,"Vencida hace "&amp;(FechaRef-$AN220)&amp;IF(FechaRef-$AN220=1," día"," días"),IF($AN220=FechaRef,"Vence hoy",IF($AN220-FechaRef&lt;=DiasAlerta,"Vence en "&amp;($AN220-FechaRef)&amp;IF($AN220-FechaRef=1," día"," días"),"En plazo")))))))</f>
        <v/>
      </c>
      <c r="P220" s="62" t="n"/>
      <c r="Q220" s="58" t="n"/>
      <c r="R220" s="63">
        <f>IF(NOT((COUNTA($B220:$D220)+COUNTA($G220:$L220)+COUNTA($Q220))&gt;0),"",IF((IF($C220="","Falta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",""))="","✔ OK","⚠ "&amp;LEFT(IF($C220="","Falta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",""),LEN(IF($C220="","Falta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",""))-3)))</f>
        <v/>
      </c>
      <c r="S220" s="64">
        <f>IF(NOT((COUNTA($B220:$D220)+COUNTA($G220:$L220)+COUNTA($Q220))&gt;0),"",IF(AND($V220="Sub",N($U220)&gt;0),IF(ISNUMBER(INDEX($AM$5:$AM$1000,$U220-4)),DATE(YEAR(INDEX($AM$5:$AM$1000,$U220-4)),MONTH(INDEX($AM$5:$AM$1000,$U220-4)),1),IF(ISNUMBER(INDEX($AN$5:$AN$1000,$U220-4)),DATE(YEAR(INDEX($AN$5:$AN$1000,$U220-4)),MONTH(INDEX($AN$5:$AN$1000,$U220-4)),1),MesCiclo)),IF(ISNUMBER($AM220),DATE(YEAR($AM220),MONTH($AM220),1),IF(ISNUMBER($AN220),DATE(YEAR($AN220),MONTH($AN220),1),MesCiclo))))</f>
        <v/>
      </c>
      <c r="T220" s="62">
        <f>IF(OR($S220="",$S220&lt;&gt;MesCiclo),"",COUNTIF($S$5:$S220,MesCiclo))</f>
        <v/>
      </c>
      <c r="U220" s="62">
        <f>IF($V220="","",IF($V220="Macro",ROW(),IFERROR(LOOKUP(2,1/($V$5:$V220="Macro"),ROW($V$5:$V220)),0)))</f>
        <v/>
      </c>
      <c r="V220" s="62">
        <f>IF(NOT((COUNTA($B220:$D220)+COUNTA($G220:$L220)+COUNTA($Q220))&gt;0),"",IF($B220="Subactividad","Sub","Macro"))</f>
        <v/>
      </c>
      <c r="W220" s="62">
        <f>IF($V220="Macro",COUNTIFS($U$5:$U$1000,ROW(),$V$5:$V$1000,"Sub"),"")</f>
        <v/>
      </c>
      <c r="X220" s="62">
        <f>IF($V220="","",IF(ISNUMBER($G220),1,IFERROR(LOOKUP(2,1/($I220:$L220&lt;&gt;""),$I220:$L220),0)))</f>
        <v/>
      </c>
      <c r="Y220" s="62">
        <f>IF($V220="","",IF(AND(ISNUMBER($G220),$G220&lt;=IF($S220=MesCiclo,InicioCiclo,$S220+MOD(2-WEEKDAY($S220),7))+6),1,IF(ISNUMBER($I220),$I220,0)))</f>
        <v/>
      </c>
      <c r="Z220" s="62">
        <f>IF($V220="","",IF(AND(ISNUMBER($G220),$G220&lt;=IF($S220=MesCiclo,InicioCiclo,$S220+MOD(2-WEEKDAY($S220),7))+13),1,IF(ISNUMBER($J220),$J220,$Y220)))</f>
        <v/>
      </c>
      <c r="AA220" s="62">
        <f>IF($V220="","",IF(AND(ISNUMBER($G220),$G220&lt;=IF($S220=MesCiclo,InicioCiclo,$S220+MOD(2-WEEKDAY($S220),7))+20),1,IF(ISNUMBER($K220),$K220,$Z220)))</f>
        <v/>
      </c>
      <c r="AB220" s="62">
        <f>IF($V220="","",IF(AND(ISNUMBER($G220),$G220&lt;=IF($S220=MesCiclo,InicioCiclo,$S220+MOD(2-WEEKDAY($S220),7))+27),1,IF(ISNUMBER($L220),$L220,$AA220)))</f>
        <v/>
      </c>
      <c r="AC220" s="62">
        <f>IF($V220="","",IF(AND(ISNUMBER($G220),$G220&lt;=IF($S220=MesCiclo,InicioCiclo,$S220+MOD(2-WEEKDAY($S220),7))+6),1,IF(N($W220)&gt;0,AVERAGEIFS($Y$5:$Y$1000,$U$5:$U$1000,ROW(),$V$5:$V$1000,"Sub"),$Y220)))</f>
        <v/>
      </c>
      <c r="AD220" s="62">
        <f>IF($V220="","",IF(AND(ISNUMBER($G220),$G220&lt;=IF($S220=MesCiclo,InicioCiclo,$S220+MOD(2-WEEKDAY($S220),7))+13),1,IF(N($W220)&gt;0,AVERAGEIFS($Z$5:$Z$1000,$U$5:$U$1000,ROW(),$V$5:$V$1000,"Sub"),$Z220)))</f>
        <v/>
      </c>
      <c r="AE220" s="62">
        <f>IF($V220="","",IF(AND(ISNUMBER($G220),$G220&lt;=IF($S220=MesCiclo,InicioCiclo,$S220+MOD(2-WEEKDAY($S220),7))+20),1,IF(N($W220)&gt;0,AVERAGEIFS($AA$5:$AA$1000,$U$5:$U$1000,ROW(),$V$5:$V$1000,"Sub"),$AA220)))</f>
        <v/>
      </c>
      <c r="AF220" s="62">
        <f>IF($V220="","",IF(AND(ISNUMBER($G220),$G220&lt;=IF($S220=MesCiclo,InicioCiclo,$S220+MOD(2-WEEKDAY($S220),7))+27),1,IF(N($W220)&gt;0,AVERAGEIFS($AB$5:$AB$1000,$U$5:$U$1000,ROW(),$V$5:$V$1000,"Sub"),$AB220)))</f>
        <v/>
      </c>
      <c r="AG220" s="62">
        <f>IF($V220&lt;&gt;"Macro","",IF(COUNTIFS($S$5:$S$1000,$S220,$V$5:$V$1000,"Macro",$H$5:$H$1000,"&gt;0")=0,1/COUNTIFS($S$5:$S$1000,$S220,$V$5:$V$1000,"Macro"),IF(AND(ISNUMBER($H220),N($H220)&gt;0),$H220,SUMIFS($H$5:$H$1000,$S$5:$S$1000,$S220,$V$5:$V$1000,"Macro")/COUNTIFS($S$5:$S$1000,$S220,$V$5:$V$1000,"Macro",$H$5:$H$1000,"&gt;0"))/(COUNTIFS($S$5:$S$1000,$S220,$V$5:$V$1000,"Macro")*SUMIFS($H$5:$H$1000,$S$5:$S$1000,$S220,$V$5:$V$1000,"Macro")/COUNTIFS($S$5:$S$1000,$S220,$V$5:$V$1000,"Macro",$H$5:$H$1000,"&gt;0"))))</f>
        <v/>
      </c>
      <c r="AH220" s="62" t="n"/>
      <c r="AI220" s="62" t="n"/>
      <c r="AJ220" s="62" t="n"/>
      <c r="AK220" s="62" t="n"/>
      <c r="AL220" s="62">
        <f>IF(LEFT($C220,11)="[Jefatura] ",IFERROR(MATCH("Riesgo Normativo|"&amp;MID($C220,12,500),rDname_ADM,0),0),"")</f>
        <v/>
      </c>
      <c r="AM220" s="62">
        <f>IF(N($AL220)&gt;0,INDEX(rIni_ADM,$AL220),IF(ISNUMBER($E220),$E220,""))</f>
        <v/>
      </c>
      <c r="AN220" s="62">
        <f>IF(N($AL220)&gt;0,INDEX(rLim_ADM,$AL220),IF(ISNUMBER($F220),$F220,""))</f>
        <v/>
      </c>
    </row>
    <row r="221">
      <c r="A221" s="56">
        <f>IF(NOT((COUNTA($B221:$D221)+COUNTA($G221:$L221)+COUNTA($Q221))&gt;0),"",IF($V221="Macro",COUNTIFS($V$5:$V221,"Macro",$S$5:$S221,$S221),IF(N($U221)=0,"?",COUNTIFS(INDEX($V$5:$V$1000,1):INDEX($V$5:$V$1000,$U221-4),"Macro",INDEX($S$5:$S$1000,1):INDEX($S$5:$S$1000,$U221-4),INDEX($S$5:$S$1000,$U221-4))&amp;"."&amp;COUNTIFS($U$5:$U221,$U221,$V$5:$V221,"Sub"))))</f>
        <v/>
      </c>
      <c r="B221" s="57" t="n"/>
      <c r="C221" s="58" t="n"/>
      <c r="D221" s="58" t="n"/>
      <c r="E221" s="59">
        <f>IF(N($AL221)&gt;0,INDEX(rIni_ADM,$AL221),"")</f>
        <v/>
      </c>
      <c r="F221" s="59">
        <f>IF(N($AL221)&gt;0,INDEX(rLim_ADM,$AL221),"")</f>
        <v/>
      </c>
      <c r="G221" s="59" t="n"/>
      <c r="H221" s="60" t="n"/>
      <c r="I221" s="60" t="n"/>
      <c r="J221" s="60" t="n"/>
      <c r="K221" s="60" t="n"/>
      <c r="L221" s="60" t="n"/>
      <c r="M221" s="61">
        <f>IF(NOT((COUNTA($B221:$D221)+COUNTA($G221:$L221)+COUNTA($Q221))&gt;0),"",IF(ISNUMBER($G221),1,IF(N($W221)&gt;0,AVERAGEIFS($X$5:$X$1000,$U$5:$U$1000,ROW(),$V$5:$V$1000,"Sub"),$X221)))</f>
        <v/>
      </c>
      <c r="N221" s="56">
        <f>IF($M221="","",IF($M221&gt;=1,"Completado",IF($M221&gt;0,"En curso","Pendiente")))</f>
        <v/>
      </c>
      <c r="O221" s="56">
        <f>IF(NOT((COUNTA($B221:$D221)+COUNTA($G221:$L221)+COUNTA($Q221))&gt;0),"",IF(ISNUMBER($G221),IF(AND(ISNUMBER($AN221),$G221&gt;$AN221),"Cumplida con "&amp;($G221-$AN221)&amp;IF($G221-$AN221=1," día"," días")&amp;" de retraso","Cumplida"),IF(N($M221)&gt;=1,"Cumplida",IF(NOT(ISNUMBER($AN221)),"Sin fecha límite",IF($AN221&lt;FechaRef,"Vencida hace "&amp;(FechaRef-$AN221)&amp;IF(FechaRef-$AN221=1," día"," días"),IF($AN221=FechaRef,"Vence hoy",IF($AN221-FechaRef&lt;=DiasAlerta,"Vence en "&amp;($AN221-FechaRef)&amp;IF($AN221-FechaRef=1," día"," días"),"En plazo")))))))</f>
        <v/>
      </c>
      <c r="P221" s="62" t="n"/>
      <c r="Q221" s="58" t="n"/>
      <c r="R221" s="63">
        <f>IF(NOT((COUNTA($B221:$D221)+COUNTA($G221:$L221)+COUNTA($Q221))&gt;0),"",IF((IF($C221="","Falta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",""))="","✔ OK","⚠ "&amp;LEFT(IF($C221="","Falta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",""),LEN(IF($C221="","Falta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",""))-3)))</f>
        <v/>
      </c>
      <c r="S221" s="64">
        <f>IF(NOT((COUNTA($B221:$D221)+COUNTA($G221:$L221)+COUNTA($Q221))&gt;0),"",IF(AND($V221="Sub",N($U221)&gt;0),IF(ISNUMBER(INDEX($AM$5:$AM$1000,$U221-4)),DATE(YEAR(INDEX($AM$5:$AM$1000,$U221-4)),MONTH(INDEX($AM$5:$AM$1000,$U221-4)),1),IF(ISNUMBER(INDEX($AN$5:$AN$1000,$U221-4)),DATE(YEAR(INDEX($AN$5:$AN$1000,$U221-4)),MONTH(INDEX($AN$5:$AN$1000,$U221-4)),1),MesCiclo)),IF(ISNUMBER($AM221),DATE(YEAR($AM221),MONTH($AM221),1),IF(ISNUMBER($AN221),DATE(YEAR($AN221),MONTH($AN221),1),MesCiclo))))</f>
        <v/>
      </c>
      <c r="T221" s="62">
        <f>IF(OR($S221="",$S221&lt;&gt;MesCiclo),"",COUNTIF($S$5:$S221,MesCiclo))</f>
        <v/>
      </c>
      <c r="U221" s="62">
        <f>IF($V221="","",IF($V221="Macro",ROW(),IFERROR(LOOKUP(2,1/($V$5:$V221="Macro"),ROW($V$5:$V221)),0)))</f>
        <v/>
      </c>
      <c r="V221" s="62">
        <f>IF(NOT((COUNTA($B221:$D221)+COUNTA($G221:$L221)+COUNTA($Q221))&gt;0),"",IF($B221="Subactividad","Sub","Macro"))</f>
        <v/>
      </c>
      <c r="W221" s="62">
        <f>IF($V221="Macro",COUNTIFS($U$5:$U$1000,ROW(),$V$5:$V$1000,"Sub"),"")</f>
        <v/>
      </c>
      <c r="X221" s="62">
        <f>IF($V221="","",IF(ISNUMBER($G221),1,IFERROR(LOOKUP(2,1/($I221:$L221&lt;&gt;""),$I221:$L221),0)))</f>
        <v/>
      </c>
      <c r="Y221" s="62">
        <f>IF($V221="","",IF(AND(ISNUMBER($G221),$G221&lt;=IF($S221=MesCiclo,InicioCiclo,$S221+MOD(2-WEEKDAY($S221),7))+6),1,IF(ISNUMBER($I221),$I221,0)))</f>
        <v/>
      </c>
      <c r="Z221" s="62">
        <f>IF($V221="","",IF(AND(ISNUMBER($G221),$G221&lt;=IF($S221=MesCiclo,InicioCiclo,$S221+MOD(2-WEEKDAY($S221),7))+13),1,IF(ISNUMBER($J221),$J221,$Y221)))</f>
        <v/>
      </c>
      <c r="AA221" s="62">
        <f>IF($V221="","",IF(AND(ISNUMBER($G221),$G221&lt;=IF($S221=MesCiclo,InicioCiclo,$S221+MOD(2-WEEKDAY($S221),7))+20),1,IF(ISNUMBER($K221),$K221,$Z221)))</f>
        <v/>
      </c>
      <c r="AB221" s="62">
        <f>IF($V221="","",IF(AND(ISNUMBER($G221),$G221&lt;=IF($S221=MesCiclo,InicioCiclo,$S221+MOD(2-WEEKDAY($S221),7))+27),1,IF(ISNUMBER($L221),$L221,$AA221)))</f>
        <v/>
      </c>
      <c r="AC221" s="62">
        <f>IF($V221="","",IF(AND(ISNUMBER($G221),$G221&lt;=IF($S221=MesCiclo,InicioCiclo,$S221+MOD(2-WEEKDAY($S221),7))+6),1,IF(N($W221)&gt;0,AVERAGEIFS($Y$5:$Y$1000,$U$5:$U$1000,ROW(),$V$5:$V$1000,"Sub"),$Y221)))</f>
        <v/>
      </c>
      <c r="AD221" s="62">
        <f>IF($V221="","",IF(AND(ISNUMBER($G221),$G221&lt;=IF($S221=MesCiclo,InicioCiclo,$S221+MOD(2-WEEKDAY($S221),7))+13),1,IF(N($W221)&gt;0,AVERAGEIFS($Z$5:$Z$1000,$U$5:$U$1000,ROW(),$V$5:$V$1000,"Sub"),$Z221)))</f>
        <v/>
      </c>
      <c r="AE221" s="62">
        <f>IF($V221="","",IF(AND(ISNUMBER($G221),$G221&lt;=IF($S221=MesCiclo,InicioCiclo,$S221+MOD(2-WEEKDAY($S221),7))+20),1,IF(N($W221)&gt;0,AVERAGEIFS($AA$5:$AA$1000,$U$5:$U$1000,ROW(),$V$5:$V$1000,"Sub"),$AA221)))</f>
        <v/>
      </c>
      <c r="AF221" s="62">
        <f>IF($V221="","",IF(AND(ISNUMBER($G221),$G221&lt;=IF($S221=MesCiclo,InicioCiclo,$S221+MOD(2-WEEKDAY($S221),7))+27),1,IF(N($W221)&gt;0,AVERAGEIFS($AB$5:$AB$1000,$U$5:$U$1000,ROW(),$V$5:$V$1000,"Sub"),$AB221)))</f>
        <v/>
      </c>
      <c r="AG221" s="62">
        <f>IF($V221&lt;&gt;"Macro","",IF(COUNTIFS($S$5:$S$1000,$S221,$V$5:$V$1000,"Macro",$H$5:$H$1000,"&gt;0")=0,1/COUNTIFS($S$5:$S$1000,$S221,$V$5:$V$1000,"Macro"),IF(AND(ISNUMBER($H221),N($H221)&gt;0),$H221,SUMIFS($H$5:$H$1000,$S$5:$S$1000,$S221,$V$5:$V$1000,"Macro")/COUNTIFS($S$5:$S$1000,$S221,$V$5:$V$1000,"Macro",$H$5:$H$1000,"&gt;0"))/(COUNTIFS($S$5:$S$1000,$S221,$V$5:$V$1000,"Macro")*SUMIFS($H$5:$H$1000,$S$5:$S$1000,$S221,$V$5:$V$1000,"Macro")/COUNTIFS($S$5:$S$1000,$S221,$V$5:$V$1000,"Macro",$H$5:$H$1000,"&gt;0"))))</f>
        <v/>
      </c>
      <c r="AH221" s="62" t="n"/>
      <c r="AI221" s="62" t="n"/>
      <c r="AJ221" s="62" t="n"/>
      <c r="AK221" s="62" t="n"/>
      <c r="AL221" s="62">
        <f>IF(LEFT($C221,11)="[Jefatura] ",IFERROR(MATCH("Riesgo Normativo|"&amp;MID($C221,12,500),rDname_ADM,0),0),"")</f>
        <v/>
      </c>
      <c r="AM221" s="62">
        <f>IF(N($AL221)&gt;0,INDEX(rIni_ADM,$AL221),IF(ISNUMBER($E221),$E221,""))</f>
        <v/>
      </c>
      <c r="AN221" s="62">
        <f>IF(N($AL221)&gt;0,INDEX(rLim_ADM,$AL221),IF(ISNUMBER($F221),$F221,""))</f>
        <v/>
      </c>
    </row>
    <row r="222">
      <c r="A222" s="56">
        <f>IF(NOT((COUNTA($B222:$D222)+COUNTA($G222:$L222)+COUNTA($Q222))&gt;0),"",IF($V222="Macro",COUNTIFS($V$5:$V222,"Macro",$S$5:$S222,$S222),IF(N($U222)=0,"?",COUNTIFS(INDEX($V$5:$V$1000,1):INDEX($V$5:$V$1000,$U222-4),"Macro",INDEX($S$5:$S$1000,1):INDEX($S$5:$S$1000,$U222-4),INDEX($S$5:$S$1000,$U222-4))&amp;"."&amp;COUNTIFS($U$5:$U222,$U222,$V$5:$V222,"Sub"))))</f>
        <v/>
      </c>
      <c r="B222" s="57" t="n"/>
      <c r="C222" s="58" t="n"/>
      <c r="D222" s="58" t="n"/>
      <c r="E222" s="59">
        <f>IF(N($AL222)&gt;0,INDEX(rIni_ADM,$AL222),"")</f>
        <v/>
      </c>
      <c r="F222" s="59">
        <f>IF(N($AL222)&gt;0,INDEX(rLim_ADM,$AL222),"")</f>
        <v/>
      </c>
      <c r="G222" s="59" t="n"/>
      <c r="H222" s="60" t="n"/>
      <c r="I222" s="60" t="n"/>
      <c r="J222" s="60" t="n"/>
      <c r="K222" s="60" t="n"/>
      <c r="L222" s="60" t="n"/>
      <c r="M222" s="61">
        <f>IF(NOT((COUNTA($B222:$D222)+COUNTA($G222:$L222)+COUNTA($Q222))&gt;0),"",IF(ISNUMBER($G222),1,IF(N($W222)&gt;0,AVERAGEIFS($X$5:$X$1000,$U$5:$U$1000,ROW(),$V$5:$V$1000,"Sub"),$X222)))</f>
        <v/>
      </c>
      <c r="N222" s="56">
        <f>IF($M222="","",IF($M222&gt;=1,"Completado",IF($M222&gt;0,"En curso","Pendiente")))</f>
        <v/>
      </c>
      <c r="O222" s="56">
        <f>IF(NOT((COUNTA($B222:$D222)+COUNTA($G222:$L222)+COUNTA($Q222))&gt;0),"",IF(ISNUMBER($G222),IF(AND(ISNUMBER($AN222),$G222&gt;$AN222),"Cumplida con "&amp;($G222-$AN222)&amp;IF($G222-$AN222=1," día"," días")&amp;" de retraso","Cumplida"),IF(N($M222)&gt;=1,"Cumplida",IF(NOT(ISNUMBER($AN222)),"Sin fecha límite",IF($AN222&lt;FechaRef,"Vencida hace "&amp;(FechaRef-$AN222)&amp;IF(FechaRef-$AN222=1," día"," días"),IF($AN222=FechaRef,"Vence hoy",IF($AN222-FechaRef&lt;=DiasAlerta,"Vence en "&amp;($AN222-FechaRef)&amp;IF($AN222-FechaRef=1," día"," días"),"En plazo")))))))</f>
        <v/>
      </c>
      <c r="P222" s="62" t="n"/>
      <c r="Q222" s="58" t="n"/>
      <c r="R222" s="63">
        <f>IF(NOT((COUNTA($B222:$D222)+COUNTA($G222:$L222)+COUNTA($Q222))&gt;0),"",IF((IF($C222="","Falta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",""))="","✔ OK","⚠ "&amp;LEFT(IF($C222="","Falta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",""),LEN(IF($C222="","Falta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",""))-3)))</f>
        <v/>
      </c>
      <c r="S222" s="64">
        <f>IF(NOT((COUNTA($B222:$D222)+COUNTA($G222:$L222)+COUNTA($Q222))&gt;0),"",IF(AND($V222="Sub",N($U222)&gt;0),IF(ISNUMBER(INDEX($AM$5:$AM$1000,$U222-4)),DATE(YEAR(INDEX($AM$5:$AM$1000,$U222-4)),MONTH(INDEX($AM$5:$AM$1000,$U222-4)),1),IF(ISNUMBER(INDEX($AN$5:$AN$1000,$U222-4)),DATE(YEAR(INDEX($AN$5:$AN$1000,$U222-4)),MONTH(INDEX($AN$5:$AN$1000,$U222-4)),1),MesCiclo)),IF(ISNUMBER($AM222),DATE(YEAR($AM222),MONTH($AM222),1),IF(ISNUMBER($AN222),DATE(YEAR($AN222),MONTH($AN222),1),MesCiclo))))</f>
        <v/>
      </c>
      <c r="T222" s="62">
        <f>IF(OR($S222="",$S222&lt;&gt;MesCiclo),"",COUNTIF($S$5:$S222,MesCiclo))</f>
        <v/>
      </c>
      <c r="U222" s="62">
        <f>IF($V222="","",IF($V222="Macro",ROW(),IFERROR(LOOKUP(2,1/($V$5:$V222="Macro"),ROW($V$5:$V222)),0)))</f>
        <v/>
      </c>
      <c r="V222" s="62">
        <f>IF(NOT((COUNTA($B222:$D222)+COUNTA($G222:$L222)+COUNTA($Q222))&gt;0),"",IF($B222="Subactividad","Sub","Macro"))</f>
        <v/>
      </c>
      <c r="W222" s="62">
        <f>IF($V222="Macro",COUNTIFS($U$5:$U$1000,ROW(),$V$5:$V$1000,"Sub"),"")</f>
        <v/>
      </c>
      <c r="X222" s="62">
        <f>IF($V222="","",IF(ISNUMBER($G222),1,IFERROR(LOOKUP(2,1/($I222:$L222&lt;&gt;""),$I222:$L222),0)))</f>
        <v/>
      </c>
      <c r="Y222" s="62">
        <f>IF($V222="","",IF(AND(ISNUMBER($G222),$G222&lt;=IF($S222=MesCiclo,InicioCiclo,$S222+MOD(2-WEEKDAY($S222),7))+6),1,IF(ISNUMBER($I222),$I222,0)))</f>
        <v/>
      </c>
      <c r="Z222" s="62">
        <f>IF($V222="","",IF(AND(ISNUMBER($G222),$G222&lt;=IF($S222=MesCiclo,InicioCiclo,$S222+MOD(2-WEEKDAY($S222),7))+13),1,IF(ISNUMBER($J222),$J222,$Y222)))</f>
        <v/>
      </c>
      <c r="AA222" s="62">
        <f>IF($V222="","",IF(AND(ISNUMBER($G222),$G222&lt;=IF($S222=MesCiclo,InicioCiclo,$S222+MOD(2-WEEKDAY($S222),7))+20),1,IF(ISNUMBER($K222),$K222,$Z222)))</f>
        <v/>
      </c>
      <c r="AB222" s="62">
        <f>IF($V222="","",IF(AND(ISNUMBER($G222),$G222&lt;=IF($S222=MesCiclo,InicioCiclo,$S222+MOD(2-WEEKDAY($S222),7))+27),1,IF(ISNUMBER($L222),$L222,$AA222)))</f>
        <v/>
      </c>
      <c r="AC222" s="62">
        <f>IF($V222="","",IF(AND(ISNUMBER($G222),$G222&lt;=IF($S222=MesCiclo,InicioCiclo,$S222+MOD(2-WEEKDAY($S222),7))+6),1,IF(N($W222)&gt;0,AVERAGEIFS($Y$5:$Y$1000,$U$5:$U$1000,ROW(),$V$5:$V$1000,"Sub"),$Y222)))</f>
        <v/>
      </c>
      <c r="AD222" s="62">
        <f>IF($V222="","",IF(AND(ISNUMBER($G222),$G222&lt;=IF($S222=MesCiclo,InicioCiclo,$S222+MOD(2-WEEKDAY($S222),7))+13),1,IF(N($W222)&gt;0,AVERAGEIFS($Z$5:$Z$1000,$U$5:$U$1000,ROW(),$V$5:$V$1000,"Sub"),$Z222)))</f>
        <v/>
      </c>
      <c r="AE222" s="62">
        <f>IF($V222="","",IF(AND(ISNUMBER($G222),$G222&lt;=IF($S222=MesCiclo,InicioCiclo,$S222+MOD(2-WEEKDAY($S222),7))+20),1,IF(N($W222)&gt;0,AVERAGEIFS($AA$5:$AA$1000,$U$5:$U$1000,ROW(),$V$5:$V$1000,"Sub"),$AA222)))</f>
        <v/>
      </c>
      <c r="AF222" s="62">
        <f>IF($V222="","",IF(AND(ISNUMBER($G222),$G222&lt;=IF($S222=MesCiclo,InicioCiclo,$S222+MOD(2-WEEKDAY($S222),7))+27),1,IF(N($W222)&gt;0,AVERAGEIFS($AB$5:$AB$1000,$U$5:$U$1000,ROW(),$V$5:$V$1000,"Sub"),$AB222)))</f>
        <v/>
      </c>
      <c r="AG222" s="62">
        <f>IF($V222&lt;&gt;"Macro","",IF(COUNTIFS($S$5:$S$1000,$S222,$V$5:$V$1000,"Macro",$H$5:$H$1000,"&gt;0")=0,1/COUNTIFS($S$5:$S$1000,$S222,$V$5:$V$1000,"Macro"),IF(AND(ISNUMBER($H222),N($H222)&gt;0),$H222,SUMIFS($H$5:$H$1000,$S$5:$S$1000,$S222,$V$5:$V$1000,"Macro")/COUNTIFS($S$5:$S$1000,$S222,$V$5:$V$1000,"Macro",$H$5:$H$1000,"&gt;0"))/(COUNTIFS($S$5:$S$1000,$S222,$V$5:$V$1000,"Macro")*SUMIFS($H$5:$H$1000,$S$5:$S$1000,$S222,$V$5:$V$1000,"Macro")/COUNTIFS($S$5:$S$1000,$S222,$V$5:$V$1000,"Macro",$H$5:$H$1000,"&gt;0"))))</f>
        <v/>
      </c>
      <c r="AH222" s="62" t="n"/>
      <c r="AI222" s="62" t="n"/>
      <c r="AJ222" s="62" t="n"/>
      <c r="AK222" s="62" t="n"/>
      <c r="AL222" s="62">
        <f>IF(LEFT($C222,11)="[Jefatura] ",IFERROR(MATCH("Riesgo Normativo|"&amp;MID($C222,12,500),rDname_ADM,0),0),"")</f>
        <v/>
      </c>
      <c r="AM222" s="62">
        <f>IF(N($AL222)&gt;0,INDEX(rIni_ADM,$AL222),IF(ISNUMBER($E222),$E222,""))</f>
        <v/>
      </c>
      <c r="AN222" s="62">
        <f>IF(N($AL222)&gt;0,INDEX(rLim_ADM,$AL222),IF(ISNUMBER($F222),$F222,""))</f>
        <v/>
      </c>
    </row>
    <row r="223">
      <c r="A223" s="56">
        <f>IF(NOT((COUNTA($B223:$D223)+COUNTA($G223:$L223)+COUNTA($Q223))&gt;0),"",IF($V223="Macro",COUNTIFS($V$5:$V223,"Macro",$S$5:$S223,$S223),IF(N($U223)=0,"?",COUNTIFS(INDEX($V$5:$V$1000,1):INDEX($V$5:$V$1000,$U223-4),"Macro",INDEX($S$5:$S$1000,1):INDEX($S$5:$S$1000,$U223-4),INDEX($S$5:$S$1000,$U223-4))&amp;"."&amp;COUNTIFS($U$5:$U223,$U223,$V$5:$V223,"Sub"))))</f>
        <v/>
      </c>
      <c r="B223" s="57" t="n"/>
      <c r="C223" s="58" t="n"/>
      <c r="D223" s="58" t="n"/>
      <c r="E223" s="59">
        <f>IF(N($AL223)&gt;0,INDEX(rIni_ADM,$AL223),"")</f>
        <v/>
      </c>
      <c r="F223" s="59">
        <f>IF(N($AL223)&gt;0,INDEX(rLim_ADM,$AL223),"")</f>
        <v/>
      </c>
      <c r="G223" s="59" t="n"/>
      <c r="H223" s="60" t="n"/>
      <c r="I223" s="60" t="n"/>
      <c r="J223" s="60" t="n"/>
      <c r="K223" s="60" t="n"/>
      <c r="L223" s="60" t="n"/>
      <c r="M223" s="61">
        <f>IF(NOT((COUNTA($B223:$D223)+COUNTA($G223:$L223)+COUNTA($Q223))&gt;0),"",IF(ISNUMBER($G223),1,IF(N($W223)&gt;0,AVERAGEIFS($X$5:$X$1000,$U$5:$U$1000,ROW(),$V$5:$V$1000,"Sub"),$X223)))</f>
        <v/>
      </c>
      <c r="N223" s="56">
        <f>IF($M223="","",IF($M223&gt;=1,"Completado",IF($M223&gt;0,"En curso","Pendiente")))</f>
        <v/>
      </c>
      <c r="O223" s="56">
        <f>IF(NOT((COUNTA($B223:$D223)+COUNTA($G223:$L223)+COUNTA($Q223))&gt;0),"",IF(ISNUMBER($G223),IF(AND(ISNUMBER($AN223),$G223&gt;$AN223),"Cumplida con "&amp;($G223-$AN223)&amp;IF($G223-$AN223=1," día"," días")&amp;" de retraso","Cumplida"),IF(N($M223)&gt;=1,"Cumplida",IF(NOT(ISNUMBER($AN223)),"Sin fecha límite",IF($AN223&lt;FechaRef,"Vencida hace "&amp;(FechaRef-$AN223)&amp;IF(FechaRef-$AN223=1," día"," días"),IF($AN223=FechaRef,"Vence hoy",IF($AN223-FechaRef&lt;=DiasAlerta,"Vence en "&amp;($AN223-FechaRef)&amp;IF($AN223-FechaRef=1," día"," días"),"En plazo")))))))</f>
        <v/>
      </c>
      <c r="P223" s="62" t="n"/>
      <c r="Q223" s="58" t="n"/>
      <c r="R223" s="63">
        <f>IF(NOT((COUNTA($B223:$D223)+COUNTA($G223:$L223)+COUNTA($Q223))&gt;0),"",IF((IF($C223="","Falta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",""))="","✔ OK","⚠ "&amp;LEFT(IF($C223="","Falta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",""),LEN(IF($C223="","Falta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",""))-3)))</f>
        <v/>
      </c>
      <c r="S223" s="64">
        <f>IF(NOT((COUNTA($B223:$D223)+COUNTA($G223:$L223)+COUNTA($Q223))&gt;0),"",IF(AND($V223="Sub",N($U223)&gt;0),IF(ISNUMBER(INDEX($AM$5:$AM$1000,$U223-4)),DATE(YEAR(INDEX($AM$5:$AM$1000,$U223-4)),MONTH(INDEX($AM$5:$AM$1000,$U223-4)),1),IF(ISNUMBER(INDEX($AN$5:$AN$1000,$U223-4)),DATE(YEAR(INDEX($AN$5:$AN$1000,$U223-4)),MONTH(INDEX($AN$5:$AN$1000,$U223-4)),1),MesCiclo)),IF(ISNUMBER($AM223),DATE(YEAR($AM223),MONTH($AM223),1),IF(ISNUMBER($AN223),DATE(YEAR($AN223),MONTH($AN223),1),MesCiclo))))</f>
        <v/>
      </c>
      <c r="T223" s="62">
        <f>IF(OR($S223="",$S223&lt;&gt;MesCiclo),"",COUNTIF($S$5:$S223,MesCiclo))</f>
        <v/>
      </c>
      <c r="U223" s="62">
        <f>IF($V223="","",IF($V223="Macro",ROW(),IFERROR(LOOKUP(2,1/($V$5:$V223="Macro"),ROW($V$5:$V223)),0)))</f>
        <v/>
      </c>
      <c r="V223" s="62">
        <f>IF(NOT((COUNTA($B223:$D223)+COUNTA($G223:$L223)+COUNTA($Q223))&gt;0),"",IF($B223="Subactividad","Sub","Macro"))</f>
        <v/>
      </c>
      <c r="W223" s="62">
        <f>IF($V223="Macro",COUNTIFS($U$5:$U$1000,ROW(),$V$5:$V$1000,"Sub"),"")</f>
        <v/>
      </c>
      <c r="X223" s="62">
        <f>IF($V223="","",IF(ISNUMBER($G223),1,IFERROR(LOOKUP(2,1/($I223:$L223&lt;&gt;""),$I223:$L223),0)))</f>
        <v/>
      </c>
      <c r="Y223" s="62">
        <f>IF($V223="","",IF(AND(ISNUMBER($G223),$G223&lt;=IF($S223=MesCiclo,InicioCiclo,$S223+MOD(2-WEEKDAY($S223),7))+6),1,IF(ISNUMBER($I223),$I223,0)))</f>
        <v/>
      </c>
      <c r="Z223" s="62">
        <f>IF($V223="","",IF(AND(ISNUMBER($G223),$G223&lt;=IF($S223=MesCiclo,InicioCiclo,$S223+MOD(2-WEEKDAY($S223),7))+13),1,IF(ISNUMBER($J223),$J223,$Y223)))</f>
        <v/>
      </c>
      <c r="AA223" s="62">
        <f>IF($V223="","",IF(AND(ISNUMBER($G223),$G223&lt;=IF($S223=MesCiclo,InicioCiclo,$S223+MOD(2-WEEKDAY($S223),7))+20),1,IF(ISNUMBER($K223),$K223,$Z223)))</f>
        <v/>
      </c>
      <c r="AB223" s="62">
        <f>IF($V223="","",IF(AND(ISNUMBER($G223),$G223&lt;=IF($S223=MesCiclo,InicioCiclo,$S223+MOD(2-WEEKDAY($S223),7))+27),1,IF(ISNUMBER($L223),$L223,$AA223)))</f>
        <v/>
      </c>
      <c r="AC223" s="62">
        <f>IF($V223="","",IF(AND(ISNUMBER($G223),$G223&lt;=IF($S223=MesCiclo,InicioCiclo,$S223+MOD(2-WEEKDAY($S223),7))+6),1,IF(N($W223)&gt;0,AVERAGEIFS($Y$5:$Y$1000,$U$5:$U$1000,ROW(),$V$5:$V$1000,"Sub"),$Y223)))</f>
        <v/>
      </c>
      <c r="AD223" s="62">
        <f>IF($V223="","",IF(AND(ISNUMBER($G223),$G223&lt;=IF($S223=MesCiclo,InicioCiclo,$S223+MOD(2-WEEKDAY($S223),7))+13),1,IF(N($W223)&gt;0,AVERAGEIFS($Z$5:$Z$1000,$U$5:$U$1000,ROW(),$V$5:$V$1000,"Sub"),$Z223)))</f>
        <v/>
      </c>
      <c r="AE223" s="62">
        <f>IF($V223="","",IF(AND(ISNUMBER($G223),$G223&lt;=IF($S223=MesCiclo,InicioCiclo,$S223+MOD(2-WEEKDAY($S223),7))+20),1,IF(N($W223)&gt;0,AVERAGEIFS($AA$5:$AA$1000,$U$5:$U$1000,ROW(),$V$5:$V$1000,"Sub"),$AA223)))</f>
        <v/>
      </c>
      <c r="AF223" s="62">
        <f>IF($V223="","",IF(AND(ISNUMBER($G223),$G223&lt;=IF($S223=MesCiclo,InicioCiclo,$S223+MOD(2-WEEKDAY($S223),7))+27),1,IF(N($W223)&gt;0,AVERAGEIFS($AB$5:$AB$1000,$U$5:$U$1000,ROW(),$V$5:$V$1000,"Sub"),$AB223)))</f>
        <v/>
      </c>
      <c r="AG223" s="62">
        <f>IF($V223&lt;&gt;"Macro","",IF(COUNTIFS($S$5:$S$1000,$S223,$V$5:$V$1000,"Macro",$H$5:$H$1000,"&gt;0")=0,1/COUNTIFS($S$5:$S$1000,$S223,$V$5:$V$1000,"Macro"),IF(AND(ISNUMBER($H223),N($H223)&gt;0),$H223,SUMIFS($H$5:$H$1000,$S$5:$S$1000,$S223,$V$5:$V$1000,"Macro")/COUNTIFS($S$5:$S$1000,$S223,$V$5:$V$1000,"Macro",$H$5:$H$1000,"&gt;0"))/(COUNTIFS($S$5:$S$1000,$S223,$V$5:$V$1000,"Macro")*SUMIFS($H$5:$H$1000,$S$5:$S$1000,$S223,$V$5:$V$1000,"Macro")/COUNTIFS($S$5:$S$1000,$S223,$V$5:$V$1000,"Macro",$H$5:$H$1000,"&gt;0"))))</f>
        <v/>
      </c>
      <c r="AH223" s="62" t="n"/>
      <c r="AI223" s="62" t="n"/>
      <c r="AJ223" s="62" t="n"/>
      <c r="AK223" s="62" t="n"/>
      <c r="AL223" s="62">
        <f>IF(LEFT($C223,11)="[Jefatura] ",IFERROR(MATCH("Riesgo Normativo|"&amp;MID($C223,12,500),rDname_ADM,0),0),"")</f>
        <v/>
      </c>
      <c r="AM223" s="62">
        <f>IF(N($AL223)&gt;0,INDEX(rIni_ADM,$AL223),IF(ISNUMBER($E223),$E223,""))</f>
        <v/>
      </c>
      <c r="AN223" s="62">
        <f>IF(N($AL223)&gt;0,INDEX(rLim_ADM,$AL223),IF(ISNUMBER($F223),$F223,""))</f>
        <v/>
      </c>
    </row>
    <row r="224">
      <c r="A224" s="56">
        <f>IF(NOT((COUNTA($B224:$D224)+COUNTA($G224:$L224)+COUNTA($Q224))&gt;0),"",IF($V224="Macro",COUNTIFS($V$5:$V224,"Macro",$S$5:$S224,$S224),IF(N($U224)=0,"?",COUNTIFS(INDEX($V$5:$V$1000,1):INDEX($V$5:$V$1000,$U224-4),"Macro",INDEX($S$5:$S$1000,1):INDEX($S$5:$S$1000,$U224-4),INDEX($S$5:$S$1000,$U224-4))&amp;"."&amp;COUNTIFS($U$5:$U224,$U224,$V$5:$V224,"Sub"))))</f>
        <v/>
      </c>
      <c r="B224" s="57" t="n"/>
      <c r="C224" s="58" t="n"/>
      <c r="D224" s="58" t="n"/>
      <c r="E224" s="59">
        <f>IF(N($AL224)&gt;0,INDEX(rIni_ADM,$AL224),"")</f>
        <v/>
      </c>
      <c r="F224" s="59">
        <f>IF(N($AL224)&gt;0,INDEX(rLim_ADM,$AL224),"")</f>
        <v/>
      </c>
      <c r="G224" s="59" t="n"/>
      <c r="H224" s="60" t="n"/>
      <c r="I224" s="60" t="n"/>
      <c r="J224" s="60" t="n"/>
      <c r="K224" s="60" t="n"/>
      <c r="L224" s="60" t="n"/>
      <c r="M224" s="61">
        <f>IF(NOT((COUNTA($B224:$D224)+COUNTA($G224:$L224)+COUNTA($Q224))&gt;0),"",IF(ISNUMBER($G224),1,IF(N($W224)&gt;0,AVERAGEIFS($X$5:$X$1000,$U$5:$U$1000,ROW(),$V$5:$V$1000,"Sub"),$X224)))</f>
        <v/>
      </c>
      <c r="N224" s="56">
        <f>IF($M224="","",IF($M224&gt;=1,"Completado",IF($M224&gt;0,"En curso","Pendiente")))</f>
        <v/>
      </c>
      <c r="O224" s="56">
        <f>IF(NOT((COUNTA($B224:$D224)+COUNTA($G224:$L224)+COUNTA($Q224))&gt;0),"",IF(ISNUMBER($G224),IF(AND(ISNUMBER($AN224),$G224&gt;$AN224),"Cumplida con "&amp;($G224-$AN224)&amp;IF($G224-$AN224=1," día"," días")&amp;" de retraso","Cumplida"),IF(N($M224)&gt;=1,"Cumplida",IF(NOT(ISNUMBER($AN224)),"Sin fecha límite",IF($AN224&lt;FechaRef,"Vencida hace "&amp;(FechaRef-$AN224)&amp;IF(FechaRef-$AN224=1," día"," días"),IF($AN224=FechaRef,"Vence hoy",IF($AN224-FechaRef&lt;=DiasAlerta,"Vence en "&amp;($AN224-FechaRef)&amp;IF($AN224-FechaRef=1," día"," días"),"En plazo")))))))</f>
        <v/>
      </c>
      <c r="P224" s="62" t="n"/>
      <c r="Q224" s="58" t="n"/>
      <c r="R224" s="63">
        <f>IF(NOT((COUNTA($B224:$D224)+COUNTA($G224:$L224)+COUNTA($Q224))&gt;0),"",IF((IF($C224="","Falta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",""))="","✔ OK","⚠ "&amp;LEFT(IF($C224="","Falta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",""),LEN(IF($C224="","Falta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",""))-3)))</f>
        <v/>
      </c>
      <c r="S224" s="64">
        <f>IF(NOT((COUNTA($B224:$D224)+COUNTA($G224:$L224)+COUNTA($Q224))&gt;0),"",IF(AND($V224="Sub",N($U224)&gt;0),IF(ISNUMBER(INDEX($AM$5:$AM$1000,$U224-4)),DATE(YEAR(INDEX($AM$5:$AM$1000,$U224-4)),MONTH(INDEX($AM$5:$AM$1000,$U224-4)),1),IF(ISNUMBER(INDEX($AN$5:$AN$1000,$U224-4)),DATE(YEAR(INDEX($AN$5:$AN$1000,$U224-4)),MONTH(INDEX($AN$5:$AN$1000,$U224-4)),1),MesCiclo)),IF(ISNUMBER($AM224),DATE(YEAR($AM224),MONTH($AM224),1),IF(ISNUMBER($AN224),DATE(YEAR($AN224),MONTH($AN224),1),MesCiclo))))</f>
        <v/>
      </c>
      <c r="T224" s="62">
        <f>IF(OR($S224="",$S224&lt;&gt;MesCiclo),"",COUNTIF($S$5:$S224,MesCiclo))</f>
        <v/>
      </c>
      <c r="U224" s="62">
        <f>IF($V224="","",IF($V224="Macro",ROW(),IFERROR(LOOKUP(2,1/($V$5:$V224="Macro"),ROW($V$5:$V224)),0)))</f>
        <v/>
      </c>
      <c r="V224" s="62">
        <f>IF(NOT((COUNTA($B224:$D224)+COUNTA($G224:$L224)+COUNTA($Q224))&gt;0),"",IF($B224="Subactividad","Sub","Macro"))</f>
        <v/>
      </c>
      <c r="W224" s="62">
        <f>IF($V224="Macro",COUNTIFS($U$5:$U$1000,ROW(),$V$5:$V$1000,"Sub"),"")</f>
        <v/>
      </c>
      <c r="X224" s="62">
        <f>IF($V224="","",IF(ISNUMBER($G224),1,IFERROR(LOOKUP(2,1/($I224:$L224&lt;&gt;""),$I224:$L224),0)))</f>
        <v/>
      </c>
      <c r="Y224" s="62">
        <f>IF($V224="","",IF(AND(ISNUMBER($G224),$G224&lt;=IF($S224=MesCiclo,InicioCiclo,$S224+MOD(2-WEEKDAY($S224),7))+6),1,IF(ISNUMBER($I224),$I224,0)))</f>
        <v/>
      </c>
      <c r="Z224" s="62">
        <f>IF($V224="","",IF(AND(ISNUMBER($G224),$G224&lt;=IF($S224=MesCiclo,InicioCiclo,$S224+MOD(2-WEEKDAY($S224),7))+13),1,IF(ISNUMBER($J224),$J224,$Y224)))</f>
        <v/>
      </c>
      <c r="AA224" s="62">
        <f>IF($V224="","",IF(AND(ISNUMBER($G224),$G224&lt;=IF($S224=MesCiclo,InicioCiclo,$S224+MOD(2-WEEKDAY($S224),7))+20),1,IF(ISNUMBER($K224),$K224,$Z224)))</f>
        <v/>
      </c>
      <c r="AB224" s="62">
        <f>IF($V224="","",IF(AND(ISNUMBER($G224),$G224&lt;=IF($S224=MesCiclo,InicioCiclo,$S224+MOD(2-WEEKDAY($S224),7))+27),1,IF(ISNUMBER($L224),$L224,$AA224)))</f>
        <v/>
      </c>
      <c r="AC224" s="62">
        <f>IF($V224="","",IF(AND(ISNUMBER($G224),$G224&lt;=IF($S224=MesCiclo,InicioCiclo,$S224+MOD(2-WEEKDAY($S224),7))+6),1,IF(N($W224)&gt;0,AVERAGEIFS($Y$5:$Y$1000,$U$5:$U$1000,ROW(),$V$5:$V$1000,"Sub"),$Y224)))</f>
        <v/>
      </c>
      <c r="AD224" s="62">
        <f>IF($V224="","",IF(AND(ISNUMBER($G224),$G224&lt;=IF($S224=MesCiclo,InicioCiclo,$S224+MOD(2-WEEKDAY($S224),7))+13),1,IF(N($W224)&gt;0,AVERAGEIFS($Z$5:$Z$1000,$U$5:$U$1000,ROW(),$V$5:$V$1000,"Sub"),$Z224)))</f>
        <v/>
      </c>
      <c r="AE224" s="62">
        <f>IF($V224="","",IF(AND(ISNUMBER($G224),$G224&lt;=IF($S224=MesCiclo,InicioCiclo,$S224+MOD(2-WEEKDAY($S224),7))+20),1,IF(N($W224)&gt;0,AVERAGEIFS($AA$5:$AA$1000,$U$5:$U$1000,ROW(),$V$5:$V$1000,"Sub"),$AA224)))</f>
        <v/>
      </c>
      <c r="AF224" s="62">
        <f>IF($V224="","",IF(AND(ISNUMBER($G224),$G224&lt;=IF($S224=MesCiclo,InicioCiclo,$S224+MOD(2-WEEKDAY($S224),7))+27),1,IF(N($W224)&gt;0,AVERAGEIFS($AB$5:$AB$1000,$U$5:$U$1000,ROW(),$V$5:$V$1000,"Sub"),$AB224)))</f>
        <v/>
      </c>
      <c r="AG224" s="62">
        <f>IF($V224&lt;&gt;"Macro","",IF(COUNTIFS($S$5:$S$1000,$S224,$V$5:$V$1000,"Macro",$H$5:$H$1000,"&gt;0")=0,1/COUNTIFS($S$5:$S$1000,$S224,$V$5:$V$1000,"Macro"),IF(AND(ISNUMBER($H224),N($H224)&gt;0),$H224,SUMIFS($H$5:$H$1000,$S$5:$S$1000,$S224,$V$5:$V$1000,"Macro")/COUNTIFS($S$5:$S$1000,$S224,$V$5:$V$1000,"Macro",$H$5:$H$1000,"&gt;0"))/(COUNTIFS($S$5:$S$1000,$S224,$V$5:$V$1000,"Macro")*SUMIFS($H$5:$H$1000,$S$5:$S$1000,$S224,$V$5:$V$1000,"Macro")/COUNTIFS($S$5:$S$1000,$S224,$V$5:$V$1000,"Macro",$H$5:$H$1000,"&gt;0"))))</f>
        <v/>
      </c>
      <c r="AH224" s="62" t="n"/>
      <c r="AI224" s="62" t="n"/>
      <c r="AJ224" s="62" t="n"/>
      <c r="AK224" s="62" t="n"/>
      <c r="AL224" s="62">
        <f>IF(LEFT($C224,11)="[Jefatura] ",IFERROR(MATCH("Riesgo Normativo|"&amp;MID($C224,12,500),rDname_ADM,0),0),"")</f>
        <v/>
      </c>
      <c r="AM224" s="62">
        <f>IF(N($AL224)&gt;0,INDEX(rIni_ADM,$AL224),IF(ISNUMBER($E224),$E224,""))</f>
        <v/>
      </c>
      <c r="AN224" s="62">
        <f>IF(N($AL224)&gt;0,INDEX(rLim_ADM,$AL224),IF(ISNUMBER($F224),$F224,""))</f>
        <v/>
      </c>
    </row>
    <row r="225">
      <c r="A225" s="56">
        <f>IF(NOT((COUNTA($B225:$D225)+COUNTA($G225:$L225)+COUNTA($Q225))&gt;0),"",IF($V225="Macro",COUNTIFS($V$5:$V225,"Macro",$S$5:$S225,$S225),IF(N($U225)=0,"?",COUNTIFS(INDEX($V$5:$V$1000,1):INDEX($V$5:$V$1000,$U225-4),"Macro",INDEX($S$5:$S$1000,1):INDEX($S$5:$S$1000,$U225-4),INDEX($S$5:$S$1000,$U225-4))&amp;"."&amp;COUNTIFS($U$5:$U225,$U225,$V$5:$V225,"Sub"))))</f>
        <v/>
      </c>
      <c r="B225" s="57" t="n"/>
      <c r="C225" s="58" t="n"/>
      <c r="D225" s="58" t="n"/>
      <c r="E225" s="59">
        <f>IF(N($AL225)&gt;0,INDEX(rIni_ADM,$AL225),"")</f>
        <v/>
      </c>
      <c r="F225" s="59">
        <f>IF(N($AL225)&gt;0,INDEX(rLim_ADM,$AL225),"")</f>
        <v/>
      </c>
      <c r="G225" s="59" t="n"/>
      <c r="H225" s="60" t="n"/>
      <c r="I225" s="60" t="n"/>
      <c r="J225" s="60" t="n"/>
      <c r="K225" s="60" t="n"/>
      <c r="L225" s="60" t="n"/>
      <c r="M225" s="61">
        <f>IF(NOT((COUNTA($B225:$D225)+COUNTA($G225:$L225)+COUNTA($Q225))&gt;0),"",IF(ISNUMBER($G225),1,IF(N($W225)&gt;0,AVERAGEIFS($X$5:$X$1000,$U$5:$U$1000,ROW(),$V$5:$V$1000,"Sub"),$X225)))</f>
        <v/>
      </c>
      <c r="N225" s="56">
        <f>IF($M225="","",IF($M225&gt;=1,"Completado",IF($M225&gt;0,"En curso","Pendiente")))</f>
        <v/>
      </c>
      <c r="O225" s="56">
        <f>IF(NOT((COUNTA($B225:$D225)+COUNTA($G225:$L225)+COUNTA($Q225))&gt;0),"",IF(ISNUMBER($G225),IF(AND(ISNUMBER($AN225),$G225&gt;$AN225),"Cumplida con "&amp;($G225-$AN225)&amp;IF($G225-$AN225=1," día"," días")&amp;" de retraso","Cumplida"),IF(N($M225)&gt;=1,"Cumplida",IF(NOT(ISNUMBER($AN225)),"Sin fecha límite",IF($AN225&lt;FechaRef,"Vencida hace "&amp;(FechaRef-$AN225)&amp;IF(FechaRef-$AN225=1," día"," días"),IF($AN225=FechaRef,"Vence hoy",IF($AN225-FechaRef&lt;=DiasAlerta,"Vence en "&amp;($AN225-FechaRef)&amp;IF($AN225-FechaRef=1," día"," días"),"En plazo")))))))</f>
        <v/>
      </c>
      <c r="P225" s="62" t="n"/>
      <c r="Q225" s="58" t="n"/>
      <c r="R225" s="63">
        <f>IF(NOT((COUNTA($B225:$D225)+COUNTA($G225:$L225)+COUNTA($Q225))&gt;0),"",IF((IF($C225="","Falta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",""))="","✔ OK","⚠ "&amp;LEFT(IF($C225="","Falta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",""),LEN(IF($C225="","Falta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",""))-3)))</f>
        <v/>
      </c>
      <c r="S225" s="64">
        <f>IF(NOT((COUNTA($B225:$D225)+COUNTA($G225:$L225)+COUNTA($Q225))&gt;0),"",IF(AND($V225="Sub",N($U225)&gt;0),IF(ISNUMBER(INDEX($AM$5:$AM$1000,$U225-4)),DATE(YEAR(INDEX($AM$5:$AM$1000,$U225-4)),MONTH(INDEX($AM$5:$AM$1000,$U225-4)),1),IF(ISNUMBER(INDEX($AN$5:$AN$1000,$U225-4)),DATE(YEAR(INDEX($AN$5:$AN$1000,$U225-4)),MONTH(INDEX($AN$5:$AN$1000,$U225-4)),1),MesCiclo)),IF(ISNUMBER($AM225),DATE(YEAR($AM225),MONTH($AM225),1),IF(ISNUMBER($AN225),DATE(YEAR($AN225),MONTH($AN225),1),MesCiclo))))</f>
        <v/>
      </c>
      <c r="T225" s="62">
        <f>IF(OR($S225="",$S225&lt;&gt;MesCiclo),"",COUNTIF($S$5:$S225,MesCiclo))</f>
        <v/>
      </c>
      <c r="U225" s="62">
        <f>IF($V225="","",IF($V225="Macro",ROW(),IFERROR(LOOKUP(2,1/($V$5:$V225="Macro"),ROW($V$5:$V225)),0)))</f>
        <v/>
      </c>
      <c r="V225" s="62">
        <f>IF(NOT((COUNTA($B225:$D225)+COUNTA($G225:$L225)+COUNTA($Q225))&gt;0),"",IF($B225="Subactividad","Sub","Macro"))</f>
        <v/>
      </c>
      <c r="W225" s="62">
        <f>IF($V225="Macro",COUNTIFS($U$5:$U$1000,ROW(),$V$5:$V$1000,"Sub"),"")</f>
        <v/>
      </c>
      <c r="X225" s="62">
        <f>IF($V225="","",IF(ISNUMBER($G225),1,IFERROR(LOOKUP(2,1/($I225:$L225&lt;&gt;""),$I225:$L225),0)))</f>
        <v/>
      </c>
      <c r="Y225" s="62">
        <f>IF($V225="","",IF(AND(ISNUMBER($G225),$G225&lt;=IF($S225=MesCiclo,InicioCiclo,$S225+MOD(2-WEEKDAY($S225),7))+6),1,IF(ISNUMBER($I225),$I225,0)))</f>
        <v/>
      </c>
      <c r="Z225" s="62">
        <f>IF($V225="","",IF(AND(ISNUMBER($G225),$G225&lt;=IF($S225=MesCiclo,InicioCiclo,$S225+MOD(2-WEEKDAY($S225),7))+13),1,IF(ISNUMBER($J225),$J225,$Y225)))</f>
        <v/>
      </c>
      <c r="AA225" s="62">
        <f>IF($V225="","",IF(AND(ISNUMBER($G225),$G225&lt;=IF($S225=MesCiclo,InicioCiclo,$S225+MOD(2-WEEKDAY($S225),7))+20),1,IF(ISNUMBER($K225),$K225,$Z225)))</f>
        <v/>
      </c>
      <c r="AB225" s="62">
        <f>IF($V225="","",IF(AND(ISNUMBER($G225),$G225&lt;=IF($S225=MesCiclo,InicioCiclo,$S225+MOD(2-WEEKDAY($S225),7))+27),1,IF(ISNUMBER($L225),$L225,$AA225)))</f>
        <v/>
      </c>
      <c r="AC225" s="62">
        <f>IF($V225="","",IF(AND(ISNUMBER($G225),$G225&lt;=IF($S225=MesCiclo,InicioCiclo,$S225+MOD(2-WEEKDAY($S225),7))+6),1,IF(N($W225)&gt;0,AVERAGEIFS($Y$5:$Y$1000,$U$5:$U$1000,ROW(),$V$5:$V$1000,"Sub"),$Y225)))</f>
        <v/>
      </c>
      <c r="AD225" s="62">
        <f>IF($V225="","",IF(AND(ISNUMBER($G225),$G225&lt;=IF($S225=MesCiclo,InicioCiclo,$S225+MOD(2-WEEKDAY($S225),7))+13),1,IF(N($W225)&gt;0,AVERAGEIFS($Z$5:$Z$1000,$U$5:$U$1000,ROW(),$V$5:$V$1000,"Sub"),$Z225)))</f>
        <v/>
      </c>
      <c r="AE225" s="62">
        <f>IF($V225="","",IF(AND(ISNUMBER($G225),$G225&lt;=IF($S225=MesCiclo,InicioCiclo,$S225+MOD(2-WEEKDAY($S225),7))+20),1,IF(N($W225)&gt;0,AVERAGEIFS($AA$5:$AA$1000,$U$5:$U$1000,ROW(),$V$5:$V$1000,"Sub"),$AA225)))</f>
        <v/>
      </c>
      <c r="AF225" s="62">
        <f>IF($V225="","",IF(AND(ISNUMBER($G225),$G225&lt;=IF($S225=MesCiclo,InicioCiclo,$S225+MOD(2-WEEKDAY($S225),7))+27),1,IF(N($W225)&gt;0,AVERAGEIFS($AB$5:$AB$1000,$U$5:$U$1000,ROW(),$V$5:$V$1000,"Sub"),$AB225)))</f>
        <v/>
      </c>
      <c r="AG225" s="62">
        <f>IF($V225&lt;&gt;"Macro","",IF(COUNTIFS($S$5:$S$1000,$S225,$V$5:$V$1000,"Macro",$H$5:$H$1000,"&gt;0")=0,1/COUNTIFS($S$5:$S$1000,$S225,$V$5:$V$1000,"Macro"),IF(AND(ISNUMBER($H225),N($H225)&gt;0),$H225,SUMIFS($H$5:$H$1000,$S$5:$S$1000,$S225,$V$5:$V$1000,"Macro")/COUNTIFS($S$5:$S$1000,$S225,$V$5:$V$1000,"Macro",$H$5:$H$1000,"&gt;0"))/(COUNTIFS($S$5:$S$1000,$S225,$V$5:$V$1000,"Macro")*SUMIFS($H$5:$H$1000,$S$5:$S$1000,$S225,$V$5:$V$1000,"Macro")/COUNTIFS($S$5:$S$1000,$S225,$V$5:$V$1000,"Macro",$H$5:$H$1000,"&gt;0"))))</f>
        <v/>
      </c>
      <c r="AH225" s="62" t="n"/>
      <c r="AI225" s="62" t="n"/>
      <c r="AJ225" s="62" t="n"/>
      <c r="AK225" s="62" t="n"/>
      <c r="AL225" s="62">
        <f>IF(LEFT($C225,11)="[Jefatura] ",IFERROR(MATCH("Riesgo Normativo|"&amp;MID($C225,12,500),rDname_ADM,0),0),"")</f>
        <v/>
      </c>
      <c r="AM225" s="62">
        <f>IF(N($AL225)&gt;0,INDEX(rIni_ADM,$AL225),IF(ISNUMBER($E225),$E225,""))</f>
        <v/>
      </c>
      <c r="AN225" s="62">
        <f>IF(N($AL225)&gt;0,INDEX(rLim_ADM,$AL225),IF(ISNUMBER($F225),$F225,""))</f>
        <v/>
      </c>
    </row>
    <row r="226">
      <c r="A226" s="56">
        <f>IF(NOT((COUNTA($B226:$D226)+COUNTA($G226:$L226)+COUNTA($Q226))&gt;0),"",IF($V226="Macro",COUNTIFS($V$5:$V226,"Macro",$S$5:$S226,$S226),IF(N($U226)=0,"?",COUNTIFS(INDEX($V$5:$V$1000,1):INDEX($V$5:$V$1000,$U226-4),"Macro",INDEX($S$5:$S$1000,1):INDEX($S$5:$S$1000,$U226-4),INDEX($S$5:$S$1000,$U226-4))&amp;"."&amp;COUNTIFS($U$5:$U226,$U226,$V$5:$V226,"Sub"))))</f>
        <v/>
      </c>
      <c r="B226" s="57" t="n"/>
      <c r="C226" s="58" t="n"/>
      <c r="D226" s="58" t="n"/>
      <c r="E226" s="59">
        <f>IF(N($AL226)&gt;0,INDEX(rIni_ADM,$AL226),"")</f>
        <v/>
      </c>
      <c r="F226" s="59">
        <f>IF(N($AL226)&gt;0,INDEX(rLim_ADM,$AL226),"")</f>
        <v/>
      </c>
      <c r="G226" s="59" t="n"/>
      <c r="H226" s="60" t="n"/>
      <c r="I226" s="60" t="n"/>
      <c r="J226" s="60" t="n"/>
      <c r="K226" s="60" t="n"/>
      <c r="L226" s="60" t="n"/>
      <c r="M226" s="61">
        <f>IF(NOT((COUNTA($B226:$D226)+COUNTA($G226:$L226)+COUNTA($Q226))&gt;0),"",IF(ISNUMBER($G226),1,IF(N($W226)&gt;0,AVERAGEIFS($X$5:$X$1000,$U$5:$U$1000,ROW(),$V$5:$V$1000,"Sub"),$X226)))</f>
        <v/>
      </c>
      <c r="N226" s="56">
        <f>IF($M226="","",IF($M226&gt;=1,"Completado",IF($M226&gt;0,"En curso","Pendiente")))</f>
        <v/>
      </c>
      <c r="O226" s="56">
        <f>IF(NOT((COUNTA($B226:$D226)+COUNTA($G226:$L226)+COUNTA($Q226))&gt;0),"",IF(ISNUMBER($G226),IF(AND(ISNUMBER($AN226),$G226&gt;$AN226),"Cumplida con "&amp;($G226-$AN226)&amp;IF($G226-$AN226=1," día"," días")&amp;" de retraso","Cumplida"),IF(N($M226)&gt;=1,"Cumplida",IF(NOT(ISNUMBER($AN226)),"Sin fecha límite",IF($AN226&lt;FechaRef,"Vencida hace "&amp;(FechaRef-$AN226)&amp;IF(FechaRef-$AN226=1," día"," días"),IF($AN226=FechaRef,"Vence hoy",IF($AN226-FechaRef&lt;=DiasAlerta,"Vence en "&amp;($AN226-FechaRef)&amp;IF($AN226-FechaRef=1," día"," días"),"En plazo")))))))</f>
        <v/>
      </c>
      <c r="P226" s="62" t="n"/>
      <c r="Q226" s="58" t="n"/>
      <c r="R226" s="63">
        <f>IF(NOT((COUNTA($B226:$D226)+COUNTA($G226:$L226)+COUNTA($Q226))&gt;0),"",IF((IF($C226="","Falta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",""))="","✔ OK","⚠ "&amp;LEFT(IF($C226="","Falta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",""),LEN(IF($C226="","Falta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",""))-3)))</f>
        <v/>
      </c>
      <c r="S226" s="64">
        <f>IF(NOT((COUNTA($B226:$D226)+COUNTA($G226:$L226)+COUNTA($Q226))&gt;0),"",IF(AND($V226="Sub",N($U226)&gt;0),IF(ISNUMBER(INDEX($AM$5:$AM$1000,$U226-4)),DATE(YEAR(INDEX($AM$5:$AM$1000,$U226-4)),MONTH(INDEX($AM$5:$AM$1000,$U226-4)),1),IF(ISNUMBER(INDEX($AN$5:$AN$1000,$U226-4)),DATE(YEAR(INDEX($AN$5:$AN$1000,$U226-4)),MONTH(INDEX($AN$5:$AN$1000,$U226-4)),1),MesCiclo)),IF(ISNUMBER($AM226),DATE(YEAR($AM226),MONTH($AM226),1),IF(ISNUMBER($AN226),DATE(YEAR($AN226),MONTH($AN226),1),MesCiclo))))</f>
        <v/>
      </c>
      <c r="T226" s="62">
        <f>IF(OR($S226="",$S226&lt;&gt;MesCiclo),"",COUNTIF($S$5:$S226,MesCiclo))</f>
        <v/>
      </c>
      <c r="U226" s="62">
        <f>IF($V226="","",IF($V226="Macro",ROW(),IFERROR(LOOKUP(2,1/($V$5:$V226="Macro"),ROW($V$5:$V226)),0)))</f>
        <v/>
      </c>
      <c r="V226" s="62">
        <f>IF(NOT((COUNTA($B226:$D226)+COUNTA($G226:$L226)+COUNTA($Q226))&gt;0),"",IF($B226="Subactividad","Sub","Macro"))</f>
        <v/>
      </c>
      <c r="W226" s="62">
        <f>IF($V226="Macro",COUNTIFS($U$5:$U$1000,ROW(),$V$5:$V$1000,"Sub"),"")</f>
        <v/>
      </c>
      <c r="X226" s="62">
        <f>IF($V226="","",IF(ISNUMBER($G226),1,IFERROR(LOOKUP(2,1/($I226:$L226&lt;&gt;""),$I226:$L226),0)))</f>
        <v/>
      </c>
      <c r="Y226" s="62">
        <f>IF($V226="","",IF(AND(ISNUMBER($G226),$G226&lt;=IF($S226=MesCiclo,InicioCiclo,$S226+MOD(2-WEEKDAY($S226),7))+6),1,IF(ISNUMBER($I226),$I226,0)))</f>
        <v/>
      </c>
      <c r="Z226" s="62">
        <f>IF($V226="","",IF(AND(ISNUMBER($G226),$G226&lt;=IF($S226=MesCiclo,InicioCiclo,$S226+MOD(2-WEEKDAY($S226),7))+13),1,IF(ISNUMBER($J226),$J226,$Y226)))</f>
        <v/>
      </c>
      <c r="AA226" s="62">
        <f>IF($V226="","",IF(AND(ISNUMBER($G226),$G226&lt;=IF($S226=MesCiclo,InicioCiclo,$S226+MOD(2-WEEKDAY($S226),7))+20),1,IF(ISNUMBER($K226),$K226,$Z226)))</f>
        <v/>
      </c>
      <c r="AB226" s="62">
        <f>IF($V226="","",IF(AND(ISNUMBER($G226),$G226&lt;=IF($S226=MesCiclo,InicioCiclo,$S226+MOD(2-WEEKDAY($S226),7))+27),1,IF(ISNUMBER($L226),$L226,$AA226)))</f>
        <v/>
      </c>
      <c r="AC226" s="62">
        <f>IF($V226="","",IF(AND(ISNUMBER($G226),$G226&lt;=IF($S226=MesCiclo,InicioCiclo,$S226+MOD(2-WEEKDAY($S226),7))+6),1,IF(N($W226)&gt;0,AVERAGEIFS($Y$5:$Y$1000,$U$5:$U$1000,ROW(),$V$5:$V$1000,"Sub"),$Y226)))</f>
        <v/>
      </c>
      <c r="AD226" s="62">
        <f>IF($V226="","",IF(AND(ISNUMBER($G226),$G226&lt;=IF($S226=MesCiclo,InicioCiclo,$S226+MOD(2-WEEKDAY($S226),7))+13),1,IF(N($W226)&gt;0,AVERAGEIFS($Z$5:$Z$1000,$U$5:$U$1000,ROW(),$V$5:$V$1000,"Sub"),$Z226)))</f>
        <v/>
      </c>
      <c r="AE226" s="62">
        <f>IF($V226="","",IF(AND(ISNUMBER($G226),$G226&lt;=IF($S226=MesCiclo,InicioCiclo,$S226+MOD(2-WEEKDAY($S226),7))+20),1,IF(N($W226)&gt;0,AVERAGEIFS($AA$5:$AA$1000,$U$5:$U$1000,ROW(),$V$5:$V$1000,"Sub"),$AA226)))</f>
        <v/>
      </c>
      <c r="AF226" s="62">
        <f>IF($V226="","",IF(AND(ISNUMBER($G226),$G226&lt;=IF($S226=MesCiclo,InicioCiclo,$S226+MOD(2-WEEKDAY($S226),7))+27),1,IF(N($W226)&gt;0,AVERAGEIFS($AB$5:$AB$1000,$U$5:$U$1000,ROW(),$V$5:$V$1000,"Sub"),$AB226)))</f>
        <v/>
      </c>
      <c r="AG226" s="62">
        <f>IF($V226&lt;&gt;"Macro","",IF(COUNTIFS($S$5:$S$1000,$S226,$V$5:$V$1000,"Macro",$H$5:$H$1000,"&gt;0")=0,1/COUNTIFS($S$5:$S$1000,$S226,$V$5:$V$1000,"Macro"),IF(AND(ISNUMBER($H226),N($H226)&gt;0),$H226,SUMIFS($H$5:$H$1000,$S$5:$S$1000,$S226,$V$5:$V$1000,"Macro")/COUNTIFS($S$5:$S$1000,$S226,$V$5:$V$1000,"Macro",$H$5:$H$1000,"&gt;0"))/(COUNTIFS($S$5:$S$1000,$S226,$V$5:$V$1000,"Macro")*SUMIFS($H$5:$H$1000,$S$5:$S$1000,$S226,$V$5:$V$1000,"Macro")/COUNTIFS($S$5:$S$1000,$S226,$V$5:$V$1000,"Macro",$H$5:$H$1000,"&gt;0"))))</f>
        <v/>
      </c>
      <c r="AH226" s="62" t="n"/>
      <c r="AI226" s="62" t="n"/>
      <c r="AJ226" s="62" t="n"/>
      <c r="AK226" s="62" t="n"/>
      <c r="AL226" s="62">
        <f>IF(LEFT($C226,11)="[Jefatura] ",IFERROR(MATCH("Riesgo Normativo|"&amp;MID($C226,12,500),rDname_ADM,0),0),"")</f>
        <v/>
      </c>
      <c r="AM226" s="62">
        <f>IF(N($AL226)&gt;0,INDEX(rIni_ADM,$AL226),IF(ISNUMBER($E226),$E226,""))</f>
        <v/>
      </c>
      <c r="AN226" s="62">
        <f>IF(N($AL226)&gt;0,INDEX(rLim_ADM,$AL226),IF(ISNUMBER($F226),$F226,""))</f>
        <v/>
      </c>
    </row>
    <row r="227">
      <c r="A227" s="56">
        <f>IF(NOT((COUNTA($B227:$D227)+COUNTA($G227:$L227)+COUNTA($Q227))&gt;0),"",IF($V227="Macro",COUNTIFS($V$5:$V227,"Macro",$S$5:$S227,$S227),IF(N($U227)=0,"?",COUNTIFS(INDEX($V$5:$V$1000,1):INDEX($V$5:$V$1000,$U227-4),"Macro",INDEX($S$5:$S$1000,1):INDEX($S$5:$S$1000,$U227-4),INDEX($S$5:$S$1000,$U227-4))&amp;"."&amp;COUNTIFS($U$5:$U227,$U227,$V$5:$V227,"Sub"))))</f>
        <v/>
      </c>
      <c r="B227" s="57" t="n"/>
      <c r="C227" s="58" t="n"/>
      <c r="D227" s="58" t="n"/>
      <c r="E227" s="59">
        <f>IF(N($AL227)&gt;0,INDEX(rIni_ADM,$AL227),"")</f>
        <v/>
      </c>
      <c r="F227" s="59">
        <f>IF(N($AL227)&gt;0,INDEX(rLim_ADM,$AL227),"")</f>
        <v/>
      </c>
      <c r="G227" s="59" t="n"/>
      <c r="H227" s="60" t="n"/>
      <c r="I227" s="60" t="n"/>
      <c r="J227" s="60" t="n"/>
      <c r="K227" s="60" t="n"/>
      <c r="L227" s="60" t="n"/>
      <c r="M227" s="61">
        <f>IF(NOT((COUNTA($B227:$D227)+COUNTA($G227:$L227)+COUNTA($Q227))&gt;0),"",IF(ISNUMBER($G227),1,IF(N($W227)&gt;0,AVERAGEIFS($X$5:$X$1000,$U$5:$U$1000,ROW(),$V$5:$V$1000,"Sub"),$X227)))</f>
        <v/>
      </c>
      <c r="N227" s="56">
        <f>IF($M227="","",IF($M227&gt;=1,"Completado",IF($M227&gt;0,"En curso","Pendiente")))</f>
        <v/>
      </c>
      <c r="O227" s="56">
        <f>IF(NOT((COUNTA($B227:$D227)+COUNTA($G227:$L227)+COUNTA($Q227))&gt;0),"",IF(ISNUMBER($G227),IF(AND(ISNUMBER($AN227),$G227&gt;$AN227),"Cumplida con "&amp;($G227-$AN227)&amp;IF($G227-$AN227=1," día"," días")&amp;" de retraso","Cumplida"),IF(N($M227)&gt;=1,"Cumplida",IF(NOT(ISNUMBER($AN227)),"Sin fecha límite",IF($AN227&lt;FechaRef,"Vencida hace "&amp;(FechaRef-$AN227)&amp;IF(FechaRef-$AN227=1," día"," días"),IF($AN227=FechaRef,"Vence hoy",IF($AN227-FechaRef&lt;=DiasAlerta,"Vence en "&amp;($AN227-FechaRef)&amp;IF($AN227-FechaRef=1," día"," días"),"En plazo")))))))</f>
        <v/>
      </c>
      <c r="P227" s="62" t="n"/>
      <c r="Q227" s="58" t="n"/>
      <c r="R227" s="63">
        <f>IF(NOT((COUNTA($B227:$D227)+COUNTA($G227:$L227)+COUNTA($Q227))&gt;0),"",IF((IF($C227="","Falta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",""))="","✔ OK","⚠ "&amp;LEFT(IF($C227="","Falta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",""),LEN(IF($C227="","Falta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",""))-3)))</f>
        <v/>
      </c>
      <c r="S227" s="64">
        <f>IF(NOT((COUNTA($B227:$D227)+COUNTA($G227:$L227)+COUNTA($Q227))&gt;0),"",IF(AND($V227="Sub",N($U227)&gt;0),IF(ISNUMBER(INDEX($AM$5:$AM$1000,$U227-4)),DATE(YEAR(INDEX($AM$5:$AM$1000,$U227-4)),MONTH(INDEX($AM$5:$AM$1000,$U227-4)),1),IF(ISNUMBER(INDEX($AN$5:$AN$1000,$U227-4)),DATE(YEAR(INDEX($AN$5:$AN$1000,$U227-4)),MONTH(INDEX($AN$5:$AN$1000,$U227-4)),1),MesCiclo)),IF(ISNUMBER($AM227),DATE(YEAR($AM227),MONTH($AM227),1),IF(ISNUMBER($AN227),DATE(YEAR($AN227),MONTH($AN227),1),MesCiclo))))</f>
        <v/>
      </c>
      <c r="T227" s="62">
        <f>IF(OR($S227="",$S227&lt;&gt;MesCiclo),"",COUNTIF($S$5:$S227,MesCiclo))</f>
        <v/>
      </c>
      <c r="U227" s="62">
        <f>IF($V227="","",IF($V227="Macro",ROW(),IFERROR(LOOKUP(2,1/($V$5:$V227="Macro"),ROW($V$5:$V227)),0)))</f>
        <v/>
      </c>
      <c r="V227" s="62">
        <f>IF(NOT((COUNTA($B227:$D227)+COUNTA($G227:$L227)+COUNTA($Q227))&gt;0),"",IF($B227="Subactividad","Sub","Macro"))</f>
        <v/>
      </c>
      <c r="W227" s="62">
        <f>IF($V227="Macro",COUNTIFS($U$5:$U$1000,ROW(),$V$5:$V$1000,"Sub"),"")</f>
        <v/>
      </c>
      <c r="X227" s="62">
        <f>IF($V227="","",IF(ISNUMBER($G227),1,IFERROR(LOOKUP(2,1/($I227:$L227&lt;&gt;""),$I227:$L227),0)))</f>
        <v/>
      </c>
      <c r="Y227" s="62">
        <f>IF($V227="","",IF(AND(ISNUMBER($G227),$G227&lt;=IF($S227=MesCiclo,InicioCiclo,$S227+MOD(2-WEEKDAY($S227),7))+6),1,IF(ISNUMBER($I227),$I227,0)))</f>
        <v/>
      </c>
      <c r="Z227" s="62">
        <f>IF($V227="","",IF(AND(ISNUMBER($G227),$G227&lt;=IF($S227=MesCiclo,InicioCiclo,$S227+MOD(2-WEEKDAY($S227),7))+13),1,IF(ISNUMBER($J227),$J227,$Y227)))</f>
        <v/>
      </c>
      <c r="AA227" s="62">
        <f>IF($V227="","",IF(AND(ISNUMBER($G227),$G227&lt;=IF($S227=MesCiclo,InicioCiclo,$S227+MOD(2-WEEKDAY($S227),7))+20),1,IF(ISNUMBER($K227),$K227,$Z227)))</f>
        <v/>
      </c>
      <c r="AB227" s="62">
        <f>IF($V227="","",IF(AND(ISNUMBER($G227),$G227&lt;=IF($S227=MesCiclo,InicioCiclo,$S227+MOD(2-WEEKDAY($S227),7))+27),1,IF(ISNUMBER($L227),$L227,$AA227)))</f>
        <v/>
      </c>
      <c r="AC227" s="62">
        <f>IF($V227="","",IF(AND(ISNUMBER($G227),$G227&lt;=IF($S227=MesCiclo,InicioCiclo,$S227+MOD(2-WEEKDAY($S227),7))+6),1,IF(N($W227)&gt;0,AVERAGEIFS($Y$5:$Y$1000,$U$5:$U$1000,ROW(),$V$5:$V$1000,"Sub"),$Y227)))</f>
        <v/>
      </c>
      <c r="AD227" s="62">
        <f>IF($V227="","",IF(AND(ISNUMBER($G227),$G227&lt;=IF($S227=MesCiclo,InicioCiclo,$S227+MOD(2-WEEKDAY($S227),7))+13),1,IF(N($W227)&gt;0,AVERAGEIFS($Z$5:$Z$1000,$U$5:$U$1000,ROW(),$V$5:$V$1000,"Sub"),$Z227)))</f>
        <v/>
      </c>
      <c r="AE227" s="62">
        <f>IF($V227="","",IF(AND(ISNUMBER($G227),$G227&lt;=IF($S227=MesCiclo,InicioCiclo,$S227+MOD(2-WEEKDAY($S227),7))+20),1,IF(N($W227)&gt;0,AVERAGEIFS($AA$5:$AA$1000,$U$5:$U$1000,ROW(),$V$5:$V$1000,"Sub"),$AA227)))</f>
        <v/>
      </c>
      <c r="AF227" s="62">
        <f>IF($V227="","",IF(AND(ISNUMBER($G227),$G227&lt;=IF($S227=MesCiclo,InicioCiclo,$S227+MOD(2-WEEKDAY($S227),7))+27),1,IF(N($W227)&gt;0,AVERAGEIFS($AB$5:$AB$1000,$U$5:$U$1000,ROW(),$V$5:$V$1000,"Sub"),$AB227)))</f>
        <v/>
      </c>
      <c r="AG227" s="62">
        <f>IF($V227&lt;&gt;"Macro","",IF(COUNTIFS($S$5:$S$1000,$S227,$V$5:$V$1000,"Macro",$H$5:$H$1000,"&gt;0")=0,1/COUNTIFS($S$5:$S$1000,$S227,$V$5:$V$1000,"Macro"),IF(AND(ISNUMBER($H227),N($H227)&gt;0),$H227,SUMIFS($H$5:$H$1000,$S$5:$S$1000,$S227,$V$5:$V$1000,"Macro")/COUNTIFS($S$5:$S$1000,$S227,$V$5:$V$1000,"Macro",$H$5:$H$1000,"&gt;0"))/(COUNTIFS($S$5:$S$1000,$S227,$V$5:$V$1000,"Macro")*SUMIFS($H$5:$H$1000,$S$5:$S$1000,$S227,$V$5:$V$1000,"Macro")/COUNTIFS($S$5:$S$1000,$S227,$V$5:$V$1000,"Macro",$H$5:$H$1000,"&gt;0"))))</f>
        <v/>
      </c>
      <c r="AH227" s="62" t="n"/>
      <c r="AI227" s="62" t="n"/>
      <c r="AJ227" s="62" t="n"/>
      <c r="AK227" s="62" t="n"/>
      <c r="AL227" s="62">
        <f>IF(LEFT($C227,11)="[Jefatura] ",IFERROR(MATCH("Riesgo Normativo|"&amp;MID($C227,12,500),rDname_ADM,0),0),"")</f>
        <v/>
      </c>
      <c r="AM227" s="62">
        <f>IF(N($AL227)&gt;0,INDEX(rIni_ADM,$AL227),IF(ISNUMBER($E227),$E227,""))</f>
        <v/>
      </c>
      <c r="AN227" s="62">
        <f>IF(N($AL227)&gt;0,INDEX(rLim_ADM,$AL227),IF(ISNUMBER($F227),$F227,""))</f>
        <v/>
      </c>
    </row>
    <row r="228">
      <c r="A228" s="56">
        <f>IF(NOT((COUNTA($B228:$D228)+COUNTA($G228:$L228)+COUNTA($Q228))&gt;0),"",IF($V228="Macro",COUNTIFS($V$5:$V228,"Macro",$S$5:$S228,$S228),IF(N($U228)=0,"?",COUNTIFS(INDEX($V$5:$V$1000,1):INDEX($V$5:$V$1000,$U228-4),"Macro",INDEX($S$5:$S$1000,1):INDEX($S$5:$S$1000,$U228-4),INDEX($S$5:$S$1000,$U228-4))&amp;"."&amp;COUNTIFS($U$5:$U228,$U228,$V$5:$V228,"Sub"))))</f>
        <v/>
      </c>
      <c r="B228" s="57" t="n"/>
      <c r="C228" s="58" t="n"/>
      <c r="D228" s="58" t="n"/>
      <c r="E228" s="59">
        <f>IF(N($AL228)&gt;0,INDEX(rIni_ADM,$AL228),"")</f>
        <v/>
      </c>
      <c r="F228" s="59">
        <f>IF(N($AL228)&gt;0,INDEX(rLim_ADM,$AL228),"")</f>
        <v/>
      </c>
      <c r="G228" s="59" t="n"/>
      <c r="H228" s="60" t="n"/>
      <c r="I228" s="60" t="n"/>
      <c r="J228" s="60" t="n"/>
      <c r="K228" s="60" t="n"/>
      <c r="L228" s="60" t="n"/>
      <c r="M228" s="61">
        <f>IF(NOT((COUNTA($B228:$D228)+COUNTA($G228:$L228)+COUNTA($Q228))&gt;0),"",IF(ISNUMBER($G228),1,IF(N($W228)&gt;0,AVERAGEIFS($X$5:$X$1000,$U$5:$U$1000,ROW(),$V$5:$V$1000,"Sub"),$X228)))</f>
        <v/>
      </c>
      <c r="N228" s="56">
        <f>IF($M228="","",IF($M228&gt;=1,"Completado",IF($M228&gt;0,"En curso","Pendiente")))</f>
        <v/>
      </c>
      <c r="O228" s="56">
        <f>IF(NOT((COUNTA($B228:$D228)+COUNTA($G228:$L228)+COUNTA($Q228))&gt;0),"",IF(ISNUMBER($G228),IF(AND(ISNUMBER($AN228),$G228&gt;$AN228),"Cumplida con "&amp;($G228-$AN228)&amp;IF($G228-$AN228=1," día"," días")&amp;" de retraso","Cumplida"),IF(N($M228)&gt;=1,"Cumplida",IF(NOT(ISNUMBER($AN228)),"Sin fecha límite",IF($AN228&lt;FechaRef,"Vencida hace "&amp;(FechaRef-$AN228)&amp;IF(FechaRef-$AN228=1," día"," días"),IF($AN228=FechaRef,"Vence hoy",IF($AN228-FechaRef&lt;=DiasAlerta,"Vence en "&amp;($AN228-FechaRef)&amp;IF($AN228-FechaRef=1," día"," días"),"En plazo")))))))</f>
        <v/>
      </c>
      <c r="P228" s="62" t="n"/>
      <c r="Q228" s="58" t="n"/>
      <c r="R228" s="63">
        <f>IF(NOT((COUNTA($B228:$D228)+COUNTA($G228:$L228)+COUNTA($Q228))&gt;0),"",IF((IF($C228="","Falta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",""))="","✔ OK","⚠ "&amp;LEFT(IF($C228="","Falta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",""),LEN(IF($C228="","Falta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",""))-3)))</f>
        <v/>
      </c>
      <c r="S228" s="64">
        <f>IF(NOT((COUNTA($B228:$D228)+COUNTA($G228:$L228)+COUNTA($Q228))&gt;0),"",IF(AND($V228="Sub",N($U228)&gt;0),IF(ISNUMBER(INDEX($AM$5:$AM$1000,$U228-4)),DATE(YEAR(INDEX($AM$5:$AM$1000,$U228-4)),MONTH(INDEX($AM$5:$AM$1000,$U228-4)),1),IF(ISNUMBER(INDEX($AN$5:$AN$1000,$U228-4)),DATE(YEAR(INDEX($AN$5:$AN$1000,$U228-4)),MONTH(INDEX($AN$5:$AN$1000,$U228-4)),1),MesCiclo)),IF(ISNUMBER($AM228),DATE(YEAR($AM228),MONTH($AM228),1),IF(ISNUMBER($AN228),DATE(YEAR($AN228),MONTH($AN228),1),MesCiclo))))</f>
        <v/>
      </c>
      <c r="T228" s="62">
        <f>IF(OR($S228="",$S228&lt;&gt;MesCiclo),"",COUNTIF($S$5:$S228,MesCiclo))</f>
        <v/>
      </c>
      <c r="U228" s="62">
        <f>IF($V228="","",IF($V228="Macro",ROW(),IFERROR(LOOKUP(2,1/($V$5:$V228="Macro"),ROW($V$5:$V228)),0)))</f>
        <v/>
      </c>
      <c r="V228" s="62">
        <f>IF(NOT((COUNTA($B228:$D228)+COUNTA($G228:$L228)+COUNTA($Q228))&gt;0),"",IF($B228="Subactividad","Sub","Macro"))</f>
        <v/>
      </c>
      <c r="W228" s="62">
        <f>IF($V228="Macro",COUNTIFS($U$5:$U$1000,ROW(),$V$5:$V$1000,"Sub"),"")</f>
        <v/>
      </c>
      <c r="X228" s="62">
        <f>IF($V228="","",IF(ISNUMBER($G228),1,IFERROR(LOOKUP(2,1/($I228:$L228&lt;&gt;""),$I228:$L228),0)))</f>
        <v/>
      </c>
      <c r="Y228" s="62">
        <f>IF($V228="","",IF(AND(ISNUMBER($G228),$G228&lt;=IF($S228=MesCiclo,InicioCiclo,$S228+MOD(2-WEEKDAY($S228),7))+6),1,IF(ISNUMBER($I228),$I228,0)))</f>
        <v/>
      </c>
      <c r="Z228" s="62">
        <f>IF($V228="","",IF(AND(ISNUMBER($G228),$G228&lt;=IF($S228=MesCiclo,InicioCiclo,$S228+MOD(2-WEEKDAY($S228),7))+13),1,IF(ISNUMBER($J228),$J228,$Y228)))</f>
        <v/>
      </c>
      <c r="AA228" s="62">
        <f>IF($V228="","",IF(AND(ISNUMBER($G228),$G228&lt;=IF($S228=MesCiclo,InicioCiclo,$S228+MOD(2-WEEKDAY($S228),7))+20),1,IF(ISNUMBER($K228),$K228,$Z228)))</f>
        <v/>
      </c>
      <c r="AB228" s="62">
        <f>IF($V228="","",IF(AND(ISNUMBER($G228),$G228&lt;=IF($S228=MesCiclo,InicioCiclo,$S228+MOD(2-WEEKDAY($S228),7))+27),1,IF(ISNUMBER($L228),$L228,$AA228)))</f>
        <v/>
      </c>
      <c r="AC228" s="62">
        <f>IF($V228="","",IF(AND(ISNUMBER($G228),$G228&lt;=IF($S228=MesCiclo,InicioCiclo,$S228+MOD(2-WEEKDAY($S228),7))+6),1,IF(N($W228)&gt;0,AVERAGEIFS($Y$5:$Y$1000,$U$5:$U$1000,ROW(),$V$5:$V$1000,"Sub"),$Y228)))</f>
        <v/>
      </c>
      <c r="AD228" s="62">
        <f>IF($V228="","",IF(AND(ISNUMBER($G228),$G228&lt;=IF($S228=MesCiclo,InicioCiclo,$S228+MOD(2-WEEKDAY($S228),7))+13),1,IF(N($W228)&gt;0,AVERAGEIFS($Z$5:$Z$1000,$U$5:$U$1000,ROW(),$V$5:$V$1000,"Sub"),$Z228)))</f>
        <v/>
      </c>
      <c r="AE228" s="62">
        <f>IF($V228="","",IF(AND(ISNUMBER($G228),$G228&lt;=IF($S228=MesCiclo,InicioCiclo,$S228+MOD(2-WEEKDAY($S228),7))+20),1,IF(N($W228)&gt;0,AVERAGEIFS($AA$5:$AA$1000,$U$5:$U$1000,ROW(),$V$5:$V$1000,"Sub"),$AA228)))</f>
        <v/>
      </c>
      <c r="AF228" s="62">
        <f>IF($V228="","",IF(AND(ISNUMBER($G228),$G228&lt;=IF($S228=MesCiclo,InicioCiclo,$S228+MOD(2-WEEKDAY($S228),7))+27),1,IF(N($W228)&gt;0,AVERAGEIFS($AB$5:$AB$1000,$U$5:$U$1000,ROW(),$V$5:$V$1000,"Sub"),$AB228)))</f>
        <v/>
      </c>
      <c r="AG228" s="62">
        <f>IF($V228&lt;&gt;"Macro","",IF(COUNTIFS($S$5:$S$1000,$S228,$V$5:$V$1000,"Macro",$H$5:$H$1000,"&gt;0")=0,1/COUNTIFS($S$5:$S$1000,$S228,$V$5:$V$1000,"Macro"),IF(AND(ISNUMBER($H228),N($H228)&gt;0),$H228,SUMIFS($H$5:$H$1000,$S$5:$S$1000,$S228,$V$5:$V$1000,"Macro")/COUNTIFS($S$5:$S$1000,$S228,$V$5:$V$1000,"Macro",$H$5:$H$1000,"&gt;0"))/(COUNTIFS($S$5:$S$1000,$S228,$V$5:$V$1000,"Macro")*SUMIFS($H$5:$H$1000,$S$5:$S$1000,$S228,$V$5:$V$1000,"Macro")/COUNTIFS($S$5:$S$1000,$S228,$V$5:$V$1000,"Macro",$H$5:$H$1000,"&gt;0"))))</f>
        <v/>
      </c>
      <c r="AH228" s="62" t="n"/>
      <c r="AI228" s="62" t="n"/>
      <c r="AJ228" s="62" t="n"/>
      <c r="AK228" s="62" t="n"/>
      <c r="AL228" s="62">
        <f>IF(LEFT($C228,11)="[Jefatura] ",IFERROR(MATCH("Riesgo Normativo|"&amp;MID($C228,12,500),rDname_ADM,0),0),"")</f>
        <v/>
      </c>
      <c r="AM228" s="62">
        <f>IF(N($AL228)&gt;0,INDEX(rIni_ADM,$AL228),IF(ISNUMBER($E228),$E228,""))</f>
        <v/>
      </c>
      <c r="AN228" s="62">
        <f>IF(N($AL228)&gt;0,INDEX(rLim_ADM,$AL228),IF(ISNUMBER($F228),$F228,""))</f>
        <v/>
      </c>
    </row>
    <row r="229">
      <c r="A229" s="56">
        <f>IF(NOT((COUNTA($B229:$D229)+COUNTA($G229:$L229)+COUNTA($Q229))&gt;0),"",IF($V229="Macro",COUNTIFS($V$5:$V229,"Macro",$S$5:$S229,$S229),IF(N($U229)=0,"?",COUNTIFS(INDEX($V$5:$V$1000,1):INDEX($V$5:$V$1000,$U229-4),"Macro",INDEX($S$5:$S$1000,1):INDEX($S$5:$S$1000,$U229-4),INDEX($S$5:$S$1000,$U229-4))&amp;"."&amp;COUNTIFS($U$5:$U229,$U229,$V$5:$V229,"Sub"))))</f>
        <v/>
      </c>
      <c r="B229" s="57" t="n"/>
      <c r="C229" s="58" t="n"/>
      <c r="D229" s="58" t="n"/>
      <c r="E229" s="59">
        <f>IF(N($AL229)&gt;0,INDEX(rIni_ADM,$AL229),"")</f>
        <v/>
      </c>
      <c r="F229" s="59">
        <f>IF(N($AL229)&gt;0,INDEX(rLim_ADM,$AL229),"")</f>
        <v/>
      </c>
      <c r="G229" s="59" t="n"/>
      <c r="H229" s="60" t="n"/>
      <c r="I229" s="60" t="n"/>
      <c r="J229" s="60" t="n"/>
      <c r="K229" s="60" t="n"/>
      <c r="L229" s="60" t="n"/>
      <c r="M229" s="61">
        <f>IF(NOT((COUNTA($B229:$D229)+COUNTA($G229:$L229)+COUNTA($Q229))&gt;0),"",IF(ISNUMBER($G229),1,IF(N($W229)&gt;0,AVERAGEIFS($X$5:$X$1000,$U$5:$U$1000,ROW(),$V$5:$V$1000,"Sub"),$X229)))</f>
        <v/>
      </c>
      <c r="N229" s="56">
        <f>IF($M229="","",IF($M229&gt;=1,"Completado",IF($M229&gt;0,"En curso","Pendiente")))</f>
        <v/>
      </c>
      <c r="O229" s="56">
        <f>IF(NOT((COUNTA($B229:$D229)+COUNTA($G229:$L229)+COUNTA($Q229))&gt;0),"",IF(ISNUMBER($G229),IF(AND(ISNUMBER($AN229),$G229&gt;$AN229),"Cumplida con "&amp;($G229-$AN229)&amp;IF($G229-$AN229=1," día"," días")&amp;" de retraso","Cumplida"),IF(N($M229)&gt;=1,"Cumplida",IF(NOT(ISNUMBER($AN229)),"Sin fecha límite",IF($AN229&lt;FechaRef,"Vencida hace "&amp;(FechaRef-$AN229)&amp;IF(FechaRef-$AN229=1," día"," días"),IF($AN229=FechaRef,"Vence hoy",IF($AN229-FechaRef&lt;=DiasAlerta,"Vence en "&amp;($AN229-FechaRef)&amp;IF($AN229-FechaRef=1," día"," días"),"En plazo")))))))</f>
        <v/>
      </c>
      <c r="P229" s="62" t="n"/>
      <c r="Q229" s="58" t="n"/>
      <c r="R229" s="63">
        <f>IF(NOT((COUNTA($B229:$D229)+COUNTA($G229:$L229)+COUNTA($Q229))&gt;0),"",IF((IF($C229="","Falta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",""))="","✔ OK","⚠ "&amp;LEFT(IF($C229="","Falta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",""),LEN(IF($C229="","Falta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",""))-3)))</f>
        <v/>
      </c>
      <c r="S229" s="64">
        <f>IF(NOT((COUNTA($B229:$D229)+COUNTA($G229:$L229)+COUNTA($Q229))&gt;0),"",IF(AND($V229="Sub",N($U229)&gt;0),IF(ISNUMBER(INDEX($AM$5:$AM$1000,$U229-4)),DATE(YEAR(INDEX($AM$5:$AM$1000,$U229-4)),MONTH(INDEX($AM$5:$AM$1000,$U229-4)),1),IF(ISNUMBER(INDEX($AN$5:$AN$1000,$U229-4)),DATE(YEAR(INDEX($AN$5:$AN$1000,$U229-4)),MONTH(INDEX($AN$5:$AN$1000,$U229-4)),1),MesCiclo)),IF(ISNUMBER($AM229),DATE(YEAR($AM229),MONTH($AM229),1),IF(ISNUMBER($AN229),DATE(YEAR($AN229),MONTH($AN229),1),MesCiclo))))</f>
        <v/>
      </c>
      <c r="T229" s="62">
        <f>IF(OR($S229="",$S229&lt;&gt;MesCiclo),"",COUNTIF($S$5:$S229,MesCiclo))</f>
        <v/>
      </c>
      <c r="U229" s="62">
        <f>IF($V229="","",IF($V229="Macro",ROW(),IFERROR(LOOKUP(2,1/($V$5:$V229="Macro"),ROW($V$5:$V229)),0)))</f>
        <v/>
      </c>
      <c r="V229" s="62">
        <f>IF(NOT((COUNTA($B229:$D229)+COUNTA($G229:$L229)+COUNTA($Q229))&gt;0),"",IF($B229="Subactividad","Sub","Macro"))</f>
        <v/>
      </c>
      <c r="W229" s="62">
        <f>IF($V229="Macro",COUNTIFS($U$5:$U$1000,ROW(),$V$5:$V$1000,"Sub"),"")</f>
        <v/>
      </c>
      <c r="X229" s="62">
        <f>IF($V229="","",IF(ISNUMBER($G229),1,IFERROR(LOOKUP(2,1/($I229:$L229&lt;&gt;""),$I229:$L229),0)))</f>
        <v/>
      </c>
      <c r="Y229" s="62">
        <f>IF($V229="","",IF(AND(ISNUMBER($G229),$G229&lt;=IF($S229=MesCiclo,InicioCiclo,$S229+MOD(2-WEEKDAY($S229),7))+6),1,IF(ISNUMBER($I229),$I229,0)))</f>
        <v/>
      </c>
      <c r="Z229" s="62">
        <f>IF($V229="","",IF(AND(ISNUMBER($G229),$G229&lt;=IF($S229=MesCiclo,InicioCiclo,$S229+MOD(2-WEEKDAY($S229),7))+13),1,IF(ISNUMBER($J229),$J229,$Y229)))</f>
        <v/>
      </c>
      <c r="AA229" s="62">
        <f>IF($V229="","",IF(AND(ISNUMBER($G229),$G229&lt;=IF($S229=MesCiclo,InicioCiclo,$S229+MOD(2-WEEKDAY($S229),7))+20),1,IF(ISNUMBER($K229),$K229,$Z229)))</f>
        <v/>
      </c>
      <c r="AB229" s="62">
        <f>IF($V229="","",IF(AND(ISNUMBER($G229),$G229&lt;=IF($S229=MesCiclo,InicioCiclo,$S229+MOD(2-WEEKDAY($S229),7))+27),1,IF(ISNUMBER($L229),$L229,$AA229)))</f>
        <v/>
      </c>
      <c r="AC229" s="62">
        <f>IF($V229="","",IF(AND(ISNUMBER($G229),$G229&lt;=IF($S229=MesCiclo,InicioCiclo,$S229+MOD(2-WEEKDAY($S229),7))+6),1,IF(N($W229)&gt;0,AVERAGEIFS($Y$5:$Y$1000,$U$5:$U$1000,ROW(),$V$5:$V$1000,"Sub"),$Y229)))</f>
        <v/>
      </c>
      <c r="AD229" s="62">
        <f>IF($V229="","",IF(AND(ISNUMBER($G229),$G229&lt;=IF($S229=MesCiclo,InicioCiclo,$S229+MOD(2-WEEKDAY($S229),7))+13),1,IF(N($W229)&gt;0,AVERAGEIFS($Z$5:$Z$1000,$U$5:$U$1000,ROW(),$V$5:$V$1000,"Sub"),$Z229)))</f>
        <v/>
      </c>
      <c r="AE229" s="62">
        <f>IF($V229="","",IF(AND(ISNUMBER($G229),$G229&lt;=IF($S229=MesCiclo,InicioCiclo,$S229+MOD(2-WEEKDAY($S229),7))+20),1,IF(N($W229)&gt;0,AVERAGEIFS($AA$5:$AA$1000,$U$5:$U$1000,ROW(),$V$5:$V$1000,"Sub"),$AA229)))</f>
        <v/>
      </c>
      <c r="AF229" s="62">
        <f>IF($V229="","",IF(AND(ISNUMBER($G229),$G229&lt;=IF($S229=MesCiclo,InicioCiclo,$S229+MOD(2-WEEKDAY($S229),7))+27),1,IF(N($W229)&gt;0,AVERAGEIFS($AB$5:$AB$1000,$U$5:$U$1000,ROW(),$V$5:$V$1000,"Sub"),$AB229)))</f>
        <v/>
      </c>
      <c r="AG229" s="62">
        <f>IF($V229&lt;&gt;"Macro","",IF(COUNTIFS($S$5:$S$1000,$S229,$V$5:$V$1000,"Macro",$H$5:$H$1000,"&gt;0")=0,1/COUNTIFS($S$5:$S$1000,$S229,$V$5:$V$1000,"Macro"),IF(AND(ISNUMBER($H229),N($H229)&gt;0),$H229,SUMIFS($H$5:$H$1000,$S$5:$S$1000,$S229,$V$5:$V$1000,"Macro")/COUNTIFS($S$5:$S$1000,$S229,$V$5:$V$1000,"Macro",$H$5:$H$1000,"&gt;0"))/(COUNTIFS($S$5:$S$1000,$S229,$V$5:$V$1000,"Macro")*SUMIFS($H$5:$H$1000,$S$5:$S$1000,$S229,$V$5:$V$1000,"Macro")/COUNTIFS($S$5:$S$1000,$S229,$V$5:$V$1000,"Macro",$H$5:$H$1000,"&gt;0"))))</f>
        <v/>
      </c>
      <c r="AH229" s="62" t="n"/>
      <c r="AI229" s="62" t="n"/>
      <c r="AJ229" s="62" t="n"/>
      <c r="AK229" s="62" t="n"/>
      <c r="AL229" s="62">
        <f>IF(LEFT($C229,11)="[Jefatura] ",IFERROR(MATCH("Riesgo Normativo|"&amp;MID($C229,12,500),rDname_ADM,0),0),"")</f>
        <v/>
      </c>
      <c r="AM229" s="62">
        <f>IF(N($AL229)&gt;0,INDEX(rIni_ADM,$AL229),IF(ISNUMBER($E229),$E229,""))</f>
        <v/>
      </c>
      <c r="AN229" s="62">
        <f>IF(N($AL229)&gt;0,INDEX(rLim_ADM,$AL229),IF(ISNUMBER($F229),$F229,""))</f>
        <v/>
      </c>
    </row>
    <row r="230">
      <c r="A230" s="56">
        <f>IF(NOT((COUNTA($B230:$D230)+COUNTA($G230:$L230)+COUNTA($Q230))&gt;0),"",IF($V230="Macro",COUNTIFS($V$5:$V230,"Macro",$S$5:$S230,$S230),IF(N($U230)=0,"?",COUNTIFS(INDEX($V$5:$V$1000,1):INDEX($V$5:$V$1000,$U230-4),"Macro",INDEX($S$5:$S$1000,1):INDEX($S$5:$S$1000,$U230-4),INDEX($S$5:$S$1000,$U230-4))&amp;"."&amp;COUNTIFS($U$5:$U230,$U230,$V$5:$V230,"Sub"))))</f>
        <v/>
      </c>
      <c r="B230" s="57" t="n"/>
      <c r="C230" s="58" t="n"/>
      <c r="D230" s="58" t="n"/>
      <c r="E230" s="59">
        <f>IF(N($AL230)&gt;0,INDEX(rIni_ADM,$AL230),"")</f>
        <v/>
      </c>
      <c r="F230" s="59">
        <f>IF(N($AL230)&gt;0,INDEX(rLim_ADM,$AL230),"")</f>
        <v/>
      </c>
      <c r="G230" s="59" t="n"/>
      <c r="H230" s="60" t="n"/>
      <c r="I230" s="60" t="n"/>
      <c r="J230" s="60" t="n"/>
      <c r="K230" s="60" t="n"/>
      <c r="L230" s="60" t="n"/>
      <c r="M230" s="61">
        <f>IF(NOT((COUNTA($B230:$D230)+COUNTA($G230:$L230)+COUNTA($Q230))&gt;0),"",IF(ISNUMBER($G230),1,IF(N($W230)&gt;0,AVERAGEIFS($X$5:$X$1000,$U$5:$U$1000,ROW(),$V$5:$V$1000,"Sub"),$X230)))</f>
        <v/>
      </c>
      <c r="N230" s="56">
        <f>IF($M230="","",IF($M230&gt;=1,"Completado",IF($M230&gt;0,"En curso","Pendiente")))</f>
        <v/>
      </c>
      <c r="O230" s="56">
        <f>IF(NOT((COUNTA($B230:$D230)+COUNTA($G230:$L230)+COUNTA($Q230))&gt;0),"",IF(ISNUMBER($G230),IF(AND(ISNUMBER($AN230),$G230&gt;$AN230),"Cumplida con "&amp;($G230-$AN230)&amp;IF($G230-$AN230=1," día"," días")&amp;" de retraso","Cumplida"),IF(N($M230)&gt;=1,"Cumplida",IF(NOT(ISNUMBER($AN230)),"Sin fecha límite",IF($AN230&lt;FechaRef,"Vencida hace "&amp;(FechaRef-$AN230)&amp;IF(FechaRef-$AN230=1," día"," días"),IF($AN230=FechaRef,"Vence hoy",IF($AN230-FechaRef&lt;=DiasAlerta,"Vence en "&amp;($AN230-FechaRef)&amp;IF($AN230-FechaRef=1," día"," días"),"En plazo")))))))</f>
        <v/>
      </c>
      <c r="P230" s="62" t="n"/>
      <c r="Q230" s="58" t="n"/>
      <c r="R230" s="63">
        <f>IF(NOT((COUNTA($B230:$D230)+COUNTA($G230:$L230)+COUNTA($Q230))&gt;0),"",IF((IF($C230="","Falta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",""))="","✔ OK","⚠ "&amp;LEFT(IF($C230="","Falta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",""),LEN(IF($C230="","Falta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",""))-3)))</f>
        <v/>
      </c>
      <c r="S230" s="64">
        <f>IF(NOT((COUNTA($B230:$D230)+COUNTA($G230:$L230)+COUNTA($Q230))&gt;0),"",IF(AND($V230="Sub",N($U230)&gt;0),IF(ISNUMBER(INDEX($AM$5:$AM$1000,$U230-4)),DATE(YEAR(INDEX($AM$5:$AM$1000,$U230-4)),MONTH(INDEX($AM$5:$AM$1000,$U230-4)),1),IF(ISNUMBER(INDEX($AN$5:$AN$1000,$U230-4)),DATE(YEAR(INDEX($AN$5:$AN$1000,$U230-4)),MONTH(INDEX($AN$5:$AN$1000,$U230-4)),1),MesCiclo)),IF(ISNUMBER($AM230),DATE(YEAR($AM230),MONTH($AM230),1),IF(ISNUMBER($AN230),DATE(YEAR($AN230),MONTH($AN230),1),MesCiclo))))</f>
        <v/>
      </c>
      <c r="T230" s="62">
        <f>IF(OR($S230="",$S230&lt;&gt;MesCiclo),"",COUNTIF($S$5:$S230,MesCiclo))</f>
        <v/>
      </c>
      <c r="U230" s="62">
        <f>IF($V230="","",IF($V230="Macro",ROW(),IFERROR(LOOKUP(2,1/($V$5:$V230="Macro"),ROW($V$5:$V230)),0)))</f>
        <v/>
      </c>
      <c r="V230" s="62">
        <f>IF(NOT((COUNTA($B230:$D230)+COUNTA($G230:$L230)+COUNTA($Q230))&gt;0),"",IF($B230="Subactividad","Sub","Macro"))</f>
        <v/>
      </c>
      <c r="W230" s="62">
        <f>IF($V230="Macro",COUNTIFS($U$5:$U$1000,ROW(),$V$5:$V$1000,"Sub"),"")</f>
        <v/>
      </c>
      <c r="X230" s="62">
        <f>IF($V230="","",IF(ISNUMBER($G230),1,IFERROR(LOOKUP(2,1/($I230:$L230&lt;&gt;""),$I230:$L230),0)))</f>
        <v/>
      </c>
      <c r="Y230" s="62">
        <f>IF($V230="","",IF(AND(ISNUMBER($G230),$G230&lt;=IF($S230=MesCiclo,InicioCiclo,$S230+MOD(2-WEEKDAY($S230),7))+6),1,IF(ISNUMBER($I230),$I230,0)))</f>
        <v/>
      </c>
      <c r="Z230" s="62">
        <f>IF($V230="","",IF(AND(ISNUMBER($G230),$G230&lt;=IF($S230=MesCiclo,InicioCiclo,$S230+MOD(2-WEEKDAY($S230),7))+13),1,IF(ISNUMBER($J230),$J230,$Y230)))</f>
        <v/>
      </c>
      <c r="AA230" s="62">
        <f>IF($V230="","",IF(AND(ISNUMBER($G230),$G230&lt;=IF($S230=MesCiclo,InicioCiclo,$S230+MOD(2-WEEKDAY($S230),7))+20),1,IF(ISNUMBER($K230),$K230,$Z230)))</f>
        <v/>
      </c>
      <c r="AB230" s="62">
        <f>IF($V230="","",IF(AND(ISNUMBER($G230),$G230&lt;=IF($S230=MesCiclo,InicioCiclo,$S230+MOD(2-WEEKDAY($S230),7))+27),1,IF(ISNUMBER($L230),$L230,$AA230)))</f>
        <v/>
      </c>
      <c r="AC230" s="62">
        <f>IF($V230="","",IF(AND(ISNUMBER($G230),$G230&lt;=IF($S230=MesCiclo,InicioCiclo,$S230+MOD(2-WEEKDAY($S230),7))+6),1,IF(N($W230)&gt;0,AVERAGEIFS($Y$5:$Y$1000,$U$5:$U$1000,ROW(),$V$5:$V$1000,"Sub"),$Y230)))</f>
        <v/>
      </c>
      <c r="AD230" s="62">
        <f>IF($V230="","",IF(AND(ISNUMBER($G230),$G230&lt;=IF($S230=MesCiclo,InicioCiclo,$S230+MOD(2-WEEKDAY($S230),7))+13),1,IF(N($W230)&gt;0,AVERAGEIFS($Z$5:$Z$1000,$U$5:$U$1000,ROW(),$V$5:$V$1000,"Sub"),$Z230)))</f>
        <v/>
      </c>
      <c r="AE230" s="62">
        <f>IF($V230="","",IF(AND(ISNUMBER($G230),$G230&lt;=IF($S230=MesCiclo,InicioCiclo,$S230+MOD(2-WEEKDAY($S230),7))+20),1,IF(N($W230)&gt;0,AVERAGEIFS($AA$5:$AA$1000,$U$5:$U$1000,ROW(),$V$5:$V$1000,"Sub"),$AA230)))</f>
        <v/>
      </c>
      <c r="AF230" s="62">
        <f>IF($V230="","",IF(AND(ISNUMBER($G230),$G230&lt;=IF($S230=MesCiclo,InicioCiclo,$S230+MOD(2-WEEKDAY($S230),7))+27),1,IF(N($W230)&gt;0,AVERAGEIFS($AB$5:$AB$1000,$U$5:$U$1000,ROW(),$V$5:$V$1000,"Sub"),$AB230)))</f>
        <v/>
      </c>
      <c r="AG230" s="62">
        <f>IF($V230&lt;&gt;"Macro","",IF(COUNTIFS($S$5:$S$1000,$S230,$V$5:$V$1000,"Macro",$H$5:$H$1000,"&gt;0")=0,1/COUNTIFS($S$5:$S$1000,$S230,$V$5:$V$1000,"Macro"),IF(AND(ISNUMBER($H230),N($H230)&gt;0),$H230,SUMIFS($H$5:$H$1000,$S$5:$S$1000,$S230,$V$5:$V$1000,"Macro")/COUNTIFS($S$5:$S$1000,$S230,$V$5:$V$1000,"Macro",$H$5:$H$1000,"&gt;0"))/(COUNTIFS($S$5:$S$1000,$S230,$V$5:$V$1000,"Macro")*SUMIFS($H$5:$H$1000,$S$5:$S$1000,$S230,$V$5:$V$1000,"Macro")/COUNTIFS($S$5:$S$1000,$S230,$V$5:$V$1000,"Macro",$H$5:$H$1000,"&gt;0"))))</f>
        <v/>
      </c>
      <c r="AH230" s="62" t="n"/>
      <c r="AI230" s="62" t="n"/>
      <c r="AJ230" s="62" t="n"/>
      <c r="AK230" s="62" t="n"/>
      <c r="AL230" s="62">
        <f>IF(LEFT($C230,11)="[Jefatura] ",IFERROR(MATCH("Riesgo Normativo|"&amp;MID($C230,12,500),rDname_ADM,0),0),"")</f>
        <v/>
      </c>
      <c r="AM230" s="62">
        <f>IF(N($AL230)&gt;0,INDEX(rIni_ADM,$AL230),IF(ISNUMBER($E230),$E230,""))</f>
        <v/>
      </c>
      <c r="AN230" s="62">
        <f>IF(N($AL230)&gt;0,INDEX(rLim_ADM,$AL230),IF(ISNUMBER($F230),$F230,""))</f>
        <v/>
      </c>
    </row>
    <row r="231">
      <c r="A231" s="56">
        <f>IF(NOT((COUNTA($B231:$D231)+COUNTA($G231:$L231)+COUNTA($Q231))&gt;0),"",IF($V231="Macro",COUNTIFS($V$5:$V231,"Macro",$S$5:$S231,$S231),IF(N($U231)=0,"?",COUNTIFS(INDEX($V$5:$V$1000,1):INDEX($V$5:$V$1000,$U231-4),"Macro",INDEX($S$5:$S$1000,1):INDEX($S$5:$S$1000,$U231-4),INDEX($S$5:$S$1000,$U231-4))&amp;"."&amp;COUNTIFS($U$5:$U231,$U231,$V$5:$V231,"Sub"))))</f>
        <v/>
      </c>
      <c r="B231" s="57" t="n"/>
      <c r="C231" s="58" t="n"/>
      <c r="D231" s="58" t="n"/>
      <c r="E231" s="59">
        <f>IF(N($AL231)&gt;0,INDEX(rIni_ADM,$AL231),"")</f>
        <v/>
      </c>
      <c r="F231" s="59">
        <f>IF(N($AL231)&gt;0,INDEX(rLim_ADM,$AL231),"")</f>
        <v/>
      </c>
      <c r="G231" s="59" t="n"/>
      <c r="H231" s="60" t="n"/>
      <c r="I231" s="60" t="n"/>
      <c r="J231" s="60" t="n"/>
      <c r="K231" s="60" t="n"/>
      <c r="L231" s="60" t="n"/>
      <c r="M231" s="61">
        <f>IF(NOT((COUNTA($B231:$D231)+COUNTA($G231:$L231)+COUNTA($Q231))&gt;0),"",IF(ISNUMBER($G231),1,IF(N($W231)&gt;0,AVERAGEIFS($X$5:$X$1000,$U$5:$U$1000,ROW(),$V$5:$V$1000,"Sub"),$X231)))</f>
        <v/>
      </c>
      <c r="N231" s="56">
        <f>IF($M231="","",IF($M231&gt;=1,"Completado",IF($M231&gt;0,"En curso","Pendiente")))</f>
        <v/>
      </c>
      <c r="O231" s="56">
        <f>IF(NOT((COUNTA($B231:$D231)+COUNTA($G231:$L231)+COUNTA($Q231))&gt;0),"",IF(ISNUMBER($G231),IF(AND(ISNUMBER($AN231),$G231&gt;$AN231),"Cumplida con "&amp;($G231-$AN231)&amp;IF($G231-$AN231=1," día"," días")&amp;" de retraso","Cumplida"),IF(N($M231)&gt;=1,"Cumplida",IF(NOT(ISNUMBER($AN231)),"Sin fecha límite",IF($AN231&lt;FechaRef,"Vencida hace "&amp;(FechaRef-$AN231)&amp;IF(FechaRef-$AN231=1," día"," días"),IF($AN231=FechaRef,"Vence hoy",IF($AN231-FechaRef&lt;=DiasAlerta,"Vence en "&amp;($AN231-FechaRef)&amp;IF($AN231-FechaRef=1," día"," días"),"En plazo")))))))</f>
        <v/>
      </c>
      <c r="P231" s="62" t="n"/>
      <c r="Q231" s="58" t="n"/>
      <c r="R231" s="63">
        <f>IF(NOT((COUNTA($B231:$D231)+COUNTA($G231:$L231)+COUNTA($Q231))&gt;0),"",IF((IF($C231="","Falta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",""))="","✔ OK","⚠ "&amp;LEFT(IF($C231="","Falta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",""),LEN(IF($C231="","Falta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",""))-3)))</f>
        <v/>
      </c>
      <c r="S231" s="64">
        <f>IF(NOT((COUNTA($B231:$D231)+COUNTA($G231:$L231)+COUNTA($Q231))&gt;0),"",IF(AND($V231="Sub",N($U231)&gt;0),IF(ISNUMBER(INDEX($AM$5:$AM$1000,$U231-4)),DATE(YEAR(INDEX($AM$5:$AM$1000,$U231-4)),MONTH(INDEX($AM$5:$AM$1000,$U231-4)),1),IF(ISNUMBER(INDEX($AN$5:$AN$1000,$U231-4)),DATE(YEAR(INDEX($AN$5:$AN$1000,$U231-4)),MONTH(INDEX($AN$5:$AN$1000,$U231-4)),1),MesCiclo)),IF(ISNUMBER($AM231),DATE(YEAR($AM231),MONTH($AM231),1),IF(ISNUMBER($AN231),DATE(YEAR($AN231),MONTH($AN231),1),MesCiclo))))</f>
        <v/>
      </c>
      <c r="T231" s="62">
        <f>IF(OR($S231="",$S231&lt;&gt;MesCiclo),"",COUNTIF($S$5:$S231,MesCiclo))</f>
        <v/>
      </c>
      <c r="U231" s="62">
        <f>IF($V231="","",IF($V231="Macro",ROW(),IFERROR(LOOKUP(2,1/($V$5:$V231="Macro"),ROW($V$5:$V231)),0)))</f>
        <v/>
      </c>
      <c r="V231" s="62">
        <f>IF(NOT((COUNTA($B231:$D231)+COUNTA($G231:$L231)+COUNTA($Q231))&gt;0),"",IF($B231="Subactividad","Sub","Macro"))</f>
        <v/>
      </c>
      <c r="W231" s="62">
        <f>IF($V231="Macro",COUNTIFS($U$5:$U$1000,ROW(),$V$5:$V$1000,"Sub"),"")</f>
        <v/>
      </c>
      <c r="X231" s="62">
        <f>IF($V231="","",IF(ISNUMBER($G231),1,IFERROR(LOOKUP(2,1/($I231:$L231&lt;&gt;""),$I231:$L231),0)))</f>
        <v/>
      </c>
      <c r="Y231" s="62">
        <f>IF($V231="","",IF(AND(ISNUMBER($G231),$G231&lt;=IF($S231=MesCiclo,InicioCiclo,$S231+MOD(2-WEEKDAY($S231),7))+6),1,IF(ISNUMBER($I231),$I231,0)))</f>
        <v/>
      </c>
      <c r="Z231" s="62">
        <f>IF($V231="","",IF(AND(ISNUMBER($G231),$G231&lt;=IF($S231=MesCiclo,InicioCiclo,$S231+MOD(2-WEEKDAY($S231),7))+13),1,IF(ISNUMBER($J231),$J231,$Y231)))</f>
        <v/>
      </c>
      <c r="AA231" s="62">
        <f>IF($V231="","",IF(AND(ISNUMBER($G231),$G231&lt;=IF($S231=MesCiclo,InicioCiclo,$S231+MOD(2-WEEKDAY($S231),7))+20),1,IF(ISNUMBER($K231),$K231,$Z231)))</f>
        <v/>
      </c>
      <c r="AB231" s="62">
        <f>IF($V231="","",IF(AND(ISNUMBER($G231),$G231&lt;=IF($S231=MesCiclo,InicioCiclo,$S231+MOD(2-WEEKDAY($S231),7))+27),1,IF(ISNUMBER($L231),$L231,$AA231)))</f>
        <v/>
      </c>
      <c r="AC231" s="62">
        <f>IF($V231="","",IF(AND(ISNUMBER($G231),$G231&lt;=IF($S231=MesCiclo,InicioCiclo,$S231+MOD(2-WEEKDAY($S231),7))+6),1,IF(N($W231)&gt;0,AVERAGEIFS($Y$5:$Y$1000,$U$5:$U$1000,ROW(),$V$5:$V$1000,"Sub"),$Y231)))</f>
        <v/>
      </c>
      <c r="AD231" s="62">
        <f>IF($V231="","",IF(AND(ISNUMBER($G231),$G231&lt;=IF($S231=MesCiclo,InicioCiclo,$S231+MOD(2-WEEKDAY($S231),7))+13),1,IF(N($W231)&gt;0,AVERAGEIFS($Z$5:$Z$1000,$U$5:$U$1000,ROW(),$V$5:$V$1000,"Sub"),$Z231)))</f>
        <v/>
      </c>
      <c r="AE231" s="62">
        <f>IF($V231="","",IF(AND(ISNUMBER($G231),$G231&lt;=IF($S231=MesCiclo,InicioCiclo,$S231+MOD(2-WEEKDAY($S231),7))+20),1,IF(N($W231)&gt;0,AVERAGEIFS($AA$5:$AA$1000,$U$5:$U$1000,ROW(),$V$5:$V$1000,"Sub"),$AA231)))</f>
        <v/>
      </c>
      <c r="AF231" s="62">
        <f>IF($V231="","",IF(AND(ISNUMBER($G231),$G231&lt;=IF($S231=MesCiclo,InicioCiclo,$S231+MOD(2-WEEKDAY($S231),7))+27),1,IF(N($W231)&gt;0,AVERAGEIFS($AB$5:$AB$1000,$U$5:$U$1000,ROW(),$V$5:$V$1000,"Sub"),$AB231)))</f>
        <v/>
      </c>
      <c r="AG231" s="62">
        <f>IF($V231&lt;&gt;"Macro","",IF(COUNTIFS($S$5:$S$1000,$S231,$V$5:$V$1000,"Macro",$H$5:$H$1000,"&gt;0")=0,1/COUNTIFS($S$5:$S$1000,$S231,$V$5:$V$1000,"Macro"),IF(AND(ISNUMBER($H231),N($H231)&gt;0),$H231,SUMIFS($H$5:$H$1000,$S$5:$S$1000,$S231,$V$5:$V$1000,"Macro")/COUNTIFS($S$5:$S$1000,$S231,$V$5:$V$1000,"Macro",$H$5:$H$1000,"&gt;0"))/(COUNTIFS($S$5:$S$1000,$S231,$V$5:$V$1000,"Macro")*SUMIFS($H$5:$H$1000,$S$5:$S$1000,$S231,$V$5:$V$1000,"Macro")/COUNTIFS($S$5:$S$1000,$S231,$V$5:$V$1000,"Macro",$H$5:$H$1000,"&gt;0"))))</f>
        <v/>
      </c>
      <c r="AH231" s="62" t="n"/>
      <c r="AI231" s="62" t="n"/>
      <c r="AJ231" s="62" t="n"/>
      <c r="AK231" s="62" t="n"/>
      <c r="AL231" s="62">
        <f>IF(LEFT($C231,11)="[Jefatura] ",IFERROR(MATCH("Riesgo Normativo|"&amp;MID($C231,12,500),rDname_ADM,0),0),"")</f>
        <v/>
      </c>
      <c r="AM231" s="62">
        <f>IF(N($AL231)&gt;0,INDEX(rIni_ADM,$AL231),IF(ISNUMBER($E231),$E231,""))</f>
        <v/>
      </c>
      <c r="AN231" s="62">
        <f>IF(N($AL231)&gt;0,INDEX(rLim_ADM,$AL231),IF(ISNUMBER($F231),$F231,""))</f>
        <v/>
      </c>
    </row>
    <row r="232">
      <c r="A232" s="56">
        <f>IF(NOT((COUNTA($B232:$D232)+COUNTA($G232:$L232)+COUNTA($Q232))&gt;0),"",IF($V232="Macro",COUNTIFS($V$5:$V232,"Macro",$S$5:$S232,$S232),IF(N($U232)=0,"?",COUNTIFS(INDEX($V$5:$V$1000,1):INDEX($V$5:$V$1000,$U232-4),"Macro",INDEX($S$5:$S$1000,1):INDEX($S$5:$S$1000,$U232-4),INDEX($S$5:$S$1000,$U232-4))&amp;"."&amp;COUNTIFS($U$5:$U232,$U232,$V$5:$V232,"Sub"))))</f>
        <v/>
      </c>
      <c r="B232" s="57" t="n"/>
      <c r="C232" s="58" t="n"/>
      <c r="D232" s="58" t="n"/>
      <c r="E232" s="59">
        <f>IF(N($AL232)&gt;0,INDEX(rIni_ADM,$AL232),"")</f>
        <v/>
      </c>
      <c r="F232" s="59">
        <f>IF(N($AL232)&gt;0,INDEX(rLim_ADM,$AL232),"")</f>
        <v/>
      </c>
      <c r="G232" s="59" t="n"/>
      <c r="H232" s="60" t="n"/>
      <c r="I232" s="60" t="n"/>
      <c r="J232" s="60" t="n"/>
      <c r="K232" s="60" t="n"/>
      <c r="L232" s="60" t="n"/>
      <c r="M232" s="61">
        <f>IF(NOT((COUNTA($B232:$D232)+COUNTA($G232:$L232)+COUNTA($Q232))&gt;0),"",IF(ISNUMBER($G232),1,IF(N($W232)&gt;0,AVERAGEIFS($X$5:$X$1000,$U$5:$U$1000,ROW(),$V$5:$V$1000,"Sub"),$X232)))</f>
        <v/>
      </c>
      <c r="N232" s="56">
        <f>IF($M232="","",IF($M232&gt;=1,"Completado",IF($M232&gt;0,"En curso","Pendiente")))</f>
        <v/>
      </c>
      <c r="O232" s="56">
        <f>IF(NOT((COUNTA($B232:$D232)+COUNTA($G232:$L232)+COUNTA($Q232))&gt;0),"",IF(ISNUMBER($G232),IF(AND(ISNUMBER($AN232),$G232&gt;$AN232),"Cumplida con "&amp;($G232-$AN232)&amp;IF($G232-$AN232=1," día"," días")&amp;" de retraso","Cumplida"),IF(N($M232)&gt;=1,"Cumplida",IF(NOT(ISNUMBER($AN232)),"Sin fecha límite",IF($AN232&lt;FechaRef,"Vencida hace "&amp;(FechaRef-$AN232)&amp;IF(FechaRef-$AN232=1," día"," días"),IF($AN232=FechaRef,"Vence hoy",IF($AN232-FechaRef&lt;=DiasAlerta,"Vence en "&amp;($AN232-FechaRef)&amp;IF($AN232-FechaRef=1," día"," días"),"En plazo")))))))</f>
        <v/>
      </c>
      <c r="P232" s="62" t="n"/>
      <c r="Q232" s="58" t="n"/>
      <c r="R232" s="63">
        <f>IF(NOT((COUNTA($B232:$D232)+COUNTA($G232:$L232)+COUNTA($Q232))&gt;0),"",IF((IF($C232="","Falta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",""))="","✔ OK","⚠ "&amp;LEFT(IF($C232="","Falta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",""),LEN(IF($C232="","Falta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",""))-3)))</f>
        <v/>
      </c>
      <c r="S232" s="64">
        <f>IF(NOT((COUNTA($B232:$D232)+COUNTA($G232:$L232)+COUNTA($Q232))&gt;0),"",IF(AND($V232="Sub",N($U232)&gt;0),IF(ISNUMBER(INDEX($AM$5:$AM$1000,$U232-4)),DATE(YEAR(INDEX($AM$5:$AM$1000,$U232-4)),MONTH(INDEX($AM$5:$AM$1000,$U232-4)),1),IF(ISNUMBER(INDEX($AN$5:$AN$1000,$U232-4)),DATE(YEAR(INDEX($AN$5:$AN$1000,$U232-4)),MONTH(INDEX($AN$5:$AN$1000,$U232-4)),1),MesCiclo)),IF(ISNUMBER($AM232),DATE(YEAR($AM232),MONTH($AM232),1),IF(ISNUMBER($AN232),DATE(YEAR($AN232),MONTH($AN232),1),MesCiclo))))</f>
        <v/>
      </c>
      <c r="T232" s="62">
        <f>IF(OR($S232="",$S232&lt;&gt;MesCiclo),"",COUNTIF($S$5:$S232,MesCiclo))</f>
        <v/>
      </c>
      <c r="U232" s="62">
        <f>IF($V232="","",IF($V232="Macro",ROW(),IFERROR(LOOKUP(2,1/($V$5:$V232="Macro"),ROW($V$5:$V232)),0)))</f>
        <v/>
      </c>
      <c r="V232" s="62">
        <f>IF(NOT((COUNTA($B232:$D232)+COUNTA($G232:$L232)+COUNTA($Q232))&gt;0),"",IF($B232="Subactividad","Sub","Macro"))</f>
        <v/>
      </c>
      <c r="W232" s="62">
        <f>IF($V232="Macro",COUNTIFS($U$5:$U$1000,ROW(),$V$5:$V$1000,"Sub"),"")</f>
        <v/>
      </c>
      <c r="X232" s="62">
        <f>IF($V232="","",IF(ISNUMBER($G232),1,IFERROR(LOOKUP(2,1/($I232:$L232&lt;&gt;""),$I232:$L232),0)))</f>
        <v/>
      </c>
      <c r="Y232" s="62">
        <f>IF($V232="","",IF(AND(ISNUMBER($G232),$G232&lt;=IF($S232=MesCiclo,InicioCiclo,$S232+MOD(2-WEEKDAY($S232),7))+6),1,IF(ISNUMBER($I232),$I232,0)))</f>
        <v/>
      </c>
      <c r="Z232" s="62">
        <f>IF($V232="","",IF(AND(ISNUMBER($G232),$G232&lt;=IF($S232=MesCiclo,InicioCiclo,$S232+MOD(2-WEEKDAY($S232),7))+13),1,IF(ISNUMBER($J232),$J232,$Y232)))</f>
        <v/>
      </c>
      <c r="AA232" s="62">
        <f>IF($V232="","",IF(AND(ISNUMBER($G232),$G232&lt;=IF($S232=MesCiclo,InicioCiclo,$S232+MOD(2-WEEKDAY($S232),7))+20),1,IF(ISNUMBER($K232),$K232,$Z232)))</f>
        <v/>
      </c>
      <c r="AB232" s="62">
        <f>IF($V232="","",IF(AND(ISNUMBER($G232),$G232&lt;=IF($S232=MesCiclo,InicioCiclo,$S232+MOD(2-WEEKDAY($S232),7))+27),1,IF(ISNUMBER($L232),$L232,$AA232)))</f>
        <v/>
      </c>
      <c r="AC232" s="62">
        <f>IF($V232="","",IF(AND(ISNUMBER($G232),$G232&lt;=IF($S232=MesCiclo,InicioCiclo,$S232+MOD(2-WEEKDAY($S232),7))+6),1,IF(N($W232)&gt;0,AVERAGEIFS($Y$5:$Y$1000,$U$5:$U$1000,ROW(),$V$5:$V$1000,"Sub"),$Y232)))</f>
        <v/>
      </c>
      <c r="AD232" s="62">
        <f>IF($V232="","",IF(AND(ISNUMBER($G232),$G232&lt;=IF($S232=MesCiclo,InicioCiclo,$S232+MOD(2-WEEKDAY($S232),7))+13),1,IF(N($W232)&gt;0,AVERAGEIFS($Z$5:$Z$1000,$U$5:$U$1000,ROW(),$V$5:$V$1000,"Sub"),$Z232)))</f>
        <v/>
      </c>
      <c r="AE232" s="62">
        <f>IF($V232="","",IF(AND(ISNUMBER($G232),$G232&lt;=IF($S232=MesCiclo,InicioCiclo,$S232+MOD(2-WEEKDAY($S232),7))+20),1,IF(N($W232)&gt;0,AVERAGEIFS($AA$5:$AA$1000,$U$5:$U$1000,ROW(),$V$5:$V$1000,"Sub"),$AA232)))</f>
        <v/>
      </c>
      <c r="AF232" s="62">
        <f>IF($V232="","",IF(AND(ISNUMBER($G232),$G232&lt;=IF($S232=MesCiclo,InicioCiclo,$S232+MOD(2-WEEKDAY($S232),7))+27),1,IF(N($W232)&gt;0,AVERAGEIFS($AB$5:$AB$1000,$U$5:$U$1000,ROW(),$V$5:$V$1000,"Sub"),$AB232)))</f>
        <v/>
      </c>
      <c r="AG232" s="62">
        <f>IF($V232&lt;&gt;"Macro","",IF(COUNTIFS($S$5:$S$1000,$S232,$V$5:$V$1000,"Macro",$H$5:$H$1000,"&gt;0")=0,1/COUNTIFS($S$5:$S$1000,$S232,$V$5:$V$1000,"Macro"),IF(AND(ISNUMBER($H232),N($H232)&gt;0),$H232,SUMIFS($H$5:$H$1000,$S$5:$S$1000,$S232,$V$5:$V$1000,"Macro")/COUNTIFS($S$5:$S$1000,$S232,$V$5:$V$1000,"Macro",$H$5:$H$1000,"&gt;0"))/(COUNTIFS($S$5:$S$1000,$S232,$V$5:$V$1000,"Macro")*SUMIFS($H$5:$H$1000,$S$5:$S$1000,$S232,$V$5:$V$1000,"Macro")/COUNTIFS($S$5:$S$1000,$S232,$V$5:$V$1000,"Macro",$H$5:$H$1000,"&gt;0"))))</f>
        <v/>
      </c>
      <c r="AH232" s="62" t="n"/>
      <c r="AI232" s="62" t="n"/>
      <c r="AJ232" s="62" t="n"/>
      <c r="AK232" s="62" t="n"/>
      <c r="AL232" s="62">
        <f>IF(LEFT($C232,11)="[Jefatura] ",IFERROR(MATCH("Riesgo Normativo|"&amp;MID($C232,12,500),rDname_ADM,0),0),"")</f>
        <v/>
      </c>
      <c r="AM232" s="62">
        <f>IF(N($AL232)&gt;0,INDEX(rIni_ADM,$AL232),IF(ISNUMBER($E232),$E232,""))</f>
        <v/>
      </c>
      <c r="AN232" s="62">
        <f>IF(N($AL232)&gt;0,INDEX(rLim_ADM,$AL232),IF(ISNUMBER($F232),$F232,""))</f>
        <v/>
      </c>
    </row>
    <row r="233">
      <c r="A233" s="56">
        <f>IF(NOT((COUNTA($B233:$D233)+COUNTA($G233:$L233)+COUNTA($Q233))&gt;0),"",IF($V233="Macro",COUNTIFS($V$5:$V233,"Macro",$S$5:$S233,$S233),IF(N($U233)=0,"?",COUNTIFS(INDEX($V$5:$V$1000,1):INDEX($V$5:$V$1000,$U233-4),"Macro",INDEX($S$5:$S$1000,1):INDEX($S$5:$S$1000,$U233-4),INDEX($S$5:$S$1000,$U233-4))&amp;"."&amp;COUNTIFS($U$5:$U233,$U233,$V$5:$V233,"Sub"))))</f>
        <v/>
      </c>
      <c r="B233" s="57" t="n"/>
      <c r="C233" s="58" t="n"/>
      <c r="D233" s="58" t="n"/>
      <c r="E233" s="59">
        <f>IF(N($AL233)&gt;0,INDEX(rIni_ADM,$AL233),"")</f>
        <v/>
      </c>
      <c r="F233" s="59">
        <f>IF(N($AL233)&gt;0,INDEX(rLim_ADM,$AL233),"")</f>
        <v/>
      </c>
      <c r="G233" s="59" t="n"/>
      <c r="H233" s="60" t="n"/>
      <c r="I233" s="60" t="n"/>
      <c r="J233" s="60" t="n"/>
      <c r="K233" s="60" t="n"/>
      <c r="L233" s="60" t="n"/>
      <c r="M233" s="61">
        <f>IF(NOT((COUNTA($B233:$D233)+COUNTA($G233:$L233)+COUNTA($Q233))&gt;0),"",IF(ISNUMBER($G233),1,IF(N($W233)&gt;0,AVERAGEIFS($X$5:$X$1000,$U$5:$U$1000,ROW(),$V$5:$V$1000,"Sub"),$X233)))</f>
        <v/>
      </c>
      <c r="N233" s="56">
        <f>IF($M233="","",IF($M233&gt;=1,"Completado",IF($M233&gt;0,"En curso","Pendiente")))</f>
        <v/>
      </c>
      <c r="O233" s="56">
        <f>IF(NOT((COUNTA($B233:$D233)+COUNTA($G233:$L233)+COUNTA($Q233))&gt;0),"",IF(ISNUMBER($G233),IF(AND(ISNUMBER($AN233),$G233&gt;$AN233),"Cumplida con "&amp;($G233-$AN233)&amp;IF($G233-$AN233=1," día"," días")&amp;" de retraso","Cumplida"),IF(N($M233)&gt;=1,"Cumplida",IF(NOT(ISNUMBER($AN233)),"Sin fecha límite",IF($AN233&lt;FechaRef,"Vencida hace "&amp;(FechaRef-$AN233)&amp;IF(FechaRef-$AN233=1," día"," días"),IF($AN233=FechaRef,"Vence hoy",IF($AN233-FechaRef&lt;=DiasAlerta,"Vence en "&amp;($AN233-FechaRef)&amp;IF($AN233-FechaRef=1," día"," días"),"En plazo")))))))</f>
        <v/>
      </c>
      <c r="P233" s="62" t="n"/>
      <c r="Q233" s="58" t="n"/>
      <c r="R233" s="63">
        <f>IF(NOT((COUNTA($B233:$D233)+COUNTA($G233:$L233)+COUNTA($Q233))&gt;0),"",IF((IF($C233="","Falta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",""))="","✔ OK","⚠ "&amp;LEFT(IF($C233="","Falta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",""),LEN(IF($C233="","Falta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",""))-3)))</f>
        <v/>
      </c>
      <c r="S233" s="64">
        <f>IF(NOT((COUNTA($B233:$D233)+COUNTA($G233:$L233)+COUNTA($Q233))&gt;0),"",IF(AND($V233="Sub",N($U233)&gt;0),IF(ISNUMBER(INDEX($AM$5:$AM$1000,$U233-4)),DATE(YEAR(INDEX($AM$5:$AM$1000,$U233-4)),MONTH(INDEX($AM$5:$AM$1000,$U233-4)),1),IF(ISNUMBER(INDEX($AN$5:$AN$1000,$U233-4)),DATE(YEAR(INDEX($AN$5:$AN$1000,$U233-4)),MONTH(INDEX($AN$5:$AN$1000,$U233-4)),1),MesCiclo)),IF(ISNUMBER($AM233),DATE(YEAR($AM233),MONTH($AM233),1),IF(ISNUMBER($AN233),DATE(YEAR($AN233),MONTH($AN233),1),MesCiclo))))</f>
        <v/>
      </c>
      <c r="T233" s="62">
        <f>IF(OR($S233="",$S233&lt;&gt;MesCiclo),"",COUNTIF($S$5:$S233,MesCiclo))</f>
        <v/>
      </c>
      <c r="U233" s="62">
        <f>IF($V233="","",IF($V233="Macro",ROW(),IFERROR(LOOKUP(2,1/($V$5:$V233="Macro"),ROW($V$5:$V233)),0)))</f>
        <v/>
      </c>
      <c r="V233" s="62">
        <f>IF(NOT((COUNTA($B233:$D233)+COUNTA($G233:$L233)+COUNTA($Q233))&gt;0),"",IF($B233="Subactividad","Sub","Macro"))</f>
        <v/>
      </c>
      <c r="W233" s="62">
        <f>IF($V233="Macro",COUNTIFS($U$5:$U$1000,ROW(),$V$5:$V$1000,"Sub"),"")</f>
        <v/>
      </c>
      <c r="X233" s="62">
        <f>IF($V233="","",IF(ISNUMBER($G233),1,IFERROR(LOOKUP(2,1/($I233:$L233&lt;&gt;""),$I233:$L233),0)))</f>
        <v/>
      </c>
      <c r="Y233" s="62">
        <f>IF($V233="","",IF(AND(ISNUMBER($G233),$G233&lt;=IF($S233=MesCiclo,InicioCiclo,$S233+MOD(2-WEEKDAY($S233),7))+6),1,IF(ISNUMBER($I233),$I233,0)))</f>
        <v/>
      </c>
      <c r="Z233" s="62">
        <f>IF($V233="","",IF(AND(ISNUMBER($G233),$G233&lt;=IF($S233=MesCiclo,InicioCiclo,$S233+MOD(2-WEEKDAY($S233),7))+13),1,IF(ISNUMBER($J233),$J233,$Y233)))</f>
        <v/>
      </c>
      <c r="AA233" s="62">
        <f>IF($V233="","",IF(AND(ISNUMBER($G233),$G233&lt;=IF($S233=MesCiclo,InicioCiclo,$S233+MOD(2-WEEKDAY($S233),7))+20),1,IF(ISNUMBER($K233),$K233,$Z233)))</f>
        <v/>
      </c>
      <c r="AB233" s="62">
        <f>IF($V233="","",IF(AND(ISNUMBER($G233),$G233&lt;=IF($S233=MesCiclo,InicioCiclo,$S233+MOD(2-WEEKDAY($S233),7))+27),1,IF(ISNUMBER($L233),$L233,$AA233)))</f>
        <v/>
      </c>
      <c r="AC233" s="62">
        <f>IF($V233="","",IF(AND(ISNUMBER($G233),$G233&lt;=IF($S233=MesCiclo,InicioCiclo,$S233+MOD(2-WEEKDAY($S233),7))+6),1,IF(N($W233)&gt;0,AVERAGEIFS($Y$5:$Y$1000,$U$5:$U$1000,ROW(),$V$5:$V$1000,"Sub"),$Y233)))</f>
        <v/>
      </c>
      <c r="AD233" s="62">
        <f>IF($V233="","",IF(AND(ISNUMBER($G233),$G233&lt;=IF($S233=MesCiclo,InicioCiclo,$S233+MOD(2-WEEKDAY($S233),7))+13),1,IF(N($W233)&gt;0,AVERAGEIFS($Z$5:$Z$1000,$U$5:$U$1000,ROW(),$V$5:$V$1000,"Sub"),$Z233)))</f>
        <v/>
      </c>
      <c r="AE233" s="62">
        <f>IF($V233="","",IF(AND(ISNUMBER($G233),$G233&lt;=IF($S233=MesCiclo,InicioCiclo,$S233+MOD(2-WEEKDAY($S233),7))+20),1,IF(N($W233)&gt;0,AVERAGEIFS($AA$5:$AA$1000,$U$5:$U$1000,ROW(),$V$5:$V$1000,"Sub"),$AA233)))</f>
        <v/>
      </c>
      <c r="AF233" s="62">
        <f>IF($V233="","",IF(AND(ISNUMBER($G233),$G233&lt;=IF($S233=MesCiclo,InicioCiclo,$S233+MOD(2-WEEKDAY($S233),7))+27),1,IF(N($W233)&gt;0,AVERAGEIFS($AB$5:$AB$1000,$U$5:$U$1000,ROW(),$V$5:$V$1000,"Sub"),$AB233)))</f>
        <v/>
      </c>
      <c r="AG233" s="62">
        <f>IF($V233&lt;&gt;"Macro","",IF(COUNTIFS($S$5:$S$1000,$S233,$V$5:$V$1000,"Macro",$H$5:$H$1000,"&gt;0")=0,1/COUNTIFS($S$5:$S$1000,$S233,$V$5:$V$1000,"Macro"),IF(AND(ISNUMBER($H233),N($H233)&gt;0),$H233,SUMIFS($H$5:$H$1000,$S$5:$S$1000,$S233,$V$5:$V$1000,"Macro")/COUNTIFS($S$5:$S$1000,$S233,$V$5:$V$1000,"Macro",$H$5:$H$1000,"&gt;0"))/(COUNTIFS($S$5:$S$1000,$S233,$V$5:$V$1000,"Macro")*SUMIFS($H$5:$H$1000,$S$5:$S$1000,$S233,$V$5:$V$1000,"Macro")/COUNTIFS($S$5:$S$1000,$S233,$V$5:$V$1000,"Macro",$H$5:$H$1000,"&gt;0"))))</f>
        <v/>
      </c>
      <c r="AH233" s="62" t="n"/>
      <c r="AI233" s="62" t="n"/>
      <c r="AJ233" s="62" t="n"/>
      <c r="AK233" s="62" t="n"/>
      <c r="AL233" s="62">
        <f>IF(LEFT($C233,11)="[Jefatura] ",IFERROR(MATCH("Riesgo Normativo|"&amp;MID($C233,12,500),rDname_ADM,0),0),"")</f>
        <v/>
      </c>
      <c r="AM233" s="62">
        <f>IF(N($AL233)&gt;0,INDEX(rIni_ADM,$AL233),IF(ISNUMBER($E233),$E233,""))</f>
        <v/>
      </c>
      <c r="AN233" s="62">
        <f>IF(N($AL233)&gt;0,INDEX(rLim_ADM,$AL233),IF(ISNUMBER($F233),$F233,""))</f>
        <v/>
      </c>
    </row>
    <row r="234">
      <c r="A234" s="56">
        <f>IF(NOT((COUNTA($B234:$D234)+COUNTA($G234:$L234)+COUNTA($Q234))&gt;0),"",IF($V234="Macro",COUNTIFS($V$5:$V234,"Macro",$S$5:$S234,$S234),IF(N($U234)=0,"?",COUNTIFS(INDEX($V$5:$V$1000,1):INDEX($V$5:$V$1000,$U234-4),"Macro",INDEX($S$5:$S$1000,1):INDEX($S$5:$S$1000,$U234-4),INDEX($S$5:$S$1000,$U234-4))&amp;"."&amp;COUNTIFS($U$5:$U234,$U234,$V$5:$V234,"Sub"))))</f>
        <v/>
      </c>
      <c r="B234" s="57" t="n"/>
      <c r="C234" s="58" t="n"/>
      <c r="D234" s="58" t="n"/>
      <c r="E234" s="59">
        <f>IF(N($AL234)&gt;0,INDEX(rIni_ADM,$AL234),"")</f>
        <v/>
      </c>
      <c r="F234" s="59">
        <f>IF(N($AL234)&gt;0,INDEX(rLim_ADM,$AL234),"")</f>
        <v/>
      </c>
      <c r="G234" s="59" t="n"/>
      <c r="H234" s="60" t="n"/>
      <c r="I234" s="60" t="n"/>
      <c r="J234" s="60" t="n"/>
      <c r="K234" s="60" t="n"/>
      <c r="L234" s="60" t="n"/>
      <c r="M234" s="61">
        <f>IF(NOT((COUNTA($B234:$D234)+COUNTA($G234:$L234)+COUNTA($Q234))&gt;0),"",IF(ISNUMBER($G234),1,IF(N($W234)&gt;0,AVERAGEIFS($X$5:$X$1000,$U$5:$U$1000,ROW(),$V$5:$V$1000,"Sub"),$X234)))</f>
        <v/>
      </c>
      <c r="N234" s="56">
        <f>IF($M234="","",IF($M234&gt;=1,"Completado",IF($M234&gt;0,"En curso","Pendiente")))</f>
        <v/>
      </c>
      <c r="O234" s="56">
        <f>IF(NOT((COUNTA($B234:$D234)+COUNTA($G234:$L234)+COUNTA($Q234))&gt;0),"",IF(ISNUMBER($G234),IF(AND(ISNUMBER($AN234),$G234&gt;$AN234),"Cumplida con "&amp;($G234-$AN234)&amp;IF($G234-$AN234=1," día"," días")&amp;" de retraso","Cumplida"),IF(N($M234)&gt;=1,"Cumplida",IF(NOT(ISNUMBER($AN234)),"Sin fecha límite",IF($AN234&lt;FechaRef,"Vencida hace "&amp;(FechaRef-$AN234)&amp;IF(FechaRef-$AN234=1," día"," días"),IF($AN234=FechaRef,"Vence hoy",IF($AN234-FechaRef&lt;=DiasAlerta,"Vence en "&amp;($AN234-FechaRef)&amp;IF($AN234-FechaRef=1," día"," días"),"En plazo")))))))</f>
        <v/>
      </c>
      <c r="P234" s="62" t="n"/>
      <c r="Q234" s="58" t="n"/>
      <c r="R234" s="63">
        <f>IF(NOT((COUNTA($B234:$D234)+COUNTA($G234:$L234)+COUNTA($Q234))&gt;0),"",IF((IF($C234="","Falta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",""))="","✔ OK","⚠ "&amp;LEFT(IF($C234="","Falta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",""),LEN(IF($C234="","Falta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",""))-3)))</f>
        <v/>
      </c>
      <c r="S234" s="64">
        <f>IF(NOT((COUNTA($B234:$D234)+COUNTA($G234:$L234)+COUNTA($Q234))&gt;0),"",IF(AND($V234="Sub",N($U234)&gt;0),IF(ISNUMBER(INDEX($AM$5:$AM$1000,$U234-4)),DATE(YEAR(INDEX($AM$5:$AM$1000,$U234-4)),MONTH(INDEX($AM$5:$AM$1000,$U234-4)),1),IF(ISNUMBER(INDEX($AN$5:$AN$1000,$U234-4)),DATE(YEAR(INDEX($AN$5:$AN$1000,$U234-4)),MONTH(INDEX($AN$5:$AN$1000,$U234-4)),1),MesCiclo)),IF(ISNUMBER($AM234),DATE(YEAR($AM234),MONTH($AM234),1),IF(ISNUMBER($AN234),DATE(YEAR($AN234),MONTH($AN234),1),MesCiclo))))</f>
        <v/>
      </c>
      <c r="T234" s="62">
        <f>IF(OR($S234="",$S234&lt;&gt;MesCiclo),"",COUNTIF($S$5:$S234,MesCiclo))</f>
        <v/>
      </c>
      <c r="U234" s="62">
        <f>IF($V234="","",IF($V234="Macro",ROW(),IFERROR(LOOKUP(2,1/($V$5:$V234="Macro"),ROW($V$5:$V234)),0)))</f>
        <v/>
      </c>
      <c r="V234" s="62">
        <f>IF(NOT((COUNTA($B234:$D234)+COUNTA($G234:$L234)+COUNTA($Q234))&gt;0),"",IF($B234="Subactividad","Sub","Macro"))</f>
        <v/>
      </c>
      <c r="W234" s="62">
        <f>IF($V234="Macro",COUNTIFS($U$5:$U$1000,ROW(),$V$5:$V$1000,"Sub"),"")</f>
        <v/>
      </c>
      <c r="X234" s="62">
        <f>IF($V234="","",IF(ISNUMBER($G234),1,IFERROR(LOOKUP(2,1/($I234:$L234&lt;&gt;""),$I234:$L234),0)))</f>
        <v/>
      </c>
      <c r="Y234" s="62">
        <f>IF($V234="","",IF(AND(ISNUMBER($G234),$G234&lt;=IF($S234=MesCiclo,InicioCiclo,$S234+MOD(2-WEEKDAY($S234),7))+6),1,IF(ISNUMBER($I234),$I234,0)))</f>
        <v/>
      </c>
      <c r="Z234" s="62">
        <f>IF($V234="","",IF(AND(ISNUMBER($G234),$G234&lt;=IF($S234=MesCiclo,InicioCiclo,$S234+MOD(2-WEEKDAY($S234),7))+13),1,IF(ISNUMBER($J234),$J234,$Y234)))</f>
        <v/>
      </c>
      <c r="AA234" s="62">
        <f>IF($V234="","",IF(AND(ISNUMBER($G234),$G234&lt;=IF($S234=MesCiclo,InicioCiclo,$S234+MOD(2-WEEKDAY($S234),7))+20),1,IF(ISNUMBER($K234),$K234,$Z234)))</f>
        <v/>
      </c>
      <c r="AB234" s="62">
        <f>IF($V234="","",IF(AND(ISNUMBER($G234),$G234&lt;=IF($S234=MesCiclo,InicioCiclo,$S234+MOD(2-WEEKDAY($S234),7))+27),1,IF(ISNUMBER($L234),$L234,$AA234)))</f>
        <v/>
      </c>
      <c r="AC234" s="62">
        <f>IF($V234="","",IF(AND(ISNUMBER($G234),$G234&lt;=IF($S234=MesCiclo,InicioCiclo,$S234+MOD(2-WEEKDAY($S234),7))+6),1,IF(N($W234)&gt;0,AVERAGEIFS($Y$5:$Y$1000,$U$5:$U$1000,ROW(),$V$5:$V$1000,"Sub"),$Y234)))</f>
        <v/>
      </c>
      <c r="AD234" s="62">
        <f>IF($V234="","",IF(AND(ISNUMBER($G234),$G234&lt;=IF($S234=MesCiclo,InicioCiclo,$S234+MOD(2-WEEKDAY($S234),7))+13),1,IF(N($W234)&gt;0,AVERAGEIFS($Z$5:$Z$1000,$U$5:$U$1000,ROW(),$V$5:$V$1000,"Sub"),$Z234)))</f>
        <v/>
      </c>
      <c r="AE234" s="62">
        <f>IF($V234="","",IF(AND(ISNUMBER($G234),$G234&lt;=IF($S234=MesCiclo,InicioCiclo,$S234+MOD(2-WEEKDAY($S234),7))+20),1,IF(N($W234)&gt;0,AVERAGEIFS($AA$5:$AA$1000,$U$5:$U$1000,ROW(),$V$5:$V$1000,"Sub"),$AA234)))</f>
        <v/>
      </c>
      <c r="AF234" s="62">
        <f>IF($V234="","",IF(AND(ISNUMBER($G234),$G234&lt;=IF($S234=MesCiclo,InicioCiclo,$S234+MOD(2-WEEKDAY($S234),7))+27),1,IF(N($W234)&gt;0,AVERAGEIFS($AB$5:$AB$1000,$U$5:$U$1000,ROW(),$V$5:$V$1000,"Sub"),$AB234)))</f>
        <v/>
      </c>
      <c r="AG234" s="62">
        <f>IF($V234&lt;&gt;"Macro","",IF(COUNTIFS($S$5:$S$1000,$S234,$V$5:$V$1000,"Macro",$H$5:$H$1000,"&gt;0")=0,1/COUNTIFS($S$5:$S$1000,$S234,$V$5:$V$1000,"Macro"),IF(AND(ISNUMBER($H234),N($H234)&gt;0),$H234,SUMIFS($H$5:$H$1000,$S$5:$S$1000,$S234,$V$5:$V$1000,"Macro")/COUNTIFS($S$5:$S$1000,$S234,$V$5:$V$1000,"Macro",$H$5:$H$1000,"&gt;0"))/(COUNTIFS($S$5:$S$1000,$S234,$V$5:$V$1000,"Macro")*SUMIFS($H$5:$H$1000,$S$5:$S$1000,$S234,$V$5:$V$1000,"Macro")/COUNTIFS($S$5:$S$1000,$S234,$V$5:$V$1000,"Macro",$H$5:$H$1000,"&gt;0"))))</f>
        <v/>
      </c>
      <c r="AH234" s="62" t="n"/>
      <c r="AI234" s="62" t="n"/>
      <c r="AJ234" s="62" t="n"/>
      <c r="AK234" s="62" t="n"/>
      <c r="AL234" s="62">
        <f>IF(LEFT($C234,11)="[Jefatura] ",IFERROR(MATCH("Riesgo Normativo|"&amp;MID($C234,12,500),rDname_ADM,0),0),"")</f>
        <v/>
      </c>
      <c r="AM234" s="62">
        <f>IF(N($AL234)&gt;0,INDEX(rIni_ADM,$AL234),IF(ISNUMBER($E234),$E234,""))</f>
        <v/>
      </c>
      <c r="AN234" s="62">
        <f>IF(N($AL234)&gt;0,INDEX(rLim_ADM,$AL234),IF(ISNUMBER($F234),$F234,""))</f>
        <v/>
      </c>
    </row>
    <row r="235">
      <c r="A235" s="56">
        <f>IF(NOT((COUNTA($B235:$D235)+COUNTA($G235:$L235)+COUNTA($Q235))&gt;0),"",IF($V235="Macro",COUNTIFS($V$5:$V235,"Macro",$S$5:$S235,$S235),IF(N($U235)=0,"?",COUNTIFS(INDEX($V$5:$V$1000,1):INDEX($V$5:$V$1000,$U235-4),"Macro",INDEX($S$5:$S$1000,1):INDEX($S$5:$S$1000,$U235-4),INDEX($S$5:$S$1000,$U235-4))&amp;"."&amp;COUNTIFS($U$5:$U235,$U235,$V$5:$V235,"Sub"))))</f>
        <v/>
      </c>
      <c r="B235" s="57" t="n"/>
      <c r="C235" s="58" t="n"/>
      <c r="D235" s="58" t="n"/>
      <c r="E235" s="59">
        <f>IF(N($AL235)&gt;0,INDEX(rIni_ADM,$AL235),"")</f>
        <v/>
      </c>
      <c r="F235" s="59">
        <f>IF(N($AL235)&gt;0,INDEX(rLim_ADM,$AL235),"")</f>
        <v/>
      </c>
      <c r="G235" s="59" t="n"/>
      <c r="H235" s="60" t="n"/>
      <c r="I235" s="60" t="n"/>
      <c r="J235" s="60" t="n"/>
      <c r="K235" s="60" t="n"/>
      <c r="L235" s="60" t="n"/>
      <c r="M235" s="61">
        <f>IF(NOT((COUNTA($B235:$D235)+COUNTA($G235:$L235)+COUNTA($Q235))&gt;0),"",IF(ISNUMBER($G235),1,IF(N($W235)&gt;0,AVERAGEIFS($X$5:$X$1000,$U$5:$U$1000,ROW(),$V$5:$V$1000,"Sub"),$X235)))</f>
        <v/>
      </c>
      <c r="N235" s="56">
        <f>IF($M235="","",IF($M235&gt;=1,"Completado",IF($M235&gt;0,"En curso","Pendiente")))</f>
        <v/>
      </c>
      <c r="O235" s="56">
        <f>IF(NOT((COUNTA($B235:$D235)+COUNTA($G235:$L235)+COUNTA($Q235))&gt;0),"",IF(ISNUMBER($G235),IF(AND(ISNUMBER($AN235),$G235&gt;$AN235),"Cumplida con "&amp;($G235-$AN235)&amp;IF($G235-$AN235=1," día"," días")&amp;" de retraso","Cumplida"),IF(N($M235)&gt;=1,"Cumplida",IF(NOT(ISNUMBER($AN235)),"Sin fecha límite",IF($AN235&lt;FechaRef,"Vencida hace "&amp;(FechaRef-$AN235)&amp;IF(FechaRef-$AN235=1," día"," días"),IF($AN235=FechaRef,"Vence hoy",IF($AN235-FechaRef&lt;=DiasAlerta,"Vence en "&amp;($AN235-FechaRef)&amp;IF($AN235-FechaRef=1," día"," días"),"En plazo")))))))</f>
        <v/>
      </c>
      <c r="P235" s="62" t="n"/>
      <c r="Q235" s="58" t="n"/>
      <c r="R235" s="63">
        <f>IF(NOT((COUNTA($B235:$D235)+COUNTA($G235:$L235)+COUNTA($Q235))&gt;0),"",IF((IF($C235="","Falta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",""))="","✔ OK","⚠ "&amp;LEFT(IF($C235="","Falta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",""),LEN(IF($C235="","Falta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",""))-3)))</f>
        <v/>
      </c>
      <c r="S235" s="64">
        <f>IF(NOT((COUNTA($B235:$D235)+COUNTA($G235:$L235)+COUNTA($Q235))&gt;0),"",IF(AND($V235="Sub",N($U235)&gt;0),IF(ISNUMBER(INDEX($AM$5:$AM$1000,$U235-4)),DATE(YEAR(INDEX($AM$5:$AM$1000,$U235-4)),MONTH(INDEX($AM$5:$AM$1000,$U235-4)),1),IF(ISNUMBER(INDEX($AN$5:$AN$1000,$U235-4)),DATE(YEAR(INDEX($AN$5:$AN$1000,$U235-4)),MONTH(INDEX($AN$5:$AN$1000,$U235-4)),1),MesCiclo)),IF(ISNUMBER($AM235),DATE(YEAR($AM235),MONTH($AM235),1),IF(ISNUMBER($AN235),DATE(YEAR($AN235),MONTH($AN235),1),MesCiclo))))</f>
        <v/>
      </c>
      <c r="T235" s="62">
        <f>IF(OR($S235="",$S235&lt;&gt;MesCiclo),"",COUNTIF($S$5:$S235,MesCiclo))</f>
        <v/>
      </c>
      <c r="U235" s="62">
        <f>IF($V235="","",IF($V235="Macro",ROW(),IFERROR(LOOKUP(2,1/($V$5:$V235="Macro"),ROW($V$5:$V235)),0)))</f>
        <v/>
      </c>
      <c r="V235" s="62">
        <f>IF(NOT((COUNTA($B235:$D235)+COUNTA($G235:$L235)+COUNTA($Q235))&gt;0),"",IF($B235="Subactividad","Sub","Macro"))</f>
        <v/>
      </c>
      <c r="W235" s="62">
        <f>IF($V235="Macro",COUNTIFS($U$5:$U$1000,ROW(),$V$5:$V$1000,"Sub"),"")</f>
        <v/>
      </c>
      <c r="X235" s="62">
        <f>IF($V235="","",IF(ISNUMBER($G235),1,IFERROR(LOOKUP(2,1/($I235:$L235&lt;&gt;""),$I235:$L235),0)))</f>
        <v/>
      </c>
      <c r="Y235" s="62">
        <f>IF($V235="","",IF(AND(ISNUMBER($G235),$G235&lt;=IF($S235=MesCiclo,InicioCiclo,$S235+MOD(2-WEEKDAY($S235),7))+6),1,IF(ISNUMBER($I235),$I235,0)))</f>
        <v/>
      </c>
      <c r="Z235" s="62">
        <f>IF($V235="","",IF(AND(ISNUMBER($G235),$G235&lt;=IF($S235=MesCiclo,InicioCiclo,$S235+MOD(2-WEEKDAY($S235),7))+13),1,IF(ISNUMBER($J235),$J235,$Y235)))</f>
        <v/>
      </c>
      <c r="AA235" s="62">
        <f>IF($V235="","",IF(AND(ISNUMBER($G235),$G235&lt;=IF($S235=MesCiclo,InicioCiclo,$S235+MOD(2-WEEKDAY($S235),7))+20),1,IF(ISNUMBER($K235),$K235,$Z235)))</f>
        <v/>
      </c>
      <c r="AB235" s="62">
        <f>IF($V235="","",IF(AND(ISNUMBER($G235),$G235&lt;=IF($S235=MesCiclo,InicioCiclo,$S235+MOD(2-WEEKDAY($S235),7))+27),1,IF(ISNUMBER($L235),$L235,$AA235)))</f>
        <v/>
      </c>
      <c r="AC235" s="62">
        <f>IF($V235="","",IF(AND(ISNUMBER($G235),$G235&lt;=IF($S235=MesCiclo,InicioCiclo,$S235+MOD(2-WEEKDAY($S235),7))+6),1,IF(N($W235)&gt;0,AVERAGEIFS($Y$5:$Y$1000,$U$5:$U$1000,ROW(),$V$5:$V$1000,"Sub"),$Y235)))</f>
        <v/>
      </c>
      <c r="AD235" s="62">
        <f>IF($V235="","",IF(AND(ISNUMBER($G235),$G235&lt;=IF($S235=MesCiclo,InicioCiclo,$S235+MOD(2-WEEKDAY($S235),7))+13),1,IF(N($W235)&gt;0,AVERAGEIFS($Z$5:$Z$1000,$U$5:$U$1000,ROW(),$V$5:$V$1000,"Sub"),$Z235)))</f>
        <v/>
      </c>
      <c r="AE235" s="62">
        <f>IF($V235="","",IF(AND(ISNUMBER($G235),$G235&lt;=IF($S235=MesCiclo,InicioCiclo,$S235+MOD(2-WEEKDAY($S235),7))+20),1,IF(N($W235)&gt;0,AVERAGEIFS($AA$5:$AA$1000,$U$5:$U$1000,ROW(),$V$5:$V$1000,"Sub"),$AA235)))</f>
        <v/>
      </c>
      <c r="AF235" s="62">
        <f>IF($V235="","",IF(AND(ISNUMBER($G235),$G235&lt;=IF($S235=MesCiclo,InicioCiclo,$S235+MOD(2-WEEKDAY($S235),7))+27),1,IF(N($W235)&gt;0,AVERAGEIFS($AB$5:$AB$1000,$U$5:$U$1000,ROW(),$V$5:$V$1000,"Sub"),$AB235)))</f>
        <v/>
      </c>
      <c r="AG235" s="62">
        <f>IF($V235&lt;&gt;"Macro","",IF(COUNTIFS($S$5:$S$1000,$S235,$V$5:$V$1000,"Macro",$H$5:$H$1000,"&gt;0")=0,1/COUNTIFS($S$5:$S$1000,$S235,$V$5:$V$1000,"Macro"),IF(AND(ISNUMBER($H235),N($H235)&gt;0),$H235,SUMIFS($H$5:$H$1000,$S$5:$S$1000,$S235,$V$5:$V$1000,"Macro")/COUNTIFS($S$5:$S$1000,$S235,$V$5:$V$1000,"Macro",$H$5:$H$1000,"&gt;0"))/(COUNTIFS($S$5:$S$1000,$S235,$V$5:$V$1000,"Macro")*SUMIFS($H$5:$H$1000,$S$5:$S$1000,$S235,$V$5:$V$1000,"Macro")/COUNTIFS($S$5:$S$1000,$S235,$V$5:$V$1000,"Macro",$H$5:$H$1000,"&gt;0"))))</f>
        <v/>
      </c>
      <c r="AH235" s="62" t="n"/>
      <c r="AI235" s="62" t="n"/>
      <c r="AJ235" s="62" t="n"/>
      <c r="AK235" s="62" t="n"/>
      <c r="AL235" s="62">
        <f>IF(LEFT($C235,11)="[Jefatura] ",IFERROR(MATCH("Riesgo Normativo|"&amp;MID($C235,12,500),rDname_ADM,0),0),"")</f>
        <v/>
      </c>
      <c r="AM235" s="62">
        <f>IF(N($AL235)&gt;0,INDEX(rIni_ADM,$AL235),IF(ISNUMBER($E235),$E235,""))</f>
        <v/>
      </c>
      <c r="AN235" s="62">
        <f>IF(N($AL235)&gt;0,INDEX(rLim_ADM,$AL235),IF(ISNUMBER($F235),$F235,""))</f>
        <v/>
      </c>
    </row>
    <row r="236">
      <c r="A236" s="56">
        <f>IF(NOT((COUNTA($B236:$D236)+COUNTA($G236:$L236)+COUNTA($Q236))&gt;0),"",IF($V236="Macro",COUNTIFS($V$5:$V236,"Macro",$S$5:$S236,$S236),IF(N($U236)=0,"?",COUNTIFS(INDEX($V$5:$V$1000,1):INDEX($V$5:$V$1000,$U236-4),"Macro",INDEX($S$5:$S$1000,1):INDEX($S$5:$S$1000,$U236-4),INDEX($S$5:$S$1000,$U236-4))&amp;"."&amp;COUNTIFS($U$5:$U236,$U236,$V$5:$V236,"Sub"))))</f>
        <v/>
      </c>
      <c r="B236" s="57" t="n"/>
      <c r="C236" s="58" t="n"/>
      <c r="D236" s="58" t="n"/>
      <c r="E236" s="59">
        <f>IF(N($AL236)&gt;0,INDEX(rIni_ADM,$AL236),"")</f>
        <v/>
      </c>
      <c r="F236" s="59">
        <f>IF(N($AL236)&gt;0,INDEX(rLim_ADM,$AL236),"")</f>
        <v/>
      </c>
      <c r="G236" s="59" t="n"/>
      <c r="H236" s="60" t="n"/>
      <c r="I236" s="60" t="n"/>
      <c r="J236" s="60" t="n"/>
      <c r="K236" s="60" t="n"/>
      <c r="L236" s="60" t="n"/>
      <c r="M236" s="61">
        <f>IF(NOT((COUNTA($B236:$D236)+COUNTA($G236:$L236)+COUNTA($Q236))&gt;0),"",IF(ISNUMBER($G236),1,IF(N($W236)&gt;0,AVERAGEIFS($X$5:$X$1000,$U$5:$U$1000,ROW(),$V$5:$V$1000,"Sub"),$X236)))</f>
        <v/>
      </c>
      <c r="N236" s="56">
        <f>IF($M236="","",IF($M236&gt;=1,"Completado",IF($M236&gt;0,"En curso","Pendiente")))</f>
        <v/>
      </c>
      <c r="O236" s="56">
        <f>IF(NOT((COUNTA($B236:$D236)+COUNTA($G236:$L236)+COUNTA($Q236))&gt;0),"",IF(ISNUMBER($G236),IF(AND(ISNUMBER($AN236),$G236&gt;$AN236),"Cumplida con "&amp;($G236-$AN236)&amp;IF($G236-$AN236=1," día"," días")&amp;" de retraso","Cumplida"),IF(N($M236)&gt;=1,"Cumplida",IF(NOT(ISNUMBER($AN236)),"Sin fecha límite",IF($AN236&lt;FechaRef,"Vencida hace "&amp;(FechaRef-$AN236)&amp;IF(FechaRef-$AN236=1," día"," días"),IF($AN236=FechaRef,"Vence hoy",IF($AN236-FechaRef&lt;=DiasAlerta,"Vence en "&amp;($AN236-FechaRef)&amp;IF($AN236-FechaRef=1," día"," días"),"En plazo")))))))</f>
        <v/>
      </c>
      <c r="P236" s="62" t="n"/>
      <c r="Q236" s="58" t="n"/>
      <c r="R236" s="63">
        <f>IF(NOT((COUNTA($B236:$D236)+COUNTA($G236:$L236)+COUNTA($Q236))&gt;0),"",IF((IF($C236="","Falta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",""))="","✔ OK","⚠ "&amp;LEFT(IF($C236="","Falta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",""),LEN(IF($C236="","Falta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",""))-3)))</f>
        <v/>
      </c>
      <c r="S236" s="64">
        <f>IF(NOT((COUNTA($B236:$D236)+COUNTA($G236:$L236)+COUNTA($Q236))&gt;0),"",IF(AND($V236="Sub",N($U236)&gt;0),IF(ISNUMBER(INDEX($AM$5:$AM$1000,$U236-4)),DATE(YEAR(INDEX($AM$5:$AM$1000,$U236-4)),MONTH(INDEX($AM$5:$AM$1000,$U236-4)),1),IF(ISNUMBER(INDEX($AN$5:$AN$1000,$U236-4)),DATE(YEAR(INDEX($AN$5:$AN$1000,$U236-4)),MONTH(INDEX($AN$5:$AN$1000,$U236-4)),1),MesCiclo)),IF(ISNUMBER($AM236),DATE(YEAR($AM236),MONTH($AM236),1),IF(ISNUMBER($AN236),DATE(YEAR($AN236),MONTH($AN236),1),MesCiclo))))</f>
        <v/>
      </c>
      <c r="T236" s="62">
        <f>IF(OR($S236="",$S236&lt;&gt;MesCiclo),"",COUNTIF($S$5:$S236,MesCiclo))</f>
        <v/>
      </c>
      <c r="U236" s="62">
        <f>IF($V236="","",IF($V236="Macro",ROW(),IFERROR(LOOKUP(2,1/($V$5:$V236="Macro"),ROW($V$5:$V236)),0)))</f>
        <v/>
      </c>
      <c r="V236" s="62">
        <f>IF(NOT((COUNTA($B236:$D236)+COUNTA($G236:$L236)+COUNTA($Q236))&gt;0),"",IF($B236="Subactividad","Sub","Macro"))</f>
        <v/>
      </c>
      <c r="W236" s="62">
        <f>IF($V236="Macro",COUNTIFS($U$5:$U$1000,ROW(),$V$5:$V$1000,"Sub"),"")</f>
        <v/>
      </c>
      <c r="X236" s="62">
        <f>IF($V236="","",IF(ISNUMBER($G236),1,IFERROR(LOOKUP(2,1/($I236:$L236&lt;&gt;""),$I236:$L236),0)))</f>
        <v/>
      </c>
      <c r="Y236" s="62">
        <f>IF($V236="","",IF(AND(ISNUMBER($G236),$G236&lt;=IF($S236=MesCiclo,InicioCiclo,$S236+MOD(2-WEEKDAY($S236),7))+6),1,IF(ISNUMBER($I236),$I236,0)))</f>
        <v/>
      </c>
      <c r="Z236" s="62">
        <f>IF($V236="","",IF(AND(ISNUMBER($G236),$G236&lt;=IF($S236=MesCiclo,InicioCiclo,$S236+MOD(2-WEEKDAY($S236),7))+13),1,IF(ISNUMBER($J236),$J236,$Y236)))</f>
        <v/>
      </c>
      <c r="AA236" s="62">
        <f>IF($V236="","",IF(AND(ISNUMBER($G236),$G236&lt;=IF($S236=MesCiclo,InicioCiclo,$S236+MOD(2-WEEKDAY($S236),7))+20),1,IF(ISNUMBER($K236),$K236,$Z236)))</f>
        <v/>
      </c>
      <c r="AB236" s="62">
        <f>IF($V236="","",IF(AND(ISNUMBER($G236),$G236&lt;=IF($S236=MesCiclo,InicioCiclo,$S236+MOD(2-WEEKDAY($S236),7))+27),1,IF(ISNUMBER($L236),$L236,$AA236)))</f>
        <v/>
      </c>
      <c r="AC236" s="62">
        <f>IF($V236="","",IF(AND(ISNUMBER($G236),$G236&lt;=IF($S236=MesCiclo,InicioCiclo,$S236+MOD(2-WEEKDAY($S236),7))+6),1,IF(N($W236)&gt;0,AVERAGEIFS($Y$5:$Y$1000,$U$5:$U$1000,ROW(),$V$5:$V$1000,"Sub"),$Y236)))</f>
        <v/>
      </c>
      <c r="AD236" s="62">
        <f>IF($V236="","",IF(AND(ISNUMBER($G236),$G236&lt;=IF($S236=MesCiclo,InicioCiclo,$S236+MOD(2-WEEKDAY($S236),7))+13),1,IF(N($W236)&gt;0,AVERAGEIFS($Z$5:$Z$1000,$U$5:$U$1000,ROW(),$V$5:$V$1000,"Sub"),$Z236)))</f>
        <v/>
      </c>
      <c r="AE236" s="62">
        <f>IF($V236="","",IF(AND(ISNUMBER($G236),$G236&lt;=IF($S236=MesCiclo,InicioCiclo,$S236+MOD(2-WEEKDAY($S236),7))+20),1,IF(N($W236)&gt;0,AVERAGEIFS($AA$5:$AA$1000,$U$5:$U$1000,ROW(),$V$5:$V$1000,"Sub"),$AA236)))</f>
        <v/>
      </c>
      <c r="AF236" s="62">
        <f>IF($V236="","",IF(AND(ISNUMBER($G236),$G236&lt;=IF($S236=MesCiclo,InicioCiclo,$S236+MOD(2-WEEKDAY($S236),7))+27),1,IF(N($W236)&gt;0,AVERAGEIFS($AB$5:$AB$1000,$U$5:$U$1000,ROW(),$V$5:$V$1000,"Sub"),$AB236)))</f>
        <v/>
      </c>
      <c r="AG236" s="62">
        <f>IF($V236&lt;&gt;"Macro","",IF(COUNTIFS($S$5:$S$1000,$S236,$V$5:$V$1000,"Macro",$H$5:$H$1000,"&gt;0")=0,1/COUNTIFS($S$5:$S$1000,$S236,$V$5:$V$1000,"Macro"),IF(AND(ISNUMBER($H236),N($H236)&gt;0),$H236,SUMIFS($H$5:$H$1000,$S$5:$S$1000,$S236,$V$5:$V$1000,"Macro")/COUNTIFS($S$5:$S$1000,$S236,$V$5:$V$1000,"Macro",$H$5:$H$1000,"&gt;0"))/(COUNTIFS($S$5:$S$1000,$S236,$V$5:$V$1000,"Macro")*SUMIFS($H$5:$H$1000,$S$5:$S$1000,$S236,$V$5:$V$1000,"Macro")/COUNTIFS($S$5:$S$1000,$S236,$V$5:$V$1000,"Macro",$H$5:$H$1000,"&gt;0"))))</f>
        <v/>
      </c>
      <c r="AH236" s="62" t="n"/>
      <c r="AI236" s="62" t="n"/>
      <c r="AJ236" s="62" t="n"/>
      <c r="AK236" s="62" t="n"/>
      <c r="AL236" s="62">
        <f>IF(LEFT($C236,11)="[Jefatura] ",IFERROR(MATCH("Riesgo Normativo|"&amp;MID($C236,12,500),rDname_ADM,0),0),"")</f>
        <v/>
      </c>
      <c r="AM236" s="62">
        <f>IF(N($AL236)&gt;0,INDEX(rIni_ADM,$AL236),IF(ISNUMBER($E236),$E236,""))</f>
        <v/>
      </c>
      <c r="AN236" s="62">
        <f>IF(N($AL236)&gt;0,INDEX(rLim_ADM,$AL236),IF(ISNUMBER($F236),$F236,""))</f>
        <v/>
      </c>
    </row>
    <row r="237">
      <c r="A237" s="56">
        <f>IF(NOT((COUNTA($B237:$D237)+COUNTA($G237:$L237)+COUNTA($Q237))&gt;0),"",IF($V237="Macro",COUNTIFS($V$5:$V237,"Macro",$S$5:$S237,$S237),IF(N($U237)=0,"?",COUNTIFS(INDEX($V$5:$V$1000,1):INDEX($V$5:$V$1000,$U237-4),"Macro",INDEX($S$5:$S$1000,1):INDEX($S$5:$S$1000,$U237-4),INDEX($S$5:$S$1000,$U237-4))&amp;"."&amp;COUNTIFS($U$5:$U237,$U237,$V$5:$V237,"Sub"))))</f>
        <v/>
      </c>
      <c r="B237" s="57" t="n"/>
      <c r="C237" s="58" t="n"/>
      <c r="D237" s="58" t="n"/>
      <c r="E237" s="59">
        <f>IF(N($AL237)&gt;0,INDEX(rIni_ADM,$AL237),"")</f>
        <v/>
      </c>
      <c r="F237" s="59">
        <f>IF(N($AL237)&gt;0,INDEX(rLim_ADM,$AL237),"")</f>
        <v/>
      </c>
      <c r="G237" s="59" t="n"/>
      <c r="H237" s="60" t="n"/>
      <c r="I237" s="60" t="n"/>
      <c r="J237" s="60" t="n"/>
      <c r="K237" s="60" t="n"/>
      <c r="L237" s="60" t="n"/>
      <c r="M237" s="61">
        <f>IF(NOT((COUNTA($B237:$D237)+COUNTA($G237:$L237)+COUNTA($Q237))&gt;0),"",IF(ISNUMBER($G237),1,IF(N($W237)&gt;0,AVERAGEIFS($X$5:$X$1000,$U$5:$U$1000,ROW(),$V$5:$V$1000,"Sub"),$X237)))</f>
        <v/>
      </c>
      <c r="N237" s="56">
        <f>IF($M237="","",IF($M237&gt;=1,"Completado",IF($M237&gt;0,"En curso","Pendiente")))</f>
        <v/>
      </c>
      <c r="O237" s="56">
        <f>IF(NOT((COUNTA($B237:$D237)+COUNTA($G237:$L237)+COUNTA($Q237))&gt;0),"",IF(ISNUMBER($G237),IF(AND(ISNUMBER($AN237),$G237&gt;$AN237),"Cumplida con "&amp;($G237-$AN237)&amp;IF($G237-$AN237=1," día"," días")&amp;" de retraso","Cumplida"),IF(N($M237)&gt;=1,"Cumplida",IF(NOT(ISNUMBER($AN237)),"Sin fecha límite",IF($AN237&lt;FechaRef,"Vencida hace "&amp;(FechaRef-$AN237)&amp;IF(FechaRef-$AN237=1," día"," días"),IF($AN237=FechaRef,"Vence hoy",IF($AN237-FechaRef&lt;=DiasAlerta,"Vence en "&amp;($AN237-FechaRef)&amp;IF($AN237-FechaRef=1," día"," días"),"En plazo")))))))</f>
        <v/>
      </c>
      <c r="P237" s="62" t="n"/>
      <c r="Q237" s="58" t="n"/>
      <c r="R237" s="63">
        <f>IF(NOT((COUNTA($B237:$D237)+COUNTA($G237:$L237)+COUNTA($Q237))&gt;0),"",IF((IF($C237="","Falta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",""))="","✔ OK","⚠ "&amp;LEFT(IF($C237="","Falta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",""),LEN(IF($C237="","Falta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",""))-3)))</f>
        <v/>
      </c>
      <c r="S237" s="64">
        <f>IF(NOT((COUNTA($B237:$D237)+COUNTA($G237:$L237)+COUNTA($Q237))&gt;0),"",IF(AND($V237="Sub",N($U237)&gt;0),IF(ISNUMBER(INDEX($AM$5:$AM$1000,$U237-4)),DATE(YEAR(INDEX($AM$5:$AM$1000,$U237-4)),MONTH(INDEX($AM$5:$AM$1000,$U237-4)),1),IF(ISNUMBER(INDEX($AN$5:$AN$1000,$U237-4)),DATE(YEAR(INDEX($AN$5:$AN$1000,$U237-4)),MONTH(INDEX($AN$5:$AN$1000,$U237-4)),1),MesCiclo)),IF(ISNUMBER($AM237),DATE(YEAR($AM237),MONTH($AM237),1),IF(ISNUMBER($AN237),DATE(YEAR($AN237),MONTH($AN237),1),MesCiclo))))</f>
        <v/>
      </c>
      <c r="T237" s="62">
        <f>IF(OR($S237="",$S237&lt;&gt;MesCiclo),"",COUNTIF($S$5:$S237,MesCiclo))</f>
        <v/>
      </c>
      <c r="U237" s="62">
        <f>IF($V237="","",IF($V237="Macro",ROW(),IFERROR(LOOKUP(2,1/($V$5:$V237="Macro"),ROW($V$5:$V237)),0)))</f>
        <v/>
      </c>
      <c r="V237" s="62">
        <f>IF(NOT((COUNTA($B237:$D237)+COUNTA($G237:$L237)+COUNTA($Q237))&gt;0),"",IF($B237="Subactividad","Sub","Macro"))</f>
        <v/>
      </c>
      <c r="W237" s="62">
        <f>IF($V237="Macro",COUNTIFS($U$5:$U$1000,ROW(),$V$5:$V$1000,"Sub"),"")</f>
        <v/>
      </c>
      <c r="X237" s="62">
        <f>IF($V237="","",IF(ISNUMBER($G237),1,IFERROR(LOOKUP(2,1/($I237:$L237&lt;&gt;""),$I237:$L237),0)))</f>
        <v/>
      </c>
      <c r="Y237" s="62">
        <f>IF($V237="","",IF(AND(ISNUMBER($G237),$G237&lt;=IF($S237=MesCiclo,InicioCiclo,$S237+MOD(2-WEEKDAY($S237),7))+6),1,IF(ISNUMBER($I237),$I237,0)))</f>
        <v/>
      </c>
      <c r="Z237" s="62">
        <f>IF($V237="","",IF(AND(ISNUMBER($G237),$G237&lt;=IF($S237=MesCiclo,InicioCiclo,$S237+MOD(2-WEEKDAY($S237),7))+13),1,IF(ISNUMBER($J237),$J237,$Y237)))</f>
        <v/>
      </c>
      <c r="AA237" s="62">
        <f>IF($V237="","",IF(AND(ISNUMBER($G237),$G237&lt;=IF($S237=MesCiclo,InicioCiclo,$S237+MOD(2-WEEKDAY($S237),7))+20),1,IF(ISNUMBER($K237),$K237,$Z237)))</f>
        <v/>
      </c>
      <c r="AB237" s="62">
        <f>IF($V237="","",IF(AND(ISNUMBER($G237),$G237&lt;=IF($S237=MesCiclo,InicioCiclo,$S237+MOD(2-WEEKDAY($S237),7))+27),1,IF(ISNUMBER($L237),$L237,$AA237)))</f>
        <v/>
      </c>
      <c r="AC237" s="62">
        <f>IF($V237="","",IF(AND(ISNUMBER($G237),$G237&lt;=IF($S237=MesCiclo,InicioCiclo,$S237+MOD(2-WEEKDAY($S237),7))+6),1,IF(N($W237)&gt;0,AVERAGEIFS($Y$5:$Y$1000,$U$5:$U$1000,ROW(),$V$5:$V$1000,"Sub"),$Y237)))</f>
        <v/>
      </c>
      <c r="AD237" s="62">
        <f>IF($V237="","",IF(AND(ISNUMBER($G237),$G237&lt;=IF($S237=MesCiclo,InicioCiclo,$S237+MOD(2-WEEKDAY($S237),7))+13),1,IF(N($W237)&gt;0,AVERAGEIFS($Z$5:$Z$1000,$U$5:$U$1000,ROW(),$V$5:$V$1000,"Sub"),$Z237)))</f>
        <v/>
      </c>
      <c r="AE237" s="62">
        <f>IF($V237="","",IF(AND(ISNUMBER($G237),$G237&lt;=IF($S237=MesCiclo,InicioCiclo,$S237+MOD(2-WEEKDAY($S237),7))+20),1,IF(N($W237)&gt;0,AVERAGEIFS($AA$5:$AA$1000,$U$5:$U$1000,ROW(),$V$5:$V$1000,"Sub"),$AA237)))</f>
        <v/>
      </c>
      <c r="AF237" s="62">
        <f>IF($V237="","",IF(AND(ISNUMBER($G237),$G237&lt;=IF($S237=MesCiclo,InicioCiclo,$S237+MOD(2-WEEKDAY($S237),7))+27),1,IF(N($W237)&gt;0,AVERAGEIFS($AB$5:$AB$1000,$U$5:$U$1000,ROW(),$V$5:$V$1000,"Sub"),$AB237)))</f>
        <v/>
      </c>
      <c r="AG237" s="62">
        <f>IF($V237&lt;&gt;"Macro","",IF(COUNTIFS($S$5:$S$1000,$S237,$V$5:$V$1000,"Macro",$H$5:$H$1000,"&gt;0")=0,1/COUNTIFS($S$5:$S$1000,$S237,$V$5:$V$1000,"Macro"),IF(AND(ISNUMBER($H237),N($H237)&gt;0),$H237,SUMIFS($H$5:$H$1000,$S$5:$S$1000,$S237,$V$5:$V$1000,"Macro")/COUNTIFS($S$5:$S$1000,$S237,$V$5:$V$1000,"Macro",$H$5:$H$1000,"&gt;0"))/(COUNTIFS($S$5:$S$1000,$S237,$V$5:$V$1000,"Macro")*SUMIFS($H$5:$H$1000,$S$5:$S$1000,$S237,$V$5:$V$1000,"Macro")/COUNTIFS($S$5:$S$1000,$S237,$V$5:$V$1000,"Macro",$H$5:$H$1000,"&gt;0"))))</f>
        <v/>
      </c>
      <c r="AH237" s="62" t="n"/>
      <c r="AI237" s="62" t="n"/>
      <c r="AJ237" s="62" t="n"/>
      <c r="AK237" s="62" t="n"/>
      <c r="AL237" s="62">
        <f>IF(LEFT($C237,11)="[Jefatura] ",IFERROR(MATCH("Riesgo Normativo|"&amp;MID($C237,12,500),rDname_ADM,0),0),"")</f>
        <v/>
      </c>
      <c r="AM237" s="62">
        <f>IF(N($AL237)&gt;0,INDEX(rIni_ADM,$AL237),IF(ISNUMBER($E237),$E237,""))</f>
        <v/>
      </c>
      <c r="AN237" s="62">
        <f>IF(N($AL237)&gt;0,INDEX(rLim_ADM,$AL237),IF(ISNUMBER($F237),$F237,""))</f>
        <v/>
      </c>
    </row>
    <row r="238">
      <c r="A238" s="56">
        <f>IF(NOT((COUNTA($B238:$D238)+COUNTA($G238:$L238)+COUNTA($Q238))&gt;0),"",IF($V238="Macro",COUNTIFS($V$5:$V238,"Macro",$S$5:$S238,$S238),IF(N($U238)=0,"?",COUNTIFS(INDEX($V$5:$V$1000,1):INDEX($V$5:$V$1000,$U238-4),"Macro",INDEX($S$5:$S$1000,1):INDEX($S$5:$S$1000,$U238-4),INDEX($S$5:$S$1000,$U238-4))&amp;"."&amp;COUNTIFS($U$5:$U238,$U238,$V$5:$V238,"Sub"))))</f>
        <v/>
      </c>
      <c r="B238" s="57" t="n"/>
      <c r="C238" s="58" t="n"/>
      <c r="D238" s="58" t="n"/>
      <c r="E238" s="59">
        <f>IF(N($AL238)&gt;0,INDEX(rIni_ADM,$AL238),"")</f>
        <v/>
      </c>
      <c r="F238" s="59">
        <f>IF(N($AL238)&gt;0,INDEX(rLim_ADM,$AL238),"")</f>
        <v/>
      </c>
      <c r="G238" s="59" t="n"/>
      <c r="H238" s="60" t="n"/>
      <c r="I238" s="60" t="n"/>
      <c r="J238" s="60" t="n"/>
      <c r="K238" s="60" t="n"/>
      <c r="L238" s="60" t="n"/>
      <c r="M238" s="61">
        <f>IF(NOT((COUNTA($B238:$D238)+COUNTA($G238:$L238)+COUNTA($Q238))&gt;0),"",IF(ISNUMBER($G238),1,IF(N($W238)&gt;0,AVERAGEIFS($X$5:$X$1000,$U$5:$U$1000,ROW(),$V$5:$V$1000,"Sub"),$X238)))</f>
        <v/>
      </c>
      <c r="N238" s="56">
        <f>IF($M238="","",IF($M238&gt;=1,"Completado",IF($M238&gt;0,"En curso","Pendiente")))</f>
        <v/>
      </c>
      <c r="O238" s="56">
        <f>IF(NOT((COUNTA($B238:$D238)+COUNTA($G238:$L238)+COUNTA($Q238))&gt;0),"",IF(ISNUMBER($G238),IF(AND(ISNUMBER($AN238),$G238&gt;$AN238),"Cumplida con "&amp;($G238-$AN238)&amp;IF($G238-$AN238=1," día"," días")&amp;" de retraso","Cumplida"),IF(N($M238)&gt;=1,"Cumplida",IF(NOT(ISNUMBER($AN238)),"Sin fecha límite",IF($AN238&lt;FechaRef,"Vencida hace "&amp;(FechaRef-$AN238)&amp;IF(FechaRef-$AN238=1," día"," días"),IF($AN238=FechaRef,"Vence hoy",IF($AN238-FechaRef&lt;=DiasAlerta,"Vence en "&amp;($AN238-FechaRef)&amp;IF($AN238-FechaRef=1," día"," días"),"En plazo")))))))</f>
        <v/>
      </c>
      <c r="P238" s="62" t="n"/>
      <c r="Q238" s="58" t="n"/>
      <c r="R238" s="63">
        <f>IF(NOT((COUNTA($B238:$D238)+COUNTA($G238:$L238)+COUNTA($Q238))&gt;0),"",IF((IF($C238="","Falta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",""))="","✔ OK","⚠ "&amp;LEFT(IF($C238="","Falta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",""),LEN(IF($C238="","Falta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",""))-3)))</f>
        <v/>
      </c>
      <c r="S238" s="64">
        <f>IF(NOT((COUNTA($B238:$D238)+COUNTA($G238:$L238)+COUNTA($Q238))&gt;0),"",IF(AND($V238="Sub",N($U238)&gt;0),IF(ISNUMBER(INDEX($AM$5:$AM$1000,$U238-4)),DATE(YEAR(INDEX($AM$5:$AM$1000,$U238-4)),MONTH(INDEX($AM$5:$AM$1000,$U238-4)),1),IF(ISNUMBER(INDEX($AN$5:$AN$1000,$U238-4)),DATE(YEAR(INDEX($AN$5:$AN$1000,$U238-4)),MONTH(INDEX($AN$5:$AN$1000,$U238-4)),1),MesCiclo)),IF(ISNUMBER($AM238),DATE(YEAR($AM238),MONTH($AM238),1),IF(ISNUMBER($AN238),DATE(YEAR($AN238),MONTH($AN238),1),MesCiclo))))</f>
        <v/>
      </c>
      <c r="T238" s="62">
        <f>IF(OR($S238="",$S238&lt;&gt;MesCiclo),"",COUNTIF($S$5:$S238,MesCiclo))</f>
        <v/>
      </c>
      <c r="U238" s="62">
        <f>IF($V238="","",IF($V238="Macro",ROW(),IFERROR(LOOKUP(2,1/($V$5:$V238="Macro"),ROW($V$5:$V238)),0)))</f>
        <v/>
      </c>
      <c r="V238" s="62">
        <f>IF(NOT((COUNTA($B238:$D238)+COUNTA($G238:$L238)+COUNTA($Q238))&gt;0),"",IF($B238="Subactividad","Sub","Macro"))</f>
        <v/>
      </c>
      <c r="W238" s="62">
        <f>IF($V238="Macro",COUNTIFS($U$5:$U$1000,ROW(),$V$5:$V$1000,"Sub"),"")</f>
        <v/>
      </c>
      <c r="X238" s="62">
        <f>IF($V238="","",IF(ISNUMBER($G238),1,IFERROR(LOOKUP(2,1/($I238:$L238&lt;&gt;""),$I238:$L238),0)))</f>
        <v/>
      </c>
      <c r="Y238" s="62">
        <f>IF($V238="","",IF(AND(ISNUMBER($G238),$G238&lt;=IF($S238=MesCiclo,InicioCiclo,$S238+MOD(2-WEEKDAY($S238),7))+6),1,IF(ISNUMBER($I238),$I238,0)))</f>
        <v/>
      </c>
      <c r="Z238" s="62">
        <f>IF($V238="","",IF(AND(ISNUMBER($G238),$G238&lt;=IF($S238=MesCiclo,InicioCiclo,$S238+MOD(2-WEEKDAY($S238),7))+13),1,IF(ISNUMBER($J238),$J238,$Y238)))</f>
        <v/>
      </c>
      <c r="AA238" s="62">
        <f>IF($V238="","",IF(AND(ISNUMBER($G238),$G238&lt;=IF($S238=MesCiclo,InicioCiclo,$S238+MOD(2-WEEKDAY($S238),7))+20),1,IF(ISNUMBER($K238),$K238,$Z238)))</f>
        <v/>
      </c>
      <c r="AB238" s="62">
        <f>IF($V238="","",IF(AND(ISNUMBER($G238),$G238&lt;=IF($S238=MesCiclo,InicioCiclo,$S238+MOD(2-WEEKDAY($S238),7))+27),1,IF(ISNUMBER($L238),$L238,$AA238)))</f>
        <v/>
      </c>
      <c r="AC238" s="62">
        <f>IF($V238="","",IF(AND(ISNUMBER($G238),$G238&lt;=IF($S238=MesCiclo,InicioCiclo,$S238+MOD(2-WEEKDAY($S238),7))+6),1,IF(N($W238)&gt;0,AVERAGEIFS($Y$5:$Y$1000,$U$5:$U$1000,ROW(),$V$5:$V$1000,"Sub"),$Y238)))</f>
        <v/>
      </c>
      <c r="AD238" s="62">
        <f>IF($V238="","",IF(AND(ISNUMBER($G238),$G238&lt;=IF($S238=MesCiclo,InicioCiclo,$S238+MOD(2-WEEKDAY($S238),7))+13),1,IF(N($W238)&gt;0,AVERAGEIFS($Z$5:$Z$1000,$U$5:$U$1000,ROW(),$V$5:$V$1000,"Sub"),$Z238)))</f>
        <v/>
      </c>
      <c r="AE238" s="62">
        <f>IF($V238="","",IF(AND(ISNUMBER($G238),$G238&lt;=IF($S238=MesCiclo,InicioCiclo,$S238+MOD(2-WEEKDAY($S238),7))+20),1,IF(N($W238)&gt;0,AVERAGEIFS($AA$5:$AA$1000,$U$5:$U$1000,ROW(),$V$5:$V$1000,"Sub"),$AA238)))</f>
        <v/>
      </c>
      <c r="AF238" s="62">
        <f>IF($V238="","",IF(AND(ISNUMBER($G238),$G238&lt;=IF($S238=MesCiclo,InicioCiclo,$S238+MOD(2-WEEKDAY($S238),7))+27),1,IF(N($W238)&gt;0,AVERAGEIFS($AB$5:$AB$1000,$U$5:$U$1000,ROW(),$V$5:$V$1000,"Sub"),$AB238)))</f>
        <v/>
      </c>
      <c r="AG238" s="62">
        <f>IF($V238&lt;&gt;"Macro","",IF(COUNTIFS($S$5:$S$1000,$S238,$V$5:$V$1000,"Macro",$H$5:$H$1000,"&gt;0")=0,1/COUNTIFS($S$5:$S$1000,$S238,$V$5:$V$1000,"Macro"),IF(AND(ISNUMBER($H238),N($H238)&gt;0),$H238,SUMIFS($H$5:$H$1000,$S$5:$S$1000,$S238,$V$5:$V$1000,"Macro")/COUNTIFS($S$5:$S$1000,$S238,$V$5:$V$1000,"Macro",$H$5:$H$1000,"&gt;0"))/(COUNTIFS($S$5:$S$1000,$S238,$V$5:$V$1000,"Macro")*SUMIFS($H$5:$H$1000,$S$5:$S$1000,$S238,$V$5:$V$1000,"Macro")/COUNTIFS($S$5:$S$1000,$S238,$V$5:$V$1000,"Macro",$H$5:$H$1000,"&gt;0"))))</f>
        <v/>
      </c>
      <c r="AH238" s="62" t="n"/>
      <c r="AI238" s="62" t="n"/>
      <c r="AJ238" s="62" t="n"/>
      <c r="AK238" s="62" t="n"/>
      <c r="AL238" s="62">
        <f>IF(LEFT($C238,11)="[Jefatura] ",IFERROR(MATCH("Riesgo Normativo|"&amp;MID($C238,12,500),rDname_ADM,0),0),"")</f>
        <v/>
      </c>
      <c r="AM238" s="62">
        <f>IF(N($AL238)&gt;0,INDEX(rIni_ADM,$AL238),IF(ISNUMBER($E238),$E238,""))</f>
        <v/>
      </c>
      <c r="AN238" s="62">
        <f>IF(N($AL238)&gt;0,INDEX(rLim_ADM,$AL238),IF(ISNUMBER($F238),$F238,""))</f>
        <v/>
      </c>
    </row>
    <row r="239">
      <c r="A239" s="56">
        <f>IF(NOT((COUNTA($B239:$D239)+COUNTA($G239:$L239)+COUNTA($Q239))&gt;0),"",IF($V239="Macro",COUNTIFS($V$5:$V239,"Macro",$S$5:$S239,$S239),IF(N($U239)=0,"?",COUNTIFS(INDEX($V$5:$V$1000,1):INDEX($V$5:$V$1000,$U239-4),"Macro",INDEX($S$5:$S$1000,1):INDEX($S$5:$S$1000,$U239-4),INDEX($S$5:$S$1000,$U239-4))&amp;"."&amp;COUNTIFS($U$5:$U239,$U239,$V$5:$V239,"Sub"))))</f>
        <v/>
      </c>
      <c r="B239" s="57" t="n"/>
      <c r="C239" s="58" t="n"/>
      <c r="D239" s="58" t="n"/>
      <c r="E239" s="59">
        <f>IF(N($AL239)&gt;0,INDEX(rIni_ADM,$AL239),"")</f>
        <v/>
      </c>
      <c r="F239" s="59">
        <f>IF(N($AL239)&gt;0,INDEX(rLim_ADM,$AL239),"")</f>
        <v/>
      </c>
      <c r="G239" s="59" t="n"/>
      <c r="H239" s="60" t="n"/>
      <c r="I239" s="60" t="n"/>
      <c r="J239" s="60" t="n"/>
      <c r="K239" s="60" t="n"/>
      <c r="L239" s="60" t="n"/>
      <c r="M239" s="61">
        <f>IF(NOT((COUNTA($B239:$D239)+COUNTA($G239:$L239)+COUNTA($Q239))&gt;0),"",IF(ISNUMBER($G239),1,IF(N($W239)&gt;0,AVERAGEIFS($X$5:$X$1000,$U$5:$U$1000,ROW(),$V$5:$V$1000,"Sub"),$X239)))</f>
        <v/>
      </c>
      <c r="N239" s="56">
        <f>IF($M239="","",IF($M239&gt;=1,"Completado",IF($M239&gt;0,"En curso","Pendiente")))</f>
        <v/>
      </c>
      <c r="O239" s="56">
        <f>IF(NOT((COUNTA($B239:$D239)+COUNTA($G239:$L239)+COUNTA($Q239))&gt;0),"",IF(ISNUMBER($G239),IF(AND(ISNUMBER($AN239),$G239&gt;$AN239),"Cumplida con "&amp;($G239-$AN239)&amp;IF($G239-$AN239=1," día"," días")&amp;" de retraso","Cumplida"),IF(N($M239)&gt;=1,"Cumplida",IF(NOT(ISNUMBER($AN239)),"Sin fecha límite",IF($AN239&lt;FechaRef,"Vencida hace "&amp;(FechaRef-$AN239)&amp;IF(FechaRef-$AN239=1," día"," días"),IF($AN239=FechaRef,"Vence hoy",IF($AN239-FechaRef&lt;=DiasAlerta,"Vence en "&amp;($AN239-FechaRef)&amp;IF($AN239-FechaRef=1," día"," días"),"En plazo")))))))</f>
        <v/>
      </c>
      <c r="P239" s="62" t="n"/>
      <c r="Q239" s="58" t="n"/>
      <c r="R239" s="63">
        <f>IF(NOT((COUNTA($B239:$D239)+COUNTA($G239:$L239)+COUNTA($Q239))&gt;0),"",IF((IF($C239="","Falta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",""))="","✔ OK","⚠ "&amp;LEFT(IF($C239="","Falta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",""),LEN(IF($C239="","Falta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",""))-3)))</f>
        <v/>
      </c>
      <c r="S239" s="64">
        <f>IF(NOT((COUNTA($B239:$D239)+COUNTA($G239:$L239)+COUNTA($Q239))&gt;0),"",IF(AND($V239="Sub",N($U239)&gt;0),IF(ISNUMBER(INDEX($AM$5:$AM$1000,$U239-4)),DATE(YEAR(INDEX($AM$5:$AM$1000,$U239-4)),MONTH(INDEX($AM$5:$AM$1000,$U239-4)),1),IF(ISNUMBER(INDEX($AN$5:$AN$1000,$U239-4)),DATE(YEAR(INDEX($AN$5:$AN$1000,$U239-4)),MONTH(INDEX($AN$5:$AN$1000,$U239-4)),1),MesCiclo)),IF(ISNUMBER($AM239),DATE(YEAR($AM239),MONTH($AM239),1),IF(ISNUMBER($AN239),DATE(YEAR($AN239),MONTH($AN239),1),MesCiclo))))</f>
        <v/>
      </c>
      <c r="T239" s="62">
        <f>IF(OR($S239="",$S239&lt;&gt;MesCiclo),"",COUNTIF($S$5:$S239,MesCiclo))</f>
        <v/>
      </c>
      <c r="U239" s="62">
        <f>IF($V239="","",IF($V239="Macro",ROW(),IFERROR(LOOKUP(2,1/($V$5:$V239="Macro"),ROW($V$5:$V239)),0)))</f>
        <v/>
      </c>
      <c r="V239" s="62">
        <f>IF(NOT((COUNTA($B239:$D239)+COUNTA($G239:$L239)+COUNTA($Q239))&gt;0),"",IF($B239="Subactividad","Sub","Macro"))</f>
        <v/>
      </c>
      <c r="W239" s="62">
        <f>IF($V239="Macro",COUNTIFS($U$5:$U$1000,ROW(),$V$5:$V$1000,"Sub"),"")</f>
        <v/>
      </c>
      <c r="X239" s="62">
        <f>IF($V239="","",IF(ISNUMBER($G239),1,IFERROR(LOOKUP(2,1/($I239:$L239&lt;&gt;""),$I239:$L239),0)))</f>
        <v/>
      </c>
      <c r="Y239" s="62">
        <f>IF($V239="","",IF(AND(ISNUMBER($G239),$G239&lt;=IF($S239=MesCiclo,InicioCiclo,$S239+MOD(2-WEEKDAY($S239),7))+6),1,IF(ISNUMBER($I239),$I239,0)))</f>
        <v/>
      </c>
      <c r="Z239" s="62">
        <f>IF($V239="","",IF(AND(ISNUMBER($G239),$G239&lt;=IF($S239=MesCiclo,InicioCiclo,$S239+MOD(2-WEEKDAY($S239),7))+13),1,IF(ISNUMBER($J239),$J239,$Y239)))</f>
        <v/>
      </c>
      <c r="AA239" s="62">
        <f>IF($V239="","",IF(AND(ISNUMBER($G239),$G239&lt;=IF($S239=MesCiclo,InicioCiclo,$S239+MOD(2-WEEKDAY($S239),7))+20),1,IF(ISNUMBER($K239),$K239,$Z239)))</f>
        <v/>
      </c>
      <c r="AB239" s="62">
        <f>IF($V239="","",IF(AND(ISNUMBER($G239),$G239&lt;=IF($S239=MesCiclo,InicioCiclo,$S239+MOD(2-WEEKDAY($S239),7))+27),1,IF(ISNUMBER($L239),$L239,$AA239)))</f>
        <v/>
      </c>
      <c r="AC239" s="62">
        <f>IF($V239="","",IF(AND(ISNUMBER($G239),$G239&lt;=IF($S239=MesCiclo,InicioCiclo,$S239+MOD(2-WEEKDAY($S239),7))+6),1,IF(N($W239)&gt;0,AVERAGEIFS($Y$5:$Y$1000,$U$5:$U$1000,ROW(),$V$5:$V$1000,"Sub"),$Y239)))</f>
        <v/>
      </c>
      <c r="AD239" s="62">
        <f>IF($V239="","",IF(AND(ISNUMBER($G239),$G239&lt;=IF($S239=MesCiclo,InicioCiclo,$S239+MOD(2-WEEKDAY($S239),7))+13),1,IF(N($W239)&gt;0,AVERAGEIFS($Z$5:$Z$1000,$U$5:$U$1000,ROW(),$V$5:$V$1000,"Sub"),$Z239)))</f>
        <v/>
      </c>
      <c r="AE239" s="62">
        <f>IF($V239="","",IF(AND(ISNUMBER($G239),$G239&lt;=IF($S239=MesCiclo,InicioCiclo,$S239+MOD(2-WEEKDAY($S239),7))+20),1,IF(N($W239)&gt;0,AVERAGEIFS($AA$5:$AA$1000,$U$5:$U$1000,ROW(),$V$5:$V$1000,"Sub"),$AA239)))</f>
        <v/>
      </c>
      <c r="AF239" s="62">
        <f>IF($V239="","",IF(AND(ISNUMBER($G239),$G239&lt;=IF($S239=MesCiclo,InicioCiclo,$S239+MOD(2-WEEKDAY($S239),7))+27),1,IF(N($W239)&gt;0,AVERAGEIFS($AB$5:$AB$1000,$U$5:$U$1000,ROW(),$V$5:$V$1000,"Sub"),$AB239)))</f>
        <v/>
      </c>
      <c r="AG239" s="62">
        <f>IF($V239&lt;&gt;"Macro","",IF(COUNTIFS($S$5:$S$1000,$S239,$V$5:$V$1000,"Macro",$H$5:$H$1000,"&gt;0")=0,1/COUNTIFS($S$5:$S$1000,$S239,$V$5:$V$1000,"Macro"),IF(AND(ISNUMBER($H239),N($H239)&gt;0),$H239,SUMIFS($H$5:$H$1000,$S$5:$S$1000,$S239,$V$5:$V$1000,"Macro")/COUNTIFS($S$5:$S$1000,$S239,$V$5:$V$1000,"Macro",$H$5:$H$1000,"&gt;0"))/(COUNTIFS($S$5:$S$1000,$S239,$V$5:$V$1000,"Macro")*SUMIFS($H$5:$H$1000,$S$5:$S$1000,$S239,$V$5:$V$1000,"Macro")/COUNTIFS($S$5:$S$1000,$S239,$V$5:$V$1000,"Macro",$H$5:$H$1000,"&gt;0"))))</f>
        <v/>
      </c>
      <c r="AH239" s="62" t="n"/>
      <c r="AI239" s="62" t="n"/>
      <c r="AJ239" s="62" t="n"/>
      <c r="AK239" s="62" t="n"/>
      <c r="AL239" s="62">
        <f>IF(LEFT($C239,11)="[Jefatura] ",IFERROR(MATCH("Riesgo Normativo|"&amp;MID($C239,12,500),rDname_ADM,0),0),"")</f>
        <v/>
      </c>
      <c r="AM239" s="62">
        <f>IF(N($AL239)&gt;0,INDEX(rIni_ADM,$AL239),IF(ISNUMBER($E239),$E239,""))</f>
        <v/>
      </c>
      <c r="AN239" s="62">
        <f>IF(N($AL239)&gt;0,INDEX(rLim_ADM,$AL239),IF(ISNUMBER($F239),$F239,""))</f>
        <v/>
      </c>
    </row>
    <row r="240">
      <c r="A240" s="56">
        <f>IF(NOT((COUNTA($B240:$D240)+COUNTA($G240:$L240)+COUNTA($Q240))&gt;0),"",IF($V240="Macro",COUNTIFS($V$5:$V240,"Macro",$S$5:$S240,$S240),IF(N($U240)=0,"?",COUNTIFS(INDEX($V$5:$V$1000,1):INDEX($V$5:$V$1000,$U240-4),"Macro",INDEX($S$5:$S$1000,1):INDEX($S$5:$S$1000,$U240-4),INDEX($S$5:$S$1000,$U240-4))&amp;"."&amp;COUNTIFS($U$5:$U240,$U240,$V$5:$V240,"Sub"))))</f>
        <v/>
      </c>
      <c r="B240" s="57" t="n"/>
      <c r="C240" s="58" t="n"/>
      <c r="D240" s="58" t="n"/>
      <c r="E240" s="59">
        <f>IF(N($AL240)&gt;0,INDEX(rIni_ADM,$AL240),"")</f>
        <v/>
      </c>
      <c r="F240" s="59">
        <f>IF(N($AL240)&gt;0,INDEX(rLim_ADM,$AL240),"")</f>
        <v/>
      </c>
      <c r="G240" s="59" t="n"/>
      <c r="H240" s="60" t="n"/>
      <c r="I240" s="60" t="n"/>
      <c r="J240" s="60" t="n"/>
      <c r="K240" s="60" t="n"/>
      <c r="L240" s="60" t="n"/>
      <c r="M240" s="61">
        <f>IF(NOT((COUNTA($B240:$D240)+COUNTA($G240:$L240)+COUNTA($Q240))&gt;0),"",IF(ISNUMBER($G240),1,IF(N($W240)&gt;0,AVERAGEIFS($X$5:$X$1000,$U$5:$U$1000,ROW(),$V$5:$V$1000,"Sub"),$X240)))</f>
        <v/>
      </c>
      <c r="N240" s="56">
        <f>IF($M240="","",IF($M240&gt;=1,"Completado",IF($M240&gt;0,"En curso","Pendiente")))</f>
        <v/>
      </c>
      <c r="O240" s="56">
        <f>IF(NOT((COUNTA($B240:$D240)+COUNTA($G240:$L240)+COUNTA($Q240))&gt;0),"",IF(ISNUMBER($G240),IF(AND(ISNUMBER($AN240),$G240&gt;$AN240),"Cumplida con "&amp;($G240-$AN240)&amp;IF($G240-$AN240=1," día"," días")&amp;" de retraso","Cumplida"),IF(N($M240)&gt;=1,"Cumplida",IF(NOT(ISNUMBER($AN240)),"Sin fecha límite",IF($AN240&lt;FechaRef,"Vencida hace "&amp;(FechaRef-$AN240)&amp;IF(FechaRef-$AN240=1," día"," días"),IF($AN240=FechaRef,"Vence hoy",IF($AN240-FechaRef&lt;=DiasAlerta,"Vence en "&amp;($AN240-FechaRef)&amp;IF($AN240-FechaRef=1," día"," días"),"En plazo")))))))</f>
        <v/>
      </c>
      <c r="P240" s="62" t="n"/>
      <c r="Q240" s="58" t="n"/>
      <c r="R240" s="63">
        <f>IF(NOT((COUNTA($B240:$D240)+COUNTA($G240:$L240)+COUNTA($Q240))&gt;0),"",IF((IF($C240="","Falta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",""))="","✔ OK","⚠ "&amp;LEFT(IF($C240="","Falta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",""),LEN(IF($C240="","Falta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",""))-3)))</f>
        <v/>
      </c>
      <c r="S240" s="64">
        <f>IF(NOT((COUNTA($B240:$D240)+COUNTA($G240:$L240)+COUNTA($Q240))&gt;0),"",IF(AND($V240="Sub",N($U240)&gt;0),IF(ISNUMBER(INDEX($AM$5:$AM$1000,$U240-4)),DATE(YEAR(INDEX($AM$5:$AM$1000,$U240-4)),MONTH(INDEX($AM$5:$AM$1000,$U240-4)),1),IF(ISNUMBER(INDEX($AN$5:$AN$1000,$U240-4)),DATE(YEAR(INDEX($AN$5:$AN$1000,$U240-4)),MONTH(INDEX($AN$5:$AN$1000,$U240-4)),1),MesCiclo)),IF(ISNUMBER($AM240),DATE(YEAR($AM240),MONTH($AM240),1),IF(ISNUMBER($AN240),DATE(YEAR($AN240),MONTH($AN240),1),MesCiclo))))</f>
        <v/>
      </c>
      <c r="T240" s="62">
        <f>IF(OR($S240="",$S240&lt;&gt;MesCiclo),"",COUNTIF($S$5:$S240,MesCiclo))</f>
        <v/>
      </c>
      <c r="U240" s="62">
        <f>IF($V240="","",IF($V240="Macro",ROW(),IFERROR(LOOKUP(2,1/($V$5:$V240="Macro"),ROW($V$5:$V240)),0)))</f>
        <v/>
      </c>
      <c r="V240" s="62">
        <f>IF(NOT((COUNTA($B240:$D240)+COUNTA($G240:$L240)+COUNTA($Q240))&gt;0),"",IF($B240="Subactividad","Sub","Macro"))</f>
        <v/>
      </c>
      <c r="W240" s="62">
        <f>IF($V240="Macro",COUNTIFS($U$5:$U$1000,ROW(),$V$5:$V$1000,"Sub"),"")</f>
        <v/>
      </c>
      <c r="X240" s="62">
        <f>IF($V240="","",IF(ISNUMBER($G240),1,IFERROR(LOOKUP(2,1/($I240:$L240&lt;&gt;""),$I240:$L240),0)))</f>
        <v/>
      </c>
      <c r="Y240" s="62">
        <f>IF($V240="","",IF(AND(ISNUMBER($G240),$G240&lt;=IF($S240=MesCiclo,InicioCiclo,$S240+MOD(2-WEEKDAY($S240),7))+6),1,IF(ISNUMBER($I240),$I240,0)))</f>
        <v/>
      </c>
      <c r="Z240" s="62">
        <f>IF($V240="","",IF(AND(ISNUMBER($G240),$G240&lt;=IF($S240=MesCiclo,InicioCiclo,$S240+MOD(2-WEEKDAY($S240),7))+13),1,IF(ISNUMBER($J240),$J240,$Y240)))</f>
        <v/>
      </c>
      <c r="AA240" s="62">
        <f>IF($V240="","",IF(AND(ISNUMBER($G240),$G240&lt;=IF($S240=MesCiclo,InicioCiclo,$S240+MOD(2-WEEKDAY($S240),7))+20),1,IF(ISNUMBER($K240),$K240,$Z240)))</f>
        <v/>
      </c>
      <c r="AB240" s="62">
        <f>IF($V240="","",IF(AND(ISNUMBER($G240),$G240&lt;=IF($S240=MesCiclo,InicioCiclo,$S240+MOD(2-WEEKDAY($S240),7))+27),1,IF(ISNUMBER($L240),$L240,$AA240)))</f>
        <v/>
      </c>
      <c r="AC240" s="62">
        <f>IF($V240="","",IF(AND(ISNUMBER($G240),$G240&lt;=IF($S240=MesCiclo,InicioCiclo,$S240+MOD(2-WEEKDAY($S240),7))+6),1,IF(N($W240)&gt;0,AVERAGEIFS($Y$5:$Y$1000,$U$5:$U$1000,ROW(),$V$5:$V$1000,"Sub"),$Y240)))</f>
        <v/>
      </c>
      <c r="AD240" s="62">
        <f>IF($V240="","",IF(AND(ISNUMBER($G240),$G240&lt;=IF($S240=MesCiclo,InicioCiclo,$S240+MOD(2-WEEKDAY($S240),7))+13),1,IF(N($W240)&gt;0,AVERAGEIFS($Z$5:$Z$1000,$U$5:$U$1000,ROW(),$V$5:$V$1000,"Sub"),$Z240)))</f>
        <v/>
      </c>
      <c r="AE240" s="62">
        <f>IF($V240="","",IF(AND(ISNUMBER($G240),$G240&lt;=IF($S240=MesCiclo,InicioCiclo,$S240+MOD(2-WEEKDAY($S240),7))+20),1,IF(N($W240)&gt;0,AVERAGEIFS($AA$5:$AA$1000,$U$5:$U$1000,ROW(),$V$5:$V$1000,"Sub"),$AA240)))</f>
        <v/>
      </c>
      <c r="AF240" s="62">
        <f>IF($V240="","",IF(AND(ISNUMBER($G240),$G240&lt;=IF($S240=MesCiclo,InicioCiclo,$S240+MOD(2-WEEKDAY($S240),7))+27),1,IF(N($W240)&gt;0,AVERAGEIFS($AB$5:$AB$1000,$U$5:$U$1000,ROW(),$V$5:$V$1000,"Sub"),$AB240)))</f>
        <v/>
      </c>
      <c r="AG240" s="62">
        <f>IF($V240&lt;&gt;"Macro","",IF(COUNTIFS($S$5:$S$1000,$S240,$V$5:$V$1000,"Macro",$H$5:$H$1000,"&gt;0")=0,1/COUNTIFS($S$5:$S$1000,$S240,$V$5:$V$1000,"Macro"),IF(AND(ISNUMBER($H240),N($H240)&gt;0),$H240,SUMIFS($H$5:$H$1000,$S$5:$S$1000,$S240,$V$5:$V$1000,"Macro")/COUNTIFS($S$5:$S$1000,$S240,$V$5:$V$1000,"Macro",$H$5:$H$1000,"&gt;0"))/(COUNTIFS($S$5:$S$1000,$S240,$V$5:$V$1000,"Macro")*SUMIFS($H$5:$H$1000,$S$5:$S$1000,$S240,$V$5:$V$1000,"Macro")/COUNTIFS($S$5:$S$1000,$S240,$V$5:$V$1000,"Macro",$H$5:$H$1000,"&gt;0"))))</f>
        <v/>
      </c>
      <c r="AH240" s="62" t="n"/>
      <c r="AI240" s="62" t="n"/>
      <c r="AJ240" s="62" t="n"/>
      <c r="AK240" s="62" t="n"/>
      <c r="AL240" s="62">
        <f>IF(LEFT($C240,11)="[Jefatura] ",IFERROR(MATCH("Riesgo Normativo|"&amp;MID($C240,12,500),rDname_ADM,0),0),"")</f>
        <v/>
      </c>
      <c r="AM240" s="62">
        <f>IF(N($AL240)&gt;0,INDEX(rIni_ADM,$AL240),IF(ISNUMBER($E240),$E240,""))</f>
        <v/>
      </c>
      <c r="AN240" s="62">
        <f>IF(N($AL240)&gt;0,INDEX(rLim_ADM,$AL240),IF(ISNUMBER($F240),$F240,""))</f>
        <v/>
      </c>
    </row>
    <row r="241">
      <c r="A241" s="56">
        <f>IF(NOT((COUNTA($B241:$D241)+COUNTA($G241:$L241)+COUNTA($Q241))&gt;0),"",IF($V241="Macro",COUNTIFS($V$5:$V241,"Macro",$S$5:$S241,$S241),IF(N($U241)=0,"?",COUNTIFS(INDEX($V$5:$V$1000,1):INDEX($V$5:$V$1000,$U241-4),"Macro",INDEX($S$5:$S$1000,1):INDEX($S$5:$S$1000,$U241-4),INDEX($S$5:$S$1000,$U241-4))&amp;"."&amp;COUNTIFS($U$5:$U241,$U241,$V$5:$V241,"Sub"))))</f>
        <v/>
      </c>
      <c r="B241" s="57" t="n"/>
      <c r="C241" s="58" t="n"/>
      <c r="D241" s="58" t="n"/>
      <c r="E241" s="59">
        <f>IF(N($AL241)&gt;0,INDEX(rIni_ADM,$AL241),"")</f>
        <v/>
      </c>
      <c r="F241" s="59">
        <f>IF(N($AL241)&gt;0,INDEX(rLim_ADM,$AL241),"")</f>
        <v/>
      </c>
      <c r="G241" s="59" t="n"/>
      <c r="H241" s="60" t="n"/>
      <c r="I241" s="60" t="n"/>
      <c r="J241" s="60" t="n"/>
      <c r="K241" s="60" t="n"/>
      <c r="L241" s="60" t="n"/>
      <c r="M241" s="61">
        <f>IF(NOT((COUNTA($B241:$D241)+COUNTA($G241:$L241)+COUNTA($Q241))&gt;0),"",IF(ISNUMBER($G241),1,IF(N($W241)&gt;0,AVERAGEIFS($X$5:$X$1000,$U$5:$U$1000,ROW(),$V$5:$V$1000,"Sub"),$X241)))</f>
        <v/>
      </c>
      <c r="N241" s="56">
        <f>IF($M241="","",IF($M241&gt;=1,"Completado",IF($M241&gt;0,"En curso","Pendiente")))</f>
        <v/>
      </c>
      <c r="O241" s="56">
        <f>IF(NOT((COUNTA($B241:$D241)+COUNTA($G241:$L241)+COUNTA($Q241))&gt;0),"",IF(ISNUMBER($G241),IF(AND(ISNUMBER($AN241),$G241&gt;$AN241),"Cumplida con "&amp;($G241-$AN241)&amp;IF($G241-$AN241=1," día"," días")&amp;" de retraso","Cumplida"),IF(N($M241)&gt;=1,"Cumplida",IF(NOT(ISNUMBER($AN241)),"Sin fecha límite",IF($AN241&lt;FechaRef,"Vencida hace "&amp;(FechaRef-$AN241)&amp;IF(FechaRef-$AN241=1," día"," días"),IF($AN241=FechaRef,"Vence hoy",IF($AN241-FechaRef&lt;=DiasAlerta,"Vence en "&amp;($AN241-FechaRef)&amp;IF($AN241-FechaRef=1," día"," días"),"En plazo")))))))</f>
        <v/>
      </c>
      <c r="P241" s="62" t="n"/>
      <c r="Q241" s="58" t="n"/>
      <c r="R241" s="63">
        <f>IF(NOT((COUNTA($B241:$D241)+COUNTA($G241:$L241)+COUNTA($Q241))&gt;0),"",IF((IF($C241="","Falta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",""))="","✔ OK","⚠ "&amp;LEFT(IF($C241="","Falta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",""),LEN(IF($C241="","Falta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",""))-3)))</f>
        <v/>
      </c>
      <c r="S241" s="64">
        <f>IF(NOT((COUNTA($B241:$D241)+COUNTA($G241:$L241)+COUNTA($Q241))&gt;0),"",IF(AND($V241="Sub",N($U241)&gt;0),IF(ISNUMBER(INDEX($AM$5:$AM$1000,$U241-4)),DATE(YEAR(INDEX($AM$5:$AM$1000,$U241-4)),MONTH(INDEX($AM$5:$AM$1000,$U241-4)),1),IF(ISNUMBER(INDEX($AN$5:$AN$1000,$U241-4)),DATE(YEAR(INDEX($AN$5:$AN$1000,$U241-4)),MONTH(INDEX($AN$5:$AN$1000,$U241-4)),1),MesCiclo)),IF(ISNUMBER($AM241),DATE(YEAR($AM241),MONTH($AM241),1),IF(ISNUMBER($AN241),DATE(YEAR($AN241),MONTH($AN241),1),MesCiclo))))</f>
        <v/>
      </c>
      <c r="T241" s="62">
        <f>IF(OR($S241="",$S241&lt;&gt;MesCiclo),"",COUNTIF($S$5:$S241,MesCiclo))</f>
        <v/>
      </c>
      <c r="U241" s="62">
        <f>IF($V241="","",IF($V241="Macro",ROW(),IFERROR(LOOKUP(2,1/($V$5:$V241="Macro"),ROW($V$5:$V241)),0)))</f>
        <v/>
      </c>
      <c r="V241" s="62">
        <f>IF(NOT((COUNTA($B241:$D241)+COUNTA($G241:$L241)+COUNTA($Q241))&gt;0),"",IF($B241="Subactividad","Sub","Macro"))</f>
        <v/>
      </c>
      <c r="W241" s="62">
        <f>IF($V241="Macro",COUNTIFS($U$5:$U$1000,ROW(),$V$5:$V$1000,"Sub"),"")</f>
        <v/>
      </c>
      <c r="X241" s="62">
        <f>IF($V241="","",IF(ISNUMBER($G241),1,IFERROR(LOOKUP(2,1/($I241:$L241&lt;&gt;""),$I241:$L241),0)))</f>
        <v/>
      </c>
      <c r="Y241" s="62">
        <f>IF($V241="","",IF(AND(ISNUMBER($G241),$G241&lt;=IF($S241=MesCiclo,InicioCiclo,$S241+MOD(2-WEEKDAY($S241),7))+6),1,IF(ISNUMBER($I241),$I241,0)))</f>
        <v/>
      </c>
      <c r="Z241" s="62">
        <f>IF($V241="","",IF(AND(ISNUMBER($G241),$G241&lt;=IF($S241=MesCiclo,InicioCiclo,$S241+MOD(2-WEEKDAY($S241),7))+13),1,IF(ISNUMBER($J241),$J241,$Y241)))</f>
        <v/>
      </c>
      <c r="AA241" s="62">
        <f>IF($V241="","",IF(AND(ISNUMBER($G241),$G241&lt;=IF($S241=MesCiclo,InicioCiclo,$S241+MOD(2-WEEKDAY($S241),7))+20),1,IF(ISNUMBER($K241),$K241,$Z241)))</f>
        <v/>
      </c>
      <c r="AB241" s="62">
        <f>IF($V241="","",IF(AND(ISNUMBER($G241),$G241&lt;=IF($S241=MesCiclo,InicioCiclo,$S241+MOD(2-WEEKDAY($S241),7))+27),1,IF(ISNUMBER($L241),$L241,$AA241)))</f>
        <v/>
      </c>
      <c r="AC241" s="62">
        <f>IF($V241="","",IF(AND(ISNUMBER($G241),$G241&lt;=IF($S241=MesCiclo,InicioCiclo,$S241+MOD(2-WEEKDAY($S241),7))+6),1,IF(N($W241)&gt;0,AVERAGEIFS($Y$5:$Y$1000,$U$5:$U$1000,ROW(),$V$5:$V$1000,"Sub"),$Y241)))</f>
        <v/>
      </c>
      <c r="AD241" s="62">
        <f>IF($V241="","",IF(AND(ISNUMBER($G241),$G241&lt;=IF($S241=MesCiclo,InicioCiclo,$S241+MOD(2-WEEKDAY($S241),7))+13),1,IF(N($W241)&gt;0,AVERAGEIFS($Z$5:$Z$1000,$U$5:$U$1000,ROW(),$V$5:$V$1000,"Sub"),$Z241)))</f>
        <v/>
      </c>
      <c r="AE241" s="62">
        <f>IF($V241="","",IF(AND(ISNUMBER($G241),$G241&lt;=IF($S241=MesCiclo,InicioCiclo,$S241+MOD(2-WEEKDAY($S241),7))+20),1,IF(N($W241)&gt;0,AVERAGEIFS($AA$5:$AA$1000,$U$5:$U$1000,ROW(),$V$5:$V$1000,"Sub"),$AA241)))</f>
        <v/>
      </c>
      <c r="AF241" s="62">
        <f>IF($V241="","",IF(AND(ISNUMBER($G241),$G241&lt;=IF($S241=MesCiclo,InicioCiclo,$S241+MOD(2-WEEKDAY($S241),7))+27),1,IF(N($W241)&gt;0,AVERAGEIFS($AB$5:$AB$1000,$U$5:$U$1000,ROW(),$V$5:$V$1000,"Sub"),$AB241)))</f>
        <v/>
      </c>
      <c r="AG241" s="62">
        <f>IF($V241&lt;&gt;"Macro","",IF(COUNTIFS($S$5:$S$1000,$S241,$V$5:$V$1000,"Macro",$H$5:$H$1000,"&gt;0")=0,1/COUNTIFS($S$5:$S$1000,$S241,$V$5:$V$1000,"Macro"),IF(AND(ISNUMBER($H241),N($H241)&gt;0),$H241,SUMIFS($H$5:$H$1000,$S$5:$S$1000,$S241,$V$5:$V$1000,"Macro")/COUNTIFS($S$5:$S$1000,$S241,$V$5:$V$1000,"Macro",$H$5:$H$1000,"&gt;0"))/(COUNTIFS($S$5:$S$1000,$S241,$V$5:$V$1000,"Macro")*SUMIFS($H$5:$H$1000,$S$5:$S$1000,$S241,$V$5:$V$1000,"Macro")/COUNTIFS($S$5:$S$1000,$S241,$V$5:$V$1000,"Macro",$H$5:$H$1000,"&gt;0"))))</f>
        <v/>
      </c>
      <c r="AH241" s="62" t="n"/>
      <c r="AI241" s="62" t="n"/>
      <c r="AJ241" s="62" t="n"/>
      <c r="AK241" s="62" t="n"/>
      <c r="AL241" s="62">
        <f>IF(LEFT($C241,11)="[Jefatura] ",IFERROR(MATCH("Riesgo Normativo|"&amp;MID($C241,12,500),rDname_ADM,0),0),"")</f>
        <v/>
      </c>
      <c r="AM241" s="62">
        <f>IF(N($AL241)&gt;0,INDEX(rIni_ADM,$AL241),IF(ISNUMBER($E241),$E241,""))</f>
        <v/>
      </c>
      <c r="AN241" s="62">
        <f>IF(N($AL241)&gt;0,INDEX(rLim_ADM,$AL241),IF(ISNUMBER($F241),$F241,""))</f>
        <v/>
      </c>
    </row>
    <row r="242">
      <c r="A242" s="56">
        <f>IF(NOT((COUNTA($B242:$D242)+COUNTA($G242:$L242)+COUNTA($Q242))&gt;0),"",IF($V242="Macro",COUNTIFS($V$5:$V242,"Macro",$S$5:$S242,$S242),IF(N($U242)=0,"?",COUNTIFS(INDEX($V$5:$V$1000,1):INDEX($V$5:$V$1000,$U242-4),"Macro",INDEX($S$5:$S$1000,1):INDEX($S$5:$S$1000,$U242-4),INDEX($S$5:$S$1000,$U242-4))&amp;"."&amp;COUNTIFS($U$5:$U242,$U242,$V$5:$V242,"Sub"))))</f>
        <v/>
      </c>
      <c r="B242" s="57" t="n"/>
      <c r="C242" s="58" t="n"/>
      <c r="D242" s="58" t="n"/>
      <c r="E242" s="59">
        <f>IF(N($AL242)&gt;0,INDEX(rIni_ADM,$AL242),"")</f>
        <v/>
      </c>
      <c r="F242" s="59">
        <f>IF(N($AL242)&gt;0,INDEX(rLim_ADM,$AL242),"")</f>
        <v/>
      </c>
      <c r="G242" s="59" t="n"/>
      <c r="H242" s="60" t="n"/>
      <c r="I242" s="60" t="n"/>
      <c r="J242" s="60" t="n"/>
      <c r="K242" s="60" t="n"/>
      <c r="L242" s="60" t="n"/>
      <c r="M242" s="61">
        <f>IF(NOT((COUNTA($B242:$D242)+COUNTA($G242:$L242)+COUNTA($Q242))&gt;0),"",IF(ISNUMBER($G242),1,IF(N($W242)&gt;0,AVERAGEIFS($X$5:$X$1000,$U$5:$U$1000,ROW(),$V$5:$V$1000,"Sub"),$X242)))</f>
        <v/>
      </c>
      <c r="N242" s="56">
        <f>IF($M242="","",IF($M242&gt;=1,"Completado",IF($M242&gt;0,"En curso","Pendiente")))</f>
        <v/>
      </c>
      <c r="O242" s="56">
        <f>IF(NOT((COUNTA($B242:$D242)+COUNTA($G242:$L242)+COUNTA($Q242))&gt;0),"",IF(ISNUMBER($G242),IF(AND(ISNUMBER($AN242),$G242&gt;$AN242),"Cumplida con "&amp;($G242-$AN242)&amp;IF($G242-$AN242=1," día"," días")&amp;" de retraso","Cumplida"),IF(N($M242)&gt;=1,"Cumplida",IF(NOT(ISNUMBER($AN242)),"Sin fecha límite",IF($AN242&lt;FechaRef,"Vencida hace "&amp;(FechaRef-$AN242)&amp;IF(FechaRef-$AN242=1," día"," días"),IF($AN242=FechaRef,"Vence hoy",IF($AN242-FechaRef&lt;=DiasAlerta,"Vence en "&amp;($AN242-FechaRef)&amp;IF($AN242-FechaRef=1," día"," días"),"En plazo")))))))</f>
        <v/>
      </c>
      <c r="P242" s="62" t="n"/>
      <c r="Q242" s="58" t="n"/>
      <c r="R242" s="63">
        <f>IF(NOT((COUNTA($B242:$D242)+COUNTA($G242:$L242)+COUNTA($Q242))&gt;0),"",IF((IF($C242="","Falta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",""))="","✔ OK","⚠ "&amp;LEFT(IF($C242="","Falta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",""),LEN(IF($C242="","Falta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",""))-3)))</f>
        <v/>
      </c>
      <c r="S242" s="64">
        <f>IF(NOT((COUNTA($B242:$D242)+COUNTA($G242:$L242)+COUNTA($Q242))&gt;0),"",IF(AND($V242="Sub",N($U242)&gt;0),IF(ISNUMBER(INDEX($AM$5:$AM$1000,$U242-4)),DATE(YEAR(INDEX($AM$5:$AM$1000,$U242-4)),MONTH(INDEX($AM$5:$AM$1000,$U242-4)),1),IF(ISNUMBER(INDEX($AN$5:$AN$1000,$U242-4)),DATE(YEAR(INDEX($AN$5:$AN$1000,$U242-4)),MONTH(INDEX($AN$5:$AN$1000,$U242-4)),1),MesCiclo)),IF(ISNUMBER($AM242),DATE(YEAR($AM242),MONTH($AM242),1),IF(ISNUMBER($AN242),DATE(YEAR($AN242),MONTH($AN242),1),MesCiclo))))</f>
        <v/>
      </c>
      <c r="T242" s="62">
        <f>IF(OR($S242="",$S242&lt;&gt;MesCiclo),"",COUNTIF($S$5:$S242,MesCiclo))</f>
        <v/>
      </c>
      <c r="U242" s="62">
        <f>IF($V242="","",IF($V242="Macro",ROW(),IFERROR(LOOKUP(2,1/($V$5:$V242="Macro"),ROW($V$5:$V242)),0)))</f>
        <v/>
      </c>
      <c r="V242" s="62">
        <f>IF(NOT((COUNTA($B242:$D242)+COUNTA($G242:$L242)+COUNTA($Q242))&gt;0),"",IF($B242="Subactividad","Sub","Macro"))</f>
        <v/>
      </c>
      <c r="W242" s="62">
        <f>IF($V242="Macro",COUNTIFS($U$5:$U$1000,ROW(),$V$5:$V$1000,"Sub"),"")</f>
        <v/>
      </c>
      <c r="X242" s="62">
        <f>IF($V242="","",IF(ISNUMBER($G242),1,IFERROR(LOOKUP(2,1/($I242:$L242&lt;&gt;""),$I242:$L242),0)))</f>
        <v/>
      </c>
      <c r="Y242" s="62">
        <f>IF($V242="","",IF(AND(ISNUMBER($G242),$G242&lt;=IF($S242=MesCiclo,InicioCiclo,$S242+MOD(2-WEEKDAY($S242),7))+6),1,IF(ISNUMBER($I242),$I242,0)))</f>
        <v/>
      </c>
      <c r="Z242" s="62">
        <f>IF($V242="","",IF(AND(ISNUMBER($G242),$G242&lt;=IF($S242=MesCiclo,InicioCiclo,$S242+MOD(2-WEEKDAY($S242),7))+13),1,IF(ISNUMBER($J242),$J242,$Y242)))</f>
        <v/>
      </c>
      <c r="AA242" s="62">
        <f>IF($V242="","",IF(AND(ISNUMBER($G242),$G242&lt;=IF($S242=MesCiclo,InicioCiclo,$S242+MOD(2-WEEKDAY($S242),7))+20),1,IF(ISNUMBER($K242),$K242,$Z242)))</f>
        <v/>
      </c>
      <c r="AB242" s="62">
        <f>IF($V242="","",IF(AND(ISNUMBER($G242),$G242&lt;=IF($S242=MesCiclo,InicioCiclo,$S242+MOD(2-WEEKDAY($S242),7))+27),1,IF(ISNUMBER($L242),$L242,$AA242)))</f>
        <v/>
      </c>
      <c r="AC242" s="62">
        <f>IF($V242="","",IF(AND(ISNUMBER($G242),$G242&lt;=IF($S242=MesCiclo,InicioCiclo,$S242+MOD(2-WEEKDAY($S242),7))+6),1,IF(N($W242)&gt;0,AVERAGEIFS($Y$5:$Y$1000,$U$5:$U$1000,ROW(),$V$5:$V$1000,"Sub"),$Y242)))</f>
        <v/>
      </c>
      <c r="AD242" s="62">
        <f>IF($V242="","",IF(AND(ISNUMBER($G242),$G242&lt;=IF($S242=MesCiclo,InicioCiclo,$S242+MOD(2-WEEKDAY($S242),7))+13),1,IF(N($W242)&gt;0,AVERAGEIFS($Z$5:$Z$1000,$U$5:$U$1000,ROW(),$V$5:$V$1000,"Sub"),$Z242)))</f>
        <v/>
      </c>
      <c r="AE242" s="62">
        <f>IF($V242="","",IF(AND(ISNUMBER($G242),$G242&lt;=IF($S242=MesCiclo,InicioCiclo,$S242+MOD(2-WEEKDAY($S242),7))+20),1,IF(N($W242)&gt;0,AVERAGEIFS($AA$5:$AA$1000,$U$5:$U$1000,ROW(),$V$5:$V$1000,"Sub"),$AA242)))</f>
        <v/>
      </c>
      <c r="AF242" s="62">
        <f>IF($V242="","",IF(AND(ISNUMBER($G242),$G242&lt;=IF($S242=MesCiclo,InicioCiclo,$S242+MOD(2-WEEKDAY($S242),7))+27),1,IF(N($W242)&gt;0,AVERAGEIFS($AB$5:$AB$1000,$U$5:$U$1000,ROW(),$V$5:$V$1000,"Sub"),$AB242)))</f>
        <v/>
      </c>
      <c r="AG242" s="62">
        <f>IF($V242&lt;&gt;"Macro","",IF(COUNTIFS($S$5:$S$1000,$S242,$V$5:$V$1000,"Macro",$H$5:$H$1000,"&gt;0")=0,1/COUNTIFS($S$5:$S$1000,$S242,$V$5:$V$1000,"Macro"),IF(AND(ISNUMBER($H242),N($H242)&gt;0),$H242,SUMIFS($H$5:$H$1000,$S$5:$S$1000,$S242,$V$5:$V$1000,"Macro")/COUNTIFS($S$5:$S$1000,$S242,$V$5:$V$1000,"Macro",$H$5:$H$1000,"&gt;0"))/(COUNTIFS($S$5:$S$1000,$S242,$V$5:$V$1000,"Macro")*SUMIFS($H$5:$H$1000,$S$5:$S$1000,$S242,$V$5:$V$1000,"Macro")/COUNTIFS($S$5:$S$1000,$S242,$V$5:$V$1000,"Macro",$H$5:$H$1000,"&gt;0"))))</f>
        <v/>
      </c>
      <c r="AH242" s="62" t="n"/>
      <c r="AI242" s="62" t="n"/>
      <c r="AJ242" s="62" t="n"/>
      <c r="AK242" s="62" t="n"/>
      <c r="AL242" s="62">
        <f>IF(LEFT($C242,11)="[Jefatura] ",IFERROR(MATCH("Riesgo Normativo|"&amp;MID($C242,12,500),rDname_ADM,0),0),"")</f>
        <v/>
      </c>
      <c r="AM242" s="62">
        <f>IF(N($AL242)&gt;0,INDEX(rIni_ADM,$AL242),IF(ISNUMBER($E242),$E242,""))</f>
        <v/>
      </c>
      <c r="AN242" s="62">
        <f>IF(N($AL242)&gt;0,INDEX(rLim_ADM,$AL242),IF(ISNUMBER($F242),$F242,""))</f>
        <v/>
      </c>
    </row>
    <row r="243">
      <c r="A243" s="56">
        <f>IF(NOT((COUNTA($B243:$D243)+COUNTA($G243:$L243)+COUNTA($Q243))&gt;0),"",IF($V243="Macro",COUNTIFS($V$5:$V243,"Macro",$S$5:$S243,$S243),IF(N($U243)=0,"?",COUNTIFS(INDEX($V$5:$V$1000,1):INDEX($V$5:$V$1000,$U243-4),"Macro",INDEX($S$5:$S$1000,1):INDEX($S$5:$S$1000,$U243-4),INDEX($S$5:$S$1000,$U243-4))&amp;"."&amp;COUNTIFS($U$5:$U243,$U243,$V$5:$V243,"Sub"))))</f>
        <v/>
      </c>
      <c r="B243" s="57" t="n"/>
      <c r="C243" s="58" t="n"/>
      <c r="D243" s="58" t="n"/>
      <c r="E243" s="59">
        <f>IF(N($AL243)&gt;0,INDEX(rIni_ADM,$AL243),"")</f>
        <v/>
      </c>
      <c r="F243" s="59">
        <f>IF(N($AL243)&gt;0,INDEX(rLim_ADM,$AL243),"")</f>
        <v/>
      </c>
      <c r="G243" s="59" t="n"/>
      <c r="H243" s="60" t="n"/>
      <c r="I243" s="60" t="n"/>
      <c r="J243" s="60" t="n"/>
      <c r="K243" s="60" t="n"/>
      <c r="L243" s="60" t="n"/>
      <c r="M243" s="61">
        <f>IF(NOT((COUNTA($B243:$D243)+COUNTA($G243:$L243)+COUNTA($Q243))&gt;0),"",IF(ISNUMBER($G243),1,IF(N($W243)&gt;0,AVERAGEIFS($X$5:$X$1000,$U$5:$U$1000,ROW(),$V$5:$V$1000,"Sub"),$X243)))</f>
        <v/>
      </c>
      <c r="N243" s="56">
        <f>IF($M243="","",IF($M243&gt;=1,"Completado",IF($M243&gt;0,"En curso","Pendiente")))</f>
        <v/>
      </c>
      <c r="O243" s="56">
        <f>IF(NOT((COUNTA($B243:$D243)+COUNTA($G243:$L243)+COUNTA($Q243))&gt;0),"",IF(ISNUMBER($G243),IF(AND(ISNUMBER($AN243),$G243&gt;$AN243),"Cumplida con "&amp;($G243-$AN243)&amp;IF($G243-$AN243=1," día"," días")&amp;" de retraso","Cumplida"),IF(N($M243)&gt;=1,"Cumplida",IF(NOT(ISNUMBER($AN243)),"Sin fecha límite",IF($AN243&lt;FechaRef,"Vencida hace "&amp;(FechaRef-$AN243)&amp;IF(FechaRef-$AN243=1," día"," días"),IF($AN243=FechaRef,"Vence hoy",IF($AN243-FechaRef&lt;=DiasAlerta,"Vence en "&amp;($AN243-FechaRef)&amp;IF($AN243-FechaRef=1," día"," días"),"En plazo")))))))</f>
        <v/>
      </c>
      <c r="P243" s="62" t="n"/>
      <c r="Q243" s="58" t="n"/>
      <c r="R243" s="63">
        <f>IF(NOT((COUNTA($B243:$D243)+COUNTA($G243:$L243)+COUNTA($Q243))&gt;0),"",IF((IF($C243="","Falta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",""))="","✔ OK","⚠ "&amp;LEFT(IF($C243="","Falta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",""),LEN(IF($C243="","Falta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",""))-3)))</f>
        <v/>
      </c>
      <c r="S243" s="64">
        <f>IF(NOT((COUNTA($B243:$D243)+COUNTA($G243:$L243)+COUNTA($Q243))&gt;0),"",IF(AND($V243="Sub",N($U243)&gt;0),IF(ISNUMBER(INDEX($AM$5:$AM$1000,$U243-4)),DATE(YEAR(INDEX($AM$5:$AM$1000,$U243-4)),MONTH(INDEX($AM$5:$AM$1000,$U243-4)),1),IF(ISNUMBER(INDEX($AN$5:$AN$1000,$U243-4)),DATE(YEAR(INDEX($AN$5:$AN$1000,$U243-4)),MONTH(INDEX($AN$5:$AN$1000,$U243-4)),1),MesCiclo)),IF(ISNUMBER($AM243),DATE(YEAR($AM243),MONTH($AM243),1),IF(ISNUMBER($AN243),DATE(YEAR($AN243),MONTH($AN243),1),MesCiclo))))</f>
        <v/>
      </c>
      <c r="T243" s="62">
        <f>IF(OR($S243="",$S243&lt;&gt;MesCiclo),"",COUNTIF($S$5:$S243,MesCiclo))</f>
        <v/>
      </c>
      <c r="U243" s="62">
        <f>IF($V243="","",IF($V243="Macro",ROW(),IFERROR(LOOKUP(2,1/($V$5:$V243="Macro"),ROW($V$5:$V243)),0)))</f>
        <v/>
      </c>
      <c r="V243" s="62">
        <f>IF(NOT((COUNTA($B243:$D243)+COUNTA($G243:$L243)+COUNTA($Q243))&gt;0),"",IF($B243="Subactividad","Sub","Macro"))</f>
        <v/>
      </c>
      <c r="W243" s="62">
        <f>IF($V243="Macro",COUNTIFS($U$5:$U$1000,ROW(),$V$5:$V$1000,"Sub"),"")</f>
        <v/>
      </c>
      <c r="X243" s="62">
        <f>IF($V243="","",IF(ISNUMBER($G243),1,IFERROR(LOOKUP(2,1/($I243:$L243&lt;&gt;""),$I243:$L243),0)))</f>
        <v/>
      </c>
      <c r="Y243" s="62">
        <f>IF($V243="","",IF(AND(ISNUMBER($G243),$G243&lt;=IF($S243=MesCiclo,InicioCiclo,$S243+MOD(2-WEEKDAY($S243),7))+6),1,IF(ISNUMBER($I243),$I243,0)))</f>
        <v/>
      </c>
      <c r="Z243" s="62">
        <f>IF($V243="","",IF(AND(ISNUMBER($G243),$G243&lt;=IF($S243=MesCiclo,InicioCiclo,$S243+MOD(2-WEEKDAY($S243),7))+13),1,IF(ISNUMBER($J243),$J243,$Y243)))</f>
        <v/>
      </c>
      <c r="AA243" s="62">
        <f>IF($V243="","",IF(AND(ISNUMBER($G243),$G243&lt;=IF($S243=MesCiclo,InicioCiclo,$S243+MOD(2-WEEKDAY($S243),7))+20),1,IF(ISNUMBER($K243),$K243,$Z243)))</f>
        <v/>
      </c>
      <c r="AB243" s="62">
        <f>IF($V243="","",IF(AND(ISNUMBER($G243),$G243&lt;=IF($S243=MesCiclo,InicioCiclo,$S243+MOD(2-WEEKDAY($S243),7))+27),1,IF(ISNUMBER($L243),$L243,$AA243)))</f>
        <v/>
      </c>
      <c r="AC243" s="62">
        <f>IF($V243="","",IF(AND(ISNUMBER($G243),$G243&lt;=IF($S243=MesCiclo,InicioCiclo,$S243+MOD(2-WEEKDAY($S243),7))+6),1,IF(N($W243)&gt;0,AVERAGEIFS($Y$5:$Y$1000,$U$5:$U$1000,ROW(),$V$5:$V$1000,"Sub"),$Y243)))</f>
        <v/>
      </c>
      <c r="AD243" s="62">
        <f>IF($V243="","",IF(AND(ISNUMBER($G243),$G243&lt;=IF($S243=MesCiclo,InicioCiclo,$S243+MOD(2-WEEKDAY($S243),7))+13),1,IF(N($W243)&gt;0,AVERAGEIFS($Z$5:$Z$1000,$U$5:$U$1000,ROW(),$V$5:$V$1000,"Sub"),$Z243)))</f>
        <v/>
      </c>
      <c r="AE243" s="62">
        <f>IF($V243="","",IF(AND(ISNUMBER($G243),$G243&lt;=IF($S243=MesCiclo,InicioCiclo,$S243+MOD(2-WEEKDAY($S243),7))+20),1,IF(N($W243)&gt;0,AVERAGEIFS($AA$5:$AA$1000,$U$5:$U$1000,ROW(),$V$5:$V$1000,"Sub"),$AA243)))</f>
        <v/>
      </c>
      <c r="AF243" s="62">
        <f>IF($V243="","",IF(AND(ISNUMBER($G243),$G243&lt;=IF($S243=MesCiclo,InicioCiclo,$S243+MOD(2-WEEKDAY($S243),7))+27),1,IF(N($W243)&gt;0,AVERAGEIFS($AB$5:$AB$1000,$U$5:$U$1000,ROW(),$V$5:$V$1000,"Sub"),$AB243)))</f>
        <v/>
      </c>
      <c r="AG243" s="62">
        <f>IF($V243&lt;&gt;"Macro","",IF(COUNTIFS($S$5:$S$1000,$S243,$V$5:$V$1000,"Macro",$H$5:$H$1000,"&gt;0")=0,1/COUNTIFS($S$5:$S$1000,$S243,$V$5:$V$1000,"Macro"),IF(AND(ISNUMBER($H243),N($H243)&gt;0),$H243,SUMIFS($H$5:$H$1000,$S$5:$S$1000,$S243,$V$5:$V$1000,"Macro")/COUNTIFS($S$5:$S$1000,$S243,$V$5:$V$1000,"Macro",$H$5:$H$1000,"&gt;0"))/(COUNTIFS($S$5:$S$1000,$S243,$V$5:$V$1000,"Macro")*SUMIFS($H$5:$H$1000,$S$5:$S$1000,$S243,$V$5:$V$1000,"Macro")/COUNTIFS($S$5:$S$1000,$S243,$V$5:$V$1000,"Macro",$H$5:$H$1000,"&gt;0"))))</f>
        <v/>
      </c>
      <c r="AH243" s="62" t="n"/>
      <c r="AI243" s="62" t="n"/>
      <c r="AJ243" s="62" t="n"/>
      <c r="AK243" s="62" t="n"/>
      <c r="AL243" s="62">
        <f>IF(LEFT($C243,11)="[Jefatura] ",IFERROR(MATCH("Riesgo Normativo|"&amp;MID($C243,12,500),rDname_ADM,0),0),"")</f>
        <v/>
      </c>
      <c r="AM243" s="62">
        <f>IF(N($AL243)&gt;0,INDEX(rIni_ADM,$AL243),IF(ISNUMBER($E243),$E243,""))</f>
        <v/>
      </c>
      <c r="AN243" s="62">
        <f>IF(N($AL243)&gt;0,INDEX(rLim_ADM,$AL243),IF(ISNUMBER($F243),$F243,""))</f>
        <v/>
      </c>
    </row>
    <row r="244">
      <c r="A244" s="56">
        <f>IF(NOT((COUNTA($B244:$D244)+COUNTA($G244:$L244)+COUNTA($Q244))&gt;0),"",IF($V244="Macro",COUNTIFS($V$5:$V244,"Macro",$S$5:$S244,$S244),IF(N($U244)=0,"?",COUNTIFS(INDEX($V$5:$V$1000,1):INDEX($V$5:$V$1000,$U244-4),"Macro",INDEX($S$5:$S$1000,1):INDEX($S$5:$S$1000,$U244-4),INDEX($S$5:$S$1000,$U244-4))&amp;"."&amp;COUNTIFS($U$5:$U244,$U244,$V$5:$V244,"Sub"))))</f>
        <v/>
      </c>
      <c r="B244" s="57" t="n"/>
      <c r="C244" s="58" t="n"/>
      <c r="D244" s="58" t="n"/>
      <c r="E244" s="59">
        <f>IF(N($AL244)&gt;0,INDEX(rIni_ADM,$AL244),"")</f>
        <v/>
      </c>
      <c r="F244" s="59">
        <f>IF(N($AL244)&gt;0,INDEX(rLim_ADM,$AL244),"")</f>
        <v/>
      </c>
      <c r="G244" s="59" t="n"/>
      <c r="H244" s="60" t="n"/>
      <c r="I244" s="60" t="n"/>
      <c r="J244" s="60" t="n"/>
      <c r="K244" s="60" t="n"/>
      <c r="L244" s="60" t="n"/>
      <c r="M244" s="61">
        <f>IF(NOT((COUNTA($B244:$D244)+COUNTA($G244:$L244)+COUNTA($Q244))&gt;0),"",IF(ISNUMBER($G244),1,IF(N($W244)&gt;0,AVERAGEIFS($X$5:$X$1000,$U$5:$U$1000,ROW(),$V$5:$V$1000,"Sub"),$X244)))</f>
        <v/>
      </c>
      <c r="N244" s="56">
        <f>IF($M244="","",IF($M244&gt;=1,"Completado",IF($M244&gt;0,"En curso","Pendiente")))</f>
        <v/>
      </c>
      <c r="O244" s="56">
        <f>IF(NOT((COUNTA($B244:$D244)+COUNTA($G244:$L244)+COUNTA($Q244))&gt;0),"",IF(ISNUMBER($G244),IF(AND(ISNUMBER($AN244),$G244&gt;$AN244),"Cumplida con "&amp;($G244-$AN244)&amp;IF($G244-$AN244=1," día"," días")&amp;" de retraso","Cumplida"),IF(N($M244)&gt;=1,"Cumplida",IF(NOT(ISNUMBER($AN244)),"Sin fecha límite",IF($AN244&lt;FechaRef,"Vencida hace "&amp;(FechaRef-$AN244)&amp;IF(FechaRef-$AN244=1," día"," días"),IF($AN244=FechaRef,"Vence hoy",IF($AN244-FechaRef&lt;=DiasAlerta,"Vence en "&amp;($AN244-FechaRef)&amp;IF($AN244-FechaRef=1," día"," días"),"En plazo")))))))</f>
        <v/>
      </c>
      <c r="P244" s="62" t="n"/>
      <c r="Q244" s="58" t="n"/>
      <c r="R244" s="63">
        <f>IF(NOT((COUNTA($B244:$D244)+COUNTA($G244:$L244)+COUNTA($Q244))&gt;0),"",IF((IF($C244="","Falta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",""))="","✔ OK","⚠ "&amp;LEFT(IF($C244="","Falta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",""),LEN(IF($C244="","Falta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",""))-3)))</f>
        <v/>
      </c>
      <c r="S244" s="64">
        <f>IF(NOT((COUNTA($B244:$D244)+COUNTA($G244:$L244)+COUNTA($Q244))&gt;0),"",IF(AND($V244="Sub",N($U244)&gt;0),IF(ISNUMBER(INDEX($AM$5:$AM$1000,$U244-4)),DATE(YEAR(INDEX($AM$5:$AM$1000,$U244-4)),MONTH(INDEX($AM$5:$AM$1000,$U244-4)),1),IF(ISNUMBER(INDEX($AN$5:$AN$1000,$U244-4)),DATE(YEAR(INDEX($AN$5:$AN$1000,$U244-4)),MONTH(INDEX($AN$5:$AN$1000,$U244-4)),1),MesCiclo)),IF(ISNUMBER($AM244),DATE(YEAR($AM244),MONTH($AM244),1),IF(ISNUMBER($AN244),DATE(YEAR($AN244),MONTH($AN244),1),MesCiclo))))</f>
        <v/>
      </c>
      <c r="T244" s="62">
        <f>IF(OR($S244="",$S244&lt;&gt;MesCiclo),"",COUNTIF($S$5:$S244,MesCiclo))</f>
        <v/>
      </c>
      <c r="U244" s="62">
        <f>IF($V244="","",IF($V244="Macro",ROW(),IFERROR(LOOKUP(2,1/($V$5:$V244="Macro"),ROW($V$5:$V244)),0)))</f>
        <v/>
      </c>
      <c r="V244" s="62">
        <f>IF(NOT((COUNTA($B244:$D244)+COUNTA($G244:$L244)+COUNTA($Q244))&gt;0),"",IF($B244="Subactividad","Sub","Macro"))</f>
        <v/>
      </c>
      <c r="W244" s="62">
        <f>IF($V244="Macro",COUNTIFS($U$5:$U$1000,ROW(),$V$5:$V$1000,"Sub"),"")</f>
        <v/>
      </c>
      <c r="X244" s="62">
        <f>IF($V244="","",IF(ISNUMBER($G244),1,IFERROR(LOOKUP(2,1/($I244:$L244&lt;&gt;""),$I244:$L244),0)))</f>
        <v/>
      </c>
      <c r="Y244" s="62">
        <f>IF($V244="","",IF(AND(ISNUMBER($G244),$G244&lt;=IF($S244=MesCiclo,InicioCiclo,$S244+MOD(2-WEEKDAY($S244),7))+6),1,IF(ISNUMBER($I244),$I244,0)))</f>
        <v/>
      </c>
      <c r="Z244" s="62">
        <f>IF($V244="","",IF(AND(ISNUMBER($G244),$G244&lt;=IF($S244=MesCiclo,InicioCiclo,$S244+MOD(2-WEEKDAY($S244),7))+13),1,IF(ISNUMBER($J244),$J244,$Y244)))</f>
        <v/>
      </c>
      <c r="AA244" s="62">
        <f>IF($V244="","",IF(AND(ISNUMBER($G244),$G244&lt;=IF($S244=MesCiclo,InicioCiclo,$S244+MOD(2-WEEKDAY($S244),7))+20),1,IF(ISNUMBER($K244),$K244,$Z244)))</f>
        <v/>
      </c>
      <c r="AB244" s="62">
        <f>IF($V244="","",IF(AND(ISNUMBER($G244),$G244&lt;=IF($S244=MesCiclo,InicioCiclo,$S244+MOD(2-WEEKDAY($S244),7))+27),1,IF(ISNUMBER($L244),$L244,$AA244)))</f>
        <v/>
      </c>
      <c r="AC244" s="62">
        <f>IF($V244="","",IF(AND(ISNUMBER($G244),$G244&lt;=IF($S244=MesCiclo,InicioCiclo,$S244+MOD(2-WEEKDAY($S244),7))+6),1,IF(N($W244)&gt;0,AVERAGEIFS($Y$5:$Y$1000,$U$5:$U$1000,ROW(),$V$5:$V$1000,"Sub"),$Y244)))</f>
        <v/>
      </c>
      <c r="AD244" s="62">
        <f>IF($V244="","",IF(AND(ISNUMBER($G244),$G244&lt;=IF($S244=MesCiclo,InicioCiclo,$S244+MOD(2-WEEKDAY($S244),7))+13),1,IF(N($W244)&gt;0,AVERAGEIFS($Z$5:$Z$1000,$U$5:$U$1000,ROW(),$V$5:$V$1000,"Sub"),$Z244)))</f>
        <v/>
      </c>
      <c r="AE244" s="62">
        <f>IF($V244="","",IF(AND(ISNUMBER($G244),$G244&lt;=IF($S244=MesCiclo,InicioCiclo,$S244+MOD(2-WEEKDAY($S244),7))+20),1,IF(N($W244)&gt;0,AVERAGEIFS($AA$5:$AA$1000,$U$5:$U$1000,ROW(),$V$5:$V$1000,"Sub"),$AA244)))</f>
        <v/>
      </c>
      <c r="AF244" s="62">
        <f>IF($V244="","",IF(AND(ISNUMBER($G244),$G244&lt;=IF($S244=MesCiclo,InicioCiclo,$S244+MOD(2-WEEKDAY($S244),7))+27),1,IF(N($W244)&gt;0,AVERAGEIFS($AB$5:$AB$1000,$U$5:$U$1000,ROW(),$V$5:$V$1000,"Sub"),$AB244)))</f>
        <v/>
      </c>
      <c r="AG244" s="62">
        <f>IF($V244&lt;&gt;"Macro","",IF(COUNTIFS($S$5:$S$1000,$S244,$V$5:$V$1000,"Macro",$H$5:$H$1000,"&gt;0")=0,1/COUNTIFS($S$5:$S$1000,$S244,$V$5:$V$1000,"Macro"),IF(AND(ISNUMBER($H244),N($H244)&gt;0),$H244,SUMIFS($H$5:$H$1000,$S$5:$S$1000,$S244,$V$5:$V$1000,"Macro")/COUNTIFS($S$5:$S$1000,$S244,$V$5:$V$1000,"Macro",$H$5:$H$1000,"&gt;0"))/(COUNTIFS($S$5:$S$1000,$S244,$V$5:$V$1000,"Macro")*SUMIFS($H$5:$H$1000,$S$5:$S$1000,$S244,$V$5:$V$1000,"Macro")/COUNTIFS($S$5:$S$1000,$S244,$V$5:$V$1000,"Macro",$H$5:$H$1000,"&gt;0"))))</f>
        <v/>
      </c>
      <c r="AH244" s="62" t="n"/>
      <c r="AI244" s="62" t="n"/>
      <c r="AJ244" s="62" t="n"/>
      <c r="AK244" s="62" t="n"/>
      <c r="AL244" s="62">
        <f>IF(LEFT($C244,11)="[Jefatura] ",IFERROR(MATCH("Riesgo Normativo|"&amp;MID($C244,12,500),rDname_ADM,0),0),"")</f>
        <v/>
      </c>
      <c r="AM244" s="62">
        <f>IF(N($AL244)&gt;0,INDEX(rIni_ADM,$AL244),IF(ISNUMBER($E244),$E244,""))</f>
        <v/>
      </c>
      <c r="AN244" s="62">
        <f>IF(N($AL244)&gt;0,INDEX(rLim_ADM,$AL244),IF(ISNUMBER($F244),$F244,""))</f>
        <v/>
      </c>
    </row>
    <row r="245">
      <c r="A245" s="56">
        <f>IF(NOT((COUNTA($B245:$D245)+COUNTA($G245:$L245)+COUNTA($Q245))&gt;0),"",IF($V245="Macro",COUNTIFS($V$5:$V245,"Macro",$S$5:$S245,$S245),IF(N($U245)=0,"?",COUNTIFS(INDEX($V$5:$V$1000,1):INDEX($V$5:$V$1000,$U245-4),"Macro",INDEX($S$5:$S$1000,1):INDEX($S$5:$S$1000,$U245-4),INDEX($S$5:$S$1000,$U245-4))&amp;"."&amp;COUNTIFS($U$5:$U245,$U245,$V$5:$V245,"Sub"))))</f>
        <v/>
      </c>
      <c r="B245" s="57" t="n"/>
      <c r="C245" s="58" t="n"/>
      <c r="D245" s="58" t="n"/>
      <c r="E245" s="59">
        <f>IF(N($AL245)&gt;0,INDEX(rIni_ADM,$AL245),"")</f>
        <v/>
      </c>
      <c r="F245" s="59">
        <f>IF(N($AL245)&gt;0,INDEX(rLim_ADM,$AL245),"")</f>
        <v/>
      </c>
      <c r="G245" s="59" t="n"/>
      <c r="H245" s="60" t="n"/>
      <c r="I245" s="60" t="n"/>
      <c r="J245" s="60" t="n"/>
      <c r="K245" s="60" t="n"/>
      <c r="L245" s="60" t="n"/>
      <c r="M245" s="61">
        <f>IF(NOT((COUNTA($B245:$D245)+COUNTA($G245:$L245)+COUNTA($Q245))&gt;0),"",IF(ISNUMBER($G245),1,IF(N($W245)&gt;0,AVERAGEIFS($X$5:$X$1000,$U$5:$U$1000,ROW(),$V$5:$V$1000,"Sub"),$X245)))</f>
        <v/>
      </c>
      <c r="N245" s="56">
        <f>IF($M245="","",IF($M245&gt;=1,"Completado",IF($M245&gt;0,"En curso","Pendiente")))</f>
        <v/>
      </c>
      <c r="O245" s="56">
        <f>IF(NOT((COUNTA($B245:$D245)+COUNTA($G245:$L245)+COUNTA($Q245))&gt;0),"",IF(ISNUMBER($G245),IF(AND(ISNUMBER($AN245),$G245&gt;$AN245),"Cumplida con "&amp;($G245-$AN245)&amp;IF($G245-$AN245=1," día"," días")&amp;" de retraso","Cumplida"),IF(N($M245)&gt;=1,"Cumplida",IF(NOT(ISNUMBER($AN245)),"Sin fecha límite",IF($AN245&lt;FechaRef,"Vencida hace "&amp;(FechaRef-$AN245)&amp;IF(FechaRef-$AN245=1," día"," días"),IF($AN245=FechaRef,"Vence hoy",IF($AN245-FechaRef&lt;=DiasAlerta,"Vence en "&amp;($AN245-FechaRef)&amp;IF($AN245-FechaRef=1," día"," días"),"En plazo")))))))</f>
        <v/>
      </c>
      <c r="P245" s="62" t="n"/>
      <c r="Q245" s="58" t="n"/>
      <c r="R245" s="63">
        <f>IF(NOT((COUNTA($B245:$D245)+COUNTA($G245:$L245)+COUNTA($Q245))&gt;0),"",IF((IF($C245="","Falta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",""))="","✔ OK","⚠ "&amp;LEFT(IF($C245="","Falta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",""),LEN(IF($C245="","Falta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",""))-3)))</f>
        <v/>
      </c>
      <c r="S245" s="64">
        <f>IF(NOT((COUNTA($B245:$D245)+COUNTA($G245:$L245)+COUNTA($Q245))&gt;0),"",IF(AND($V245="Sub",N($U245)&gt;0),IF(ISNUMBER(INDEX($AM$5:$AM$1000,$U245-4)),DATE(YEAR(INDEX($AM$5:$AM$1000,$U245-4)),MONTH(INDEX($AM$5:$AM$1000,$U245-4)),1),IF(ISNUMBER(INDEX($AN$5:$AN$1000,$U245-4)),DATE(YEAR(INDEX($AN$5:$AN$1000,$U245-4)),MONTH(INDEX($AN$5:$AN$1000,$U245-4)),1),MesCiclo)),IF(ISNUMBER($AM245),DATE(YEAR($AM245),MONTH($AM245),1),IF(ISNUMBER($AN245),DATE(YEAR($AN245),MONTH($AN245),1),MesCiclo))))</f>
        <v/>
      </c>
      <c r="T245" s="62">
        <f>IF(OR($S245="",$S245&lt;&gt;MesCiclo),"",COUNTIF($S$5:$S245,MesCiclo))</f>
        <v/>
      </c>
      <c r="U245" s="62">
        <f>IF($V245="","",IF($V245="Macro",ROW(),IFERROR(LOOKUP(2,1/($V$5:$V245="Macro"),ROW($V$5:$V245)),0)))</f>
        <v/>
      </c>
      <c r="V245" s="62">
        <f>IF(NOT((COUNTA($B245:$D245)+COUNTA($G245:$L245)+COUNTA($Q245))&gt;0),"",IF($B245="Subactividad","Sub","Macro"))</f>
        <v/>
      </c>
      <c r="W245" s="62">
        <f>IF($V245="Macro",COUNTIFS($U$5:$U$1000,ROW(),$V$5:$V$1000,"Sub"),"")</f>
        <v/>
      </c>
      <c r="X245" s="62">
        <f>IF($V245="","",IF(ISNUMBER($G245),1,IFERROR(LOOKUP(2,1/($I245:$L245&lt;&gt;""),$I245:$L245),0)))</f>
        <v/>
      </c>
      <c r="Y245" s="62">
        <f>IF($V245="","",IF(AND(ISNUMBER($G245),$G245&lt;=IF($S245=MesCiclo,InicioCiclo,$S245+MOD(2-WEEKDAY($S245),7))+6),1,IF(ISNUMBER($I245),$I245,0)))</f>
        <v/>
      </c>
      <c r="Z245" s="62">
        <f>IF($V245="","",IF(AND(ISNUMBER($G245),$G245&lt;=IF($S245=MesCiclo,InicioCiclo,$S245+MOD(2-WEEKDAY($S245),7))+13),1,IF(ISNUMBER($J245),$J245,$Y245)))</f>
        <v/>
      </c>
      <c r="AA245" s="62">
        <f>IF($V245="","",IF(AND(ISNUMBER($G245),$G245&lt;=IF($S245=MesCiclo,InicioCiclo,$S245+MOD(2-WEEKDAY($S245),7))+20),1,IF(ISNUMBER($K245),$K245,$Z245)))</f>
        <v/>
      </c>
      <c r="AB245" s="62">
        <f>IF($V245="","",IF(AND(ISNUMBER($G245),$G245&lt;=IF($S245=MesCiclo,InicioCiclo,$S245+MOD(2-WEEKDAY($S245),7))+27),1,IF(ISNUMBER($L245),$L245,$AA245)))</f>
        <v/>
      </c>
      <c r="AC245" s="62">
        <f>IF($V245="","",IF(AND(ISNUMBER($G245),$G245&lt;=IF($S245=MesCiclo,InicioCiclo,$S245+MOD(2-WEEKDAY($S245),7))+6),1,IF(N($W245)&gt;0,AVERAGEIFS($Y$5:$Y$1000,$U$5:$U$1000,ROW(),$V$5:$V$1000,"Sub"),$Y245)))</f>
        <v/>
      </c>
      <c r="AD245" s="62">
        <f>IF($V245="","",IF(AND(ISNUMBER($G245),$G245&lt;=IF($S245=MesCiclo,InicioCiclo,$S245+MOD(2-WEEKDAY($S245),7))+13),1,IF(N($W245)&gt;0,AVERAGEIFS($Z$5:$Z$1000,$U$5:$U$1000,ROW(),$V$5:$V$1000,"Sub"),$Z245)))</f>
        <v/>
      </c>
      <c r="AE245" s="62">
        <f>IF($V245="","",IF(AND(ISNUMBER($G245),$G245&lt;=IF($S245=MesCiclo,InicioCiclo,$S245+MOD(2-WEEKDAY($S245),7))+20),1,IF(N($W245)&gt;0,AVERAGEIFS($AA$5:$AA$1000,$U$5:$U$1000,ROW(),$V$5:$V$1000,"Sub"),$AA245)))</f>
        <v/>
      </c>
      <c r="AF245" s="62">
        <f>IF($V245="","",IF(AND(ISNUMBER($G245),$G245&lt;=IF($S245=MesCiclo,InicioCiclo,$S245+MOD(2-WEEKDAY($S245),7))+27),1,IF(N($W245)&gt;0,AVERAGEIFS($AB$5:$AB$1000,$U$5:$U$1000,ROW(),$V$5:$V$1000,"Sub"),$AB245)))</f>
        <v/>
      </c>
      <c r="AG245" s="62">
        <f>IF($V245&lt;&gt;"Macro","",IF(COUNTIFS($S$5:$S$1000,$S245,$V$5:$V$1000,"Macro",$H$5:$H$1000,"&gt;0")=0,1/COUNTIFS($S$5:$S$1000,$S245,$V$5:$V$1000,"Macro"),IF(AND(ISNUMBER($H245),N($H245)&gt;0),$H245,SUMIFS($H$5:$H$1000,$S$5:$S$1000,$S245,$V$5:$V$1000,"Macro")/COUNTIFS($S$5:$S$1000,$S245,$V$5:$V$1000,"Macro",$H$5:$H$1000,"&gt;0"))/(COUNTIFS($S$5:$S$1000,$S245,$V$5:$V$1000,"Macro")*SUMIFS($H$5:$H$1000,$S$5:$S$1000,$S245,$V$5:$V$1000,"Macro")/COUNTIFS($S$5:$S$1000,$S245,$V$5:$V$1000,"Macro",$H$5:$H$1000,"&gt;0"))))</f>
        <v/>
      </c>
      <c r="AH245" s="62" t="n"/>
      <c r="AI245" s="62" t="n"/>
      <c r="AJ245" s="62" t="n"/>
      <c r="AK245" s="62" t="n"/>
      <c r="AL245" s="62">
        <f>IF(LEFT($C245,11)="[Jefatura] ",IFERROR(MATCH("Riesgo Normativo|"&amp;MID($C245,12,500),rDname_ADM,0),0),"")</f>
        <v/>
      </c>
      <c r="AM245" s="62">
        <f>IF(N($AL245)&gt;0,INDEX(rIni_ADM,$AL245),IF(ISNUMBER($E245),$E245,""))</f>
        <v/>
      </c>
      <c r="AN245" s="62">
        <f>IF(N($AL245)&gt;0,INDEX(rLim_ADM,$AL245),IF(ISNUMBER($F245),$F245,""))</f>
        <v/>
      </c>
    </row>
    <row r="246">
      <c r="A246" s="56">
        <f>IF(NOT((COUNTA($B246:$D246)+COUNTA($G246:$L246)+COUNTA($Q246))&gt;0),"",IF($V246="Macro",COUNTIFS($V$5:$V246,"Macro",$S$5:$S246,$S246),IF(N($U246)=0,"?",COUNTIFS(INDEX($V$5:$V$1000,1):INDEX($V$5:$V$1000,$U246-4),"Macro",INDEX($S$5:$S$1000,1):INDEX($S$5:$S$1000,$U246-4),INDEX($S$5:$S$1000,$U246-4))&amp;"."&amp;COUNTIFS($U$5:$U246,$U246,$V$5:$V246,"Sub"))))</f>
        <v/>
      </c>
      <c r="B246" s="57" t="n"/>
      <c r="C246" s="58" t="n"/>
      <c r="D246" s="58" t="n"/>
      <c r="E246" s="59">
        <f>IF(N($AL246)&gt;0,INDEX(rIni_ADM,$AL246),"")</f>
        <v/>
      </c>
      <c r="F246" s="59">
        <f>IF(N($AL246)&gt;0,INDEX(rLim_ADM,$AL246),"")</f>
        <v/>
      </c>
      <c r="G246" s="59" t="n"/>
      <c r="H246" s="60" t="n"/>
      <c r="I246" s="60" t="n"/>
      <c r="J246" s="60" t="n"/>
      <c r="K246" s="60" t="n"/>
      <c r="L246" s="60" t="n"/>
      <c r="M246" s="61">
        <f>IF(NOT((COUNTA($B246:$D246)+COUNTA($G246:$L246)+COUNTA($Q246))&gt;0),"",IF(ISNUMBER($G246),1,IF(N($W246)&gt;0,AVERAGEIFS($X$5:$X$1000,$U$5:$U$1000,ROW(),$V$5:$V$1000,"Sub"),$X246)))</f>
        <v/>
      </c>
      <c r="N246" s="56">
        <f>IF($M246="","",IF($M246&gt;=1,"Completado",IF($M246&gt;0,"En curso","Pendiente")))</f>
        <v/>
      </c>
      <c r="O246" s="56">
        <f>IF(NOT((COUNTA($B246:$D246)+COUNTA($G246:$L246)+COUNTA($Q246))&gt;0),"",IF(ISNUMBER($G246),IF(AND(ISNUMBER($AN246),$G246&gt;$AN246),"Cumplida con "&amp;($G246-$AN246)&amp;IF($G246-$AN246=1," día"," días")&amp;" de retraso","Cumplida"),IF(N($M246)&gt;=1,"Cumplida",IF(NOT(ISNUMBER($AN246)),"Sin fecha límite",IF($AN246&lt;FechaRef,"Vencida hace "&amp;(FechaRef-$AN246)&amp;IF(FechaRef-$AN246=1," día"," días"),IF($AN246=FechaRef,"Vence hoy",IF($AN246-FechaRef&lt;=DiasAlerta,"Vence en "&amp;($AN246-FechaRef)&amp;IF($AN246-FechaRef=1," día"," días"),"En plazo")))))))</f>
        <v/>
      </c>
      <c r="P246" s="62" t="n"/>
      <c r="Q246" s="58" t="n"/>
      <c r="R246" s="63">
        <f>IF(NOT((COUNTA($B246:$D246)+COUNTA($G246:$L246)+COUNTA($Q246))&gt;0),"",IF((IF($C246="","Falta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",""))="","✔ OK","⚠ "&amp;LEFT(IF($C246="","Falta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",""),LEN(IF($C246="","Falta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",""))-3)))</f>
        <v/>
      </c>
      <c r="S246" s="64">
        <f>IF(NOT((COUNTA($B246:$D246)+COUNTA($G246:$L246)+COUNTA($Q246))&gt;0),"",IF(AND($V246="Sub",N($U246)&gt;0),IF(ISNUMBER(INDEX($AM$5:$AM$1000,$U246-4)),DATE(YEAR(INDEX($AM$5:$AM$1000,$U246-4)),MONTH(INDEX($AM$5:$AM$1000,$U246-4)),1),IF(ISNUMBER(INDEX($AN$5:$AN$1000,$U246-4)),DATE(YEAR(INDEX($AN$5:$AN$1000,$U246-4)),MONTH(INDEX($AN$5:$AN$1000,$U246-4)),1),MesCiclo)),IF(ISNUMBER($AM246),DATE(YEAR($AM246),MONTH($AM246),1),IF(ISNUMBER($AN246),DATE(YEAR($AN246),MONTH($AN246),1),MesCiclo))))</f>
        <v/>
      </c>
      <c r="T246" s="62">
        <f>IF(OR($S246="",$S246&lt;&gt;MesCiclo),"",COUNTIF($S$5:$S246,MesCiclo))</f>
        <v/>
      </c>
      <c r="U246" s="62">
        <f>IF($V246="","",IF($V246="Macro",ROW(),IFERROR(LOOKUP(2,1/($V$5:$V246="Macro"),ROW($V$5:$V246)),0)))</f>
        <v/>
      </c>
      <c r="V246" s="62">
        <f>IF(NOT((COUNTA($B246:$D246)+COUNTA($G246:$L246)+COUNTA($Q246))&gt;0),"",IF($B246="Subactividad","Sub","Macro"))</f>
        <v/>
      </c>
      <c r="W246" s="62">
        <f>IF($V246="Macro",COUNTIFS($U$5:$U$1000,ROW(),$V$5:$V$1000,"Sub"),"")</f>
        <v/>
      </c>
      <c r="X246" s="62">
        <f>IF($V246="","",IF(ISNUMBER($G246),1,IFERROR(LOOKUP(2,1/($I246:$L246&lt;&gt;""),$I246:$L246),0)))</f>
        <v/>
      </c>
      <c r="Y246" s="62">
        <f>IF($V246="","",IF(AND(ISNUMBER($G246),$G246&lt;=IF($S246=MesCiclo,InicioCiclo,$S246+MOD(2-WEEKDAY($S246),7))+6),1,IF(ISNUMBER($I246),$I246,0)))</f>
        <v/>
      </c>
      <c r="Z246" s="62">
        <f>IF($V246="","",IF(AND(ISNUMBER($G246),$G246&lt;=IF($S246=MesCiclo,InicioCiclo,$S246+MOD(2-WEEKDAY($S246),7))+13),1,IF(ISNUMBER($J246),$J246,$Y246)))</f>
        <v/>
      </c>
      <c r="AA246" s="62">
        <f>IF($V246="","",IF(AND(ISNUMBER($G246),$G246&lt;=IF($S246=MesCiclo,InicioCiclo,$S246+MOD(2-WEEKDAY($S246),7))+20),1,IF(ISNUMBER($K246),$K246,$Z246)))</f>
        <v/>
      </c>
      <c r="AB246" s="62">
        <f>IF($V246="","",IF(AND(ISNUMBER($G246),$G246&lt;=IF($S246=MesCiclo,InicioCiclo,$S246+MOD(2-WEEKDAY($S246),7))+27),1,IF(ISNUMBER($L246),$L246,$AA246)))</f>
        <v/>
      </c>
      <c r="AC246" s="62">
        <f>IF($V246="","",IF(AND(ISNUMBER($G246),$G246&lt;=IF($S246=MesCiclo,InicioCiclo,$S246+MOD(2-WEEKDAY($S246),7))+6),1,IF(N($W246)&gt;0,AVERAGEIFS($Y$5:$Y$1000,$U$5:$U$1000,ROW(),$V$5:$V$1000,"Sub"),$Y246)))</f>
        <v/>
      </c>
      <c r="AD246" s="62">
        <f>IF($V246="","",IF(AND(ISNUMBER($G246),$G246&lt;=IF($S246=MesCiclo,InicioCiclo,$S246+MOD(2-WEEKDAY($S246),7))+13),1,IF(N($W246)&gt;0,AVERAGEIFS($Z$5:$Z$1000,$U$5:$U$1000,ROW(),$V$5:$V$1000,"Sub"),$Z246)))</f>
        <v/>
      </c>
      <c r="AE246" s="62">
        <f>IF($V246="","",IF(AND(ISNUMBER($G246),$G246&lt;=IF($S246=MesCiclo,InicioCiclo,$S246+MOD(2-WEEKDAY($S246),7))+20),1,IF(N($W246)&gt;0,AVERAGEIFS($AA$5:$AA$1000,$U$5:$U$1000,ROW(),$V$5:$V$1000,"Sub"),$AA246)))</f>
        <v/>
      </c>
      <c r="AF246" s="62">
        <f>IF($V246="","",IF(AND(ISNUMBER($G246),$G246&lt;=IF($S246=MesCiclo,InicioCiclo,$S246+MOD(2-WEEKDAY($S246),7))+27),1,IF(N($W246)&gt;0,AVERAGEIFS($AB$5:$AB$1000,$U$5:$U$1000,ROW(),$V$5:$V$1000,"Sub"),$AB246)))</f>
        <v/>
      </c>
      <c r="AG246" s="62">
        <f>IF($V246&lt;&gt;"Macro","",IF(COUNTIFS($S$5:$S$1000,$S246,$V$5:$V$1000,"Macro",$H$5:$H$1000,"&gt;0")=0,1/COUNTIFS($S$5:$S$1000,$S246,$V$5:$V$1000,"Macro"),IF(AND(ISNUMBER($H246),N($H246)&gt;0),$H246,SUMIFS($H$5:$H$1000,$S$5:$S$1000,$S246,$V$5:$V$1000,"Macro")/COUNTIFS($S$5:$S$1000,$S246,$V$5:$V$1000,"Macro",$H$5:$H$1000,"&gt;0"))/(COUNTIFS($S$5:$S$1000,$S246,$V$5:$V$1000,"Macro")*SUMIFS($H$5:$H$1000,$S$5:$S$1000,$S246,$V$5:$V$1000,"Macro")/COUNTIFS($S$5:$S$1000,$S246,$V$5:$V$1000,"Macro",$H$5:$H$1000,"&gt;0"))))</f>
        <v/>
      </c>
      <c r="AH246" s="62" t="n"/>
      <c r="AI246" s="62" t="n"/>
      <c r="AJ246" s="62" t="n"/>
      <c r="AK246" s="62" t="n"/>
      <c r="AL246" s="62">
        <f>IF(LEFT($C246,11)="[Jefatura] ",IFERROR(MATCH("Riesgo Normativo|"&amp;MID($C246,12,500),rDname_ADM,0),0),"")</f>
        <v/>
      </c>
      <c r="AM246" s="62">
        <f>IF(N($AL246)&gt;0,INDEX(rIni_ADM,$AL246),IF(ISNUMBER($E246),$E246,""))</f>
        <v/>
      </c>
      <c r="AN246" s="62">
        <f>IF(N($AL246)&gt;0,INDEX(rLim_ADM,$AL246),IF(ISNUMBER($F246),$F246,""))</f>
        <v/>
      </c>
    </row>
    <row r="247">
      <c r="A247" s="56">
        <f>IF(NOT((COUNTA($B247:$D247)+COUNTA($G247:$L247)+COUNTA($Q247))&gt;0),"",IF($V247="Macro",COUNTIFS($V$5:$V247,"Macro",$S$5:$S247,$S247),IF(N($U247)=0,"?",COUNTIFS(INDEX($V$5:$V$1000,1):INDEX($V$5:$V$1000,$U247-4),"Macro",INDEX($S$5:$S$1000,1):INDEX($S$5:$S$1000,$U247-4),INDEX($S$5:$S$1000,$U247-4))&amp;"."&amp;COUNTIFS($U$5:$U247,$U247,$V$5:$V247,"Sub"))))</f>
        <v/>
      </c>
      <c r="B247" s="57" t="n"/>
      <c r="C247" s="58" t="n"/>
      <c r="D247" s="58" t="n"/>
      <c r="E247" s="59">
        <f>IF(N($AL247)&gt;0,INDEX(rIni_ADM,$AL247),"")</f>
        <v/>
      </c>
      <c r="F247" s="59">
        <f>IF(N($AL247)&gt;0,INDEX(rLim_ADM,$AL247),"")</f>
        <v/>
      </c>
      <c r="G247" s="59" t="n"/>
      <c r="H247" s="60" t="n"/>
      <c r="I247" s="60" t="n"/>
      <c r="J247" s="60" t="n"/>
      <c r="K247" s="60" t="n"/>
      <c r="L247" s="60" t="n"/>
      <c r="M247" s="61">
        <f>IF(NOT((COUNTA($B247:$D247)+COUNTA($G247:$L247)+COUNTA($Q247))&gt;0),"",IF(ISNUMBER($G247),1,IF(N($W247)&gt;0,AVERAGEIFS($X$5:$X$1000,$U$5:$U$1000,ROW(),$V$5:$V$1000,"Sub"),$X247)))</f>
        <v/>
      </c>
      <c r="N247" s="56">
        <f>IF($M247="","",IF($M247&gt;=1,"Completado",IF($M247&gt;0,"En curso","Pendiente")))</f>
        <v/>
      </c>
      <c r="O247" s="56">
        <f>IF(NOT((COUNTA($B247:$D247)+COUNTA($G247:$L247)+COUNTA($Q247))&gt;0),"",IF(ISNUMBER($G247),IF(AND(ISNUMBER($AN247),$G247&gt;$AN247),"Cumplida con "&amp;($G247-$AN247)&amp;IF($G247-$AN247=1," día"," días")&amp;" de retraso","Cumplida"),IF(N($M247)&gt;=1,"Cumplida",IF(NOT(ISNUMBER($AN247)),"Sin fecha límite",IF($AN247&lt;FechaRef,"Vencida hace "&amp;(FechaRef-$AN247)&amp;IF(FechaRef-$AN247=1," día"," días"),IF($AN247=FechaRef,"Vence hoy",IF($AN247-FechaRef&lt;=DiasAlerta,"Vence en "&amp;($AN247-FechaRef)&amp;IF($AN247-FechaRef=1," día"," días"),"En plazo")))))))</f>
        <v/>
      </c>
      <c r="P247" s="62" t="n"/>
      <c r="Q247" s="58" t="n"/>
      <c r="R247" s="63">
        <f>IF(NOT((COUNTA($B247:$D247)+COUNTA($G247:$L247)+COUNTA($Q247))&gt;0),"",IF((IF($C247="","Falta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",""))="","✔ OK","⚠ "&amp;LEFT(IF($C247="","Falta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",""),LEN(IF($C247="","Falta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",""))-3)))</f>
        <v/>
      </c>
      <c r="S247" s="64">
        <f>IF(NOT((COUNTA($B247:$D247)+COUNTA($G247:$L247)+COUNTA($Q247))&gt;0),"",IF(AND($V247="Sub",N($U247)&gt;0),IF(ISNUMBER(INDEX($AM$5:$AM$1000,$U247-4)),DATE(YEAR(INDEX($AM$5:$AM$1000,$U247-4)),MONTH(INDEX($AM$5:$AM$1000,$U247-4)),1),IF(ISNUMBER(INDEX($AN$5:$AN$1000,$U247-4)),DATE(YEAR(INDEX($AN$5:$AN$1000,$U247-4)),MONTH(INDEX($AN$5:$AN$1000,$U247-4)),1),MesCiclo)),IF(ISNUMBER($AM247),DATE(YEAR($AM247),MONTH($AM247),1),IF(ISNUMBER($AN247),DATE(YEAR($AN247),MONTH($AN247),1),MesCiclo))))</f>
        <v/>
      </c>
      <c r="T247" s="62">
        <f>IF(OR($S247="",$S247&lt;&gt;MesCiclo),"",COUNTIF($S$5:$S247,MesCiclo))</f>
        <v/>
      </c>
      <c r="U247" s="62">
        <f>IF($V247="","",IF($V247="Macro",ROW(),IFERROR(LOOKUP(2,1/($V$5:$V247="Macro"),ROW($V$5:$V247)),0)))</f>
        <v/>
      </c>
      <c r="V247" s="62">
        <f>IF(NOT((COUNTA($B247:$D247)+COUNTA($G247:$L247)+COUNTA($Q247))&gt;0),"",IF($B247="Subactividad","Sub","Macro"))</f>
        <v/>
      </c>
      <c r="W247" s="62">
        <f>IF($V247="Macro",COUNTIFS($U$5:$U$1000,ROW(),$V$5:$V$1000,"Sub"),"")</f>
        <v/>
      </c>
      <c r="X247" s="62">
        <f>IF($V247="","",IF(ISNUMBER($G247),1,IFERROR(LOOKUP(2,1/($I247:$L247&lt;&gt;""),$I247:$L247),0)))</f>
        <v/>
      </c>
      <c r="Y247" s="62">
        <f>IF($V247="","",IF(AND(ISNUMBER($G247),$G247&lt;=IF($S247=MesCiclo,InicioCiclo,$S247+MOD(2-WEEKDAY($S247),7))+6),1,IF(ISNUMBER($I247),$I247,0)))</f>
        <v/>
      </c>
      <c r="Z247" s="62">
        <f>IF($V247="","",IF(AND(ISNUMBER($G247),$G247&lt;=IF($S247=MesCiclo,InicioCiclo,$S247+MOD(2-WEEKDAY($S247),7))+13),1,IF(ISNUMBER($J247),$J247,$Y247)))</f>
        <v/>
      </c>
      <c r="AA247" s="62">
        <f>IF($V247="","",IF(AND(ISNUMBER($G247),$G247&lt;=IF($S247=MesCiclo,InicioCiclo,$S247+MOD(2-WEEKDAY($S247),7))+20),1,IF(ISNUMBER($K247),$K247,$Z247)))</f>
        <v/>
      </c>
      <c r="AB247" s="62">
        <f>IF($V247="","",IF(AND(ISNUMBER($G247),$G247&lt;=IF($S247=MesCiclo,InicioCiclo,$S247+MOD(2-WEEKDAY($S247),7))+27),1,IF(ISNUMBER($L247),$L247,$AA247)))</f>
        <v/>
      </c>
      <c r="AC247" s="62">
        <f>IF($V247="","",IF(AND(ISNUMBER($G247),$G247&lt;=IF($S247=MesCiclo,InicioCiclo,$S247+MOD(2-WEEKDAY($S247),7))+6),1,IF(N($W247)&gt;0,AVERAGEIFS($Y$5:$Y$1000,$U$5:$U$1000,ROW(),$V$5:$V$1000,"Sub"),$Y247)))</f>
        <v/>
      </c>
      <c r="AD247" s="62">
        <f>IF($V247="","",IF(AND(ISNUMBER($G247),$G247&lt;=IF($S247=MesCiclo,InicioCiclo,$S247+MOD(2-WEEKDAY($S247),7))+13),1,IF(N($W247)&gt;0,AVERAGEIFS($Z$5:$Z$1000,$U$5:$U$1000,ROW(),$V$5:$V$1000,"Sub"),$Z247)))</f>
        <v/>
      </c>
      <c r="AE247" s="62">
        <f>IF($V247="","",IF(AND(ISNUMBER($G247),$G247&lt;=IF($S247=MesCiclo,InicioCiclo,$S247+MOD(2-WEEKDAY($S247),7))+20),1,IF(N($W247)&gt;0,AVERAGEIFS($AA$5:$AA$1000,$U$5:$U$1000,ROW(),$V$5:$V$1000,"Sub"),$AA247)))</f>
        <v/>
      </c>
      <c r="AF247" s="62">
        <f>IF($V247="","",IF(AND(ISNUMBER($G247),$G247&lt;=IF($S247=MesCiclo,InicioCiclo,$S247+MOD(2-WEEKDAY($S247),7))+27),1,IF(N($W247)&gt;0,AVERAGEIFS($AB$5:$AB$1000,$U$5:$U$1000,ROW(),$V$5:$V$1000,"Sub"),$AB247)))</f>
        <v/>
      </c>
      <c r="AG247" s="62">
        <f>IF($V247&lt;&gt;"Macro","",IF(COUNTIFS($S$5:$S$1000,$S247,$V$5:$V$1000,"Macro",$H$5:$H$1000,"&gt;0")=0,1/COUNTIFS($S$5:$S$1000,$S247,$V$5:$V$1000,"Macro"),IF(AND(ISNUMBER($H247),N($H247)&gt;0),$H247,SUMIFS($H$5:$H$1000,$S$5:$S$1000,$S247,$V$5:$V$1000,"Macro")/COUNTIFS($S$5:$S$1000,$S247,$V$5:$V$1000,"Macro",$H$5:$H$1000,"&gt;0"))/(COUNTIFS($S$5:$S$1000,$S247,$V$5:$V$1000,"Macro")*SUMIFS($H$5:$H$1000,$S$5:$S$1000,$S247,$V$5:$V$1000,"Macro")/COUNTIFS($S$5:$S$1000,$S247,$V$5:$V$1000,"Macro",$H$5:$H$1000,"&gt;0"))))</f>
        <v/>
      </c>
      <c r="AH247" s="62" t="n"/>
      <c r="AI247" s="62" t="n"/>
      <c r="AJ247" s="62" t="n"/>
      <c r="AK247" s="62" t="n"/>
      <c r="AL247" s="62">
        <f>IF(LEFT($C247,11)="[Jefatura] ",IFERROR(MATCH("Riesgo Normativo|"&amp;MID($C247,12,500),rDname_ADM,0),0),"")</f>
        <v/>
      </c>
      <c r="AM247" s="62">
        <f>IF(N($AL247)&gt;0,INDEX(rIni_ADM,$AL247),IF(ISNUMBER($E247),$E247,""))</f>
        <v/>
      </c>
      <c r="AN247" s="62">
        <f>IF(N($AL247)&gt;0,INDEX(rLim_ADM,$AL247),IF(ISNUMBER($F247),$F247,""))</f>
        <v/>
      </c>
    </row>
    <row r="248">
      <c r="A248" s="56">
        <f>IF(NOT((COUNTA($B248:$D248)+COUNTA($G248:$L248)+COUNTA($Q248))&gt;0),"",IF($V248="Macro",COUNTIFS($V$5:$V248,"Macro",$S$5:$S248,$S248),IF(N($U248)=0,"?",COUNTIFS(INDEX($V$5:$V$1000,1):INDEX($V$5:$V$1000,$U248-4),"Macro",INDEX($S$5:$S$1000,1):INDEX($S$5:$S$1000,$U248-4),INDEX($S$5:$S$1000,$U248-4))&amp;"."&amp;COUNTIFS($U$5:$U248,$U248,$V$5:$V248,"Sub"))))</f>
        <v/>
      </c>
      <c r="B248" s="57" t="n"/>
      <c r="C248" s="58" t="n"/>
      <c r="D248" s="58" t="n"/>
      <c r="E248" s="59">
        <f>IF(N($AL248)&gt;0,INDEX(rIni_ADM,$AL248),"")</f>
        <v/>
      </c>
      <c r="F248" s="59">
        <f>IF(N($AL248)&gt;0,INDEX(rLim_ADM,$AL248),"")</f>
        <v/>
      </c>
      <c r="G248" s="59" t="n"/>
      <c r="H248" s="60" t="n"/>
      <c r="I248" s="60" t="n"/>
      <c r="J248" s="60" t="n"/>
      <c r="K248" s="60" t="n"/>
      <c r="L248" s="60" t="n"/>
      <c r="M248" s="61">
        <f>IF(NOT((COUNTA($B248:$D248)+COUNTA($G248:$L248)+COUNTA($Q248))&gt;0),"",IF(ISNUMBER($G248),1,IF(N($W248)&gt;0,AVERAGEIFS($X$5:$X$1000,$U$5:$U$1000,ROW(),$V$5:$V$1000,"Sub"),$X248)))</f>
        <v/>
      </c>
      <c r="N248" s="56">
        <f>IF($M248="","",IF($M248&gt;=1,"Completado",IF($M248&gt;0,"En curso","Pendiente")))</f>
        <v/>
      </c>
      <c r="O248" s="56">
        <f>IF(NOT((COUNTA($B248:$D248)+COUNTA($G248:$L248)+COUNTA($Q248))&gt;0),"",IF(ISNUMBER($G248),IF(AND(ISNUMBER($AN248),$G248&gt;$AN248),"Cumplida con "&amp;($G248-$AN248)&amp;IF($G248-$AN248=1," día"," días")&amp;" de retraso","Cumplida"),IF(N($M248)&gt;=1,"Cumplida",IF(NOT(ISNUMBER($AN248)),"Sin fecha límite",IF($AN248&lt;FechaRef,"Vencida hace "&amp;(FechaRef-$AN248)&amp;IF(FechaRef-$AN248=1," día"," días"),IF($AN248=FechaRef,"Vence hoy",IF($AN248-FechaRef&lt;=DiasAlerta,"Vence en "&amp;($AN248-FechaRef)&amp;IF($AN248-FechaRef=1," día"," días"),"En plazo")))))))</f>
        <v/>
      </c>
      <c r="P248" s="62" t="n"/>
      <c r="Q248" s="58" t="n"/>
      <c r="R248" s="63">
        <f>IF(NOT((COUNTA($B248:$D248)+COUNTA($G248:$L248)+COUNTA($Q248))&gt;0),"",IF((IF($C248="","Falta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",""))="","✔ OK","⚠ "&amp;LEFT(IF($C248="","Falta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",""),LEN(IF($C248="","Falta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",""))-3)))</f>
        <v/>
      </c>
      <c r="S248" s="64">
        <f>IF(NOT((COUNTA($B248:$D248)+COUNTA($G248:$L248)+COUNTA($Q248))&gt;0),"",IF(AND($V248="Sub",N($U248)&gt;0),IF(ISNUMBER(INDEX($AM$5:$AM$1000,$U248-4)),DATE(YEAR(INDEX($AM$5:$AM$1000,$U248-4)),MONTH(INDEX($AM$5:$AM$1000,$U248-4)),1),IF(ISNUMBER(INDEX($AN$5:$AN$1000,$U248-4)),DATE(YEAR(INDEX($AN$5:$AN$1000,$U248-4)),MONTH(INDEX($AN$5:$AN$1000,$U248-4)),1),MesCiclo)),IF(ISNUMBER($AM248),DATE(YEAR($AM248),MONTH($AM248),1),IF(ISNUMBER($AN248),DATE(YEAR($AN248),MONTH($AN248),1),MesCiclo))))</f>
        <v/>
      </c>
      <c r="T248" s="62">
        <f>IF(OR($S248="",$S248&lt;&gt;MesCiclo),"",COUNTIF($S$5:$S248,MesCiclo))</f>
        <v/>
      </c>
      <c r="U248" s="62">
        <f>IF($V248="","",IF($V248="Macro",ROW(),IFERROR(LOOKUP(2,1/($V$5:$V248="Macro"),ROW($V$5:$V248)),0)))</f>
        <v/>
      </c>
      <c r="V248" s="62">
        <f>IF(NOT((COUNTA($B248:$D248)+COUNTA($G248:$L248)+COUNTA($Q248))&gt;0),"",IF($B248="Subactividad","Sub","Macro"))</f>
        <v/>
      </c>
      <c r="W248" s="62">
        <f>IF($V248="Macro",COUNTIFS($U$5:$U$1000,ROW(),$V$5:$V$1000,"Sub"),"")</f>
        <v/>
      </c>
      <c r="X248" s="62">
        <f>IF($V248="","",IF(ISNUMBER($G248),1,IFERROR(LOOKUP(2,1/($I248:$L248&lt;&gt;""),$I248:$L248),0)))</f>
        <v/>
      </c>
      <c r="Y248" s="62">
        <f>IF($V248="","",IF(AND(ISNUMBER($G248),$G248&lt;=IF($S248=MesCiclo,InicioCiclo,$S248+MOD(2-WEEKDAY($S248),7))+6),1,IF(ISNUMBER($I248),$I248,0)))</f>
        <v/>
      </c>
      <c r="Z248" s="62">
        <f>IF($V248="","",IF(AND(ISNUMBER($G248),$G248&lt;=IF($S248=MesCiclo,InicioCiclo,$S248+MOD(2-WEEKDAY($S248),7))+13),1,IF(ISNUMBER($J248),$J248,$Y248)))</f>
        <v/>
      </c>
      <c r="AA248" s="62">
        <f>IF($V248="","",IF(AND(ISNUMBER($G248),$G248&lt;=IF($S248=MesCiclo,InicioCiclo,$S248+MOD(2-WEEKDAY($S248),7))+20),1,IF(ISNUMBER($K248),$K248,$Z248)))</f>
        <v/>
      </c>
      <c r="AB248" s="62">
        <f>IF($V248="","",IF(AND(ISNUMBER($G248),$G248&lt;=IF($S248=MesCiclo,InicioCiclo,$S248+MOD(2-WEEKDAY($S248),7))+27),1,IF(ISNUMBER($L248),$L248,$AA248)))</f>
        <v/>
      </c>
      <c r="AC248" s="62">
        <f>IF($V248="","",IF(AND(ISNUMBER($G248),$G248&lt;=IF($S248=MesCiclo,InicioCiclo,$S248+MOD(2-WEEKDAY($S248),7))+6),1,IF(N($W248)&gt;0,AVERAGEIFS($Y$5:$Y$1000,$U$5:$U$1000,ROW(),$V$5:$V$1000,"Sub"),$Y248)))</f>
        <v/>
      </c>
      <c r="AD248" s="62">
        <f>IF($V248="","",IF(AND(ISNUMBER($G248),$G248&lt;=IF($S248=MesCiclo,InicioCiclo,$S248+MOD(2-WEEKDAY($S248),7))+13),1,IF(N($W248)&gt;0,AVERAGEIFS($Z$5:$Z$1000,$U$5:$U$1000,ROW(),$V$5:$V$1000,"Sub"),$Z248)))</f>
        <v/>
      </c>
      <c r="AE248" s="62">
        <f>IF($V248="","",IF(AND(ISNUMBER($G248),$G248&lt;=IF($S248=MesCiclo,InicioCiclo,$S248+MOD(2-WEEKDAY($S248),7))+20),1,IF(N($W248)&gt;0,AVERAGEIFS($AA$5:$AA$1000,$U$5:$U$1000,ROW(),$V$5:$V$1000,"Sub"),$AA248)))</f>
        <v/>
      </c>
      <c r="AF248" s="62">
        <f>IF($V248="","",IF(AND(ISNUMBER($G248),$G248&lt;=IF($S248=MesCiclo,InicioCiclo,$S248+MOD(2-WEEKDAY($S248),7))+27),1,IF(N($W248)&gt;0,AVERAGEIFS($AB$5:$AB$1000,$U$5:$U$1000,ROW(),$V$5:$V$1000,"Sub"),$AB248)))</f>
        <v/>
      </c>
      <c r="AG248" s="62">
        <f>IF($V248&lt;&gt;"Macro","",IF(COUNTIFS($S$5:$S$1000,$S248,$V$5:$V$1000,"Macro",$H$5:$H$1000,"&gt;0")=0,1/COUNTIFS($S$5:$S$1000,$S248,$V$5:$V$1000,"Macro"),IF(AND(ISNUMBER($H248),N($H248)&gt;0),$H248,SUMIFS($H$5:$H$1000,$S$5:$S$1000,$S248,$V$5:$V$1000,"Macro")/COUNTIFS($S$5:$S$1000,$S248,$V$5:$V$1000,"Macro",$H$5:$H$1000,"&gt;0"))/(COUNTIFS($S$5:$S$1000,$S248,$V$5:$V$1000,"Macro")*SUMIFS($H$5:$H$1000,$S$5:$S$1000,$S248,$V$5:$V$1000,"Macro")/COUNTIFS($S$5:$S$1000,$S248,$V$5:$V$1000,"Macro",$H$5:$H$1000,"&gt;0"))))</f>
        <v/>
      </c>
      <c r="AH248" s="62" t="n"/>
      <c r="AI248" s="62" t="n"/>
      <c r="AJ248" s="62" t="n"/>
      <c r="AK248" s="62" t="n"/>
      <c r="AL248" s="62">
        <f>IF(LEFT($C248,11)="[Jefatura] ",IFERROR(MATCH("Riesgo Normativo|"&amp;MID($C248,12,500),rDname_ADM,0),0),"")</f>
        <v/>
      </c>
      <c r="AM248" s="62">
        <f>IF(N($AL248)&gt;0,INDEX(rIni_ADM,$AL248),IF(ISNUMBER($E248),$E248,""))</f>
        <v/>
      </c>
      <c r="AN248" s="62">
        <f>IF(N($AL248)&gt;0,INDEX(rLim_ADM,$AL248),IF(ISNUMBER($F248),$F248,""))</f>
        <v/>
      </c>
    </row>
    <row r="249">
      <c r="A249" s="56">
        <f>IF(NOT((COUNTA($B249:$D249)+COUNTA($G249:$L249)+COUNTA($Q249))&gt;0),"",IF($V249="Macro",COUNTIFS($V$5:$V249,"Macro",$S$5:$S249,$S249),IF(N($U249)=0,"?",COUNTIFS(INDEX($V$5:$V$1000,1):INDEX($V$5:$V$1000,$U249-4),"Macro",INDEX($S$5:$S$1000,1):INDEX($S$5:$S$1000,$U249-4),INDEX($S$5:$S$1000,$U249-4))&amp;"."&amp;COUNTIFS($U$5:$U249,$U249,$V$5:$V249,"Sub"))))</f>
        <v/>
      </c>
      <c r="B249" s="57" t="n"/>
      <c r="C249" s="58" t="n"/>
      <c r="D249" s="58" t="n"/>
      <c r="E249" s="59">
        <f>IF(N($AL249)&gt;0,INDEX(rIni_ADM,$AL249),"")</f>
        <v/>
      </c>
      <c r="F249" s="59">
        <f>IF(N($AL249)&gt;0,INDEX(rLim_ADM,$AL249),"")</f>
        <v/>
      </c>
      <c r="G249" s="59" t="n"/>
      <c r="H249" s="60" t="n"/>
      <c r="I249" s="60" t="n"/>
      <c r="J249" s="60" t="n"/>
      <c r="K249" s="60" t="n"/>
      <c r="L249" s="60" t="n"/>
      <c r="M249" s="61">
        <f>IF(NOT((COUNTA($B249:$D249)+COUNTA($G249:$L249)+COUNTA($Q249))&gt;0),"",IF(ISNUMBER($G249),1,IF(N($W249)&gt;0,AVERAGEIFS($X$5:$X$1000,$U$5:$U$1000,ROW(),$V$5:$V$1000,"Sub"),$X249)))</f>
        <v/>
      </c>
      <c r="N249" s="56">
        <f>IF($M249="","",IF($M249&gt;=1,"Completado",IF($M249&gt;0,"En curso","Pendiente")))</f>
        <v/>
      </c>
      <c r="O249" s="56">
        <f>IF(NOT((COUNTA($B249:$D249)+COUNTA($G249:$L249)+COUNTA($Q249))&gt;0),"",IF(ISNUMBER($G249),IF(AND(ISNUMBER($AN249),$G249&gt;$AN249),"Cumplida con "&amp;($G249-$AN249)&amp;IF($G249-$AN249=1," día"," días")&amp;" de retraso","Cumplida"),IF(N($M249)&gt;=1,"Cumplida",IF(NOT(ISNUMBER($AN249)),"Sin fecha límite",IF($AN249&lt;FechaRef,"Vencida hace "&amp;(FechaRef-$AN249)&amp;IF(FechaRef-$AN249=1," día"," días"),IF($AN249=FechaRef,"Vence hoy",IF($AN249-FechaRef&lt;=DiasAlerta,"Vence en "&amp;($AN249-FechaRef)&amp;IF($AN249-FechaRef=1," día"," días"),"En plazo")))))))</f>
        <v/>
      </c>
      <c r="P249" s="62" t="n"/>
      <c r="Q249" s="58" t="n"/>
      <c r="R249" s="63">
        <f>IF(NOT((COUNTA($B249:$D249)+COUNTA($G249:$L249)+COUNTA($Q249))&gt;0),"",IF((IF($C249="","Falta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",""))="","✔ OK","⚠ "&amp;LEFT(IF($C249="","Falta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",""),LEN(IF($C249="","Falta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",""))-3)))</f>
        <v/>
      </c>
      <c r="S249" s="64">
        <f>IF(NOT((COUNTA($B249:$D249)+COUNTA($G249:$L249)+COUNTA($Q249))&gt;0),"",IF(AND($V249="Sub",N($U249)&gt;0),IF(ISNUMBER(INDEX($AM$5:$AM$1000,$U249-4)),DATE(YEAR(INDEX($AM$5:$AM$1000,$U249-4)),MONTH(INDEX($AM$5:$AM$1000,$U249-4)),1),IF(ISNUMBER(INDEX($AN$5:$AN$1000,$U249-4)),DATE(YEAR(INDEX($AN$5:$AN$1000,$U249-4)),MONTH(INDEX($AN$5:$AN$1000,$U249-4)),1),MesCiclo)),IF(ISNUMBER($AM249),DATE(YEAR($AM249),MONTH($AM249),1),IF(ISNUMBER($AN249),DATE(YEAR($AN249),MONTH($AN249),1),MesCiclo))))</f>
        <v/>
      </c>
      <c r="T249" s="62">
        <f>IF(OR($S249="",$S249&lt;&gt;MesCiclo),"",COUNTIF($S$5:$S249,MesCiclo))</f>
        <v/>
      </c>
      <c r="U249" s="62">
        <f>IF($V249="","",IF($V249="Macro",ROW(),IFERROR(LOOKUP(2,1/($V$5:$V249="Macro"),ROW($V$5:$V249)),0)))</f>
        <v/>
      </c>
      <c r="V249" s="62">
        <f>IF(NOT((COUNTA($B249:$D249)+COUNTA($G249:$L249)+COUNTA($Q249))&gt;0),"",IF($B249="Subactividad","Sub","Macro"))</f>
        <v/>
      </c>
      <c r="W249" s="62">
        <f>IF($V249="Macro",COUNTIFS($U$5:$U$1000,ROW(),$V$5:$V$1000,"Sub"),"")</f>
        <v/>
      </c>
      <c r="X249" s="62">
        <f>IF($V249="","",IF(ISNUMBER($G249),1,IFERROR(LOOKUP(2,1/($I249:$L249&lt;&gt;""),$I249:$L249),0)))</f>
        <v/>
      </c>
      <c r="Y249" s="62">
        <f>IF($V249="","",IF(AND(ISNUMBER($G249),$G249&lt;=IF($S249=MesCiclo,InicioCiclo,$S249+MOD(2-WEEKDAY($S249),7))+6),1,IF(ISNUMBER($I249),$I249,0)))</f>
        <v/>
      </c>
      <c r="Z249" s="62">
        <f>IF($V249="","",IF(AND(ISNUMBER($G249),$G249&lt;=IF($S249=MesCiclo,InicioCiclo,$S249+MOD(2-WEEKDAY($S249),7))+13),1,IF(ISNUMBER($J249),$J249,$Y249)))</f>
        <v/>
      </c>
      <c r="AA249" s="62">
        <f>IF($V249="","",IF(AND(ISNUMBER($G249),$G249&lt;=IF($S249=MesCiclo,InicioCiclo,$S249+MOD(2-WEEKDAY($S249),7))+20),1,IF(ISNUMBER($K249),$K249,$Z249)))</f>
        <v/>
      </c>
      <c r="AB249" s="62">
        <f>IF($V249="","",IF(AND(ISNUMBER($G249),$G249&lt;=IF($S249=MesCiclo,InicioCiclo,$S249+MOD(2-WEEKDAY($S249),7))+27),1,IF(ISNUMBER($L249),$L249,$AA249)))</f>
        <v/>
      </c>
      <c r="AC249" s="62">
        <f>IF($V249="","",IF(AND(ISNUMBER($G249),$G249&lt;=IF($S249=MesCiclo,InicioCiclo,$S249+MOD(2-WEEKDAY($S249),7))+6),1,IF(N($W249)&gt;0,AVERAGEIFS($Y$5:$Y$1000,$U$5:$U$1000,ROW(),$V$5:$V$1000,"Sub"),$Y249)))</f>
        <v/>
      </c>
      <c r="AD249" s="62">
        <f>IF($V249="","",IF(AND(ISNUMBER($G249),$G249&lt;=IF($S249=MesCiclo,InicioCiclo,$S249+MOD(2-WEEKDAY($S249),7))+13),1,IF(N($W249)&gt;0,AVERAGEIFS($Z$5:$Z$1000,$U$5:$U$1000,ROW(),$V$5:$V$1000,"Sub"),$Z249)))</f>
        <v/>
      </c>
      <c r="AE249" s="62">
        <f>IF($V249="","",IF(AND(ISNUMBER($G249),$G249&lt;=IF($S249=MesCiclo,InicioCiclo,$S249+MOD(2-WEEKDAY($S249),7))+20),1,IF(N($W249)&gt;0,AVERAGEIFS($AA$5:$AA$1000,$U$5:$U$1000,ROW(),$V$5:$V$1000,"Sub"),$AA249)))</f>
        <v/>
      </c>
      <c r="AF249" s="62">
        <f>IF($V249="","",IF(AND(ISNUMBER($G249),$G249&lt;=IF($S249=MesCiclo,InicioCiclo,$S249+MOD(2-WEEKDAY($S249),7))+27),1,IF(N($W249)&gt;0,AVERAGEIFS($AB$5:$AB$1000,$U$5:$U$1000,ROW(),$V$5:$V$1000,"Sub"),$AB249)))</f>
        <v/>
      </c>
      <c r="AG249" s="62">
        <f>IF($V249&lt;&gt;"Macro","",IF(COUNTIFS($S$5:$S$1000,$S249,$V$5:$V$1000,"Macro",$H$5:$H$1000,"&gt;0")=0,1/COUNTIFS($S$5:$S$1000,$S249,$V$5:$V$1000,"Macro"),IF(AND(ISNUMBER($H249),N($H249)&gt;0),$H249,SUMIFS($H$5:$H$1000,$S$5:$S$1000,$S249,$V$5:$V$1000,"Macro")/COUNTIFS($S$5:$S$1000,$S249,$V$5:$V$1000,"Macro",$H$5:$H$1000,"&gt;0"))/(COUNTIFS($S$5:$S$1000,$S249,$V$5:$V$1000,"Macro")*SUMIFS($H$5:$H$1000,$S$5:$S$1000,$S249,$V$5:$V$1000,"Macro")/COUNTIFS($S$5:$S$1000,$S249,$V$5:$V$1000,"Macro",$H$5:$H$1000,"&gt;0"))))</f>
        <v/>
      </c>
      <c r="AH249" s="62" t="n"/>
      <c r="AI249" s="62" t="n"/>
      <c r="AJ249" s="62" t="n"/>
      <c r="AK249" s="62" t="n"/>
      <c r="AL249" s="62">
        <f>IF(LEFT($C249,11)="[Jefatura] ",IFERROR(MATCH("Riesgo Normativo|"&amp;MID($C249,12,500),rDname_ADM,0),0),"")</f>
        <v/>
      </c>
      <c r="AM249" s="62">
        <f>IF(N($AL249)&gt;0,INDEX(rIni_ADM,$AL249),IF(ISNUMBER($E249),$E249,""))</f>
        <v/>
      </c>
      <c r="AN249" s="62">
        <f>IF(N($AL249)&gt;0,INDEX(rLim_ADM,$AL249),IF(ISNUMBER($F249),$F249,""))</f>
        <v/>
      </c>
    </row>
    <row r="250">
      <c r="A250" s="56">
        <f>IF(NOT((COUNTA($B250:$D250)+COUNTA($G250:$L250)+COUNTA($Q250))&gt;0),"",IF($V250="Macro",COUNTIFS($V$5:$V250,"Macro",$S$5:$S250,$S250),IF(N($U250)=0,"?",COUNTIFS(INDEX($V$5:$V$1000,1):INDEX($V$5:$V$1000,$U250-4),"Macro",INDEX($S$5:$S$1000,1):INDEX($S$5:$S$1000,$U250-4),INDEX($S$5:$S$1000,$U250-4))&amp;"."&amp;COUNTIFS($U$5:$U250,$U250,$V$5:$V250,"Sub"))))</f>
        <v/>
      </c>
      <c r="B250" s="57" t="n"/>
      <c r="C250" s="58" t="n"/>
      <c r="D250" s="58" t="n"/>
      <c r="E250" s="59">
        <f>IF(N($AL250)&gt;0,INDEX(rIni_ADM,$AL250),"")</f>
        <v/>
      </c>
      <c r="F250" s="59">
        <f>IF(N($AL250)&gt;0,INDEX(rLim_ADM,$AL250),"")</f>
        <v/>
      </c>
      <c r="G250" s="59" t="n"/>
      <c r="H250" s="60" t="n"/>
      <c r="I250" s="60" t="n"/>
      <c r="J250" s="60" t="n"/>
      <c r="K250" s="60" t="n"/>
      <c r="L250" s="60" t="n"/>
      <c r="M250" s="61">
        <f>IF(NOT((COUNTA($B250:$D250)+COUNTA($G250:$L250)+COUNTA($Q250))&gt;0),"",IF(ISNUMBER($G250),1,IF(N($W250)&gt;0,AVERAGEIFS($X$5:$X$1000,$U$5:$U$1000,ROW(),$V$5:$V$1000,"Sub"),$X250)))</f>
        <v/>
      </c>
      <c r="N250" s="56">
        <f>IF($M250="","",IF($M250&gt;=1,"Completado",IF($M250&gt;0,"En curso","Pendiente")))</f>
        <v/>
      </c>
      <c r="O250" s="56">
        <f>IF(NOT((COUNTA($B250:$D250)+COUNTA($G250:$L250)+COUNTA($Q250))&gt;0),"",IF(ISNUMBER($G250),IF(AND(ISNUMBER($AN250),$G250&gt;$AN250),"Cumplida con "&amp;($G250-$AN250)&amp;IF($G250-$AN250=1," día"," días")&amp;" de retraso","Cumplida"),IF(N($M250)&gt;=1,"Cumplida",IF(NOT(ISNUMBER($AN250)),"Sin fecha límite",IF($AN250&lt;FechaRef,"Vencida hace "&amp;(FechaRef-$AN250)&amp;IF(FechaRef-$AN250=1," día"," días"),IF($AN250=FechaRef,"Vence hoy",IF($AN250-FechaRef&lt;=DiasAlerta,"Vence en "&amp;($AN250-FechaRef)&amp;IF($AN250-FechaRef=1," día"," días"),"En plazo")))))))</f>
        <v/>
      </c>
      <c r="P250" s="62" t="n"/>
      <c r="Q250" s="58" t="n"/>
      <c r="R250" s="63">
        <f>IF(NOT((COUNTA($B250:$D250)+COUNTA($G250:$L250)+COUNTA($Q250))&gt;0),"",IF((IF($C250="","Falta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",""))="","✔ OK","⚠ "&amp;LEFT(IF($C250="","Falta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",""),LEN(IF($C250="","Falta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",""))-3)))</f>
        <v/>
      </c>
      <c r="S250" s="64">
        <f>IF(NOT((COUNTA($B250:$D250)+COUNTA($G250:$L250)+COUNTA($Q250))&gt;0),"",IF(AND($V250="Sub",N($U250)&gt;0),IF(ISNUMBER(INDEX($AM$5:$AM$1000,$U250-4)),DATE(YEAR(INDEX($AM$5:$AM$1000,$U250-4)),MONTH(INDEX($AM$5:$AM$1000,$U250-4)),1),IF(ISNUMBER(INDEX($AN$5:$AN$1000,$U250-4)),DATE(YEAR(INDEX($AN$5:$AN$1000,$U250-4)),MONTH(INDEX($AN$5:$AN$1000,$U250-4)),1),MesCiclo)),IF(ISNUMBER($AM250),DATE(YEAR($AM250),MONTH($AM250),1),IF(ISNUMBER($AN250),DATE(YEAR($AN250),MONTH($AN250),1),MesCiclo))))</f>
        <v/>
      </c>
      <c r="T250" s="62">
        <f>IF(OR($S250="",$S250&lt;&gt;MesCiclo),"",COUNTIF($S$5:$S250,MesCiclo))</f>
        <v/>
      </c>
      <c r="U250" s="62">
        <f>IF($V250="","",IF($V250="Macro",ROW(),IFERROR(LOOKUP(2,1/($V$5:$V250="Macro"),ROW($V$5:$V250)),0)))</f>
        <v/>
      </c>
      <c r="V250" s="62">
        <f>IF(NOT((COUNTA($B250:$D250)+COUNTA($G250:$L250)+COUNTA($Q250))&gt;0),"",IF($B250="Subactividad","Sub","Macro"))</f>
        <v/>
      </c>
      <c r="W250" s="62">
        <f>IF($V250="Macro",COUNTIFS($U$5:$U$1000,ROW(),$V$5:$V$1000,"Sub"),"")</f>
        <v/>
      </c>
      <c r="X250" s="62">
        <f>IF($V250="","",IF(ISNUMBER($G250),1,IFERROR(LOOKUP(2,1/($I250:$L250&lt;&gt;""),$I250:$L250),0)))</f>
        <v/>
      </c>
      <c r="Y250" s="62">
        <f>IF($V250="","",IF(AND(ISNUMBER($G250),$G250&lt;=IF($S250=MesCiclo,InicioCiclo,$S250+MOD(2-WEEKDAY($S250),7))+6),1,IF(ISNUMBER($I250),$I250,0)))</f>
        <v/>
      </c>
      <c r="Z250" s="62">
        <f>IF($V250="","",IF(AND(ISNUMBER($G250),$G250&lt;=IF($S250=MesCiclo,InicioCiclo,$S250+MOD(2-WEEKDAY($S250),7))+13),1,IF(ISNUMBER($J250),$J250,$Y250)))</f>
        <v/>
      </c>
      <c r="AA250" s="62">
        <f>IF($V250="","",IF(AND(ISNUMBER($G250),$G250&lt;=IF($S250=MesCiclo,InicioCiclo,$S250+MOD(2-WEEKDAY($S250),7))+20),1,IF(ISNUMBER($K250),$K250,$Z250)))</f>
        <v/>
      </c>
      <c r="AB250" s="62">
        <f>IF($V250="","",IF(AND(ISNUMBER($G250),$G250&lt;=IF($S250=MesCiclo,InicioCiclo,$S250+MOD(2-WEEKDAY($S250),7))+27),1,IF(ISNUMBER($L250),$L250,$AA250)))</f>
        <v/>
      </c>
      <c r="AC250" s="62">
        <f>IF($V250="","",IF(AND(ISNUMBER($G250),$G250&lt;=IF($S250=MesCiclo,InicioCiclo,$S250+MOD(2-WEEKDAY($S250),7))+6),1,IF(N($W250)&gt;0,AVERAGEIFS($Y$5:$Y$1000,$U$5:$U$1000,ROW(),$V$5:$V$1000,"Sub"),$Y250)))</f>
        <v/>
      </c>
      <c r="AD250" s="62">
        <f>IF($V250="","",IF(AND(ISNUMBER($G250),$G250&lt;=IF($S250=MesCiclo,InicioCiclo,$S250+MOD(2-WEEKDAY($S250),7))+13),1,IF(N($W250)&gt;0,AVERAGEIFS($Z$5:$Z$1000,$U$5:$U$1000,ROW(),$V$5:$V$1000,"Sub"),$Z250)))</f>
        <v/>
      </c>
      <c r="AE250" s="62">
        <f>IF($V250="","",IF(AND(ISNUMBER($G250),$G250&lt;=IF($S250=MesCiclo,InicioCiclo,$S250+MOD(2-WEEKDAY($S250),7))+20),1,IF(N($W250)&gt;0,AVERAGEIFS($AA$5:$AA$1000,$U$5:$U$1000,ROW(),$V$5:$V$1000,"Sub"),$AA250)))</f>
        <v/>
      </c>
      <c r="AF250" s="62">
        <f>IF($V250="","",IF(AND(ISNUMBER($G250),$G250&lt;=IF($S250=MesCiclo,InicioCiclo,$S250+MOD(2-WEEKDAY($S250),7))+27),1,IF(N($W250)&gt;0,AVERAGEIFS($AB$5:$AB$1000,$U$5:$U$1000,ROW(),$V$5:$V$1000,"Sub"),$AB250)))</f>
        <v/>
      </c>
      <c r="AG250" s="62">
        <f>IF($V250&lt;&gt;"Macro","",IF(COUNTIFS($S$5:$S$1000,$S250,$V$5:$V$1000,"Macro",$H$5:$H$1000,"&gt;0")=0,1/COUNTIFS($S$5:$S$1000,$S250,$V$5:$V$1000,"Macro"),IF(AND(ISNUMBER($H250),N($H250)&gt;0),$H250,SUMIFS($H$5:$H$1000,$S$5:$S$1000,$S250,$V$5:$V$1000,"Macro")/COUNTIFS($S$5:$S$1000,$S250,$V$5:$V$1000,"Macro",$H$5:$H$1000,"&gt;0"))/(COUNTIFS($S$5:$S$1000,$S250,$V$5:$V$1000,"Macro")*SUMIFS($H$5:$H$1000,$S$5:$S$1000,$S250,$V$5:$V$1000,"Macro")/COUNTIFS($S$5:$S$1000,$S250,$V$5:$V$1000,"Macro",$H$5:$H$1000,"&gt;0"))))</f>
        <v/>
      </c>
      <c r="AH250" s="62" t="n"/>
      <c r="AI250" s="62" t="n"/>
      <c r="AJ250" s="62" t="n"/>
      <c r="AK250" s="62" t="n"/>
      <c r="AL250" s="62">
        <f>IF(LEFT($C250,11)="[Jefatura] ",IFERROR(MATCH("Riesgo Normativo|"&amp;MID($C250,12,500),rDname_ADM,0),0),"")</f>
        <v/>
      </c>
      <c r="AM250" s="62">
        <f>IF(N($AL250)&gt;0,INDEX(rIni_ADM,$AL250),IF(ISNUMBER($E250),$E250,""))</f>
        <v/>
      </c>
      <c r="AN250" s="62">
        <f>IF(N($AL250)&gt;0,INDEX(rLim_ADM,$AL250),IF(ISNUMBER($F250),$F250,""))</f>
        <v/>
      </c>
    </row>
    <row r="251">
      <c r="A251" s="56">
        <f>IF(NOT((COUNTA($B251:$D251)+COUNTA($G251:$L251)+COUNTA($Q251))&gt;0),"",IF($V251="Macro",COUNTIFS($V$5:$V251,"Macro",$S$5:$S251,$S251),IF(N($U251)=0,"?",COUNTIFS(INDEX($V$5:$V$1000,1):INDEX($V$5:$V$1000,$U251-4),"Macro",INDEX($S$5:$S$1000,1):INDEX($S$5:$S$1000,$U251-4),INDEX($S$5:$S$1000,$U251-4))&amp;"."&amp;COUNTIFS($U$5:$U251,$U251,$V$5:$V251,"Sub"))))</f>
        <v/>
      </c>
      <c r="B251" s="57" t="n"/>
      <c r="C251" s="58" t="n"/>
      <c r="D251" s="58" t="n"/>
      <c r="E251" s="59">
        <f>IF(N($AL251)&gt;0,INDEX(rIni_ADM,$AL251),"")</f>
        <v/>
      </c>
      <c r="F251" s="59">
        <f>IF(N($AL251)&gt;0,INDEX(rLim_ADM,$AL251),"")</f>
        <v/>
      </c>
      <c r="G251" s="59" t="n"/>
      <c r="H251" s="60" t="n"/>
      <c r="I251" s="60" t="n"/>
      <c r="J251" s="60" t="n"/>
      <c r="K251" s="60" t="n"/>
      <c r="L251" s="60" t="n"/>
      <c r="M251" s="61">
        <f>IF(NOT((COUNTA($B251:$D251)+COUNTA($G251:$L251)+COUNTA($Q251))&gt;0),"",IF(ISNUMBER($G251),1,IF(N($W251)&gt;0,AVERAGEIFS($X$5:$X$1000,$U$5:$U$1000,ROW(),$V$5:$V$1000,"Sub"),$X251)))</f>
        <v/>
      </c>
      <c r="N251" s="56">
        <f>IF($M251="","",IF($M251&gt;=1,"Completado",IF($M251&gt;0,"En curso","Pendiente")))</f>
        <v/>
      </c>
      <c r="O251" s="56">
        <f>IF(NOT((COUNTA($B251:$D251)+COUNTA($G251:$L251)+COUNTA($Q251))&gt;0),"",IF(ISNUMBER($G251),IF(AND(ISNUMBER($AN251),$G251&gt;$AN251),"Cumplida con "&amp;($G251-$AN251)&amp;IF($G251-$AN251=1," día"," días")&amp;" de retraso","Cumplida"),IF(N($M251)&gt;=1,"Cumplida",IF(NOT(ISNUMBER($AN251)),"Sin fecha límite",IF($AN251&lt;FechaRef,"Vencida hace "&amp;(FechaRef-$AN251)&amp;IF(FechaRef-$AN251=1," día"," días"),IF($AN251=FechaRef,"Vence hoy",IF($AN251-FechaRef&lt;=DiasAlerta,"Vence en "&amp;($AN251-FechaRef)&amp;IF($AN251-FechaRef=1," día"," días"),"En plazo")))))))</f>
        <v/>
      </c>
      <c r="P251" s="62" t="n"/>
      <c r="Q251" s="58" t="n"/>
      <c r="R251" s="63">
        <f>IF(NOT((COUNTA($B251:$D251)+COUNTA($G251:$L251)+COUNTA($Q251))&gt;0),"",IF((IF($C251="","Falta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",""))="","✔ OK","⚠ "&amp;LEFT(IF($C251="","Falta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",""),LEN(IF($C251="","Falta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",""))-3)))</f>
        <v/>
      </c>
      <c r="S251" s="64">
        <f>IF(NOT((COUNTA($B251:$D251)+COUNTA($G251:$L251)+COUNTA($Q251))&gt;0),"",IF(AND($V251="Sub",N($U251)&gt;0),IF(ISNUMBER(INDEX($AM$5:$AM$1000,$U251-4)),DATE(YEAR(INDEX($AM$5:$AM$1000,$U251-4)),MONTH(INDEX($AM$5:$AM$1000,$U251-4)),1),IF(ISNUMBER(INDEX($AN$5:$AN$1000,$U251-4)),DATE(YEAR(INDEX($AN$5:$AN$1000,$U251-4)),MONTH(INDEX($AN$5:$AN$1000,$U251-4)),1),MesCiclo)),IF(ISNUMBER($AM251),DATE(YEAR($AM251),MONTH($AM251),1),IF(ISNUMBER($AN251),DATE(YEAR($AN251),MONTH($AN251),1),MesCiclo))))</f>
        <v/>
      </c>
      <c r="T251" s="62">
        <f>IF(OR($S251="",$S251&lt;&gt;MesCiclo),"",COUNTIF($S$5:$S251,MesCiclo))</f>
        <v/>
      </c>
      <c r="U251" s="62">
        <f>IF($V251="","",IF($V251="Macro",ROW(),IFERROR(LOOKUP(2,1/($V$5:$V251="Macro"),ROW($V$5:$V251)),0)))</f>
        <v/>
      </c>
      <c r="V251" s="62">
        <f>IF(NOT((COUNTA($B251:$D251)+COUNTA($G251:$L251)+COUNTA($Q251))&gt;0),"",IF($B251="Subactividad","Sub","Macro"))</f>
        <v/>
      </c>
      <c r="W251" s="62">
        <f>IF($V251="Macro",COUNTIFS($U$5:$U$1000,ROW(),$V$5:$V$1000,"Sub"),"")</f>
        <v/>
      </c>
      <c r="X251" s="62">
        <f>IF($V251="","",IF(ISNUMBER($G251),1,IFERROR(LOOKUP(2,1/($I251:$L251&lt;&gt;""),$I251:$L251),0)))</f>
        <v/>
      </c>
      <c r="Y251" s="62">
        <f>IF($V251="","",IF(AND(ISNUMBER($G251),$G251&lt;=IF($S251=MesCiclo,InicioCiclo,$S251+MOD(2-WEEKDAY($S251),7))+6),1,IF(ISNUMBER($I251),$I251,0)))</f>
        <v/>
      </c>
      <c r="Z251" s="62">
        <f>IF($V251="","",IF(AND(ISNUMBER($G251),$G251&lt;=IF($S251=MesCiclo,InicioCiclo,$S251+MOD(2-WEEKDAY($S251),7))+13),1,IF(ISNUMBER($J251),$J251,$Y251)))</f>
        <v/>
      </c>
      <c r="AA251" s="62">
        <f>IF($V251="","",IF(AND(ISNUMBER($G251),$G251&lt;=IF($S251=MesCiclo,InicioCiclo,$S251+MOD(2-WEEKDAY($S251),7))+20),1,IF(ISNUMBER($K251),$K251,$Z251)))</f>
        <v/>
      </c>
      <c r="AB251" s="62">
        <f>IF($V251="","",IF(AND(ISNUMBER($G251),$G251&lt;=IF($S251=MesCiclo,InicioCiclo,$S251+MOD(2-WEEKDAY($S251),7))+27),1,IF(ISNUMBER($L251),$L251,$AA251)))</f>
        <v/>
      </c>
      <c r="AC251" s="62">
        <f>IF($V251="","",IF(AND(ISNUMBER($G251),$G251&lt;=IF($S251=MesCiclo,InicioCiclo,$S251+MOD(2-WEEKDAY($S251),7))+6),1,IF(N($W251)&gt;0,AVERAGEIFS($Y$5:$Y$1000,$U$5:$U$1000,ROW(),$V$5:$V$1000,"Sub"),$Y251)))</f>
        <v/>
      </c>
      <c r="AD251" s="62">
        <f>IF($V251="","",IF(AND(ISNUMBER($G251),$G251&lt;=IF($S251=MesCiclo,InicioCiclo,$S251+MOD(2-WEEKDAY($S251),7))+13),1,IF(N($W251)&gt;0,AVERAGEIFS($Z$5:$Z$1000,$U$5:$U$1000,ROW(),$V$5:$V$1000,"Sub"),$Z251)))</f>
        <v/>
      </c>
      <c r="AE251" s="62">
        <f>IF($V251="","",IF(AND(ISNUMBER($G251),$G251&lt;=IF($S251=MesCiclo,InicioCiclo,$S251+MOD(2-WEEKDAY($S251),7))+20),1,IF(N($W251)&gt;0,AVERAGEIFS($AA$5:$AA$1000,$U$5:$U$1000,ROW(),$V$5:$V$1000,"Sub"),$AA251)))</f>
        <v/>
      </c>
      <c r="AF251" s="62">
        <f>IF($V251="","",IF(AND(ISNUMBER($G251),$G251&lt;=IF($S251=MesCiclo,InicioCiclo,$S251+MOD(2-WEEKDAY($S251),7))+27),1,IF(N($W251)&gt;0,AVERAGEIFS($AB$5:$AB$1000,$U$5:$U$1000,ROW(),$V$5:$V$1000,"Sub"),$AB251)))</f>
        <v/>
      </c>
      <c r="AG251" s="62">
        <f>IF($V251&lt;&gt;"Macro","",IF(COUNTIFS($S$5:$S$1000,$S251,$V$5:$V$1000,"Macro",$H$5:$H$1000,"&gt;0")=0,1/COUNTIFS($S$5:$S$1000,$S251,$V$5:$V$1000,"Macro"),IF(AND(ISNUMBER($H251),N($H251)&gt;0),$H251,SUMIFS($H$5:$H$1000,$S$5:$S$1000,$S251,$V$5:$V$1000,"Macro")/COUNTIFS($S$5:$S$1000,$S251,$V$5:$V$1000,"Macro",$H$5:$H$1000,"&gt;0"))/(COUNTIFS($S$5:$S$1000,$S251,$V$5:$V$1000,"Macro")*SUMIFS($H$5:$H$1000,$S$5:$S$1000,$S251,$V$5:$V$1000,"Macro")/COUNTIFS($S$5:$S$1000,$S251,$V$5:$V$1000,"Macro",$H$5:$H$1000,"&gt;0"))))</f>
        <v/>
      </c>
      <c r="AH251" s="62" t="n"/>
      <c r="AI251" s="62" t="n"/>
      <c r="AJ251" s="62" t="n"/>
      <c r="AK251" s="62" t="n"/>
      <c r="AL251" s="62">
        <f>IF(LEFT($C251,11)="[Jefatura] ",IFERROR(MATCH("Riesgo Normativo|"&amp;MID($C251,12,500),rDname_ADM,0),0),"")</f>
        <v/>
      </c>
      <c r="AM251" s="62">
        <f>IF(N($AL251)&gt;0,INDEX(rIni_ADM,$AL251),IF(ISNUMBER($E251),$E251,""))</f>
        <v/>
      </c>
      <c r="AN251" s="62">
        <f>IF(N($AL251)&gt;0,INDEX(rLim_ADM,$AL251),IF(ISNUMBER($F251),$F251,""))</f>
        <v/>
      </c>
    </row>
    <row r="252">
      <c r="A252" s="56">
        <f>IF(NOT((COUNTA($B252:$D252)+COUNTA($G252:$L252)+COUNTA($Q252))&gt;0),"",IF($V252="Macro",COUNTIFS($V$5:$V252,"Macro",$S$5:$S252,$S252),IF(N($U252)=0,"?",COUNTIFS(INDEX($V$5:$V$1000,1):INDEX($V$5:$V$1000,$U252-4),"Macro",INDEX($S$5:$S$1000,1):INDEX($S$5:$S$1000,$U252-4),INDEX($S$5:$S$1000,$U252-4))&amp;"."&amp;COUNTIFS($U$5:$U252,$U252,$V$5:$V252,"Sub"))))</f>
        <v/>
      </c>
      <c r="B252" s="57" t="n"/>
      <c r="C252" s="58" t="n"/>
      <c r="D252" s="58" t="n"/>
      <c r="E252" s="59">
        <f>IF(N($AL252)&gt;0,INDEX(rIni_ADM,$AL252),"")</f>
        <v/>
      </c>
      <c r="F252" s="59">
        <f>IF(N($AL252)&gt;0,INDEX(rLim_ADM,$AL252),"")</f>
        <v/>
      </c>
      <c r="G252" s="59" t="n"/>
      <c r="H252" s="60" t="n"/>
      <c r="I252" s="60" t="n"/>
      <c r="J252" s="60" t="n"/>
      <c r="K252" s="60" t="n"/>
      <c r="L252" s="60" t="n"/>
      <c r="M252" s="61">
        <f>IF(NOT((COUNTA($B252:$D252)+COUNTA($G252:$L252)+COUNTA($Q252))&gt;0),"",IF(ISNUMBER($G252),1,IF(N($W252)&gt;0,AVERAGEIFS($X$5:$X$1000,$U$5:$U$1000,ROW(),$V$5:$V$1000,"Sub"),$X252)))</f>
        <v/>
      </c>
      <c r="N252" s="56">
        <f>IF($M252="","",IF($M252&gt;=1,"Completado",IF($M252&gt;0,"En curso","Pendiente")))</f>
        <v/>
      </c>
      <c r="O252" s="56">
        <f>IF(NOT((COUNTA($B252:$D252)+COUNTA($G252:$L252)+COUNTA($Q252))&gt;0),"",IF(ISNUMBER($G252),IF(AND(ISNUMBER($AN252),$G252&gt;$AN252),"Cumplida con "&amp;($G252-$AN252)&amp;IF($G252-$AN252=1," día"," días")&amp;" de retraso","Cumplida"),IF(N($M252)&gt;=1,"Cumplida",IF(NOT(ISNUMBER($AN252)),"Sin fecha límite",IF($AN252&lt;FechaRef,"Vencida hace "&amp;(FechaRef-$AN252)&amp;IF(FechaRef-$AN252=1," día"," días"),IF($AN252=FechaRef,"Vence hoy",IF($AN252-FechaRef&lt;=DiasAlerta,"Vence en "&amp;($AN252-FechaRef)&amp;IF($AN252-FechaRef=1," día"," días"),"En plazo")))))))</f>
        <v/>
      </c>
      <c r="P252" s="62" t="n"/>
      <c r="Q252" s="58" t="n"/>
      <c r="R252" s="63">
        <f>IF(NOT((COUNTA($B252:$D252)+COUNTA($G252:$L252)+COUNTA($Q252))&gt;0),"",IF((IF($C252="","Falta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",""))="","✔ OK","⚠ "&amp;LEFT(IF($C252="","Falta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",""),LEN(IF($C252="","Falta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",""))-3)))</f>
        <v/>
      </c>
      <c r="S252" s="64">
        <f>IF(NOT((COUNTA($B252:$D252)+COUNTA($G252:$L252)+COUNTA($Q252))&gt;0),"",IF(AND($V252="Sub",N($U252)&gt;0),IF(ISNUMBER(INDEX($AM$5:$AM$1000,$U252-4)),DATE(YEAR(INDEX($AM$5:$AM$1000,$U252-4)),MONTH(INDEX($AM$5:$AM$1000,$U252-4)),1),IF(ISNUMBER(INDEX($AN$5:$AN$1000,$U252-4)),DATE(YEAR(INDEX($AN$5:$AN$1000,$U252-4)),MONTH(INDEX($AN$5:$AN$1000,$U252-4)),1),MesCiclo)),IF(ISNUMBER($AM252),DATE(YEAR($AM252),MONTH($AM252),1),IF(ISNUMBER($AN252),DATE(YEAR($AN252),MONTH($AN252),1),MesCiclo))))</f>
        <v/>
      </c>
      <c r="T252" s="62">
        <f>IF(OR($S252="",$S252&lt;&gt;MesCiclo),"",COUNTIF($S$5:$S252,MesCiclo))</f>
        <v/>
      </c>
      <c r="U252" s="62">
        <f>IF($V252="","",IF($V252="Macro",ROW(),IFERROR(LOOKUP(2,1/($V$5:$V252="Macro"),ROW($V$5:$V252)),0)))</f>
        <v/>
      </c>
      <c r="V252" s="62">
        <f>IF(NOT((COUNTA($B252:$D252)+COUNTA($G252:$L252)+COUNTA($Q252))&gt;0),"",IF($B252="Subactividad","Sub","Macro"))</f>
        <v/>
      </c>
      <c r="W252" s="62">
        <f>IF($V252="Macro",COUNTIFS($U$5:$U$1000,ROW(),$V$5:$V$1000,"Sub"),"")</f>
        <v/>
      </c>
      <c r="X252" s="62">
        <f>IF($V252="","",IF(ISNUMBER($G252),1,IFERROR(LOOKUP(2,1/($I252:$L252&lt;&gt;""),$I252:$L252),0)))</f>
        <v/>
      </c>
      <c r="Y252" s="62">
        <f>IF($V252="","",IF(AND(ISNUMBER($G252),$G252&lt;=IF($S252=MesCiclo,InicioCiclo,$S252+MOD(2-WEEKDAY($S252),7))+6),1,IF(ISNUMBER($I252),$I252,0)))</f>
        <v/>
      </c>
      <c r="Z252" s="62">
        <f>IF($V252="","",IF(AND(ISNUMBER($G252),$G252&lt;=IF($S252=MesCiclo,InicioCiclo,$S252+MOD(2-WEEKDAY($S252),7))+13),1,IF(ISNUMBER($J252),$J252,$Y252)))</f>
        <v/>
      </c>
      <c r="AA252" s="62">
        <f>IF($V252="","",IF(AND(ISNUMBER($G252),$G252&lt;=IF($S252=MesCiclo,InicioCiclo,$S252+MOD(2-WEEKDAY($S252),7))+20),1,IF(ISNUMBER($K252),$K252,$Z252)))</f>
        <v/>
      </c>
      <c r="AB252" s="62">
        <f>IF($V252="","",IF(AND(ISNUMBER($G252),$G252&lt;=IF($S252=MesCiclo,InicioCiclo,$S252+MOD(2-WEEKDAY($S252),7))+27),1,IF(ISNUMBER($L252),$L252,$AA252)))</f>
        <v/>
      </c>
      <c r="AC252" s="62">
        <f>IF($V252="","",IF(AND(ISNUMBER($G252),$G252&lt;=IF($S252=MesCiclo,InicioCiclo,$S252+MOD(2-WEEKDAY($S252),7))+6),1,IF(N($W252)&gt;0,AVERAGEIFS($Y$5:$Y$1000,$U$5:$U$1000,ROW(),$V$5:$V$1000,"Sub"),$Y252)))</f>
        <v/>
      </c>
      <c r="AD252" s="62">
        <f>IF($V252="","",IF(AND(ISNUMBER($G252),$G252&lt;=IF($S252=MesCiclo,InicioCiclo,$S252+MOD(2-WEEKDAY($S252),7))+13),1,IF(N($W252)&gt;0,AVERAGEIFS($Z$5:$Z$1000,$U$5:$U$1000,ROW(),$V$5:$V$1000,"Sub"),$Z252)))</f>
        <v/>
      </c>
      <c r="AE252" s="62">
        <f>IF($V252="","",IF(AND(ISNUMBER($G252),$G252&lt;=IF($S252=MesCiclo,InicioCiclo,$S252+MOD(2-WEEKDAY($S252),7))+20),1,IF(N($W252)&gt;0,AVERAGEIFS($AA$5:$AA$1000,$U$5:$U$1000,ROW(),$V$5:$V$1000,"Sub"),$AA252)))</f>
        <v/>
      </c>
      <c r="AF252" s="62">
        <f>IF($V252="","",IF(AND(ISNUMBER($G252),$G252&lt;=IF($S252=MesCiclo,InicioCiclo,$S252+MOD(2-WEEKDAY($S252),7))+27),1,IF(N($W252)&gt;0,AVERAGEIFS($AB$5:$AB$1000,$U$5:$U$1000,ROW(),$V$5:$V$1000,"Sub"),$AB252)))</f>
        <v/>
      </c>
      <c r="AG252" s="62">
        <f>IF($V252&lt;&gt;"Macro","",IF(COUNTIFS($S$5:$S$1000,$S252,$V$5:$V$1000,"Macro",$H$5:$H$1000,"&gt;0")=0,1/COUNTIFS($S$5:$S$1000,$S252,$V$5:$V$1000,"Macro"),IF(AND(ISNUMBER($H252),N($H252)&gt;0),$H252,SUMIFS($H$5:$H$1000,$S$5:$S$1000,$S252,$V$5:$V$1000,"Macro")/COUNTIFS($S$5:$S$1000,$S252,$V$5:$V$1000,"Macro",$H$5:$H$1000,"&gt;0"))/(COUNTIFS($S$5:$S$1000,$S252,$V$5:$V$1000,"Macro")*SUMIFS($H$5:$H$1000,$S$5:$S$1000,$S252,$V$5:$V$1000,"Macro")/COUNTIFS($S$5:$S$1000,$S252,$V$5:$V$1000,"Macro",$H$5:$H$1000,"&gt;0"))))</f>
        <v/>
      </c>
      <c r="AH252" s="62" t="n"/>
      <c r="AI252" s="62" t="n"/>
      <c r="AJ252" s="62" t="n"/>
      <c r="AK252" s="62" t="n"/>
      <c r="AL252" s="62">
        <f>IF(LEFT($C252,11)="[Jefatura] ",IFERROR(MATCH("Riesgo Normativo|"&amp;MID($C252,12,500),rDname_ADM,0),0),"")</f>
        <v/>
      </c>
      <c r="AM252" s="62">
        <f>IF(N($AL252)&gt;0,INDEX(rIni_ADM,$AL252),IF(ISNUMBER($E252),$E252,""))</f>
        <v/>
      </c>
      <c r="AN252" s="62">
        <f>IF(N($AL252)&gt;0,INDEX(rLim_ADM,$AL252),IF(ISNUMBER($F252),$F252,""))</f>
        <v/>
      </c>
    </row>
    <row r="253">
      <c r="A253" s="56">
        <f>IF(NOT((COUNTA($B253:$D253)+COUNTA($G253:$L253)+COUNTA($Q253))&gt;0),"",IF($V253="Macro",COUNTIFS($V$5:$V253,"Macro",$S$5:$S253,$S253),IF(N($U253)=0,"?",COUNTIFS(INDEX($V$5:$V$1000,1):INDEX($V$5:$V$1000,$U253-4),"Macro",INDEX($S$5:$S$1000,1):INDEX($S$5:$S$1000,$U253-4),INDEX($S$5:$S$1000,$U253-4))&amp;"."&amp;COUNTIFS($U$5:$U253,$U253,$V$5:$V253,"Sub"))))</f>
        <v/>
      </c>
      <c r="B253" s="57" t="n"/>
      <c r="C253" s="58" t="n"/>
      <c r="D253" s="58" t="n"/>
      <c r="E253" s="59">
        <f>IF(N($AL253)&gt;0,INDEX(rIni_ADM,$AL253),"")</f>
        <v/>
      </c>
      <c r="F253" s="59">
        <f>IF(N($AL253)&gt;0,INDEX(rLim_ADM,$AL253),"")</f>
        <v/>
      </c>
      <c r="G253" s="59" t="n"/>
      <c r="H253" s="60" t="n"/>
      <c r="I253" s="60" t="n"/>
      <c r="J253" s="60" t="n"/>
      <c r="K253" s="60" t="n"/>
      <c r="L253" s="60" t="n"/>
      <c r="M253" s="61">
        <f>IF(NOT((COUNTA($B253:$D253)+COUNTA($G253:$L253)+COUNTA($Q253))&gt;0),"",IF(ISNUMBER($G253),1,IF(N($W253)&gt;0,AVERAGEIFS($X$5:$X$1000,$U$5:$U$1000,ROW(),$V$5:$V$1000,"Sub"),$X253)))</f>
        <v/>
      </c>
      <c r="N253" s="56">
        <f>IF($M253="","",IF($M253&gt;=1,"Completado",IF($M253&gt;0,"En curso","Pendiente")))</f>
        <v/>
      </c>
      <c r="O253" s="56">
        <f>IF(NOT((COUNTA($B253:$D253)+COUNTA($G253:$L253)+COUNTA($Q253))&gt;0),"",IF(ISNUMBER($G253),IF(AND(ISNUMBER($AN253),$G253&gt;$AN253),"Cumplida con "&amp;($G253-$AN253)&amp;IF($G253-$AN253=1," día"," días")&amp;" de retraso","Cumplida"),IF(N($M253)&gt;=1,"Cumplida",IF(NOT(ISNUMBER($AN253)),"Sin fecha límite",IF($AN253&lt;FechaRef,"Vencida hace "&amp;(FechaRef-$AN253)&amp;IF(FechaRef-$AN253=1," día"," días"),IF($AN253=FechaRef,"Vence hoy",IF($AN253-FechaRef&lt;=DiasAlerta,"Vence en "&amp;($AN253-FechaRef)&amp;IF($AN253-FechaRef=1," día"," días"),"En plazo")))))))</f>
        <v/>
      </c>
      <c r="P253" s="62" t="n"/>
      <c r="Q253" s="58" t="n"/>
      <c r="R253" s="63">
        <f>IF(NOT((COUNTA($B253:$D253)+COUNTA($G253:$L253)+COUNTA($Q253))&gt;0),"",IF((IF($C253="","Falta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",""))="","✔ OK","⚠ "&amp;LEFT(IF($C253="","Falta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",""),LEN(IF($C253="","Falta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",""))-3)))</f>
        <v/>
      </c>
      <c r="S253" s="64">
        <f>IF(NOT((COUNTA($B253:$D253)+COUNTA($G253:$L253)+COUNTA($Q253))&gt;0),"",IF(AND($V253="Sub",N($U253)&gt;0),IF(ISNUMBER(INDEX($AM$5:$AM$1000,$U253-4)),DATE(YEAR(INDEX($AM$5:$AM$1000,$U253-4)),MONTH(INDEX($AM$5:$AM$1000,$U253-4)),1),IF(ISNUMBER(INDEX($AN$5:$AN$1000,$U253-4)),DATE(YEAR(INDEX($AN$5:$AN$1000,$U253-4)),MONTH(INDEX($AN$5:$AN$1000,$U253-4)),1),MesCiclo)),IF(ISNUMBER($AM253),DATE(YEAR($AM253),MONTH($AM253),1),IF(ISNUMBER($AN253),DATE(YEAR($AN253),MONTH($AN253),1),MesCiclo))))</f>
        <v/>
      </c>
      <c r="T253" s="62">
        <f>IF(OR($S253="",$S253&lt;&gt;MesCiclo),"",COUNTIF($S$5:$S253,MesCiclo))</f>
        <v/>
      </c>
      <c r="U253" s="62">
        <f>IF($V253="","",IF($V253="Macro",ROW(),IFERROR(LOOKUP(2,1/($V$5:$V253="Macro"),ROW($V$5:$V253)),0)))</f>
        <v/>
      </c>
      <c r="V253" s="62">
        <f>IF(NOT((COUNTA($B253:$D253)+COUNTA($G253:$L253)+COUNTA($Q253))&gt;0),"",IF($B253="Subactividad","Sub","Macro"))</f>
        <v/>
      </c>
      <c r="W253" s="62">
        <f>IF($V253="Macro",COUNTIFS($U$5:$U$1000,ROW(),$V$5:$V$1000,"Sub"),"")</f>
        <v/>
      </c>
      <c r="X253" s="62">
        <f>IF($V253="","",IF(ISNUMBER($G253),1,IFERROR(LOOKUP(2,1/($I253:$L253&lt;&gt;""),$I253:$L253),0)))</f>
        <v/>
      </c>
      <c r="Y253" s="62">
        <f>IF($V253="","",IF(AND(ISNUMBER($G253),$G253&lt;=IF($S253=MesCiclo,InicioCiclo,$S253+MOD(2-WEEKDAY($S253),7))+6),1,IF(ISNUMBER($I253),$I253,0)))</f>
        <v/>
      </c>
      <c r="Z253" s="62">
        <f>IF($V253="","",IF(AND(ISNUMBER($G253),$G253&lt;=IF($S253=MesCiclo,InicioCiclo,$S253+MOD(2-WEEKDAY($S253),7))+13),1,IF(ISNUMBER($J253),$J253,$Y253)))</f>
        <v/>
      </c>
      <c r="AA253" s="62">
        <f>IF($V253="","",IF(AND(ISNUMBER($G253),$G253&lt;=IF($S253=MesCiclo,InicioCiclo,$S253+MOD(2-WEEKDAY($S253),7))+20),1,IF(ISNUMBER($K253),$K253,$Z253)))</f>
        <v/>
      </c>
      <c r="AB253" s="62">
        <f>IF($V253="","",IF(AND(ISNUMBER($G253),$G253&lt;=IF($S253=MesCiclo,InicioCiclo,$S253+MOD(2-WEEKDAY($S253),7))+27),1,IF(ISNUMBER($L253),$L253,$AA253)))</f>
        <v/>
      </c>
      <c r="AC253" s="62">
        <f>IF($V253="","",IF(AND(ISNUMBER($G253),$G253&lt;=IF($S253=MesCiclo,InicioCiclo,$S253+MOD(2-WEEKDAY($S253),7))+6),1,IF(N($W253)&gt;0,AVERAGEIFS($Y$5:$Y$1000,$U$5:$U$1000,ROW(),$V$5:$V$1000,"Sub"),$Y253)))</f>
        <v/>
      </c>
      <c r="AD253" s="62">
        <f>IF($V253="","",IF(AND(ISNUMBER($G253),$G253&lt;=IF($S253=MesCiclo,InicioCiclo,$S253+MOD(2-WEEKDAY($S253),7))+13),1,IF(N($W253)&gt;0,AVERAGEIFS($Z$5:$Z$1000,$U$5:$U$1000,ROW(),$V$5:$V$1000,"Sub"),$Z253)))</f>
        <v/>
      </c>
      <c r="AE253" s="62">
        <f>IF($V253="","",IF(AND(ISNUMBER($G253),$G253&lt;=IF($S253=MesCiclo,InicioCiclo,$S253+MOD(2-WEEKDAY($S253),7))+20),1,IF(N($W253)&gt;0,AVERAGEIFS($AA$5:$AA$1000,$U$5:$U$1000,ROW(),$V$5:$V$1000,"Sub"),$AA253)))</f>
        <v/>
      </c>
      <c r="AF253" s="62">
        <f>IF($V253="","",IF(AND(ISNUMBER($G253),$G253&lt;=IF($S253=MesCiclo,InicioCiclo,$S253+MOD(2-WEEKDAY($S253),7))+27),1,IF(N($W253)&gt;0,AVERAGEIFS($AB$5:$AB$1000,$U$5:$U$1000,ROW(),$V$5:$V$1000,"Sub"),$AB253)))</f>
        <v/>
      </c>
      <c r="AG253" s="62">
        <f>IF($V253&lt;&gt;"Macro","",IF(COUNTIFS($S$5:$S$1000,$S253,$V$5:$V$1000,"Macro",$H$5:$H$1000,"&gt;0")=0,1/COUNTIFS($S$5:$S$1000,$S253,$V$5:$V$1000,"Macro"),IF(AND(ISNUMBER($H253),N($H253)&gt;0),$H253,SUMIFS($H$5:$H$1000,$S$5:$S$1000,$S253,$V$5:$V$1000,"Macro")/COUNTIFS($S$5:$S$1000,$S253,$V$5:$V$1000,"Macro",$H$5:$H$1000,"&gt;0"))/(COUNTIFS($S$5:$S$1000,$S253,$V$5:$V$1000,"Macro")*SUMIFS($H$5:$H$1000,$S$5:$S$1000,$S253,$V$5:$V$1000,"Macro")/COUNTIFS($S$5:$S$1000,$S253,$V$5:$V$1000,"Macro",$H$5:$H$1000,"&gt;0"))))</f>
        <v/>
      </c>
      <c r="AH253" s="62" t="n"/>
      <c r="AI253" s="62" t="n"/>
      <c r="AJ253" s="62" t="n"/>
      <c r="AK253" s="62" t="n"/>
      <c r="AL253" s="62">
        <f>IF(LEFT($C253,11)="[Jefatura] ",IFERROR(MATCH("Riesgo Normativo|"&amp;MID($C253,12,500),rDname_ADM,0),0),"")</f>
        <v/>
      </c>
      <c r="AM253" s="62">
        <f>IF(N($AL253)&gt;0,INDEX(rIni_ADM,$AL253),IF(ISNUMBER($E253),$E253,""))</f>
        <v/>
      </c>
      <c r="AN253" s="62">
        <f>IF(N($AL253)&gt;0,INDEX(rLim_ADM,$AL253),IF(ISNUMBER($F253),$F253,""))</f>
        <v/>
      </c>
    </row>
    <row r="254">
      <c r="A254" s="56">
        <f>IF(NOT((COUNTA($B254:$D254)+COUNTA($G254:$L254)+COUNTA($Q254))&gt;0),"",IF($V254="Macro",COUNTIFS($V$5:$V254,"Macro",$S$5:$S254,$S254),IF(N($U254)=0,"?",COUNTIFS(INDEX($V$5:$V$1000,1):INDEX($V$5:$V$1000,$U254-4),"Macro",INDEX($S$5:$S$1000,1):INDEX($S$5:$S$1000,$U254-4),INDEX($S$5:$S$1000,$U254-4))&amp;"."&amp;COUNTIFS($U$5:$U254,$U254,$V$5:$V254,"Sub"))))</f>
        <v/>
      </c>
      <c r="B254" s="57" t="n"/>
      <c r="C254" s="58" t="n"/>
      <c r="D254" s="58" t="n"/>
      <c r="E254" s="59">
        <f>IF(N($AL254)&gt;0,INDEX(rIni_ADM,$AL254),"")</f>
        <v/>
      </c>
      <c r="F254" s="59">
        <f>IF(N($AL254)&gt;0,INDEX(rLim_ADM,$AL254),"")</f>
        <v/>
      </c>
      <c r="G254" s="59" t="n"/>
      <c r="H254" s="60" t="n"/>
      <c r="I254" s="60" t="n"/>
      <c r="J254" s="60" t="n"/>
      <c r="K254" s="60" t="n"/>
      <c r="L254" s="60" t="n"/>
      <c r="M254" s="61">
        <f>IF(NOT((COUNTA($B254:$D254)+COUNTA($G254:$L254)+COUNTA($Q254))&gt;0),"",IF(ISNUMBER($G254),1,IF(N($W254)&gt;0,AVERAGEIFS($X$5:$X$1000,$U$5:$U$1000,ROW(),$V$5:$V$1000,"Sub"),$X254)))</f>
        <v/>
      </c>
      <c r="N254" s="56">
        <f>IF($M254="","",IF($M254&gt;=1,"Completado",IF($M254&gt;0,"En curso","Pendiente")))</f>
        <v/>
      </c>
      <c r="O254" s="56">
        <f>IF(NOT((COUNTA($B254:$D254)+COUNTA($G254:$L254)+COUNTA($Q254))&gt;0),"",IF(ISNUMBER($G254),IF(AND(ISNUMBER($AN254),$G254&gt;$AN254),"Cumplida con "&amp;($G254-$AN254)&amp;IF($G254-$AN254=1," día"," días")&amp;" de retraso","Cumplida"),IF(N($M254)&gt;=1,"Cumplida",IF(NOT(ISNUMBER($AN254)),"Sin fecha límite",IF($AN254&lt;FechaRef,"Vencida hace "&amp;(FechaRef-$AN254)&amp;IF(FechaRef-$AN254=1," día"," días"),IF($AN254=FechaRef,"Vence hoy",IF($AN254-FechaRef&lt;=DiasAlerta,"Vence en "&amp;($AN254-FechaRef)&amp;IF($AN254-FechaRef=1," día"," días"),"En plazo")))))))</f>
        <v/>
      </c>
      <c r="P254" s="62" t="n"/>
      <c r="Q254" s="58" t="n"/>
      <c r="R254" s="63">
        <f>IF(NOT((COUNTA($B254:$D254)+COUNTA($G254:$L254)+COUNTA($Q254))&gt;0),"",IF((IF($C254="","Falta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",""))="","✔ OK","⚠ "&amp;LEFT(IF($C254="","Falta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",""),LEN(IF($C254="","Falta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",""))-3)))</f>
        <v/>
      </c>
      <c r="S254" s="64">
        <f>IF(NOT((COUNTA($B254:$D254)+COUNTA($G254:$L254)+COUNTA($Q254))&gt;0),"",IF(AND($V254="Sub",N($U254)&gt;0),IF(ISNUMBER(INDEX($AM$5:$AM$1000,$U254-4)),DATE(YEAR(INDEX($AM$5:$AM$1000,$U254-4)),MONTH(INDEX($AM$5:$AM$1000,$U254-4)),1),IF(ISNUMBER(INDEX($AN$5:$AN$1000,$U254-4)),DATE(YEAR(INDEX($AN$5:$AN$1000,$U254-4)),MONTH(INDEX($AN$5:$AN$1000,$U254-4)),1),MesCiclo)),IF(ISNUMBER($AM254),DATE(YEAR($AM254),MONTH($AM254),1),IF(ISNUMBER($AN254),DATE(YEAR($AN254),MONTH($AN254),1),MesCiclo))))</f>
        <v/>
      </c>
      <c r="T254" s="62">
        <f>IF(OR($S254="",$S254&lt;&gt;MesCiclo),"",COUNTIF($S$5:$S254,MesCiclo))</f>
        <v/>
      </c>
      <c r="U254" s="62">
        <f>IF($V254="","",IF($V254="Macro",ROW(),IFERROR(LOOKUP(2,1/($V$5:$V254="Macro"),ROW($V$5:$V254)),0)))</f>
        <v/>
      </c>
      <c r="V254" s="62">
        <f>IF(NOT((COUNTA($B254:$D254)+COUNTA($G254:$L254)+COUNTA($Q254))&gt;0),"",IF($B254="Subactividad","Sub","Macro"))</f>
        <v/>
      </c>
      <c r="W254" s="62">
        <f>IF($V254="Macro",COUNTIFS($U$5:$U$1000,ROW(),$V$5:$V$1000,"Sub"),"")</f>
        <v/>
      </c>
      <c r="X254" s="62">
        <f>IF($V254="","",IF(ISNUMBER($G254),1,IFERROR(LOOKUP(2,1/($I254:$L254&lt;&gt;""),$I254:$L254),0)))</f>
        <v/>
      </c>
      <c r="Y254" s="62">
        <f>IF($V254="","",IF(AND(ISNUMBER($G254),$G254&lt;=IF($S254=MesCiclo,InicioCiclo,$S254+MOD(2-WEEKDAY($S254),7))+6),1,IF(ISNUMBER($I254),$I254,0)))</f>
        <v/>
      </c>
      <c r="Z254" s="62">
        <f>IF($V254="","",IF(AND(ISNUMBER($G254),$G254&lt;=IF($S254=MesCiclo,InicioCiclo,$S254+MOD(2-WEEKDAY($S254),7))+13),1,IF(ISNUMBER($J254),$J254,$Y254)))</f>
        <v/>
      </c>
      <c r="AA254" s="62">
        <f>IF($V254="","",IF(AND(ISNUMBER($G254),$G254&lt;=IF($S254=MesCiclo,InicioCiclo,$S254+MOD(2-WEEKDAY($S254),7))+20),1,IF(ISNUMBER($K254),$K254,$Z254)))</f>
        <v/>
      </c>
      <c r="AB254" s="62">
        <f>IF($V254="","",IF(AND(ISNUMBER($G254),$G254&lt;=IF($S254=MesCiclo,InicioCiclo,$S254+MOD(2-WEEKDAY($S254),7))+27),1,IF(ISNUMBER($L254),$L254,$AA254)))</f>
        <v/>
      </c>
      <c r="AC254" s="62">
        <f>IF($V254="","",IF(AND(ISNUMBER($G254),$G254&lt;=IF($S254=MesCiclo,InicioCiclo,$S254+MOD(2-WEEKDAY($S254),7))+6),1,IF(N($W254)&gt;0,AVERAGEIFS($Y$5:$Y$1000,$U$5:$U$1000,ROW(),$V$5:$V$1000,"Sub"),$Y254)))</f>
        <v/>
      </c>
      <c r="AD254" s="62">
        <f>IF($V254="","",IF(AND(ISNUMBER($G254),$G254&lt;=IF($S254=MesCiclo,InicioCiclo,$S254+MOD(2-WEEKDAY($S254),7))+13),1,IF(N($W254)&gt;0,AVERAGEIFS($Z$5:$Z$1000,$U$5:$U$1000,ROW(),$V$5:$V$1000,"Sub"),$Z254)))</f>
        <v/>
      </c>
      <c r="AE254" s="62">
        <f>IF($V254="","",IF(AND(ISNUMBER($G254),$G254&lt;=IF($S254=MesCiclo,InicioCiclo,$S254+MOD(2-WEEKDAY($S254),7))+20),1,IF(N($W254)&gt;0,AVERAGEIFS($AA$5:$AA$1000,$U$5:$U$1000,ROW(),$V$5:$V$1000,"Sub"),$AA254)))</f>
        <v/>
      </c>
      <c r="AF254" s="62">
        <f>IF($V254="","",IF(AND(ISNUMBER($G254),$G254&lt;=IF($S254=MesCiclo,InicioCiclo,$S254+MOD(2-WEEKDAY($S254),7))+27),1,IF(N($W254)&gt;0,AVERAGEIFS($AB$5:$AB$1000,$U$5:$U$1000,ROW(),$V$5:$V$1000,"Sub"),$AB254)))</f>
        <v/>
      </c>
      <c r="AG254" s="62">
        <f>IF($V254&lt;&gt;"Macro","",IF(COUNTIFS($S$5:$S$1000,$S254,$V$5:$V$1000,"Macro",$H$5:$H$1000,"&gt;0")=0,1/COUNTIFS($S$5:$S$1000,$S254,$V$5:$V$1000,"Macro"),IF(AND(ISNUMBER($H254),N($H254)&gt;0),$H254,SUMIFS($H$5:$H$1000,$S$5:$S$1000,$S254,$V$5:$V$1000,"Macro")/COUNTIFS($S$5:$S$1000,$S254,$V$5:$V$1000,"Macro",$H$5:$H$1000,"&gt;0"))/(COUNTIFS($S$5:$S$1000,$S254,$V$5:$V$1000,"Macro")*SUMIFS($H$5:$H$1000,$S$5:$S$1000,$S254,$V$5:$V$1000,"Macro")/COUNTIFS($S$5:$S$1000,$S254,$V$5:$V$1000,"Macro",$H$5:$H$1000,"&gt;0"))))</f>
        <v/>
      </c>
      <c r="AH254" s="62" t="n"/>
      <c r="AI254" s="62" t="n"/>
      <c r="AJ254" s="62" t="n"/>
      <c r="AK254" s="62" t="n"/>
      <c r="AL254" s="62">
        <f>IF(LEFT($C254,11)="[Jefatura] ",IFERROR(MATCH("Riesgo Normativo|"&amp;MID($C254,12,500),rDname_ADM,0),0),"")</f>
        <v/>
      </c>
      <c r="AM254" s="62">
        <f>IF(N($AL254)&gt;0,INDEX(rIni_ADM,$AL254),IF(ISNUMBER($E254),$E254,""))</f>
        <v/>
      </c>
      <c r="AN254" s="62">
        <f>IF(N($AL254)&gt;0,INDEX(rLim_ADM,$AL254),IF(ISNUMBER($F254),$F254,""))</f>
        <v/>
      </c>
    </row>
    <row r="255">
      <c r="A255" s="56">
        <f>IF(NOT((COUNTA($B255:$D255)+COUNTA($G255:$L255)+COUNTA($Q255))&gt;0),"",IF($V255="Macro",COUNTIFS($V$5:$V255,"Macro",$S$5:$S255,$S255),IF(N($U255)=0,"?",COUNTIFS(INDEX($V$5:$V$1000,1):INDEX($V$5:$V$1000,$U255-4),"Macro",INDEX($S$5:$S$1000,1):INDEX($S$5:$S$1000,$U255-4),INDEX($S$5:$S$1000,$U255-4))&amp;"."&amp;COUNTIFS($U$5:$U255,$U255,$V$5:$V255,"Sub"))))</f>
        <v/>
      </c>
      <c r="B255" s="57" t="n"/>
      <c r="C255" s="58" t="n"/>
      <c r="D255" s="58" t="n"/>
      <c r="E255" s="59">
        <f>IF(N($AL255)&gt;0,INDEX(rIni_ADM,$AL255),"")</f>
        <v/>
      </c>
      <c r="F255" s="59">
        <f>IF(N($AL255)&gt;0,INDEX(rLim_ADM,$AL255),"")</f>
        <v/>
      </c>
      <c r="G255" s="59" t="n"/>
      <c r="H255" s="60" t="n"/>
      <c r="I255" s="60" t="n"/>
      <c r="J255" s="60" t="n"/>
      <c r="K255" s="60" t="n"/>
      <c r="L255" s="60" t="n"/>
      <c r="M255" s="61">
        <f>IF(NOT((COUNTA($B255:$D255)+COUNTA($G255:$L255)+COUNTA($Q255))&gt;0),"",IF(ISNUMBER($G255),1,IF(N($W255)&gt;0,AVERAGEIFS($X$5:$X$1000,$U$5:$U$1000,ROW(),$V$5:$V$1000,"Sub"),$X255)))</f>
        <v/>
      </c>
      <c r="N255" s="56">
        <f>IF($M255="","",IF($M255&gt;=1,"Completado",IF($M255&gt;0,"En curso","Pendiente")))</f>
        <v/>
      </c>
      <c r="O255" s="56">
        <f>IF(NOT((COUNTA($B255:$D255)+COUNTA($G255:$L255)+COUNTA($Q255))&gt;0),"",IF(ISNUMBER($G255),IF(AND(ISNUMBER($AN255),$G255&gt;$AN255),"Cumplida con "&amp;($G255-$AN255)&amp;IF($G255-$AN255=1," día"," días")&amp;" de retraso","Cumplida"),IF(N($M255)&gt;=1,"Cumplida",IF(NOT(ISNUMBER($AN255)),"Sin fecha límite",IF($AN255&lt;FechaRef,"Vencida hace "&amp;(FechaRef-$AN255)&amp;IF(FechaRef-$AN255=1," día"," días"),IF($AN255=FechaRef,"Vence hoy",IF($AN255-FechaRef&lt;=DiasAlerta,"Vence en "&amp;($AN255-FechaRef)&amp;IF($AN255-FechaRef=1," día"," días"),"En plazo")))))))</f>
        <v/>
      </c>
      <c r="P255" s="62" t="n"/>
      <c r="Q255" s="58" t="n"/>
      <c r="R255" s="63">
        <f>IF(NOT((COUNTA($B255:$D255)+COUNTA($G255:$L255)+COUNTA($Q255))&gt;0),"",IF((IF($C255="","Falta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",""))="","✔ OK","⚠ "&amp;LEFT(IF($C255="","Falta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",""),LEN(IF($C255="","Falta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",""))-3)))</f>
        <v/>
      </c>
      <c r="S255" s="64">
        <f>IF(NOT((COUNTA($B255:$D255)+COUNTA($G255:$L255)+COUNTA($Q255))&gt;0),"",IF(AND($V255="Sub",N($U255)&gt;0),IF(ISNUMBER(INDEX($AM$5:$AM$1000,$U255-4)),DATE(YEAR(INDEX($AM$5:$AM$1000,$U255-4)),MONTH(INDEX($AM$5:$AM$1000,$U255-4)),1),IF(ISNUMBER(INDEX($AN$5:$AN$1000,$U255-4)),DATE(YEAR(INDEX($AN$5:$AN$1000,$U255-4)),MONTH(INDEX($AN$5:$AN$1000,$U255-4)),1),MesCiclo)),IF(ISNUMBER($AM255),DATE(YEAR($AM255),MONTH($AM255),1),IF(ISNUMBER($AN255),DATE(YEAR($AN255),MONTH($AN255),1),MesCiclo))))</f>
        <v/>
      </c>
      <c r="T255" s="62">
        <f>IF(OR($S255="",$S255&lt;&gt;MesCiclo),"",COUNTIF($S$5:$S255,MesCiclo))</f>
        <v/>
      </c>
      <c r="U255" s="62">
        <f>IF($V255="","",IF($V255="Macro",ROW(),IFERROR(LOOKUP(2,1/($V$5:$V255="Macro"),ROW($V$5:$V255)),0)))</f>
        <v/>
      </c>
      <c r="V255" s="62">
        <f>IF(NOT((COUNTA($B255:$D255)+COUNTA($G255:$L255)+COUNTA($Q255))&gt;0),"",IF($B255="Subactividad","Sub","Macro"))</f>
        <v/>
      </c>
      <c r="W255" s="62">
        <f>IF($V255="Macro",COUNTIFS($U$5:$U$1000,ROW(),$V$5:$V$1000,"Sub"),"")</f>
        <v/>
      </c>
      <c r="X255" s="62">
        <f>IF($V255="","",IF(ISNUMBER($G255),1,IFERROR(LOOKUP(2,1/($I255:$L255&lt;&gt;""),$I255:$L255),0)))</f>
        <v/>
      </c>
      <c r="Y255" s="62">
        <f>IF($V255="","",IF(AND(ISNUMBER($G255),$G255&lt;=IF($S255=MesCiclo,InicioCiclo,$S255+MOD(2-WEEKDAY($S255),7))+6),1,IF(ISNUMBER($I255),$I255,0)))</f>
        <v/>
      </c>
      <c r="Z255" s="62">
        <f>IF($V255="","",IF(AND(ISNUMBER($G255),$G255&lt;=IF($S255=MesCiclo,InicioCiclo,$S255+MOD(2-WEEKDAY($S255),7))+13),1,IF(ISNUMBER($J255),$J255,$Y255)))</f>
        <v/>
      </c>
      <c r="AA255" s="62">
        <f>IF($V255="","",IF(AND(ISNUMBER($G255),$G255&lt;=IF($S255=MesCiclo,InicioCiclo,$S255+MOD(2-WEEKDAY($S255),7))+20),1,IF(ISNUMBER($K255),$K255,$Z255)))</f>
        <v/>
      </c>
      <c r="AB255" s="62">
        <f>IF($V255="","",IF(AND(ISNUMBER($G255),$G255&lt;=IF($S255=MesCiclo,InicioCiclo,$S255+MOD(2-WEEKDAY($S255),7))+27),1,IF(ISNUMBER($L255),$L255,$AA255)))</f>
        <v/>
      </c>
      <c r="AC255" s="62">
        <f>IF($V255="","",IF(AND(ISNUMBER($G255),$G255&lt;=IF($S255=MesCiclo,InicioCiclo,$S255+MOD(2-WEEKDAY($S255),7))+6),1,IF(N($W255)&gt;0,AVERAGEIFS($Y$5:$Y$1000,$U$5:$U$1000,ROW(),$V$5:$V$1000,"Sub"),$Y255)))</f>
        <v/>
      </c>
      <c r="AD255" s="62">
        <f>IF($V255="","",IF(AND(ISNUMBER($G255),$G255&lt;=IF($S255=MesCiclo,InicioCiclo,$S255+MOD(2-WEEKDAY($S255),7))+13),1,IF(N($W255)&gt;0,AVERAGEIFS($Z$5:$Z$1000,$U$5:$U$1000,ROW(),$V$5:$V$1000,"Sub"),$Z255)))</f>
        <v/>
      </c>
      <c r="AE255" s="62">
        <f>IF($V255="","",IF(AND(ISNUMBER($G255),$G255&lt;=IF($S255=MesCiclo,InicioCiclo,$S255+MOD(2-WEEKDAY($S255),7))+20),1,IF(N($W255)&gt;0,AVERAGEIFS($AA$5:$AA$1000,$U$5:$U$1000,ROW(),$V$5:$V$1000,"Sub"),$AA255)))</f>
        <v/>
      </c>
      <c r="AF255" s="62">
        <f>IF($V255="","",IF(AND(ISNUMBER($G255),$G255&lt;=IF($S255=MesCiclo,InicioCiclo,$S255+MOD(2-WEEKDAY($S255),7))+27),1,IF(N($W255)&gt;0,AVERAGEIFS($AB$5:$AB$1000,$U$5:$U$1000,ROW(),$V$5:$V$1000,"Sub"),$AB255)))</f>
        <v/>
      </c>
      <c r="AG255" s="62">
        <f>IF($V255&lt;&gt;"Macro","",IF(COUNTIFS($S$5:$S$1000,$S255,$V$5:$V$1000,"Macro",$H$5:$H$1000,"&gt;0")=0,1/COUNTIFS($S$5:$S$1000,$S255,$V$5:$V$1000,"Macro"),IF(AND(ISNUMBER($H255),N($H255)&gt;0),$H255,SUMIFS($H$5:$H$1000,$S$5:$S$1000,$S255,$V$5:$V$1000,"Macro")/COUNTIFS($S$5:$S$1000,$S255,$V$5:$V$1000,"Macro",$H$5:$H$1000,"&gt;0"))/(COUNTIFS($S$5:$S$1000,$S255,$V$5:$V$1000,"Macro")*SUMIFS($H$5:$H$1000,$S$5:$S$1000,$S255,$V$5:$V$1000,"Macro")/COUNTIFS($S$5:$S$1000,$S255,$V$5:$V$1000,"Macro",$H$5:$H$1000,"&gt;0"))))</f>
        <v/>
      </c>
      <c r="AH255" s="62" t="n"/>
      <c r="AI255" s="62" t="n"/>
      <c r="AJ255" s="62" t="n"/>
      <c r="AK255" s="62" t="n"/>
      <c r="AL255" s="62">
        <f>IF(LEFT($C255,11)="[Jefatura] ",IFERROR(MATCH("Riesgo Normativo|"&amp;MID($C255,12,500),rDname_ADM,0),0),"")</f>
        <v/>
      </c>
      <c r="AM255" s="62">
        <f>IF(N($AL255)&gt;0,INDEX(rIni_ADM,$AL255),IF(ISNUMBER($E255),$E255,""))</f>
        <v/>
      </c>
      <c r="AN255" s="62">
        <f>IF(N($AL255)&gt;0,INDEX(rLim_ADM,$AL255),IF(ISNUMBER($F255),$F255,""))</f>
        <v/>
      </c>
    </row>
    <row r="256">
      <c r="A256" s="56">
        <f>IF(NOT((COUNTA($B256:$D256)+COUNTA($G256:$L256)+COUNTA($Q256))&gt;0),"",IF($V256="Macro",COUNTIFS($V$5:$V256,"Macro",$S$5:$S256,$S256),IF(N($U256)=0,"?",COUNTIFS(INDEX($V$5:$V$1000,1):INDEX($V$5:$V$1000,$U256-4),"Macro",INDEX($S$5:$S$1000,1):INDEX($S$5:$S$1000,$U256-4),INDEX($S$5:$S$1000,$U256-4))&amp;"."&amp;COUNTIFS($U$5:$U256,$U256,$V$5:$V256,"Sub"))))</f>
        <v/>
      </c>
      <c r="B256" s="57" t="n"/>
      <c r="C256" s="58" t="n"/>
      <c r="D256" s="58" t="n"/>
      <c r="E256" s="59">
        <f>IF(N($AL256)&gt;0,INDEX(rIni_ADM,$AL256),"")</f>
        <v/>
      </c>
      <c r="F256" s="59">
        <f>IF(N($AL256)&gt;0,INDEX(rLim_ADM,$AL256),"")</f>
        <v/>
      </c>
      <c r="G256" s="59" t="n"/>
      <c r="H256" s="60" t="n"/>
      <c r="I256" s="60" t="n"/>
      <c r="J256" s="60" t="n"/>
      <c r="K256" s="60" t="n"/>
      <c r="L256" s="60" t="n"/>
      <c r="M256" s="61">
        <f>IF(NOT((COUNTA($B256:$D256)+COUNTA($G256:$L256)+COUNTA($Q256))&gt;0),"",IF(ISNUMBER($G256),1,IF(N($W256)&gt;0,AVERAGEIFS($X$5:$X$1000,$U$5:$U$1000,ROW(),$V$5:$V$1000,"Sub"),$X256)))</f>
        <v/>
      </c>
      <c r="N256" s="56">
        <f>IF($M256="","",IF($M256&gt;=1,"Completado",IF($M256&gt;0,"En curso","Pendiente")))</f>
        <v/>
      </c>
      <c r="O256" s="56">
        <f>IF(NOT((COUNTA($B256:$D256)+COUNTA($G256:$L256)+COUNTA($Q256))&gt;0),"",IF(ISNUMBER($G256),IF(AND(ISNUMBER($AN256),$G256&gt;$AN256),"Cumplida con "&amp;($G256-$AN256)&amp;IF($G256-$AN256=1," día"," días")&amp;" de retraso","Cumplida"),IF(N($M256)&gt;=1,"Cumplida",IF(NOT(ISNUMBER($AN256)),"Sin fecha límite",IF($AN256&lt;FechaRef,"Vencida hace "&amp;(FechaRef-$AN256)&amp;IF(FechaRef-$AN256=1," día"," días"),IF($AN256=FechaRef,"Vence hoy",IF($AN256-FechaRef&lt;=DiasAlerta,"Vence en "&amp;($AN256-FechaRef)&amp;IF($AN256-FechaRef=1," día"," días"),"En plazo")))))))</f>
        <v/>
      </c>
      <c r="P256" s="62" t="n"/>
      <c r="Q256" s="58" t="n"/>
      <c r="R256" s="63">
        <f>IF(NOT((COUNTA($B256:$D256)+COUNTA($G256:$L256)+COUNTA($Q256))&gt;0),"",IF((IF($C256="","Falta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",""))="","✔ OK","⚠ "&amp;LEFT(IF($C256="","Falta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",""),LEN(IF($C256="","Falta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",""))-3)))</f>
        <v/>
      </c>
      <c r="S256" s="64">
        <f>IF(NOT((COUNTA($B256:$D256)+COUNTA($G256:$L256)+COUNTA($Q256))&gt;0),"",IF(AND($V256="Sub",N($U256)&gt;0),IF(ISNUMBER(INDEX($AM$5:$AM$1000,$U256-4)),DATE(YEAR(INDEX($AM$5:$AM$1000,$U256-4)),MONTH(INDEX($AM$5:$AM$1000,$U256-4)),1),IF(ISNUMBER(INDEX($AN$5:$AN$1000,$U256-4)),DATE(YEAR(INDEX($AN$5:$AN$1000,$U256-4)),MONTH(INDEX($AN$5:$AN$1000,$U256-4)),1),MesCiclo)),IF(ISNUMBER($AM256),DATE(YEAR($AM256),MONTH($AM256),1),IF(ISNUMBER($AN256),DATE(YEAR($AN256),MONTH($AN256),1),MesCiclo))))</f>
        <v/>
      </c>
      <c r="T256" s="62">
        <f>IF(OR($S256="",$S256&lt;&gt;MesCiclo),"",COUNTIF($S$5:$S256,MesCiclo))</f>
        <v/>
      </c>
      <c r="U256" s="62">
        <f>IF($V256="","",IF($V256="Macro",ROW(),IFERROR(LOOKUP(2,1/($V$5:$V256="Macro"),ROW($V$5:$V256)),0)))</f>
        <v/>
      </c>
      <c r="V256" s="62">
        <f>IF(NOT((COUNTA($B256:$D256)+COUNTA($G256:$L256)+COUNTA($Q256))&gt;0),"",IF($B256="Subactividad","Sub","Macro"))</f>
        <v/>
      </c>
      <c r="W256" s="62">
        <f>IF($V256="Macro",COUNTIFS($U$5:$U$1000,ROW(),$V$5:$V$1000,"Sub"),"")</f>
        <v/>
      </c>
      <c r="X256" s="62">
        <f>IF($V256="","",IF(ISNUMBER($G256),1,IFERROR(LOOKUP(2,1/($I256:$L256&lt;&gt;""),$I256:$L256),0)))</f>
        <v/>
      </c>
      <c r="Y256" s="62">
        <f>IF($V256="","",IF(AND(ISNUMBER($G256),$G256&lt;=IF($S256=MesCiclo,InicioCiclo,$S256+MOD(2-WEEKDAY($S256),7))+6),1,IF(ISNUMBER($I256),$I256,0)))</f>
        <v/>
      </c>
      <c r="Z256" s="62">
        <f>IF($V256="","",IF(AND(ISNUMBER($G256),$G256&lt;=IF($S256=MesCiclo,InicioCiclo,$S256+MOD(2-WEEKDAY($S256),7))+13),1,IF(ISNUMBER($J256),$J256,$Y256)))</f>
        <v/>
      </c>
      <c r="AA256" s="62">
        <f>IF($V256="","",IF(AND(ISNUMBER($G256),$G256&lt;=IF($S256=MesCiclo,InicioCiclo,$S256+MOD(2-WEEKDAY($S256),7))+20),1,IF(ISNUMBER($K256),$K256,$Z256)))</f>
        <v/>
      </c>
      <c r="AB256" s="62">
        <f>IF($V256="","",IF(AND(ISNUMBER($G256),$G256&lt;=IF($S256=MesCiclo,InicioCiclo,$S256+MOD(2-WEEKDAY($S256),7))+27),1,IF(ISNUMBER($L256),$L256,$AA256)))</f>
        <v/>
      </c>
      <c r="AC256" s="62">
        <f>IF($V256="","",IF(AND(ISNUMBER($G256),$G256&lt;=IF($S256=MesCiclo,InicioCiclo,$S256+MOD(2-WEEKDAY($S256),7))+6),1,IF(N($W256)&gt;0,AVERAGEIFS($Y$5:$Y$1000,$U$5:$U$1000,ROW(),$V$5:$V$1000,"Sub"),$Y256)))</f>
        <v/>
      </c>
      <c r="AD256" s="62">
        <f>IF($V256="","",IF(AND(ISNUMBER($G256),$G256&lt;=IF($S256=MesCiclo,InicioCiclo,$S256+MOD(2-WEEKDAY($S256),7))+13),1,IF(N($W256)&gt;0,AVERAGEIFS($Z$5:$Z$1000,$U$5:$U$1000,ROW(),$V$5:$V$1000,"Sub"),$Z256)))</f>
        <v/>
      </c>
      <c r="AE256" s="62">
        <f>IF($V256="","",IF(AND(ISNUMBER($G256),$G256&lt;=IF($S256=MesCiclo,InicioCiclo,$S256+MOD(2-WEEKDAY($S256),7))+20),1,IF(N($W256)&gt;0,AVERAGEIFS($AA$5:$AA$1000,$U$5:$U$1000,ROW(),$V$5:$V$1000,"Sub"),$AA256)))</f>
        <v/>
      </c>
      <c r="AF256" s="62">
        <f>IF($V256="","",IF(AND(ISNUMBER($G256),$G256&lt;=IF($S256=MesCiclo,InicioCiclo,$S256+MOD(2-WEEKDAY($S256),7))+27),1,IF(N($W256)&gt;0,AVERAGEIFS($AB$5:$AB$1000,$U$5:$U$1000,ROW(),$V$5:$V$1000,"Sub"),$AB256)))</f>
        <v/>
      </c>
      <c r="AG256" s="62">
        <f>IF($V256&lt;&gt;"Macro","",IF(COUNTIFS($S$5:$S$1000,$S256,$V$5:$V$1000,"Macro",$H$5:$H$1000,"&gt;0")=0,1/COUNTIFS($S$5:$S$1000,$S256,$V$5:$V$1000,"Macro"),IF(AND(ISNUMBER($H256),N($H256)&gt;0),$H256,SUMIFS($H$5:$H$1000,$S$5:$S$1000,$S256,$V$5:$V$1000,"Macro")/COUNTIFS($S$5:$S$1000,$S256,$V$5:$V$1000,"Macro",$H$5:$H$1000,"&gt;0"))/(COUNTIFS($S$5:$S$1000,$S256,$V$5:$V$1000,"Macro")*SUMIFS($H$5:$H$1000,$S$5:$S$1000,$S256,$V$5:$V$1000,"Macro")/COUNTIFS($S$5:$S$1000,$S256,$V$5:$V$1000,"Macro",$H$5:$H$1000,"&gt;0"))))</f>
        <v/>
      </c>
      <c r="AH256" s="62" t="n"/>
      <c r="AI256" s="62" t="n"/>
      <c r="AJ256" s="62" t="n"/>
      <c r="AK256" s="62" t="n"/>
      <c r="AL256" s="62">
        <f>IF(LEFT($C256,11)="[Jefatura] ",IFERROR(MATCH("Riesgo Normativo|"&amp;MID($C256,12,500),rDname_ADM,0),0),"")</f>
        <v/>
      </c>
      <c r="AM256" s="62">
        <f>IF(N($AL256)&gt;0,INDEX(rIni_ADM,$AL256),IF(ISNUMBER($E256),$E256,""))</f>
        <v/>
      </c>
      <c r="AN256" s="62">
        <f>IF(N($AL256)&gt;0,INDEX(rLim_ADM,$AL256),IF(ISNUMBER($F256),$F256,""))</f>
        <v/>
      </c>
    </row>
    <row r="257">
      <c r="A257" s="56">
        <f>IF(NOT((COUNTA($B257:$D257)+COUNTA($G257:$L257)+COUNTA($Q257))&gt;0),"",IF($V257="Macro",COUNTIFS($V$5:$V257,"Macro",$S$5:$S257,$S257),IF(N($U257)=0,"?",COUNTIFS(INDEX($V$5:$V$1000,1):INDEX($V$5:$V$1000,$U257-4),"Macro",INDEX($S$5:$S$1000,1):INDEX($S$5:$S$1000,$U257-4),INDEX($S$5:$S$1000,$U257-4))&amp;"."&amp;COUNTIFS($U$5:$U257,$U257,$V$5:$V257,"Sub"))))</f>
        <v/>
      </c>
      <c r="B257" s="57" t="n"/>
      <c r="C257" s="58" t="n"/>
      <c r="D257" s="58" t="n"/>
      <c r="E257" s="59">
        <f>IF(N($AL257)&gt;0,INDEX(rIni_ADM,$AL257),"")</f>
        <v/>
      </c>
      <c r="F257" s="59">
        <f>IF(N($AL257)&gt;0,INDEX(rLim_ADM,$AL257),"")</f>
        <v/>
      </c>
      <c r="G257" s="59" t="n"/>
      <c r="H257" s="60" t="n"/>
      <c r="I257" s="60" t="n"/>
      <c r="J257" s="60" t="n"/>
      <c r="K257" s="60" t="n"/>
      <c r="L257" s="60" t="n"/>
      <c r="M257" s="61">
        <f>IF(NOT((COUNTA($B257:$D257)+COUNTA($G257:$L257)+COUNTA($Q257))&gt;0),"",IF(ISNUMBER($G257),1,IF(N($W257)&gt;0,AVERAGEIFS($X$5:$X$1000,$U$5:$U$1000,ROW(),$V$5:$V$1000,"Sub"),$X257)))</f>
        <v/>
      </c>
      <c r="N257" s="56">
        <f>IF($M257="","",IF($M257&gt;=1,"Completado",IF($M257&gt;0,"En curso","Pendiente")))</f>
        <v/>
      </c>
      <c r="O257" s="56">
        <f>IF(NOT((COUNTA($B257:$D257)+COUNTA($G257:$L257)+COUNTA($Q257))&gt;0),"",IF(ISNUMBER($G257),IF(AND(ISNUMBER($AN257),$G257&gt;$AN257),"Cumplida con "&amp;($G257-$AN257)&amp;IF($G257-$AN257=1," día"," días")&amp;" de retraso","Cumplida"),IF(N($M257)&gt;=1,"Cumplida",IF(NOT(ISNUMBER($AN257)),"Sin fecha límite",IF($AN257&lt;FechaRef,"Vencida hace "&amp;(FechaRef-$AN257)&amp;IF(FechaRef-$AN257=1," día"," días"),IF($AN257=FechaRef,"Vence hoy",IF($AN257-FechaRef&lt;=DiasAlerta,"Vence en "&amp;($AN257-FechaRef)&amp;IF($AN257-FechaRef=1," día"," días"),"En plazo")))))))</f>
        <v/>
      </c>
      <c r="P257" s="62" t="n"/>
      <c r="Q257" s="58" t="n"/>
      <c r="R257" s="63">
        <f>IF(NOT((COUNTA($B257:$D257)+COUNTA($G257:$L257)+COUNTA($Q257))&gt;0),"",IF((IF($C257="","Falta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",""))="","✔ OK","⚠ "&amp;LEFT(IF($C257="","Falta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",""),LEN(IF($C257="","Falta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",""))-3)))</f>
        <v/>
      </c>
      <c r="S257" s="64">
        <f>IF(NOT((COUNTA($B257:$D257)+COUNTA($G257:$L257)+COUNTA($Q257))&gt;0),"",IF(AND($V257="Sub",N($U257)&gt;0),IF(ISNUMBER(INDEX($AM$5:$AM$1000,$U257-4)),DATE(YEAR(INDEX($AM$5:$AM$1000,$U257-4)),MONTH(INDEX($AM$5:$AM$1000,$U257-4)),1),IF(ISNUMBER(INDEX($AN$5:$AN$1000,$U257-4)),DATE(YEAR(INDEX($AN$5:$AN$1000,$U257-4)),MONTH(INDEX($AN$5:$AN$1000,$U257-4)),1),MesCiclo)),IF(ISNUMBER($AM257),DATE(YEAR($AM257),MONTH($AM257),1),IF(ISNUMBER($AN257),DATE(YEAR($AN257),MONTH($AN257),1),MesCiclo))))</f>
        <v/>
      </c>
      <c r="T257" s="62">
        <f>IF(OR($S257="",$S257&lt;&gt;MesCiclo),"",COUNTIF($S$5:$S257,MesCiclo))</f>
        <v/>
      </c>
      <c r="U257" s="62">
        <f>IF($V257="","",IF($V257="Macro",ROW(),IFERROR(LOOKUP(2,1/($V$5:$V257="Macro"),ROW($V$5:$V257)),0)))</f>
        <v/>
      </c>
      <c r="V257" s="62">
        <f>IF(NOT((COUNTA($B257:$D257)+COUNTA($G257:$L257)+COUNTA($Q257))&gt;0),"",IF($B257="Subactividad","Sub","Macro"))</f>
        <v/>
      </c>
      <c r="W257" s="62">
        <f>IF($V257="Macro",COUNTIFS($U$5:$U$1000,ROW(),$V$5:$V$1000,"Sub"),"")</f>
        <v/>
      </c>
      <c r="X257" s="62">
        <f>IF($V257="","",IF(ISNUMBER($G257),1,IFERROR(LOOKUP(2,1/($I257:$L257&lt;&gt;""),$I257:$L257),0)))</f>
        <v/>
      </c>
      <c r="Y257" s="62">
        <f>IF($V257="","",IF(AND(ISNUMBER($G257),$G257&lt;=IF($S257=MesCiclo,InicioCiclo,$S257+MOD(2-WEEKDAY($S257),7))+6),1,IF(ISNUMBER($I257),$I257,0)))</f>
        <v/>
      </c>
      <c r="Z257" s="62">
        <f>IF($V257="","",IF(AND(ISNUMBER($G257),$G257&lt;=IF($S257=MesCiclo,InicioCiclo,$S257+MOD(2-WEEKDAY($S257),7))+13),1,IF(ISNUMBER($J257),$J257,$Y257)))</f>
        <v/>
      </c>
      <c r="AA257" s="62">
        <f>IF($V257="","",IF(AND(ISNUMBER($G257),$G257&lt;=IF($S257=MesCiclo,InicioCiclo,$S257+MOD(2-WEEKDAY($S257),7))+20),1,IF(ISNUMBER($K257),$K257,$Z257)))</f>
        <v/>
      </c>
      <c r="AB257" s="62">
        <f>IF($V257="","",IF(AND(ISNUMBER($G257),$G257&lt;=IF($S257=MesCiclo,InicioCiclo,$S257+MOD(2-WEEKDAY($S257),7))+27),1,IF(ISNUMBER($L257),$L257,$AA257)))</f>
        <v/>
      </c>
      <c r="AC257" s="62">
        <f>IF($V257="","",IF(AND(ISNUMBER($G257),$G257&lt;=IF($S257=MesCiclo,InicioCiclo,$S257+MOD(2-WEEKDAY($S257),7))+6),1,IF(N($W257)&gt;0,AVERAGEIFS($Y$5:$Y$1000,$U$5:$U$1000,ROW(),$V$5:$V$1000,"Sub"),$Y257)))</f>
        <v/>
      </c>
      <c r="AD257" s="62">
        <f>IF($V257="","",IF(AND(ISNUMBER($G257),$G257&lt;=IF($S257=MesCiclo,InicioCiclo,$S257+MOD(2-WEEKDAY($S257),7))+13),1,IF(N($W257)&gt;0,AVERAGEIFS($Z$5:$Z$1000,$U$5:$U$1000,ROW(),$V$5:$V$1000,"Sub"),$Z257)))</f>
        <v/>
      </c>
      <c r="AE257" s="62">
        <f>IF($V257="","",IF(AND(ISNUMBER($G257),$G257&lt;=IF($S257=MesCiclo,InicioCiclo,$S257+MOD(2-WEEKDAY($S257),7))+20),1,IF(N($W257)&gt;0,AVERAGEIFS($AA$5:$AA$1000,$U$5:$U$1000,ROW(),$V$5:$V$1000,"Sub"),$AA257)))</f>
        <v/>
      </c>
      <c r="AF257" s="62">
        <f>IF($V257="","",IF(AND(ISNUMBER($G257),$G257&lt;=IF($S257=MesCiclo,InicioCiclo,$S257+MOD(2-WEEKDAY($S257),7))+27),1,IF(N($W257)&gt;0,AVERAGEIFS($AB$5:$AB$1000,$U$5:$U$1000,ROW(),$V$5:$V$1000,"Sub"),$AB257)))</f>
        <v/>
      </c>
      <c r="AG257" s="62">
        <f>IF($V257&lt;&gt;"Macro","",IF(COUNTIFS($S$5:$S$1000,$S257,$V$5:$V$1000,"Macro",$H$5:$H$1000,"&gt;0")=0,1/COUNTIFS($S$5:$S$1000,$S257,$V$5:$V$1000,"Macro"),IF(AND(ISNUMBER($H257),N($H257)&gt;0),$H257,SUMIFS($H$5:$H$1000,$S$5:$S$1000,$S257,$V$5:$V$1000,"Macro")/COUNTIFS($S$5:$S$1000,$S257,$V$5:$V$1000,"Macro",$H$5:$H$1000,"&gt;0"))/(COUNTIFS($S$5:$S$1000,$S257,$V$5:$V$1000,"Macro")*SUMIFS($H$5:$H$1000,$S$5:$S$1000,$S257,$V$5:$V$1000,"Macro")/COUNTIFS($S$5:$S$1000,$S257,$V$5:$V$1000,"Macro",$H$5:$H$1000,"&gt;0"))))</f>
        <v/>
      </c>
      <c r="AH257" s="62" t="n"/>
      <c r="AI257" s="62" t="n"/>
      <c r="AJ257" s="62" t="n"/>
      <c r="AK257" s="62" t="n"/>
      <c r="AL257" s="62">
        <f>IF(LEFT($C257,11)="[Jefatura] ",IFERROR(MATCH("Riesgo Normativo|"&amp;MID($C257,12,500),rDname_ADM,0),0),"")</f>
        <v/>
      </c>
      <c r="AM257" s="62">
        <f>IF(N($AL257)&gt;0,INDEX(rIni_ADM,$AL257),IF(ISNUMBER($E257),$E257,""))</f>
        <v/>
      </c>
      <c r="AN257" s="62">
        <f>IF(N($AL257)&gt;0,INDEX(rLim_ADM,$AL257),IF(ISNUMBER($F257),$F257,""))</f>
        <v/>
      </c>
    </row>
    <row r="258">
      <c r="A258" s="56">
        <f>IF(NOT((COUNTA($B258:$D258)+COUNTA($G258:$L258)+COUNTA($Q258))&gt;0),"",IF($V258="Macro",COUNTIFS($V$5:$V258,"Macro",$S$5:$S258,$S258),IF(N($U258)=0,"?",COUNTIFS(INDEX($V$5:$V$1000,1):INDEX($V$5:$V$1000,$U258-4),"Macro",INDEX($S$5:$S$1000,1):INDEX($S$5:$S$1000,$U258-4),INDEX($S$5:$S$1000,$U258-4))&amp;"."&amp;COUNTIFS($U$5:$U258,$U258,$V$5:$V258,"Sub"))))</f>
        <v/>
      </c>
      <c r="B258" s="57" t="n"/>
      <c r="C258" s="58" t="n"/>
      <c r="D258" s="58" t="n"/>
      <c r="E258" s="59">
        <f>IF(N($AL258)&gt;0,INDEX(rIni_ADM,$AL258),"")</f>
        <v/>
      </c>
      <c r="F258" s="59">
        <f>IF(N($AL258)&gt;0,INDEX(rLim_ADM,$AL258),"")</f>
        <v/>
      </c>
      <c r="G258" s="59" t="n"/>
      <c r="H258" s="60" t="n"/>
      <c r="I258" s="60" t="n"/>
      <c r="J258" s="60" t="n"/>
      <c r="K258" s="60" t="n"/>
      <c r="L258" s="60" t="n"/>
      <c r="M258" s="61">
        <f>IF(NOT((COUNTA($B258:$D258)+COUNTA($G258:$L258)+COUNTA($Q258))&gt;0),"",IF(ISNUMBER($G258),1,IF(N($W258)&gt;0,AVERAGEIFS($X$5:$X$1000,$U$5:$U$1000,ROW(),$V$5:$V$1000,"Sub"),$X258)))</f>
        <v/>
      </c>
      <c r="N258" s="56">
        <f>IF($M258="","",IF($M258&gt;=1,"Completado",IF($M258&gt;0,"En curso","Pendiente")))</f>
        <v/>
      </c>
      <c r="O258" s="56">
        <f>IF(NOT((COUNTA($B258:$D258)+COUNTA($G258:$L258)+COUNTA($Q258))&gt;0),"",IF(ISNUMBER($G258),IF(AND(ISNUMBER($AN258),$G258&gt;$AN258),"Cumplida con "&amp;($G258-$AN258)&amp;IF($G258-$AN258=1," día"," días")&amp;" de retraso","Cumplida"),IF(N($M258)&gt;=1,"Cumplida",IF(NOT(ISNUMBER($AN258)),"Sin fecha límite",IF($AN258&lt;FechaRef,"Vencida hace "&amp;(FechaRef-$AN258)&amp;IF(FechaRef-$AN258=1," día"," días"),IF($AN258=FechaRef,"Vence hoy",IF($AN258-FechaRef&lt;=DiasAlerta,"Vence en "&amp;($AN258-FechaRef)&amp;IF($AN258-FechaRef=1," día"," días"),"En plazo")))))))</f>
        <v/>
      </c>
      <c r="P258" s="62" t="n"/>
      <c r="Q258" s="58" t="n"/>
      <c r="R258" s="63">
        <f>IF(NOT((COUNTA($B258:$D258)+COUNTA($G258:$L258)+COUNTA($Q258))&gt;0),"",IF((IF($C258="","Falta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",""))="","✔ OK","⚠ "&amp;LEFT(IF($C258="","Falta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",""),LEN(IF($C258="","Falta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",""))-3)))</f>
        <v/>
      </c>
      <c r="S258" s="64">
        <f>IF(NOT((COUNTA($B258:$D258)+COUNTA($G258:$L258)+COUNTA($Q258))&gt;0),"",IF(AND($V258="Sub",N($U258)&gt;0),IF(ISNUMBER(INDEX($AM$5:$AM$1000,$U258-4)),DATE(YEAR(INDEX($AM$5:$AM$1000,$U258-4)),MONTH(INDEX($AM$5:$AM$1000,$U258-4)),1),IF(ISNUMBER(INDEX($AN$5:$AN$1000,$U258-4)),DATE(YEAR(INDEX($AN$5:$AN$1000,$U258-4)),MONTH(INDEX($AN$5:$AN$1000,$U258-4)),1),MesCiclo)),IF(ISNUMBER($AM258),DATE(YEAR($AM258),MONTH($AM258),1),IF(ISNUMBER($AN258),DATE(YEAR($AN258),MONTH($AN258),1),MesCiclo))))</f>
        <v/>
      </c>
      <c r="T258" s="62">
        <f>IF(OR($S258="",$S258&lt;&gt;MesCiclo),"",COUNTIF($S$5:$S258,MesCiclo))</f>
        <v/>
      </c>
      <c r="U258" s="62">
        <f>IF($V258="","",IF($V258="Macro",ROW(),IFERROR(LOOKUP(2,1/($V$5:$V258="Macro"),ROW($V$5:$V258)),0)))</f>
        <v/>
      </c>
      <c r="V258" s="62">
        <f>IF(NOT((COUNTA($B258:$D258)+COUNTA($G258:$L258)+COUNTA($Q258))&gt;0),"",IF($B258="Subactividad","Sub","Macro"))</f>
        <v/>
      </c>
      <c r="W258" s="62">
        <f>IF($V258="Macro",COUNTIFS($U$5:$U$1000,ROW(),$V$5:$V$1000,"Sub"),"")</f>
        <v/>
      </c>
      <c r="X258" s="62">
        <f>IF($V258="","",IF(ISNUMBER($G258),1,IFERROR(LOOKUP(2,1/($I258:$L258&lt;&gt;""),$I258:$L258),0)))</f>
        <v/>
      </c>
      <c r="Y258" s="62">
        <f>IF($V258="","",IF(AND(ISNUMBER($G258),$G258&lt;=IF($S258=MesCiclo,InicioCiclo,$S258+MOD(2-WEEKDAY($S258),7))+6),1,IF(ISNUMBER($I258),$I258,0)))</f>
        <v/>
      </c>
      <c r="Z258" s="62">
        <f>IF($V258="","",IF(AND(ISNUMBER($G258),$G258&lt;=IF($S258=MesCiclo,InicioCiclo,$S258+MOD(2-WEEKDAY($S258),7))+13),1,IF(ISNUMBER($J258),$J258,$Y258)))</f>
        <v/>
      </c>
      <c r="AA258" s="62">
        <f>IF($V258="","",IF(AND(ISNUMBER($G258),$G258&lt;=IF($S258=MesCiclo,InicioCiclo,$S258+MOD(2-WEEKDAY($S258),7))+20),1,IF(ISNUMBER($K258),$K258,$Z258)))</f>
        <v/>
      </c>
      <c r="AB258" s="62">
        <f>IF($V258="","",IF(AND(ISNUMBER($G258),$G258&lt;=IF($S258=MesCiclo,InicioCiclo,$S258+MOD(2-WEEKDAY($S258),7))+27),1,IF(ISNUMBER($L258),$L258,$AA258)))</f>
        <v/>
      </c>
      <c r="AC258" s="62">
        <f>IF($V258="","",IF(AND(ISNUMBER($G258),$G258&lt;=IF($S258=MesCiclo,InicioCiclo,$S258+MOD(2-WEEKDAY($S258),7))+6),1,IF(N($W258)&gt;0,AVERAGEIFS($Y$5:$Y$1000,$U$5:$U$1000,ROW(),$V$5:$V$1000,"Sub"),$Y258)))</f>
        <v/>
      </c>
      <c r="AD258" s="62">
        <f>IF($V258="","",IF(AND(ISNUMBER($G258),$G258&lt;=IF($S258=MesCiclo,InicioCiclo,$S258+MOD(2-WEEKDAY($S258),7))+13),1,IF(N($W258)&gt;0,AVERAGEIFS($Z$5:$Z$1000,$U$5:$U$1000,ROW(),$V$5:$V$1000,"Sub"),$Z258)))</f>
        <v/>
      </c>
      <c r="AE258" s="62">
        <f>IF($V258="","",IF(AND(ISNUMBER($G258),$G258&lt;=IF($S258=MesCiclo,InicioCiclo,$S258+MOD(2-WEEKDAY($S258),7))+20),1,IF(N($W258)&gt;0,AVERAGEIFS($AA$5:$AA$1000,$U$5:$U$1000,ROW(),$V$5:$V$1000,"Sub"),$AA258)))</f>
        <v/>
      </c>
      <c r="AF258" s="62">
        <f>IF($V258="","",IF(AND(ISNUMBER($G258),$G258&lt;=IF($S258=MesCiclo,InicioCiclo,$S258+MOD(2-WEEKDAY($S258),7))+27),1,IF(N($W258)&gt;0,AVERAGEIFS($AB$5:$AB$1000,$U$5:$U$1000,ROW(),$V$5:$V$1000,"Sub"),$AB258)))</f>
        <v/>
      </c>
      <c r="AG258" s="62">
        <f>IF($V258&lt;&gt;"Macro","",IF(COUNTIFS($S$5:$S$1000,$S258,$V$5:$V$1000,"Macro",$H$5:$H$1000,"&gt;0")=0,1/COUNTIFS($S$5:$S$1000,$S258,$V$5:$V$1000,"Macro"),IF(AND(ISNUMBER($H258),N($H258)&gt;0),$H258,SUMIFS($H$5:$H$1000,$S$5:$S$1000,$S258,$V$5:$V$1000,"Macro")/COUNTIFS($S$5:$S$1000,$S258,$V$5:$V$1000,"Macro",$H$5:$H$1000,"&gt;0"))/(COUNTIFS($S$5:$S$1000,$S258,$V$5:$V$1000,"Macro")*SUMIFS($H$5:$H$1000,$S$5:$S$1000,$S258,$V$5:$V$1000,"Macro")/COUNTIFS($S$5:$S$1000,$S258,$V$5:$V$1000,"Macro",$H$5:$H$1000,"&gt;0"))))</f>
        <v/>
      </c>
      <c r="AH258" s="62" t="n"/>
      <c r="AI258" s="62" t="n"/>
      <c r="AJ258" s="62" t="n"/>
      <c r="AK258" s="62" t="n"/>
      <c r="AL258" s="62">
        <f>IF(LEFT($C258,11)="[Jefatura] ",IFERROR(MATCH("Riesgo Normativo|"&amp;MID($C258,12,500),rDname_ADM,0),0),"")</f>
        <v/>
      </c>
      <c r="AM258" s="62">
        <f>IF(N($AL258)&gt;0,INDEX(rIni_ADM,$AL258),IF(ISNUMBER($E258),$E258,""))</f>
        <v/>
      </c>
      <c r="AN258" s="62">
        <f>IF(N($AL258)&gt;0,INDEX(rLim_ADM,$AL258),IF(ISNUMBER($F258),$F258,""))</f>
        <v/>
      </c>
    </row>
    <row r="259">
      <c r="A259" s="56">
        <f>IF(NOT((COUNTA($B259:$D259)+COUNTA($G259:$L259)+COUNTA($Q259))&gt;0),"",IF($V259="Macro",COUNTIFS($V$5:$V259,"Macro",$S$5:$S259,$S259),IF(N($U259)=0,"?",COUNTIFS(INDEX($V$5:$V$1000,1):INDEX($V$5:$V$1000,$U259-4),"Macro",INDEX($S$5:$S$1000,1):INDEX($S$5:$S$1000,$U259-4),INDEX($S$5:$S$1000,$U259-4))&amp;"."&amp;COUNTIFS($U$5:$U259,$U259,$V$5:$V259,"Sub"))))</f>
        <v/>
      </c>
      <c r="B259" s="57" t="n"/>
      <c r="C259" s="58" t="n"/>
      <c r="D259" s="58" t="n"/>
      <c r="E259" s="59">
        <f>IF(N($AL259)&gt;0,INDEX(rIni_ADM,$AL259),"")</f>
        <v/>
      </c>
      <c r="F259" s="59">
        <f>IF(N($AL259)&gt;0,INDEX(rLim_ADM,$AL259),"")</f>
        <v/>
      </c>
      <c r="G259" s="59" t="n"/>
      <c r="H259" s="60" t="n"/>
      <c r="I259" s="60" t="n"/>
      <c r="J259" s="60" t="n"/>
      <c r="K259" s="60" t="n"/>
      <c r="L259" s="60" t="n"/>
      <c r="M259" s="61">
        <f>IF(NOT((COUNTA($B259:$D259)+COUNTA($G259:$L259)+COUNTA($Q259))&gt;0),"",IF(ISNUMBER($G259),1,IF(N($W259)&gt;0,AVERAGEIFS($X$5:$X$1000,$U$5:$U$1000,ROW(),$V$5:$V$1000,"Sub"),$X259)))</f>
        <v/>
      </c>
      <c r="N259" s="56">
        <f>IF($M259="","",IF($M259&gt;=1,"Completado",IF($M259&gt;0,"En curso","Pendiente")))</f>
        <v/>
      </c>
      <c r="O259" s="56">
        <f>IF(NOT((COUNTA($B259:$D259)+COUNTA($G259:$L259)+COUNTA($Q259))&gt;0),"",IF(ISNUMBER($G259),IF(AND(ISNUMBER($AN259),$G259&gt;$AN259),"Cumplida con "&amp;($G259-$AN259)&amp;IF($G259-$AN259=1," día"," días")&amp;" de retraso","Cumplida"),IF(N($M259)&gt;=1,"Cumplida",IF(NOT(ISNUMBER($AN259)),"Sin fecha límite",IF($AN259&lt;FechaRef,"Vencida hace "&amp;(FechaRef-$AN259)&amp;IF(FechaRef-$AN259=1," día"," días"),IF($AN259=FechaRef,"Vence hoy",IF($AN259-FechaRef&lt;=DiasAlerta,"Vence en "&amp;($AN259-FechaRef)&amp;IF($AN259-FechaRef=1," día"," días"),"En plazo")))))))</f>
        <v/>
      </c>
      <c r="P259" s="62" t="n"/>
      <c r="Q259" s="58" t="n"/>
      <c r="R259" s="63">
        <f>IF(NOT((COUNTA($B259:$D259)+COUNTA($G259:$L259)+COUNTA($Q259))&gt;0),"",IF((IF($C259="","Falta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",""))="","✔ OK","⚠ "&amp;LEFT(IF($C259="","Falta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",""),LEN(IF($C259="","Falta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",""))-3)))</f>
        <v/>
      </c>
      <c r="S259" s="64">
        <f>IF(NOT((COUNTA($B259:$D259)+COUNTA($G259:$L259)+COUNTA($Q259))&gt;0),"",IF(AND($V259="Sub",N($U259)&gt;0),IF(ISNUMBER(INDEX($AM$5:$AM$1000,$U259-4)),DATE(YEAR(INDEX($AM$5:$AM$1000,$U259-4)),MONTH(INDEX($AM$5:$AM$1000,$U259-4)),1),IF(ISNUMBER(INDEX($AN$5:$AN$1000,$U259-4)),DATE(YEAR(INDEX($AN$5:$AN$1000,$U259-4)),MONTH(INDEX($AN$5:$AN$1000,$U259-4)),1),MesCiclo)),IF(ISNUMBER($AM259),DATE(YEAR($AM259),MONTH($AM259),1),IF(ISNUMBER($AN259),DATE(YEAR($AN259),MONTH($AN259),1),MesCiclo))))</f>
        <v/>
      </c>
      <c r="T259" s="62">
        <f>IF(OR($S259="",$S259&lt;&gt;MesCiclo),"",COUNTIF($S$5:$S259,MesCiclo))</f>
        <v/>
      </c>
      <c r="U259" s="62">
        <f>IF($V259="","",IF($V259="Macro",ROW(),IFERROR(LOOKUP(2,1/($V$5:$V259="Macro"),ROW($V$5:$V259)),0)))</f>
        <v/>
      </c>
      <c r="V259" s="62">
        <f>IF(NOT((COUNTA($B259:$D259)+COUNTA($G259:$L259)+COUNTA($Q259))&gt;0),"",IF($B259="Subactividad","Sub","Macro"))</f>
        <v/>
      </c>
      <c r="W259" s="62">
        <f>IF($V259="Macro",COUNTIFS($U$5:$U$1000,ROW(),$V$5:$V$1000,"Sub"),"")</f>
        <v/>
      </c>
      <c r="X259" s="62">
        <f>IF($V259="","",IF(ISNUMBER($G259),1,IFERROR(LOOKUP(2,1/($I259:$L259&lt;&gt;""),$I259:$L259),0)))</f>
        <v/>
      </c>
      <c r="Y259" s="62">
        <f>IF($V259="","",IF(AND(ISNUMBER($G259),$G259&lt;=IF($S259=MesCiclo,InicioCiclo,$S259+MOD(2-WEEKDAY($S259),7))+6),1,IF(ISNUMBER($I259),$I259,0)))</f>
        <v/>
      </c>
      <c r="Z259" s="62">
        <f>IF($V259="","",IF(AND(ISNUMBER($G259),$G259&lt;=IF($S259=MesCiclo,InicioCiclo,$S259+MOD(2-WEEKDAY($S259),7))+13),1,IF(ISNUMBER($J259),$J259,$Y259)))</f>
        <v/>
      </c>
      <c r="AA259" s="62">
        <f>IF($V259="","",IF(AND(ISNUMBER($G259),$G259&lt;=IF($S259=MesCiclo,InicioCiclo,$S259+MOD(2-WEEKDAY($S259),7))+20),1,IF(ISNUMBER($K259),$K259,$Z259)))</f>
        <v/>
      </c>
      <c r="AB259" s="62">
        <f>IF($V259="","",IF(AND(ISNUMBER($G259),$G259&lt;=IF($S259=MesCiclo,InicioCiclo,$S259+MOD(2-WEEKDAY($S259),7))+27),1,IF(ISNUMBER($L259),$L259,$AA259)))</f>
        <v/>
      </c>
      <c r="AC259" s="62">
        <f>IF($V259="","",IF(AND(ISNUMBER($G259),$G259&lt;=IF($S259=MesCiclo,InicioCiclo,$S259+MOD(2-WEEKDAY($S259),7))+6),1,IF(N($W259)&gt;0,AVERAGEIFS($Y$5:$Y$1000,$U$5:$U$1000,ROW(),$V$5:$V$1000,"Sub"),$Y259)))</f>
        <v/>
      </c>
      <c r="AD259" s="62">
        <f>IF($V259="","",IF(AND(ISNUMBER($G259),$G259&lt;=IF($S259=MesCiclo,InicioCiclo,$S259+MOD(2-WEEKDAY($S259),7))+13),1,IF(N($W259)&gt;0,AVERAGEIFS($Z$5:$Z$1000,$U$5:$U$1000,ROW(),$V$5:$V$1000,"Sub"),$Z259)))</f>
        <v/>
      </c>
      <c r="AE259" s="62">
        <f>IF($V259="","",IF(AND(ISNUMBER($G259),$G259&lt;=IF($S259=MesCiclo,InicioCiclo,$S259+MOD(2-WEEKDAY($S259),7))+20),1,IF(N($W259)&gt;0,AVERAGEIFS($AA$5:$AA$1000,$U$5:$U$1000,ROW(),$V$5:$V$1000,"Sub"),$AA259)))</f>
        <v/>
      </c>
      <c r="AF259" s="62">
        <f>IF($V259="","",IF(AND(ISNUMBER($G259),$G259&lt;=IF($S259=MesCiclo,InicioCiclo,$S259+MOD(2-WEEKDAY($S259),7))+27),1,IF(N($W259)&gt;0,AVERAGEIFS($AB$5:$AB$1000,$U$5:$U$1000,ROW(),$V$5:$V$1000,"Sub"),$AB259)))</f>
        <v/>
      </c>
      <c r="AG259" s="62">
        <f>IF($V259&lt;&gt;"Macro","",IF(COUNTIFS($S$5:$S$1000,$S259,$V$5:$V$1000,"Macro",$H$5:$H$1000,"&gt;0")=0,1/COUNTIFS($S$5:$S$1000,$S259,$V$5:$V$1000,"Macro"),IF(AND(ISNUMBER($H259),N($H259)&gt;0),$H259,SUMIFS($H$5:$H$1000,$S$5:$S$1000,$S259,$V$5:$V$1000,"Macro")/COUNTIFS($S$5:$S$1000,$S259,$V$5:$V$1000,"Macro",$H$5:$H$1000,"&gt;0"))/(COUNTIFS($S$5:$S$1000,$S259,$V$5:$V$1000,"Macro")*SUMIFS($H$5:$H$1000,$S$5:$S$1000,$S259,$V$5:$V$1000,"Macro")/COUNTIFS($S$5:$S$1000,$S259,$V$5:$V$1000,"Macro",$H$5:$H$1000,"&gt;0"))))</f>
        <v/>
      </c>
      <c r="AH259" s="62" t="n"/>
      <c r="AI259" s="62" t="n"/>
      <c r="AJ259" s="62" t="n"/>
      <c r="AK259" s="62" t="n"/>
      <c r="AL259" s="62">
        <f>IF(LEFT($C259,11)="[Jefatura] ",IFERROR(MATCH("Riesgo Normativo|"&amp;MID($C259,12,500),rDname_ADM,0),0),"")</f>
        <v/>
      </c>
      <c r="AM259" s="62">
        <f>IF(N($AL259)&gt;0,INDEX(rIni_ADM,$AL259),IF(ISNUMBER($E259),$E259,""))</f>
        <v/>
      </c>
      <c r="AN259" s="62">
        <f>IF(N($AL259)&gt;0,INDEX(rLim_ADM,$AL259),IF(ISNUMBER($F259),$F259,""))</f>
        <v/>
      </c>
    </row>
    <row r="260">
      <c r="A260" s="56">
        <f>IF(NOT((COUNTA($B260:$D260)+COUNTA($G260:$L260)+COUNTA($Q260))&gt;0),"",IF($V260="Macro",COUNTIFS($V$5:$V260,"Macro",$S$5:$S260,$S260),IF(N($U260)=0,"?",COUNTIFS(INDEX($V$5:$V$1000,1):INDEX($V$5:$V$1000,$U260-4),"Macro",INDEX($S$5:$S$1000,1):INDEX($S$5:$S$1000,$U260-4),INDEX($S$5:$S$1000,$U260-4))&amp;"."&amp;COUNTIFS($U$5:$U260,$U260,$V$5:$V260,"Sub"))))</f>
        <v/>
      </c>
      <c r="B260" s="57" t="n"/>
      <c r="C260" s="58" t="n"/>
      <c r="D260" s="58" t="n"/>
      <c r="E260" s="59">
        <f>IF(N($AL260)&gt;0,INDEX(rIni_ADM,$AL260),"")</f>
        <v/>
      </c>
      <c r="F260" s="59">
        <f>IF(N($AL260)&gt;0,INDEX(rLim_ADM,$AL260),"")</f>
        <v/>
      </c>
      <c r="G260" s="59" t="n"/>
      <c r="H260" s="60" t="n"/>
      <c r="I260" s="60" t="n"/>
      <c r="J260" s="60" t="n"/>
      <c r="K260" s="60" t="n"/>
      <c r="L260" s="60" t="n"/>
      <c r="M260" s="61">
        <f>IF(NOT((COUNTA($B260:$D260)+COUNTA($G260:$L260)+COUNTA($Q260))&gt;0),"",IF(ISNUMBER($G260),1,IF(N($W260)&gt;0,AVERAGEIFS($X$5:$X$1000,$U$5:$U$1000,ROW(),$V$5:$V$1000,"Sub"),$X260)))</f>
        <v/>
      </c>
      <c r="N260" s="56">
        <f>IF($M260="","",IF($M260&gt;=1,"Completado",IF($M260&gt;0,"En curso","Pendiente")))</f>
        <v/>
      </c>
      <c r="O260" s="56">
        <f>IF(NOT((COUNTA($B260:$D260)+COUNTA($G260:$L260)+COUNTA($Q260))&gt;0),"",IF(ISNUMBER($G260),IF(AND(ISNUMBER($AN260),$G260&gt;$AN260),"Cumplida con "&amp;($G260-$AN260)&amp;IF($G260-$AN260=1," día"," días")&amp;" de retraso","Cumplida"),IF(N($M260)&gt;=1,"Cumplida",IF(NOT(ISNUMBER($AN260)),"Sin fecha límite",IF($AN260&lt;FechaRef,"Vencida hace "&amp;(FechaRef-$AN260)&amp;IF(FechaRef-$AN260=1," día"," días"),IF($AN260=FechaRef,"Vence hoy",IF($AN260-FechaRef&lt;=DiasAlerta,"Vence en "&amp;($AN260-FechaRef)&amp;IF($AN260-FechaRef=1," día"," días"),"En plazo")))))))</f>
        <v/>
      </c>
      <c r="P260" s="62" t="n"/>
      <c r="Q260" s="58" t="n"/>
      <c r="R260" s="63">
        <f>IF(NOT((COUNTA($B260:$D260)+COUNTA($G260:$L260)+COUNTA($Q260))&gt;0),"",IF((IF($C260="","Falta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",""))="","✔ OK","⚠ "&amp;LEFT(IF($C260="","Falta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",""),LEN(IF($C260="","Falta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",""))-3)))</f>
        <v/>
      </c>
      <c r="S260" s="64">
        <f>IF(NOT((COUNTA($B260:$D260)+COUNTA($G260:$L260)+COUNTA($Q260))&gt;0),"",IF(AND($V260="Sub",N($U260)&gt;0),IF(ISNUMBER(INDEX($AM$5:$AM$1000,$U260-4)),DATE(YEAR(INDEX($AM$5:$AM$1000,$U260-4)),MONTH(INDEX($AM$5:$AM$1000,$U260-4)),1),IF(ISNUMBER(INDEX($AN$5:$AN$1000,$U260-4)),DATE(YEAR(INDEX($AN$5:$AN$1000,$U260-4)),MONTH(INDEX($AN$5:$AN$1000,$U260-4)),1),MesCiclo)),IF(ISNUMBER($AM260),DATE(YEAR($AM260),MONTH($AM260),1),IF(ISNUMBER($AN260),DATE(YEAR($AN260),MONTH($AN260),1),MesCiclo))))</f>
        <v/>
      </c>
      <c r="T260" s="62">
        <f>IF(OR($S260="",$S260&lt;&gt;MesCiclo),"",COUNTIF($S$5:$S260,MesCiclo))</f>
        <v/>
      </c>
      <c r="U260" s="62">
        <f>IF($V260="","",IF($V260="Macro",ROW(),IFERROR(LOOKUP(2,1/($V$5:$V260="Macro"),ROW($V$5:$V260)),0)))</f>
        <v/>
      </c>
      <c r="V260" s="62">
        <f>IF(NOT((COUNTA($B260:$D260)+COUNTA($G260:$L260)+COUNTA($Q260))&gt;0),"",IF($B260="Subactividad","Sub","Macro"))</f>
        <v/>
      </c>
      <c r="W260" s="62">
        <f>IF($V260="Macro",COUNTIFS($U$5:$U$1000,ROW(),$V$5:$V$1000,"Sub"),"")</f>
        <v/>
      </c>
      <c r="X260" s="62">
        <f>IF($V260="","",IF(ISNUMBER($G260),1,IFERROR(LOOKUP(2,1/($I260:$L260&lt;&gt;""),$I260:$L260),0)))</f>
        <v/>
      </c>
      <c r="Y260" s="62">
        <f>IF($V260="","",IF(AND(ISNUMBER($G260),$G260&lt;=IF($S260=MesCiclo,InicioCiclo,$S260+MOD(2-WEEKDAY($S260),7))+6),1,IF(ISNUMBER($I260),$I260,0)))</f>
        <v/>
      </c>
      <c r="Z260" s="62">
        <f>IF($V260="","",IF(AND(ISNUMBER($G260),$G260&lt;=IF($S260=MesCiclo,InicioCiclo,$S260+MOD(2-WEEKDAY($S260),7))+13),1,IF(ISNUMBER($J260),$J260,$Y260)))</f>
        <v/>
      </c>
      <c r="AA260" s="62">
        <f>IF($V260="","",IF(AND(ISNUMBER($G260),$G260&lt;=IF($S260=MesCiclo,InicioCiclo,$S260+MOD(2-WEEKDAY($S260),7))+20),1,IF(ISNUMBER($K260),$K260,$Z260)))</f>
        <v/>
      </c>
      <c r="AB260" s="62">
        <f>IF($V260="","",IF(AND(ISNUMBER($G260),$G260&lt;=IF($S260=MesCiclo,InicioCiclo,$S260+MOD(2-WEEKDAY($S260),7))+27),1,IF(ISNUMBER($L260),$L260,$AA260)))</f>
        <v/>
      </c>
      <c r="AC260" s="62">
        <f>IF($V260="","",IF(AND(ISNUMBER($G260),$G260&lt;=IF($S260=MesCiclo,InicioCiclo,$S260+MOD(2-WEEKDAY($S260),7))+6),1,IF(N($W260)&gt;0,AVERAGEIFS($Y$5:$Y$1000,$U$5:$U$1000,ROW(),$V$5:$V$1000,"Sub"),$Y260)))</f>
        <v/>
      </c>
      <c r="AD260" s="62">
        <f>IF($V260="","",IF(AND(ISNUMBER($G260),$G260&lt;=IF($S260=MesCiclo,InicioCiclo,$S260+MOD(2-WEEKDAY($S260),7))+13),1,IF(N($W260)&gt;0,AVERAGEIFS($Z$5:$Z$1000,$U$5:$U$1000,ROW(),$V$5:$V$1000,"Sub"),$Z260)))</f>
        <v/>
      </c>
      <c r="AE260" s="62">
        <f>IF($V260="","",IF(AND(ISNUMBER($G260),$G260&lt;=IF($S260=MesCiclo,InicioCiclo,$S260+MOD(2-WEEKDAY($S260),7))+20),1,IF(N($W260)&gt;0,AVERAGEIFS($AA$5:$AA$1000,$U$5:$U$1000,ROW(),$V$5:$V$1000,"Sub"),$AA260)))</f>
        <v/>
      </c>
      <c r="AF260" s="62">
        <f>IF($V260="","",IF(AND(ISNUMBER($G260),$G260&lt;=IF($S260=MesCiclo,InicioCiclo,$S260+MOD(2-WEEKDAY($S260),7))+27),1,IF(N($W260)&gt;0,AVERAGEIFS($AB$5:$AB$1000,$U$5:$U$1000,ROW(),$V$5:$V$1000,"Sub"),$AB260)))</f>
        <v/>
      </c>
      <c r="AG260" s="62">
        <f>IF($V260&lt;&gt;"Macro","",IF(COUNTIFS($S$5:$S$1000,$S260,$V$5:$V$1000,"Macro",$H$5:$H$1000,"&gt;0")=0,1/COUNTIFS($S$5:$S$1000,$S260,$V$5:$V$1000,"Macro"),IF(AND(ISNUMBER($H260),N($H260)&gt;0),$H260,SUMIFS($H$5:$H$1000,$S$5:$S$1000,$S260,$V$5:$V$1000,"Macro")/COUNTIFS($S$5:$S$1000,$S260,$V$5:$V$1000,"Macro",$H$5:$H$1000,"&gt;0"))/(COUNTIFS($S$5:$S$1000,$S260,$V$5:$V$1000,"Macro")*SUMIFS($H$5:$H$1000,$S$5:$S$1000,$S260,$V$5:$V$1000,"Macro")/COUNTIFS($S$5:$S$1000,$S260,$V$5:$V$1000,"Macro",$H$5:$H$1000,"&gt;0"))))</f>
        <v/>
      </c>
      <c r="AH260" s="62" t="n"/>
      <c r="AI260" s="62" t="n"/>
      <c r="AJ260" s="62" t="n"/>
      <c r="AK260" s="62" t="n"/>
      <c r="AL260" s="62">
        <f>IF(LEFT($C260,11)="[Jefatura] ",IFERROR(MATCH("Riesgo Normativo|"&amp;MID($C260,12,500),rDname_ADM,0),0),"")</f>
        <v/>
      </c>
      <c r="AM260" s="62">
        <f>IF(N($AL260)&gt;0,INDEX(rIni_ADM,$AL260),IF(ISNUMBER($E260),$E260,""))</f>
        <v/>
      </c>
      <c r="AN260" s="62">
        <f>IF(N($AL260)&gt;0,INDEX(rLim_ADM,$AL260),IF(ISNUMBER($F260),$F260,""))</f>
        <v/>
      </c>
    </row>
    <row r="261">
      <c r="A261" s="56">
        <f>IF(NOT((COUNTA($B261:$D261)+COUNTA($G261:$L261)+COUNTA($Q261))&gt;0),"",IF($V261="Macro",COUNTIFS($V$5:$V261,"Macro",$S$5:$S261,$S261),IF(N($U261)=0,"?",COUNTIFS(INDEX($V$5:$V$1000,1):INDEX($V$5:$V$1000,$U261-4),"Macro",INDEX($S$5:$S$1000,1):INDEX($S$5:$S$1000,$U261-4),INDEX($S$5:$S$1000,$U261-4))&amp;"."&amp;COUNTIFS($U$5:$U261,$U261,$V$5:$V261,"Sub"))))</f>
        <v/>
      </c>
      <c r="B261" s="57" t="n"/>
      <c r="C261" s="58" t="n"/>
      <c r="D261" s="58" t="n"/>
      <c r="E261" s="59">
        <f>IF(N($AL261)&gt;0,INDEX(rIni_ADM,$AL261),"")</f>
        <v/>
      </c>
      <c r="F261" s="59">
        <f>IF(N($AL261)&gt;0,INDEX(rLim_ADM,$AL261),"")</f>
        <v/>
      </c>
      <c r="G261" s="59" t="n"/>
      <c r="H261" s="60" t="n"/>
      <c r="I261" s="60" t="n"/>
      <c r="J261" s="60" t="n"/>
      <c r="K261" s="60" t="n"/>
      <c r="L261" s="60" t="n"/>
      <c r="M261" s="61">
        <f>IF(NOT((COUNTA($B261:$D261)+COUNTA($G261:$L261)+COUNTA($Q261))&gt;0),"",IF(ISNUMBER($G261),1,IF(N($W261)&gt;0,AVERAGEIFS($X$5:$X$1000,$U$5:$U$1000,ROW(),$V$5:$V$1000,"Sub"),$X261)))</f>
        <v/>
      </c>
      <c r="N261" s="56">
        <f>IF($M261="","",IF($M261&gt;=1,"Completado",IF($M261&gt;0,"En curso","Pendiente")))</f>
        <v/>
      </c>
      <c r="O261" s="56">
        <f>IF(NOT((COUNTA($B261:$D261)+COUNTA($G261:$L261)+COUNTA($Q261))&gt;0),"",IF(ISNUMBER($G261),IF(AND(ISNUMBER($AN261),$G261&gt;$AN261),"Cumplida con "&amp;($G261-$AN261)&amp;IF($G261-$AN261=1," día"," días")&amp;" de retraso","Cumplida"),IF(N($M261)&gt;=1,"Cumplida",IF(NOT(ISNUMBER($AN261)),"Sin fecha límite",IF($AN261&lt;FechaRef,"Vencida hace "&amp;(FechaRef-$AN261)&amp;IF(FechaRef-$AN261=1," día"," días"),IF($AN261=FechaRef,"Vence hoy",IF($AN261-FechaRef&lt;=DiasAlerta,"Vence en "&amp;($AN261-FechaRef)&amp;IF($AN261-FechaRef=1," día"," días"),"En plazo")))))))</f>
        <v/>
      </c>
      <c r="P261" s="62" t="n"/>
      <c r="Q261" s="58" t="n"/>
      <c r="R261" s="63">
        <f>IF(NOT((COUNTA($B261:$D261)+COUNTA($G261:$L261)+COUNTA($Q261))&gt;0),"",IF((IF($C261="","Falta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",""))="","✔ OK","⚠ "&amp;LEFT(IF($C261="","Falta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",""),LEN(IF($C261="","Falta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",""))-3)))</f>
        <v/>
      </c>
      <c r="S261" s="64">
        <f>IF(NOT((COUNTA($B261:$D261)+COUNTA($G261:$L261)+COUNTA($Q261))&gt;0),"",IF(AND($V261="Sub",N($U261)&gt;0),IF(ISNUMBER(INDEX($AM$5:$AM$1000,$U261-4)),DATE(YEAR(INDEX($AM$5:$AM$1000,$U261-4)),MONTH(INDEX($AM$5:$AM$1000,$U261-4)),1),IF(ISNUMBER(INDEX($AN$5:$AN$1000,$U261-4)),DATE(YEAR(INDEX($AN$5:$AN$1000,$U261-4)),MONTH(INDEX($AN$5:$AN$1000,$U261-4)),1),MesCiclo)),IF(ISNUMBER($AM261),DATE(YEAR($AM261),MONTH($AM261),1),IF(ISNUMBER($AN261),DATE(YEAR($AN261),MONTH($AN261),1),MesCiclo))))</f>
        <v/>
      </c>
      <c r="T261" s="62">
        <f>IF(OR($S261="",$S261&lt;&gt;MesCiclo),"",COUNTIF($S$5:$S261,MesCiclo))</f>
        <v/>
      </c>
      <c r="U261" s="62">
        <f>IF($V261="","",IF($V261="Macro",ROW(),IFERROR(LOOKUP(2,1/($V$5:$V261="Macro"),ROW($V$5:$V261)),0)))</f>
        <v/>
      </c>
      <c r="V261" s="62">
        <f>IF(NOT((COUNTA($B261:$D261)+COUNTA($G261:$L261)+COUNTA($Q261))&gt;0),"",IF($B261="Subactividad","Sub","Macro"))</f>
        <v/>
      </c>
      <c r="W261" s="62">
        <f>IF($V261="Macro",COUNTIFS($U$5:$U$1000,ROW(),$V$5:$V$1000,"Sub"),"")</f>
        <v/>
      </c>
      <c r="X261" s="62">
        <f>IF($V261="","",IF(ISNUMBER($G261),1,IFERROR(LOOKUP(2,1/($I261:$L261&lt;&gt;""),$I261:$L261),0)))</f>
        <v/>
      </c>
      <c r="Y261" s="62">
        <f>IF($V261="","",IF(AND(ISNUMBER($G261),$G261&lt;=IF($S261=MesCiclo,InicioCiclo,$S261+MOD(2-WEEKDAY($S261),7))+6),1,IF(ISNUMBER($I261),$I261,0)))</f>
        <v/>
      </c>
      <c r="Z261" s="62">
        <f>IF($V261="","",IF(AND(ISNUMBER($G261),$G261&lt;=IF($S261=MesCiclo,InicioCiclo,$S261+MOD(2-WEEKDAY($S261),7))+13),1,IF(ISNUMBER($J261),$J261,$Y261)))</f>
        <v/>
      </c>
      <c r="AA261" s="62">
        <f>IF($V261="","",IF(AND(ISNUMBER($G261),$G261&lt;=IF($S261=MesCiclo,InicioCiclo,$S261+MOD(2-WEEKDAY($S261),7))+20),1,IF(ISNUMBER($K261),$K261,$Z261)))</f>
        <v/>
      </c>
      <c r="AB261" s="62">
        <f>IF($V261="","",IF(AND(ISNUMBER($G261),$G261&lt;=IF($S261=MesCiclo,InicioCiclo,$S261+MOD(2-WEEKDAY($S261),7))+27),1,IF(ISNUMBER($L261),$L261,$AA261)))</f>
        <v/>
      </c>
      <c r="AC261" s="62">
        <f>IF($V261="","",IF(AND(ISNUMBER($G261),$G261&lt;=IF($S261=MesCiclo,InicioCiclo,$S261+MOD(2-WEEKDAY($S261),7))+6),1,IF(N($W261)&gt;0,AVERAGEIFS($Y$5:$Y$1000,$U$5:$U$1000,ROW(),$V$5:$V$1000,"Sub"),$Y261)))</f>
        <v/>
      </c>
      <c r="AD261" s="62">
        <f>IF($V261="","",IF(AND(ISNUMBER($G261),$G261&lt;=IF($S261=MesCiclo,InicioCiclo,$S261+MOD(2-WEEKDAY($S261),7))+13),1,IF(N($W261)&gt;0,AVERAGEIFS($Z$5:$Z$1000,$U$5:$U$1000,ROW(),$V$5:$V$1000,"Sub"),$Z261)))</f>
        <v/>
      </c>
      <c r="AE261" s="62">
        <f>IF($V261="","",IF(AND(ISNUMBER($G261),$G261&lt;=IF($S261=MesCiclo,InicioCiclo,$S261+MOD(2-WEEKDAY($S261),7))+20),1,IF(N($W261)&gt;0,AVERAGEIFS($AA$5:$AA$1000,$U$5:$U$1000,ROW(),$V$5:$V$1000,"Sub"),$AA261)))</f>
        <v/>
      </c>
      <c r="AF261" s="62">
        <f>IF($V261="","",IF(AND(ISNUMBER($G261),$G261&lt;=IF($S261=MesCiclo,InicioCiclo,$S261+MOD(2-WEEKDAY($S261),7))+27),1,IF(N($W261)&gt;0,AVERAGEIFS($AB$5:$AB$1000,$U$5:$U$1000,ROW(),$V$5:$V$1000,"Sub"),$AB261)))</f>
        <v/>
      </c>
      <c r="AG261" s="62">
        <f>IF($V261&lt;&gt;"Macro","",IF(COUNTIFS($S$5:$S$1000,$S261,$V$5:$V$1000,"Macro",$H$5:$H$1000,"&gt;0")=0,1/COUNTIFS($S$5:$S$1000,$S261,$V$5:$V$1000,"Macro"),IF(AND(ISNUMBER($H261),N($H261)&gt;0),$H261,SUMIFS($H$5:$H$1000,$S$5:$S$1000,$S261,$V$5:$V$1000,"Macro")/COUNTIFS($S$5:$S$1000,$S261,$V$5:$V$1000,"Macro",$H$5:$H$1000,"&gt;0"))/(COUNTIFS($S$5:$S$1000,$S261,$V$5:$V$1000,"Macro")*SUMIFS($H$5:$H$1000,$S$5:$S$1000,$S261,$V$5:$V$1000,"Macro")/COUNTIFS($S$5:$S$1000,$S261,$V$5:$V$1000,"Macro",$H$5:$H$1000,"&gt;0"))))</f>
        <v/>
      </c>
      <c r="AH261" s="62" t="n"/>
      <c r="AI261" s="62" t="n"/>
      <c r="AJ261" s="62" t="n"/>
      <c r="AK261" s="62" t="n"/>
      <c r="AL261" s="62">
        <f>IF(LEFT($C261,11)="[Jefatura] ",IFERROR(MATCH("Riesgo Normativo|"&amp;MID($C261,12,500),rDname_ADM,0),0),"")</f>
        <v/>
      </c>
      <c r="AM261" s="62">
        <f>IF(N($AL261)&gt;0,INDEX(rIni_ADM,$AL261),IF(ISNUMBER($E261),$E261,""))</f>
        <v/>
      </c>
      <c r="AN261" s="62">
        <f>IF(N($AL261)&gt;0,INDEX(rLim_ADM,$AL261),IF(ISNUMBER($F261),$F261,""))</f>
        <v/>
      </c>
    </row>
    <row r="262">
      <c r="A262" s="56">
        <f>IF(NOT((COUNTA($B262:$D262)+COUNTA($G262:$L262)+COUNTA($Q262))&gt;0),"",IF($V262="Macro",COUNTIFS($V$5:$V262,"Macro",$S$5:$S262,$S262),IF(N($U262)=0,"?",COUNTIFS(INDEX($V$5:$V$1000,1):INDEX($V$5:$V$1000,$U262-4),"Macro",INDEX($S$5:$S$1000,1):INDEX($S$5:$S$1000,$U262-4),INDEX($S$5:$S$1000,$U262-4))&amp;"."&amp;COUNTIFS($U$5:$U262,$U262,$V$5:$V262,"Sub"))))</f>
        <v/>
      </c>
      <c r="B262" s="57" t="n"/>
      <c r="C262" s="58" t="n"/>
      <c r="D262" s="58" t="n"/>
      <c r="E262" s="59">
        <f>IF(N($AL262)&gt;0,INDEX(rIni_ADM,$AL262),"")</f>
        <v/>
      </c>
      <c r="F262" s="59">
        <f>IF(N($AL262)&gt;0,INDEX(rLim_ADM,$AL262),"")</f>
        <v/>
      </c>
      <c r="G262" s="59" t="n"/>
      <c r="H262" s="60" t="n"/>
      <c r="I262" s="60" t="n"/>
      <c r="J262" s="60" t="n"/>
      <c r="K262" s="60" t="n"/>
      <c r="L262" s="60" t="n"/>
      <c r="M262" s="61">
        <f>IF(NOT((COUNTA($B262:$D262)+COUNTA($G262:$L262)+COUNTA($Q262))&gt;0),"",IF(ISNUMBER($G262),1,IF(N($W262)&gt;0,AVERAGEIFS($X$5:$X$1000,$U$5:$U$1000,ROW(),$V$5:$V$1000,"Sub"),$X262)))</f>
        <v/>
      </c>
      <c r="N262" s="56">
        <f>IF($M262="","",IF($M262&gt;=1,"Completado",IF($M262&gt;0,"En curso","Pendiente")))</f>
        <v/>
      </c>
      <c r="O262" s="56">
        <f>IF(NOT((COUNTA($B262:$D262)+COUNTA($G262:$L262)+COUNTA($Q262))&gt;0),"",IF(ISNUMBER($G262),IF(AND(ISNUMBER($AN262),$G262&gt;$AN262),"Cumplida con "&amp;($G262-$AN262)&amp;IF($G262-$AN262=1," día"," días")&amp;" de retraso","Cumplida"),IF(N($M262)&gt;=1,"Cumplida",IF(NOT(ISNUMBER($AN262)),"Sin fecha límite",IF($AN262&lt;FechaRef,"Vencida hace "&amp;(FechaRef-$AN262)&amp;IF(FechaRef-$AN262=1," día"," días"),IF($AN262=FechaRef,"Vence hoy",IF($AN262-FechaRef&lt;=DiasAlerta,"Vence en "&amp;($AN262-FechaRef)&amp;IF($AN262-FechaRef=1," día"," días"),"En plazo")))))))</f>
        <v/>
      </c>
      <c r="P262" s="62" t="n"/>
      <c r="Q262" s="58" t="n"/>
      <c r="R262" s="63">
        <f>IF(NOT((COUNTA($B262:$D262)+COUNTA($G262:$L262)+COUNTA($Q262))&gt;0),"",IF((IF($C262="","Falta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",""))="","✔ OK","⚠ "&amp;LEFT(IF($C262="","Falta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",""),LEN(IF($C262="","Falta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",""))-3)))</f>
        <v/>
      </c>
      <c r="S262" s="64">
        <f>IF(NOT((COUNTA($B262:$D262)+COUNTA($G262:$L262)+COUNTA($Q262))&gt;0),"",IF(AND($V262="Sub",N($U262)&gt;0),IF(ISNUMBER(INDEX($AM$5:$AM$1000,$U262-4)),DATE(YEAR(INDEX($AM$5:$AM$1000,$U262-4)),MONTH(INDEX($AM$5:$AM$1000,$U262-4)),1),IF(ISNUMBER(INDEX($AN$5:$AN$1000,$U262-4)),DATE(YEAR(INDEX($AN$5:$AN$1000,$U262-4)),MONTH(INDEX($AN$5:$AN$1000,$U262-4)),1),MesCiclo)),IF(ISNUMBER($AM262),DATE(YEAR($AM262),MONTH($AM262),1),IF(ISNUMBER($AN262),DATE(YEAR($AN262),MONTH($AN262),1),MesCiclo))))</f>
        <v/>
      </c>
      <c r="T262" s="62">
        <f>IF(OR($S262="",$S262&lt;&gt;MesCiclo),"",COUNTIF($S$5:$S262,MesCiclo))</f>
        <v/>
      </c>
      <c r="U262" s="62">
        <f>IF($V262="","",IF($V262="Macro",ROW(),IFERROR(LOOKUP(2,1/($V$5:$V262="Macro"),ROW($V$5:$V262)),0)))</f>
        <v/>
      </c>
      <c r="V262" s="62">
        <f>IF(NOT((COUNTA($B262:$D262)+COUNTA($G262:$L262)+COUNTA($Q262))&gt;0),"",IF($B262="Subactividad","Sub","Macro"))</f>
        <v/>
      </c>
      <c r="W262" s="62">
        <f>IF($V262="Macro",COUNTIFS($U$5:$U$1000,ROW(),$V$5:$V$1000,"Sub"),"")</f>
        <v/>
      </c>
      <c r="X262" s="62">
        <f>IF($V262="","",IF(ISNUMBER($G262),1,IFERROR(LOOKUP(2,1/($I262:$L262&lt;&gt;""),$I262:$L262),0)))</f>
        <v/>
      </c>
      <c r="Y262" s="62">
        <f>IF($V262="","",IF(AND(ISNUMBER($G262),$G262&lt;=IF($S262=MesCiclo,InicioCiclo,$S262+MOD(2-WEEKDAY($S262),7))+6),1,IF(ISNUMBER($I262),$I262,0)))</f>
        <v/>
      </c>
      <c r="Z262" s="62">
        <f>IF($V262="","",IF(AND(ISNUMBER($G262),$G262&lt;=IF($S262=MesCiclo,InicioCiclo,$S262+MOD(2-WEEKDAY($S262),7))+13),1,IF(ISNUMBER($J262),$J262,$Y262)))</f>
        <v/>
      </c>
      <c r="AA262" s="62">
        <f>IF($V262="","",IF(AND(ISNUMBER($G262),$G262&lt;=IF($S262=MesCiclo,InicioCiclo,$S262+MOD(2-WEEKDAY($S262),7))+20),1,IF(ISNUMBER($K262),$K262,$Z262)))</f>
        <v/>
      </c>
      <c r="AB262" s="62">
        <f>IF($V262="","",IF(AND(ISNUMBER($G262),$G262&lt;=IF($S262=MesCiclo,InicioCiclo,$S262+MOD(2-WEEKDAY($S262),7))+27),1,IF(ISNUMBER($L262),$L262,$AA262)))</f>
        <v/>
      </c>
      <c r="AC262" s="62">
        <f>IF($V262="","",IF(AND(ISNUMBER($G262),$G262&lt;=IF($S262=MesCiclo,InicioCiclo,$S262+MOD(2-WEEKDAY($S262),7))+6),1,IF(N($W262)&gt;0,AVERAGEIFS($Y$5:$Y$1000,$U$5:$U$1000,ROW(),$V$5:$V$1000,"Sub"),$Y262)))</f>
        <v/>
      </c>
      <c r="AD262" s="62">
        <f>IF($V262="","",IF(AND(ISNUMBER($G262),$G262&lt;=IF($S262=MesCiclo,InicioCiclo,$S262+MOD(2-WEEKDAY($S262),7))+13),1,IF(N($W262)&gt;0,AVERAGEIFS($Z$5:$Z$1000,$U$5:$U$1000,ROW(),$V$5:$V$1000,"Sub"),$Z262)))</f>
        <v/>
      </c>
      <c r="AE262" s="62">
        <f>IF($V262="","",IF(AND(ISNUMBER($G262),$G262&lt;=IF($S262=MesCiclo,InicioCiclo,$S262+MOD(2-WEEKDAY($S262),7))+20),1,IF(N($W262)&gt;0,AVERAGEIFS($AA$5:$AA$1000,$U$5:$U$1000,ROW(),$V$5:$V$1000,"Sub"),$AA262)))</f>
        <v/>
      </c>
      <c r="AF262" s="62">
        <f>IF($V262="","",IF(AND(ISNUMBER($G262),$G262&lt;=IF($S262=MesCiclo,InicioCiclo,$S262+MOD(2-WEEKDAY($S262),7))+27),1,IF(N($W262)&gt;0,AVERAGEIFS($AB$5:$AB$1000,$U$5:$U$1000,ROW(),$V$5:$V$1000,"Sub"),$AB262)))</f>
        <v/>
      </c>
      <c r="AG262" s="62">
        <f>IF($V262&lt;&gt;"Macro","",IF(COUNTIFS($S$5:$S$1000,$S262,$V$5:$V$1000,"Macro",$H$5:$H$1000,"&gt;0")=0,1/COUNTIFS($S$5:$S$1000,$S262,$V$5:$V$1000,"Macro"),IF(AND(ISNUMBER($H262),N($H262)&gt;0),$H262,SUMIFS($H$5:$H$1000,$S$5:$S$1000,$S262,$V$5:$V$1000,"Macro")/COUNTIFS($S$5:$S$1000,$S262,$V$5:$V$1000,"Macro",$H$5:$H$1000,"&gt;0"))/(COUNTIFS($S$5:$S$1000,$S262,$V$5:$V$1000,"Macro")*SUMIFS($H$5:$H$1000,$S$5:$S$1000,$S262,$V$5:$V$1000,"Macro")/COUNTIFS($S$5:$S$1000,$S262,$V$5:$V$1000,"Macro",$H$5:$H$1000,"&gt;0"))))</f>
        <v/>
      </c>
      <c r="AH262" s="62" t="n"/>
      <c r="AI262" s="62" t="n"/>
      <c r="AJ262" s="62" t="n"/>
      <c r="AK262" s="62" t="n"/>
      <c r="AL262" s="62">
        <f>IF(LEFT($C262,11)="[Jefatura] ",IFERROR(MATCH("Riesgo Normativo|"&amp;MID($C262,12,500),rDname_ADM,0),0),"")</f>
        <v/>
      </c>
      <c r="AM262" s="62">
        <f>IF(N($AL262)&gt;0,INDEX(rIni_ADM,$AL262),IF(ISNUMBER($E262),$E262,""))</f>
        <v/>
      </c>
      <c r="AN262" s="62">
        <f>IF(N($AL262)&gt;0,INDEX(rLim_ADM,$AL262),IF(ISNUMBER($F262),$F262,""))</f>
        <v/>
      </c>
    </row>
    <row r="263">
      <c r="A263" s="56">
        <f>IF(NOT((COUNTA($B263:$D263)+COUNTA($G263:$L263)+COUNTA($Q263))&gt;0),"",IF($V263="Macro",COUNTIFS($V$5:$V263,"Macro",$S$5:$S263,$S263),IF(N($U263)=0,"?",COUNTIFS(INDEX($V$5:$V$1000,1):INDEX($V$5:$V$1000,$U263-4),"Macro",INDEX($S$5:$S$1000,1):INDEX($S$5:$S$1000,$U263-4),INDEX($S$5:$S$1000,$U263-4))&amp;"."&amp;COUNTIFS($U$5:$U263,$U263,$V$5:$V263,"Sub"))))</f>
        <v/>
      </c>
      <c r="B263" s="57" t="n"/>
      <c r="C263" s="58" t="n"/>
      <c r="D263" s="58" t="n"/>
      <c r="E263" s="59">
        <f>IF(N($AL263)&gt;0,INDEX(rIni_ADM,$AL263),"")</f>
        <v/>
      </c>
      <c r="F263" s="59">
        <f>IF(N($AL263)&gt;0,INDEX(rLim_ADM,$AL263),"")</f>
        <v/>
      </c>
      <c r="G263" s="59" t="n"/>
      <c r="H263" s="60" t="n"/>
      <c r="I263" s="60" t="n"/>
      <c r="J263" s="60" t="n"/>
      <c r="K263" s="60" t="n"/>
      <c r="L263" s="60" t="n"/>
      <c r="M263" s="61">
        <f>IF(NOT((COUNTA($B263:$D263)+COUNTA($G263:$L263)+COUNTA($Q263))&gt;0),"",IF(ISNUMBER($G263),1,IF(N($W263)&gt;0,AVERAGEIFS($X$5:$X$1000,$U$5:$U$1000,ROW(),$V$5:$V$1000,"Sub"),$X263)))</f>
        <v/>
      </c>
      <c r="N263" s="56">
        <f>IF($M263="","",IF($M263&gt;=1,"Completado",IF($M263&gt;0,"En curso","Pendiente")))</f>
        <v/>
      </c>
      <c r="O263" s="56">
        <f>IF(NOT((COUNTA($B263:$D263)+COUNTA($G263:$L263)+COUNTA($Q263))&gt;0),"",IF(ISNUMBER($G263),IF(AND(ISNUMBER($AN263),$G263&gt;$AN263),"Cumplida con "&amp;($G263-$AN263)&amp;IF($G263-$AN263=1," día"," días")&amp;" de retraso","Cumplida"),IF(N($M263)&gt;=1,"Cumplida",IF(NOT(ISNUMBER($AN263)),"Sin fecha límite",IF($AN263&lt;FechaRef,"Vencida hace "&amp;(FechaRef-$AN263)&amp;IF(FechaRef-$AN263=1," día"," días"),IF($AN263=FechaRef,"Vence hoy",IF($AN263-FechaRef&lt;=DiasAlerta,"Vence en "&amp;($AN263-FechaRef)&amp;IF($AN263-FechaRef=1," día"," días"),"En plazo")))))))</f>
        <v/>
      </c>
      <c r="P263" s="62" t="n"/>
      <c r="Q263" s="58" t="n"/>
      <c r="R263" s="63">
        <f>IF(NOT((COUNTA($B263:$D263)+COUNTA($G263:$L263)+COUNTA($Q263))&gt;0),"",IF((IF($C263="","Falta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",""))="","✔ OK","⚠ "&amp;LEFT(IF($C263="","Falta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",""),LEN(IF($C263="","Falta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",""))-3)))</f>
        <v/>
      </c>
      <c r="S263" s="64">
        <f>IF(NOT((COUNTA($B263:$D263)+COUNTA($G263:$L263)+COUNTA($Q263))&gt;0),"",IF(AND($V263="Sub",N($U263)&gt;0),IF(ISNUMBER(INDEX($AM$5:$AM$1000,$U263-4)),DATE(YEAR(INDEX($AM$5:$AM$1000,$U263-4)),MONTH(INDEX($AM$5:$AM$1000,$U263-4)),1),IF(ISNUMBER(INDEX($AN$5:$AN$1000,$U263-4)),DATE(YEAR(INDEX($AN$5:$AN$1000,$U263-4)),MONTH(INDEX($AN$5:$AN$1000,$U263-4)),1),MesCiclo)),IF(ISNUMBER($AM263),DATE(YEAR($AM263),MONTH($AM263),1),IF(ISNUMBER($AN263),DATE(YEAR($AN263),MONTH($AN263),1),MesCiclo))))</f>
        <v/>
      </c>
      <c r="T263" s="62">
        <f>IF(OR($S263="",$S263&lt;&gt;MesCiclo),"",COUNTIF($S$5:$S263,MesCiclo))</f>
        <v/>
      </c>
      <c r="U263" s="62">
        <f>IF($V263="","",IF($V263="Macro",ROW(),IFERROR(LOOKUP(2,1/($V$5:$V263="Macro"),ROW($V$5:$V263)),0)))</f>
        <v/>
      </c>
      <c r="V263" s="62">
        <f>IF(NOT((COUNTA($B263:$D263)+COUNTA($G263:$L263)+COUNTA($Q263))&gt;0),"",IF($B263="Subactividad","Sub","Macro"))</f>
        <v/>
      </c>
      <c r="W263" s="62">
        <f>IF($V263="Macro",COUNTIFS($U$5:$U$1000,ROW(),$V$5:$V$1000,"Sub"),"")</f>
        <v/>
      </c>
      <c r="X263" s="62">
        <f>IF($V263="","",IF(ISNUMBER($G263),1,IFERROR(LOOKUP(2,1/($I263:$L263&lt;&gt;""),$I263:$L263),0)))</f>
        <v/>
      </c>
      <c r="Y263" s="62">
        <f>IF($V263="","",IF(AND(ISNUMBER($G263),$G263&lt;=IF($S263=MesCiclo,InicioCiclo,$S263+MOD(2-WEEKDAY($S263),7))+6),1,IF(ISNUMBER($I263),$I263,0)))</f>
        <v/>
      </c>
      <c r="Z263" s="62">
        <f>IF($V263="","",IF(AND(ISNUMBER($G263),$G263&lt;=IF($S263=MesCiclo,InicioCiclo,$S263+MOD(2-WEEKDAY($S263),7))+13),1,IF(ISNUMBER($J263),$J263,$Y263)))</f>
        <v/>
      </c>
      <c r="AA263" s="62">
        <f>IF($V263="","",IF(AND(ISNUMBER($G263),$G263&lt;=IF($S263=MesCiclo,InicioCiclo,$S263+MOD(2-WEEKDAY($S263),7))+20),1,IF(ISNUMBER($K263),$K263,$Z263)))</f>
        <v/>
      </c>
      <c r="AB263" s="62">
        <f>IF($V263="","",IF(AND(ISNUMBER($G263),$G263&lt;=IF($S263=MesCiclo,InicioCiclo,$S263+MOD(2-WEEKDAY($S263),7))+27),1,IF(ISNUMBER($L263),$L263,$AA263)))</f>
        <v/>
      </c>
      <c r="AC263" s="62">
        <f>IF($V263="","",IF(AND(ISNUMBER($G263),$G263&lt;=IF($S263=MesCiclo,InicioCiclo,$S263+MOD(2-WEEKDAY($S263),7))+6),1,IF(N($W263)&gt;0,AVERAGEIFS($Y$5:$Y$1000,$U$5:$U$1000,ROW(),$V$5:$V$1000,"Sub"),$Y263)))</f>
        <v/>
      </c>
      <c r="AD263" s="62">
        <f>IF($V263="","",IF(AND(ISNUMBER($G263),$G263&lt;=IF($S263=MesCiclo,InicioCiclo,$S263+MOD(2-WEEKDAY($S263),7))+13),1,IF(N($W263)&gt;0,AVERAGEIFS($Z$5:$Z$1000,$U$5:$U$1000,ROW(),$V$5:$V$1000,"Sub"),$Z263)))</f>
        <v/>
      </c>
      <c r="AE263" s="62">
        <f>IF($V263="","",IF(AND(ISNUMBER($G263),$G263&lt;=IF($S263=MesCiclo,InicioCiclo,$S263+MOD(2-WEEKDAY($S263),7))+20),1,IF(N($W263)&gt;0,AVERAGEIFS($AA$5:$AA$1000,$U$5:$U$1000,ROW(),$V$5:$V$1000,"Sub"),$AA263)))</f>
        <v/>
      </c>
      <c r="AF263" s="62">
        <f>IF($V263="","",IF(AND(ISNUMBER($G263),$G263&lt;=IF($S263=MesCiclo,InicioCiclo,$S263+MOD(2-WEEKDAY($S263),7))+27),1,IF(N($W263)&gt;0,AVERAGEIFS($AB$5:$AB$1000,$U$5:$U$1000,ROW(),$V$5:$V$1000,"Sub"),$AB263)))</f>
        <v/>
      </c>
      <c r="AG263" s="62">
        <f>IF($V263&lt;&gt;"Macro","",IF(COUNTIFS($S$5:$S$1000,$S263,$V$5:$V$1000,"Macro",$H$5:$H$1000,"&gt;0")=0,1/COUNTIFS($S$5:$S$1000,$S263,$V$5:$V$1000,"Macro"),IF(AND(ISNUMBER($H263),N($H263)&gt;0),$H263,SUMIFS($H$5:$H$1000,$S$5:$S$1000,$S263,$V$5:$V$1000,"Macro")/COUNTIFS($S$5:$S$1000,$S263,$V$5:$V$1000,"Macro",$H$5:$H$1000,"&gt;0"))/(COUNTIFS($S$5:$S$1000,$S263,$V$5:$V$1000,"Macro")*SUMIFS($H$5:$H$1000,$S$5:$S$1000,$S263,$V$5:$V$1000,"Macro")/COUNTIFS($S$5:$S$1000,$S263,$V$5:$V$1000,"Macro",$H$5:$H$1000,"&gt;0"))))</f>
        <v/>
      </c>
      <c r="AH263" s="62" t="n"/>
      <c r="AI263" s="62" t="n"/>
      <c r="AJ263" s="62" t="n"/>
      <c r="AK263" s="62" t="n"/>
      <c r="AL263" s="62">
        <f>IF(LEFT($C263,11)="[Jefatura] ",IFERROR(MATCH("Riesgo Normativo|"&amp;MID($C263,12,500),rDname_ADM,0),0),"")</f>
        <v/>
      </c>
      <c r="AM263" s="62">
        <f>IF(N($AL263)&gt;0,INDEX(rIni_ADM,$AL263),IF(ISNUMBER($E263),$E263,""))</f>
        <v/>
      </c>
      <c r="AN263" s="62">
        <f>IF(N($AL263)&gt;0,INDEX(rLim_ADM,$AL263),IF(ISNUMBER($F263),$F263,""))</f>
        <v/>
      </c>
    </row>
    <row r="264">
      <c r="A264" s="56">
        <f>IF(NOT((COUNTA($B264:$D264)+COUNTA($G264:$L264)+COUNTA($Q264))&gt;0),"",IF($V264="Macro",COUNTIFS($V$5:$V264,"Macro",$S$5:$S264,$S264),IF(N($U264)=0,"?",COUNTIFS(INDEX($V$5:$V$1000,1):INDEX($V$5:$V$1000,$U264-4),"Macro",INDEX($S$5:$S$1000,1):INDEX($S$5:$S$1000,$U264-4),INDEX($S$5:$S$1000,$U264-4))&amp;"."&amp;COUNTIFS($U$5:$U264,$U264,$V$5:$V264,"Sub"))))</f>
        <v/>
      </c>
      <c r="B264" s="57" t="n"/>
      <c r="C264" s="58" t="n"/>
      <c r="D264" s="58" t="n"/>
      <c r="E264" s="59">
        <f>IF(N($AL264)&gt;0,INDEX(rIni_ADM,$AL264),"")</f>
        <v/>
      </c>
      <c r="F264" s="59">
        <f>IF(N($AL264)&gt;0,INDEX(rLim_ADM,$AL264),"")</f>
        <v/>
      </c>
      <c r="G264" s="59" t="n"/>
      <c r="H264" s="60" t="n"/>
      <c r="I264" s="60" t="n"/>
      <c r="J264" s="60" t="n"/>
      <c r="K264" s="60" t="n"/>
      <c r="L264" s="60" t="n"/>
      <c r="M264" s="61">
        <f>IF(NOT((COUNTA($B264:$D264)+COUNTA($G264:$L264)+COUNTA($Q264))&gt;0),"",IF(ISNUMBER($G264),1,IF(N($W264)&gt;0,AVERAGEIFS($X$5:$X$1000,$U$5:$U$1000,ROW(),$V$5:$V$1000,"Sub"),$X264)))</f>
        <v/>
      </c>
      <c r="N264" s="56">
        <f>IF($M264="","",IF($M264&gt;=1,"Completado",IF($M264&gt;0,"En curso","Pendiente")))</f>
        <v/>
      </c>
      <c r="O264" s="56">
        <f>IF(NOT((COUNTA($B264:$D264)+COUNTA($G264:$L264)+COUNTA($Q264))&gt;0),"",IF(ISNUMBER($G264),IF(AND(ISNUMBER($AN264),$G264&gt;$AN264),"Cumplida con "&amp;($G264-$AN264)&amp;IF($G264-$AN264=1," día"," días")&amp;" de retraso","Cumplida"),IF(N($M264)&gt;=1,"Cumplida",IF(NOT(ISNUMBER($AN264)),"Sin fecha límite",IF($AN264&lt;FechaRef,"Vencida hace "&amp;(FechaRef-$AN264)&amp;IF(FechaRef-$AN264=1," día"," días"),IF($AN264=FechaRef,"Vence hoy",IF($AN264-FechaRef&lt;=DiasAlerta,"Vence en "&amp;($AN264-FechaRef)&amp;IF($AN264-FechaRef=1," día"," días"),"En plazo")))))))</f>
        <v/>
      </c>
      <c r="P264" s="62" t="n"/>
      <c r="Q264" s="58" t="n"/>
      <c r="R264" s="63">
        <f>IF(NOT((COUNTA($B264:$D264)+COUNTA($G264:$L264)+COUNTA($Q264))&gt;0),"",IF((IF($C264="","Falta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",""))="","✔ OK","⚠ "&amp;LEFT(IF($C264="","Falta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",""),LEN(IF($C264="","Falta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",""))-3)))</f>
        <v/>
      </c>
      <c r="S264" s="64">
        <f>IF(NOT((COUNTA($B264:$D264)+COUNTA($G264:$L264)+COUNTA($Q264))&gt;0),"",IF(AND($V264="Sub",N($U264)&gt;0),IF(ISNUMBER(INDEX($AM$5:$AM$1000,$U264-4)),DATE(YEAR(INDEX($AM$5:$AM$1000,$U264-4)),MONTH(INDEX($AM$5:$AM$1000,$U264-4)),1),IF(ISNUMBER(INDEX($AN$5:$AN$1000,$U264-4)),DATE(YEAR(INDEX($AN$5:$AN$1000,$U264-4)),MONTH(INDEX($AN$5:$AN$1000,$U264-4)),1),MesCiclo)),IF(ISNUMBER($AM264),DATE(YEAR($AM264),MONTH($AM264),1),IF(ISNUMBER($AN264),DATE(YEAR($AN264),MONTH($AN264),1),MesCiclo))))</f>
        <v/>
      </c>
      <c r="T264" s="62">
        <f>IF(OR($S264="",$S264&lt;&gt;MesCiclo),"",COUNTIF($S$5:$S264,MesCiclo))</f>
        <v/>
      </c>
      <c r="U264" s="62">
        <f>IF($V264="","",IF($V264="Macro",ROW(),IFERROR(LOOKUP(2,1/($V$5:$V264="Macro"),ROW($V$5:$V264)),0)))</f>
        <v/>
      </c>
      <c r="V264" s="62">
        <f>IF(NOT((COUNTA($B264:$D264)+COUNTA($G264:$L264)+COUNTA($Q264))&gt;0),"",IF($B264="Subactividad","Sub","Macro"))</f>
        <v/>
      </c>
      <c r="W264" s="62">
        <f>IF($V264="Macro",COUNTIFS($U$5:$U$1000,ROW(),$V$5:$V$1000,"Sub"),"")</f>
        <v/>
      </c>
      <c r="X264" s="62">
        <f>IF($V264="","",IF(ISNUMBER($G264),1,IFERROR(LOOKUP(2,1/($I264:$L264&lt;&gt;""),$I264:$L264),0)))</f>
        <v/>
      </c>
      <c r="Y264" s="62">
        <f>IF($V264="","",IF(AND(ISNUMBER($G264),$G264&lt;=IF($S264=MesCiclo,InicioCiclo,$S264+MOD(2-WEEKDAY($S264),7))+6),1,IF(ISNUMBER($I264),$I264,0)))</f>
        <v/>
      </c>
      <c r="Z264" s="62">
        <f>IF($V264="","",IF(AND(ISNUMBER($G264),$G264&lt;=IF($S264=MesCiclo,InicioCiclo,$S264+MOD(2-WEEKDAY($S264),7))+13),1,IF(ISNUMBER($J264),$J264,$Y264)))</f>
        <v/>
      </c>
      <c r="AA264" s="62">
        <f>IF($V264="","",IF(AND(ISNUMBER($G264),$G264&lt;=IF($S264=MesCiclo,InicioCiclo,$S264+MOD(2-WEEKDAY($S264),7))+20),1,IF(ISNUMBER($K264),$K264,$Z264)))</f>
        <v/>
      </c>
      <c r="AB264" s="62">
        <f>IF($V264="","",IF(AND(ISNUMBER($G264),$G264&lt;=IF($S264=MesCiclo,InicioCiclo,$S264+MOD(2-WEEKDAY($S264),7))+27),1,IF(ISNUMBER($L264),$L264,$AA264)))</f>
        <v/>
      </c>
      <c r="AC264" s="62">
        <f>IF($V264="","",IF(AND(ISNUMBER($G264),$G264&lt;=IF($S264=MesCiclo,InicioCiclo,$S264+MOD(2-WEEKDAY($S264),7))+6),1,IF(N($W264)&gt;0,AVERAGEIFS($Y$5:$Y$1000,$U$5:$U$1000,ROW(),$V$5:$V$1000,"Sub"),$Y264)))</f>
        <v/>
      </c>
      <c r="AD264" s="62">
        <f>IF($V264="","",IF(AND(ISNUMBER($G264),$G264&lt;=IF($S264=MesCiclo,InicioCiclo,$S264+MOD(2-WEEKDAY($S264),7))+13),1,IF(N($W264)&gt;0,AVERAGEIFS($Z$5:$Z$1000,$U$5:$U$1000,ROW(),$V$5:$V$1000,"Sub"),$Z264)))</f>
        <v/>
      </c>
      <c r="AE264" s="62">
        <f>IF($V264="","",IF(AND(ISNUMBER($G264),$G264&lt;=IF($S264=MesCiclo,InicioCiclo,$S264+MOD(2-WEEKDAY($S264),7))+20),1,IF(N($W264)&gt;0,AVERAGEIFS($AA$5:$AA$1000,$U$5:$U$1000,ROW(),$V$5:$V$1000,"Sub"),$AA264)))</f>
        <v/>
      </c>
      <c r="AF264" s="62">
        <f>IF($V264="","",IF(AND(ISNUMBER($G264),$G264&lt;=IF($S264=MesCiclo,InicioCiclo,$S264+MOD(2-WEEKDAY($S264),7))+27),1,IF(N($W264)&gt;0,AVERAGEIFS($AB$5:$AB$1000,$U$5:$U$1000,ROW(),$V$5:$V$1000,"Sub"),$AB264)))</f>
        <v/>
      </c>
      <c r="AG264" s="62">
        <f>IF($V264&lt;&gt;"Macro","",IF(COUNTIFS($S$5:$S$1000,$S264,$V$5:$V$1000,"Macro",$H$5:$H$1000,"&gt;0")=0,1/COUNTIFS($S$5:$S$1000,$S264,$V$5:$V$1000,"Macro"),IF(AND(ISNUMBER($H264),N($H264)&gt;0),$H264,SUMIFS($H$5:$H$1000,$S$5:$S$1000,$S264,$V$5:$V$1000,"Macro")/COUNTIFS($S$5:$S$1000,$S264,$V$5:$V$1000,"Macro",$H$5:$H$1000,"&gt;0"))/(COUNTIFS($S$5:$S$1000,$S264,$V$5:$V$1000,"Macro")*SUMIFS($H$5:$H$1000,$S$5:$S$1000,$S264,$V$5:$V$1000,"Macro")/COUNTIFS($S$5:$S$1000,$S264,$V$5:$V$1000,"Macro",$H$5:$H$1000,"&gt;0"))))</f>
        <v/>
      </c>
      <c r="AH264" s="62" t="n"/>
      <c r="AI264" s="62" t="n"/>
      <c r="AJ264" s="62" t="n"/>
      <c r="AK264" s="62" t="n"/>
      <c r="AL264" s="62">
        <f>IF(LEFT($C264,11)="[Jefatura] ",IFERROR(MATCH("Riesgo Normativo|"&amp;MID($C264,12,500),rDname_ADM,0),0),"")</f>
        <v/>
      </c>
      <c r="AM264" s="62">
        <f>IF(N($AL264)&gt;0,INDEX(rIni_ADM,$AL264),IF(ISNUMBER($E264),$E264,""))</f>
        <v/>
      </c>
      <c r="AN264" s="62">
        <f>IF(N($AL264)&gt;0,INDEX(rLim_ADM,$AL264),IF(ISNUMBER($F264),$F264,""))</f>
        <v/>
      </c>
    </row>
    <row r="265">
      <c r="A265" s="56">
        <f>IF(NOT((COUNTA($B265:$D265)+COUNTA($G265:$L265)+COUNTA($Q265))&gt;0),"",IF($V265="Macro",COUNTIFS($V$5:$V265,"Macro",$S$5:$S265,$S265),IF(N($U265)=0,"?",COUNTIFS(INDEX($V$5:$V$1000,1):INDEX($V$5:$V$1000,$U265-4),"Macro",INDEX($S$5:$S$1000,1):INDEX($S$5:$S$1000,$U265-4),INDEX($S$5:$S$1000,$U265-4))&amp;"."&amp;COUNTIFS($U$5:$U265,$U265,$V$5:$V265,"Sub"))))</f>
        <v/>
      </c>
      <c r="B265" s="57" t="n"/>
      <c r="C265" s="58" t="n"/>
      <c r="D265" s="58" t="n"/>
      <c r="E265" s="59">
        <f>IF(N($AL265)&gt;0,INDEX(rIni_ADM,$AL265),"")</f>
        <v/>
      </c>
      <c r="F265" s="59">
        <f>IF(N($AL265)&gt;0,INDEX(rLim_ADM,$AL265),"")</f>
        <v/>
      </c>
      <c r="G265" s="59" t="n"/>
      <c r="H265" s="60" t="n"/>
      <c r="I265" s="60" t="n"/>
      <c r="J265" s="60" t="n"/>
      <c r="K265" s="60" t="n"/>
      <c r="L265" s="60" t="n"/>
      <c r="M265" s="61">
        <f>IF(NOT((COUNTA($B265:$D265)+COUNTA($G265:$L265)+COUNTA($Q265))&gt;0),"",IF(ISNUMBER($G265),1,IF(N($W265)&gt;0,AVERAGEIFS($X$5:$X$1000,$U$5:$U$1000,ROW(),$V$5:$V$1000,"Sub"),$X265)))</f>
        <v/>
      </c>
      <c r="N265" s="56">
        <f>IF($M265="","",IF($M265&gt;=1,"Completado",IF($M265&gt;0,"En curso","Pendiente")))</f>
        <v/>
      </c>
      <c r="O265" s="56">
        <f>IF(NOT((COUNTA($B265:$D265)+COUNTA($G265:$L265)+COUNTA($Q265))&gt;0),"",IF(ISNUMBER($G265),IF(AND(ISNUMBER($AN265),$G265&gt;$AN265),"Cumplida con "&amp;($G265-$AN265)&amp;IF($G265-$AN265=1," día"," días")&amp;" de retraso","Cumplida"),IF(N($M265)&gt;=1,"Cumplida",IF(NOT(ISNUMBER($AN265)),"Sin fecha límite",IF($AN265&lt;FechaRef,"Vencida hace "&amp;(FechaRef-$AN265)&amp;IF(FechaRef-$AN265=1," día"," días"),IF($AN265=FechaRef,"Vence hoy",IF($AN265-FechaRef&lt;=DiasAlerta,"Vence en "&amp;($AN265-FechaRef)&amp;IF($AN265-FechaRef=1," día"," días"),"En plazo")))))))</f>
        <v/>
      </c>
      <c r="P265" s="62" t="n"/>
      <c r="Q265" s="58" t="n"/>
      <c r="R265" s="63">
        <f>IF(NOT((COUNTA($B265:$D265)+COUNTA($G265:$L265)+COUNTA($Q265))&gt;0),"",IF((IF($C265="","Falta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",""))="","✔ OK","⚠ "&amp;LEFT(IF($C265="","Falta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",""),LEN(IF($C265="","Falta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",""))-3)))</f>
        <v/>
      </c>
      <c r="S265" s="64">
        <f>IF(NOT((COUNTA($B265:$D265)+COUNTA($G265:$L265)+COUNTA($Q265))&gt;0),"",IF(AND($V265="Sub",N($U265)&gt;0),IF(ISNUMBER(INDEX($AM$5:$AM$1000,$U265-4)),DATE(YEAR(INDEX($AM$5:$AM$1000,$U265-4)),MONTH(INDEX($AM$5:$AM$1000,$U265-4)),1),IF(ISNUMBER(INDEX($AN$5:$AN$1000,$U265-4)),DATE(YEAR(INDEX($AN$5:$AN$1000,$U265-4)),MONTH(INDEX($AN$5:$AN$1000,$U265-4)),1),MesCiclo)),IF(ISNUMBER($AM265),DATE(YEAR($AM265),MONTH($AM265),1),IF(ISNUMBER($AN265),DATE(YEAR($AN265),MONTH($AN265),1),MesCiclo))))</f>
        <v/>
      </c>
      <c r="T265" s="62">
        <f>IF(OR($S265="",$S265&lt;&gt;MesCiclo),"",COUNTIF($S$5:$S265,MesCiclo))</f>
        <v/>
      </c>
      <c r="U265" s="62">
        <f>IF($V265="","",IF($V265="Macro",ROW(),IFERROR(LOOKUP(2,1/($V$5:$V265="Macro"),ROW($V$5:$V265)),0)))</f>
        <v/>
      </c>
      <c r="V265" s="62">
        <f>IF(NOT((COUNTA($B265:$D265)+COUNTA($G265:$L265)+COUNTA($Q265))&gt;0),"",IF($B265="Subactividad","Sub","Macro"))</f>
        <v/>
      </c>
      <c r="W265" s="62">
        <f>IF($V265="Macro",COUNTIFS($U$5:$U$1000,ROW(),$V$5:$V$1000,"Sub"),"")</f>
        <v/>
      </c>
      <c r="X265" s="62">
        <f>IF($V265="","",IF(ISNUMBER($G265),1,IFERROR(LOOKUP(2,1/($I265:$L265&lt;&gt;""),$I265:$L265),0)))</f>
        <v/>
      </c>
      <c r="Y265" s="62">
        <f>IF($V265="","",IF(AND(ISNUMBER($G265),$G265&lt;=IF($S265=MesCiclo,InicioCiclo,$S265+MOD(2-WEEKDAY($S265),7))+6),1,IF(ISNUMBER($I265),$I265,0)))</f>
        <v/>
      </c>
      <c r="Z265" s="62">
        <f>IF($V265="","",IF(AND(ISNUMBER($G265),$G265&lt;=IF($S265=MesCiclo,InicioCiclo,$S265+MOD(2-WEEKDAY($S265),7))+13),1,IF(ISNUMBER($J265),$J265,$Y265)))</f>
        <v/>
      </c>
      <c r="AA265" s="62">
        <f>IF($V265="","",IF(AND(ISNUMBER($G265),$G265&lt;=IF($S265=MesCiclo,InicioCiclo,$S265+MOD(2-WEEKDAY($S265),7))+20),1,IF(ISNUMBER($K265),$K265,$Z265)))</f>
        <v/>
      </c>
      <c r="AB265" s="62">
        <f>IF($V265="","",IF(AND(ISNUMBER($G265),$G265&lt;=IF($S265=MesCiclo,InicioCiclo,$S265+MOD(2-WEEKDAY($S265),7))+27),1,IF(ISNUMBER($L265),$L265,$AA265)))</f>
        <v/>
      </c>
      <c r="AC265" s="62">
        <f>IF($V265="","",IF(AND(ISNUMBER($G265),$G265&lt;=IF($S265=MesCiclo,InicioCiclo,$S265+MOD(2-WEEKDAY($S265),7))+6),1,IF(N($W265)&gt;0,AVERAGEIFS($Y$5:$Y$1000,$U$5:$U$1000,ROW(),$V$5:$V$1000,"Sub"),$Y265)))</f>
        <v/>
      </c>
      <c r="AD265" s="62">
        <f>IF($V265="","",IF(AND(ISNUMBER($G265),$G265&lt;=IF($S265=MesCiclo,InicioCiclo,$S265+MOD(2-WEEKDAY($S265),7))+13),1,IF(N($W265)&gt;0,AVERAGEIFS($Z$5:$Z$1000,$U$5:$U$1000,ROW(),$V$5:$V$1000,"Sub"),$Z265)))</f>
        <v/>
      </c>
      <c r="AE265" s="62">
        <f>IF($V265="","",IF(AND(ISNUMBER($G265),$G265&lt;=IF($S265=MesCiclo,InicioCiclo,$S265+MOD(2-WEEKDAY($S265),7))+20),1,IF(N($W265)&gt;0,AVERAGEIFS($AA$5:$AA$1000,$U$5:$U$1000,ROW(),$V$5:$V$1000,"Sub"),$AA265)))</f>
        <v/>
      </c>
      <c r="AF265" s="62">
        <f>IF($V265="","",IF(AND(ISNUMBER($G265),$G265&lt;=IF($S265=MesCiclo,InicioCiclo,$S265+MOD(2-WEEKDAY($S265),7))+27),1,IF(N($W265)&gt;0,AVERAGEIFS($AB$5:$AB$1000,$U$5:$U$1000,ROW(),$V$5:$V$1000,"Sub"),$AB265)))</f>
        <v/>
      </c>
      <c r="AG265" s="62">
        <f>IF($V265&lt;&gt;"Macro","",IF(COUNTIFS($S$5:$S$1000,$S265,$V$5:$V$1000,"Macro",$H$5:$H$1000,"&gt;0")=0,1/COUNTIFS($S$5:$S$1000,$S265,$V$5:$V$1000,"Macro"),IF(AND(ISNUMBER($H265),N($H265)&gt;0),$H265,SUMIFS($H$5:$H$1000,$S$5:$S$1000,$S265,$V$5:$V$1000,"Macro")/COUNTIFS($S$5:$S$1000,$S265,$V$5:$V$1000,"Macro",$H$5:$H$1000,"&gt;0"))/(COUNTIFS($S$5:$S$1000,$S265,$V$5:$V$1000,"Macro")*SUMIFS($H$5:$H$1000,$S$5:$S$1000,$S265,$V$5:$V$1000,"Macro")/COUNTIFS($S$5:$S$1000,$S265,$V$5:$V$1000,"Macro",$H$5:$H$1000,"&gt;0"))))</f>
        <v/>
      </c>
      <c r="AH265" s="62" t="n"/>
      <c r="AI265" s="62" t="n"/>
      <c r="AJ265" s="62" t="n"/>
      <c r="AK265" s="62" t="n"/>
      <c r="AL265" s="62">
        <f>IF(LEFT($C265,11)="[Jefatura] ",IFERROR(MATCH("Riesgo Normativo|"&amp;MID($C265,12,500),rDname_ADM,0),0),"")</f>
        <v/>
      </c>
      <c r="AM265" s="62">
        <f>IF(N($AL265)&gt;0,INDEX(rIni_ADM,$AL265),IF(ISNUMBER($E265),$E265,""))</f>
        <v/>
      </c>
      <c r="AN265" s="62">
        <f>IF(N($AL265)&gt;0,INDEX(rLim_ADM,$AL265),IF(ISNUMBER($F265),$F265,""))</f>
        <v/>
      </c>
    </row>
    <row r="266">
      <c r="A266" s="56">
        <f>IF(NOT((COUNTA($B266:$D266)+COUNTA($G266:$L266)+COUNTA($Q266))&gt;0),"",IF($V266="Macro",COUNTIFS($V$5:$V266,"Macro",$S$5:$S266,$S266),IF(N($U266)=0,"?",COUNTIFS(INDEX($V$5:$V$1000,1):INDEX($V$5:$V$1000,$U266-4),"Macro",INDEX($S$5:$S$1000,1):INDEX($S$5:$S$1000,$U266-4),INDEX($S$5:$S$1000,$U266-4))&amp;"."&amp;COUNTIFS($U$5:$U266,$U266,$V$5:$V266,"Sub"))))</f>
        <v/>
      </c>
      <c r="B266" s="57" t="n"/>
      <c r="C266" s="58" t="n"/>
      <c r="D266" s="58" t="n"/>
      <c r="E266" s="59">
        <f>IF(N($AL266)&gt;0,INDEX(rIni_ADM,$AL266),"")</f>
        <v/>
      </c>
      <c r="F266" s="59">
        <f>IF(N($AL266)&gt;0,INDEX(rLim_ADM,$AL266),"")</f>
        <v/>
      </c>
      <c r="G266" s="59" t="n"/>
      <c r="H266" s="60" t="n"/>
      <c r="I266" s="60" t="n"/>
      <c r="J266" s="60" t="n"/>
      <c r="K266" s="60" t="n"/>
      <c r="L266" s="60" t="n"/>
      <c r="M266" s="61">
        <f>IF(NOT((COUNTA($B266:$D266)+COUNTA($G266:$L266)+COUNTA($Q266))&gt;0),"",IF(ISNUMBER($G266),1,IF(N($W266)&gt;0,AVERAGEIFS($X$5:$X$1000,$U$5:$U$1000,ROW(),$V$5:$V$1000,"Sub"),$X266)))</f>
        <v/>
      </c>
      <c r="N266" s="56">
        <f>IF($M266="","",IF($M266&gt;=1,"Completado",IF($M266&gt;0,"En curso","Pendiente")))</f>
        <v/>
      </c>
      <c r="O266" s="56">
        <f>IF(NOT((COUNTA($B266:$D266)+COUNTA($G266:$L266)+COUNTA($Q266))&gt;0),"",IF(ISNUMBER($G266),IF(AND(ISNUMBER($AN266),$G266&gt;$AN266),"Cumplida con "&amp;($G266-$AN266)&amp;IF($G266-$AN266=1," día"," días")&amp;" de retraso","Cumplida"),IF(N($M266)&gt;=1,"Cumplida",IF(NOT(ISNUMBER($AN266)),"Sin fecha límite",IF($AN266&lt;FechaRef,"Vencida hace "&amp;(FechaRef-$AN266)&amp;IF(FechaRef-$AN266=1," día"," días"),IF($AN266=FechaRef,"Vence hoy",IF($AN266-FechaRef&lt;=DiasAlerta,"Vence en "&amp;($AN266-FechaRef)&amp;IF($AN266-FechaRef=1," día"," días"),"En plazo")))))))</f>
        <v/>
      </c>
      <c r="P266" s="62" t="n"/>
      <c r="Q266" s="58" t="n"/>
      <c r="R266" s="63">
        <f>IF(NOT((COUNTA($B266:$D266)+COUNTA($G266:$L266)+COUNTA($Q266))&gt;0),"",IF((IF($C266="","Falta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",""))="","✔ OK","⚠ "&amp;LEFT(IF($C266="","Falta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",""),LEN(IF($C266="","Falta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",""))-3)))</f>
        <v/>
      </c>
      <c r="S266" s="64">
        <f>IF(NOT((COUNTA($B266:$D266)+COUNTA($G266:$L266)+COUNTA($Q266))&gt;0),"",IF(AND($V266="Sub",N($U266)&gt;0),IF(ISNUMBER(INDEX($AM$5:$AM$1000,$U266-4)),DATE(YEAR(INDEX($AM$5:$AM$1000,$U266-4)),MONTH(INDEX($AM$5:$AM$1000,$U266-4)),1),IF(ISNUMBER(INDEX($AN$5:$AN$1000,$U266-4)),DATE(YEAR(INDEX($AN$5:$AN$1000,$U266-4)),MONTH(INDEX($AN$5:$AN$1000,$U266-4)),1),MesCiclo)),IF(ISNUMBER($AM266),DATE(YEAR($AM266),MONTH($AM266),1),IF(ISNUMBER($AN266),DATE(YEAR($AN266),MONTH($AN266),1),MesCiclo))))</f>
        <v/>
      </c>
      <c r="T266" s="62">
        <f>IF(OR($S266="",$S266&lt;&gt;MesCiclo),"",COUNTIF($S$5:$S266,MesCiclo))</f>
        <v/>
      </c>
      <c r="U266" s="62">
        <f>IF($V266="","",IF($V266="Macro",ROW(),IFERROR(LOOKUP(2,1/($V$5:$V266="Macro"),ROW($V$5:$V266)),0)))</f>
        <v/>
      </c>
      <c r="V266" s="62">
        <f>IF(NOT((COUNTA($B266:$D266)+COUNTA($G266:$L266)+COUNTA($Q266))&gt;0),"",IF($B266="Subactividad","Sub","Macro"))</f>
        <v/>
      </c>
      <c r="W266" s="62">
        <f>IF($V266="Macro",COUNTIFS($U$5:$U$1000,ROW(),$V$5:$V$1000,"Sub"),"")</f>
        <v/>
      </c>
      <c r="X266" s="62">
        <f>IF($V266="","",IF(ISNUMBER($G266),1,IFERROR(LOOKUP(2,1/($I266:$L266&lt;&gt;""),$I266:$L266),0)))</f>
        <v/>
      </c>
      <c r="Y266" s="62">
        <f>IF($V266="","",IF(AND(ISNUMBER($G266),$G266&lt;=IF($S266=MesCiclo,InicioCiclo,$S266+MOD(2-WEEKDAY($S266),7))+6),1,IF(ISNUMBER($I266),$I266,0)))</f>
        <v/>
      </c>
      <c r="Z266" s="62">
        <f>IF($V266="","",IF(AND(ISNUMBER($G266),$G266&lt;=IF($S266=MesCiclo,InicioCiclo,$S266+MOD(2-WEEKDAY($S266),7))+13),1,IF(ISNUMBER($J266),$J266,$Y266)))</f>
        <v/>
      </c>
      <c r="AA266" s="62">
        <f>IF($V266="","",IF(AND(ISNUMBER($G266),$G266&lt;=IF($S266=MesCiclo,InicioCiclo,$S266+MOD(2-WEEKDAY($S266),7))+20),1,IF(ISNUMBER($K266),$K266,$Z266)))</f>
        <v/>
      </c>
      <c r="AB266" s="62">
        <f>IF($V266="","",IF(AND(ISNUMBER($G266),$G266&lt;=IF($S266=MesCiclo,InicioCiclo,$S266+MOD(2-WEEKDAY($S266),7))+27),1,IF(ISNUMBER($L266),$L266,$AA266)))</f>
        <v/>
      </c>
      <c r="AC266" s="62">
        <f>IF($V266="","",IF(AND(ISNUMBER($G266),$G266&lt;=IF($S266=MesCiclo,InicioCiclo,$S266+MOD(2-WEEKDAY($S266),7))+6),1,IF(N($W266)&gt;0,AVERAGEIFS($Y$5:$Y$1000,$U$5:$U$1000,ROW(),$V$5:$V$1000,"Sub"),$Y266)))</f>
        <v/>
      </c>
      <c r="AD266" s="62">
        <f>IF($V266="","",IF(AND(ISNUMBER($G266),$G266&lt;=IF($S266=MesCiclo,InicioCiclo,$S266+MOD(2-WEEKDAY($S266),7))+13),1,IF(N($W266)&gt;0,AVERAGEIFS($Z$5:$Z$1000,$U$5:$U$1000,ROW(),$V$5:$V$1000,"Sub"),$Z266)))</f>
        <v/>
      </c>
      <c r="AE266" s="62">
        <f>IF($V266="","",IF(AND(ISNUMBER($G266),$G266&lt;=IF($S266=MesCiclo,InicioCiclo,$S266+MOD(2-WEEKDAY($S266),7))+20),1,IF(N($W266)&gt;0,AVERAGEIFS($AA$5:$AA$1000,$U$5:$U$1000,ROW(),$V$5:$V$1000,"Sub"),$AA266)))</f>
        <v/>
      </c>
      <c r="AF266" s="62">
        <f>IF($V266="","",IF(AND(ISNUMBER($G266),$G266&lt;=IF($S266=MesCiclo,InicioCiclo,$S266+MOD(2-WEEKDAY($S266),7))+27),1,IF(N($W266)&gt;0,AVERAGEIFS($AB$5:$AB$1000,$U$5:$U$1000,ROW(),$V$5:$V$1000,"Sub"),$AB266)))</f>
        <v/>
      </c>
      <c r="AG266" s="62">
        <f>IF($V266&lt;&gt;"Macro","",IF(COUNTIFS($S$5:$S$1000,$S266,$V$5:$V$1000,"Macro",$H$5:$H$1000,"&gt;0")=0,1/COUNTIFS($S$5:$S$1000,$S266,$V$5:$V$1000,"Macro"),IF(AND(ISNUMBER($H266),N($H266)&gt;0),$H266,SUMIFS($H$5:$H$1000,$S$5:$S$1000,$S266,$V$5:$V$1000,"Macro")/COUNTIFS($S$5:$S$1000,$S266,$V$5:$V$1000,"Macro",$H$5:$H$1000,"&gt;0"))/(COUNTIFS($S$5:$S$1000,$S266,$V$5:$V$1000,"Macro")*SUMIFS($H$5:$H$1000,$S$5:$S$1000,$S266,$V$5:$V$1000,"Macro")/COUNTIFS($S$5:$S$1000,$S266,$V$5:$V$1000,"Macro",$H$5:$H$1000,"&gt;0"))))</f>
        <v/>
      </c>
      <c r="AH266" s="62" t="n"/>
      <c r="AI266" s="62" t="n"/>
      <c r="AJ266" s="62" t="n"/>
      <c r="AK266" s="62" t="n"/>
      <c r="AL266" s="62">
        <f>IF(LEFT($C266,11)="[Jefatura] ",IFERROR(MATCH("Riesgo Normativo|"&amp;MID($C266,12,500),rDname_ADM,0),0),"")</f>
        <v/>
      </c>
      <c r="AM266" s="62">
        <f>IF(N($AL266)&gt;0,INDEX(rIni_ADM,$AL266),IF(ISNUMBER($E266),$E266,""))</f>
        <v/>
      </c>
      <c r="AN266" s="62">
        <f>IF(N($AL266)&gt;0,INDEX(rLim_ADM,$AL266),IF(ISNUMBER($F266),$F266,""))</f>
        <v/>
      </c>
    </row>
    <row r="267">
      <c r="A267" s="56">
        <f>IF(NOT((COUNTA($B267:$D267)+COUNTA($G267:$L267)+COUNTA($Q267))&gt;0),"",IF($V267="Macro",COUNTIFS($V$5:$V267,"Macro",$S$5:$S267,$S267),IF(N($U267)=0,"?",COUNTIFS(INDEX($V$5:$V$1000,1):INDEX($V$5:$V$1000,$U267-4),"Macro",INDEX($S$5:$S$1000,1):INDEX($S$5:$S$1000,$U267-4),INDEX($S$5:$S$1000,$U267-4))&amp;"."&amp;COUNTIFS($U$5:$U267,$U267,$V$5:$V267,"Sub"))))</f>
        <v/>
      </c>
      <c r="B267" s="57" t="n"/>
      <c r="C267" s="58" t="n"/>
      <c r="D267" s="58" t="n"/>
      <c r="E267" s="59">
        <f>IF(N($AL267)&gt;0,INDEX(rIni_ADM,$AL267),"")</f>
        <v/>
      </c>
      <c r="F267" s="59">
        <f>IF(N($AL267)&gt;0,INDEX(rLim_ADM,$AL267),"")</f>
        <v/>
      </c>
      <c r="G267" s="59" t="n"/>
      <c r="H267" s="60" t="n"/>
      <c r="I267" s="60" t="n"/>
      <c r="J267" s="60" t="n"/>
      <c r="K267" s="60" t="n"/>
      <c r="L267" s="60" t="n"/>
      <c r="M267" s="61">
        <f>IF(NOT((COUNTA($B267:$D267)+COUNTA($G267:$L267)+COUNTA($Q267))&gt;0),"",IF(ISNUMBER($G267),1,IF(N($W267)&gt;0,AVERAGEIFS($X$5:$X$1000,$U$5:$U$1000,ROW(),$V$5:$V$1000,"Sub"),$X267)))</f>
        <v/>
      </c>
      <c r="N267" s="56">
        <f>IF($M267="","",IF($M267&gt;=1,"Completado",IF($M267&gt;0,"En curso","Pendiente")))</f>
        <v/>
      </c>
      <c r="O267" s="56">
        <f>IF(NOT((COUNTA($B267:$D267)+COUNTA($G267:$L267)+COUNTA($Q267))&gt;0),"",IF(ISNUMBER($G267),IF(AND(ISNUMBER($AN267),$G267&gt;$AN267),"Cumplida con "&amp;($G267-$AN267)&amp;IF($G267-$AN267=1," día"," días")&amp;" de retraso","Cumplida"),IF(N($M267)&gt;=1,"Cumplida",IF(NOT(ISNUMBER($AN267)),"Sin fecha límite",IF($AN267&lt;FechaRef,"Vencida hace "&amp;(FechaRef-$AN267)&amp;IF(FechaRef-$AN267=1," día"," días"),IF($AN267=FechaRef,"Vence hoy",IF($AN267-FechaRef&lt;=DiasAlerta,"Vence en "&amp;($AN267-FechaRef)&amp;IF($AN267-FechaRef=1," día"," días"),"En plazo")))))))</f>
        <v/>
      </c>
      <c r="P267" s="62" t="n"/>
      <c r="Q267" s="58" t="n"/>
      <c r="R267" s="63">
        <f>IF(NOT((COUNTA($B267:$D267)+COUNTA($G267:$L267)+COUNTA($Q267))&gt;0),"",IF((IF($C267="","Falta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",""))="","✔ OK","⚠ "&amp;LEFT(IF($C267="","Falta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",""),LEN(IF($C267="","Falta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",""))-3)))</f>
        <v/>
      </c>
      <c r="S267" s="64">
        <f>IF(NOT((COUNTA($B267:$D267)+COUNTA($G267:$L267)+COUNTA($Q267))&gt;0),"",IF(AND($V267="Sub",N($U267)&gt;0),IF(ISNUMBER(INDEX($AM$5:$AM$1000,$U267-4)),DATE(YEAR(INDEX($AM$5:$AM$1000,$U267-4)),MONTH(INDEX($AM$5:$AM$1000,$U267-4)),1),IF(ISNUMBER(INDEX($AN$5:$AN$1000,$U267-4)),DATE(YEAR(INDEX($AN$5:$AN$1000,$U267-4)),MONTH(INDEX($AN$5:$AN$1000,$U267-4)),1),MesCiclo)),IF(ISNUMBER($AM267),DATE(YEAR($AM267),MONTH($AM267),1),IF(ISNUMBER($AN267),DATE(YEAR($AN267),MONTH($AN267),1),MesCiclo))))</f>
        <v/>
      </c>
      <c r="T267" s="62">
        <f>IF(OR($S267="",$S267&lt;&gt;MesCiclo),"",COUNTIF($S$5:$S267,MesCiclo))</f>
        <v/>
      </c>
      <c r="U267" s="62">
        <f>IF($V267="","",IF($V267="Macro",ROW(),IFERROR(LOOKUP(2,1/($V$5:$V267="Macro"),ROW($V$5:$V267)),0)))</f>
        <v/>
      </c>
      <c r="V267" s="62">
        <f>IF(NOT((COUNTA($B267:$D267)+COUNTA($G267:$L267)+COUNTA($Q267))&gt;0),"",IF($B267="Subactividad","Sub","Macro"))</f>
        <v/>
      </c>
      <c r="W267" s="62">
        <f>IF($V267="Macro",COUNTIFS($U$5:$U$1000,ROW(),$V$5:$V$1000,"Sub"),"")</f>
        <v/>
      </c>
      <c r="X267" s="62">
        <f>IF($V267="","",IF(ISNUMBER($G267),1,IFERROR(LOOKUP(2,1/($I267:$L267&lt;&gt;""),$I267:$L267),0)))</f>
        <v/>
      </c>
      <c r="Y267" s="62">
        <f>IF($V267="","",IF(AND(ISNUMBER($G267),$G267&lt;=IF($S267=MesCiclo,InicioCiclo,$S267+MOD(2-WEEKDAY($S267),7))+6),1,IF(ISNUMBER($I267),$I267,0)))</f>
        <v/>
      </c>
      <c r="Z267" s="62">
        <f>IF($V267="","",IF(AND(ISNUMBER($G267),$G267&lt;=IF($S267=MesCiclo,InicioCiclo,$S267+MOD(2-WEEKDAY($S267),7))+13),1,IF(ISNUMBER($J267),$J267,$Y267)))</f>
        <v/>
      </c>
      <c r="AA267" s="62">
        <f>IF($V267="","",IF(AND(ISNUMBER($G267),$G267&lt;=IF($S267=MesCiclo,InicioCiclo,$S267+MOD(2-WEEKDAY($S267),7))+20),1,IF(ISNUMBER($K267),$K267,$Z267)))</f>
        <v/>
      </c>
      <c r="AB267" s="62">
        <f>IF($V267="","",IF(AND(ISNUMBER($G267),$G267&lt;=IF($S267=MesCiclo,InicioCiclo,$S267+MOD(2-WEEKDAY($S267),7))+27),1,IF(ISNUMBER($L267),$L267,$AA267)))</f>
        <v/>
      </c>
      <c r="AC267" s="62">
        <f>IF($V267="","",IF(AND(ISNUMBER($G267),$G267&lt;=IF($S267=MesCiclo,InicioCiclo,$S267+MOD(2-WEEKDAY($S267),7))+6),1,IF(N($W267)&gt;0,AVERAGEIFS($Y$5:$Y$1000,$U$5:$U$1000,ROW(),$V$5:$V$1000,"Sub"),$Y267)))</f>
        <v/>
      </c>
      <c r="AD267" s="62">
        <f>IF($V267="","",IF(AND(ISNUMBER($G267),$G267&lt;=IF($S267=MesCiclo,InicioCiclo,$S267+MOD(2-WEEKDAY($S267),7))+13),1,IF(N($W267)&gt;0,AVERAGEIFS($Z$5:$Z$1000,$U$5:$U$1000,ROW(),$V$5:$V$1000,"Sub"),$Z267)))</f>
        <v/>
      </c>
      <c r="AE267" s="62">
        <f>IF($V267="","",IF(AND(ISNUMBER($G267),$G267&lt;=IF($S267=MesCiclo,InicioCiclo,$S267+MOD(2-WEEKDAY($S267),7))+20),1,IF(N($W267)&gt;0,AVERAGEIFS($AA$5:$AA$1000,$U$5:$U$1000,ROW(),$V$5:$V$1000,"Sub"),$AA267)))</f>
        <v/>
      </c>
      <c r="AF267" s="62">
        <f>IF($V267="","",IF(AND(ISNUMBER($G267),$G267&lt;=IF($S267=MesCiclo,InicioCiclo,$S267+MOD(2-WEEKDAY($S267),7))+27),1,IF(N($W267)&gt;0,AVERAGEIFS($AB$5:$AB$1000,$U$5:$U$1000,ROW(),$V$5:$V$1000,"Sub"),$AB267)))</f>
        <v/>
      </c>
      <c r="AG267" s="62">
        <f>IF($V267&lt;&gt;"Macro","",IF(COUNTIFS($S$5:$S$1000,$S267,$V$5:$V$1000,"Macro",$H$5:$H$1000,"&gt;0")=0,1/COUNTIFS($S$5:$S$1000,$S267,$V$5:$V$1000,"Macro"),IF(AND(ISNUMBER($H267),N($H267)&gt;0),$H267,SUMIFS($H$5:$H$1000,$S$5:$S$1000,$S267,$V$5:$V$1000,"Macro")/COUNTIFS($S$5:$S$1000,$S267,$V$5:$V$1000,"Macro",$H$5:$H$1000,"&gt;0"))/(COUNTIFS($S$5:$S$1000,$S267,$V$5:$V$1000,"Macro")*SUMIFS($H$5:$H$1000,$S$5:$S$1000,$S267,$V$5:$V$1000,"Macro")/COUNTIFS($S$5:$S$1000,$S267,$V$5:$V$1000,"Macro",$H$5:$H$1000,"&gt;0"))))</f>
        <v/>
      </c>
      <c r="AH267" s="62" t="n"/>
      <c r="AI267" s="62" t="n"/>
      <c r="AJ267" s="62" t="n"/>
      <c r="AK267" s="62" t="n"/>
      <c r="AL267" s="62">
        <f>IF(LEFT($C267,11)="[Jefatura] ",IFERROR(MATCH("Riesgo Normativo|"&amp;MID($C267,12,500),rDname_ADM,0),0),"")</f>
        <v/>
      </c>
      <c r="AM267" s="62">
        <f>IF(N($AL267)&gt;0,INDEX(rIni_ADM,$AL267),IF(ISNUMBER($E267),$E267,""))</f>
        <v/>
      </c>
      <c r="AN267" s="62">
        <f>IF(N($AL267)&gt;0,INDEX(rLim_ADM,$AL267),IF(ISNUMBER($F267),$F267,""))</f>
        <v/>
      </c>
    </row>
    <row r="268">
      <c r="A268" s="56">
        <f>IF(NOT((COUNTA($B268:$D268)+COUNTA($G268:$L268)+COUNTA($Q268))&gt;0),"",IF($V268="Macro",COUNTIFS($V$5:$V268,"Macro",$S$5:$S268,$S268),IF(N($U268)=0,"?",COUNTIFS(INDEX($V$5:$V$1000,1):INDEX($V$5:$V$1000,$U268-4),"Macro",INDEX($S$5:$S$1000,1):INDEX($S$5:$S$1000,$U268-4),INDEX($S$5:$S$1000,$U268-4))&amp;"."&amp;COUNTIFS($U$5:$U268,$U268,$V$5:$V268,"Sub"))))</f>
        <v/>
      </c>
      <c r="B268" s="57" t="n"/>
      <c r="C268" s="58" t="n"/>
      <c r="D268" s="58" t="n"/>
      <c r="E268" s="59">
        <f>IF(N($AL268)&gt;0,INDEX(rIni_ADM,$AL268),"")</f>
        <v/>
      </c>
      <c r="F268" s="59">
        <f>IF(N($AL268)&gt;0,INDEX(rLim_ADM,$AL268),"")</f>
        <v/>
      </c>
      <c r="G268" s="59" t="n"/>
      <c r="H268" s="60" t="n"/>
      <c r="I268" s="60" t="n"/>
      <c r="J268" s="60" t="n"/>
      <c r="K268" s="60" t="n"/>
      <c r="L268" s="60" t="n"/>
      <c r="M268" s="61">
        <f>IF(NOT((COUNTA($B268:$D268)+COUNTA($G268:$L268)+COUNTA($Q268))&gt;0),"",IF(ISNUMBER($G268),1,IF(N($W268)&gt;0,AVERAGEIFS($X$5:$X$1000,$U$5:$U$1000,ROW(),$V$5:$V$1000,"Sub"),$X268)))</f>
        <v/>
      </c>
      <c r="N268" s="56">
        <f>IF($M268="","",IF($M268&gt;=1,"Completado",IF($M268&gt;0,"En curso","Pendiente")))</f>
        <v/>
      </c>
      <c r="O268" s="56">
        <f>IF(NOT((COUNTA($B268:$D268)+COUNTA($G268:$L268)+COUNTA($Q268))&gt;0),"",IF(ISNUMBER($G268),IF(AND(ISNUMBER($AN268),$G268&gt;$AN268),"Cumplida con "&amp;($G268-$AN268)&amp;IF($G268-$AN268=1," día"," días")&amp;" de retraso","Cumplida"),IF(N($M268)&gt;=1,"Cumplida",IF(NOT(ISNUMBER($AN268)),"Sin fecha límite",IF($AN268&lt;FechaRef,"Vencida hace "&amp;(FechaRef-$AN268)&amp;IF(FechaRef-$AN268=1," día"," días"),IF($AN268=FechaRef,"Vence hoy",IF($AN268-FechaRef&lt;=DiasAlerta,"Vence en "&amp;($AN268-FechaRef)&amp;IF($AN268-FechaRef=1," día"," días"),"En plazo")))))))</f>
        <v/>
      </c>
      <c r="P268" s="62" t="n"/>
      <c r="Q268" s="58" t="n"/>
      <c r="R268" s="63">
        <f>IF(NOT((COUNTA($B268:$D268)+COUNTA($G268:$L268)+COUNTA($Q268))&gt;0),"",IF((IF($C268="","Falta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",""))="","✔ OK","⚠ "&amp;LEFT(IF($C268="","Falta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",""),LEN(IF($C268="","Falta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",""))-3)))</f>
        <v/>
      </c>
      <c r="S268" s="64">
        <f>IF(NOT((COUNTA($B268:$D268)+COUNTA($G268:$L268)+COUNTA($Q268))&gt;0),"",IF(AND($V268="Sub",N($U268)&gt;0),IF(ISNUMBER(INDEX($AM$5:$AM$1000,$U268-4)),DATE(YEAR(INDEX($AM$5:$AM$1000,$U268-4)),MONTH(INDEX($AM$5:$AM$1000,$U268-4)),1),IF(ISNUMBER(INDEX($AN$5:$AN$1000,$U268-4)),DATE(YEAR(INDEX($AN$5:$AN$1000,$U268-4)),MONTH(INDEX($AN$5:$AN$1000,$U268-4)),1),MesCiclo)),IF(ISNUMBER($AM268),DATE(YEAR($AM268),MONTH($AM268),1),IF(ISNUMBER($AN268),DATE(YEAR($AN268),MONTH($AN268),1),MesCiclo))))</f>
        <v/>
      </c>
      <c r="T268" s="62">
        <f>IF(OR($S268="",$S268&lt;&gt;MesCiclo),"",COUNTIF($S$5:$S268,MesCiclo))</f>
        <v/>
      </c>
      <c r="U268" s="62">
        <f>IF($V268="","",IF($V268="Macro",ROW(),IFERROR(LOOKUP(2,1/($V$5:$V268="Macro"),ROW($V$5:$V268)),0)))</f>
        <v/>
      </c>
      <c r="V268" s="62">
        <f>IF(NOT((COUNTA($B268:$D268)+COUNTA($G268:$L268)+COUNTA($Q268))&gt;0),"",IF($B268="Subactividad","Sub","Macro"))</f>
        <v/>
      </c>
      <c r="W268" s="62">
        <f>IF($V268="Macro",COUNTIFS($U$5:$U$1000,ROW(),$V$5:$V$1000,"Sub"),"")</f>
        <v/>
      </c>
      <c r="X268" s="62">
        <f>IF($V268="","",IF(ISNUMBER($G268),1,IFERROR(LOOKUP(2,1/($I268:$L268&lt;&gt;""),$I268:$L268),0)))</f>
        <v/>
      </c>
      <c r="Y268" s="62">
        <f>IF($V268="","",IF(AND(ISNUMBER($G268),$G268&lt;=IF($S268=MesCiclo,InicioCiclo,$S268+MOD(2-WEEKDAY($S268),7))+6),1,IF(ISNUMBER($I268),$I268,0)))</f>
        <v/>
      </c>
      <c r="Z268" s="62">
        <f>IF($V268="","",IF(AND(ISNUMBER($G268),$G268&lt;=IF($S268=MesCiclo,InicioCiclo,$S268+MOD(2-WEEKDAY($S268),7))+13),1,IF(ISNUMBER($J268),$J268,$Y268)))</f>
        <v/>
      </c>
      <c r="AA268" s="62">
        <f>IF($V268="","",IF(AND(ISNUMBER($G268),$G268&lt;=IF($S268=MesCiclo,InicioCiclo,$S268+MOD(2-WEEKDAY($S268),7))+20),1,IF(ISNUMBER($K268),$K268,$Z268)))</f>
        <v/>
      </c>
      <c r="AB268" s="62">
        <f>IF($V268="","",IF(AND(ISNUMBER($G268),$G268&lt;=IF($S268=MesCiclo,InicioCiclo,$S268+MOD(2-WEEKDAY($S268),7))+27),1,IF(ISNUMBER($L268),$L268,$AA268)))</f>
        <v/>
      </c>
      <c r="AC268" s="62">
        <f>IF($V268="","",IF(AND(ISNUMBER($G268),$G268&lt;=IF($S268=MesCiclo,InicioCiclo,$S268+MOD(2-WEEKDAY($S268),7))+6),1,IF(N($W268)&gt;0,AVERAGEIFS($Y$5:$Y$1000,$U$5:$U$1000,ROW(),$V$5:$V$1000,"Sub"),$Y268)))</f>
        <v/>
      </c>
      <c r="AD268" s="62">
        <f>IF($V268="","",IF(AND(ISNUMBER($G268),$G268&lt;=IF($S268=MesCiclo,InicioCiclo,$S268+MOD(2-WEEKDAY($S268),7))+13),1,IF(N($W268)&gt;0,AVERAGEIFS($Z$5:$Z$1000,$U$5:$U$1000,ROW(),$V$5:$V$1000,"Sub"),$Z268)))</f>
        <v/>
      </c>
      <c r="AE268" s="62">
        <f>IF($V268="","",IF(AND(ISNUMBER($G268),$G268&lt;=IF($S268=MesCiclo,InicioCiclo,$S268+MOD(2-WEEKDAY($S268),7))+20),1,IF(N($W268)&gt;0,AVERAGEIFS($AA$5:$AA$1000,$U$5:$U$1000,ROW(),$V$5:$V$1000,"Sub"),$AA268)))</f>
        <v/>
      </c>
      <c r="AF268" s="62">
        <f>IF($V268="","",IF(AND(ISNUMBER($G268),$G268&lt;=IF($S268=MesCiclo,InicioCiclo,$S268+MOD(2-WEEKDAY($S268),7))+27),1,IF(N($W268)&gt;0,AVERAGEIFS($AB$5:$AB$1000,$U$5:$U$1000,ROW(),$V$5:$V$1000,"Sub"),$AB268)))</f>
        <v/>
      </c>
      <c r="AG268" s="62">
        <f>IF($V268&lt;&gt;"Macro","",IF(COUNTIFS($S$5:$S$1000,$S268,$V$5:$V$1000,"Macro",$H$5:$H$1000,"&gt;0")=0,1/COUNTIFS($S$5:$S$1000,$S268,$V$5:$V$1000,"Macro"),IF(AND(ISNUMBER($H268),N($H268)&gt;0),$H268,SUMIFS($H$5:$H$1000,$S$5:$S$1000,$S268,$V$5:$V$1000,"Macro")/COUNTIFS($S$5:$S$1000,$S268,$V$5:$V$1000,"Macro",$H$5:$H$1000,"&gt;0"))/(COUNTIFS($S$5:$S$1000,$S268,$V$5:$V$1000,"Macro")*SUMIFS($H$5:$H$1000,$S$5:$S$1000,$S268,$V$5:$V$1000,"Macro")/COUNTIFS($S$5:$S$1000,$S268,$V$5:$V$1000,"Macro",$H$5:$H$1000,"&gt;0"))))</f>
        <v/>
      </c>
      <c r="AH268" s="62" t="n"/>
      <c r="AI268" s="62" t="n"/>
      <c r="AJ268" s="62" t="n"/>
      <c r="AK268" s="62" t="n"/>
      <c r="AL268" s="62">
        <f>IF(LEFT($C268,11)="[Jefatura] ",IFERROR(MATCH("Riesgo Normativo|"&amp;MID($C268,12,500),rDname_ADM,0),0),"")</f>
        <v/>
      </c>
      <c r="AM268" s="62">
        <f>IF(N($AL268)&gt;0,INDEX(rIni_ADM,$AL268),IF(ISNUMBER($E268),$E268,""))</f>
        <v/>
      </c>
      <c r="AN268" s="62">
        <f>IF(N($AL268)&gt;0,INDEX(rLim_ADM,$AL268),IF(ISNUMBER($F268),$F268,""))</f>
        <v/>
      </c>
    </row>
    <row r="269">
      <c r="A269" s="56">
        <f>IF(NOT((COUNTA($B269:$D269)+COUNTA($G269:$L269)+COUNTA($Q269))&gt;0),"",IF($V269="Macro",COUNTIFS($V$5:$V269,"Macro",$S$5:$S269,$S269),IF(N($U269)=0,"?",COUNTIFS(INDEX($V$5:$V$1000,1):INDEX($V$5:$V$1000,$U269-4),"Macro",INDEX($S$5:$S$1000,1):INDEX($S$5:$S$1000,$U269-4),INDEX($S$5:$S$1000,$U269-4))&amp;"."&amp;COUNTIFS($U$5:$U269,$U269,$V$5:$V269,"Sub"))))</f>
        <v/>
      </c>
      <c r="B269" s="57" t="n"/>
      <c r="C269" s="58" t="n"/>
      <c r="D269" s="58" t="n"/>
      <c r="E269" s="59">
        <f>IF(N($AL269)&gt;0,INDEX(rIni_ADM,$AL269),"")</f>
        <v/>
      </c>
      <c r="F269" s="59">
        <f>IF(N($AL269)&gt;0,INDEX(rLim_ADM,$AL269),"")</f>
        <v/>
      </c>
      <c r="G269" s="59" t="n"/>
      <c r="H269" s="60" t="n"/>
      <c r="I269" s="60" t="n"/>
      <c r="J269" s="60" t="n"/>
      <c r="K269" s="60" t="n"/>
      <c r="L269" s="60" t="n"/>
      <c r="M269" s="61">
        <f>IF(NOT((COUNTA($B269:$D269)+COUNTA($G269:$L269)+COUNTA($Q269))&gt;0),"",IF(ISNUMBER($G269),1,IF(N($W269)&gt;0,AVERAGEIFS($X$5:$X$1000,$U$5:$U$1000,ROW(),$V$5:$V$1000,"Sub"),$X269)))</f>
        <v/>
      </c>
      <c r="N269" s="56">
        <f>IF($M269="","",IF($M269&gt;=1,"Completado",IF($M269&gt;0,"En curso","Pendiente")))</f>
        <v/>
      </c>
      <c r="O269" s="56">
        <f>IF(NOT((COUNTA($B269:$D269)+COUNTA($G269:$L269)+COUNTA($Q269))&gt;0),"",IF(ISNUMBER($G269),IF(AND(ISNUMBER($AN269),$G269&gt;$AN269),"Cumplida con "&amp;($G269-$AN269)&amp;IF($G269-$AN269=1," día"," días")&amp;" de retraso","Cumplida"),IF(N($M269)&gt;=1,"Cumplida",IF(NOT(ISNUMBER($AN269)),"Sin fecha límite",IF($AN269&lt;FechaRef,"Vencida hace "&amp;(FechaRef-$AN269)&amp;IF(FechaRef-$AN269=1," día"," días"),IF($AN269=FechaRef,"Vence hoy",IF($AN269-FechaRef&lt;=DiasAlerta,"Vence en "&amp;($AN269-FechaRef)&amp;IF($AN269-FechaRef=1," día"," días"),"En plazo")))))))</f>
        <v/>
      </c>
      <c r="P269" s="62" t="n"/>
      <c r="Q269" s="58" t="n"/>
      <c r="R269" s="63">
        <f>IF(NOT((COUNTA($B269:$D269)+COUNTA($G269:$L269)+COUNTA($Q269))&gt;0),"",IF((IF($C269="","Falta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",""))="","✔ OK","⚠ "&amp;LEFT(IF($C269="","Falta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",""),LEN(IF($C269="","Falta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",""))-3)))</f>
        <v/>
      </c>
      <c r="S269" s="64">
        <f>IF(NOT((COUNTA($B269:$D269)+COUNTA($G269:$L269)+COUNTA($Q269))&gt;0),"",IF(AND($V269="Sub",N($U269)&gt;0),IF(ISNUMBER(INDEX($AM$5:$AM$1000,$U269-4)),DATE(YEAR(INDEX($AM$5:$AM$1000,$U269-4)),MONTH(INDEX($AM$5:$AM$1000,$U269-4)),1),IF(ISNUMBER(INDEX($AN$5:$AN$1000,$U269-4)),DATE(YEAR(INDEX($AN$5:$AN$1000,$U269-4)),MONTH(INDEX($AN$5:$AN$1000,$U269-4)),1),MesCiclo)),IF(ISNUMBER($AM269),DATE(YEAR($AM269),MONTH($AM269),1),IF(ISNUMBER($AN269),DATE(YEAR($AN269),MONTH($AN269),1),MesCiclo))))</f>
        <v/>
      </c>
      <c r="T269" s="62">
        <f>IF(OR($S269="",$S269&lt;&gt;MesCiclo),"",COUNTIF($S$5:$S269,MesCiclo))</f>
        <v/>
      </c>
      <c r="U269" s="62">
        <f>IF($V269="","",IF($V269="Macro",ROW(),IFERROR(LOOKUP(2,1/($V$5:$V269="Macro"),ROW($V$5:$V269)),0)))</f>
        <v/>
      </c>
      <c r="V269" s="62">
        <f>IF(NOT((COUNTA($B269:$D269)+COUNTA($G269:$L269)+COUNTA($Q269))&gt;0),"",IF($B269="Subactividad","Sub","Macro"))</f>
        <v/>
      </c>
      <c r="W269" s="62">
        <f>IF($V269="Macro",COUNTIFS($U$5:$U$1000,ROW(),$V$5:$V$1000,"Sub"),"")</f>
        <v/>
      </c>
      <c r="X269" s="62">
        <f>IF($V269="","",IF(ISNUMBER($G269),1,IFERROR(LOOKUP(2,1/($I269:$L269&lt;&gt;""),$I269:$L269),0)))</f>
        <v/>
      </c>
      <c r="Y269" s="62">
        <f>IF($V269="","",IF(AND(ISNUMBER($G269),$G269&lt;=IF($S269=MesCiclo,InicioCiclo,$S269+MOD(2-WEEKDAY($S269),7))+6),1,IF(ISNUMBER($I269),$I269,0)))</f>
        <v/>
      </c>
      <c r="Z269" s="62">
        <f>IF($V269="","",IF(AND(ISNUMBER($G269),$G269&lt;=IF($S269=MesCiclo,InicioCiclo,$S269+MOD(2-WEEKDAY($S269),7))+13),1,IF(ISNUMBER($J269),$J269,$Y269)))</f>
        <v/>
      </c>
      <c r="AA269" s="62">
        <f>IF($V269="","",IF(AND(ISNUMBER($G269),$G269&lt;=IF($S269=MesCiclo,InicioCiclo,$S269+MOD(2-WEEKDAY($S269),7))+20),1,IF(ISNUMBER($K269),$K269,$Z269)))</f>
        <v/>
      </c>
      <c r="AB269" s="62">
        <f>IF($V269="","",IF(AND(ISNUMBER($G269),$G269&lt;=IF($S269=MesCiclo,InicioCiclo,$S269+MOD(2-WEEKDAY($S269),7))+27),1,IF(ISNUMBER($L269),$L269,$AA269)))</f>
        <v/>
      </c>
      <c r="AC269" s="62">
        <f>IF($V269="","",IF(AND(ISNUMBER($G269),$G269&lt;=IF($S269=MesCiclo,InicioCiclo,$S269+MOD(2-WEEKDAY($S269),7))+6),1,IF(N($W269)&gt;0,AVERAGEIFS($Y$5:$Y$1000,$U$5:$U$1000,ROW(),$V$5:$V$1000,"Sub"),$Y269)))</f>
        <v/>
      </c>
      <c r="AD269" s="62">
        <f>IF($V269="","",IF(AND(ISNUMBER($G269),$G269&lt;=IF($S269=MesCiclo,InicioCiclo,$S269+MOD(2-WEEKDAY($S269),7))+13),1,IF(N($W269)&gt;0,AVERAGEIFS($Z$5:$Z$1000,$U$5:$U$1000,ROW(),$V$5:$V$1000,"Sub"),$Z269)))</f>
        <v/>
      </c>
      <c r="AE269" s="62">
        <f>IF($V269="","",IF(AND(ISNUMBER($G269),$G269&lt;=IF($S269=MesCiclo,InicioCiclo,$S269+MOD(2-WEEKDAY($S269),7))+20),1,IF(N($W269)&gt;0,AVERAGEIFS($AA$5:$AA$1000,$U$5:$U$1000,ROW(),$V$5:$V$1000,"Sub"),$AA269)))</f>
        <v/>
      </c>
      <c r="AF269" s="62">
        <f>IF($V269="","",IF(AND(ISNUMBER($G269),$G269&lt;=IF($S269=MesCiclo,InicioCiclo,$S269+MOD(2-WEEKDAY($S269),7))+27),1,IF(N($W269)&gt;0,AVERAGEIFS($AB$5:$AB$1000,$U$5:$U$1000,ROW(),$V$5:$V$1000,"Sub"),$AB269)))</f>
        <v/>
      </c>
      <c r="AG269" s="62">
        <f>IF($V269&lt;&gt;"Macro","",IF(COUNTIFS($S$5:$S$1000,$S269,$V$5:$V$1000,"Macro",$H$5:$H$1000,"&gt;0")=0,1/COUNTIFS($S$5:$S$1000,$S269,$V$5:$V$1000,"Macro"),IF(AND(ISNUMBER($H269),N($H269)&gt;0),$H269,SUMIFS($H$5:$H$1000,$S$5:$S$1000,$S269,$V$5:$V$1000,"Macro")/COUNTIFS($S$5:$S$1000,$S269,$V$5:$V$1000,"Macro",$H$5:$H$1000,"&gt;0"))/(COUNTIFS($S$5:$S$1000,$S269,$V$5:$V$1000,"Macro")*SUMIFS($H$5:$H$1000,$S$5:$S$1000,$S269,$V$5:$V$1000,"Macro")/COUNTIFS($S$5:$S$1000,$S269,$V$5:$V$1000,"Macro",$H$5:$H$1000,"&gt;0"))))</f>
        <v/>
      </c>
      <c r="AH269" s="62" t="n"/>
      <c r="AI269" s="62" t="n"/>
      <c r="AJ269" s="62" t="n"/>
      <c r="AK269" s="62" t="n"/>
      <c r="AL269" s="62">
        <f>IF(LEFT($C269,11)="[Jefatura] ",IFERROR(MATCH("Riesgo Normativo|"&amp;MID($C269,12,500),rDname_ADM,0),0),"")</f>
        <v/>
      </c>
      <c r="AM269" s="62">
        <f>IF(N($AL269)&gt;0,INDEX(rIni_ADM,$AL269),IF(ISNUMBER($E269),$E269,""))</f>
        <v/>
      </c>
      <c r="AN269" s="62">
        <f>IF(N($AL269)&gt;0,INDEX(rLim_ADM,$AL269),IF(ISNUMBER($F269),$F269,""))</f>
        <v/>
      </c>
    </row>
    <row r="270">
      <c r="A270" s="56">
        <f>IF(NOT((COUNTA($B270:$D270)+COUNTA($G270:$L270)+COUNTA($Q270))&gt;0),"",IF($V270="Macro",COUNTIFS($V$5:$V270,"Macro",$S$5:$S270,$S270),IF(N($U270)=0,"?",COUNTIFS(INDEX($V$5:$V$1000,1):INDEX($V$5:$V$1000,$U270-4),"Macro",INDEX($S$5:$S$1000,1):INDEX($S$5:$S$1000,$U270-4),INDEX($S$5:$S$1000,$U270-4))&amp;"."&amp;COUNTIFS($U$5:$U270,$U270,$V$5:$V270,"Sub"))))</f>
        <v/>
      </c>
      <c r="B270" s="57" t="n"/>
      <c r="C270" s="58" t="n"/>
      <c r="D270" s="58" t="n"/>
      <c r="E270" s="59">
        <f>IF(N($AL270)&gt;0,INDEX(rIni_ADM,$AL270),"")</f>
        <v/>
      </c>
      <c r="F270" s="59">
        <f>IF(N($AL270)&gt;0,INDEX(rLim_ADM,$AL270),"")</f>
        <v/>
      </c>
      <c r="G270" s="59" t="n"/>
      <c r="H270" s="60" t="n"/>
      <c r="I270" s="60" t="n"/>
      <c r="J270" s="60" t="n"/>
      <c r="K270" s="60" t="n"/>
      <c r="L270" s="60" t="n"/>
      <c r="M270" s="61">
        <f>IF(NOT((COUNTA($B270:$D270)+COUNTA($G270:$L270)+COUNTA($Q270))&gt;0),"",IF(ISNUMBER($G270),1,IF(N($W270)&gt;0,AVERAGEIFS($X$5:$X$1000,$U$5:$U$1000,ROW(),$V$5:$V$1000,"Sub"),$X270)))</f>
        <v/>
      </c>
      <c r="N270" s="56">
        <f>IF($M270="","",IF($M270&gt;=1,"Completado",IF($M270&gt;0,"En curso","Pendiente")))</f>
        <v/>
      </c>
      <c r="O270" s="56">
        <f>IF(NOT((COUNTA($B270:$D270)+COUNTA($G270:$L270)+COUNTA($Q270))&gt;0),"",IF(ISNUMBER($G270),IF(AND(ISNUMBER($AN270),$G270&gt;$AN270),"Cumplida con "&amp;($G270-$AN270)&amp;IF($G270-$AN270=1," día"," días")&amp;" de retraso","Cumplida"),IF(N($M270)&gt;=1,"Cumplida",IF(NOT(ISNUMBER($AN270)),"Sin fecha límite",IF($AN270&lt;FechaRef,"Vencida hace "&amp;(FechaRef-$AN270)&amp;IF(FechaRef-$AN270=1," día"," días"),IF($AN270=FechaRef,"Vence hoy",IF($AN270-FechaRef&lt;=DiasAlerta,"Vence en "&amp;($AN270-FechaRef)&amp;IF($AN270-FechaRef=1," día"," días"),"En plazo")))))))</f>
        <v/>
      </c>
      <c r="P270" s="62" t="n"/>
      <c r="Q270" s="58" t="n"/>
      <c r="R270" s="63">
        <f>IF(NOT((COUNTA($B270:$D270)+COUNTA($G270:$L270)+COUNTA($Q270))&gt;0),"",IF((IF($C270="","Falta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",""))="","✔ OK","⚠ "&amp;LEFT(IF($C270="","Falta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",""),LEN(IF($C270="","Falta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",""))-3)))</f>
        <v/>
      </c>
      <c r="S270" s="64">
        <f>IF(NOT((COUNTA($B270:$D270)+COUNTA($G270:$L270)+COUNTA($Q270))&gt;0),"",IF(AND($V270="Sub",N($U270)&gt;0),IF(ISNUMBER(INDEX($AM$5:$AM$1000,$U270-4)),DATE(YEAR(INDEX($AM$5:$AM$1000,$U270-4)),MONTH(INDEX($AM$5:$AM$1000,$U270-4)),1),IF(ISNUMBER(INDEX($AN$5:$AN$1000,$U270-4)),DATE(YEAR(INDEX($AN$5:$AN$1000,$U270-4)),MONTH(INDEX($AN$5:$AN$1000,$U270-4)),1),MesCiclo)),IF(ISNUMBER($AM270),DATE(YEAR($AM270),MONTH($AM270),1),IF(ISNUMBER($AN270),DATE(YEAR($AN270),MONTH($AN270),1),MesCiclo))))</f>
        <v/>
      </c>
      <c r="T270" s="62">
        <f>IF(OR($S270="",$S270&lt;&gt;MesCiclo),"",COUNTIF($S$5:$S270,MesCiclo))</f>
        <v/>
      </c>
      <c r="U270" s="62">
        <f>IF($V270="","",IF($V270="Macro",ROW(),IFERROR(LOOKUP(2,1/($V$5:$V270="Macro"),ROW($V$5:$V270)),0)))</f>
        <v/>
      </c>
      <c r="V270" s="62">
        <f>IF(NOT((COUNTA($B270:$D270)+COUNTA($G270:$L270)+COUNTA($Q270))&gt;0),"",IF($B270="Subactividad","Sub","Macro"))</f>
        <v/>
      </c>
      <c r="W270" s="62">
        <f>IF($V270="Macro",COUNTIFS($U$5:$U$1000,ROW(),$V$5:$V$1000,"Sub"),"")</f>
        <v/>
      </c>
      <c r="X270" s="62">
        <f>IF($V270="","",IF(ISNUMBER($G270),1,IFERROR(LOOKUP(2,1/($I270:$L270&lt;&gt;""),$I270:$L270),0)))</f>
        <v/>
      </c>
      <c r="Y270" s="62">
        <f>IF($V270="","",IF(AND(ISNUMBER($G270),$G270&lt;=IF($S270=MesCiclo,InicioCiclo,$S270+MOD(2-WEEKDAY($S270),7))+6),1,IF(ISNUMBER($I270),$I270,0)))</f>
        <v/>
      </c>
      <c r="Z270" s="62">
        <f>IF($V270="","",IF(AND(ISNUMBER($G270),$G270&lt;=IF($S270=MesCiclo,InicioCiclo,$S270+MOD(2-WEEKDAY($S270),7))+13),1,IF(ISNUMBER($J270),$J270,$Y270)))</f>
        <v/>
      </c>
      <c r="AA270" s="62">
        <f>IF($V270="","",IF(AND(ISNUMBER($G270),$G270&lt;=IF($S270=MesCiclo,InicioCiclo,$S270+MOD(2-WEEKDAY($S270),7))+20),1,IF(ISNUMBER($K270),$K270,$Z270)))</f>
        <v/>
      </c>
      <c r="AB270" s="62">
        <f>IF($V270="","",IF(AND(ISNUMBER($G270),$G270&lt;=IF($S270=MesCiclo,InicioCiclo,$S270+MOD(2-WEEKDAY($S270),7))+27),1,IF(ISNUMBER($L270),$L270,$AA270)))</f>
        <v/>
      </c>
      <c r="AC270" s="62">
        <f>IF($V270="","",IF(AND(ISNUMBER($G270),$G270&lt;=IF($S270=MesCiclo,InicioCiclo,$S270+MOD(2-WEEKDAY($S270),7))+6),1,IF(N($W270)&gt;0,AVERAGEIFS($Y$5:$Y$1000,$U$5:$U$1000,ROW(),$V$5:$V$1000,"Sub"),$Y270)))</f>
        <v/>
      </c>
      <c r="AD270" s="62">
        <f>IF($V270="","",IF(AND(ISNUMBER($G270),$G270&lt;=IF($S270=MesCiclo,InicioCiclo,$S270+MOD(2-WEEKDAY($S270),7))+13),1,IF(N($W270)&gt;0,AVERAGEIFS($Z$5:$Z$1000,$U$5:$U$1000,ROW(),$V$5:$V$1000,"Sub"),$Z270)))</f>
        <v/>
      </c>
      <c r="AE270" s="62">
        <f>IF($V270="","",IF(AND(ISNUMBER($G270),$G270&lt;=IF($S270=MesCiclo,InicioCiclo,$S270+MOD(2-WEEKDAY($S270),7))+20),1,IF(N($W270)&gt;0,AVERAGEIFS($AA$5:$AA$1000,$U$5:$U$1000,ROW(),$V$5:$V$1000,"Sub"),$AA270)))</f>
        <v/>
      </c>
      <c r="AF270" s="62">
        <f>IF($V270="","",IF(AND(ISNUMBER($G270),$G270&lt;=IF($S270=MesCiclo,InicioCiclo,$S270+MOD(2-WEEKDAY($S270),7))+27),1,IF(N($W270)&gt;0,AVERAGEIFS($AB$5:$AB$1000,$U$5:$U$1000,ROW(),$V$5:$V$1000,"Sub"),$AB270)))</f>
        <v/>
      </c>
      <c r="AG270" s="62">
        <f>IF($V270&lt;&gt;"Macro","",IF(COUNTIFS($S$5:$S$1000,$S270,$V$5:$V$1000,"Macro",$H$5:$H$1000,"&gt;0")=0,1/COUNTIFS($S$5:$S$1000,$S270,$V$5:$V$1000,"Macro"),IF(AND(ISNUMBER($H270),N($H270)&gt;0),$H270,SUMIFS($H$5:$H$1000,$S$5:$S$1000,$S270,$V$5:$V$1000,"Macro")/COUNTIFS($S$5:$S$1000,$S270,$V$5:$V$1000,"Macro",$H$5:$H$1000,"&gt;0"))/(COUNTIFS($S$5:$S$1000,$S270,$V$5:$V$1000,"Macro")*SUMIFS($H$5:$H$1000,$S$5:$S$1000,$S270,$V$5:$V$1000,"Macro")/COUNTIFS($S$5:$S$1000,$S270,$V$5:$V$1000,"Macro",$H$5:$H$1000,"&gt;0"))))</f>
        <v/>
      </c>
      <c r="AH270" s="62" t="n"/>
      <c r="AI270" s="62" t="n"/>
      <c r="AJ270" s="62" t="n"/>
      <c r="AK270" s="62" t="n"/>
      <c r="AL270" s="62">
        <f>IF(LEFT($C270,11)="[Jefatura] ",IFERROR(MATCH("Riesgo Normativo|"&amp;MID($C270,12,500),rDname_ADM,0),0),"")</f>
        <v/>
      </c>
      <c r="AM270" s="62">
        <f>IF(N($AL270)&gt;0,INDEX(rIni_ADM,$AL270),IF(ISNUMBER($E270),$E270,""))</f>
        <v/>
      </c>
      <c r="AN270" s="62">
        <f>IF(N($AL270)&gt;0,INDEX(rLim_ADM,$AL270),IF(ISNUMBER($F270),$F270,""))</f>
        <v/>
      </c>
    </row>
    <row r="271">
      <c r="A271" s="56">
        <f>IF(NOT((COUNTA($B271:$D271)+COUNTA($G271:$L271)+COUNTA($Q271))&gt;0),"",IF($V271="Macro",COUNTIFS($V$5:$V271,"Macro",$S$5:$S271,$S271),IF(N($U271)=0,"?",COUNTIFS(INDEX($V$5:$V$1000,1):INDEX($V$5:$V$1000,$U271-4),"Macro",INDEX($S$5:$S$1000,1):INDEX($S$5:$S$1000,$U271-4),INDEX($S$5:$S$1000,$U271-4))&amp;"."&amp;COUNTIFS($U$5:$U271,$U271,$V$5:$V271,"Sub"))))</f>
        <v/>
      </c>
      <c r="B271" s="57" t="n"/>
      <c r="C271" s="58" t="n"/>
      <c r="D271" s="58" t="n"/>
      <c r="E271" s="59">
        <f>IF(N($AL271)&gt;0,INDEX(rIni_ADM,$AL271),"")</f>
        <v/>
      </c>
      <c r="F271" s="59">
        <f>IF(N($AL271)&gt;0,INDEX(rLim_ADM,$AL271),"")</f>
        <v/>
      </c>
      <c r="G271" s="59" t="n"/>
      <c r="H271" s="60" t="n"/>
      <c r="I271" s="60" t="n"/>
      <c r="J271" s="60" t="n"/>
      <c r="K271" s="60" t="n"/>
      <c r="L271" s="60" t="n"/>
      <c r="M271" s="61">
        <f>IF(NOT((COUNTA($B271:$D271)+COUNTA($G271:$L271)+COUNTA($Q271))&gt;0),"",IF(ISNUMBER($G271),1,IF(N($W271)&gt;0,AVERAGEIFS($X$5:$X$1000,$U$5:$U$1000,ROW(),$V$5:$V$1000,"Sub"),$X271)))</f>
        <v/>
      </c>
      <c r="N271" s="56">
        <f>IF($M271="","",IF($M271&gt;=1,"Completado",IF($M271&gt;0,"En curso","Pendiente")))</f>
        <v/>
      </c>
      <c r="O271" s="56">
        <f>IF(NOT((COUNTA($B271:$D271)+COUNTA($G271:$L271)+COUNTA($Q271))&gt;0),"",IF(ISNUMBER($G271),IF(AND(ISNUMBER($AN271),$G271&gt;$AN271),"Cumplida con "&amp;($G271-$AN271)&amp;IF($G271-$AN271=1," día"," días")&amp;" de retraso","Cumplida"),IF(N($M271)&gt;=1,"Cumplida",IF(NOT(ISNUMBER($AN271)),"Sin fecha límite",IF($AN271&lt;FechaRef,"Vencida hace "&amp;(FechaRef-$AN271)&amp;IF(FechaRef-$AN271=1," día"," días"),IF($AN271=FechaRef,"Vence hoy",IF($AN271-FechaRef&lt;=DiasAlerta,"Vence en "&amp;($AN271-FechaRef)&amp;IF($AN271-FechaRef=1," día"," días"),"En plazo")))))))</f>
        <v/>
      </c>
      <c r="P271" s="62" t="n"/>
      <c r="Q271" s="58" t="n"/>
      <c r="R271" s="63">
        <f>IF(NOT((COUNTA($B271:$D271)+COUNTA($G271:$L271)+COUNTA($Q271))&gt;0),"",IF((IF($C271="","Falta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",""))="","✔ OK","⚠ "&amp;LEFT(IF($C271="","Falta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",""),LEN(IF($C271="","Falta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",""))-3)))</f>
        <v/>
      </c>
      <c r="S271" s="64">
        <f>IF(NOT((COUNTA($B271:$D271)+COUNTA($G271:$L271)+COUNTA($Q271))&gt;0),"",IF(AND($V271="Sub",N($U271)&gt;0),IF(ISNUMBER(INDEX($AM$5:$AM$1000,$U271-4)),DATE(YEAR(INDEX($AM$5:$AM$1000,$U271-4)),MONTH(INDEX($AM$5:$AM$1000,$U271-4)),1),IF(ISNUMBER(INDEX($AN$5:$AN$1000,$U271-4)),DATE(YEAR(INDEX($AN$5:$AN$1000,$U271-4)),MONTH(INDEX($AN$5:$AN$1000,$U271-4)),1),MesCiclo)),IF(ISNUMBER($AM271),DATE(YEAR($AM271),MONTH($AM271),1),IF(ISNUMBER($AN271),DATE(YEAR($AN271),MONTH($AN271),1),MesCiclo))))</f>
        <v/>
      </c>
      <c r="T271" s="62">
        <f>IF(OR($S271="",$S271&lt;&gt;MesCiclo),"",COUNTIF($S$5:$S271,MesCiclo))</f>
        <v/>
      </c>
      <c r="U271" s="62">
        <f>IF($V271="","",IF($V271="Macro",ROW(),IFERROR(LOOKUP(2,1/($V$5:$V271="Macro"),ROW($V$5:$V271)),0)))</f>
        <v/>
      </c>
      <c r="V271" s="62">
        <f>IF(NOT((COUNTA($B271:$D271)+COUNTA($G271:$L271)+COUNTA($Q271))&gt;0),"",IF($B271="Subactividad","Sub","Macro"))</f>
        <v/>
      </c>
      <c r="W271" s="62">
        <f>IF($V271="Macro",COUNTIFS($U$5:$U$1000,ROW(),$V$5:$V$1000,"Sub"),"")</f>
        <v/>
      </c>
      <c r="X271" s="62">
        <f>IF($V271="","",IF(ISNUMBER($G271),1,IFERROR(LOOKUP(2,1/($I271:$L271&lt;&gt;""),$I271:$L271),0)))</f>
        <v/>
      </c>
      <c r="Y271" s="62">
        <f>IF($V271="","",IF(AND(ISNUMBER($G271),$G271&lt;=IF($S271=MesCiclo,InicioCiclo,$S271+MOD(2-WEEKDAY($S271),7))+6),1,IF(ISNUMBER($I271),$I271,0)))</f>
        <v/>
      </c>
      <c r="Z271" s="62">
        <f>IF($V271="","",IF(AND(ISNUMBER($G271),$G271&lt;=IF($S271=MesCiclo,InicioCiclo,$S271+MOD(2-WEEKDAY($S271),7))+13),1,IF(ISNUMBER($J271),$J271,$Y271)))</f>
        <v/>
      </c>
      <c r="AA271" s="62">
        <f>IF($V271="","",IF(AND(ISNUMBER($G271),$G271&lt;=IF($S271=MesCiclo,InicioCiclo,$S271+MOD(2-WEEKDAY($S271),7))+20),1,IF(ISNUMBER($K271),$K271,$Z271)))</f>
        <v/>
      </c>
      <c r="AB271" s="62">
        <f>IF($V271="","",IF(AND(ISNUMBER($G271),$G271&lt;=IF($S271=MesCiclo,InicioCiclo,$S271+MOD(2-WEEKDAY($S271),7))+27),1,IF(ISNUMBER($L271),$L271,$AA271)))</f>
        <v/>
      </c>
      <c r="AC271" s="62">
        <f>IF($V271="","",IF(AND(ISNUMBER($G271),$G271&lt;=IF($S271=MesCiclo,InicioCiclo,$S271+MOD(2-WEEKDAY($S271),7))+6),1,IF(N($W271)&gt;0,AVERAGEIFS($Y$5:$Y$1000,$U$5:$U$1000,ROW(),$V$5:$V$1000,"Sub"),$Y271)))</f>
        <v/>
      </c>
      <c r="AD271" s="62">
        <f>IF($V271="","",IF(AND(ISNUMBER($G271),$G271&lt;=IF($S271=MesCiclo,InicioCiclo,$S271+MOD(2-WEEKDAY($S271),7))+13),1,IF(N($W271)&gt;0,AVERAGEIFS($Z$5:$Z$1000,$U$5:$U$1000,ROW(),$V$5:$V$1000,"Sub"),$Z271)))</f>
        <v/>
      </c>
      <c r="AE271" s="62">
        <f>IF($V271="","",IF(AND(ISNUMBER($G271),$G271&lt;=IF($S271=MesCiclo,InicioCiclo,$S271+MOD(2-WEEKDAY($S271),7))+20),1,IF(N($W271)&gt;0,AVERAGEIFS($AA$5:$AA$1000,$U$5:$U$1000,ROW(),$V$5:$V$1000,"Sub"),$AA271)))</f>
        <v/>
      </c>
      <c r="AF271" s="62">
        <f>IF($V271="","",IF(AND(ISNUMBER($G271),$G271&lt;=IF($S271=MesCiclo,InicioCiclo,$S271+MOD(2-WEEKDAY($S271),7))+27),1,IF(N($W271)&gt;0,AVERAGEIFS($AB$5:$AB$1000,$U$5:$U$1000,ROW(),$V$5:$V$1000,"Sub"),$AB271)))</f>
        <v/>
      </c>
      <c r="AG271" s="62">
        <f>IF($V271&lt;&gt;"Macro","",IF(COUNTIFS($S$5:$S$1000,$S271,$V$5:$V$1000,"Macro",$H$5:$H$1000,"&gt;0")=0,1/COUNTIFS($S$5:$S$1000,$S271,$V$5:$V$1000,"Macro"),IF(AND(ISNUMBER($H271),N($H271)&gt;0),$H271,SUMIFS($H$5:$H$1000,$S$5:$S$1000,$S271,$V$5:$V$1000,"Macro")/COUNTIFS($S$5:$S$1000,$S271,$V$5:$V$1000,"Macro",$H$5:$H$1000,"&gt;0"))/(COUNTIFS($S$5:$S$1000,$S271,$V$5:$V$1000,"Macro")*SUMIFS($H$5:$H$1000,$S$5:$S$1000,$S271,$V$5:$V$1000,"Macro")/COUNTIFS($S$5:$S$1000,$S271,$V$5:$V$1000,"Macro",$H$5:$H$1000,"&gt;0"))))</f>
        <v/>
      </c>
      <c r="AH271" s="62" t="n"/>
      <c r="AI271" s="62" t="n"/>
      <c r="AJ271" s="62" t="n"/>
      <c r="AK271" s="62" t="n"/>
      <c r="AL271" s="62">
        <f>IF(LEFT($C271,11)="[Jefatura] ",IFERROR(MATCH("Riesgo Normativo|"&amp;MID($C271,12,500),rDname_ADM,0),0),"")</f>
        <v/>
      </c>
      <c r="AM271" s="62">
        <f>IF(N($AL271)&gt;0,INDEX(rIni_ADM,$AL271),IF(ISNUMBER($E271),$E271,""))</f>
        <v/>
      </c>
      <c r="AN271" s="62">
        <f>IF(N($AL271)&gt;0,INDEX(rLim_ADM,$AL271),IF(ISNUMBER($F271),$F271,""))</f>
        <v/>
      </c>
    </row>
    <row r="272">
      <c r="A272" s="56">
        <f>IF(NOT((COUNTA($B272:$D272)+COUNTA($G272:$L272)+COUNTA($Q272))&gt;0),"",IF($V272="Macro",COUNTIFS($V$5:$V272,"Macro",$S$5:$S272,$S272),IF(N($U272)=0,"?",COUNTIFS(INDEX($V$5:$V$1000,1):INDEX($V$5:$V$1000,$U272-4),"Macro",INDEX($S$5:$S$1000,1):INDEX($S$5:$S$1000,$U272-4),INDEX($S$5:$S$1000,$U272-4))&amp;"."&amp;COUNTIFS($U$5:$U272,$U272,$V$5:$V272,"Sub"))))</f>
        <v/>
      </c>
      <c r="B272" s="57" t="n"/>
      <c r="C272" s="58" t="n"/>
      <c r="D272" s="58" t="n"/>
      <c r="E272" s="59">
        <f>IF(N($AL272)&gt;0,INDEX(rIni_ADM,$AL272),"")</f>
        <v/>
      </c>
      <c r="F272" s="59">
        <f>IF(N($AL272)&gt;0,INDEX(rLim_ADM,$AL272),"")</f>
        <v/>
      </c>
      <c r="G272" s="59" t="n"/>
      <c r="H272" s="60" t="n"/>
      <c r="I272" s="60" t="n"/>
      <c r="J272" s="60" t="n"/>
      <c r="K272" s="60" t="n"/>
      <c r="L272" s="60" t="n"/>
      <c r="M272" s="61">
        <f>IF(NOT((COUNTA($B272:$D272)+COUNTA($G272:$L272)+COUNTA($Q272))&gt;0),"",IF(ISNUMBER($G272),1,IF(N($W272)&gt;0,AVERAGEIFS($X$5:$X$1000,$U$5:$U$1000,ROW(),$V$5:$V$1000,"Sub"),$X272)))</f>
        <v/>
      </c>
      <c r="N272" s="56">
        <f>IF($M272="","",IF($M272&gt;=1,"Completado",IF($M272&gt;0,"En curso","Pendiente")))</f>
        <v/>
      </c>
      <c r="O272" s="56">
        <f>IF(NOT((COUNTA($B272:$D272)+COUNTA($G272:$L272)+COUNTA($Q272))&gt;0),"",IF(ISNUMBER($G272),IF(AND(ISNUMBER($AN272),$G272&gt;$AN272),"Cumplida con "&amp;($G272-$AN272)&amp;IF($G272-$AN272=1," día"," días")&amp;" de retraso","Cumplida"),IF(N($M272)&gt;=1,"Cumplida",IF(NOT(ISNUMBER($AN272)),"Sin fecha límite",IF($AN272&lt;FechaRef,"Vencida hace "&amp;(FechaRef-$AN272)&amp;IF(FechaRef-$AN272=1," día"," días"),IF($AN272=FechaRef,"Vence hoy",IF($AN272-FechaRef&lt;=DiasAlerta,"Vence en "&amp;($AN272-FechaRef)&amp;IF($AN272-FechaRef=1," día"," días"),"En plazo")))))))</f>
        <v/>
      </c>
      <c r="P272" s="62" t="n"/>
      <c r="Q272" s="58" t="n"/>
      <c r="R272" s="63">
        <f>IF(NOT((COUNTA($B272:$D272)+COUNTA($G272:$L272)+COUNTA($Q272))&gt;0),"",IF((IF($C272="","Falta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",""))="","✔ OK","⚠ "&amp;LEFT(IF($C272="","Falta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",""),LEN(IF($C272="","Falta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",""))-3)))</f>
        <v/>
      </c>
      <c r="S272" s="64">
        <f>IF(NOT((COUNTA($B272:$D272)+COUNTA($G272:$L272)+COUNTA($Q272))&gt;0),"",IF(AND($V272="Sub",N($U272)&gt;0),IF(ISNUMBER(INDEX($AM$5:$AM$1000,$U272-4)),DATE(YEAR(INDEX($AM$5:$AM$1000,$U272-4)),MONTH(INDEX($AM$5:$AM$1000,$U272-4)),1),IF(ISNUMBER(INDEX($AN$5:$AN$1000,$U272-4)),DATE(YEAR(INDEX($AN$5:$AN$1000,$U272-4)),MONTH(INDEX($AN$5:$AN$1000,$U272-4)),1),MesCiclo)),IF(ISNUMBER($AM272),DATE(YEAR($AM272),MONTH($AM272),1),IF(ISNUMBER($AN272),DATE(YEAR($AN272),MONTH($AN272),1),MesCiclo))))</f>
        <v/>
      </c>
      <c r="T272" s="62">
        <f>IF(OR($S272="",$S272&lt;&gt;MesCiclo),"",COUNTIF($S$5:$S272,MesCiclo))</f>
        <v/>
      </c>
      <c r="U272" s="62">
        <f>IF($V272="","",IF($V272="Macro",ROW(),IFERROR(LOOKUP(2,1/($V$5:$V272="Macro"),ROW($V$5:$V272)),0)))</f>
        <v/>
      </c>
      <c r="V272" s="62">
        <f>IF(NOT((COUNTA($B272:$D272)+COUNTA($G272:$L272)+COUNTA($Q272))&gt;0),"",IF($B272="Subactividad","Sub","Macro"))</f>
        <v/>
      </c>
      <c r="W272" s="62">
        <f>IF($V272="Macro",COUNTIFS($U$5:$U$1000,ROW(),$V$5:$V$1000,"Sub"),"")</f>
        <v/>
      </c>
      <c r="X272" s="62">
        <f>IF($V272="","",IF(ISNUMBER($G272),1,IFERROR(LOOKUP(2,1/($I272:$L272&lt;&gt;""),$I272:$L272),0)))</f>
        <v/>
      </c>
      <c r="Y272" s="62">
        <f>IF($V272="","",IF(AND(ISNUMBER($G272),$G272&lt;=IF($S272=MesCiclo,InicioCiclo,$S272+MOD(2-WEEKDAY($S272),7))+6),1,IF(ISNUMBER($I272),$I272,0)))</f>
        <v/>
      </c>
      <c r="Z272" s="62">
        <f>IF($V272="","",IF(AND(ISNUMBER($G272),$G272&lt;=IF($S272=MesCiclo,InicioCiclo,$S272+MOD(2-WEEKDAY($S272),7))+13),1,IF(ISNUMBER($J272),$J272,$Y272)))</f>
        <v/>
      </c>
      <c r="AA272" s="62">
        <f>IF($V272="","",IF(AND(ISNUMBER($G272),$G272&lt;=IF($S272=MesCiclo,InicioCiclo,$S272+MOD(2-WEEKDAY($S272),7))+20),1,IF(ISNUMBER($K272),$K272,$Z272)))</f>
        <v/>
      </c>
      <c r="AB272" s="62">
        <f>IF($V272="","",IF(AND(ISNUMBER($G272),$G272&lt;=IF($S272=MesCiclo,InicioCiclo,$S272+MOD(2-WEEKDAY($S272),7))+27),1,IF(ISNUMBER($L272),$L272,$AA272)))</f>
        <v/>
      </c>
      <c r="AC272" s="62">
        <f>IF($V272="","",IF(AND(ISNUMBER($G272),$G272&lt;=IF($S272=MesCiclo,InicioCiclo,$S272+MOD(2-WEEKDAY($S272),7))+6),1,IF(N($W272)&gt;0,AVERAGEIFS($Y$5:$Y$1000,$U$5:$U$1000,ROW(),$V$5:$V$1000,"Sub"),$Y272)))</f>
        <v/>
      </c>
      <c r="AD272" s="62">
        <f>IF($V272="","",IF(AND(ISNUMBER($G272),$G272&lt;=IF($S272=MesCiclo,InicioCiclo,$S272+MOD(2-WEEKDAY($S272),7))+13),1,IF(N($W272)&gt;0,AVERAGEIFS($Z$5:$Z$1000,$U$5:$U$1000,ROW(),$V$5:$V$1000,"Sub"),$Z272)))</f>
        <v/>
      </c>
      <c r="AE272" s="62">
        <f>IF($V272="","",IF(AND(ISNUMBER($G272),$G272&lt;=IF($S272=MesCiclo,InicioCiclo,$S272+MOD(2-WEEKDAY($S272),7))+20),1,IF(N($W272)&gt;0,AVERAGEIFS($AA$5:$AA$1000,$U$5:$U$1000,ROW(),$V$5:$V$1000,"Sub"),$AA272)))</f>
        <v/>
      </c>
      <c r="AF272" s="62">
        <f>IF($V272="","",IF(AND(ISNUMBER($G272),$G272&lt;=IF($S272=MesCiclo,InicioCiclo,$S272+MOD(2-WEEKDAY($S272),7))+27),1,IF(N($W272)&gt;0,AVERAGEIFS($AB$5:$AB$1000,$U$5:$U$1000,ROW(),$V$5:$V$1000,"Sub"),$AB272)))</f>
        <v/>
      </c>
      <c r="AG272" s="62">
        <f>IF($V272&lt;&gt;"Macro","",IF(COUNTIFS($S$5:$S$1000,$S272,$V$5:$V$1000,"Macro",$H$5:$H$1000,"&gt;0")=0,1/COUNTIFS($S$5:$S$1000,$S272,$V$5:$V$1000,"Macro"),IF(AND(ISNUMBER($H272),N($H272)&gt;0),$H272,SUMIFS($H$5:$H$1000,$S$5:$S$1000,$S272,$V$5:$V$1000,"Macro")/COUNTIFS($S$5:$S$1000,$S272,$V$5:$V$1000,"Macro",$H$5:$H$1000,"&gt;0"))/(COUNTIFS($S$5:$S$1000,$S272,$V$5:$V$1000,"Macro")*SUMIFS($H$5:$H$1000,$S$5:$S$1000,$S272,$V$5:$V$1000,"Macro")/COUNTIFS($S$5:$S$1000,$S272,$V$5:$V$1000,"Macro",$H$5:$H$1000,"&gt;0"))))</f>
        <v/>
      </c>
      <c r="AH272" s="62" t="n"/>
      <c r="AI272" s="62" t="n"/>
      <c r="AJ272" s="62" t="n"/>
      <c r="AK272" s="62" t="n"/>
      <c r="AL272" s="62">
        <f>IF(LEFT($C272,11)="[Jefatura] ",IFERROR(MATCH("Riesgo Normativo|"&amp;MID($C272,12,500),rDname_ADM,0),0),"")</f>
        <v/>
      </c>
      <c r="AM272" s="62">
        <f>IF(N($AL272)&gt;0,INDEX(rIni_ADM,$AL272),IF(ISNUMBER($E272),$E272,""))</f>
        <v/>
      </c>
      <c r="AN272" s="62">
        <f>IF(N($AL272)&gt;0,INDEX(rLim_ADM,$AL272),IF(ISNUMBER($F272),$F272,""))</f>
        <v/>
      </c>
    </row>
    <row r="273">
      <c r="A273" s="56">
        <f>IF(NOT((COUNTA($B273:$D273)+COUNTA($G273:$L273)+COUNTA($Q273))&gt;0),"",IF($V273="Macro",COUNTIFS($V$5:$V273,"Macro",$S$5:$S273,$S273),IF(N($U273)=0,"?",COUNTIFS(INDEX($V$5:$V$1000,1):INDEX($V$5:$V$1000,$U273-4),"Macro",INDEX($S$5:$S$1000,1):INDEX($S$5:$S$1000,$U273-4),INDEX($S$5:$S$1000,$U273-4))&amp;"."&amp;COUNTIFS($U$5:$U273,$U273,$V$5:$V273,"Sub"))))</f>
        <v/>
      </c>
      <c r="B273" s="57" t="n"/>
      <c r="C273" s="58" t="n"/>
      <c r="D273" s="58" t="n"/>
      <c r="E273" s="59">
        <f>IF(N($AL273)&gt;0,INDEX(rIni_ADM,$AL273),"")</f>
        <v/>
      </c>
      <c r="F273" s="59">
        <f>IF(N($AL273)&gt;0,INDEX(rLim_ADM,$AL273),"")</f>
        <v/>
      </c>
      <c r="G273" s="59" t="n"/>
      <c r="H273" s="60" t="n"/>
      <c r="I273" s="60" t="n"/>
      <c r="J273" s="60" t="n"/>
      <c r="K273" s="60" t="n"/>
      <c r="L273" s="60" t="n"/>
      <c r="M273" s="61">
        <f>IF(NOT((COUNTA($B273:$D273)+COUNTA($G273:$L273)+COUNTA($Q273))&gt;0),"",IF(ISNUMBER($G273),1,IF(N($W273)&gt;0,AVERAGEIFS($X$5:$X$1000,$U$5:$U$1000,ROW(),$V$5:$V$1000,"Sub"),$X273)))</f>
        <v/>
      </c>
      <c r="N273" s="56">
        <f>IF($M273="","",IF($M273&gt;=1,"Completado",IF($M273&gt;0,"En curso","Pendiente")))</f>
        <v/>
      </c>
      <c r="O273" s="56">
        <f>IF(NOT((COUNTA($B273:$D273)+COUNTA($G273:$L273)+COUNTA($Q273))&gt;0),"",IF(ISNUMBER($G273),IF(AND(ISNUMBER($AN273),$G273&gt;$AN273),"Cumplida con "&amp;($G273-$AN273)&amp;IF($G273-$AN273=1," día"," días")&amp;" de retraso","Cumplida"),IF(N($M273)&gt;=1,"Cumplida",IF(NOT(ISNUMBER($AN273)),"Sin fecha límite",IF($AN273&lt;FechaRef,"Vencida hace "&amp;(FechaRef-$AN273)&amp;IF(FechaRef-$AN273=1," día"," días"),IF($AN273=FechaRef,"Vence hoy",IF($AN273-FechaRef&lt;=DiasAlerta,"Vence en "&amp;($AN273-FechaRef)&amp;IF($AN273-FechaRef=1," día"," días"),"En plazo")))))))</f>
        <v/>
      </c>
      <c r="P273" s="62" t="n"/>
      <c r="Q273" s="58" t="n"/>
      <c r="R273" s="63">
        <f>IF(NOT((COUNTA($B273:$D273)+COUNTA($G273:$L273)+COUNTA($Q273))&gt;0),"",IF((IF($C273="","Falta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",""))="","✔ OK","⚠ "&amp;LEFT(IF($C273="","Falta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",""),LEN(IF($C273="","Falta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",""))-3)))</f>
        <v/>
      </c>
      <c r="S273" s="64">
        <f>IF(NOT((COUNTA($B273:$D273)+COUNTA($G273:$L273)+COUNTA($Q273))&gt;0),"",IF(AND($V273="Sub",N($U273)&gt;0),IF(ISNUMBER(INDEX($AM$5:$AM$1000,$U273-4)),DATE(YEAR(INDEX($AM$5:$AM$1000,$U273-4)),MONTH(INDEX($AM$5:$AM$1000,$U273-4)),1),IF(ISNUMBER(INDEX($AN$5:$AN$1000,$U273-4)),DATE(YEAR(INDEX($AN$5:$AN$1000,$U273-4)),MONTH(INDEX($AN$5:$AN$1000,$U273-4)),1),MesCiclo)),IF(ISNUMBER($AM273),DATE(YEAR($AM273),MONTH($AM273),1),IF(ISNUMBER($AN273),DATE(YEAR($AN273),MONTH($AN273),1),MesCiclo))))</f>
        <v/>
      </c>
      <c r="T273" s="62">
        <f>IF(OR($S273="",$S273&lt;&gt;MesCiclo),"",COUNTIF($S$5:$S273,MesCiclo))</f>
        <v/>
      </c>
      <c r="U273" s="62">
        <f>IF($V273="","",IF($V273="Macro",ROW(),IFERROR(LOOKUP(2,1/($V$5:$V273="Macro"),ROW($V$5:$V273)),0)))</f>
        <v/>
      </c>
      <c r="V273" s="62">
        <f>IF(NOT((COUNTA($B273:$D273)+COUNTA($G273:$L273)+COUNTA($Q273))&gt;0),"",IF($B273="Subactividad","Sub","Macro"))</f>
        <v/>
      </c>
      <c r="W273" s="62">
        <f>IF($V273="Macro",COUNTIFS($U$5:$U$1000,ROW(),$V$5:$V$1000,"Sub"),"")</f>
        <v/>
      </c>
      <c r="X273" s="62">
        <f>IF($V273="","",IF(ISNUMBER($G273),1,IFERROR(LOOKUP(2,1/($I273:$L273&lt;&gt;""),$I273:$L273),0)))</f>
        <v/>
      </c>
      <c r="Y273" s="62">
        <f>IF($V273="","",IF(AND(ISNUMBER($G273),$G273&lt;=IF($S273=MesCiclo,InicioCiclo,$S273+MOD(2-WEEKDAY($S273),7))+6),1,IF(ISNUMBER($I273),$I273,0)))</f>
        <v/>
      </c>
      <c r="Z273" s="62">
        <f>IF($V273="","",IF(AND(ISNUMBER($G273),$G273&lt;=IF($S273=MesCiclo,InicioCiclo,$S273+MOD(2-WEEKDAY($S273),7))+13),1,IF(ISNUMBER($J273),$J273,$Y273)))</f>
        <v/>
      </c>
      <c r="AA273" s="62">
        <f>IF($V273="","",IF(AND(ISNUMBER($G273),$G273&lt;=IF($S273=MesCiclo,InicioCiclo,$S273+MOD(2-WEEKDAY($S273),7))+20),1,IF(ISNUMBER($K273),$K273,$Z273)))</f>
        <v/>
      </c>
      <c r="AB273" s="62">
        <f>IF($V273="","",IF(AND(ISNUMBER($G273),$G273&lt;=IF($S273=MesCiclo,InicioCiclo,$S273+MOD(2-WEEKDAY($S273),7))+27),1,IF(ISNUMBER($L273),$L273,$AA273)))</f>
        <v/>
      </c>
      <c r="AC273" s="62">
        <f>IF($V273="","",IF(AND(ISNUMBER($G273),$G273&lt;=IF($S273=MesCiclo,InicioCiclo,$S273+MOD(2-WEEKDAY($S273),7))+6),1,IF(N($W273)&gt;0,AVERAGEIFS($Y$5:$Y$1000,$U$5:$U$1000,ROW(),$V$5:$V$1000,"Sub"),$Y273)))</f>
        <v/>
      </c>
      <c r="AD273" s="62">
        <f>IF($V273="","",IF(AND(ISNUMBER($G273),$G273&lt;=IF($S273=MesCiclo,InicioCiclo,$S273+MOD(2-WEEKDAY($S273),7))+13),1,IF(N($W273)&gt;0,AVERAGEIFS($Z$5:$Z$1000,$U$5:$U$1000,ROW(),$V$5:$V$1000,"Sub"),$Z273)))</f>
        <v/>
      </c>
      <c r="AE273" s="62">
        <f>IF($V273="","",IF(AND(ISNUMBER($G273),$G273&lt;=IF($S273=MesCiclo,InicioCiclo,$S273+MOD(2-WEEKDAY($S273),7))+20),1,IF(N($W273)&gt;0,AVERAGEIFS($AA$5:$AA$1000,$U$5:$U$1000,ROW(),$V$5:$V$1000,"Sub"),$AA273)))</f>
        <v/>
      </c>
      <c r="AF273" s="62">
        <f>IF($V273="","",IF(AND(ISNUMBER($G273),$G273&lt;=IF($S273=MesCiclo,InicioCiclo,$S273+MOD(2-WEEKDAY($S273),7))+27),1,IF(N($W273)&gt;0,AVERAGEIFS($AB$5:$AB$1000,$U$5:$U$1000,ROW(),$V$5:$V$1000,"Sub"),$AB273)))</f>
        <v/>
      </c>
      <c r="AG273" s="62">
        <f>IF($V273&lt;&gt;"Macro","",IF(COUNTIFS($S$5:$S$1000,$S273,$V$5:$V$1000,"Macro",$H$5:$H$1000,"&gt;0")=0,1/COUNTIFS($S$5:$S$1000,$S273,$V$5:$V$1000,"Macro"),IF(AND(ISNUMBER($H273),N($H273)&gt;0),$H273,SUMIFS($H$5:$H$1000,$S$5:$S$1000,$S273,$V$5:$V$1000,"Macro")/COUNTIFS($S$5:$S$1000,$S273,$V$5:$V$1000,"Macro",$H$5:$H$1000,"&gt;0"))/(COUNTIFS($S$5:$S$1000,$S273,$V$5:$V$1000,"Macro")*SUMIFS($H$5:$H$1000,$S$5:$S$1000,$S273,$V$5:$V$1000,"Macro")/COUNTIFS($S$5:$S$1000,$S273,$V$5:$V$1000,"Macro",$H$5:$H$1000,"&gt;0"))))</f>
        <v/>
      </c>
      <c r="AH273" s="62" t="n"/>
      <c r="AI273" s="62" t="n"/>
      <c r="AJ273" s="62" t="n"/>
      <c r="AK273" s="62" t="n"/>
      <c r="AL273" s="62">
        <f>IF(LEFT($C273,11)="[Jefatura] ",IFERROR(MATCH("Riesgo Normativo|"&amp;MID($C273,12,500),rDname_ADM,0),0),"")</f>
        <v/>
      </c>
      <c r="AM273" s="62">
        <f>IF(N($AL273)&gt;0,INDEX(rIni_ADM,$AL273),IF(ISNUMBER($E273),$E273,""))</f>
        <v/>
      </c>
      <c r="AN273" s="62">
        <f>IF(N($AL273)&gt;0,INDEX(rLim_ADM,$AL273),IF(ISNUMBER($F273),$F273,""))</f>
        <v/>
      </c>
    </row>
    <row r="274">
      <c r="A274" s="56">
        <f>IF(NOT((COUNTA($B274:$D274)+COUNTA($G274:$L274)+COUNTA($Q274))&gt;0),"",IF($V274="Macro",COUNTIFS($V$5:$V274,"Macro",$S$5:$S274,$S274),IF(N($U274)=0,"?",COUNTIFS(INDEX($V$5:$V$1000,1):INDEX($V$5:$V$1000,$U274-4),"Macro",INDEX($S$5:$S$1000,1):INDEX($S$5:$S$1000,$U274-4),INDEX($S$5:$S$1000,$U274-4))&amp;"."&amp;COUNTIFS($U$5:$U274,$U274,$V$5:$V274,"Sub"))))</f>
        <v/>
      </c>
      <c r="B274" s="57" t="n"/>
      <c r="C274" s="58" t="n"/>
      <c r="D274" s="58" t="n"/>
      <c r="E274" s="59">
        <f>IF(N($AL274)&gt;0,INDEX(rIni_ADM,$AL274),"")</f>
        <v/>
      </c>
      <c r="F274" s="59">
        <f>IF(N($AL274)&gt;0,INDEX(rLim_ADM,$AL274),"")</f>
        <v/>
      </c>
      <c r="G274" s="59" t="n"/>
      <c r="H274" s="60" t="n"/>
      <c r="I274" s="60" t="n"/>
      <c r="J274" s="60" t="n"/>
      <c r="K274" s="60" t="n"/>
      <c r="L274" s="60" t="n"/>
      <c r="M274" s="61">
        <f>IF(NOT((COUNTA($B274:$D274)+COUNTA($G274:$L274)+COUNTA($Q274))&gt;0),"",IF(ISNUMBER($G274),1,IF(N($W274)&gt;0,AVERAGEIFS($X$5:$X$1000,$U$5:$U$1000,ROW(),$V$5:$V$1000,"Sub"),$X274)))</f>
        <v/>
      </c>
      <c r="N274" s="56">
        <f>IF($M274="","",IF($M274&gt;=1,"Completado",IF($M274&gt;0,"En curso","Pendiente")))</f>
        <v/>
      </c>
      <c r="O274" s="56">
        <f>IF(NOT((COUNTA($B274:$D274)+COUNTA($G274:$L274)+COUNTA($Q274))&gt;0),"",IF(ISNUMBER($G274),IF(AND(ISNUMBER($AN274),$G274&gt;$AN274),"Cumplida con "&amp;($G274-$AN274)&amp;IF($G274-$AN274=1," día"," días")&amp;" de retraso","Cumplida"),IF(N($M274)&gt;=1,"Cumplida",IF(NOT(ISNUMBER($AN274)),"Sin fecha límite",IF($AN274&lt;FechaRef,"Vencida hace "&amp;(FechaRef-$AN274)&amp;IF(FechaRef-$AN274=1," día"," días"),IF($AN274=FechaRef,"Vence hoy",IF($AN274-FechaRef&lt;=DiasAlerta,"Vence en "&amp;($AN274-FechaRef)&amp;IF($AN274-FechaRef=1," día"," días"),"En plazo")))))))</f>
        <v/>
      </c>
      <c r="P274" s="62" t="n"/>
      <c r="Q274" s="58" t="n"/>
      <c r="R274" s="63">
        <f>IF(NOT((COUNTA($B274:$D274)+COUNTA($G274:$L274)+COUNTA($Q274))&gt;0),"",IF((IF($C274="","Falta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",""))="","✔ OK","⚠ "&amp;LEFT(IF($C274="","Falta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",""),LEN(IF($C274="","Falta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",""))-3)))</f>
        <v/>
      </c>
      <c r="S274" s="64">
        <f>IF(NOT((COUNTA($B274:$D274)+COUNTA($G274:$L274)+COUNTA($Q274))&gt;0),"",IF(AND($V274="Sub",N($U274)&gt;0),IF(ISNUMBER(INDEX($AM$5:$AM$1000,$U274-4)),DATE(YEAR(INDEX($AM$5:$AM$1000,$U274-4)),MONTH(INDEX($AM$5:$AM$1000,$U274-4)),1),IF(ISNUMBER(INDEX($AN$5:$AN$1000,$U274-4)),DATE(YEAR(INDEX($AN$5:$AN$1000,$U274-4)),MONTH(INDEX($AN$5:$AN$1000,$U274-4)),1),MesCiclo)),IF(ISNUMBER($AM274),DATE(YEAR($AM274),MONTH($AM274),1),IF(ISNUMBER($AN274),DATE(YEAR($AN274),MONTH($AN274),1),MesCiclo))))</f>
        <v/>
      </c>
      <c r="T274" s="62">
        <f>IF(OR($S274="",$S274&lt;&gt;MesCiclo),"",COUNTIF($S$5:$S274,MesCiclo))</f>
        <v/>
      </c>
      <c r="U274" s="62">
        <f>IF($V274="","",IF($V274="Macro",ROW(),IFERROR(LOOKUP(2,1/($V$5:$V274="Macro"),ROW($V$5:$V274)),0)))</f>
        <v/>
      </c>
      <c r="V274" s="62">
        <f>IF(NOT((COUNTA($B274:$D274)+COUNTA($G274:$L274)+COUNTA($Q274))&gt;0),"",IF($B274="Subactividad","Sub","Macro"))</f>
        <v/>
      </c>
      <c r="W274" s="62">
        <f>IF($V274="Macro",COUNTIFS($U$5:$U$1000,ROW(),$V$5:$V$1000,"Sub"),"")</f>
        <v/>
      </c>
      <c r="X274" s="62">
        <f>IF($V274="","",IF(ISNUMBER($G274),1,IFERROR(LOOKUP(2,1/($I274:$L274&lt;&gt;""),$I274:$L274),0)))</f>
        <v/>
      </c>
      <c r="Y274" s="62">
        <f>IF($V274="","",IF(AND(ISNUMBER($G274),$G274&lt;=IF($S274=MesCiclo,InicioCiclo,$S274+MOD(2-WEEKDAY($S274),7))+6),1,IF(ISNUMBER($I274),$I274,0)))</f>
        <v/>
      </c>
      <c r="Z274" s="62">
        <f>IF($V274="","",IF(AND(ISNUMBER($G274),$G274&lt;=IF($S274=MesCiclo,InicioCiclo,$S274+MOD(2-WEEKDAY($S274),7))+13),1,IF(ISNUMBER($J274),$J274,$Y274)))</f>
        <v/>
      </c>
      <c r="AA274" s="62">
        <f>IF($V274="","",IF(AND(ISNUMBER($G274),$G274&lt;=IF($S274=MesCiclo,InicioCiclo,$S274+MOD(2-WEEKDAY($S274),7))+20),1,IF(ISNUMBER($K274),$K274,$Z274)))</f>
        <v/>
      </c>
      <c r="AB274" s="62">
        <f>IF($V274="","",IF(AND(ISNUMBER($G274),$G274&lt;=IF($S274=MesCiclo,InicioCiclo,$S274+MOD(2-WEEKDAY($S274),7))+27),1,IF(ISNUMBER($L274),$L274,$AA274)))</f>
        <v/>
      </c>
      <c r="AC274" s="62">
        <f>IF($V274="","",IF(AND(ISNUMBER($G274),$G274&lt;=IF($S274=MesCiclo,InicioCiclo,$S274+MOD(2-WEEKDAY($S274),7))+6),1,IF(N($W274)&gt;0,AVERAGEIFS($Y$5:$Y$1000,$U$5:$U$1000,ROW(),$V$5:$V$1000,"Sub"),$Y274)))</f>
        <v/>
      </c>
      <c r="AD274" s="62">
        <f>IF($V274="","",IF(AND(ISNUMBER($G274),$G274&lt;=IF($S274=MesCiclo,InicioCiclo,$S274+MOD(2-WEEKDAY($S274),7))+13),1,IF(N($W274)&gt;0,AVERAGEIFS($Z$5:$Z$1000,$U$5:$U$1000,ROW(),$V$5:$V$1000,"Sub"),$Z274)))</f>
        <v/>
      </c>
      <c r="AE274" s="62">
        <f>IF($V274="","",IF(AND(ISNUMBER($G274),$G274&lt;=IF($S274=MesCiclo,InicioCiclo,$S274+MOD(2-WEEKDAY($S274),7))+20),1,IF(N($W274)&gt;0,AVERAGEIFS($AA$5:$AA$1000,$U$5:$U$1000,ROW(),$V$5:$V$1000,"Sub"),$AA274)))</f>
        <v/>
      </c>
      <c r="AF274" s="62">
        <f>IF($V274="","",IF(AND(ISNUMBER($G274),$G274&lt;=IF($S274=MesCiclo,InicioCiclo,$S274+MOD(2-WEEKDAY($S274),7))+27),1,IF(N($W274)&gt;0,AVERAGEIFS($AB$5:$AB$1000,$U$5:$U$1000,ROW(),$V$5:$V$1000,"Sub"),$AB274)))</f>
        <v/>
      </c>
      <c r="AG274" s="62">
        <f>IF($V274&lt;&gt;"Macro","",IF(COUNTIFS($S$5:$S$1000,$S274,$V$5:$V$1000,"Macro",$H$5:$H$1000,"&gt;0")=0,1/COUNTIFS($S$5:$S$1000,$S274,$V$5:$V$1000,"Macro"),IF(AND(ISNUMBER($H274),N($H274)&gt;0),$H274,SUMIFS($H$5:$H$1000,$S$5:$S$1000,$S274,$V$5:$V$1000,"Macro")/COUNTIFS($S$5:$S$1000,$S274,$V$5:$V$1000,"Macro",$H$5:$H$1000,"&gt;0"))/(COUNTIFS($S$5:$S$1000,$S274,$V$5:$V$1000,"Macro")*SUMIFS($H$5:$H$1000,$S$5:$S$1000,$S274,$V$5:$V$1000,"Macro")/COUNTIFS($S$5:$S$1000,$S274,$V$5:$V$1000,"Macro",$H$5:$H$1000,"&gt;0"))))</f>
        <v/>
      </c>
      <c r="AH274" s="62" t="n"/>
      <c r="AI274" s="62" t="n"/>
      <c r="AJ274" s="62" t="n"/>
      <c r="AK274" s="62" t="n"/>
      <c r="AL274" s="62">
        <f>IF(LEFT($C274,11)="[Jefatura] ",IFERROR(MATCH("Riesgo Normativo|"&amp;MID($C274,12,500),rDname_ADM,0),0),"")</f>
        <v/>
      </c>
      <c r="AM274" s="62">
        <f>IF(N($AL274)&gt;0,INDEX(rIni_ADM,$AL274),IF(ISNUMBER($E274),$E274,""))</f>
        <v/>
      </c>
      <c r="AN274" s="62">
        <f>IF(N($AL274)&gt;0,INDEX(rLim_ADM,$AL274),IF(ISNUMBER($F274),$F274,""))</f>
        <v/>
      </c>
    </row>
    <row r="275">
      <c r="A275" s="56">
        <f>IF(NOT((COUNTA($B275:$D275)+COUNTA($G275:$L275)+COUNTA($Q275))&gt;0),"",IF($V275="Macro",COUNTIFS($V$5:$V275,"Macro",$S$5:$S275,$S275),IF(N($U275)=0,"?",COUNTIFS(INDEX($V$5:$V$1000,1):INDEX($V$5:$V$1000,$U275-4),"Macro",INDEX($S$5:$S$1000,1):INDEX($S$5:$S$1000,$U275-4),INDEX($S$5:$S$1000,$U275-4))&amp;"."&amp;COUNTIFS($U$5:$U275,$U275,$V$5:$V275,"Sub"))))</f>
        <v/>
      </c>
      <c r="B275" s="57" t="n"/>
      <c r="C275" s="58" t="n"/>
      <c r="D275" s="58" t="n"/>
      <c r="E275" s="59">
        <f>IF(N($AL275)&gt;0,INDEX(rIni_ADM,$AL275),"")</f>
        <v/>
      </c>
      <c r="F275" s="59">
        <f>IF(N($AL275)&gt;0,INDEX(rLim_ADM,$AL275),"")</f>
        <v/>
      </c>
      <c r="G275" s="59" t="n"/>
      <c r="H275" s="60" t="n"/>
      <c r="I275" s="60" t="n"/>
      <c r="J275" s="60" t="n"/>
      <c r="K275" s="60" t="n"/>
      <c r="L275" s="60" t="n"/>
      <c r="M275" s="61">
        <f>IF(NOT((COUNTA($B275:$D275)+COUNTA($G275:$L275)+COUNTA($Q275))&gt;0),"",IF(ISNUMBER($G275),1,IF(N($W275)&gt;0,AVERAGEIFS($X$5:$X$1000,$U$5:$U$1000,ROW(),$V$5:$V$1000,"Sub"),$X275)))</f>
        <v/>
      </c>
      <c r="N275" s="56">
        <f>IF($M275="","",IF($M275&gt;=1,"Completado",IF($M275&gt;0,"En curso","Pendiente")))</f>
        <v/>
      </c>
      <c r="O275" s="56">
        <f>IF(NOT((COUNTA($B275:$D275)+COUNTA($G275:$L275)+COUNTA($Q275))&gt;0),"",IF(ISNUMBER($G275),IF(AND(ISNUMBER($AN275),$G275&gt;$AN275),"Cumplida con "&amp;($G275-$AN275)&amp;IF($G275-$AN275=1," día"," días")&amp;" de retraso","Cumplida"),IF(N($M275)&gt;=1,"Cumplida",IF(NOT(ISNUMBER($AN275)),"Sin fecha límite",IF($AN275&lt;FechaRef,"Vencida hace "&amp;(FechaRef-$AN275)&amp;IF(FechaRef-$AN275=1," día"," días"),IF($AN275=FechaRef,"Vence hoy",IF($AN275-FechaRef&lt;=DiasAlerta,"Vence en "&amp;($AN275-FechaRef)&amp;IF($AN275-FechaRef=1," día"," días"),"En plazo")))))))</f>
        <v/>
      </c>
      <c r="P275" s="62" t="n"/>
      <c r="Q275" s="58" t="n"/>
      <c r="R275" s="63">
        <f>IF(NOT((COUNTA($B275:$D275)+COUNTA($G275:$L275)+COUNTA($Q275))&gt;0),"",IF((IF($C275="","Falta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",""))="","✔ OK","⚠ "&amp;LEFT(IF($C275="","Falta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",""),LEN(IF($C275="","Falta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",""))-3)))</f>
        <v/>
      </c>
      <c r="S275" s="64">
        <f>IF(NOT((COUNTA($B275:$D275)+COUNTA($G275:$L275)+COUNTA($Q275))&gt;0),"",IF(AND($V275="Sub",N($U275)&gt;0),IF(ISNUMBER(INDEX($AM$5:$AM$1000,$U275-4)),DATE(YEAR(INDEX($AM$5:$AM$1000,$U275-4)),MONTH(INDEX($AM$5:$AM$1000,$U275-4)),1),IF(ISNUMBER(INDEX($AN$5:$AN$1000,$U275-4)),DATE(YEAR(INDEX($AN$5:$AN$1000,$U275-4)),MONTH(INDEX($AN$5:$AN$1000,$U275-4)),1),MesCiclo)),IF(ISNUMBER($AM275),DATE(YEAR($AM275),MONTH($AM275),1),IF(ISNUMBER($AN275),DATE(YEAR($AN275),MONTH($AN275),1),MesCiclo))))</f>
        <v/>
      </c>
      <c r="T275" s="62">
        <f>IF(OR($S275="",$S275&lt;&gt;MesCiclo),"",COUNTIF($S$5:$S275,MesCiclo))</f>
        <v/>
      </c>
      <c r="U275" s="62">
        <f>IF($V275="","",IF($V275="Macro",ROW(),IFERROR(LOOKUP(2,1/($V$5:$V275="Macro"),ROW($V$5:$V275)),0)))</f>
        <v/>
      </c>
      <c r="V275" s="62">
        <f>IF(NOT((COUNTA($B275:$D275)+COUNTA($G275:$L275)+COUNTA($Q275))&gt;0),"",IF($B275="Subactividad","Sub","Macro"))</f>
        <v/>
      </c>
      <c r="W275" s="62">
        <f>IF($V275="Macro",COUNTIFS($U$5:$U$1000,ROW(),$V$5:$V$1000,"Sub"),"")</f>
        <v/>
      </c>
      <c r="X275" s="62">
        <f>IF($V275="","",IF(ISNUMBER($G275),1,IFERROR(LOOKUP(2,1/($I275:$L275&lt;&gt;""),$I275:$L275),0)))</f>
        <v/>
      </c>
      <c r="Y275" s="62">
        <f>IF($V275="","",IF(AND(ISNUMBER($G275),$G275&lt;=IF($S275=MesCiclo,InicioCiclo,$S275+MOD(2-WEEKDAY($S275),7))+6),1,IF(ISNUMBER($I275),$I275,0)))</f>
        <v/>
      </c>
      <c r="Z275" s="62">
        <f>IF($V275="","",IF(AND(ISNUMBER($G275),$G275&lt;=IF($S275=MesCiclo,InicioCiclo,$S275+MOD(2-WEEKDAY($S275),7))+13),1,IF(ISNUMBER($J275),$J275,$Y275)))</f>
        <v/>
      </c>
      <c r="AA275" s="62">
        <f>IF($V275="","",IF(AND(ISNUMBER($G275),$G275&lt;=IF($S275=MesCiclo,InicioCiclo,$S275+MOD(2-WEEKDAY($S275),7))+20),1,IF(ISNUMBER($K275),$K275,$Z275)))</f>
        <v/>
      </c>
      <c r="AB275" s="62">
        <f>IF($V275="","",IF(AND(ISNUMBER($G275),$G275&lt;=IF($S275=MesCiclo,InicioCiclo,$S275+MOD(2-WEEKDAY($S275),7))+27),1,IF(ISNUMBER($L275),$L275,$AA275)))</f>
        <v/>
      </c>
      <c r="AC275" s="62">
        <f>IF($V275="","",IF(AND(ISNUMBER($G275),$G275&lt;=IF($S275=MesCiclo,InicioCiclo,$S275+MOD(2-WEEKDAY($S275),7))+6),1,IF(N($W275)&gt;0,AVERAGEIFS($Y$5:$Y$1000,$U$5:$U$1000,ROW(),$V$5:$V$1000,"Sub"),$Y275)))</f>
        <v/>
      </c>
      <c r="AD275" s="62">
        <f>IF($V275="","",IF(AND(ISNUMBER($G275),$G275&lt;=IF($S275=MesCiclo,InicioCiclo,$S275+MOD(2-WEEKDAY($S275),7))+13),1,IF(N($W275)&gt;0,AVERAGEIFS($Z$5:$Z$1000,$U$5:$U$1000,ROW(),$V$5:$V$1000,"Sub"),$Z275)))</f>
        <v/>
      </c>
      <c r="AE275" s="62">
        <f>IF($V275="","",IF(AND(ISNUMBER($G275),$G275&lt;=IF($S275=MesCiclo,InicioCiclo,$S275+MOD(2-WEEKDAY($S275),7))+20),1,IF(N($W275)&gt;0,AVERAGEIFS($AA$5:$AA$1000,$U$5:$U$1000,ROW(),$V$5:$V$1000,"Sub"),$AA275)))</f>
        <v/>
      </c>
      <c r="AF275" s="62">
        <f>IF($V275="","",IF(AND(ISNUMBER($G275),$G275&lt;=IF($S275=MesCiclo,InicioCiclo,$S275+MOD(2-WEEKDAY($S275),7))+27),1,IF(N($W275)&gt;0,AVERAGEIFS($AB$5:$AB$1000,$U$5:$U$1000,ROW(),$V$5:$V$1000,"Sub"),$AB275)))</f>
        <v/>
      </c>
      <c r="AG275" s="62">
        <f>IF($V275&lt;&gt;"Macro","",IF(COUNTIFS($S$5:$S$1000,$S275,$V$5:$V$1000,"Macro",$H$5:$H$1000,"&gt;0")=0,1/COUNTIFS($S$5:$S$1000,$S275,$V$5:$V$1000,"Macro"),IF(AND(ISNUMBER($H275),N($H275)&gt;0),$H275,SUMIFS($H$5:$H$1000,$S$5:$S$1000,$S275,$V$5:$V$1000,"Macro")/COUNTIFS($S$5:$S$1000,$S275,$V$5:$V$1000,"Macro",$H$5:$H$1000,"&gt;0"))/(COUNTIFS($S$5:$S$1000,$S275,$V$5:$V$1000,"Macro")*SUMIFS($H$5:$H$1000,$S$5:$S$1000,$S275,$V$5:$V$1000,"Macro")/COUNTIFS($S$5:$S$1000,$S275,$V$5:$V$1000,"Macro",$H$5:$H$1000,"&gt;0"))))</f>
        <v/>
      </c>
      <c r="AH275" s="62" t="n"/>
      <c r="AI275" s="62" t="n"/>
      <c r="AJ275" s="62" t="n"/>
      <c r="AK275" s="62" t="n"/>
      <c r="AL275" s="62">
        <f>IF(LEFT($C275,11)="[Jefatura] ",IFERROR(MATCH("Riesgo Normativo|"&amp;MID($C275,12,500),rDname_ADM,0),0),"")</f>
        <v/>
      </c>
      <c r="AM275" s="62">
        <f>IF(N($AL275)&gt;0,INDEX(rIni_ADM,$AL275),IF(ISNUMBER($E275),$E275,""))</f>
        <v/>
      </c>
      <c r="AN275" s="62">
        <f>IF(N($AL275)&gt;0,INDEX(rLim_ADM,$AL275),IF(ISNUMBER($F275),$F275,""))</f>
        <v/>
      </c>
    </row>
    <row r="276">
      <c r="A276" s="56">
        <f>IF(NOT((COUNTA($B276:$D276)+COUNTA($G276:$L276)+COUNTA($Q276))&gt;0),"",IF($V276="Macro",COUNTIFS($V$5:$V276,"Macro",$S$5:$S276,$S276),IF(N($U276)=0,"?",COUNTIFS(INDEX($V$5:$V$1000,1):INDEX($V$5:$V$1000,$U276-4),"Macro",INDEX($S$5:$S$1000,1):INDEX($S$5:$S$1000,$U276-4),INDEX($S$5:$S$1000,$U276-4))&amp;"."&amp;COUNTIFS($U$5:$U276,$U276,$V$5:$V276,"Sub"))))</f>
        <v/>
      </c>
      <c r="B276" s="57" t="n"/>
      <c r="C276" s="58" t="n"/>
      <c r="D276" s="58" t="n"/>
      <c r="E276" s="59">
        <f>IF(N($AL276)&gt;0,INDEX(rIni_ADM,$AL276),"")</f>
        <v/>
      </c>
      <c r="F276" s="59">
        <f>IF(N($AL276)&gt;0,INDEX(rLim_ADM,$AL276),"")</f>
        <v/>
      </c>
      <c r="G276" s="59" t="n"/>
      <c r="H276" s="60" t="n"/>
      <c r="I276" s="60" t="n"/>
      <c r="J276" s="60" t="n"/>
      <c r="K276" s="60" t="n"/>
      <c r="L276" s="60" t="n"/>
      <c r="M276" s="61">
        <f>IF(NOT((COUNTA($B276:$D276)+COUNTA($G276:$L276)+COUNTA($Q276))&gt;0),"",IF(ISNUMBER($G276),1,IF(N($W276)&gt;0,AVERAGEIFS($X$5:$X$1000,$U$5:$U$1000,ROW(),$V$5:$V$1000,"Sub"),$X276)))</f>
        <v/>
      </c>
      <c r="N276" s="56">
        <f>IF($M276="","",IF($M276&gt;=1,"Completado",IF($M276&gt;0,"En curso","Pendiente")))</f>
        <v/>
      </c>
      <c r="O276" s="56">
        <f>IF(NOT((COUNTA($B276:$D276)+COUNTA($G276:$L276)+COUNTA($Q276))&gt;0),"",IF(ISNUMBER($G276),IF(AND(ISNUMBER($AN276),$G276&gt;$AN276),"Cumplida con "&amp;($G276-$AN276)&amp;IF($G276-$AN276=1," día"," días")&amp;" de retraso","Cumplida"),IF(N($M276)&gt;=1,"Cumplida",IF(NOT(ISNUMBER($AN276)),"Sin fecha límite",IF($AN276&lt;FechaRef,"Vencida hace "&amp;(FechaRef-$AN276)&amp;IF(FechaRef-$AN276=1," día"," días"),IF($AN276=FechaRef,"Vence hoy",IF($AN276-FechaRef&lt;=DiasAlerta,"Vence en "&amp;($AN276-FechaRef)&amp;IF($AN276-FechaRef=1," día"," días"),"En plazo")))))))</f>
        <v/>
      </c>
      <c r="P276" s="62" t="n"/>
      <c r="Q276" s="58" t="n"/>
      <c r="R276" s="63">
        <f>IF(NOT((COUNTA($B276:$D276)+COUNTA($G276:$L276)+COUNTA($Q276))&gt;0),"",IF((IF($C276="","Falta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",""))="","✔ OK","⚠ "&amp;LEFT(IF($C276="","Falta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",""),LEN(IF($C276="","Falta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",""))-3)))</f>
        <v/>
      </c>
      <c r="S276" s="64">
        <f>IF(NOT((COUNTA($B276:$D276)+COUNTA($G276:$L276)+COUNTA($Q276))&gt;0),"",IF(AND($V276="Sub",N($U276)&gt;0),IF(ISNUMBER(INDEX($AM$5:$AM$1000,$U276-4)),DATE(YEAR(INDEX($AM$5:$AM$1000,$U276-4)),MONTH(INDEX($AM$5:$AM$1000,$U276-4)),1),IF(ISNUMBER(INDEX($AN$5:$AN$1000,$U276-4)),DATE(YEAR(INDEX($AN$5:$AN$1000,$U276-4)),MONTH(INDEX($AN$5:$AN$1000,$U276-4)),1),MesCiclo)),IF(ISNUMBER($AM276),DATE(YEAR($AM276),MONTH($AM276),1),IF(ISNUMBER($AN276),DATE(YEAR($AN276),MONTH($AN276),1),MesCiclo))))</f>
        <v/>
      </c>
      <c r="T276" s="62">
        <f>IF(OR($S276="",$S276&lt;&gt;MesCiclo),"",COUNTIF($S$5:$S276,MesCiclo))</f>
        <v/>
      </c>
      <c r="U276" s="62">
        <f>IF($V276="","",IF($V276="Macro",ROW(),IFERROR(LOOKUP(2,1/($V$5:$V276="Macro"),ROW($V$5:$V276)),0)))</f>
        <v/>
      </c>
      <c r="V276" s="62">
        <f>IF(NOT((COUNTA($B276:$D276)+COUNTA($G276:$L276)+COUNTA($Q276))&gt;0),"",IF($B276="Subactividad","Sub","Macro"))</f>
        <v/>
      </c>
      <c r="W276" s="62">
        <f>IF($V276="Macro",COUNTIFS($U$5:$U$1000,ROW(),$V$5:$V$1000,"Sub"),"")</f>
        <v/>
      </c>
      <c r="X276" s="62">
        <f>IF($V276="","",IF(ISNUMBER($G276),1,IFERROR(LOOKUP(2,1/($I276:$L276&lt;&gt;""),$I276:$L276),0)))</f>
        <v/>
      </c>
      <c r="Y276" s="62">
        <f>IF($V276="","",IF(AND(ISNUMBER($G276),$G276&lt;=IF($S276=MesCiclo,InicioCiclo,$S276+MOD(2-WEEKDAY($S276),7))+6),1,IF(ISNUMBER($I276),$I276,0)))</f>
        <v/>
      </c>
      <c r="Z276" s="62">
        <f>IF($V276="","",IF(AND(ISNUMBER($G276),$G276&lt;=IF($S276=MesCiclo,InicioCiclo,$S276+MOD(2-WEEKDAY($S276),7))+13),1,IF(ISNUMBER($J276),$J276,$Y276)))</f>
        <v/>
      </c>
      <c r="AA276" s="62">
        <f>IF($V276="","",IF(AND(ISNUMBER($G276),$G276&lt;=IF($S276=MesCiclo,InicioCiclo,$S276+MOD(2-WEEKDAY($S276),7))+20),1,IF(ISNUMBER($K276),$K276,$Z276)))</f>
        <v/>
      </c>
      <c r="AB276" s="62">
        <f>IF($V276="","",IF(AND(ISNUMBER($G276),$G276&lt;=IF($S276=MesCiclo,InicioCiclo,$S276+MOD(2-WEEKDAY($S276),7))+27),1,IF(ISNUMBER($L276),$L276,$AA276)))</f>
        <v/>
      </c>
      <c r="AC276" s="62">
        <f>IF($V276="","",IF(AND(ISNUMBER($G276),$G276&lt;=IF($S276=MesCiclo,InicioCiclo,$S276+MOD(2-WEEKDAY($S276),7))+6),1,IF(N($W276)&gt;0,AVERAGEIFS($Y$5:$Y$1000,$U$5:$U$1000,ROW(),$V$5:$V$1000,"Sub"),$Y276)))</f>
        <v/>
      </c>
      <c r="AD276" s="62">
        <f>IF($V276="","",IF(AND(ISNUMBER($G276),$G276&lt;=IF($S276=MesCiclo,InicioCiclo,$S276+MOD(2-WEEKDAY($S276),7))+13),1,IF(N($W276)&gt;0,AVERAGEIFS($Z$5:$Z$1000,$U$5:$U$1000,ROW(),$V$5:$V$1000,"Sub"),$Z276)))</f>
        <v/>
      </c>
      <c r="AE276" s="62">
        <f>IF($V276="","",IF(AND(ISNUMBER($G276),$G276&lt;=IF($S276=MesCiclo,InicioCiclo,$S276+MOD(2-WEEKDAY($S276),7))+20),1,IF(N($W276)&gt;0,AVERAGEIFS($AA$5:$AA$1000,$U$5:$U$1000,ROW(),$V$5:$V$1000,"Sub"),$AA276)))</f>
        <v/>
      </c>
      <c r="AF276" s="62">
        <f>IF($V276="","",IF(AND(ISNUMBER($G276),$G276&lt;=IF($S276=MesCiclo,InicioCiclo,$S276+MOD(2-WEEKDAY($S276),7))+27),1,IF(N($W276)&gt;0,AVERAGEIFS($AB$5:$AB$1000,$U$5:$U$1000,ROW(),$V$5:$V$1000,"Sub"),$AB276)))</f>
        <v/>
      </c>
      <c r="AG276" s="62">
        <f>IF($V276&lt;&gt;"Macro","",IF(COUNTIFS($S$5:$S$1000,$S276,$V$5:$V$1000,"Macro",$H$5:$H$1000,"&gt;0")=0,1/COUNTIFS($S$5:$S$1000,$S276,$V$5:$V$1000,"Macro"),IF(AND(ISNUMBER($H276),N($H276)&gt;0),$H276,SUMIFS($H$5:$H$1000,$S$5:$S$1000,$S276,$V$5:$V$1000,"Macro")/COUNTIFS($S$5:$S$1000,$S276,$V$5:$V$1000,"Macro",$H$5:$H$1000,"&gt;0"))/(COUNTIFS($S$5:$S$1000,$S276,$V$5:$V$1000,"Macro")*SUMIFS($H$5:$H$1000,$S$5:$S$1000,$S276,$V$5:$V$1000,"Macro")/COUNTIFS($S$5:$S$1000,$S276,$V$5:$V$1000,"Macro",$H$5:$H$1000,"&gt;0"))))</f>
        <v/>
      </c>
      <c r="AH276" s="62" t="n"/>
      <c r="AI276" s="62" t="n"/>
      <c r="AJ276" s="62" t="n"/>
      <c r="AK276" s="62" t="n"/>
      <c r="AL276" s="62">
        <f>IF(LEFT($C276,11)="[Jefatura] ",IFERROR(MATCH("Riesgo Normativo|"&amp;MID($C276,12,500),rDname_ADM,0),0),"")</f>
        <v/>
      </c>
      <c r="AM276" s="62">
        <f>IF(N($AL276)&gt;0,INDEX(rIni_ADM,$AL276),IF(ISNUMBER($E276),$E276,""))</f>
        <v/>
      </c>
      <c r="AN276" s="62">
        <f>IF(N($AL276)&gt;0,INDEX(rLim_ADM,$AL276),IF(ISNUMBER($F276),$F276,""))</f>
        <v/>
      </c>
    </row>
    <row r="277">
      <c r="A277" s="56">
        <f>IF(NOT((COUNTA($B277:$D277)+COUNTA($G277:$L277)+COUNTA($Q277))&gt;0),"",IF($V277="Macro",COUNTIFS($V$5:$V277,"Macro",$S$5:$S277,$S277),IF(N($U277)=0,"?",COUNTIFS(INDEX($V$5:$V$1000,1):INDEX($V$5:$V$1000,$U277-4),"Macro",INDEX($S$5:$S$1000,1):INDEX($S$5:$S$1000,$U277-4),INDEX($S$5:$S$1000,$U277-4))&amp;"."&amp;COUNTIFS($U$5:$U277,$U277,$V$5:$V277,"Sub"))))</f>
        <v/>
      </c>
      <c r="B277" s="57" t="n"/>
      <c r="C277" s="58" t="n"/>
      <c r="D277" s="58" t="n"/>
      <c r="E277" s="59">
        <f>IF(N($AL277)&gt;0,INDEX(rIni_ADM,$AL277),"")</f>
        <v/>
      </c>
      <c r="F277" s="59">
        <f>IF(N($AL277)&gt;0,INDEX(rLim_ADM,$AL277),"")</f>
        <v/>
      </c>
      <c r="G277" s="59" t="n"/>
      <c r="H277" s="60" t="n"/>
      <c r="I277" s="60" t="n"/>
      <c r="J277" s="60" t="n"/>
      <c r="K277" s="60" t="n"/>
      <c r="L277" s="60" t="n"/>
      <c r="M277" s="61">
        <f>IF(NOT((COUNTA($B277:$D277)+COUNTA($G277:$L277)+COUNTA($Q277))&gt;0),"",IF(ISNUMBER($G277),1,IF(N($W277)&gt;0,AVERAGEIFS($X$5:$X$1000,$U$5:$U$1000,ROW(),$V$5:$V$1000,"Sub"),$X277)))</f>
        <v/>
      </c>
      <c r="N277" s="56">
        <f>IF($M277="","",IF($M277&gt;=1,"Completado",IF($M277&gt;0,"En curso","Pendiente")))</f>
        <v/>
      </c>
      <c r="O277" s="56">
        <f>IF(NOT((COUNTA($B277:$D277)+COUNTA($G277:$L277)+COUNTA($Q277))&gt;0),"",IF(ISNUMBER($G277),IF(AND(ISNUMBER($AN277),$G277&gt;$AN277),"Cumplida con "&amp;($G277-$AN277)&amp;IF($G277-$AN277=1," día"," días")&amp;" de retraso","Cumplida"),IF(N($M277)&gt;=1,"Cumplida",IF(NOT(ISNUMBER($AN277)),"Sin fecha límite",IF($AN277&lt;FechaRef,"Vencida hace "&amp;(FechaRef-$AN277)&amp;IF(FechaRef-$AN277=1," día"," días"),IF($AN277=FechaRef,"Vence hoy",IF($AN277-FechaRef&lt;=DiasAlerta,"Vence en "&amp;($AN277-FechaRef)&amp;IF($AN277-FechaRef=1," día"," días"),"En plazo")))))))</f>
        <v/>
      </c>
      <c r="P277" s="62" t="n"/>
      <c r="Q277" s="58" t="n"/>
      <c r="R277" s="63">
        <f>IF(NOT((COUNTA($B277:$D277)+COUNTA($G277:$L277)+COUNTA($Q277))&gt;0),"",IF((IF($C277="","Falta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",""))="","✔ OK","⚠ "&amp;LEFT(IF($C277="","Falta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",""),LEN(IF($C277="","Falta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",""))-3)))</f>
        <v/>
      </c>
      <c r="S277" s="64">
        <f>IF(NOT((COUNTA($B277:$D277)+COUNTA($G277:$L277)+COUNTA($Q277))&gt;0),"",IF(AND($V277="Sub",N($U277)&gt;0),IF(ISNUMBER(INDEX($AM$5:$AM$1000,$U277-4)),DATE(YEAR(INDEX($AM$5:$AM$1000,$U277-4)),MONTH(INDEX($AM$5:$AM$1000,$U277-4)),1),IF(ISNUMBER(INDEX($AN$5:$AN$1000,$U277-4)),DATE(YEAR(INDEX($AN$5:$AN$1000,$U277-4)),MONTH(INDEX($AN$5:$AN$1000,$U277-4)),1),MesCiclo)),IF(ISNUMBER($AM277),DATE(YEAR($AM277),MONTH($AM277),1),IF(ISNUMBER($AN277),DATE(YEAR($AN277),MONTH($AN277),1),MesCiclo))))</f>
        <v/>
      </c>
      <c r="T277" s="62">
        <f>IF(OR($S277="",$S277&lt;&gt;MesCiclo),"",COUNTIF($S$5:$S277,MesCiclo))</f>
        <v/>
      </c>
      <c r="U277" s="62">
        <f>IF($V277="","",IF($V277="Macro",ROW(),IFERROR(LOOKUP(2,1/($V$5:$V277="Macro"),ROW($V$5:$V277)),0)))</f>
        <v/>
      </c>
      <c r="V277" s="62">
        <f>IF(NOT((COUNTA($B277:$D277)+COUNTA($G277:$L277)+COUNTA($Q277))&gt;0),"",IF($B277="Subactividad","Sub","Macro"))</f>
        <v/>
      </c>
      <c r="W277" s="62">
        <f>IF($V277="Macro",COUNTIFS($U$5:$U$1000,ROW(),$V$5:$V$1000,"Sub"),"")</f>
        <v/>
      </c>
      <c r="X277" s="62">
        <f>IF($V277="","",IF(ISNUMBER($G277),1,IFERROR(LOOKUP(2,1/($I277:$L277&lt;&gt;""),$I277:$L277),0)))</f>
        <v/>
      </c>
      <c r="Y277" s="62">
        <f>IF($V277="","",IF(AND(ISNUMBER($G277),$G277&lt;=IF($S277=MesCiclo,InicioCiclo,$S277+MOD(2-WEEKDAY($S277),7))+6),1,IF(ISNUMBER($I277),$I277,0)))</f>
        <v/>
      </c>
      <c r="Z277" s="62">
        <f>IF($V277="","",IF(AND(ISNUMBER($G277),$G277&lt;=IF($S277=MesCiclo,InicioCiclo,$S277+MOD(2-WEEKDAY($S277),7))+13),1,IF(ISNUMBER($J277),$J277,$Y277)))</f>
        <v/>
      </c>
      <c r="AA277" s="62">
        <f>IF($V277="","",IF(AND(ISNUMBER($G277),$G277&lt;=IF($S277=MesCiclo,InicioCiclo,$S277+MOD(2-WEEKDAY($S277),7))+20),1,IF(ISNUMBER($K277),$K277,$Z277)))</f>
        <v/>
      </c>
      <c r="AB277" s="62">
        <f>IF($V277="","",IF(AND(ISNUMBER($G277),$G277&lt;=IF($S277=MesCiclo,InicioCiclo,$S277+MOD(2-WEEKDAY($S277),7))+27),1,IF(ISNUMBER($L277),$L277,$AA277)))</f>
        <v/>
      </c>
      <c r="AC277" s="62">
        <f>IF($V277="","",IF(AND(ISNUMBER($G277),$G277&lt;=IF($S277=MesCiclo,InicioCiclo,$S277+MOD(2-WEEKDAY($S277),7))+6),1,IF(N($W277)&gt;0,AVERAGEIFS($Y$5:$Y$1000,$U$5:$U$1000,ROW(),$V$5:$V$1000,"Sub"),$Y277)))</f>
        <v/>
      </c>
      <c r="AD277" s="62">
        <f>IF($V277="","",IF(AND(ISNUMBER($G277),$G277&lt;=IF($S277=MesCiclo,InicioCiclo,$S277+MOD(2-WEEKDAY($S277),7))+13),1,IF(N($W277)&gt;0,AVERAGEIFS($Z$5:$Z$1000,$U$5:$U$1000,ROW(),$V$5:$V$1000,"Sub"),$Z277)))</f>
        <v/>
      </c>
      <c r="AE277" s="62">
        <f>IF($V277="","",IF(AND(ISNUMBER($G277),$G277&lt;=IF($S277=MesCiclo,InicioCiclo,$S277+MOD(2-WEEKDAY($S277),7))+20),1,IF(N($W277)&gt;0,AVERAGEIFS($AA$5:$AA$1000,$U$5:$U$1000,ROW(),$V$5:$V$1000,"Sub"),$AA277)))</f>
        <v/>
      </c>
      <c r="AF277" s="62">
        <f>IF($V277="","",IF(AND(ISNUMBER($G277),$G277&lt;=IF($S277=MesCiclo,InicioCiclo,$S277+MOD(2-WEEKDAY($S277),7))+27),1,IF(N($W277)&gt;0,AVERAGEIFS($AB$5:$AB$1000,$U$5:$U$1000,ROW(),$V$5:$V$1000,"Sub"),$AB277)))</f>
        <v/>
      </c>
      <c r="AG277" s="62">
        <f>IF($V277&lt;&gt;"Macro","",IF(COUNTIFS($S$5:$S$1000,$S277,$V$5:$V$1000,"Macro",$H$5:$H$1000,"&gt;0")=0,1/COUNTIFS($S$5:$S$1000,$S277,$V$5:$V$1000,"Macro"),IF(AND(ISNUMBER($H277),N($H277)&gt;0),$H277,SUMIFS($H$5:$H$1000,$S$5:$S$1000,$S277,$V$5:$V$1000,"Macro")/COUNTIFS($S$5:$S$1000,$S277,$V$5:$V$1000,"Macro",$H$5:$H$1000,"&gt;0"))/(COUNTIFS($S$5:$S$1000,$S277,$V$5:$V$1000,"Macro")*SUMIFS($H$5:$H$1000,$S$5:$S$1000,$S277,$V$5:$V$1000,"Macro")/COUNTIFS($S$5:$S$1000,$S277,$V$5:$V$1000,"Macro",$H$5:$H$1000,"&gt;0"))))</f>
        <v/>
      </c>
      <c r="AH277" s="62" t="n"/>
      <c r="AI277" s="62" t="n"/>
      <c r="AJ277" s="62" t="n"/>
      <c r="AK277" s="62" t="n"/>
      <c r="AL277" s="62">
        <f>IF(LEFT($C277,11)="[Jefatura] ",IFERROR(MATCH("Riesgo Normativo|"&amp;MID($C277,12,500),rDname_ADM,0),0),"")</f>
        <v/>
      </c>
      <c r="AM277" s="62">
        <f>IF(N($AL277)&gt;0,INDEX(rIni_ADM,$AL277),IF(ISNUMBER($E277),$E277,""))</f>
        <v/>
      </c>
      <c r="AN277" s="62">
        <f>IF(N($AL277)&gt;0,INDEX(rLim_ADM,$AL277),IF(ISNUMBER($F277),$F277,""))</f>
        <v/>
      </c>
    </row>
    <row r="278">
      <c r="A278" s="56">
        <f>IF(NOT((COUNTA($B278:$D278)+COUNTA($G278:$L278)+COUNTA($Q278))&gt;0),"",IF($V278="Macro",COUNTIFS($V$5:$V278,"Macro",$S$5:$S278,$S278),IF(N($U278)=0,"?",COUNTIFS(INDEX($V$5:$V$1000,1):INDEX($V$5:$V$1000,$U278-4),"Macro",INDEX($S$5:$S$1000,1):INDEX($S$5:$S$1000,$U278-4),INDEX($S$5:$S$1000,$U278-4))&amp;"."&amp;COUNTIFS($U$5:$U278,$U278,$V$5:$V278,"Sub"))))</f>
        <v/>
      </c>
      <c r="B278" s="57" t="n"/>
      <c r="C278" s="58" t="n"/>
      <c r="D278" s="58" t="n"/>
      <c r="E278" s="59">
        <f>IF(N($AL278)&gt;0,INDEX(rIni_ADM,$AL278),"")</f>
        <v/>
      </c>
      <c r="F278" s="59">
        <f>IF(N($AL278)&gt;0,INDEX(rLim_ADM,$AL278),"")</f>
        <v/>
      </c>
      <c r="G278" s="59" t="n"/>
      <c r="H278" s="60" t="n"/>
      <c r="I278" s="60" t="n"/>
      <c r="J278" s="60" t="n"/>
      <c r="K278" s="60" t="n"/>
      <c r="L278" s="60" t="n"/>
      <c r="M278" s="61">
        <f>IF(NOT((COUNTA($B278:$D278)+COUNTA($G278:$L278)+COUNTA($Q278))&gt;0),"",IF(ISNUMBER($G278),1,IF(N($W278)&gt;0,AVERAGEIFS($X$5:$X$1000,$U$5:$U$1000,ROW(),$V$5:$V$1000,"Sub"),$X278)))</f>
        <v/>
      </c>
      <c r="N278" s="56">
        <f>IF($M278="","",IF($M278&gt;=1,"Completado",IF($M278&gt;0,"En curso","Pendiente")))</f>
        <v/>
      </c>
      <c r="O278" s="56">
        <f>IF(NOT((COUNTA($B278:$D278)+COUNTA($G278:$L278)+COUNTA($Q278))&gt;0),"",IF(ISNUMBER($G278),IF(AND(ISNUMBER($AN278),$G278&gt;$AN278),"Cumplida con "&amp;($G278-$AN278)&amp;IF($G278-$AN278=1," día"," días")&amp;" de retraso","Cumplida"),IF(N($M278)&gt;=1,"Cumplida",IF(NOT(ISNUMBER($AN278)),"Sin fecha límite",IF($AN278&lt;FechaRef,"Vencida hace "&amp;(FechaRef-$AN278)&amp;IF(FechaRef-$AN278=1," día"," días"),IF($AN278=FechaRef,"Vence hoy",IF($AN278-FechaRef&lt;=DiasAlerta,"Vence en "&amp;($AN278-FechaRef)&amp;IF($AN278-FechaRef=1," día"," días"),"En plazo")))))))</f>
        <v/>
      </c>
      <c r="P278" s="62" t="n"/>
      <c r="Q278" s="58" t="n"/>
      <c r="R278" s="63">
        <f>IF(NOT((COUNTA($B278:$D278)+COUNTA($G278:$L278)+COUNTA($Q278))&gt;0),"",IF((IF($C278="","Falta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",""))="","✔ OK","⚠ "&amp;LEFT(IF($C278="","Falta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",""),LEN(IF($C278="","Falta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",""))-3)))</f>
        <v/>
      </c>
      <c r="S278" s="64">
        <f>IF(NOT((COUNTA($B278:$D278)+COUNTA($G278:$L278)+COUNTA($Q278))&gt;0),"",IF(AND($V278="Sub",N($U278)&gt;0),IF(ISNUMBER(INDEX($AM$5:$AM$1000,$U278-4)),DATE(YEAR(INDEX($AM$5:$AM$1000,$U278-4)),MONTH(INDEX($AM$5:$AM$1000,$U278-4)),1),IF(ISNUMBER(INDEX($AN$5:$AN$1000,$U278-4)),DATE(YEAR(INDEX($AN$5:$AN$1000,$U278-4)),MONTH(INDEX($AN$5:$AN$1000,$U278-4)),1),MesCiclo)),IF(ISNUMBER($AM278),DATE(YEAR($AM278),MONTH($AM278),1),IF(ISNUMBER($AN278),DATE(YEAR($AN278),MONTH($AN278),1),MesCiclo))))</f>
        <v/>
      </c>
      <c r="T278" s="62">
        <f>IF(OR($S278="",$S278&lt;&gt;MesCiclo),"",COUNTIF($S$5:$S278,MesCiclo))</f>
        <v/>
      </c>
      <c r="U278" s="62">
        <f>IF($V278="","",IF($V278="Macro",ROW(),IFERROR(LOOKUP(2,1/($V$5:$V278="Macro"),ROW($V$5:$V278)),0)))</f>
        <v/>
      </c>
      <c r="V278" s="62">
        <f>IF(NOT((COUNTA($B278:$D278)+COUNTA($G278:$L278)+COUNTA($Q278))&gt;0),"",IF($B278="Subactividad","Sub","Macro"))</f>
        <v/>
      </c>
      <c r="W278" s="62">
        <f>IF($V278="Macro",COUNTIFS($U$5:$U$1000,ROW(),$V$5:$V$1000,"Sub"),"")</f>
        <v/>
      </c>
      <c r="X278" s="62">
        <f>IF($V278="","",IF(ISNUMBER($G278),1,IFERROR(LOOKUP(2,1/($I278:$L278&lt;&gt;""),$I278:$L278),0)))</f>
        <v/>
      </c>
      <c r="Y278" s="62">
        <f>IF($V278="","",IF(AND(ISNUMBER($G278),$G278&lt;=IF($S278=MesCiclo,InicioCiclo,$S278+MOD(2-WEEKDAY($S278),7))+6),1,IF(ISNUMBER($I278),$I278,0)))</f>
        <v/>
      </c>
      <c r="Z278" s="62">
        <f>IF($V278="","",IF(AND(ISNUMBER($G278),$G278&lt;=IF($S278=MesCiclo,InicioCiclo,$S278+MOD(2-WEEKDAY($S278),7))+13),1,IF(ISNUMBER($J278),$J278,$Y278)))</f>
        <v/>
      </c>
      <c r="AA278" s="62">
        <f>IF($V278="","",IF(AND(ISNUMBER($G278),$G278&lt;=IF($S278=MesCiclo,InicioCiclo,$S278+MOD(2-WEEKDAY($S278),7))+20),1,IF(ISNUMBER($K278),$K278,$Z278)))</f>
        <v/>
      </c>
      <c r="AB278" s="62">
        <f>IF($V278="","",IF(AND(ISNUMBER($G278),$G278&lt;=IF($S278=MesCiclo,InicioCiclo,$S278+MOD(2-WEEKDAY($S278),7))+27),1,IF(ISNUMBER($L278),$L278,$AA278)))</f>
        <v/>
      </c>
      <c r="AC278" s="62">
        <f>IF($V278="","",IF(AND(ISNUMBER($G278),$G278&lt;=IF($S278=MesCiclo,InicioCiclo,$S278+MOD(2-WEEKDAY($S278),7))+6),1,IF(N($W278)&gt;0,AVERAGEIFS($Y$5:$Y$1000,$U$5:$U$1000,ROW(),$V$5:$V$1000,"Sub"),$Y278)))</f>
        <v/>
      </c>
      <c r="AD278" s="62">
        <f>IF($V278="","",IF(AND(ISNUMBER($G278),$G278&lt;=IF($S278=MesCiclo,InicioCiclo,$S278+MOD(2-WEEKDAY($S278),7))+13),1,IF(N($W278)&gt;0,AVERAGEIFS($Z$5:$Z$1000,$U$5:$U$1000,ROW(),$V$5:$V$1000,"Sub"),$Z278)))</f>
        <v/>
      </c>
      <c r="AE278" s="62">
        <f>IF($V278="","",IF(AND(ISNUMBER($G278),$G278&lt;=IF($S278=MesCiclo,InicioCiclo,$S278+MOD(2-WEEKDAY($S278),7))+20),1,IF(N($W278)&gt;0,AVERAGEIFS($AA$5:$AA$1000,$U$5:$U$1000,ROW(),$V$5:$V$1000,"Sub"),$AA278)))</f>
        <v/>
      </c>
      <c r="AF278" s="62">
        <f>IF($V278="","",IF(AND(ISNUMBER($G278),$G278&lt;=IF($S278=MesCiclo,InicioCiclo,$S278+MOD(2-WEEKDAY($S278),7))+27),1,IF(N($W278)&gt;0,AVERAGEIFS($AB$5:$AB$1000,$U$5:$U$1000,ROW(),$V$5:$V$1000,"Sub"),$AB278)))</f>
        <v/>
      </c>
      <c r="AG278" s="62">
        <f>IF($V278&lt;&gt;"Macro","",IF(COUNTIFS($S$5:$S$1000,$S278,$V$5:$V$1000,"Macro",$H$5:$H$1000,"&gt;0")=0,1/COUNTIFS($S$5:$S$1000,$S278,$V$5:$V$1000,"Macro"),IF(AND(ISNUMBER($H278),N($H278)&gt;0),$H278,SUMIFS($H$5:$H$1000,$S$5:$S$1000,$S278,$V$5:$V$1000,"Macro")/COUNTIFS($S$5:$S$1000,$S278,$V$5:$V$1000,"Macro",$H$5:$H$1000,"&gt;0"))/(COUNTIFS($S$5:$S$1000,$S278,$V$5:$V$1000,"Macro")*SUMIFS($H$5:$H$1000,$S$5:$S$1000,$S278,$V$5:$V$1000,"Macro")/COUNTIFS($S$5:$S$1000,$S278,$V$5:$V$1000,"Macro",$H$5:$H$1000,"&gt;0"))))</f>
        <v/>
      </c>
      <c r="AH278" s="62" t="n"/>
      <c r="AI278" s="62" t="n"/>
      <c r="AJ278" s="62" t="n"/>
      <c r="AK278" s="62" t="n"/>
      <c r="AL278" s="62">
        <f>IF(LEFT($C278,11)="[Jefatura] ",IFERROR(MATCH("Riesgo Normativo|"&amp;MID($C278,12,500),rDname_ADM,0),0),"")</f>
        <v/>
      </c>
      <c r="AM278" s="62">
        <f>IF(N($AL278)&gt;0,INDEX(rIni_ADM,$AL278),IF(ISNUMBER($E278),$E278,""))</f>
        <v/>
      </c>
      <c r="AN278" s="62">
        <f>IF(N($AL278)&gt;0,INDEX(rLim_ADM,$AL278),IF(ISNUMBER($F278),$F278,""))</f>
        <v/>
      </c>
    </row>
    <row r="279">
      <c r="A279" s="56">
        <f>IF(NOT((COUNTA($B279:$D279)+COUNTA($G279:$L279)+COUNTA($Q279))&gt;0),"",IF($V279="Macro",COUNTIFS($V$5:$V279,"Macro",$S$5:$S279,$S279),IF(N($U279)=0,"?",COUNTIFS(INDEX($V$5:$V$1000,1):INDEX($V$5:$V$1000,$U279-4),"Macro",INDEX($S$5:$S$1000,1):INDEX($S$5:$S$1000,$U279-4),INDEX($S$5:$S$1000,$U279-4))&amp;"."&amp;COUNTIFS($U$5:$U279,$U279,$V$5:$V279,"Sub"))))</f>
        <v/>
      </c>
      <c r="B279" s="57" t="n"/>
      <c r="C279" s="58" t="n"/>
      <c r="D279" s="58" t="n"/>
      <c r="E279" s="59">
        <f>IF(N($AL279)&gt;0,INDEX(rIni_ADM,$AL279),"")</f>
        <v/>
      </c>
      <c r="F279" s="59">
        <f>IF(N($AL279)&gt;0,INDEX(rLim_ADM,$AL279),"")</f>
        <v/>
      </c>
      <c r="G279" s="59" t="n"/>
      <c r="H279" s="60" t="n"/>
      <c r="I279" s="60" t="n"/>
      <c r="J279" s="60" t="n"/>
      <c r="K279" s="60" t="n"/>
      <c r="L279" s="60" t="n"/>
      <c r="M279" s="61">
        <f>IF(NOT((COUNTA($B279:$D279)+COUNTA($G279:$L279)+COUNTA($Q279))&gt;0),"",IF(ISNUMBER($G279),1,IF(N($W279)&gt;0,AVERAGEIFS($X$5:$X$1000,$U$5:$U$1000,ROW(),$V$5:$V$1000,"Sub"),$X279)))</f>
        <v/>
      </c>
      <c r="N279" s="56">
        <f>IF($M279="","",IF($M279&gt;=1,"Completado",IF($M279&gt;0,"En curso","Pendiente")))</f>
        <v/>
      </c>
      <c r="O279" s="56">
        <f>IF(NOT((COUNTA($B279:$D279)+COUNTA($G279:$L279)+COUNTA($Q279))&gt;0),"",IF(ISNUMBER($G279),IF(AND(ISNUMBER($AN279),$G279&gt;$AN279),"Cumplida con "&amp;($G279-$AN279)&amp;IF($G279-$AN279=1," día"," días")&amp;" de retraso","Cumplida"),IF(N($M279)&gt;=1,"Cumplida",IF(NOT(ISNUMBER($AN279)),"Sin fecha límite",IF($AN279&lt;FechaRef,"Vencida hace "&amp;(FechaRef-$AN279)&amp;IF(FechaRef-$AN279=1," día"," días"),IF($AN279=FechaRef,"Vence hoy",IF($AN279-FechaRef&lt;=DiasAlerta,"Vence en "&amp;($AN279-FechaRef)&amp;IF($AN279-FechaRef=1," día"," días"),"En plazo")))))))</f>
        <v/>
      </c>
      <c r="P279" s="62" t="n"/>
      <c r="Q279" s="58" t="n"/>
      <c r="R279" s="63">
        <f>IF(NOT((COUNTA($B279:$D279)+COUNTA($G279:$L279)+COUNTA($Q279))&gt;0),"",IF((IF($C279="","Falta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",""))="","✔ OK","⚠ "&amp;LEFT(IF($C279="","Falta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",""),LEN(IF($C279="","Falta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",""))-3)))</f>
        <v/>
      </c>
      <c r="S279" s="64">
        <f>IF(NOT((COUNTA($B279:$D279)+COUNTA($G279:$L279)+COUNTA($Q279))&gt;0),"",IF(AND($V279="Sub",N($U279)&gt;0),IF(ISNUMBER(INDEX($AM$5:$AM$1000,$U279-4)),DATE(YEAR(INDEX($AM$5:$AM$1000,$U279-4)),MONTH(INDEX($AM$5:$AM$1000,$U279-4)),1),IF(ISNUMBER(INDEX($AN$5:$AN$1000,$U279-4)),DATE(YEAR(INDEX($AN$5:$AN$1000,$U279-4)),MONTH(INDEX($AN$5:$AN$1000,$U279-4)),1),MesCiclo)),IF(ISNUMBER($AM279),DATE(YEAR($AM279),MONTH($AM279),1),IF(ISNUMBER($AN279),DATE(YEAR($AN279),MONTH($AN279),1),MesCiclo))))</f>
        <v/>
      </c>
      <c r="T279" s="62">
        <f>IF(OR($S279="",$S279&lt;&gt;MesCiclo),"",COUNTIF($S$5:$S279,MesCiclo))</f>
        <v/>
      </c>
      <c r="U279" s="62">
        <f>IF($V279="","",IF($V279="Macro",ROW(),IFERROR(LOOKUP(2,1/($V$5:$V279="Macro"),ROW($V$5:$V279)),0)))</f>
        <v/>
      </c>
      <c r="V279" s="62">
        <f>IF(NOT((COUNTA($B279:$D279)+COUNTA($G279:$L279)+COUNTA($Q279))&gt;0),"",IF($B279="Subactividad","Sub","Macro"))</f>
        <v/>
      </c>
      <c r="W279" s="62">
        <f>IF($V279="Macro",COUNTIFS($U$5:$U$1000,ROW(),$V$5:$V$1000,"Sub"),"")</f>
        <v/>
      </c>
      <c r="X279" s="62">
        <f>IF($V279="","",IF(ISNUMBER($G279),1,IFERROR(LOOKUP(2,1/($I279:$L279&lt;&gt;""),$I279:$L279),0)))</f>
        <v/>
      </c>
      <c r="Y279" s="62">
        <f>IF($V279="","",IF(AND(ISNUMBER($G279),$G279&lt;=IF($S279=MesCiclo,InicioCiclo,$S279+MOD(2-WEEKDAY($S279),7))+6),1,IF(ISNUMBER($I279),$I279,0)))</f>
        <v/>
      </c>
      <c r="Z279" s="62">
        <f>IF($V279="","",IF(AND(ISNUMBER($G279),$G279&lt;=IF($S279=MesCiclo,InicioCiclo,$S279+MOD(2-WEEKDAY($S279),7))+13),1,IF(ISNUMBER($J279),$J279,$Y279)))</f>
        <v/>
      </c>
      <c r="AA279" s="62">
        <f>IF($V279="","",IF(AND(ISNUMBER($G279),$G279&lt;=IF($S279=MesCiclo,InicioCiclo,$S279+MOD(2-WEEKDAY($S279),7))+20),1,IF(ISNUMBER($K279),$K279,$Z279)))</f>
        <v/>
      </c>
      <c r="AB279" s="62">
        <f>IF($V279="","",IF(AND(ISNUMBER($G279),$G279&lt;=IF($S279=MesCiclo,InicioCiclo,$S279+MOD(2-WEEKDAY($S279),7))+27),1,IF(ISNUMBER($L279),$L279,$AA279)))</f>
        <v/>
      </c>
      <c r="AC279" s="62">
        <f>IF($V279="","",IF(AND(ISNUMBER($G279),$G279&lt;=IF($S279=MesCiclo,InicioCiclo,$S279+MOD(2-WEEKDAY($S279),7))+6),1,IF(N($W279)&gt;0,AVERAGEIFS($Y$5:$Y$1000,$U$5:$U$1000,ROW(),$V$5:$V$1000,"Sub"),$Y279)))</f>
        <v/>
      </c>
      <c r="AD279" s="62">
        <f>IF($V279="","",IF(AND(ISNUMBER($G279),$G279&lt;=IF($S279=MesCiclo,InicioCiclo,$S279+MOD(2-WEEKDAY($S279),7))+13),1,IF(N($W279)&gt;0,AVERAGEIFS($Z$5:$Z$1000,$U$5:$U$1000,ROW(),$V$5:$V$1000,"Sub"),$Z279)))</f>
        <v/>
      </c>
      <c r="AE279" s="62">
        <f>IF($V279="","",IF(AND(ISNUMBER($G279),$G279&lt;=IF($S279=MesCiclo,InicioCiclo,$S279+MOD(2-WEEKDAY($S279),7))+20),1,IF(N($W279)&gt;0,AVERAGEIFS($AA$5:$AA$1000,$U$5:$U$1000,ROW(),$V$5:$V$1000,"Sub"),$AA279)))</f>
        <v/>
      </c>
      <c r="AF279" s="62">
        <f>IF($V279="","",IF(AND(ISNUMBER($G279),$G279&lt;=IF($S279=MesCiclo,InicioCiclo,$S279+MOD(2-WEEKDAY($S279),7))+27),1,IF(N($W279)&gt;0,AVERAGEIFS($AB$5:$AB$1000,$U$5:$U$1000,ROW(),$V$5:$V$1000,"Sub"),$AB279)))</f>
        <v/>
      </c>
      <c r="AG279" s="62">
        <f>IF($V279&lt;&gt;"Macro","",IF(COUNTIFS($S$5:$S$1000,$S279,$V$5:$V$1000,"Macro",$H$5:$H$1000,"&gt;0")=0,1/COUNTIFS($S$5:$S$1000,$S279,$V$5:$V$1000,"Macro"),IF(AND(ISNUMBER($H279),N($H279)&gt;0),$H279,SUMIFS($H$5:$H$1000,$S$5:$S$1000,$S279,$V$5:$V$1000,"Macro")/COUNTIFS($S$5:$S$1000,$S279,$V$5:$V$1000,"Macro",$H$5:$H$1000,"&gt;0"))/(COUNTIFS($S$5:$S$1000,$S279,$V$5:$V$1000,"Macro")*SUMIFS($H$5:$H$1000,$S$5:$S$1000,$S279,$V$5:$V$1000,"Macro")/COUNTIFS($S$5:$S$1000,$S279,$V$5:$V$1000,"Macro",$H$5:$H$1000,"&gt;0"))))</f>
        <v/>
      </c>
      <c r="AH279" s="62" t="n"/>
      <c r="AI279" s="62" t="n"/>
      <c r="AJ279" s="62" t="n"/>
      <c r="AK279" s="62" t="n"/>
      <c r="AL279" s="62">
        <f>IF(LEFT($C279,11)="[Jefatura] ",IFERROR(MATCH("Riesgo Normativo|"&amp;MID($C279,12,500),rDname_ADM,0),0),"")</f>
        <v/>
      </c>
      <c r="AM279" s="62">
        <f>IF(N($AL279)&gt;0,INDEX(rIni_ADM,$AL279),IF(ISNUMBER($E279),$E279,""))</f>
        <v/>
      </c>
      <c r="AN279" s="62">
        <f>IF(N($AL279)&gt;0,INDEX(rLim_ADM,$AL279),IF(ISNUMBER($F279),$F279,""))</f>
        <v/>
      </c>
    </row>
    <row r="280">
      <c r="A280" s="56">
        <f>IF(NOT((COUNTA($B280:$D280)+COUNTA($G280:$L280)+COUNTA($Q280))&gt;0),"",IF($V280="Macro",COUNTIFS($V$5:$V280,"Macro",$S$5:$S280,$S280),IF(N($U280)=0,"?",COUNTIFS(INDEX($V$5:$V$1000,1):INDEX($V$5:$V$1000,$U280-4),"Macro",INDEX($S$5:$S$1000,1):INDEX($S$5:$S$1000,$U280-4),INDEX($S$5:$S$1000,$U280-4))&amp;"."&amp;COUNTIFS($U$5:$U280,$U280,$V$5:$V280,"Sub"))))</f>
        <v/>
      </c>
      <c r="B280" s="57" t="n"/>
      <c r="C280" s="58" t="n"/>
      <c r="D280" s="58" t="n"/>
      <c r="E280" s="59">
        <f>IF(N($AL280)&gt;0,INDEX(rIni_ADM,$AL280),"")</f>
        <v/>
      </c>
      <c r="F280" s="59">
        <f>IF(N($AL280)&gt;0,INDEX(rLim_ADM,$AL280),"")</f>
        <v/>
      </c>
      <c r="G280" s="59" t="n"/>
      <c r="H280" s="60" t="n"/>
      <c r="I280" s="60" t="n"/>
      <c r="J280" s="60" t="n"/>
      <c r="K280" s="60" t="n"/>
      <c r="L280" s="60" t="n"/>
      <c r="M280" s="61">
        <f>IF(NOT((COUNTA($B280:$D280)+COUNTA($G280:$L280)+COUNTA($Q280))&gt;0),"",IF(ISNUMBER($G280),1,IF(N($W280)&gt;0,AVERAGEIFS($X$5:$X$1000,$U$5:$U$1000,ROW(),$V$5:$V$1000,"Sub"),$X280)))</f>
        <v/>
      </c>
      <c r="N280" s="56">
        <f>IF($M280="","",IF($M280&gt;=1,"Completado",IF($M280&gt;0,"En curso","Pendiente")))</f>
        <v/>
      </c>
      <c r="O280" s="56">
        <f>IF(NOT((COUNTA($B280:$D280)+COUNTA($G280:$L280)+COUNTA($Q280))&gt;0),"",IF(ISNUMBER($G280),IF(AND(ISNUMBER($AN280),$G280&gt;$AN280),"Cumplida con "&amp;($G280-$AN280)&amp;IF($G280-$AN280=1," día"," días")&amp;" de retraso","Cumplida"),IF(N($M280)&gt;=1,"Cumplida",IF(NOT(ISNUMBER($AN280)),"Sin fecha límite",IF($AN280&lt;FechaRef,"Vencida hace "&amp;(FechaRef-$AN280)&amp;IF(FechaRef-$AN280=1," día"," días"),IF($AN280=FechaRef,"Vence hoy",IF($AN280-FechaRef&lt;=DiasAlerta,"Vence en "&amp;($AN280-FechaRef)&amp;IF($AN280-FechaRef=1," día"," días"),"En plazo")))))))</f>
        <v/>
      </c>
      <c r="P280" s="62" t="n"/>
      <c r="Q280" s="58" t="n"/>
      <c r="R280" s="63">
        <f>IF(NOT((COUNTA($B280:$D280)+COUNTA($G280:$L280)+COUNTA($Q280))&gt;0),"",IF((IF($C280="","Falta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",""))="","✔ OK","⚠ "&amp;LEFT(IF($C280="","Falta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",""),LEN(IF($C280="","Falta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",""))-3)))</f>
        <v/>
      </c>
      <c r="S280" s="64">
        <f>IF(NOT((COUNTA($B280:$D280)+COUNTA($G280:$L280)+COUNTA($Q280))&gt;0),"",IF(AND($V280="Sub",N($U280)&gt;0),IF(ISNUMBER(INDEX($AM$5:$AM$1000,$U280-4)),DATE(YEAR(INDEX($AM$5:$AM$1000,$U280-4)),MONTH(INDEX($AM$5:$AM$1000,$U280-4)),1),IF(ISNUMBER(INDEX($AN$5:$AN$1000,$U280-4)),DATE(YEAR(INDEX($AN$5:$AN$1000,$U280-4)),MONTH(INDEX($AN$5:$AN$1000,$U280-4)),1),MesCiclo)),IF(ISNUMBER($AM280),DATE(YEAR($AM280),MONTH($AM280),1),IF(ISNUMBER($AN280),DATE(YEAR($AN280),MONTH($AN280),1),MesCiclo))))</f>
        <v/>
      </c>
      <c r="T280" s="62">
        <f>IF(OR($S280="",$S280&lt;&gt;MesCiclo),"",COUNTIF($S$5:$S280,MesCiclo))</f>
        <v/>
      </c>
      <c r="U280" s="62">
        <f>IF($V280="","",IF($V280="Macro",ROW(),IFERROR(LOOKUP(2,1/($V$5:$V280="Macro"),ROW($V$5:$V280)),0)))</f>
        <v/>
      </c>
      <c r="V280" s="62">
        <f>IF(NOT((COUNTA($B280:$D280)+COUNTA($G280:$L280)+COUNTA($Q280))&gt;0),"",IF($B280="Subactividad","Sub","Macro"))</f>
        <v/>
      </c>
      <c r="W280" s="62">
        <f>IF($V280="Macro",COUNTIFS($U$5:$U$1000,ROW(),$V$5:$V$1000,"Sub"),"")</f>
        <v/>
      </c>
      <c r="X280" s="62">
        <f>IF($V280="","",IF(ISNUMBER($G280),1,IFERROR(LOOKUP(2,1/($I280:$L280&lt;&gt;""),$I280:$L280),0)))</f>
        <v/>
      </c>
      <c r="Y280" s="62">
        <f>IF($V280="","",IF(AND(ISNUMBER($G280),$G280&lt;=IF($S280=MesCiclo,InicioCiclo,$S280+MOD(2-WEEKDAY($S280),7))+6),1,IF(ISNUMBER($I280),$I280,0)))</f>
        <v/>
      </c>
      <c r="Z280" s="62">
        <f>IF($V280="","",IF(AND(ISNUMBER($G280),$G280&lt;=IF($S280=MesCiclo,InicioCiclo,$S280+MOD(2-WEEKDAY($S280),7))+13),1,IF(ISNUMBER($J280),$J280,$Y280)))</f>
        <v/>
      </c>
      <c r="AA280" s="62">
        <f>IF($V280="","",IF(AND(ISNUMBER($G280),$G280&lt;=IF($S280=MesCiclo,InicioCiclo,$S280+MOD(2-WEEKDAY($S280),7))+20),1,IF(ISNUMBER($K280),$K280,$Z280)))</f>
        <v/>
      </c>
      <c r="AB280" s="62">
        <f>IF($V280="","",IF(AND(ISNUMBER($G280),$G280&lt;=IF($S280=MesCiclo,InicioCiclo,$S280+MOD(2-WEEKDAY($S280),7))+27),1,IF(ISNUMBER($L280),$L280,$AA280)))</f>
        <v/>
      </c>
      <c r="AC280" s="62">
        <f>IF($V280="","",IF(AND(ISNUMBER($G280),$G280&lt;=IF($S280=MesCiclo,InicioCiclo,$S280+MOD(2-WEEKDAY($S280),7))+6),1,IF(N($W280)&gt;0,AVERAGEIFS($Y$5:$Y$1000,$U$5:$U$1000,ROW(),$V$5:$V$1000,"Sub"),$Y280)))</f>
        <v/>
      </c>
      <c r="AD280" s="62">
        <f>IF($V280="","",IF(AND(ISNUMBER($G280),$G280&lt;=IF($S280=MesCiclo,InicioCiclo,$S280+MOD(2-WEEKDAY($S280),7))+13),1,IF(N($W280)&gt;0,AVERAGEIFS($Z$5:$Z$1000,$U$5:$U$1000,ROW(),$V$5:$V$1000,"Sub"),$Z280)))</f>
        <v/>
      </c>
      <c r="AE280" s="62">
        <f>IF($V280="","",IF(AND(ISNUMBER($G280),$G280&lt;=IF($S280=MesCiclo,InicioCiclo,$S280+MOD(2-WEEKDAY($S280),7))+20),1,IF(N($W280)&gt;0,AVERAGEIFS($AA$5:$AA$1000,$U$5:$U$1000,ROW(),$V$5:$V$1000,"Sub"),$AA280)))</f>
        <v/>
      </c>
      <c r="AF280" s="62">
        <f>IF($V280="","",IF(AND(ISNUMBER($G280),$G280&lt;=IF($S280=MesCiclo,InicioCiclo,$S280+MOD(2-WEEKDAY($S280),7))+27),1,IF(N($W280)&gt;0,AVERAGEIFS($AB$5:$AB$1000,$U$5:$U$1000,ROW(),$V$5:$V$1000,"Sub"),$AB280)))</f>
        <v/>
      </c>
      <c r="AG280" s="62">
        <f>IF($V280&lt;&gt;"Macro","",IF(COUNTIFS($S$5:$S$1000,$S280,$V$5:$V$1000,"Macro",$H$5:$H$1000,"&gt;0")=0,1/COUNTIFS($S$5:$S$1000,$S280,$V$5:$V$1000,"Macro"),IF(AND(ISNUMBER($H280),N($H280)&gt;0),$H280,SUMIFS($H$5:$H$1000,$S$5:$S$1000,$S280,$V$5:$V$1000,"Macro")/COUNTIFS($S$5:$S$1000,$S280,$V$5:$V$1000,"Macro",$H$5:$H$1000,"&gt;0"))/(COUNTIFS($S$5:$S$1000,$S280,$V$5:$V$1000,"Macro")*SUMIFS($H$5:$H$1000,$S$5:$S$1000,$S280,$V$5:$V$1000,"Macro")/COUNTIFS($S$5:$S$1000,$S280,$V$5:$V$1000,"Macro",$H$5:$H$1000,"&gt;0"))))</f>
        <v/>
      </c>
      <c r="AH280" s="62" t="n"/>
      <c r="AI280" s="62" t="n"/>
      <c r="AJ280" s="62" t="n"/>
      <c r="AK280" s="62" t="n"/>
      <c r="AL280" s="62">
        <f>IF(LEFT($C280,11)="[Jefatura] ",IFERROR(MATCH("Riesgo Normativo|"&amp;MID($C280,12,500),rDname_ADM,0),0),"")</f>
        <v/>
      </c>
      <c r="AM280" s="62">
        <f>IF(N($AL280)&gt;0,INDEX(rIni_ADM,$AL280),IF(ISNUMBER($E280),$E280,""))</f>
        <v/>
      </c>
      <c r="AN280" s="62">
        <f>IF(N($AL280)&gt;0,INDEX(rLim_ADM,$AL280),IF(ISNUMBER($F280),$F280,""))</f>
        <v/>
      </c>
    </row>
    <row r="281">
      <c r="A281" s="56">
        <f>IF(NOT((COUNTA($B281:$D281)+COUNTA($G281:$L281)+COUNTA($Q281))&gt;0),"",IF($V281="Macro",COUNTIFS($V$5:$V281,"Macro",$S$5:$S281,$S281),IF(N($U281)=0,"?",COUNTIFS(INDEX($V$5:$V$1000,1):INDEX($V$5:$V$1000,$U281-4),"Macro",INDEX($S$5:$S$1000,1):INDEX($S$5:$S$1000,$U281-4),INDEX($S$5:$S$1000,$U281-4))&amp;"."&amp;COUNTIFS($U$5:$U281,$U281,$V$5:$V281,"Sub"))))</f>
        <v/>
      </c>
      <c r="B281" s="57" t="n"/>
      <c r="C281" s="58" t="n"/>
      <c r="D281" s="58" t="n"/>
      <c r="E281" s="59">
        <f>IF(N($AL281)&gt;0,INDEX(rIni_ADM,$AL281),"")</f>
        <v/>
      </c>
      <c r="F281" s="59">
        <f>IF(N($AL281)&gt;0,INDEX(rLim_ADM,$AL281),"")</f>
        <v/>
      </c>
      <c r="G281" s="59" t="n"/>
      <c r="H281" s="60" t="n"/>
      <c r="I281" s="60" t="n"/>
      <c r="J281" s="60" t="n"/>
      <c r="K281" s="60" t="n"/>
      <c r="L281" s="60" t="n"/>
      <c r="M281" s="61">
        <f>IF(NOT((COUNTA($B281:$D281)+COUNTA($G281:$L281)+COUNTA($Q281))&gt;0),"",IF(ISNUMBER($G281),1,IF(N($W281)&gt;0,AVERAGEIFS($X$5:$X$1000,$U$5:$U$1000,ROW(),$V$5:$V$1000,"Sub"),$X281)))</f>
        <v/>
      </c>
      <c r="N281" s="56">
        <f>IF($M281="","",IF($M281&gt;=1,"Completado",IF($M281&gt;0,"En curso","Pendiente")))</f>
        <v/>
      </c>
      <c r="O281" s="56">
        <f>IF(NOT((COUNTA($B281:$D281)+COUNTA($G281:$L281)+COUNTA($Q281))&gt;0),"",IF(ISNUMBER($G281),IF(AND(ISNUMBER($AN281),$G281&gt;$AN281),"Cumplida con "&amp;($G281-$AN281)&amp;IF($G281-$AN281=1," día"," días")&amp;" de retraso","Cumplida"),IF(N($M281)&gt;=1,"Cumplida",IF(NOT(ISNUMBER($AN281)),"Sin fecha límite",IF($AN281&lt;FechaRef,"Vencida hace "&amp;(FechaRef-$AN281)&amp;IF(FechaRef-$AN281=1," día"," días"),IF($AN281=FechaRef,"Vence hoy",IF($AN281-FechaRef&lt;=DiasAlerta,"Vence en "&amp;($AN281-FechaRef)&amp;IF($AN281-FechaRef=1," día"," días"),"En plazo")))))))</f>
        <v/>
      </c>
      <c r="P281" s="62" t="n"/>
      <c r="Q281" s="58" t="n"/>
      <c r="R281" s="63">
        <f>IF(NOT((COUNTA($B281:$D281)+COUNTA($G281:$L281)+COUNTA($Q281))&gt;0),"",IF((IF($C281="","Falta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",""))="","✔ OK","⚠ "&amp;LEFT(IF($C281="","Falta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",""),LEN(IF($C281="","Falta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",""))-3)))</f>
        <v/>
      </c>
      <c r="S281" s="64">
        <f>IF(NOT((COUNTA($B281:$D281)+COUNTA($G281:$L281)+COUNTA($Q281))&gt;0),"",IF(AND($V281="Sub",N($U281)&gt;0),IF(ISNUMBER(INDEX($AM$5:$AM$1000,$U281-4)),DATE(YEAR(INDEX($AM$5:$AM$1000,$U281-4)),MONTH(INDEX($AM$5:$AM$1000,$U281-4)),1),IF(ISNUMBER(INDEX($AN$5:$AN$1000,$U281-4)),DATE(YEAR(INDEX($AN$5:$AN$1000,$U281-4)),MONTH(INDEX($AN$5:$AN$1000,$U281-4)),1),MesCiclo)),IF(ISNUMBER($AM281),DATE(YEAR($AM281),MONTH($AM281),1),IF(ISNUMBER($AN281),DATE(YEAR($AN281),MONTH($AN281),1),MesCiclo))))</f>
        <v/>
      </c>
      <c r="T281" s="62">
        <f>IF(OR($S281="",$S281&lt;&gt;MesCiclo),"",COUNTIF($S$5:$S281,MesCiclo))</f>
        <v/>
      </c>
      <c r="U281" s="62">
        <f>IF($V281="","",IF($V281="Macro",ROW(),IFERROR(LOOKUP(2,1/($V$5:$V281="Macro"),ROW($V$5:$V281)),0)))</f>
        <v/>
      </c>
      <c r="V281" s="62">
        <f>IF(NOT((COUNTA($B281:$D281)+COUNTA($G281:$L281)+COUNTA($Q281))&gt;0),"",IF($B281="Subactividad","Sub","Macro"))</f>
        <v/>
      </c>
      <c r="W281" s="62">
        <f>IF($V281="Macro",COUNTIFS($U$5:$U$1000,ROW(),$V$5:$V$1000,"Sub"),"")</f>
        <v/>
      </c>
      <c r="X281" s="62">
        <f>IF($V281="","",IF(ISNUMBER($G281),1,IFERROR(LOOKUP(2,1/($I281:$L281&lt;&gt;""),$I281:$L281),0)))</f>
        <v/>
      </c>
      <c r="Y281" s="62">
        <f>IF($V281="","",IF(AND(ISNUMBER($G281),$G281&lt;=IF($S281=MesCiclo,InicioCiclo,$S281+MOD(2-WEEKDAY($S281),7))+6),1,IF(ISNUMBER($I281),$I281,0)))</f>
        <v/>
      </c>
      <c r="Z281" s="62">
        <f>IF($V281="","",IF(AND(ISNUMBER($G281),$G281&lt;=IF($S281=MesCiclo,InicioCiclo,$S281+MOD(2-WEEKDAY($S281),7))+13),1,IF(ISNUMBER($J281),$J281,$Y281)))</f>
        <v/>
      </c>
      <c r="AA281" s="62">
        <f>IF($V281="","",IF(AND(ISNUMBER($G281),$G281&lt;=IF($S281=MesCiclo,InicioCiclo,$S281+MOD(2-WEEKDAY($S281),7))+20),1,IF(ISNUMBER($K281),$K281,$Z281)))</f>
        <v/>
      </c>
      <c r="AB281" s="62">
        <f>IF($V281="","",IF(AND(ISNUMBER($G281),$G281&lt;=IF($S281=MesCiclo,InicioCiclo,$S281+MOD(2-WEEKDAY($S281),7))+27),1,IF(ISNUMBER($L281),$L281,$AA281)))</f>
        <v/>
      </c>
      <c r="AC281" s="62">
        <f>IF($V281="","",IF(AND(ISNUMBER($G281),$G281&lt;=IF($S281=MesCiclo,InicioCiclo,$S281+MOD(2-WEEKDAY($S281),7))+6),1,IF(N($W281)&gt;0,AVERAGEIFS($Y$5:$Y$1000,$U$5:$U$1000,ROW(),$V$5:$V$1000,"Sub"),$Y281)))</f>
        <v/>
      </c>
      <c r="AD281" s="62">
        <f>IF($V281="","",IF(AND(ISNUMBER($G281),$G281&lt;=IF($S281=MesCiclo,InicioCiclo,$S281+MOD(2-WEEKDAY($S281),7))+13),1,IF(N($W281)&gt;0,AVERAGEIFS($Z$5:$Z$1000,$U$5:$U$1000,ROW(),$V$5:$V$1000,"Sub"),$Z281)))</f>
        <v/>
      </c>
      <c r="AE281" s="62">
        <f>IF($V281="","",IF(AND(ISNUMBER($G281),$G281&lt;=IF($S281=MesCiclo,InicioCiclo,$S281+MOD(2-WEEKDAY($S281),7))+20),1,IF(N($W281)&gt;0,AVERAGEIFS($AA$5:$AA$1000,$U$5:$U$1000,ROW(),$V$5:$V$1000,"Sub"),$AA281)))</f>
        <v/>
      </c>
      <c r="AF281" s="62">
        <f>IF($V281="","",IF(AND(ISNUMBER($G281),$G281&lt;=IF($S281=MesCiclo,InicioCiclo,$S281+MOD(2-WEEKDAY($S281),7))+27),1,IF(N($W281)&gt;0,AVERAGEIFS($AB$5:$AB$1000,$U$5:$U$1000,ROW(),$V$5:$V$1000,"Sub"),$AB281)))</f>
        <v/>
      </c>
      <c r="AG281" s="62">
        <f>IF($V281&lt;&gt;"Macro","",IF(COUNTIFS($S$5:$S$1000,$S281,$V$5:$V$1000,"Macro",$H$5:$H$1000,"&gt;0")=0,1/COUNTIFS($S$5:$S$1000,$S281,$V$5:$V$1000,"Macro"),IF(AND(ISNUMBER($H281),N($H281)&gt;0),$H281,SUMIFS($H$5:$H$1000,$S$5:$S$1000,$S281,$V$5:$V$1000,"Macro")/COUNTIFS($S$5:$S$1000,$S281,$V$5:$V$1000,"Macro",$H$5:$H$1000,"&gt;0"))/(COUNTIFS($S$5:$S$1000,$S281,$V$5:$V$1000,"Macro")*SUMIFS($H$5:$H$1000,$S$5:$S$1000,$S281,$V$5:$V$1000,"Macro")/COUNTIFS($S$5:$S$1000,$S281,$V$5:$V$1000,"Macro",$H$5:$H$1000,"&gt;0"))))</f>
        <v/>
      </c>
      <c r="AH281" s="62" t="n"/>
      <c r="AI281" s="62" t="n"/>
      <c r="AJ281" s="62" t="n"/>
      <c r="AK281" s="62" t="n"/>
      <c r="AL281" s="62">
        <f>IF(LEFT($C281,11)="[Jefatura] ",IFERROR(MATCH("Riesgo Normativo|"&amp;MID($C281,12,500),rDname_ADM,0),0),"")</f>
        <v/>
      </c>
      <c r="AM281" s="62">
        <f>IF(N($AL281)&gt;0,INDEX(rIni_ADM,$AL281),IF(ISNUMBER($E281),$E281,""))</f>
        <v/>
      </c>
      <c r="AN281" s="62">
        <f>IF(N($AL281)&gt;0,INDEX(rLim_ADM,$AL281),IF(ISNUMBER($F281),$F281,""))</f>
        <v/>
      </c>
    </row>
    <row r="282">
      <c r="A282" s="56">
        <f>IF(NOT((COUNTA($B282:$D282)+COUNTA($G282:$L282)+COUNTA($Q282))&gt;0),"",IF($V282="Macro",COUNTIFS($V$5:$V282,"Macro",$S$5:$S282,$S282),IF(N($U282)=0,"?",COUNTIFS(INDEX($V$5:$V$1000,1):INDEX($V$5:$V$1000,$U282-4),"Macro",INDEX($S$5:$S$1000,1):INDEX($S$5:$S$1000,$U282-4),INDEX($S$5:$S$1000,$U282-4))&amp;"."&amp;COUNTIFS($U$5:$U282,$U282,$V$5:$V282,"Sub"))))</f>
        <v/>
      </c>
      <c r="B282" s="57" t="n"/>
      <c r="C282" s="58" t="n"/>
      <c r="D282" s="58" t="n"/>
      <c r="E282" s="59">
        <f>IF(N($AL282)&gt;0,INDEX(rIni_ADM,$AL282),"")</f>
        <v/>
      </c>
      <c r="F282" s="59">
        <f>IF(N($AL282)&gt;0,INDEX(rLim_ADM,$AL282),"")</f>
        <v/>
      </c>
      <c r="G282" s="59" t="n"/>
      <c r="H282" s="60" t="n"/>
      <c r="I282" s="60" t="n"/>
      <c r="J282" s="60" t="n"/>
      <c r="K282" s="60" t="n"/>
      <c r="L282" s="60" t="n"/>
      <c r="M282" s="61">
        <f>IF(NOT((COUNTA($B282:$D282)+COUNTA($G282:$L282)+COUNTA($Q282))&gt;0),"",IF(ISNUMBER($G282),1,IF(N($W282)&gt;0,AVERAGEIFS($X$5:$X$1000,$U$5:$U$1000,ROW(),$V$5:$V$1000,"Sub"),$X282)))</f>
        <v/>
      </c>
      <c r="N282" s="56">
        <f>IF($M282="","",IF($M282&gt;=1,"Completado",IF($M282&gt;0,"En curso","Pendiente")))</f>
        <v/>
      </c>
      <c r="O282" s="56">
        <f>IF(NOT((COUNTA($B282:$D282)+COUNTA($G282:$L282)+COUNTA($Q282))&gt;0),"",IF(ISNUMBER($G282),IF(AND(ISNUMBER($AN282),$G282&gt;$AN282),"Cumplida con "&amp;($G282-$AN282)&amp;IF($G282-$AN282=1," día"," días")&amp;" de retraso","Cumplida"),IF(N($M282)&gt;=1,"Cumplida",IF(NOT(ISNUMBER($AN282)),"Sin fecha límite",IF($AN282&lt;FechaRef,"Vencida hace "&amp;(FechaRef-$AN282)&amp;IF(FechaRef-$AN282=1," día"," días"),IF($AN282=FechaRef,"Vence hoy",IF($AN282-FechaRef&lt;=DiasAlerta,"Vence en "&amp;($AN282-FechaRef)&amp;IF($AN282-FechaRef=1," día"," días"),"En plazo")))))))</f>
        <v/>
      </c>
      <c r="P282" s="62" t="n"/>
      <c r="Q282" s="58" t="n"/>
      <c r="R282" s="63">
        <f>IF(NOT((COUNTA($B282:$D282)+COUNTA($G282:$L282)+COUNTA($Q282))&gt;0),"",IF((IF($C282="","Falta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",""))="","✔ OK","⚠ "&amp;LEFT(IF($C282="","Falta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",""),LEN(IF($C282="","Falta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",""))-3)))</f>
        <v/>
      </c>
      <c r="S282" s="64">
        <f>IF(NOT((COUNTA($B282:$D282)+COUNTA($G282:$L282)+COUNTA($Q282))&gt;0),"",IF(AND($V282="Sub",N($U282)&gt;0),IF(ISNUMBER(INDEX($AM$5:$AM$1000,$U282-4)),DATE(YEAR(INDEX($AM$5:$AM$1000,$U282-4)),MONTH(INDEX($AM$5:$AM$1000,$U282-4)),1),IF(ISNUMBER(INDEX($AN$5:$AN$1000,$U282-4)),DATE(YEAR(INDEX($AN$5:$AN$1000,$U282-4)),MONTH(INDEX($AN$5:$AN$1000,$U282-4)),1),MesCiclo)),IF(ISNUMBER($AM282),DATE(YEAR($AM282),MONTH($AM282),1),IF(ISNUMBER($AN282),DATE(YEAR($AN282),MONTH($AN282),1),MesCiclo))))</f>
        <v/>
      </c>
      <c r="T282" s="62">
        <f>IF(OR($S282="",$S282&lt;&gt;MesCiclo),"",COUNTIF($S$5:$S282,MesCiclo))</f>
        <v/>
      </c>
      <c r="U282" s="62">
        <f>IF($V282="","",IF($V282="Macro",ROW(),IFERROR(LOOKUP(2,1/($V$5:$V282="Macro"),ROW($V$5:$V282)),0)))</f>
        <v/>
      </c>
      <c r="V282" s="62">
        <f>IF(NOT((COUNTA($B282:$D282)+COUNTA($G282:$L282)+COUNTA($Q282))&gt;0),"",IF($B282="Subactividad","Sub","Macro"))</f>
        <v/>
      </c>
      <c r="W282" s="62">
        <f>IF($V282="Macro",COUNTIFS($U$5:$U$1000,ROW(),$V$5:$V$1000,"Sub"),"")</f>
        <v/>
      </c>
      <c r="X282" s="62">
        <f>IF($V282="","",IF(ISNUMBER($G282),1,IFERROR(LOOKUP(2,1/($I282:$L282&lt;&gt;""),$I282:$L282),0)))</f>
        <v/>
      </c>
      <c r="Y282" s="62">
        <f>IF($V282="","",IF(AND(ISNUMBER($G282),$G282&lt;=IF($S282=MesCiclo,InicioCiclo,$S282+MOD(2-WEEKDAY($S282),7))+6),1,IF(ISNUMBER($I282),$I282,0)))</f>
        <v/>
      </c>
      <c r="Z282" s="62">
        <f>IF($V282="","",IF(AND(ISNUMBER($G282),$G282&lt;=IF($S282=MesCiclo,InicioCiclo,$S282+MOD(2-WEEKDAY($S282),7))+13),1,IF(ISNUMBER($J282),$J282,$Y282)))</f>
        <v/>
      </c>
      <c r="AA282" s="62">
        <f>IF($V282="","",IF(AND(ISNUMBER($G282),$G282&lt;=IF($S282=MesCiclo,InicioCiclo,$S282+MOD(2-WEEKDAY($S282),7))+20),1,IF(ISNUMBER($K282),$K282,$Z282)))</f>
        <v/>
      </c>
      <c r="AB282" s="62">
        <f>IF($V282="","",IF(AND(ISNUMBER($G282),$G282&lt;=IF($S282=MesCiclo,InicioCiclo,$S282+MOD(2-WEEKDAY($S282),7))+27),1,IF(ISNUMBER($L282),$L282,$AA282)))</f>
        <v/>
      </c>
      <c r="AC282" s="62">
        <f>IF($V282="","",IF(AND(ISNUMBER($G282),$G282&lt;=IF($S282=MesCiclo,InicioCiclo,$S282+MOD(2-WEEKDAY($S282),7))+6),1,IF(N($W282)&gt;0,AVERAGEIFS($Y$5:$Y$1000,$U$5:$U$1000,ROW(),$V$5:$V$1000,"Sub"),$Y282)))</f>
        <v/>
      </c>
      <c r="AD282" s="62">
        <f>IF($V282="","",IF(AND(ISNUMBER($G282),$G282&lt;=IF($S282=MesCiclo,InicioCiclo,$S282+MOD(2-WEEKDAY($S282),7))+13),1,IF(N($W282)&gt;0,AVERAGEIFS($Z$5:$Z$1000,$U$5:$U$1000,ROW(),$V$5:$V$1000,"Sub"),$Z282)))</f>
        <v/>
      </c>
      <c r="AE282" s="62">
        <f>IF($V282="","",IF(AND(ISNUMBER($G282),$G282&lt;=IF($S282=MesCiclo,InicioCiclo,$S282+MOD(2-WEEKDAY($S282),7))+20),1,IF(N($W282)&gt;0,AVERAGEIFS($AA$5:$AA$1000,$U$5:$U$1000,ROW(),$V$5:$V$1000,"Sub"),$AA282)))</f>
        <v/>
      </c>
      <c r="AF282" s="62">
        <f>IF($V282="","",IF(AND(ISNUMBER($G282),$G282&lt;=IF($S282=MesCiclo,InicioCiclo,$S282+MOD(2-WEEKDAY($S282),7))+27),1,IF(N($W282)&gt;0,AVERAGEIFS($AB$5:$AB$1000,$U$5:$U$1000,ROW(),$V$5:$V$1000,"Sub"),$AB282)))</f>
        <v/>
      </c>
      <c r="AG282" s="62">
        <f>IF($V282&lt;&gt;"Macro","",IF(COUNTIFS($S$5:$S$1000,$S282,$V$5:$V$1000,"Macro",$H$5:$H$1000,"&gt;0")=0,1/COUNTIFS($S$5:$S$1000,$S282,$V$5:$V$1000,"Macro"),IF(AND(ISNUMBER($H282),N($H282)&gt;0),$H282,SUMIFS($H$5:$H$1000,$S$5:$S$1000,$S282,$V$5:$V$1000,"Macro")/COUNTIFS($S$5:$S$1000,$S282,$V$5:$V$1000,"Macro",$H$5:$H$1000,"&gt;0"))/(COUNTIFS($S$5:$S$1000,$S282,$V$5:$V$1000,"Macro")*SUMIFS($H$5:$H$1000,$S$5:$S$1000,$S282,$V$5:$V$1000,"Macro")/COUNTIFS($S$5:$S$1000,$S282,$V$5:$V$1000,"Macro",$H$5:$H$1000,"&gt;0"))))</f>
        <v/>
      </c>
      <c r="AH282" s="62" t="n"/>
      <c r="AI282" s="62" t="n"/>
      <c r="AJ282" s="62" t="n"/>
      <c r="AK282" s="62" t="n"/>
      <c r="AL282" s="62">
        <f>IF(LEFT($C282,11)="[Jefatura] ",IFERROR(MATCH("Riesgo Normativo|"&amp;MID($C282,12,500),rDname_ADM,0),0),"")</f>
        <v/>
      </c>
      <c r="AM282" s="62">
        <f>IF(N($AL282)&gt;0,INDEX(rIni_ADM,$AL282),IF(ISNUMBER($E282),$E282,""))</f>
        <v/>
      </c>
      <c r="AN282" s="62">
        <f>IF(N($AL282)&gt;0,INDEX(rLim_ADM,$AL282),IF(ISNUMBER($F282),$F282,""))</f>
        <v/>
      </c>
    </row>
    <row r="283">
      <c r="A283" s="56">
        <f>IF(NOT((COUNTA($B283:$D283)+COUNTA($G283:$L283)+COUNTA($Q283))&gt;0),"",IF($V283="Macro",COUNTIFS($V$5:$V283,"Macro",$S$5:$S283,$S283),IF(N($U283)=0,"?",COUNTIFS(INDEX($V$5:$V$1000,1):INDEX($V$5:$V$1000,$U283-4),"Macro",INDEX($S$5:$S$1000,1):INDEX($S$5:$S$1000,$U283-4),INDEX($S$5:$S$1000,$U283-4))&amp;"."&amp;COUNTIFS($U$5:$U283,$U283,$V$5:$V283,"Sub"))))</f>
        <v/>
      </c>
      <c r="B283" s="57" t="n"/>
      <c r="C283" s="58" t="n"/>
      <c r="D283" s="58" t="n"/>
      <c r="E283" s="59">
        <f>IF(N($AL283)&gt;0,INDEX(rIni_ADM,$AL283),"")</f>
        <v/>
      </c>
      <c r="F283" s="59">
        <f>IF(N($AL283)&gt;0,INDEX(rLim_ADM,$AL283),"")</f>
        <v/>
      </c>
      <c r="G283" s="59" t="n"/>
      <c r="H283" s="60" t="n"/>
      <c r="I283" s="60" t="n"/>
      <c r="J283" s="60" t="n"/>
      <c r="K283" s="60" t="n"/>
      <c r="L283" s="60" t="n"/>
      <c r="M283" s="61">
        <f>IF(NOT((COUNTA($B283:$D283)+COUNTA($G283:$L283)+COUNTA($Q283))&gt;0),"",IF(ISNUMBER($G283),1,IF(N($W283)&gt;0,AVERAGEIFS($X$5:$X$1000,$U$5:$U$1000,ROW(),$V$5:$V$1000,"Sub"),$X283)))</f>
        <v/>
      </c>
      <c r="N283" s="56">
        <f>IF($M283="","",IF($M283&gt;=1,"Completado",IF($M283&gt;0,"En curso","Pendiente")))</f>
        <v/>
      </c>
      <c r="O283" s="56">
        <f>IF(NOT((COUNTA($B283:$D283)+COUNTA($G283:$L283)+COUNTA($Q283))&gt;0),"",IF(ISNUMBER($G283),IF(AND(ISNUMBER($AN283),$G283&gt;$AN283),"Cumplida con "&amp;($G283-$AN283)&amp;IF($G283-$AN283=1," día"," días")&amp;" de retraso","Cumplida"),IF(N($M283)&gt;=1,"Cumplida",IF(NOT(ISNUMBER($AN283)),"Sin fecha límite",IF($AN283&lt;FechaRef,"Vencida hace "&amp;(FechaRef-$AN283)&amp;IF(FechaRef-$AN283=1," día"," días"),IF($AN283=FechaRef,"Vence hoy",IF($AN283-FechaRef&lt;=DiasAlerta,"Vence en "&amp;($AN283-FechaRef)&amp;IF($AN283-FechaRef=1," día"," días"),"En plazo")))))))</f>
        <v/>
      </c>
      <c r="P283" s="62" t="n"/>
      <c r="Q283" s="58" t="n"/>
      <c r="R283" s="63">
        <f>IF(NOT((COUNTA($B283:$D283)+COUNTA($G283:$L283)+COUNTA($Q283))&gt;0),"",IF((IF($C283="","Falta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",""))="","✔ OK","⚠ "&amp;LEFT(IF($C283="","Falta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",""),LEN(IF($C283="","Falta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",""))-3)))</f>
        <v/>
      </c>
      <c r="S283" s="64">
        <f>IF(NOT((COUNTA($B283:$D283)+COUNTA($G283:$L283)+COUNTA($Q283))&gt;0),"",IF(AND($V283="Sub",N($U283)&gt;0),IF(ISNUMBER(INDEX($AM$5:$AM$1000,$U283-4)),DATE(YEAR(INDEX($AM$5:$AM$1000,$U283-4)),MONTH(INDEX($AM$5:$AM$1000,$U283-4)),1),IF(ISNUMBER(INDEX($AN$5:$AN$1000,$U283-4)),DATE(YEAR(INDEX($AN$5:$AN$1000,$U283-4)),MONTH(INDEX($AN$5:$AN$1000,$U283-4)),1),MesCiclo)),IF(ISNUMBER($AM283),DATE(YEAR($AM283),MONTH($AM283),1),IF(ISNUMBER($AN283),DATE(YEAR($AN283),MONTH($AN283),1),MesCiclo))))</f>
        <v/>
      </c>
      <c r="T283" s="62">
        <f>IF(OR($S283="",$S283&lt;&gt;MesCiclo),"",COUNTIF($S$5:$S283,MesCiclo))</f>
        <v/>
      </c>
      <c r="U283" s="62">
        <f>IF($V283="","",IF($V283="Macro",ROW(),IFERROR(LOOKUP(2,1/($V$5:$V283="Macro"),ROW($V$5:$V283)),0)))</f>
        <v/>
      </c>
      <c r="V283" s="62">
        <f>IF(NOT((COUNTA($B283:$D283)+COUNTA($G283:$L283)+COUNTA($Q283))&gt;0),"",IF($B283="Subactividad","Sub","Macro"))</f>
        <v/>
      </c>
      <c r="W283" s="62">
        <f>IF($V283="Macro",COUNTIFS($U$5:$U$1000,ROW(),$V$5:$V$1000,"Sub"),"")</f>
        <v/>
      </c>
      <c r="X283" s="62">
        <f>IF($V283="","",IF(ISNUMBER($G283),1,IFERROR(LOOKUP(2,1/($I283:$L283&lt;&gt;""),$I283:$L283),0)))</f>
        <v/>
      </c>
      <c r="Y283" s="62">
        <f>IF($V283="","",IF(AND(ISNUMBER($G283),$G283&lt;=IF($S283=MesCiclo,InicioCiclo,$S283+MOD(2-WEEKDAY($S283),7))+6),1,IF(ISNUMBER($I283),$I283,0)))</f>
        <v/>
      </c>
      <c r="Z283" s="62">
        <f>IF($V283="","",IF(AND(ISNUMBER($G283),$G283&lt;=IF($S283=MesCiclo,InicioCiclo,$S283+MOD(2-WEEKDAY($S283),7))+13),1,IF(ISNUMBER($J283),$J283,$Y283)))</f>
        <v/>
      </c>
      <c r="AA283" s="62">
        <f>IF($V283="","",IF(AND(ISNUMBER($G283),$G283&lt;=IF($S283=MesCiclo,InicioCiclo,$S283+MOD(2-WEEKDAY($S283),7))+20),1,IF(ISNUMBER($K283),$K283,$Z283)))</f>
        <v/>
      </c>
      <c r="AB283" s="62">
        <f>IF($V283="","",IF(AND(ISNUMBER($G283),$G283&lt;=IF($S283=MesCiclo,InicioCiclo,$S283+MOD(2-WEEKDAY($S283),7))+27),1,IF(ISNUMBER($L283),$L283,$AA283)))</f>
        <v/>
      </c>
      <c r="AC283" s="62">
        <f>IF($V283="","",IF(AND(ISNUMBER($G283),$G283&lt;=IF($S283=MesCiclo,InicioCiclo,$S283+MOD(2-WEEKDAY($S283),7))+6),1,IF(N($W283)&gt;0,AVERAGEIFS($Y$5:$Y$1000,$U$5:$U$1000,ROW(),$V$5:$V$1000,"Sub"),$Y283)))</f>
        <v/>
      </c>
      <c r="AD283" s="62">
        <f>IF($V283="","",IF(AND(ISNUMBER($G283),$G283&lt;=IF($S283=MesCiclo,InicioCiclo,$S283+MOD(2-WEEKDAY($S283),7))+13),1,IF(N($W283)&gt;0,AVERAGEIFS($Z$5:$Z$1000,$U$5:$U$1000,ROW(),$V$5:$V$1000,"Sub"),$Z283)))</f>
        <v/>
      </c>
      <c r="AE283" s="62">
        <f>IF($V283="","",IF(AND(ISNUMBER($G283),$G283&lt;=IF($S283=MesCiclo,InicioCiclo,$S283+MOD(2-WEEKDAY($S283),7))+20),1,IF(N($W283)&gt;0,AVERAGEIFS($AA$5:$AA$1000,$U$5:$U$1000,ROW(),$V$5:$V$1000,"Sub"),$AA283)))</f>
        <v/>
      </c>
      <c r="AF283" s="62">
        <f>IF($V283="","",IF(AND(ISNUMBER($G283),$G283&lt;=IF($S283=MesCiclo,InicioCiclo,$S283+MOD(2-WEEKDAY($S283),7))+27),1,IF(N($W283)&gt;0,AVERAGEIFS($AB$5:$AB$1000,$U$5:$U$1000,ROW(),$V$5:$V$1000,"Sub"),$AB283)))</f>
        <v/>
      </c>
      <c r="AG283" s="62">
        <f>IF($V283&lt;&gt;"Macro","",IF(COUNTIFS($S$5:$S$1000,$S283,$V$5:$V$1000,"Macro",$H$5:$H$1000,"&gt;0")=0,1/COUNTIFS($S$5:$S$1000,$S283,$V$5:$V$1000,"Macro"),IF(AND(ISNUMBER($H283),N($H283)&gt;0),$H283,SUMIFS($H$5:$H$1000,$S$5:$S$1000,$S283,$V$5:$V$1000,"Macro")/COUNTIFS($S$5:$S$1000,$S283,$V$5:$V$1000,"Macro",$H$5:$H$1000,"&gt;0"))/(COUNTIFS($S$5:$S$1000,$S283,$V$5:$V$1000,"Macro")*SUMIFS($H$5:$H$1000,$S$5:$S$1000,$S283,$V$5:$V$1000,"Macro")/COUNTIFS($S$5:$S$1000,$S283,$V$5:$V$1000,"Macro",$H$5:$H$1000,"&gt;0"))))</f>
        <v/>
      </c>
      <c r="AH283" s="62" t="n"/>
      <c r="AI283" s="62" t="n"/>
      <c r="AJ283" s="62" t="n"/>
      <c r="AK283" s="62" t="n"/>
      <c r="AL283" s="62">
        <f>IF(LEFT($C283,11)="[Jefatura] ",IFERROR(MATCH("Riesgo Normativo|"&amp;MID($C283,12,500),rDname_ADM,0),0),"")</f>
        <v/>
      </c>
      <c r="AM283" s="62">
        <f>IF(N($AL283)&gt;0,INDEX(rIni_ADM,$AL283),IF(ISNUMBER($E283),$E283,""))</f>
        <v/>
      </c>
      <c r="AN283" s="62">
        <f>IF(N($AL283)&gt;0,INDEX(rLim_ADM,$AL283),IF(ISNUMBER($F283),$F283,""))</f>
        <v/>
      </c>
    </row>
    <row r="284">
      <c r="A284" s="56">
        <f>IF(NOT((COUNTA($B284:$D284)+COUNTA($G284:$L284)+COUNTA($Q284))&gt;0),"",IF($V284="Macro",COUNTIFS($V$5:$V284,"Macro",$S$5:$S284,$S284),IF(N($U284)=0,"?",COUNTIFS(INDEX($V$5:$V$1000,1):INDEX($V$5:$V$1000,$U284-4),"Macro",INDEX($S$5:$S$1000,1):INDEX($S$5:$S$1000,$U284-4),INDEX($S$5:$S$1000,$U284-4))&amp;"."&amp;COUNTIFS($U$5:$U284,$U284,$V$5:$V284,"Sub"))))</f>
        <v/>
      </c>
      <c r="B284" s="57" t="n"/>
      <c r="C284" s="58" t="n"/>
      <c r="D284" s="58" t="n"/>
      <c r="E284" s="59">
        <f>IF(N($AL284)&gt;0,INDEX(rIni_ADM,$AL284),"")</f>
        <v/>
      </c>
      <c r="F284" s="59">
        <f>IF(N($AL284)&gt;0,INDEX(rLim_ADM,$AL284),"")</f>
        <v/>
      </c>
      <c r="G284" s="59" t="n"/>
      <c r="H284" s="60" t="n"/>
      <c r="I284" s="60" t="n"/>
      <c r="J284" s="60" t="n"/>
      <c r="K284" s="60" t="n"/>
      <c r="L284" s="60" t="n"/>
      <c r="M284" s="61">
        <f>IF(NOT((COUNTA($B284:$D284)+COUNTA($G284:$L284)+COUNTA($Q284))&gt;0),"",IF(ISNUMBER($G284),1,IF(N($W284)&gt;0,AVERAGEIFS($X$5:$X$1000,$U$5:$U$1000,ROW(),$V$5:$V$1000,"Sub"),$X284)))</f>
        <v/>
      </c>
      <c r="N284" s="56">
        <f>IF($M284="","",IF($M284&gt;=1,"Completado",IF($M284&gt;0,"En curso","Pendiente")))</f>
        <v/>
      </c>
      <c r="O284" s="56">
        <f>IF(NOT((COUNTA($B284:$D284)+COUNTA($G284:$L284)+COUNTA($Q284))&gt;0),"",IF(ISNUMBER($G284),IF(AND(ISNUMBER($AN284),$G284&gt;$AN284),"Cumplida con "&amp;($G284-$AN284)&amp;IF($G284-$AN284=1," día"," días")&amp;" de retraso","Cumplida"),IF(N($M284)&gt;=1,"Cumplida",IF(NOT(ISNUMBER($AN284)),"Sin fecha límite",IF($AN284&lt;FechaRef,"Vencida hace "&amp;(FechaRef-$AN284)&amp;IF(FechaRef-$AN284=1," día"," días"),IF($AN284=FechaRef,"Vence hoy",IF($AN284-FechaRef&lt;=DiasAlerta,"Vence en "&amp;($AN284-FechaRef)&amp;IF($AN284-FechaRef=1," día"," días"),"En plazo")))))))</f>
        <v/>
      </c>
      <c r="P284" s="62" t="n"/>
      <c r="Q284" s="58" t="n"/>
      <c r="R284" s="63">
        <f>IF(NOT((COUNTA($B284:$D284)+COUNTA($G284:$L284)+COUNTA($Q284))&gt;0),"",IF((IF($C284="","Falta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",""))="","✔ OK","⚠ "&amp;LEFT(IF($C284="","Falta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",""),LEN(IF($C284="","Falta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",""))-3)))</f>
        <v/>
      </c>
      <c r="S284" s="64">
        <f>IF(NOT((COUNTA($B284:$D284)+COUNTA($G284:$L284)+COUNTA($Q284))&gt;0),"",IF(AND($V284="Sub",N($U284)&gt;0),IF(ISNUMBER(INDEX($AM$5:$AM$1000,$U284-4)),DATE(YEAR(INDEX($AM$5:$AM$1000,$U284-4)),MONTH(INDEX($AM$5:$AM$1000,$U284-4)),1),IF(ISNUMBER(INDEX($AN$5:$AN$1000,$U284-4)),DATE(YEAR(INDEX($AN$5:$AN$1000,$U284-4)),MONTH(INDEX($AN$5:$AN$1000,$U284-4)),1),MesCiclo)),IF(ISNUMBER($AM284),DATE(YEAR($AM284),MONTH($AM284),1),IF(ISNUMBER($AN284),DATE(YEAR($AN284),MONTH($AN284),1),MesCiclo))))</f>
        <v/>
      </c>
      <c r="T284" s="62">
        <f>IF(OR($S284="",$S284&lt;&gt;MesCiclo),"",COUNTIF($S$5:$S284,MesCiclo))</f>
        <v/>
      </c>
      <c r="U284" s="62">
        <f>IF($V284="","",IF($V284="Macro",ROW(),IFERROR(LOOKUP(2,1/($V$5:$V284="Macro"),ROW($V$5:$V284)),0)))</f>
        <v/>
      </c>
      <c r="V284" s="62">
        <f>IF(NOT((COUNTA($B284:$D284)+COUNTA($G284:$L284)+COUNTA($Q284))&gt;0),"",IF($B284="Subactividad","Sub","Macro"))</f>
        <v/>
      </c>
      <c r="W284" s="62">
        <f>IF($V284="Macro",COUNTIFS($U$5:$U$1000,ROW(),$V$5:$V$1000,"Sub"),"")</f>
        <v/>
      </c>
      <c r="X284" s="62">
        <f>IF($V284="","",IF(ISNUMBER($G284),1,IFERROR(LOOKUP(2,1/($I284:$L284&lt;&gt;""),$I284:$L284),0)))</f>
        <v/>
      </c>
      <c r="Y284" s="62">
        <f>IF($V284="","",IF(AND(ISNUMBER($G284),$G284&lt;=IF($S284=MesCiclo,InicioCiclo,$S284+MOD(2-WEEKDAY($S284),7))+6),1,IF(ISNUMBER($I284),$I284,0)))</f>
        <v/>
      </c>
      <c r="Z284" s="62">
        <f>IF($V284="","",IF(AND(ISNUMBER($G284),$G284&lt;=IF($S284=MesCiclo,InicioCiclo,$S284+MOD(2-WEEKDAY($S284),7))+13),1,IF(ISNUMBER($J284),$J284,$Y284)))</f>
        <v/>
      </c>
      <c r="AA284" s="62">
        <f>IF($V284="","",IF(AND(ISNUMBER($G284),$G284&lt;=IF($S284=MesCiclo,InicioCiclo,$S284+MOD(2-WEEKDAY($S284),7))+20),1,IF(ISNUMBER($K284),$K284,$Z284)))</f>
        <v/>
      </c>
      <c r="AB284" s="62">
        <f>IF($V284="","",IF(AND(ISNUMBER($G284),$G284&lt;=IF($S284=MesCiclo,InicioCiclo,$S284+MOD(2-WEEKDAY($S284),7))+27),1,IF(ISNUMBER($L284),$L284,$AA284)))</f>
        <v/>
      </c>
      <c r="AC284" s="62">
        <f>IF($V284="","",IF(AND(ISNUMBER($G284),$G284&lt;=IF($S284=MesCiclo,InicioCiclo,$S284+MOD(2-WEEKDAY($S284),7))+6),1,IF(N($W284)&gt;0,AVERAGEIFS($Y$5:$Y$1000,$U$5:$U$1000,ROW(),$V$5:$V$1000,"Sub"),$Y284)))</f>
        <v/>
      </c>
      <c r="AD284" s="62">
        <f>IF($V284="","",IF(AND(ISNUMBER($G284),$G284&lt;=IF($S284=MesCiclo,InicioCiclo,$S284+MOD(2-WEEKDAY($S284),7))+13),1,IF(N($W284)&gt;0,AVERAGEIFS($Z$5:$Z$1000,$U$5:$U$1000,ROW(),$V$5:$V$1000,"Sub"),$Z284)))</f>
        <v/>
      </c>
      <c r="AE284" s="62">
        <f>IF($V284="","",IF(AND(ISNUMBER($G284),$G284&lt;=IF($S284=MesCiclo,InicioCiclo,$S284+MOD(2-WEEKDAY($S284),7))+20),1,IF(N($W284)&gt;0,AVERAGEIFS($AA$5:$AA$1000,$U$5:$U$1000,ROW(),$V$5:$V$1000,"Sub"),$AA284)))</f>
        <v/>
      </c>
      <c r="AF284" s="62">
        <f>IF($V284="","",IF(AND(ISNUMBER($G284),$G284&lt;=IF($S284=MesCiclo,InicioCiclo,$S284+MOD(2-WEEKDAY($S284),7))+27),1,IF(N($W284)&gt;0,AVERAGEIFS($AB$5:$AB$1000,$U$5:$U$1000,ROW(),$V$5:$V$1000,"Sub"),$AB284)))</f>
        <v/>
      </c>
      <c r="AG284" s="62">
        <f>IF($V284&lt;&gt;"Macro","",IF(COUNTIFS($S$5:$S$1000,$S284,$V$5:$V$1000,"Macro",$H$5:$H$1000,"&gt;0")=0,1/COUNTIFS($S$5:$S$1000,$S284,$V$5:$V$1000,"Macro"),IF(AND(ISNUMBER($H284),N($H284)&gt;0),$H284,SUMIFS($H$5:$H$1000,$S$5:$S$1000,$S284,$V$5:$V$1000,"Macro")/COUNTIFS($S$5:$S$1000,$S284,$V$5:$V$1000,"Macro",$H$5:$H$1000,"&gt;0"))/(COUNTIFS($S$5:$S$1000,$S284,$V$5:$V$1000,"Macro")*SUMIFS($H$5:$H$1000,$S$5:$S$1000,$S284,$V$5:$V$1000,"Macro")/COUNTIFS($S$5:$S$1000,$S284,$V$5:$V$1000,"Macro",$H$5:$H$1000,"&gt;0"))))</f>
        <v/>
      </c>
      <c r="AH284" s="62" t="n"/>
      <c r="AI284" s="62" t="n"/>
      <c r="AJ284" s="62" t="n"/>
      <c r="AK284" s="62" t="n"/>
      <c r="AL284" s="62">
        <f>IF(LEFT($C284,11)="[Jefatura] ",IFERROR(MATCH("Riesgo Normativo|"&amp;MID($C284,12,500),rDname_ADM,0),0),"")</f>
        <v/>
      </c>
      <c r="AM284" s="62">
        <f>IF(N($AL284)&gt;0,INDEX(rIni_ADM,$AL284),IF(ISNUMBER($E284),$E284,""))</f>
        <v/>
      </c>
      <c r="AN284" s="62">
        <f>IF(N($AL284)&gt;0,INDEX(rLim_ADM,$AL284),IF(ISNUMBER($F284),$F284,""))</f>
        <v/>
      </c>
    </row>
    <row r="285">
      <c r="A285" s="56">
        <f>IF(NOT((COUNTA($B285:$D285)+COUNTA($G285:$L285)+COUNTA($Q285))&gt;0),"",IF($V285="Macro",COUNTIFS($V$5:$V285,"Macro",$S$5:$S285,$S285),IF(N($U285)=0,"?",COUNTIFS(INDEX($V$5:$V$1000,1):INDEX($V$5:$V$1000,$U285-4),"Macro",INDEX($S$5:$S$1000,1):INDEX($S$5:$S$1000,$U285-4),INDEX($S$5:$S$1000,$U285-4))&amp;"."&amp;COUNTIFS($U$5:$U285,$U285,$V$5:$V285,"Sub"))))</f>
        <v/>
      </c>
      <c r="B285" s="57" t="n"/>
      <c r="C285" s="58" t="n"/>
      <c r="D285" s="58" t="n"/>
      <c r="E285" s="59">
        <f>IF(N($AL285)&gt;0,INDEX(rIni_ADM,$AL285),"")</f>
        <v/>
      </c>
      <c r="F285" s="59">
        <f>IF(N($AL285)&gt;0,INDEX(rLim_ADM,$AL285),"")</f>
        <v/>
      </c>
      <c r="G285" s="59" t="n"/>
      <c r="H285" s="60" t="n"/>
      <c r="I285" s="60" t="n"/>
      <c r="J285" s="60" t="n"/>
      <c r="K285" s="60" t="n"/>
      <c r="L285" s="60" t="n"/>
      <c r="M285" s="61">
        <f>IF(NOT((COUNTA($B285:$D285)+COUNTA($G285:$L285)+COUNTA($Q285))&gt;0),"",IF(ISNUMBER($G285),1,IF(N($W285)&gt;0,AVERAGEIFS($X$5:$X$1000,$U$5:$U$1000,ROW(),$V$5:$V$1000,"Sub"),$X285)))</f>
        <v/>
      </c>
      <c r="N285" s="56">
        <f>IF($M285="","",IF($M285&gt;=1,"Completado",IF($M285&gt;0,"En curso","Pendiente")))</f>
        <v/>
      </c>
      <c r="O285" s="56">
        <f>IF(NOT((COUNTA($B285:$D285)+COUNTA($G285:$L285)+COUNTA($Q285))&gt;0),"",IF(ISNUMBER($G285),IF(AND(ISNUMBER($AN285),$G285&gt;$AN285),"Cumplida con "&amp;($G285-$AN285)&amp;IF($G285-$AN285=1," día"," días")&amp;" de retraso","Cumplida"),IF(N($M285)&gt;=1,"Cumplida",IF(NOT(ISNUMBER($AN285)),"Sin fecha límite",IF($AN285&lt;FechaRef,"Vencida hace "&amp;(FechaRef-$AN285)&amp;IF(FechaRef-$AN285=1," día"," días"),IF($AN285=FechaRef,"Vence hoy",IF($AN285-FechaRef&lt;=DiasAlerta,"Vence en "&amp;($AN285-FechaRef)&amp;IF($AN285-FechaRef=1," día"," días"),"En plazo")))))))</f>
        <v/>
      </c>
      <c r="P285" s="62" t="n"/>
      <c r="Q285" s="58" t="n"/>
      <c r="R285" s="63">
        <f>IF(NOT((COUNTA($B285:$D285)+COUNTA($G285:$L285)+COUNTA($Q285))&gt;0),"",IF((IF($C285="","Falta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",""))="","✔ OK","⚠ "&amp;LEFT(IF($C285="","Falta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",""),LEN(IF($C285="","Falta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",""))-3)))</f>
        <v/>
      </c>
      <c r="S285" s="64">
        <f>IF(NOT((COUNTA($B285:$D285)+COUNTA($G285:$L285)+COUNTA($Q285))&gt;0),"",IF(AND($V285="Sub",N($U285)&gt;0),IF(ISNUMBER(INDEX($AM$5:$AM$1000,$U285-4)),DATE(YEAR(INDEX($AM$5:$AM$1000,$U285-4)),MONTH(INDEX($AM$5:$AM$1000,$U285-4)),1),IF(ISNUMBER(INDEX($AN$5:$AN$1000,$U285-4)),DATE(YEAR(INDEX($AN$5:$AN$1000,$U285-4)),MONTH(INDEX($AN$5:$AN$1000,$U285-4)),1),MesCiclo)),IF(ISNUMBER($AM285),DATE(YEAR($AM285),MONTH($AM285),1),IF(ISNUMBER($AN285),DATE(YEAR($AN285),MONTH($AN285),1),MesCiclo))))</f>
        <v/>
      </c>
      <c r="T285" s="62">
        <f>IF(OR($S285="",$S285&lt;&gt;MesCiclo),"",COUNTIF($S$5:$S285,MesCiclo))</f>
        <v/>
      </c>
      <c r="U285" s="62">
        <f>IF($V285="","",IF($V285="Macro",ROW(),IFERROR(LOOKUP(2,1/($V$5:$V285="Macro"),ROW($V$5:$V285)),0)))</f>
        <v/>
      </c>
      <c r="V285" s="62">
        <f>IF(NOT((COUNTA($B285:$D285)+COUNTA($G285:$L285)+COUNTA($Q285))&gt;0),"",IF($B285="Subactividad","Sub","Macro"))</f>
        <v/>
      </c>
      <c r="W285" s="62">
        <f>IF($V285="Macro",COUNTIFS($U$5:$U$1000,ROW(),$V$5:$V$1000,"Sub"),"")</f>
        <v/>
      </c>
      <c r="X285" s="62">
        <f>IF($V285="","",IF(ISNUMBER($G285),1,IFERROR(LOOKUP(2,1/($I285:$L285&lt;&gt;""),$I285:$L285),0)))</f>
        <v/>
      </c>
      <c r="Y285" s="62">
        <f>IF($V285="","",IF(AND(ISNUMBER($G285),$G285&lt;=IF($S285=MesCiclo,InicioCiclo,$S285+MOD(2-WEEKDAY($S285),7))+6),1,IF(ISNUMBER($I285),$I285,0)))</f>
        <v/>
      </c>
      <c r="Z285" s="62">
        <f>IF($V285="","",IF(AND(ISNUMBER($G285),$G285&lt;=IF($S285=MesCiclo,InicioCiclo,$S285+MOD(2-WEEKDAY($S285),7))+13),1,IF(ISNUMBER($J285),$J285,$Y285)))</f>
        <v/>
      </c>
      <c r="AA285" s="62">
        <f>IF($V285="","",IF(AND(ISNUMBER($G285),$G285&lt;=IF($S285=MesCiclo,InicioCiclo,$S285+MOD(2-WEEKDAY($S285),7))+20),1,IF(ISNUMBER($K285),$K285,$Z285)))</f>
        <v/>
      </c>
      <c r="AB285" s="62">
        <f>IF($V285="","",IF(AND(ISNUMBER($G285),$G285&lt;=IF($S285=MesCiclo,InicioCiclo,$S285+MOD(2-WEEKDAY($S285),7))+27),1,IF(ISNUMBER($L285),$L285,$AA285)))</f>
        <v/>
      </c>
      <c r="AC285" s="62">
        <f>IF($V285="","",IF(AND(ISNUMBER($G285),$G285&lt;=IF($S285=MesCiclo,InicioCiclo,$S285+MOD(2-WEEKDAY($S285),7))+6),1,IF(N($W285)&gt;0,AVERAGEIFS($Y$5:$Y$1000,$U$5:$U$1000,ROW(),$V$5:$V$1000,"Sub"),$Y285)))</f>
        <v/>
      </c>
      <c r="AD285" s="62">
        <f>IF($V285="","",IF(AND(ISNUMBER($G285),$G285&lt;=IF($S285=MesCiclo,InicioCiclo,$S285+MOD(2-WEEKDAY($S285),7))+13),1,IF(N($W285)&gt;0,AVERAGEIFS($Z$5:$Z$1000,$U$5:$U$1000,ROW(),$V$5:$V$1000,"Sub"),$Z285)))</f>
        <v/>
      </c>
      <c r="AE285" s="62">
        <f>IF($V285="","",IF(AND(ISNUMBER($G285),$G285&lt;=IF($S285=MesCiclo,InicioCiclo,$S285+MOD(2-WEEKDAY($S285),7))+20),1,IF(N($W285)&gt;0,AVERAGEIFS($AA$5:$AA$1000,$U$5:$U$1000,ROW(),$V$5:$V$1000,"Sub"),$AA285)))</f>
        <v/>
      </c>
      <c r="AF285" s="62">
        <f>IF($V285="","",IF(AND(ISNUMBER($G285),$G285&lt;=IF($S285=MesCiclo,InicioCiclo,$S285+MOD(2-WEEKDAY($S285),7))+27),1,IF(N($W285)&gt;0,AVERAGEIFS($AB$5:$AB$1000,$U$5:$U$1000,ROW(),$V$5:$V$1000,"Sub"),$AB285)))</f>
        <v/>
      </c>
      <c r="AG285" s="62">
        <f>IF($V285&lt;&gt;"Macro","",IF(COUNTIFS($S$5:$S$1000,$S285,$V$5:$V$1000,"Macro",$H$5:$H$1000,"&gt;0")=0,1/COUNTIFS($S$5:$S$1000,$S285,$V$5:$V$1000,"Macro"),IF(AND(ISNUMBER($H285),N($H285)&gt;0),$H285,SUMIFS($H$5:$H$1000,$S$5:$S$1000,$S285,$V$5:$V$1000,"Macro")/COUNTIFS($S$5:$S$1000,$S285,$V$5:$V$1000,"Macro",$H$5:$H$1000,"&gt;0"))/(COUNTIFS($S$5:$S$1000,$S285,$V$5:$V$1000,"Macro")*SUMIFS($H$5:$H$1000,$S$5:$S$1000,$S285,$V$5:$V$1000,"Macro")/COUNTIFS($S$5:$S$1000,$S285,$V$5:$V$1000,"Macro",$H$5:$H$1000,"&gt;0"))))</f>
        <v/>
      </c>
      <c r="AH285" s="62" t="n"/>
      <c r="AI285" s="62" t="n"/>
      <c r="AJ285" s="62" t="n"/>
      <c r="AK285" s="62" t="n"/>
      <c r="AL285" s="62">
        <f>IF(LEFT($C285,11)="[Jefatura] ",IFERROR(MATCH("Riesgo Normativo|"&amp;MID($C285,12,500),rDname_ADM,0),0),"")</f>
        <v/>
      </c>
      <c r="AM285" s="62">
        <f>IF(N($AL285)&gt;0,INDEX(rIni_ADM,$AL285),IF(ISNUMBER($E285),$E285,""))</f>
        <v/>
      </c>
      <c r="AN285" s="62">
        <f>IF(N($AL285)&gt;0,INDEX(rLim_ADM,$AL285),IF(ISNUMBER($F285),$F285,""))</f>
        <v/>
      </c>
    </row>
    <row r="286">
      <c r="A286" s="56">
        <f>IF(NOT((COUNTA($B286:$D286)+COUNTA($G286:$L286)+COUNTA($Q286))&gt;0),"",IF($V286="Macro",COUNTIFS($V$5:$V286,"Macro",$S$5:$S286,$S286),IF(N($U286)=0,"?",COUNTIFS(INDEX($V$5:$V$1000,1):INDEX($V$5:$V$1000,$U286-4),"Macro",INDEX($S$5:$S$1000,1):INDEX($S$5:$S$1000,$U286-4),INDEX($S$5:$S$1000,$U286-4))&amp;"."&amp;COUNTIFS($U$5:$U286,$U286,$V$5:$V286,"Sub"))))</f>
        <v/>
      </c>
      <c r="B286" s="57" t="n"/>
      <c r="C286" s="58" t="n"/>
      <c r="D286" s="58" t="n"/>
      <c r="E286" s="59">
        <f>IF(N($AL286)&gt;0,INDEX(rIni_ADM,$AL286),"")</f>
        <v/>
      </c>
      <c r="F286" s="59">
        <f>IF(N($AL286)&gt;0,INDEX(rLim_ADM,$AL286),"")</f>
        <v/>
      </c>
      <c r="G286" s="59" t="n"/>
      <c r="H286" s="60" t="n"/>
      <c r="I286" s="60" t="n"/>
      <c r="J286" s="60" t="n"/>
      <c r="K286" s="60" t="n"/>
      <c r="L286" s="60" t="n"/>
      <c r="M286" s="61">
        <f>IF(NOT((COUNTA($B286:$D286)+COUNTA($G286:$L286)+COUNTA($Q286))&gt;0),"",IF(ISNUMBER($G286),1,IF(N($W286)&gt;0,AVERAGEIFS($X$5:$X$1000,$U$5:$U$1000,ROW(),$V$5:$V$1000,"Sub"),$X286)))</f>
        <v/>
      </c>
      <c r="N286" s="56">
        <f>IF($M286="","",IF($M286&gt;=1,"Completado",IF($M286&gt;0,"En curso","Pendiente")))</f>
        <v/>
      </c>
      <c r="O286" s="56">
        <f>IF(NOT((COUNTA($B286:$D286)+COUNTA($G286:$L286)+COUNTA($Q286))&gt;0),"",IF(ISNUMBER($G286),IF(AND(ISNUMBER($AN286),$G286&gt;$AN286),"Cumplida con "&amp;($G286-$AN286)&amp;IF($G286-$AN286=1," día"," días")&amp;" de retraso","Cumplida"),IF(N($M286)&gt;=1,"Cumplida",IF(NOT(ISNUMBER($AN286)),"Sin fecha límite",IF($AN286&lt;FechaRef,"Vencida hace "&amp;(FechaRef-$AN286)&amp;IF(FechaRef-$AN286=1," día"," días"),IF($AN286=FechaRef,"Vence hoy",IF($AN286-FechaRef&lt;=DiasAlerta,"Vence en "&amp;($AN286-FechaRef)&amp;IF($AN286-FechaRef=1," día"," días"),"En plazo")))))))</f>
        <v/>
      </c>
      <c r="P286" s="62" t="n"/>
      <c r="Q286" s="58" t="n"/>
      <c r="R286" s="63">
        <f>IF(NOT((COUNTA($B286:$D286)+COUNTA($G286:$L286)+COUNTA($Q286))&gt;0),"",IF((IF($C286="","Falta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",""))="","✔ OK","⚠ "&amp;LEFT(IF($C286="","Falta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",""),LEN(IF($C286="","Falta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",""))-3)))</f>
        <v/>
      </c>
      <c r="S286" s="64">
        <f>IF(NOT((COUNTA($B286:$D286)+COUNTA($G286:$L286)+COUNTA($Q286))&gt;0),"",IF(AND($V286="Sub",N($U286)&gt;0),IF(ISNUMBER(INDEX($AM$5:$AM$1000,$U286-4)),DATE(YEAR(INDEX($AM$5:$AM$1000,$U286-4)),MONTH(INDEX($AM$5:$AM$1000,$U286-4)),1),IF(ISNUMBER(INDEX($AN$5:$AN$1000,$U286-4)),DATE(YEAR(INDEX($AN$5:$AN$1000,$U286-4)),MONTH(INDEX($AN$5:$AN$1000,$U286-4)),1),MesCiclo)),IF(ISNUMBER($AM286),DATE(YEAR($AM286),MONTH($AM286),1),IF(ISNUMBER($AN286),DATE(YEAR($AN286),MONTH($AN286),1),MesCiclo))))</f>
        <v/>
      </c>
      <c r="T286" s="62">
        <f>IF(OR($S286="",$S286&lt;&gt;MesCiclo),"",COUNTIF($S$5:$S286,MesCiclo))</f>
        <v/>
      </c>
      <c r="U286" s="62">
        <f>IF($V286="","",IF($V286="Macro",ROW(),IFERROR(LOOKUP(2,1/($V$5:$V286="Macro"),ROW($V$5:$V286)),0)))</f>
        <v/>
      </c>
      <c r="V286" s="62">
        <f>IF(NOT((COUNTA($B286:$D286)+COUNTA($G286:$L286)+COUNTA($Q286))&gt;0),"",IF($B286="Subactividad","Sub","Macro"))</f>
        <v/>
      </c>
      <c r="W286" s="62">
        <f>IF($V286="Macro",COUNTIFS($U$5:$U$1000,ROW(),$V$5:$V$1000,"Sub"),"")</f>
        <v/>
      </c>
      <c r="X286" s="62">
        <f>IF($V286="","",IF(ISNUMBER($G286),1,IFERROR(LOOKUP(2,1/($I286:$L286&lt;&gt;""),$I286:$L286),0)))</f>
        <v/>
      </c>
      <c r="Y286" s="62">
        <f>IF($V286="","",IF(AND(ISNUMBER($G286),$G286&lt;=IF($S286=MesCiclo,InicioCiclo,$S286+MOD(2-WEEKDAY($S286),7))+6),1,IF(ISNUMBER($I286),$I286,0)))</f>
        <v/>
      </c>
      <c r="Z286" s="62">
        <f>IF($V286="","",IF(AND(ISNUMBER($G286),$G286&lt;=IF($S286=MesCiclo,InicioCiclo,$S286+MOD(2-WEEKDAY($S286),7))+13),1,IF(ISNUMBER($J286),$J286,$Y286)))</f>
        <v/>
      </c>
      <c r="AA286" s="62">
        <f>IF($V286="","",IF(AND(ISNUMBER($G286),$G286&lt;=IF($S286=MesCiclo,InicioCiclo,$S286+MOD(2-WEEKDAY($S286),7))+20),1,IF(ISNUMBER($K286),$K286,$Z286)))</f>
        <v/>
      </c>
      <c r="AB286" s="62">
        <f>IF($V286="","",IF(AND(ISNUMBER($G286),$G286&lt;=IF($S286=MesCiclo,InicioCiclo,$S286+MOD(2-WEEKDAY($S286),7))+27),1,IF(ISNUMBER($L286),$L286,$AA286)))</f>
        <v/>
      </c>
      <c r="AC286" s="62">
        <f>IF($V286="","",IF(AND(ISNUMBER($G286),$G286&lt;=IF($S286=MesCiclo,InicioCiclo,$S286+MOD(2-WEEKDAY($S286),7))+6),1,IF(N($W286)&gt;0,AVERAGEIFS($Y$5:$Y$1000,$U$5:$U$1000,ROW(),$V$5:$V$1000,"Sub"),$Y286)))</f>
        <v/>
      </c>
      <c r="AD286" s="62">
        <f>IF($V286="","",IF(AND(ISNUMBER($G286),$G286&lt;=IF($S286=MesCiclo,InicioCiclo,$S286+MOD(2-WEEKDAY($S286),7))+13),1,IF(N($W286)&gt;0,AVERAGEIFS($Z$5:$Z$1000,$U$5:$U$1000,ROW(),$V$5:$V$1000,"Sub"),$Z286)))</f>
        <v/>
      </c>
      <c r="AE286" s="62">
        <f>IF($V286="","",IF(AND(ISNUMBER($G286),$G286&lt;=IF($S286=MesCiclo,InicioCiclo,$S286+MOD(2-WEEKDAY($S286),7))+20),1,IF(N($W286)&gt;0,AVERAGEIFS($AA$5:$AA$1000,$U$5:$U$1000,ROW(),$V$5:$V$1000,"Sub"),$AA286)))</f>
        <v/>
      </c>
      <c r="AF286" s="62">
        <f>IF($V286="","",IF(AND(ISNUMBER($G286),$G286&lt;=IF($S286=MesCiclo,InicioCiclo,$S286+MOD(2-WEEKDAY($S286),7))+27),1,IF(N($W286)&gt;0,AVERAGEIFS($AB$5:$AB$1000,$U$5:$U$1000,ROW(),$V$5:$V$1000,"Sub"),$AB286)))</f>
        <v/>
      </c>
      <c r="AG286" s="62">
        <f>IF($V286&lt;&gt;"Macro","",IF(COUNTIFS($S$5:$S$1000,$S286,$V$5:$V$1000,"Macro",$H$5:$H$1000,"&gt;0")=0,1/COUNTIFS($S$5:$S$1000,$S286,$V$5:$V$1000,"Macro"),IF(AND(ISNUMBER($H286),N($H286)&gt;0),$H286,SUMIFS($H$5:$H$1000,$S$5:$S$1000,$S286,$V$5:$V$1000,"Macro")/COUNTIFS($S$5:$S$1000,$S286,$V$5:$V$1000,"Macro",$H$5:$H$1000,"&gt;0"))/(COUNTIFS($S$5:$S$1000,$S286,$V$5:$V$1000,"Macro")*SUMIFS($H$5:$H$1000,$S$5:$S$1000,$S286,$V$5:$V$1000,"Macro")/COUNTIFS($S$5:$S$1000,$S286,$V$5:$V$1000,"Macro",$H$5:$H$1000,"&gt;0"))))</f>
        <v/>
      </c>
      <c r="AH286" s="62" t="n"/>
      <c r="AI286" s="62" t="n"/>
      <c r="AJ286" s="62" t="n"/>
      <c r="AK286" s="62" t="n"/>
      <c r="AL286" s="62">
        <f>IF(LEFT($C286,11)="[Jefatura] ",IFERROR(MATCH("Riesgo Normativo|"&amp;MID($C286,12,500),rDname_ADM,0),0),"")</f>
        <v/>
      </c>
      <c r="AM286" s="62">
        <f>IF(N($AL286)&gt;0,INDEX(rIni_ADM,$AL286),IF(ISNUMBER($E286),$E286,""))</f>
        <v/>
      </c>
      <c r="AN286" s="62">
        <f>IF(N($AL286)&gt;0,INDEX(rLim_ADM,$AL286),IF(ISNUMBER($F286),$F286,""))</f>
        <v/>
      </c>
    </row>
    <row r="287">
      <c r="A287" s="56">
        <f>IF(NOT((COUNTA($B287:$D287)+COUNTA($G287:$L287)+COUNTA($Q287))&gt;0),"",IF($V287="Macro",COUNTIFS($V$5:$V287,"Macro",$S$5:$S287,$S287),IF(N($U287)=0,"?",COUNTIFS(INDEX($V$5:$V$1000,1):INDEX($V$5:$V$1000,$U287-4),"Macro",INDEX($S$5:$S$1000,1):INDEX($S$5:$S$1000,$U287-4),INDEX($S$5:$S$1000,$U287-4))&amp;"."&amp;COUNTIFS($U$5:$U287,$U287,$V$5:$V287,"Sub"))))</f>
        <v/>
      </c>
      <c r="B287" s="57" t="n"/>
      <c r="C287" s="58" t="n"/>
      <c r="D287" s="58" t="n"/>
      <c r="E287" s="59">
        <f>IF(N($AL287)&gt;0,INDEX(rIni_ADM,$AL287),"")</f>
        <v/>
      </c>
      <c r="F287" s="59">
        <f>IF(N($AL287)&gt;0,INDEX(rLim_ADM,$AL287),"")</f>
        <v/>
      </c>
      <c r="G287" s="59" t="n"/>
      <c r="H287" s="60" t="n"/>
      <c r="I287" s="60" t="n"/>
      <c r="J287" s="60" t="n"/>
      <c r="K287" s="60" t="n"/>
      <c r="L287" s="60" t="n"/>
      <c r="M287" s="61">
        <f>IF(NOT((COUNTA($B287:$D287)+COUNTA($G287:$L287)+COUNTA($Q287))&gt;0),"",IF(ISNUMBER($G287),1,IF(N($W287)&gt;0,AVERAGEIFS($X$5:$X$1000,$U$5:$U$1000,ROW(),$V$5:$V$1000,"Sub"),$X287)))</f>
        <v/>
      </c>
      <c r="N287" s="56">
        <f>IF($M287="","",IF($M287&gt;=1,"Completado",IF($M287&gt;0,"En curso","Pendiente")))</f>
        <v/>
      </c>
      <c r="O287" s="56">
        <f>IF(NOT((COUNTA($B287:$D287)+COUNTA($G287:$L287)+COUNTA($Q287))&gt;0),"",IF(ISNUMBER($G287),IF(AND(ISNUMBER($AN287),$G287&gt;$AN287),"Cumplida con "&amp;($G287-$AN287)&amp;IF($G287-$AN287=1," día"," días")&amp;" de retraso","Cumplida"),IF(N($M287)&gt;=1,"Cumplida",IF(NOT(ISNUMBER($AN287)),"Sin fecha límite",IF($AN287&lt;FechaRef,"Vencida hace "&amp;(FechaRef-$AN287)&amp;IF(FechaRef-$AN287=1," día"," días"),IF($AN287=FechaRef,"Vence hoy",IF($AN287-FechaRef&lt;=DiasAlerta,"Vence en "&amp;($AN287-FechaRef)&amp;IF($AN287-FechaRef=1," día"," días"),"En plazo")))))))</f>
        <v/>
      </c>
      <c r="P287" s="62" t="n"/>
      <c r="Q287" s="58" t="n"/>
      <c r="R287" s="63">
        <f>IF(NOT((COUNTA($B287:$D287)+COUNTA($G287:$L287)+COUNTA($Q287))&gt;0),"",IF((IF($C287="","Falta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",""))="","✔ OK","⚠ "&amp;LEFT(IF($C287="","Falta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",""),LEN(IF($C287="","Falta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",""))-3)))</f>
        <v/>
      </c>
      <c r="S287" s="64">
        <f>IF(NOT((COUNTA($B287:$D287)+COUNTA($G287:$L287)+COUNTA($Q287))&gt;0),"",IF(AND($V287="Sub",N($U287)&gt;0),IF(ISNUMBER(INDEX($AM$5:$AM$1000,$U287-4)),DATE(YEAR(INDEX($AM$5:$AM$1000,$U287-4)),MONTH(INDEX($AM$5:$AM$1000,$U287-4)),1),IF(ISNUMBER(INDEX($AN$5:$AN$1000,$U287-4)),DATE(YEAR(INDEX($AN$5:$AN$1000,$U287-4)),MONTH(INDEX($AN$5:$AN$1000,$U287-4)),1),MesCiclo)),IF(ISNUMBER($AM287),DATE(YEAR($AM287),MONTH($AM287),1),IF(ISNUMBER($AN287),DATE(YEAR($AN287),MONTH($AN287),1),MesCiclo))))</f>
        <v/>
      </c>
      <c r="T287" s="62">
        <f>IF(OR($S287="",$S287&lt;&gt;MesCiclo),"",COUNTIF($S$5:$S287,MesCiclo))</f>
        <v/>
      </c>
      <c r="U287" s="62">
        <f>IF($V287="","",IF($V287="Macro",ROW(),IFERROR(LOOKUP(2,1/($V$5:$V287="Macro"),ROW($V$5:$V287)),0)))</f>
        <v/>
      </c>
      <c r="V287" s="62">
        <f>IF(NOT((COUNTA($B287:$D287)+COUNTA($G287:$L287)+COUNTA($Q287))&gt;0),"",IF($B287="Subactividad","Sub","Macro"))</f>
        <v/>
      </c>
      <c r="W287" s="62">
        <f>IF($V287="Macro",COUNTIFS($U$5:$U$1000,ROW(),$V$5:$V$1000,"Sub"),"")</f>
        <v/>
      </c>
      <c r="X287" s="62">
        <f>IF($V287="","",IF(ISNUMBER($G287),1,IFERROR(LOOKUP(2,1/($I287:$L287&lt;&gt;""),$I287:$L287),0)))</f>
        <v/>
      </c>
      <c r="Y287" s="62">
        <f>IF($V287="","",IF(AND(ISNUMBER($G287),$G287&lt;=IF($S287=MesCiclo,InicioCiclo,$S287+MOD(2-WEEKDAY($S287),7))+6),1,IF(ISNUMBER($I287),$I287,0)))</f>
        <v/>
      </c>
      <c r="Z287" s="62">
        <f>IF($V287="","",IF(AND(ISNUMBER($G287),$G287&lt;=IF($S287=MesCiclo,InicioCiclo,$S287+MOD(2-WEEKDAY($S287),7))+13),1,IF(ISNUMBER($J287),$J287,$Y287)))</f>
        <v/>
      </c>
      <c r="AA287" s="62">
        <f>IF($V287="","",IF(AND(ISNUMBER($G287),$G287&lt;=IF($S287=MesCiclo,InicioCiclo,$S287+MOD(2-WEEKDAY($S287),7))+20),1,IF(ISNUMBER($K287),$K287,$Z287)))</f>
        <v/>
      </c>
      <c r="AB287" s="62">
        <f>IF($V287="","",IF(AND(ISNUMBER($G287),$G287&lt;=IF($S287=MesCiclo,InicioCiclo,$S287+MOD(2-WEEKDAY($S287),7))+27),1,IF(ISNUMBER($L287),$L287,$AA287)))</f>
        <v/>
      </c>
      <c r="AC287" s="62">
        <f>IF($V287="","",IF(AND(ISNUMBER($G287),$G287&lt;=IF($S287=MesCiclo,InicioCiclo,$S287+MOD(2-WEEKDAY($S287),7))+6),1,IF(N($W287)&gt;0,AVERAGEIFS($Y$5:$Y$1000,$U$5:$U$1000,ROW(),$V$5:$V$1000,"Sub"),$Y287)))</f>
        <v/>
      </c>
      <c r="AD287" s="62">
        <f>IF($V287="","",IF(AND(ISNUMBER($G287),$G287&lt;=IF($S287=MesCiclo,InicioCiclo,$S287+MOD(2-WEEKDAY($S287),7))+13),1,IF(N($W287)&gt;0,AVERAGEIFS($Z$5:$Z$1000,$U$5:$U$1000,ROW(),$V$5:$V$1000,"Sub"),$Z287)))</f>
        <v/>
      </c>
      <c r="AE287" s="62">
        <f>IF($V287="","",IF(AND(ISNUMBER($G287),$G287&lt;=IF($S287=MesCiclo,InicioCiclo,$S287+MOD(2-WEEKDAY($S287),7))+20),1,IF(N($W287)&gt;0,AVERAGEIFS($AA$5:$AA$1000,$U$5:$U$1000,ROW(),$V$5:$V$1000,"Sub"),$AA287)))</f>
        <v/>
      </c>
      <c r="AF287" s="62">
        <f>IF($V287="","",IF(AND(ISNUMBER($G287),$G287&lt;=IF($S287=MesCiclo,InicioCiclo,$S287+MOD(2-WEEKDAY($S287),7))+27),1,IF(N($W287)&gt;0,AVERAGEIFS($AB$5:$AB$1000,$U$5:$U$1000,ROW(),$V$5:$V$1000,"Sub"),$AB287)))</f>
        <v/>
      </c>
      <c r="AG287" s="62">
        <f>IF($V287&lt;&gt;"Macro","",IF(COUNTIFS($S$5:$S$1000,$S287,$V$5:$V$1000,"Macro",$H$5:$H$1000,"&gt;0")=0,1/COUNTIFS($S$5:$S$1000,$S287,$V$5:$V$1000,"Macro"),IF(AND(ISNUMBER($H287),N($H287)&gt;0),$H287,SUMIFS($H$5:$H$1000,$S$5:$S$1000,$S287,$V$5:$V$1000,"Macro")/COUNTIFS($S$5:$S$1000,$S287,$V$5:$V$1000,"Macro",$H$5:$H$1000,"&gt;0"))/(COUNTIFS($S$5:$S$1000,$S287,$V$5:$V$1000,"Macro")*SUMIFS($H$5:$H$1000,$S$5:$S$1000,$S287,$V$5:$V$1000,"Macro")/COUNTIFS($S$5:$S$1000,$S287,$V$5:$V$1000,"Macro",$H$5:$H$1000,"&gt;0"))))</f>
        <v/>
      </c>
      <c r="AH287" s="62" t="n"/>
      <c r="AI287" s="62" t="n"/>
      <c r="AJ287" s="62" t="n"/>
      <c r="AK287" s="62" t="n"/>
      <c r="AL287" s="62">
        <f>IF(LEFT($C287,11)="[Jefatura] ",IFERROR(MATCH("Riesgo Normativo|"&amp;MID($C287,12,500),rDname_ADM,0),0),"")</f>
        <v/>
      </c>
      <c r="AM287" s="62">
        <f>IF(N($AL287)&gt;0,INDEX(rIni_ADM,$AL287),IF(ISNUMBER($E287),$E287,""))</f>
        <v/>
      </c>
      <c r="AN287" s="62">
        <f>IF(N($AL287)&gt;0,INDEX(rLim_ADM,$AL287),IF(ISNUMBER($F287),$F287,""))</f>
        <v/>
      </c>
    </row>
    <row r="288">
      <c r="A288" s="56">
        <f>IF(NOT((COUNTA($B288:$D288)+COUNTA($G288:$L288)+COUNTA($Q288))&gt;0),"",IF($V288="Macro",COUNTIFS($V$5:$V288,"Macro",$S$5:$S288,$S288),IF(N($U288)=0,"?",COUNTIFS(INDEX($V$5:$V$1000,1):INDEX($V$5:$V$1000,$U288-4),"Macro",INDEX($S$5:$S$1000,1):INDEX($S$5:$S$1000,$U288-4),INDEX($S$5:$S$1000,$U288-4))&amp;"."&amp;COUNTIFS($U$5:$U288,$U288,$V$5:$V288,"Sub"))))</f>
        <v/>
      </c>
      <c r="B288" s="57" t="n"/>
      <c r="C288" s="58" t="n"/>
      <c r="D288" s="58" t="n"/>
      <c r="E288" s="59">
        <f>IF(N($AL288)&gt;0,INDEX(rIni_ADM,$AL288),"")</f>
        <v/>
      </c>
      <c r="F288" s="59">
        <f>IF(N($AL288)&gt;0,INDEX(rLim_ADM,$AL288),"")</f>
        <v/>
      </c>
      <c r="G288" s="59" t="n"/>
      <c r="H288" s="60" t="n"/>
      <c r="I288" s="60" t="n"/>
      <c r="J288" s="60" t="n"/>
      <c r="K288" s="60" t="n"/>
      <c r="L288" s="60" t="n"/>
      <c r="M288" s="61">
        <f>IF(NOT((COUNTA($B288:$D288)+COUNTA($G288:$L288)+COUNTA($Q288))&gt;0),"",IF(ISNUMBER($G288),1,IF(N($W288)&gt;0,AVERAGEIFS($X$5:$X$1000,$U$5:$U$1000,ROW(),$V$5:$V$1000,"Sub"),$X288)))</f>
        <v/>
      </c>
      <c r="N288" s="56">
        <f>IF($M288="","",IF($M288&gt;=1,"Completado",IF($M288&gt;0,"En curso","Pendiente")))</f>
        <v/>
      </c>
      <c r="O288" s="56">
        <f>IF(NOT((COUNTA($B288:$D288)+COUNTA($G288:$L288)+COUNTA($Q288))&gt;0),"",IF(ISNUMBER($G288),IF(AND(ISNUMBER($AN288),$G288&gt;$AN288),"Cumplida con "&amp;($G288-$AN288)&amp;IF($G288-$AN288=1," día"," días")&amp;" de retraso","Cumplida"),IF(N($M288)&gt;=1,"Cumplida",IF(NOT(ISNUMBER($AN288)),"Sin fecha límite",IF($AN288&lt;FechaRef,"Vencida hace "&amp;(FechaRef-$AN288)&amp;IF(FechaRef-$AN288=1," día"," días"),IF($AN288=FechaRef,"Vence hoy",IF($AN288-FechaRef&lt;=DiasAlerta,"Vence en "&amp;($AN288-FechaRef)&amp;IF($AN288-FechaRef=1," día"," días"),"En plazo")))))))</f>
        <v/>
      </c>
      <c r="P288" s="62" t="n"/>
      <c r="Q288" s="58" t="n"/>
      <c r="R288" s="63">
        <f>IF(NOT((COUNTA($B288:$D288)+COUNTA($G288:$L288)+COUNTA($Q288))&gt;0),"",IF((IF($C288="","Falta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",""))="","✔ OK","⚠ "&amp;LEFT(IF($C288="","Falta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",""),LEN(IF($C288="","Falta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",""))-3)))</f>
        <v/>
      </c>
      <c r="S288" s="64">
        <f>IF(NOT((COUNTA($B288:$D288)+COUNTA($G288:$L288)+COUNTA($Q288))&gt;0),"",IF(AND($V288="Sub",N($U288)&gt;0),IF(ISNUMBER(INDEX($AM$5:$AM$1000,$U288-4)),DATE(YEAR(INDEX($AM$5:$AM$1000,$U288-4)),MONTH(INDEX($AM$5:$AM$1000,$U288-4)),1),IF(ISNUMBER(INDEX($AN$5:$AN$1000,$U288-4)),DATE(YEAR(INDEX($AN$5:$AN$1000,$U288-4)),MONTH(INDEX($AN$5:$AN$1000,$U288-4)),1),MesCiclo)),IF(ISNUMBER($AM288),DATE(YEAR($AM288),MONTH($AM288),1),IF(ISNUMBER($AN288),DATE(YEAR($AN288),MONTH($AN288),1),MesCiclo))))</f>
        <v/>
      </c>
      <c r="T288" s="62">
        <f>IF(OR($S288="",$S288&lt;&gt;MesCiclo),"",COUNTIF($S$5:$S288,MesCiclo))</f>
        <v/>
      </c>
      <c r="U288" s="62">
        <f>IF($V288="","",IF($V288="Macro",ROW(),IFERROR(LOOKUP(2,1/($V$5:$V288="Macro"),ROW($V$5:$V288)),0)))</f>
        <v/>
      </c>
      <c r="V288" s="62">
        <f>IF(NOT((COUNTA($B288:$D288)+COUNTA($G288:$L288)+COUNTA($Q288))&gt;0),"",IF($B288="Subactividad","Sub","Macro"))</f>
        <v/>
      </c>
      <c r="W288" s="62">
        <f>IF($V288="Macro",COUNTIFS($U$5:$U$1000,ROW(),$V$5:$V$1000,"Sub"),"")</f>
        <v/>
      </c>
      <c r="X288" s="62">
        <f>IF($V288="","",IF(ISNUMBER($G288),1,IFERROR(LOOKUP(2,1/($I288:$L288&lt;&gt;""),$I288:$L288),0)))</f>
        <v/>
      </c>
      <c r="Y288" s="62">
        <f>IF($V288="","",IF(AND(ISNUMBER($G288),$G288&lt;=IF($S288=MesCiclo,InicioCiclo,$S288+MOD(2-WEEKDAY($S288),7))+6),1,IF(ISNUMBER($I288),$I288,0)))</f>
        <v/>
      </c>
      <c r="Z288" s="62">
        <f>IF($V288="","",IF(AND(ISNUMBER($G288),$G288&lt;=IF($S288=MesCiclo,InicioCiclo,$S288+MOD(2-WEEKDAY($S288),7))+13),1,IF(ISNUMBER($J288),$J288,$Y288)))</f>
        <v/>
      </c>
      <c r="AA288" s="62">
        <f>IF($V288="","",IF(AND(ISNUMBER($G288),$G288&lt;=IF($S288=MesCiclo,InicioCiclo,$S288+MOD(2-WEEKDAY($S288),7))+20),1,IF(ISNUMBER($K288),$K288,$Z288)))</f>
        <v/>
      </c>
      <c r="AB288" s="62">
        <f>IF($V288="","",IF(AND(ISNUMBER($G288),$G288&lt;=IF($S288=MesCiclo,InicioCiclo,$S288+MOD(2-WEEKDAY($S288),7))+27),1,IF(ISNUMBER($L288),$L288,$AA288)))</f>
        <v/>
      </c>
      <c r="AC288" s="62">
        <f>IF($V288="","",IF(AND(ISNUMBER($G288),$G288&lt;=IF($S288=MesCiclo,InicioCiclo,$S288+MOD(2-WEEKDAY($S288),7))+6),1,IF(N($W288)&gt;0,AVERAGEIFS($Y$5:$Y$1000,$U$5:$U$1000,ROW(),$V$5:$V$1000,"Sub"),$Y288)))</f>
        <v/>
      </c>
      <c r="AD288" s="62">
        <f>IF($V288="","",IF(AND(ISNUMBER($G288),$G288&lt;=IF($S288=MesCiclo,InicioCiclo,$S288+MOD(2-WEEKDAY($S288),7))+13),1,IF(N($W288)&gt;0,AVERAGEIFS($Z$5:$Z$1000,$U$5:$U$1000,ROW(),$V$5:$V$1000,"Sub"),$Z288)))</f>
        <v/>
      </c>
      <c r="AE288" s="62">
        <f>IF($V288="","",IF(AND(ISNUMBER($G288),$G288&lt;=IF($S288=MesCiclo,InicioCiclo,$S288+MOD(2-WEEKDAY($S288),7))+20),1,IF(N($W288)&gt;0,AVERAGEIFS($AA$5:$AA$1000,$U$5:$U$1000,ROW(),$V$5:$V$1000,"Sub"),$AA288)))</f>
        <v/>
      </c>
      <c r="AF288" s="62">
        <f>IF($V288="","",IF(AND(ISNUMBER($G288),$G288&lt;=IF($S288=MesCiclo,InicioCiclo,$S288+MOD(2-WEEKDAY($S288),7))+27),1,IF(N($W288)&gt;0,AVERAGEIFS($AB$5:$AB$1000,$U$5:$U$1000,ROW(),$V$5:$V$1000,"Sub"),$AB288)))</f>
        <v/>
      </c>
      <c r="AG288" s="62">
        <f>IF($V288&lt;&gt;"Macro","",IF(COUNTIFS($S$5:$S$1000,$S288,$V$5:$V$1000,"Macro",$H$5:$H$1000,"&gt;0")=0,1/COUNTIFS($S$5:$S$1000,$S288,$V$5:$V$1000,"Macro"),IF(AND(ISNUMBER($H288),N($H288)&gt;0),$H288,SUMIFS($H$5:$H$1000,$S$5:$S$1000,$S288,$V$5:$V$1000,"Macro")/COUNTIFS($S$5:$S$1000,$S288,$V$5:$V$1000,"Macro",$H$5:$H$1000,"&gt;0"))/(COUNTIFS($S$5:$S$1000,$S288,$V$5:$V$1000,"Macro")*SUMIFS($H$5:$H$1000,$S$5:$S$1000,$S288,$V$5:$V$1000,"Macro")/COUNTIFS($S$5:$S$1000,$S288,$V$5:$V$1000,"Macro",$H$5:$H$1000,"&gt;0"))))</f>
        <v/>
      </c>
      <c r="AH288" s="62" t="n"/>
      <c r="AI288" s="62" t="n"/>
      <c r="AJ288" s="62" t="n"/>
      <c r="AK288" s="62" t="n"/>
      <c r="AL288" s="62">
        <f>IF(LEFT($C288,11)="[Jefatura] ",IFERROR(MATCH("Riesgo Normativo|"&amp;MID($C288,12,500),rDname_ADM,0),0),"")</f>
        <v/>
      </c>
      <c r="AM288" s="62">
        <f>IF(N($AL288)&gt;0,INDEX(rIni_ADM,$AL288),IF(ISNUMBER($E288),$E288,""))</f>
        <v/>
      </c>
      <c r="AN288" s="62">
        <f>IF(N($AL288)&gt;0,INDEX(rLim_ADM,$AL288),IF(ISNUMBER($F288),$F288,""))</f>
        <v/>
      </c>
    </row>
    <row r="289">
      <c r="A289" s="56">
        <f>IF(NOT((COUNTA($B289:$D289)+COUNTA($G289:$L289)+COUNTA($Q289))&gt;0),"",IF($V289="Macro",COUNTIFS($V$5:$V289,"Macro",$S$5:$S289,$S289),IF(N($U289)=0,"?",COUNTIFS(INDEX($V$5:$V$1000,1):INDEX($V$5:$V$1000,$U289-4),"Macro",INDEX($S$5:$S$1000,1):INDEX($S$5:$S$1000,$U289-4),INDEX($S$5:$S$1000,$U289-4))&amp;"."&amp;COUNTIFS($U$5:$U289,$U289,$V$5:$V289,"Sub"))))</f>
        <v/>
      </c>
      <c r="B289" s="57" t="n"/>
      <c r="C289" s="58" t="n"/>
      <c r="D289" s="58" t="n"/>
      <c r="E289" s="59">
        <f>IF(N($AL289)&gt;0,INDEX(rIni_ADM,$AL289),"")</f>
        <v/>
      </c>
      <c r="F289" s="59">
        <f>IF(N($AL289)&gt;0,INDEX(rLim_ADM,$AL289),"")</f>
        <v/>
      </c>
      <c r="G289" s="59" t="n"/>
      <c r="H289" s="60" t="n"/>
      <c r="I289" s="60" t="n"/>
      <c r="J289" s="60" t="n"/>
      <c r="K289" s="60" t="n"/>
      <c r="L289" s="60" t="n"/>
      <c r="M289" s="61">
        <f>IF(NOT((COUNTA($B289:$D289)+COUNTA($G289:$L289)+COUNTA($Q289))&gt;0),"",IF(ISNUMBER($G289),1,IF(N($W289)&gt;0,AVERAGEIFS($X$5:$X$1000,$U$5:$U$1000,ROW(),$V$5:$V$1000,"Sub"),$X289)))</f>
        <v/>
      </c>
      <c r="N289" s="56">
        <f>IF($M289="","",IF($M289&gt;=1,"Completado",IF($M289&gt;0,"En curso","Pendiente")))</f>
        <v/>
      </c>
      <c r="O289" s="56">
        <f>IF(NOT((COUNTA($B289:$D289)+COUNTA($G289:$L289)+COUNTA($Q289))&gt;0),"",IF(ISNUMBER($G289),IF(AND(ISNUMBER($AN289),$G289&gt;$AN289),"Cumplida con "&amp;($G289-$AN289)&amp;IF($G289-$AN289=1," día"," días")&amp;" de retraso","Cumplida"),IF(N($M289)&gt;=1,"Cumplida",IF(NOT(ISNUMBER($AN289)),"Sin fecha límite",IF($AN289&lt;FechaRef,"Vencida hace "&amp;(FechaRef-$AN289)&amp;IF(FechaRef-$AN289=1," día"," días"),IF($AN289=FechaRef,"Vence hoy",IF($AN289-FechaRef&lt;=DiasAlerta,"Vence en "&amp;($AN289-FechaRef)&amp;IF($AN289-FechaRef=1," día"," días"),"En plazo")))))))</f>
        <v/>
      </c>
      <c r="P289" s="62" t="n"/>
      <c r="Q289" s="58" t="n"/>
      <c r="R289" s="63">
        <f>IF(NOT((COUNTA($B289:$D289)+COUNTA($G289:$L289)+COUNTA($Q289))&gt;0),"",IF((IF($C289="","Falta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",""))="","✔ OK","⚠ "&amp;LEFT(IF($C289="","Falta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",""),LEN(IF($C289="","Falta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",""))-3)))</f>
        <v/>
      </c>
      <c r="S289" s="64">
        <f>IF(NOT((COUNTA($B289:$D289)+COUNTA($G289:$L289)+COUNTA($Q289))&gt;0),"",IF(AND($V289="Sub",N($U289)&gt;0),IF(ISNUMBER(INDEX($AM$5:$AM$1000,$U289-4)),DATE(YEAR(INDEX($AM$5:$AM$1000,$U289-4)),MONTH(INDEX($AM$5:$AM$1000,$U289-4)),1),IF(ISNUMBER(INDEX($AN$5:$AN$1000,$U289-4)),DATE(YEAR(INDEX($AN$5:$AN$1000,$U289-4)),MONTH(INDEX($AN$5:$AN$1000,$U289-4)),1),MesCiclo)),IF(ISNUMBER($AM289),DATE(YEAR($AM289),MONTH($AM289),1),IF(ISNUMBER($AN289),DATE(YEAR($AN289),MONTH($AN289),1),MesCiclo))))</f>
        <v/>
      </c>
      <c r="T289" s="62">
        <f>IF(OR($S289="",$S289&lt;&gt;MesCiclo),"",COUNTIF($S$5:$S289,MesCiclo))</f>
        <v/>
      </c>
      <c r="U289" s="62">
        <f>IF($V289="","",IF($V289="Macro",ROW(),IFERROR(LOOKUP(2,1/($V$5:$V289="Macro"),ROW($V$5:$V289)),0)))</f>
        <v/>
      </c>
      <c r="V289" s="62">
        <f>IF(NOT((COUNTA($B289:$D289)+COUNTA($G289:$L289)+COUNTA($Q289))&gt;0),"",IF($B289="Subactividad","Sub","Macro"))</f>
        <v/>
      </c>
      <c r="W289" s="62">
        <f>IF($V289="Macro",COUNTIFS($U$5:$U$1000,ROW(),$V$5:$V$1000,"Sub"),"")</f>
        <v/>
      </c>
      <c r="X289" s="62">
        <f>IF($V289="","",IF(ISNUMBER($G289),1,IFERROR(LOOKUP(2,1/($I289:$L289&lt;&gt;""),$I289:$L289),0)))</f>
        <v/>
      </c>
      <c r="Y289" s="62">
        <f>IF($V289="","",IF(AND(ISNUMBER($G289),$G289&lt;=IF($S289=MesCiclo,InicioCiclo,$S289+MOD(2-WEEKDAY($S289),7))+6),1,IF(ISNUMBER($I289),$I289,0)))</f>
        <v/>
      </c>
      <c r="Z289" s="62">
        <f>IF($V289="","",IF(AND(ISNUMBER($G289),$G289&lt;=IF($S289=MesCiclo,InicioCiclo,$S289+MOD(2-WEEKDAY($S289),7))+13),1,IF(ISNUMBER($J289),$J289,$Y289)))</f>
        <v/>
      </c>
      <c r="AA289" s="62">
        <f>IF($V289="","",IF(AND(ISNUMBER($G289),$G289&lt;=IF($S289=MesCiclo,InicioCiclo,$S289+MOD(2-WEEKDAY($S289),7))+20),1,IF(ISNUMBER($K289),$K289,$Z289)))</f>
        <v/>
      </c>
      <c r="AB289" s="62">
        <f>IF($V289="","",IF(AND(ISNUMBER($G289),$G289&lt;=IF($S289=MesCiclo,InicioCiclo,$S289+MOD(2-WEEKDAY($S289),7))+27),1,IF(ISNUMBER($L289),$L289,$AA289)))</f>
        <v/>
      </c>
      <c r="AC289" s="62">
        <f>IF($V289="","",IF(AND(ISNUMBER($G289),$G289&lt;=IF($S289=MesCiclo,InicioCiclo,$S289+MOD(2-WEEKDAY($S289),7))+6),1,IF(N($W289)&gt;0,AVERAGEIFS($Y$5:$Y$1000,$U$5:$U$1000,ROW(),$V$5:$V$1000,"Sub"),$Y289)))</f>
        <v/>
      </c>
      <c r="AD289" s="62">
        <f>IF($V289="","",IF(AND(ISNUMBER($G289),$G289&lt;=IF($S289=MesCiclo,InicioCiclo,$S289+MOD(2-WEEKDAY($S289),7))+13),1,IF(N($W289)&gt;0,AVERAGEIFS($Z$5:$Z$1000,$U$5:$U$1000,ROW(),$V$5:$V$1000,"Sub"),$Z289)))</f>
        <v/>
      </c>
      <c r="AE289" s="62">
        <f>IF($V289="","",IF(AND(ISNUMBER($G289),$G289&lt;=IF($S289=MesCiclo,InicioCiclo,$S289+MOD(2-WEEKDAY($S289),7))+20),1,IF(N($W289)&gt;0,AVERAGEIFS($AA$5:$AA$1000,$U$5:$U$1000,ROW(),$V$5:$V$1000,"Sub"),$AA289)))</f>
        <v/>
      </c>
      <c r="AF289" s="62">
        <f>IF($V289="","",IF(AND(ISNUMBER($G289),$G289&lt;=IF($S289=MesCiclo,InicioCiclo,$S289+MOD(2-WEEKDAY($S289),7))+27),1,IF(N($W289)&gt;0,AVERAGEIFS($AB$5:$AB$1000,$U$5:$U$1000,ROW(),$V$5:$V$1000,"Sub"),$AB289)))</f>
        <v/>
      </c>
      <c r="AG289" s="62">
        <f>IF($V289&lt;&gt;"Macro","",IF(COUNTIFS($S$5:$S$1000,$S289,$V$5:$V$1000,"Macro",$H$5:$H$1000,"&gt;0")=0,1/COUNTIFS($S$5:$S$1000,$S289,$V$5:$V$1000,"Macro"),IF(AND(ISNUMBER($H289),N($H289)&gt;0),$H289,SUMIFS($H$5:$H$1000,$S$5:$S$1000,$S289,$V$5:$V$1000,"Macro")/COUNTIFS($S$5:$S$1000,$S289,$V$5:$V$1000,"Macro",$H$5:$H$1000,"&gt;0"))/(COUNTIFS($S$5:$S$1000,$S289,$V$5:$V$1000,"Macro")*SUMIFS($H$5:$H$1000,$S$5:$S$1000,$S289,$V$5:$V$1000,"Macro")/COUNTIFS($S$5:$S$1000,$S289,$V$5:$V$1000,"Macro",$H$5:$H$1000,"&gt;0"))))</f>
        <v/>
      </c>
      <c r="AH289" s="62" t="n"/>
      <c r="AI289" s="62" t="n"/>
      <c r="AJ289" s="62" t="n"/>
      <c r="AK289" s="62" t="n"/>
      <c r="AL289" s="62">
        <f>IF(LEFT($C289,11)="[Jefatura] ",IFERROR(MATCH("Riesgo Normativo|"&amp;MID($C289,12,500),rDname_ADM,0),0),"")</f>
        <v/>
      </c>
      <c r="AM289" s="62">
        <f>IF(N($AL289)&gt;0,INDEX(rIni_ADM,$AL289),IF(ISNUMBER($E289),$E289,""))</f>
        <v/>
      </c>
      <c r="AN289" s="62">
        <f>IF(N($AL289)&gt;0,INDEX(rLim_ADM,$AL289),IF(ISNUMBER($F289),$F289,""))</f>
        <v/>
      </c>
    </row>
    <row r="290">
      <c r="A290" s="56">
        <f>IF(NOT((COUNTA($B290:$D290)+COUNTA($G290:$L290)+COUNTA($Q290))&gt;0),"",IF($V290="Macro",COUNTIFS($V$5:$V290,"Macro",$S$5:$S290,$S290),IF(N($U290)=0,"?",COUNTIFS(INDEX($V$5:$V$1000,1):INDEX($V$5:$V$1000,$U290-4),"Macro",INDEX($S$5:$S$1000,1):INDEX($S$5:$S$1000,$U290-4),INDEX($S$5:$S$1000,$U290-4))&amp;"."&amp;COUNTIFS($U$5:$U290,$U290,$V$5:$V290,"Sub"))))</f>
        <v/>
      </c>
      <c r="B290" s="57" t="n"/>
      <c r="C290" s="58" t="n"/>
      <c r="D290" s="58" t="n"/>
      <c r="E290" s="59">
        <f>IF(N($AL290)&gt;0,INDEX(rIni_ADM,$AL290),"")</f>
        <v/>
      </c>
      <c r="F290" s="59">
        <f>IF(N($AL290)&gt;0,INDEX(rLim_ADM,$AL290),"")</f>
        <v/>
      </c>
      <c r="G290" s="59" t="n"/>
      <c r="H290" s="60" t="n"/>
      <c r="I290" s="60" t="n"/>
      <c r="J290" s="60" t="n"/>
      <c r="K290" s="60" t="n"/>
      <c r="L290" s="60" t="n"/>
      <c r="M290" s="61">
        <f>IF(NOT((COUNTA($B290:$D290)+COUNTA($G290:$L290)+COUNTA($Q290))&gt;0),"",IF(ISNUMBER($G290),1,IF(N($W290)&gt;0,AVERAGEIFS($X$5:$X$1000,$U$5:$U$1000,ROW(),$V$5:$V$1000,"Sub"),$X290)))</f>
        <v/>
      </c>
      <c r="N290" s="56">
        <f>IF($M290="","",IF($M290&gt;=1,"Completado",IF($M290&gt;0,"En curso","Pendiente")))</f>
        <v/>
      </c>
      <c r="O290" s="56">
        <f>IF(NOT((COUNTA($B290:$D290)+COUNTA($G290:$L290)+COUNTA($Q290))&gt;0),"",IF(ISNUMBER($G290),IF(AND(ISNUMBER($AN290),$G290&gt;$AN290),"Cumplida con "&amp;($G290-$AN290)&amp;IF($G290-$AN290=1," día"," días")&amp;" de retraso","Cumplida"),IF(N($M290)&gt;=1,"Cumplida",IF(NOT(ISNUMBER($AN290)),"Sin fecha límite",IF($AN290&lt;FechaRef,"Vencida hace "&amp;(FechaRef-$AN290)&amp;IF(FechaRef-$AN290=1," día"," días"),IF($AN290=FechaRef,"Vence hoy",IF($AN290-FechaRef&lt;=DiasAlerta,"Vence en "&amp;($AN290-FechaRef)&amp;IF($AN290-FechaRef=1," día"," días"),"En plazo")))))))</f>
        <v/>
      </c>
      <c r="P290" s="62" t="n"/>
      <c r="Q290" s="58" t="n"/>
      <c r="R290" s="63">
        <f>IF(NOT((COUNTA($B290:$D290)+COUNTA($G290:$L290)+COUNTA($Q290))&gt;0),"",IF((IF($C290="","Falta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",""))="","✔ OK","⚠ "&amp;LEFT(IF($C290="","Falta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",""),LEN(IF($C290="","Falta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",""))-3)))</f>
        <v/>
      </c>
      <c r="S290" s="64">
        <f>IF(NOT((COUNTA($B290:$D290)+COUNTA($G290:$L290)+COUNTA($Q290))&gt;0),"",IF(AND($V290="Sub",N($U290)&gt;0),IF(ISNUMBER(INDEX($AM$5:$AM$1000,$U290-4)),DATE(YEAR(INDEX($AM$5:$AM$1000,$U290-4)),MONTH(INDEX($AM$5:$AM$1000,$U290-4)),1),IF(ISNUMBER(INDEX($AN$5:$AN$1000,$U290-4)),DATE(YEAR(INDEX($AN$5:$AN$1000,$U290-4)),MONTH(INDEX($AN$5:$AN$1000,$U290-4)),1),MesCiclo)),IF(ISNUMBER($AM290),DATE(YEAR($AM290),MONTH($AM290),1),IF(ISNUMBER($AN290),DATE(YEAR($AN290),MONTH($AN290),1),MesCiclo))))</f>
        <v/>
      </c>
      <c r="T290" s="62">
        <f>IF(OR($S290="",$S290&lt;&gt;MesCiclo),"",COUNTIF($S$5:$S290,MesCiclo))</f>
        <v/>
      </c>
      <c r="U290" s="62">
        <f>IF($V290="","",IF($V290="Macro",ROW(),IFERROR(LOOKUP(2,1/($V$5:$V290="Macro"),ROW($V$5:$V290)),0)))</f>
        <v/>
      </c>
      <c r="V290" s="62">
        <f>IF(NOT((COUNTA($B290:$D290)+COUNTA($G290:$L290)+COUNTA($Q290))&gt;0),"",IF($B290="Subactividad","Sub","Macro"))</f>
        <v/>
      </c>
      <c r="W290" s="62">
        <f>IF($V290="Macro",COUNTIFS($U$5:$U$1000,ROW(),$V$5:$V$1000,"Sub"),"")</f>
        <v/>
      </c>
      <c r="X290" s="62">
        <f>IF($V290="","",IF(ISNUMBER($G290),1,IFERROR(LOOKUP(2,1/($I290:$L290&lt;&gt;""),$I290:$L290),0)))</f>
        <v/>
      </c>
      <c r="Y290" s="62">
        <f>IF($V290="","",IF(AND(ISNUMBER($G290),$G290&lt;=IF($S290=MesCiclo,InicioCiclo,$S290+MOD(2-WEEKDAY($S290),7))+6),1,IF(ISNUMBER($I290),$I290,0)))</f>
        <v/>
      </c>
      <c r="Z290" s="62">
        <f>IF($V290="","",IF(AND(ISNUMBER($G290),$G290&lt;=IF($S290=MesCiclo,InicioCiclo,$S290+MOD(2-WEEKDAY($S290),7))+13),1,IF(ISNUMBER($J290),$J290,$Y290)))</f>
        <v/>
      </c>
      <c r="AA290" s="62">
        <f>IF($V290="","",IF(AND(ISNUMBER($G290),$G290&lt;=IF($S290=MesCiclo,InicioCiclo,$S290+MOD(2-WEEKDAY($S290),7))+20),1,IF(ISNUMBER($K290),$K290,$Z290)))</f>
        <v/>
      </c>
      <c r="AB290" s="62">
        <f>IF($V290="","",IF(AND(ISNUMBER($G290),$G290&lt;=IF($S290=MesCiclo,InicioCiclo,$S290+MOD(2-WEEKDAY($S290),7))+27),1,IF(ISNUMBER($L290),$L290,$AA290)))</f>
        <v/>
      </c>
      <c r="AC290" s="62">
        <f>IF($V290="","",IF(AND(ISNUMBER($G290),$G290&lt;=IF($S290=MesCiclo,InicioCiclo,$S290+MOD(2-WEEKDAY($S290),7))+6),1,IF(N($W290)&gt;0,AVERAGEIFS($Y$5:$Y$1000,$U$5:$U$1000,ROW(),$V$5:$V$1000,"Sub"),$Y290)))</f>
        <v/>
      </c>
      <c r="AD290" s="62">
        <f>IF($V290="","",IF(AND(ISNUMBER($G290),$G290&lt;=IF($S290=MesCiclo,InicioCiclo,$S290+MOD(2-WEEKDAY($S290),7))+13),1,IF(N($W290)&gt;0,AVERAGEIFS($Z$5:$Z$1000,$U$5:$U$1000,ROW(),$V$5:$V$1000,"Sub"),$Z290)))</f>
        <v/>
      </c>
      <c r="AE290" s="62">
        <f>IF($V290="","",IF(AND(ISNUMBER($G290),$G290&lt;=IF($S290=MesCiclo,InicioCiclo,$S290+MOD(2-WEEKDAY($S290),7))+20),1,IF(N($W290)&gt;0,AVERAGEIFS($AA$5:$AA$1000,$U$5:$U$1000,ROW(),$V$5:$V$1000,"Sub"),$AA290)))</f>
        <v/>
      </c>
      <c r="AF290" s="62">
        <f>IF($V290="","",IF(AND(ISNUMBER($G290),$G290&lt;=IF($S290=MesCiclo,InicioCiclo,$S290+MOD(2-WEEKDAY($S290),7))+27),1,IF(N($W290)&gt;0,AVERAGEIFS($AB$5:$AB$1000,$U$5:$U$1000,ROW(),$V$5:$V$1000,"Sub"),$AB290)))</f>
        <v/>
      </c>
      <c r="AG290" s="62">
        <f>IF($V290&lt;&gt;"Macro","",IF(COUNTIFS($S$5:$S$1000,$S290,$V$5:$V$1000,"Macro",$H$5:$H$1000,"&gt;0")=0,1/COUNTIFS($S$5:$S$1000,$S290,$V$5:$V$1000,"Macro"),IF(AND(ISNUMBER($H290),N($H290)&gt;0),$H290,SUMIFS($H$5:$H$1000,$S$5:$S$1000,$S290,$V$5:$V$1000,"Macro")/COUNTIFS($S$5:$S$1000,$S290,$V$5:$V$1000,"Macro",$H$5:$H$1000,"&gt;0"))/(COUNTIFS($S$5:$S$1000,$S290,$V$5:$V$1000,"Macro")*SUMIFS($H$5:$H$1000,$S$5:$S$1000,$S290,$V$5:$V$1000,"Macro")/COUNTIFS($S$5:$S$1000,$S290,$V$5:$V$1000,"Macro",$H$5:$H$1000,"&gt;0"))))</f>
        <v/>
      </c>
      <c r="AH290" s="62" t="n"/>
      <c r="AI290" s="62" t="n"/>
      <c r="AJ290" s="62" t="n"/>
      <c r="AK290" s="62" t="n"/>
      <c r="AL290" s="62">
        <f>IF(LEFT($C290,11)="[Jefatura] ",IFERROR(MATCH("Riesgo Normativo|"&amp;MID($C290,12,500),rDname_ADM,0),0),"")</f>
        <v/>
      </c>
      <c r="AM290" s="62">
        <f>IF(N($AL290)&gt;0,INDEX(rIni_ADM,$AL290),IF(ISNUMBER($E290),$E290,""))</f>
        <v/>
      </c>
      <c r="AN290" s="62">
        <f>IF(N($AL290)&gt;0,INDEX(rLim_ADM,$AL290),IF(ISNUMBER($F290),$F290,""))</f>
        <v/>
      </c>
    </row>
    <row r="291">
      <c r="A291" s="56">
        <f>IF(NOT((COUNTA($B291:$D291)+COUNTA($G291:$L291)+COUNTA($Q291))&gt;0),"",IF($V291="Macro",COUNTIFS($V$5:$V291,"Macro",$S$5:$S291,$S291),IF(N($U291)=0,"?",COUNTIFS(INDEX($V$5:$V$1000,1):INDEX($V$5:$V$1000,$U291-4),"Macro",INDEX($S$5:$S$1000,1):INDEX($S$5:$S$1000,$U291-4),INDEX($S$5:$S$1000,$U291-4))&amp;"."&amp;COUNTIFS($U$5:$U291,$U291,$V$5:$V291,"Sub"))))</f>
        <v/>
      </c>
      <c r="B291" s="57" t="n"/>
      <c r="C291" s="58" t="n"/>
      <c r="D291" s="58" t="n"/>
      <c r="E291" s="59">
        <f>IF(N($AL291)&gt;0,INDEX(rIni_ADM,$AL291),"")</f>
        <v/>
      </c>
      <c r="F291" s="59">
        <f>IF(N($AL291)&gt;0,INDEX(rLim_ADM,$AL291),"")</f>
        <v/>
      </c>
      <c r="G291" s="59" t="n"/>
      <c r="H291" s="60" t="n"/>
      <c r="I291" s="60" t="n"/>
      <c r="J291" s="60" t="n"/>
      <c r="K291" s="60" t="n"/>
      <c r="L291" s="60" t="n"/>
      <c r="M291" s="61">
        <f>IF(NOT((COUNTA($B291:$D291)+COUNTA($G291:$L291)+COUNTA($Q291))&gt;0),"",IF(ISNUMBER($G291),1,IF(N($W291)&gt;0,AVERAGEIFS($X$5:$X$1000,$U$5:$U$1000,ROW(),$V$5:$V$1000,"Sub"),$X291)))</f>
        <v/>
      </c>
      <c r="N291" s="56">
        <f>IF($M291="","",IF($M291&gt;=1,"Completado",IF($M291&gt;0,"En curso","Pendiente")))</f>
        <v/>
      </c>
      <c r="O291" s="56">
        <f>IF(NOT((COUNTA($B291:$D291)+COUNTA($G291:$L291)+COUNTA($Q291))&gt;0),"",IF(ISNUMBER($G291),IF(AND(ISNUMBER($AN291),$G291&gt;$AN291),"Cumplida con "&amp;($G291-$AN291)&amp;IF($G291-$AN291=1," día"," días")&amp;" de retraso","Cumplida"),IF(N($M291)&gt;=1,"Cumplida",IF(NOT(ISNUMBER($AN291)),"Sin fecha límite",IF($AN291&lt;FechaRef,"Vencida hace "&amp;(FechaRef-$AN291)&amp;IF(FechaRef-$AN291=1," día"," días"),IF($AN291=FechaRef,"Vence hoy",IF($AN291-FechaRef&lt;=DiasAlerta,"Vence en "&amp;($AN291-FechaRef)&amp;IF($AN291-FechaRef=1," día"," días"),"En plazo")))))))</f>
        <v/>
      </c>
      <c r="P291" s="62" t="n"/>
      <c r="Q291" s="58" t="n"/>
      <c r="R291" s="63">
        <f>IF(NOT((COUNTA($B291:$D291)+COUNTA($G291:$L291)+COUNTA($Q291))&gt;0),"",IF((IF($C291="","Falta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",""))="","✔ OK","⚠ "&amp;LEFT(IF($C291="","Falta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",""),LEN(IF($C291="","Falta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",""))-3)))</f>
        <v/>
      </c>
      <c r="S291" s="64">
        <f>IF(NOT((COUNTA($B291:$D291)+COUNTA($G291:$L291)+COUNTA($Q291))&gt;0),"",IF(AND($V291="Sub",N($U291)&gt;0),IF(ISNUMBER(INDEX($AM$5:$AM$1000,$U291-4)),DATE(YEAR(INDEX($AM$5:$AM$1000,$U291-4)),MONTH(INDEX($AM$5:$AM$1000,$U291-4)),1),IF(ISNUMBER(INDEX($AN$5:$AN$1000,$U291-4)),DATE(YEAR(INDEX($AN$5:$AN$1000,$U291-4)),MONTH(INDEX($AN$5:$AN$1000,$U291-4)),1),MesCiclo)),IF(ISNUMBER($AM291),DATE(YEAR($AM291),MONTH($AM291),1),IF(ISNUMBER($AN291),DATE(YEAR($AN291),MONTH($AN291),1),MesCiclo))))</f>
        <v/>
      </c>
      <c r="T291" s="62">
        <f>IF(OR($S291="",$S291&lt;&gt;MesCiclo),"",COUNTIF($S$5:$S291,MesCiclo))</f>
        <v/>
      </c>
      <c r="U291" s="62">
        <f>IF($V291="","",IF($V291="Macro",ROW(),IFERROR(LOOKUP(2,1/($V$5:$V291="Macro"),ROW($V$5:$V291)),0)))</f>
        <v/>
      </c>
      <c r="V291" s="62">
        <f>IF(NOT((COUNTA($B291:$D291)+COUNTA($G291:$L291)+COUNTA($Q291))&gt;0),"",IF($B291="Subactividad","Sub","Macro"))</f>
        <v/>
      </c>
      <c r="W291" s="62">
        <f>IF($V291="Macro",COUNTIFS($U$5:$U$1000,ROW(),$V$5:$V$1000,"Sub"),"")</f>
        <v/>
      </c>
      <c r="X291" s="62">
        <f>IF($V291="","",IF(ISNUMBER($G291),1,IFERROR(LOOKUP(2,1/($I291:$L291&lt;&gt;""),$I291:$L291),0)))</f>
        <v/>
      </c>
      <c r="Y291" s="62">
        <f>IF($V291="","",IF(AND(ISNUMBER($G291),$G291&lt;=IF($S291=MesCiclo,InicioCiclo,$S291+MOD(2-WEEKDAY($S291),7))+6),1,IF(ISNUMBER($I291),$I291,0)))</f>
        <v/>
      </c>
      <c r="Z291" s="62">
        <f>IF($V291="","",IF(AND(ISNUMBER($G291),$G291&lt;=IF($S291=MesCiclo,InicioCiclo,$S291+MOD(2-WEEKDAY($S291),7))+13),1,IF(ISNUMBER($J291),$J291,$Y291)))</f>
        <v/>
      </c>
      <c r="AA291" s="62">
        <f>IF($V291="","",IF(AND(ISNUMBER($G291),$G291&lt;=IF($S291=MesCiclo,InicioCiclo,$S291+MOD(2-WEEKDAY($S291),7))+20),1,IF(ISNUMBER($K291),$K291,$Z291)))</f>
        <v/>
      </c>
      <c r="AB291" s="62">
        <f>IF($V291="","",IF(AND(ISNUMBER($G291),$G291&lt;=IF($S291=MesCiclo,InicioCiclo,$S291+MOD(2-WEEKDAY($S291),7))+27),1,IF(ISNUMBER($L291),$L291,$AA291)))</f>
        <v/>
      </c>
      <c r="AC291" s="62">
        <f>IF($V291="","",IF(AND(ISNUMBER($G291),$G291&lt;=IF($S291=MesCiclo,InicioCiclo,$S291+MOD(2-WEEKDAY($S291),7))+6),1,IF(N($W291)&gt;0,AVERAGEIFS($Y$5:$Y$1000,$U$5:$U$1000,ROW(),$V$5:$V$1000,"Sub"),$Y291)))</f>
        <v/>
      </c>
      <c r="AD291" s="62">
        <f>IF($V291="","",IF(AND(ISNUMBER($G291),$G291&lt;=IF($S291=MesCiclo,InicioCiclo,$S291+MOD(2-WEEKDAY($S291),7))+13),1,IF(N($W291)&gt;0,AVERAGEIFS($Z$5:$Z$1000,$U$5:$U$1000,ROW(),$V$5:$V$1000,"Sub"),$Z291)))</f>
        <v/>
      </c>
      <c r="AE291" s="62">
        <f>IF($V291="","",IF(AND(ISNUMBER($G291),$G291&lt;=IF($S291=MesCiclo,InicioCiclo,$S291+MOD(2-WEEKDAY($S291),7))+20),1,IF(N($W291)&gt;0,AVERAGEIFS($AA$5:$AA$1000,$U$5:$U$1000,ROW(),$V$5:$V$1000,"Sub"),$AA291)))</f>
        <v/>
      </c>
      <c r="AF291" s="62">
        <f>IF($V291="","",IF(AND(ISNUMBER($G291),$G291&lt;=IF($S291=MesCiclo,InicioCiclo,$S291+MOD(2-WEEKDAY($S291),7))+27),1,IF(N($W291)&gt;0,AVERAGEIFS($AB$5:$AB$1000,$U$5:$U$1000,ROW(),$V$5:$V$1000,"Sub"),$AB291)))</f>
        <v/>
      </c>
      <c r="AG291" s="62">
        <f>IF($V291&lt;&gt;"Macro","",IF(COUNTIFS($S$5:$S$1000,$S291,$V$5:$V$1000,"Macro",$H$5:$H$1000,"&gt;0")=0,1/COUNTIFS($S$5:$S$1000,$S291,$V$5:$V$1000,"Macro"),IF(AND(ISNUMBER($H291),N($H291)&gt;0),$H291,SUMIFS($H$5:$H$1000,$S$5:$S$1000,$S291,$V$5:$V$1000,"Macro")/COUNTIFS($S$5:$S$1000,$S291,$V$5:$V$1000,"Macro",$H$5:$H$1000,"&gt;0"))/(COUNTIFS($S$5:$S$1000,$S291,$V$5:$V$1000,"Macro")*SUMIFS($H$5:$H$1000,$S$5:$S$1000,$S291,$V$5:$V$1000,"Macro")/COUNTIFS($S$5:$S$1000,$S291,$V$5:$V$1000,"Macro",$H$5:$H$1000,"&gt;0"))))</f>
        <v/>
      </c>
      <c r="AH291" s="62" t="n"/>
      <c r="AI291" s="62" t="n"/>
      <c r="AJ291" s="62" t="n"/>
      <c r="AK291" s="62" t="n"/>
      <c r="AL291" s="62">
        <f>IF(LEFT($C291,11)="[Jefatura] ",IFERROR(MATCH("Riesgo Normativo|"&amp;MID($C291,12,500),rDname_ADM,0),0),"")</f>
        <v/>
      </c>
      <c r="AM291" s="62">
        <f>IF(N($AL291)&gt;0,INDEX(rIni_ADM,$AL291),IF(ISNUMBER($E291),$E291,""))</f>
        <v/>
      </c>
      <c r="AN291" s="62">
        <f>IF(N($AL291)&gt;0,INDEX(rLim_ADM,$AL291),IF(ISNUMBER($F291),$F291,""))</f>
        <v/>
      </c>
    </row>
    <row r="292">
      <c r="A292" s="56">
        <f>IF(NOT((COUNTA($B292:$D292)+COUNTA($G292:$L292)+COUNTA($Q292))&gt;0),"",IF($V292="Macro",COUNTIFS($V$5:$V292,"Macro",$S$5:$S292,$S292),IF(N($U292)=0,"?",COUNTIFS(INDEX($V$5:$V$1000,1):INDEX($V$5:$V$1000,$U292-4),"Macro",INDEX($S$5:$S$1000,1):INDEX($S$5:$S$1000,$U292-4),INDEX($S$5:$S$1000,$U292-4))&amp;"."&amp;COUNTIFS($U$5:$U292,$U292,$V$5:$V292,"Sub"))))</f>
        <v/>
      </c>
      <c r="B292" s="57" t="n"/>
      <c r="C292" s="58" t="n"/>
      <c r="D292" s="58" t="n"/>
      <c r="E292" s="59">
        <f>IF(N($AL292)&gt;0,INDEX(rIni_ADM,$AL292),"")</f>
        <v/>
      </c>
      <c r="F292" s="59">
        <f>IF(N($AL292)&gt;0,INDEX(rLim_ADM,$AL292),"")</f>
        <v/>
      </c>
      <c r="G292" s="59" t="n"/>
      <c r="H292" s="60" t="n"/>
      <c r="I292" s="60" t="n"/>
      <c r="J292" s="60" t="n"/>
      <c r="K292" s="60" t="n"/>
      <c r="L292" s="60" t="n"/>
      <c r="M292" s="61">
        <f>IF(NOT((COUNTA($B292:$D292)+COUNTA($G292:$L292)+COUNTA($Q292))&gt;0),"",IF(ISNUMBER($G292),1,IF(N($W292)&gt;0,AVERAGEIFS($X$5:$X$1000,$U$5:$U$1000,ROW(),$V$5:$V$1000,"Sub"),$X292)))</f>
        <v/>
      </c>
      <c r="N292" s="56">
        <f>IF($M292="","",IF($M292&gt;=1,"Completado",IF($M292&gt;0,"En curso","Pendiente")))</f>
        <v/>
      </c>
      <c r="O292" s="56">
        <f>IF(NOT((COUNTA($B292:$D292)+COUNTA($G292:$L292)+COUNTA($Q292))&gt;0),"",IF(ISNUMBER($G292),IF(AND(ISNUMBER($AN292),$G292&gt;$AN292),"Cumplida con "&amp;($G292-$AN292)&amp;IF($G292-$AN292=1," día"," días")&amp;" de retraso","Cumplida"),IF(N($M292)&gt;=1,"Cumplida",IF(NOT(ISNUMBER($AN292)),"Sin fecha límite",IF($AN292&lt;FechaRef,"Vencida hace "&amp;(FechaRef-$AN292)&amp;IF(FechaRef-$AN292=1," día"," días"),IF($AN292=FechaRef,"Vence hoy",IF($AN292-FechaRef&lt;=DiasAlerta,"Vence en "&amp;($AN292-FechaRef)&amp;IF($AN292-FechaRef=1," día"," días"),"En plazo")))))))</f>
        <v/>
      </c>
      <c r="P292" s="62" t="n"/>
      <c r="Q292" s="58" t="n"/>
      <c r="R292" s="63">
        <f>IF(NOT((COUNTA($B292:$D292)+COUNTA($G292:$L292)+COUNTA($Q292))&gt;0),"",IF((IF($C292="","Falta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",""))="","✔ OK","⚠ "&amp;LEFT(IF($C292="","Falta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",""),LEN(IF($C292="","Falta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",""))-3)))</f>
        <v/>
      </c>
      <c r="S292" s="64">
        <f>IF(NOT((COUNTA($B292:$D292)+COUNTA($G292:$L292)+COUNTA($Q292))&gt;0),"",IF(AND($V292="Sub",N($U292)&gt;0),IF(ISNUMBER(INDEX($AM$5:$AM$1000,$U292-4)),DATE(YEAR(INDEX($AM$5:$AM$1000,$U292-4)),MONTH(INDEX($AM$5:$AM$1000,$U292-4)),1),IF(ISNUMBER(INDEX($AN$5:$AN$1000,$U292-4)),DATE(YEAR(INDEX($AN$5:$AN$1000,$U292-4)),MONTH(INDEX($AN$5:$AN$1000,$U292-4)),1),MesCiclo)),IF(ISNUMBER($AM292),DATE(YEAR($AM292),MONTH($AM292),1),IF(ISNUMBER($AN292),DATE(YEAR($AN292),MONTH($AN292),1),MesCiclo))))</f>
        <v/>
      </c>
      <c r="T292" s="62">
        <f>IF(OR($S292="",$S292&lt;&gt;MesCiclo),"",COUNTIF($S$5:$S292,MesCiclo))</f>
        <v/>
      </c>
      <c r="U292" s="62">
        <f>IF($V292="","",IF($V292="Macro",ROW(),IFERROR(LOOKUP(2,1/($V$5:$V292="Macro"),ROW($V$5:$V292)),0)))</f>
        <v/>
      </c>
      <c r="V292" s="62">
        <f>IF(NOT((COUNTA($B292:$D292)+COUNTA($G292:$L292)+COUNTA($Q292))&gt;0),"",IF($B292="Subactividad","Sub","Macro"))</f>
        <v/>
      </c>
      <c r="W292" s="62">
        <f>IF($V292="Macro",COUNTIFS($U$5:$U$1000,ROW(),$V$5:$V$1000,"Sub"),"")</f>
        <v/>
      </c>
      <c r="X292" s="62">
        <f>IF($V292="","",IF(ISNUMBER($G292),1,IFERROR(LOOKUP(2,1/($I292:$L292&lt;&gt;""),$I292:$L292),0)))</f>
        <v/>
      </c>
      <c r="Y292" s="62">
        <f>IF($V292="","",IF(AND(ISNUMBER($G292),$G292&lt;=IF($S292=MesCiclo,InicioCiclo,$S292+MOD(2-WEEKDAY($S292),7))+6),1,IF(ISNUMBER($I292),$I292,0)))</f>
        <v/>
      </c>
      <c r="Z292" s="62">
        <f>IF($V292="","",IF(AND(ISNUMBER($G292),$G292&lt;=IF($S292=MesCiclo,InicioCiclo,$S292+MOD(2-WEEKDAY($S292),7))+13),1,IF(ISNUMBER($J292),$J292,$Y292)))</f>
        <v/>
      </c>
      <c r="AA292" s="62">
        <f>IF($V292="","",IF(AND(ISNUMBER($G292),$G292&lt;=IF($S292=MesCiclo,InicioCiclo,$S292+MOD(2-WEEKDAY($S292),7))+20),1,IF(ISNUMBER($K292),$K292,$Z292)))</f>
        <v/>
      </c>
      <c r="AB292" s="62">
        <f>IF($V292="","",IF(AND(ISNUMBER($G292),$G292&lt;=IF($S292=MesCiclo,InicioCiclo,$S292+MOD(2-WEEKDAY($S292),7))+27),1,IF(ISNUMBER($L292),$L292,$AA292)))</f>
        <v/>
      </c>
      <c r="AC292" s="62">
        <f>IF($V292="","",IF(AND(ISNUMBER($G292),$G292&lt;=IF($S292=MesCiclo,InicioCiclo,$S292+MOD(2-WEEKDAY($S292),7))+6),1,IF(N($W292)&gt;0,AVERAGEIFS($Y$5:$Y$1000,$U$5:$U$1000,ROW(),$V$5:$V$1000,"Sub"),$Y292)))</f>
        <v/>
      </c>
      <c r="AD292" s="62">
        <f>IF($V292="","",IF(AND(ISNUMBER($G292),$G292&lt;=IF($S292=MesCiclo,InicioCiclo,$S292+MOD(2-WEEKDAY($S292),7))+13),1,IF(N($W292)&gt;0,AVERAGEIFS($Z$5:$Z$1000,$U$5:$U$1000,ROW(),$V$5:$V$1000,"Sub"),$Z292)))</f>
        <v/>
      </c>
      <c r="AE292" s="62">
        <f>IF($V292="","",IF(AND(ISNUMBER($G292),$G292&lt;=IF($S292=MesCiclo,InicioCiclo,$S292+MOD(2-WEEKDAY($S292),7))+20),1,IF(N($W292)&gt;0,AVERAGEIFS($AA$5:$AA$1000,$U$5:$U$1000,ROW(),$V$5:$V$1000,"Sub"),$AA292)))</f>
        <v/>
      </c>
      <c r="AF292" s="62">
        <f>IF($V292="","",IF(AND(ISNUMBER($G292),$G292&lt;=IF($S292=MesCiclo,InicioCiclo,$S292+MOD(2-WEEKDAY($S292),7))+27),1,IF(N($W292)&gt;0,AVERAGEIFS($AB$5:$AB$1000,$U$5:$U$1000,ROW(),$V$5:$V$1000,"Sub"),$AB292)))</f>
        <v/>
      </c>
      <c r="AG292" s="62">
        <f>IF($V292&lt;&gt;"Macro","",IF(COUNTIFS($S$5:$S$1000,$S292,$V$5:$V$1000,"Macro",$H$5:$H$1000,"&gt;0")=0,1/COUNTIFS($S$5:$S$1000,$S292,$V$5:$V$1000,"Macro"),IF(AND(ISNUMBER($H292),N($H292)&gt;0),$H292,SUMIFS($H$5:$H$1000,$S$5:$S$1000,$S292,$V$5:$V$1000,"Macro")/COUNTIFS($S$5:$S$1000,$S292,$V$5:$V$1000,"Macro",$H$5:$H$1000,"&gt;0"))/(COUNTIFS($S$5:$S$1000,$S292,$V$5:$V$1000,"Macro")*SUMIFS($H$5:$H$1000,$S$5:$S$1000,$S292,$V$5:$V$1000,"Macro")/COUNTIFS($S$5:$S$1000,$S292,$V$5:$V$1000,"Macro",$H$5:$H$1000,"&gt;0"))))</f>
        <v/>
      </c>
      <c r="AH292" s="62" t="n"/>
      <c r="AI292" s="62" t="n"/>
      <c r="AJ292" s="62" t="n"/>
      <c r="AK292" s="62" t="n"/>
      <c r="AL292" s="62">
        <f>IF(LEFT($C292,11)="[Jefatura] ",IFERROR(MATCH("Riesgo Normativo|"&amp;MID($C292,12,500),rDname_ADM,0),0),"")</f>
        <v/>
      </c>
      <c r="AM292" s="62">
        <f>IF(N($AL292)&gt;0,INDEX(rIni_ADM,$AL292),IF(ISNUMBER($E292),$E292,""))</f>
        <v/>
      </c>
      <c r="AN292" s="62">
        <f>IF(N($AL292)&gt;0,INDEX(rLim_ADM,$AL292),IF(ISNUMBER($F292),$F292,""))</f>
        <v/>
      </c>
    </row>
    <row r="293">
      <c r="A293" s="56">
        <f>IF(NOT((COUNTA($B293:$D293)+COUNTA($G293:$L293)+COUNTA($Q293))&gt;0),"",IF($V293="Macro",COUNTIFS($V$5:$V293,"Macro",$S$5:$S293,$S293),IF(N($U293)=0,"?",COUNTIFS(INDEX($V$5:$V$1000,1):INDEX($V$5:$V$1000,$U293-4),"Macro",INDEX($S$5:$S$1000,1):INDEX($S$5:$S$1000,$U293-4),INDEX($S$5:$S$1000,$U293-4))&amp;"."&amp;COUNTIFS($U$5:$U293,$U293,$V$5:$V293,"Sub"))))</f>
        <v/>
      </c>
      <c r="B293" s="57" t="n"/>
      <c r="C293" s="58" t="n"/>
      <c r="D293" s="58" t="n"/>
      <c r="E293" s="59">
        <f>IF(N($AL293)&gt;0,INDEX(rIni_ADM,$AL293),"")</f>
        <v/>
      </c>
      <c r="F293" s="59">
        <f>IF(N($AL293)&gt;0,INDEX(rLim_ADM,$AL293),"")</f>
        <v/>
      </c>
      <c r="G293" s="59" t="n"/>
      <c r="H293" s="60" t="n"/>
      <c r="I293" s="60" t="n"/>
      <c r="J293" s="60" t="n"/>
      <c r="K293" s="60" t="n"/>
      <c r="L293" s="60" t="n"/>
      <c r="M293" s="61">
        <f>IF(NOT((COUNTA($B293:$D293)+COUNTA($G293:$L293)+COUNTA($Q293))&gt;0),"",IF(ISNUMBER($G293),1,IF(N($W293)&gt;0,AVERAGEIFS($X$5:$X$1000,$U$5:$U$1000,ROW(),$V$5:$V$1000,"Sub"),$X293)))</f>
        <v/>
      </c>
      <c r="N293" s="56">
        <f>IF($M293="","",IF($M293&gt;=1,"Completado",IF($M293&gt;0,"En curso","Pendiente")))</f>
        <v/>
      </c>
      <c r="O293" s="56">
        <f>IF(NOT((COUNTA($B293:$D293)+COUNTA($G293:$L293)+COUNTA($Q293))&gt;0),"",IF(ISNUMBER($G293),IF(AND(ISNUMBER($AN293),$G293&gt;$AN293),"Cumplida con "&amp;($G293-$AN293)&amp;IF($G293-$AN293=1," día"," días")&amp;" de retraso","Cumplida"),IF(N($M293)&gt;=1,"Cumplida",IF(NOT(ISNUMBER($AN293)),"Sin fecha límite",IF($AN293&lt;FechaRef,"Vencida hace "&amp;(FechaRef-$AN293)&amp;IF(FechaRef-$AN293=1," día"," días"),IF($AN293=FechaRef,"Vence hoy",IF($AN293-FechaRef&lt;=DiasAlerta,"Vence en "&amp;($AN293-FechaRef)&amp;IF($AN293-FechaRef=1," día"," días"),"En plazo")))))))</f>
        <v/>
      </c>
      <c r="P293" s="62" t="n"/>
      <c r="Q293" s="58" t="n"/>
      <c r="R293" s="63">
        <f>IF(NOT((COUNTA($B293:$D293)+COUNTA($G293:$L293)+COUNTA($Q293))&gt;0),"",IF((IF($C293="","Falta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",""))="","✔ OK","⚠ "&amp;LEFT(IF($C293="","Falta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",""),LEN(IF($C293="","Falta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",""))-3)))</f>
        <v/>
      </c>
      <c r="S293" s="64">
        <f>IF(NOT((COUNTA($B293:$D293)+COUNTA($G293:$L293)+COUNTA($Q293))&gt;0),"",IF(AND($V293="Sub",N($U293)&gt;0),IF(ISNUMBER(INDEX($AM$5:$AM$1000,$U293-4)),DATE(YEAR(INDEX($AM$5:$AM$1000,$U293-4)),MONTH(INDEX($AM$5:$AM$1000,$U293-4)),1),IF(ISNUMBER(INDEX($AN$5:$AN$1000,$U293-4)),DATE(YEAR(INDEX($AN$5:$AN$1000,$U293-4)),MONTH(INDEX($AN$5:$AN$1000,$U293-4)),1),MesCiclo)),IF(ISNUMBER($AM293),DATE(YEAR($AM293),MONTH($AM293),1),IF(ISNUMBER($AN293),DATE(YEAR($AN293),MONTH($AN293),1),MesCiclo))))</f>
        <v/>
      </c>
      <c r="T293" s="62">
        <f>IF(OR($S293="",$S293&lt;&gt;MesCiclo),"",COUNTIF($S$5:$S293,MesCiclo))</f>
        <v/>
      </c>
      <c r="U293" s="62">
        <f>IF($V293="","",IF($V293="Macro",ROW(),IFERROR(LOOKUP(2,1/($V$5:$V293="Macro"),ROW($V$5:$V293)),0)))</f>
        <v/>
      </c>
      <c r="V293" s="62">
        <f>IF(NOT((COUNTA($B293:$D293)+COUNTA($G293:$L293)+COUNTA($Q293))&gt;0),"",IF($B293="Subactividad","Sub","Macro"))</f>
        <v/>
      </c>
      <c r="W293" s="62">
        <f>IF($V293="Macro",COUNTIFS($U$5:$U$1000,ROW(),$V$5:$V$1000,"Sub"),"")</f>
        <v/>
      </c>
      <c r="X293" s="62">
        <f>IF($V293="","",IF(ISNUMBER($G293),1,IFERROR(LOOKUP(2,1/($I293:$L293&lt;&gt;""),$I293:$L293),0)))</f>
        <v/>
      </c>
      <c r="Y293" s="62">
        <f>IF($V293="","",IF(AND(ISNUMBER($G293),$G293&lt;=IF($S293=MesCiclo,InicioCiclo,$S293+MOD(2-WEEKDAY($S293),7))+6),1,IF(ISNUMBER($I293),$I293,0)))</f>
        <v/>
      </c>
      <c r="Z293" s="62">
        <f>IF($V293="","",IF(AND(ISNUMBER($G293),$G293&lt;=IF($S293=MesCiclo,InicioCiclo,$S293+MOD(2-WEEKDAY($S293),7))+13),1,IF(ISNUMBER($J293),$J293,$Y293)))</f>
        <v/>
      </c>
      <c r="AA293" s="62">
        <f>IF($V293="","",IF(AND(ISNUMBER($G293),$G293&lt;=IF($S293=MesCiclo,InicioCiclo,$S293+MOD(2-WEEKDAY($S293),7))+20),1,IF(ISNUMBER($K293),$K293,$Z293)))</f>
        <v/>
      </c>
      <c r="AB293" s="62">
        <f>IF($V293="","",IF(AND(ISNUMBER($G293),$G293&lt;=IF($S293=MesCiclo,InicioCiclo,$S293+MOD(2-WEEKDAY($S293),7))+27),1,IF(ISNUMBER($L293),$L293,$AA293)))</f>
        <v/>
      </c>
      <c r="AC293" s="62">
        <f>IF($V293="","",IF(AND(ISNUMBER($G293),$G293&lt;=IF($S293=MesCiclo,InicioCiclo,$S293+MOD(2-WEEKDAY($S293),7))+6),1,IF(N($W293)&gt;0,AVERAGEIFS($Y$5:$Y$1000,$U$5:$U$1000,ROW(),$V$5:$V$1000,"Sub"),$Y293)))</f>
        <v/>
      </c>
      <c r="AD293" s="62">
        <f>IF($V293="","",IF(AND(ISNUMBER($G293),$G293&lt;=IF($S293=MesCiclo,InicioCiclo,$S293+MOD(2-WEEKDAY($S293),7))+13),1,IF(N($W293)&gt;0,AVERAGEIFS($Z$5:$Z$1000,$U$5:$U$1000,ROW(),$V$5:$V$1000,"Sub"),$Z293)))</f>
        <v/>
      </c>
      <c r="AE293" s="62">
        <f>IF($V293="","",IF(AND(ISNUMBER($G293),$G293&lt;=IF($S293=MesCiclo,InicioCiclo,$S293+MOD(2-WEEKDAY($S293),7))+20),1,IF(N($W293)&gt;0,AVERAGEIFS($AA$5:$AA$1000,$U$5:$U$1000,ROW(),$V$5:$V$1000,"Sub"),$AA293)))</f>
        <v/>
      </c>
      <c r="AF293" s="62">
        <f>IF($V293="","",IF(AND(ISNUMBER($G293),$G293&lt;=IF($S293=MesCiclo,InicioCiclo,$S293+MOD(2-WEEKDAY($S293),7))+27),1,IF(N($W293)&gt;0,AVERAGEIFS($AB$5:$AB$1000,$U$5:$U$1000,ROW(),$V$5:$V$1000,"Sub"),$AB293)))</f>
        <v/>
      </c>
      <c r="AG293" s="62">
        <f>IF($V293&lt;&gt;"Macro","",IF(COUNTIFS($S$5:$S$1000,$S293,$V$5:$V$1000,"Macro",$H$5:$H$1000,"&gt;0")=0,1/COUNTIFS($S$5:$S$1000,$S293,$V$5:$V$1000,"Macro"),IF(AND(ISNUMBER($H293),N($H293)&gt;0),$H293,SUMIFS($H$5:$H$1000,$S$5:$S$1000,$S293,$V$5:$V$1000,"Macro")/COUNTIFS($S$5:$S$1000,$S293,$V$5:$V$1000,"Macro",$H$5:$H$1000,"&gt;0"))/(COUNTIFS($S$5:$S$1000,$S293,$V$5:$V$1000,"Macro")*SUMIFS($H$5:$H$1000,$S$5:$S$1000,$S293,$V$5:$V$1000,"Macro")/COUNTIFS($S$5:$S$1000,$S293,$V$5:$V$1000,"Macro",$H$5:$H$1000,"&gt;0"))))</f>
        <v/>
      </c>
      <c r="AH293" s="62" t="n"/>
      <c r="AI293" s="62" t="n"/>
      <c r="AJ293" s="62" t="n"/>
      <c r="AK293" s="62" t="n"/>
      <c r="AL293" s="62">
        <f>IF(LEFT($C293,11)="[Jefatura] ",IFERROR(MATCH("Riesgo Normativo|"&amp;MID($C293,12,500),rDname_ADM,0),0),"")</f>
        <v/>
      </c>
      <c r="AM293" s="62">
        <f>IF(N($AL293)&gt;0,INDEX(rIni_ADM,$AL293),IF(ISNUMBER($E293),$E293,""))</f>
        <v/>
      </c>
      <c r="AN293" s="62">
        <f>IF(N($AL293)&gt;0,INDEX(rLim_ADM,$AL293),IF(ISNUMBER($F293),$F293,""))</f>
        <v/>
      </c>
    </row>
    <row r="294">
      <c r="A294" s="56">
        <f>IF(NOT((COUNTA($B294:$D294)+COUNTA($G294:$L294)+COUNTA($Q294))&gt;0),"",IF($V294="Macro",COUNTIFS($V$5:$V294,"Macro",$S$5:$S294,$S294),IF(N($U294)=0,"?",COUNTIFS(INDEX($V$5:$V$1000,1):INDEX($V$5:$V$1000,$U294-4),"Macro",INDEX($S$5:$S$1000,1):INDEX($S$5:$S$1000,$U294-4),INDEX($S$5:$S$1000,$U294-4))&amp;"."&amp;COUNTIFS($U$5:$U294,$U294,$V$5:$V294,"Sub"))))</f>
        <v/>
      </c>
      <c r="B294" s="57" t="n"/>
      <c r="C294" s="58" t="n"/>
      <c r="D294" s="58" t="n"/>
      <c r="E294" s="59">
        <f>IF(N($AL294)&gt;0,INDEX(rIni_ADM,$AL294),"")</f>
        <v/>
      </c>
      <c r="F294" s="59">
        <f>IF(N($AL294)&gt;0,INDEX(rLim_ADM,$AL294),"")</f>
        <v/>
      </c>
      <c r="G294" s="59" t="n"/>
      <c r="H294" s="60" t="n"/>
      <c r="I294" s="60" t="n"/>
      <c r="J294" s="60" t="n"/>
      <c r="K294" s="60" t="n"/>
      <c r="L294" s="60" t="n"/>
      <c r="M294" s="61">
        <f>IF(NOT((COUNTA($B294:$D294)+COUNTA($G294:$L294)+COUNTA($Q294))&gt;0),"",IF(ISNUMBER($G294),1,IF(N($W294)&gt;0,AVERAGEIFS($X$5:$X$1000,$U$5:$U$1000,ROW(),$V$5:$V$1000,"Sub"),$X294)))</f>
        <v/>
      </c>
      <c r="N294" s="56">
        <f>IF($M294="","",IF($M294&gt;=1,"Completado",IF($M294&gt;0,"En curso","Pendiente")))</f>
        <v/>
      </c>
      <c r="O294" s="56">
        <f>IF(NOT((COUNTA($B294:$D294)+COUNTA($G294:$L294)+COUNTA($Q294))&gt;0),"",IF(ISNUMBER($G294),IF(AND(ISNUMBER($AN294),$G294&gt;$AN294),"Cumplida con "&amp;($G294-$AN294)&amp;IF($G294-$AN294=1," día"," días")&amp;" de retraso","Cumplida"),IF(N($M294)&gt;=1,"Cumplida",IF(NOT(ISNUMBER($AN294)),"Sin fecha límite",IF($AN294&lt;FechaRef,"Vencida hace "&amp;(FechaRef-$AN294)&amp;IF(FechaRef-$AN294=1," día"," días"),IF($AN294=FechaRef,"Vence hoy",IF($AN294-FechaRef&lt;=DiasAlerta,"Vence en "&amp;($AN294-FechaRef)&amp;IF($AN294-FechaRef=1," día"," días"),"En plazo")))))))</f>
        <v/>
      </c>
      <c r="P294" s="62" t="n"/>
      <c r="Q294" s="58" t="n"/>
      <c r="R294" s="63">
        <f>IF(NOT((COUNTA($B294:$D294)+COUNTA($G294:$L294)+COUNTA($Q294))&gt;0),"",IF((IF($C294="","Falta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",""))="","✔ OK","⚠ "&amp;LEFT(IF($C294="","Falta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",""),LEN(IF($C294="","Falta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",""))-3)))</f>
        <v/>
      </c>
      <c r="S294" s="64">
        <f>IF(NOT((COUNTA($B294:$D294)+COUNTA($G294:$L294)+COUNTA($Q294))&gt;0),"",IF(AND($V294="Sub",N($U294)&gt;0),IF(ISNUMBER(INDEX($AM$5:$AM$1000,$U294-4)),DATE(YEAR(INDEX($AM$5:$AM$1000,$U294-4)),MONTH(INDEX($AM$5:$AM$1000,$U294-4)),1),IF(ISNUMBER(INDEX($AN$5:$AN$1000,$U294-4)),DATE(YEAR(INDEX($AN$5:$AN$1000,$U294-4)),MONTH(INDEX($AN$5:$AN$1000,$U294-4)),1),MesCiclo)),IF(ISNUMBER($AM294),DATE(YEAR($AM294),MONTH($AM294),1),IF(ISNUMBER($AN294),DATE(YEAR($AN294),MONTH($AN294),1),MesCiclo))))</f>
        <v/>
      </c>
      <c r="T294" s="62">
        <f>IF(OR($S294="",$S294&lt;&gt;MesCiclo),"",COUNTIF($S$5:$S294,MesCiclo))</f>
        <v/>
      </c>
      <c r="U294" s="62">
        <f>IF($V294="","",IF($V294="Macro",ROW(),IFERROR(LOOKUP(2,1/($V$5:$V294="Macro"),ROW($V$5:$V294)),0)))</f>
        <v/>
      </c>
      <c r="V294" s="62">
        <f>IF(NOT((COUNTA($B294:$D294)+COUNTA($G294:$L294)+COUNTA($Q294))&gt;0),"",IF($B294="Subactividad","Sub","Macro"))</f>
        <v/>
      </c>
      <c r="W294" s="62">
        <f>IF($V294="Macro",COUNTIFS($U$5:$U$1000,ROW(),$V$5:$V$1000,"Sub"),"")</f>
        <v/>
      </c>
      <c r="X294" s="62">
        <f>IF($V294="","",IF(ISNUMBER($G294),1,IFERROR(LOOKUP(2,1/($I294:$L294&lt;&gt;""),$I294:$L294),0)))</f>
        <v/>
      </c>
      <c r="Y294" s="62">
        <f>IF($V294="","",IF(AND(ISNUMBER($G294),$G294&lt;=IF($S294=MesCiclo,InicioCiclo,$S294+MOD(2-WEEKDAY($S294),7))+6),1,IF(ISNUMBER($I294),$I294,0)))</f>
        <v/>
      </c>
      <c r="Z294" s="62">
        <f>IF($V294="","",IF(AND(ISNUMBER($G294),$G294&lt;=IF($S294=MesCiclo,InicioCiclo,$S294+MOD(2-WEEKDAY($S294),7))+13),1,IF(ISNUMBER($J294),$J294,$Y294)))</f>
        <v/>
      </c>
      <c r="AA294" s="62">
        <f>IF($V294="","",IF(AND(ISNUMBER($G294),$G294&lt;=IF($S294=MesCiclo,InicioCiclo,$S294+MOD(2-WEEKDAY($S294),7))+20),1,IF(ISNUMBER($K294),$K294,$Z294)))</f>
        <v/>
      </c>
      <c r="AB294" s="62">
        <f>IF($V294="","",IF(AND(ISNUMBER($G294),$G294&lt;=IF($S294=MesCiclo,InicioCiclo,$S294+MOD(2-WEEKDAY($S294),7))+27),1,IF(ISNUMBER($L294),$L294,$AA294)))</f>
        <v/>
      </c>
      <c r="AC294" s="62">
        <f>IF($V294="","",IF(AND(ISNUMBER($G294),$G294&lt;=IF($S294=MesCiclo,InicioCiclo,$S294+MOD(2-WEEKDAY($S294),7))+6),1,IF(N($W294)&gt;0,AVERAGEIFS($Y$5:$Y$1000,$U$5:$U$1000,ROW(),$V$5:$V$1000,"Sub"),$Y294)))</f>
        <v/>
      </c>
      <c r="AD294" s="62">
        <f>IF($V294="","",IF(AND(ISNUMBER($G294),$G294&lt;=IF($S294=MesCiclo,InicioCiclo,$S294+MOD(2-WEEKDAY($S294),7))+13),1,IF(N($W294)&gt;0,AVERAGEIFS($Z$5:$Z$1000,$U$5:$U$1000,ROW(),$V$5:$V$1000,"Sub"),$Z294)))</f>
        <v/>
      </c>
      <c r="AE294" s="62">
        <f>IF($V294="","",IF(AND(ISNUMBER($G294),$G294&lt;=IF($S294=MesCiclo,InicioCiclo,$S294+MOD(2-WEEKDAY($S294),7))+20),1,IF(N($W294)&gt;0,AVERAGEIFS($AA$5:$AA$1000,$U$5:$U$1000,ROW(),$V$5:$V$1000,"Sub"),$AA294)))</f>
        <v/>
      </c>
      <c r="AF294" s="62">
        <f>IF($V294="","",IF(AND(ISNUMBER($G294),$G294&lt;=IF($S294=MesCiclo,InicioCiclo,$S294+MOD(2-WEEKDAY($S294),7))+27),1,IF(N($W294)&gt;0,AVERAGEIFS($AB$5:$AB$1000,$U$5:$U$1000,ROW(),$V$5:$V$1000,"Sub"),$AB294)))</f>
        <v/>
      </c>
      <c r="AG294" s="62">
        <f>IF($V294&lt;&gt;"Macro","",IF(COUNTIFS($S$5:$S$1000,$S294,$V$5:$V$1000,"Macro",$H$5:$H$1000,"&gt;0")=0,1/COUNTIFS($S$5:$S$1000,$S294,$V$5:$V$1000,"Macro"),IF(AND(ISNUMBER($H294),N($H294)&gt;0),$H294,SUMIFS($H$5:$H$1000,$S$5:$S$1000,$S294,$V$5:$V$1000,"Macro")/COUNTIFS($S$5:$S$1000,$S294,$V$5:$V$1000,"Macro",$H$5:$H$1000,"&gt;0"))/(COUNTIFS($S$5:$S$1000,$S294,$V$5:$V$1000,"Macro")*SUMIFS($H$5:$H$1000,$S$5:$S$1000,$S294,$V$5:$V$1000,"Macro")/COUNTIFS($S$5:$S$1000,$S294,$V$5:$V$1000,"Macro",$H$5:$H$1000,"&gt;0"))))</f>
        <v/>
      </c>
      <c r="AH294" s="62" t="n"/>
      <c r="AI294" s="62" t="n"/>
      <c r="AJ294" s="62" t="n"/>
      <c r="AK294" s="62" t="n"/>
      <c r="AL294" s="62">
        <f>IF(LEFT($C294,11)="[Jefatura] ",IFERROR(MATCH("Riesgo Normativo|"&amp;MID($C294,12,500),rDname_ADM,0),0),"")</f>
        <v/>
      </c>
      <c r="AM294" s="62">
        <f>IF(N($AL294)&gt;0,INDEX(rIni_ADM,$AL294),IF(ISNUMBER($E294),$E294,""))</f>
        <v/>
      </c>
      <c r="AN294" s="62">
        <f>IF(N($AL294)&gt;0,INDEX(rLim_ADM,$AL294),IF(ISNUMBER($F294),$F294,""))</f>
        <v/>
      </c>
    </row>
    <row r="295">
      <c r="A295" s="56">
        <f>IF(NOT((COUNTA($B295:$D295)+COUNTA($G295:$L295)+COUNTA($Q295))&gt;0),"",IF($V295="Macro",COUNTIFS($V$5:$V295,"Macro",$S$5:$S295,$S295),IF(N($U295)=0,"?",COUNTIFS(INDEX($V$5:$V$1000,1):INDEX($V$5:$V$1000,$U295-4),"Macro",INDEX($S$5:$S$1000,1):INDEX($S$5:$S$1000,$U295-4),INDEX($S$5:$S$1000,$U295-4))&amp;"."&amp;COUNTIFS($U$5:$U295,$U295,$V$5:$V295,"Sub"))))</f>
        <v/>
      </c>
      <c r="B295" s="57" t="n"/>
      <c r="C295" s="58" t="n"/>
      <c r="D295" s="58" t="n"/>
      <c r="E295" s="59">
        <f>IF(N($AL295)&gt;0,INDEX(rIni_ADM,$AL295),"")</f>
        <v/>
      </c>
      <c r="F295" s="59">
        <f>IF(N($AL295)&gt;0,INDEX(rLim_ADM,$AL295),"")</f>
        <v/>
      </c>
      <c r="G295" s="59" t="n"/>
      <c r="H295" s="60" t="n"/>
      <c r="I295" s="60" t="n"/>
      <c r="J295" s="60" t="n"/>
      <c r="K295" s="60" t="n"/>
      <c r="L295" s="60" t="n"/>
      <c r="M295" s="61">
        <f>IF(NOT((COUNTA($B295:$D295)+COUNTA($G295:$L295)+COUNTA($Q295))&gt;0),"",IF(ISNUMBER($G295),1,IF(N($W295)&gt;0,AVERAGEIFS($X$5:$X$1000,$U$5:$U$1000,ROW(),$V$5:$V$1000,"Sub"),$X295)))</f>
        <v/>
      </c>
      <c r="N295" s="56">
        <f>IF($M295="","",IF($M295&gt;=1,"Completado",IF($M295&gt;0,"En curso","Pendiente")))</f>
        <v/>
      </c>
      <c r="O295" s="56">
        <f>IF(NOT((COUNTA($B295:$D295)+COUNTA($G295:$L295)+COUNTA($Q295))&gt;0),"",IF(ISNUMBER($G295),IF(AND(ISNUMBER($AN295),$G295&gt;$AN295),"Cumplida con "&amp;($G295-$AN295)&amp;IF($G295-$AN295=1," día"," días")&amp;" de retraso","Cumplida"),IF(N($M295)&gt;=1,"Cumplida",IF(NOT(ISNUMBER($AN295)),"Sin fecha límite",IF($AN295&lt;FechaRef,"Vencida hace "&amp;(FechaRef-$AN295)&amp;IF(FechaRef-$AN295=1," día"," días"),IF($AN295=FechaRef,"Vence hoy",IF($AN295-FechaRef&lt;=DiasAlerta,"Vence en "&amp;($AN295-FechaRef)&amp;IF($AN295-FechaRef=1," día"," días"),"En plazo")))))))</f>
        <v/>
      </c>
      <c r="P295" s="62" t="n"/>
      <c r="Q295" s="58" t="n"/>
      <c r="R295" s="63">
        <f>IF(NOT((COUNTA($B295:$D295)+COUNTA($G295:$L295)+COUNTA($Q295))&gt;0),"",IF((IF($C295="","Falta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",""))="","✔ OK","⚠ "&amp;LEFT(IF($C295="","Falta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",""),LEN(IF($C295="","Falta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",""))-3)))</f>
        <v/>
      </c>
      <c r="S295" s="64">
        <f>IF(NOT((COUNTA($B295:$D295)+COUNTA($G295:$L295)+COUNTA($Q295))&gt;0),"",IF(AND($V295="Sub",N($U295)&gt;0),IF(ISNUMBER(INDEX($AM$5:$AM$1000,$U295-4)),DATE(YEAR(INDEX($AM$5:$AM$1000,$U295-4)),MONTH(INDEX($AM$5:$AM$1000,$U295-4)),1),IF(ISNUMBER(INDEX($AN$5:$AN$1000,$U295-4)),DATE(YEAR(INDEX($AN$5:$AN$1000,$U295-4)),MONTH(INDEX($AN$5:$AN$1000,$U295-4)),1),MesCiclo)),IF(ISNUMBER($AM295),DATE(YEAR($AM295),MONTH($AM295),1),IF(ISNUMBER($AN295),DATE(YEAR($AN295),MONTH($AN295),1),MesCiclo))))</f>
        <v/>
      </c>
      <c r="T295" s="62">
        <f>IF(OR($S295="",$S295&lt;&gt;MesCiclo),"",COUNTIF($S$5:$S295,MesCiclo))</f>
        <v/>
      </c>
      <c r="U295" s="62">
        <f>IF($V295="","",IF($V295="Macro",ROW(),IFERROR(LOOKUP(2,1/($V$5:$V295="Macro"),ROW($V$5:$V295)),0)))</f>
        <v/>
      </c>
      <c r="V295" s="62">
        <f>IF(NOT((COUNTA($B295:$D295)+COUNTA($G295:$L295)+COUNTA($Q295))&gt;0),"",IF($B295="Subactividad","Sub","Macro"))</f>
        <v/>
      </c>
      <c r="W295" s="62">
        <f>IF($V295="Macro",COUNTIFS($U$5:$U$1000,ROW(),$V$5:$V$1000,"Sub"),"")</f>
        <v/>
      </c>
      <c r="X295" s="62">
        <f>IF($V295="","",IF(ISNUMBER($G295),1,IFERROR(LOOKUP(2,1/($I295:$L295&lt;&gt;""),$I295:$L295),0)))</f>
        <v/>
      </c>
      <c r="Y295" s="62">
        <f>IF($V295="","",IF(AND(ISNUMBER($G295),$G295&lt;=IF($S295=MesCiclo,InicioCiclo,$S295+MOD(2-WEEKDAY($S295),7))+6),1,IF(ISNUMBER($I295),$I295,0)))</f>
        <v/>
      </c>
      <c r="Z295" s="62">
        <f>IF($V295="","",IF(AND(ISNUMBER($G295),$G295&lt;=IF($S295=MesCiclo,InicioCiclo,$S295+MOD(2-WEEKDAY($S295),7))+13),1,IF(ISNUMBER($J295),$J295,$Y295)))</f>
        <v/>
      </c>
      <c r="AA295" s="62">
        <f>IF($V295="","",IF(AND(ISNUMBER($G295),$G295&lt;=IF($S295=MesCiclo,InicioCiclo,$S295+MOD(2-WEEKDAY($S295),7))+20),1,IF(ISNUMBER($K295),$K295,$Z295)))</f>
        <v/>
      </c>
      <c r="AB295" s="62">
        <f>IF($V295="","",IF(AND(ISNUMBER($G295),$G295&lt;=IF($S295=MesCiclo,InicioCiclo,$S295+MOD(2-WEEKDAY($S295),7))+27),1,IF(ISNUMBER($L295),$L295,$AA295)))</f>
        <v/>
      </c>
      <c r="AC295" s="62">
        <f>IF($V295="","",IF(AND(ISNUMBER($G295),$G295&lt;=IF($S295=MesCiclo,InicioCiclo,$S295+MOD(2-WEEKDAY($S295),7))+6),1,IF(N($W295)&gt;0,AVERAGEIFS($Y$5:$Y$1000,$U$5:$U$1000,ROW(),$V$5:$V$1000,"Sub"),$Y295)))</f>
        <v/>
      </c>
      <c r="AD295" s="62">
        <f>IF($V295="","",IF(AND(ISNUMBER($G295),$G295&lt;=IF($S295=MesCiclo,InicioCiclo,$S295+MOD(2-WEEKDAY($S295),7))+13),1,IF(N($W295)&gt;0,AVERAGEIFS($Z$5:$Z$1000,$U$5:$U$1000,ROW(),$V$5:$V$1000,"Sub"),$Z295)))</f>
        <v/>
      </c>
      <c r="AE295" s="62">
        <f>IF($V295="","",IF(AND(ISNUMBER($G295),$G295&lt;=IF($S295=MesCiclo,InicioCiclo,$S295+MOD(2-WEEKDAY($S295),7))+20),1,IF(N($W295)&gt;0,AVERAGEIFS($AA$5:$AA$1000,$U$5:$U$1000,ROW(),$V$5:$V$1000,"Sub"),$AA295)))</f>
        <v/>
      </c>
      <c r="AF295" s="62">
        <f>IF($V295="","",IF(AND(ISNUMBER($G295),$G295&lt;=IF($S295=MesCiclo,InicioCiclo,$S295+MOD(2-WEEKDAY($S295),7))+27),1,IF(N($W295)&gt;0,AVERAGEIFS($AB$5:$AB$1000,$U$5:$U$1000,ROW(),$V$5:$V$1000,"Sub"),$AB295)))</f>
        <v/>
      </c>
      <c r="AG295" s="62">
        <f>IF($V295&lt;&gt;"Macro","",IF(COUNTIFS($S$5:$S$1000,$S295,$V$5:$V$1000,"Macro",$H$5:$H$1000,"&gt;0")=0,1/COUNTIFS($S$5:$S$1000,$S295,$V$5:$V$1000,"Macro"),IF(AND(ISNUMBER($H295),N($H295)&gt;0),$H295,SUMIFS($H$5:$H$1000,$S$5:$S$1000,$S295,$V$5:$V$1000,"Macro")/COUNTIFS($S$5:$S$1000,$S295,$V$5:$V$1000,"Macro",$H$5:$H$1000,"&gt;0"))/(COUNTIFS($S$5:$S$1000,$S295,$V$5:$V$1000,"Macro")*SUMIFS($H$5:$H$1000,$S$5:$S$1000,$S295,$V$5:$V$1000,"Macro")/COUNTIFS($S$5:$S$1000,$S295,$V$5:$V$1000,"Macro",$H$5:$H$1000,"&gt;0"))))</f>
        <v/>
      </c>
      <c r="AH295" s="62" t="n"/>
      <c r="AI295" s="62" t="n"/>
      <c r="AJ295" s="62" t="n"/>
      <c r="AK295" s="62" t="n"/>
      <c r="AL295" s="62">
        <f>IF(LEFT($C295,11)="[Jefatura] ",IFERROR(MATCH("Riesgo Normativo|"&amp;MID($C295,12,500),rDname_ADM,0),0),"")</f>
        <v/>
      </c>
      <c r="AM295" s="62">
        <f>IF(N($AL295)&gt;0,INDEX(rIni_ADM,$AL295),IF(ISNUMBER($E295),$E295,""))</f>
        <v/>
      </c>
      <c r="AN295" s="62">
        <f>IF(N($AL295)&gt;0,INDEX(rLim_ADM,$AL295),IF(ISNUMBER($F295),$F295,""))</f>
        <v/>
      </c>
    </row>
    <row r="296">
      <c r="A296" s="56">
        <f>IF(NOT((COUNTA($B296:$D296)+COUNTA($G296:$L296)+COUNTA($Q296))&gt;0),"",IF($V296="Macro",COUNTIFS($V$5:$V296,"Macro",$S$5:$S296,$S296),IF(N($U296)=0,"?",COUNTIFS(INDEX($V$5:$V$1000,1):INDEX($V$5:$V$1000,$U296-4),"Macro",INDEX($S$5:$S$1000,1):INDEX($S$5:$S$1000,$U296-4),INDEX($S$5:$S$1000,$U296-4))&amp;"."&amp;COUNTIFS($U$5:$U296,$U296,$V$5:$V296,"Sub"))))</f>
        <v/>
      </c>
      <c r="B296" s="57" t="n"/>
      <c r="C296" s="58" t="n"/>
      <c r="D296" s="58" t="n"/>
      <c r="E296" s="59">
        <f>IF(N($AL296)&gt;0,INDEX(rIni_ADM,$AL296),"")</f>
        <v/>
      </c>
      <c r="F296" s="59">
        <f>IF(N($AL296)&gt;0,INDEX(rLim_ADM,$AL296),"")</f>
        <v/>
      </c>
      <c r="G296" s="59" t="n"/>
      <c r="H296" s="60" t="n"/>
      <c r="I296" s="60" t="n"/>
      <c r="J296" s="60" t="n"/>
      <c r="K296" s="60" t="n"/>
      <c r="L296" s="60" t="n"/>
      <c r="M296" s="61">
        <f>IF(NOT((COUNTA($B296:$D296)+COUNTA($G296:$L296)+COUNTA($Q296))&gt;0),"",IF(ISNUMBER($G296),1,IF(N($W296)&gt;0,AVERAGEIFS($X$5:$X$1000,$U$5:$U$1000,ROW(),$V$5:$V$1000,"Sub"),$X296)))</f>
        <v/>
      </c>
      <c r="N296" s="56">
        <f>IF($M296="","",IF($M296&gt;=1,"Completado",IF($M296&gt;0,"En curso","Pendiente")))</f>
        <v/>
      </c>
      <c r="O296" s="56">
        <f>IF(NOT((COUNTA($B296:$D296)+COUNTA($G296:$L296)+COUNTA($Q296))&gt;0),"",IF(ISNUMBER($G296),IF(AND(ISNUMBER($AN296),$G296&gt;$AN296),"Cumplida con "&amp;($G296-$AN296)&amp;IF($G296-$AN296=1," día"," días")&amp;" de retraso","Cumplida"),IF(N($M296)&gt;=1,"Cumplida",IF(NOT(ISNUMBER($AN296)),"Sin fecha límite",IF($AN296&lt;FechaRef,"Vencida hace "&amp;(FechaRef-$AN296)&amp;IF(FechaRef-$AN296=1," día"," días"),IF($AN296=FechaRef,"Vence hoy",IF($AN296-FechaRef&lt;=DiasAlerta,"Vence en "&amp;($AN296-FechaRef)&amp;IF($AN296-FechaRef=1," día"," días"),"En plazo")))))))</f>
        <v/>
      </c>
      <c r="P296" s="62" t="n"/>
      <c r="Q296" s="58" t="n"/>
      <c r="R296" s="63">
        <f>IF(NOT((COUNTA($B296:$D296)+COUNTA($G296:$L296)+COUNTA($Q296))&gt;0),"",IF((IF($C296="","Falta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",""))="","✔ OK","⚠ "&amp;LEFT(IF($C296="","Falta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",""),LEN(IF($C296="","Falta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",""))-3)))</f>
        <v/>
      </c>
      <c r="S296" s="64">
        <f>IF(NOT((COUNTA($B296:$D296)+COUNTA($G296:$L296)+COUNTA($Q296))&gt;0),"",IF(AND($V296="Sub",N($U296)&gt;0),IF(ISNUMBER(INDEX($AM$5:$AM$1000,$U296-4)),DATE(YEAR(INDEX($AM$5:$AM$1000,$U296-4)),MONTH(INDEX($AM$5:$AM$1000,$U296-4)),1),IF(ISNUMBER(INDEX($AN$5:$AN$1000,$U296-4)),DATE(YEAR(INDEX($AN$5:$AN$1000,$U296-4)),MONTH(INDEX($AN$5:$AN$1000,$U296-4)),1),MesCiclo)),IF(ISNUMBER($AM296),DATE(YEAR($AM296),MONTH($AM296),1),IF(ISNUMBER($AN296),DATE(YEAR($AN296),MONTH($AN296),1),MesCiclo))))</f>
        <v/>
      </c>
      <c r="T296" s="62">
        <f>IF(OR($S296="",$S296&lt;&gt;MesCiclo),"",COUNTIF($S$5:$S296,MesCiclo))</f>
        <v/>
      </c>
      <c r="U296" s="62">
        <f>IF($V296="","",IF($V296="Macro",ROW(),IFERROR(LOOKUP(2,1/($V$5:$V296="Macro"),ROW($V$5:$V296)),0)))</f>
        <v/>
      </c>
      <c r="V296" s="62">
        <f>IF(NOT((COUNTA($B296:$D296)+COUNTA($G296:$L296)+COUNTA($Q296))&gt;0),"",IF($B296="Subactividad","Sub","Macro"))</f>
        <v/>
      </c>
      <c r="W296" s="62">
        <f>IF($V296="Macro",COUNTIFS($U$5:$U$1000,ROW(),$V$5:$V$1000,"Sub"),"")</f>
        <v/>
      </c>
      <c r="X296" s="62">
        <f>IF($V296="","",IF(ISNUMBER($G296),1,IFERROR(LOOKUP(2,1/($I296:$L296&lt;&gt;""),$I296:$L296),0)))</f>
        <v/>
      </c>
      <c r="Y296" s="62">
        <f>IF($V296="","",IF(AND(ISNUMBER($G296),$G296&lt;=IF($S296=MesCiclo,InicioCiclo,$S296+MOD(2-WEEKDAY($S296),7))+6),1,IF(ISNUMBER($I296),$I296,0)))</f>
        <v/>
      </c>
      <c r="Z296" s="62">
        <f>IF($V296="","",IF(AND(ISNUMBER($G296),$G296&lt;=IF($S296=MesCiclo,InicioCiclo,$S296+MOD(2-WEEKDAY($S296),7))+13),1,IF(ISNUMBER($J296),$J296,$Y296)))</f>
        <v/>
      </c>
      <c r="AA296" s="62">
        <f>IF($V296="","",IF(AND(ISNUMBER($G296),$G296&lt;=IF($S296=MesCiclo,InicioCiclo,$S296+MOD(2-WEEKDAY($S296),7))+20),1,IF(ISNUMBER($K296),$K296,$Z296)))</f>
        <v/>
      </c>
      <c r="AB296" s="62">
        <f>IF($V296="","",IF(AND(ISNUMBER($G296),$G296&lt;=IF($S296=MesCiclo,InicioCiclo,$S296+MOD(2-WEEKDAY($S296),7))+27),1,IF(ISNUMBER($L296),$L296,$AA296)))</f>
        <v/>
      </c>
      <c r="AC296" s="62">
        <f>IF($V296="","",IF(AND(ISNUMBER($G296),$G296&lt;=IF($S296=MesCiclo,InicioCiclo,$S296+MOD(2-WEEKDAY($S296),7))+6),1,IF(N($W296)&gt;0,AVERAGEIFS($Y$5:$Y$1000,$U$5:$U$1000,ROW(),$V$5:$V$1000,"Sub"),$Y296)))</f>
        <v/>
      </c>
      <c r="AD296" s="62">
        <f>IF($V296="","",IF(AND(ISNUMBER($G296),$G296&lt;=IF($S296=MesCiclo,InicioCiclo,$S296+MOD(2-WEEKDAY($S296),7))+13),1,IF(N($W296)&gt;0,AVERAGEIFS($Z$5:$Z$1000,$U$5:$U$1000,ROW(),$V$5:$V$1000,"Sub"),$Z296)))</f>
        <v/>
      </c>
      <c r="AE296" s="62">
        <f>IF($V296="","",IF(AND(ISNUMBER($G296),$G296&lt;=IF($S296=MesCiclo,InicioCiclo,$S296+MOD(2-WEEKDAY($S296),7))+20),1,IF(N($W296)&gt;0,AVERAGEIFS($AA$5:$AA$1000,$U$5:$U$1000,ROW(),$V$5:$V$1000,"Sub"),$AA296)))</f>
        <v/>
      </c>
      <c r="AF296" s="62">
        <f>IF($V296="","",IF(AND(ISNUMBER($G296),$G296&lt;=IF($S296=MesCiclo,InicioCiclo,$S296+MOD(2-WEEKDAY($S296),7))+27),1,IF(N($W296)&gt;0,AVERAGEIFS($AB$5:$AB$1000,$U$5:$U$1000,ROW(),$V$5:$V$1000,"Sub"),$AB296)))</f>
        <v/>
      </c>
      <c r="AG296" s="62">
        <f>IF($V296&lt;&gt;"Macro","",IF(COUNTIFS($S$5:$S$1000,$S296,$V$5:$V$1000,"Macro",$H$5:$H$1000,"&gt;0")=0,1/COUNTIFS($S$5:$S$1000,$S296,$V$5:$V$1000,"Macro"),IF(AND(ISNUMBER($H296),N($H296)&gt;0),$H296,SUMIFS($H$5:$H$1000,$S$5:$S$1000,$S296,$V$5:$V$1000,"Macro")/COUNTIFS($S$5:$S$1000,$S296,$V$5:$V$1000,"Macro",$H$5:$H$1000,"&gt;0"))/(COUNTIFS($S$5:$S$1000,$S296,$V$5:$V$1000,"Macro")*SUMIFS($H$5:$H$1000,$S$5:$S$1000,$S296,$V$5:$V$1000,"Macro")/COUNTIFS($S$5:$S$1000,$S296,$V$5:$V$1000,"Macro",$H$5:$H$1000,"&gt;0"))))</f>
        <v/>
      </c>
      <c r="AH296" s="62" t="n"/>
      <c r="AI296" s="62" t="n"/>
      <c r="AJ296" s="62" t="n"/>
      <c r="AK296" s="62" t="n"/>
      <c r="AL296" s="62">
        <f>IF(LEFT($C296,11)="[Jefatura] ",IFERROR(MATCH("Riesgo Normativo|"&amp;MID($C296,12,500),rDname_ADM,0),0),"")</f>
        <v/>
      </c>
      <c r="AM296" s="62">
        <f>IF(N($AL296)&gt;0,INDEX(rIni_ADM,$AL296),IF(ISNUMBER($E296),$E296,""))</f>
        <v/>
      </c>
      <c r="AN296" s="62">
        <f>IF(N($AL296)&gt;0,INDEX(rLim_ADM,$AL296),IF(ISNUMBER($F296),$F296,""))</f>
        <v/>
      </c>
    </row>
    <row r="297">
      <c r="A297" s="56">
        <f>IF(NOT((COUNTA($B297:$D297)+COUNTA($G297:$L297)+COUNTA($Q297))&gt;0),"",IF($V297="Macro",COUNTIFS($V$5:$V297,"Macro",$S$5:$S297,$S297),IF(N($U297)=0,"?",COUNTIFS(INDEX($V$5:$V$1000,1):INDEX($V$5:$V$1000,$U297-4),"Macro",INDEX($S$5:$S$1000,1):INDEX($S$5:$S$1000,$U297-4),INDEX($S$5:$S$1000,$U297-4))&amp;"."&amp;COUNTIFS($U$5:$U297,$U297,$V$5:$V297,"Sub"))))</f>
        <v/>
      </c>
      <c r="B297" s="57" t="n"/>
      <c r="C297" s="58" t="n"/>
      <c r="D297" s="58" t="n"/>
      <c r="E297" s="59">
        <f>IF(N($AL297)&gt;0,INDEX(rIni_ADM,$AL297),"")</f>
        <v/>
      </c>
      <c r="F297" s="59">
        <f>IF(N($AL297)&gt;0,INDEX(rLim_ADM,$AL297),"")</f>
        <v/>
      </c>
      <c r="G297" s="59" t="n"/>
      <c r="H297" s="60" t="n"/>
      <c r="I297" s="60" t="n"/>
      <c r="J297" s="60" t="n"/>
      <c r="K297" s="60" t="n"/>
      <c r="L297" s="60" t="n"/>
      <c r="M297" s="61">
        <f>IF(NOT((COUNTA($B297:$D297)+COUNTA($G297:$L297)+COUNTA($Q297))&gt;0),"",IF(ISNUMBER($G297),1,IF(N($W297)&gt;0,AVERAGEIFS($X$5:$X$1000,$U$5:$U$1000,ROW(),$V$5:$V$1000,"Sub"),$X297)))</f>
        <v/>
      </c>
      <c r="N297" s="56">
        <f>IF($M297="","",IF($M297&gt;=1,"Completado",IF($M297&gt;0,"En curso","Pendiente")))</f>
        <v/>
      </c>
      <c r="O297" s="56">
        <f>IF(NOT((COUNTA($B297:$D297)+COUNTA($G297:$L297)+COUNTA($Q297))&gt;0),"",IF(ISNUMBER($G297),IF(AND(ISNUMBER($AN297),$G297&gt;$AN297),"Cumplida con "&amp;($G297-$AN297)&amp;IF($G297-$AN297=1," día"," días")&amp;" de retraso","Cumplida"),IF(N($M297)&gt;=1,"Cumplida",IF(NOT(ISNUMBER($AN297)),"Sin fecha límite",IF($AN297&lt;FechaRef,"Vencida hace "&amp;(FechaRef-$AN297)&amp;IF(FechaRef-$AN297=1," día"," días"),IF($AN297=FechaRef,"Vence hoy",IF($AN297-FechaRef&lt;=DiasAlerta,"Vence en "&amp;($AN297-FechaRef)&amp;IF($AN297-FechaRef=1," día"," días"),"En plazo")))))))</f>
        <v/>
      </c>
      <c r="P297" s="62" t="n"/>
      <c r="Q297" s="58" t="n"/>
      <c r="R297" s="63">
        <f>IF(NOT((COUNTA($B297:$D297)+COUNTA($G297:$L297)+COUNTA($Q297))&gt;0),"",IF((IF($C297="","Falta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",""))="","✔ OK","⚠ "&amp;LEFT(IF($C297="","Falta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",""),LEN(IF($C297="","Falta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",""))-3)))</f>
        <v/>
      </c>
      <c r="S297" s="64">
        <f>IF(NOT((COUNTA($B297:$D297)+COUNTA($G297:$L297)+COUNTA($Q297))&gt;0),"",IF(AND($V297="Sub",N($U297)&gt;0),IF(ISNUMBER(INDEX($AM$5:$AM$1000,$U297-4)),DATE(YEAR(INDEX($AM$5:$AM$1000,$U297-4)),MONTH(INDEX($AM$5:$AM$1000,$U297-4)),1),IF(ISNUMBER(INDEX($AN$5:$AN$1000,$U297-4)),DATE(YEAR(INDEX($AN$5:$AN$1000,$U297-4)),MONTH(INDEX($AN$5:$AN$1000,$U297-4)),1),MesCiclo)),IF(ISNUMBER($AM297),DATE(YEAR($AM297),MONTH($AM297),1),IF(ISNUMBER($AN297),DATE(YEAR($AN297),MONTH($AN297),1),MesCiclo))))</f>
        <v/>
      </c>
      <c r="T297" s="62">
        <f>IF(OR($S297="",$S297&lt;&gt;MesCiclo),"",COUNTIF($S$5:$S297,MesCiclo))</f>
        <v/>
      </c>
      <c r="U297" s="62">
        <f>IF($V297="","",IF($V297="Macro",ROW(),IFERROR(LOOKUP(2,1/($V$5:$V297="Macro"),ROW($V$5:$V297)),0)))</f>
        <v/>
      </c>
      <c r="V297" s="62">
        <f>IF(NOT((COUNTA($B297:$D297)+COUNTA($G297:$L297)+COUNTA($Q297))&gt;0),"",IF($B297="Subactividad","Sub","Macro"))</f>
        <v/>
      </c>
      <c r="W297" s="62">
        <f>IF($V297="Macro",COUNTIFS($U$5:$U$1000,ROW(),$V$5:$V$1000,"Sub"),"")</f>
        <v/>
      </c>
      <c r="X297" s="62">
        <f>IF($V297="","",IF(ISNUMBER($G297),1,IFERROR(LOOKUP(2,1/($I297:$L297&lt;&gt;""),$I297:$L297),0)))</f>
        <v/>
      </c>
      <c r="Y297" s="62">
        <f>IF($V297="","",IF(AND(ISNUMBER($G297),$G297&lt;=IF($S297=MesCiclo,InicioCiclo,$S297+MOD(2-WEEKDAY($S297),7))+6),1,IF(ISNUMBER($I297),$I297,0)))</f>
        <v/>
      </c>
      <c r="Z297" s="62">
        <f>IF($V297="","",IF(AND(ISNUMBER($G297),$G297&lt;=IF($S297=MesCiclo,InicioCiclo,$S297+MOD(2-WEEKDAY($S297),7))+13),1,IF(ISNUMBER($J297),$J297,$Y297)))</f>
        <v/>
      </c>
      <c r="AA297" s="62">
        <f>IF($V297="","",IF(AND(ISNUMBER($G297),$G297&lt;=IF($S297=MesCiclo,InicioCiclo,$S297+MOD(2-WEEKDAY($S297),7))+20),1,IF(ISNUMBER($K297),$K297,$Z297)))</f>
        <v/>
      </c>
      <c r="AB297" s="62">
        <f>IF($V297="","",IF(AND(ISNUMBER($G297),$G297&lt;=IF($S297=MesCiclo,InicioCiclo,$S297+MOD(2-WEEKDAY($S297),7))+27),1,IF(ISNUMBER($L297),$L297,$AA297)))</f>
        <v/>
      </c>
      <c r="AC297" s="62">
        <f>IF($V297="","",IF(AND(ISNUMBER($G297),$G297&lt;=IF($S297=MesCiclo,InicioCiclo,$S297+MOD(2-WEEKDAY($S297),7))+6),1,IF(N($W297)&gt;0,AVERAGEIFS($Y$5:$Y$1000,$U$5:$U$1000,ROW(),$V$5:$V$1000,"Sub"),$Y297)))</f>
        <v/>
      </c>
      <c r="AD297" s="62">
        <f>IF($V297="","",IF(AND(ISNUMBER($G297),$G297&lt;=IF($S297=MesCiclo,InicioCiclo,$S297+MOD(2-WEEKDAY($S297),7))+13),1,IF(N($W297)&gt;0,AVERAGEIFS($Z$5:$Z$1000,$U$5:$U$1000,ROW(),$V$5:$V$1000,"Sub"),$Z297)))</f>
        <v/>
      </c>
      <c r="AE297" s="62">
        <f>IF($V297="","",IF(AND(ISNUMBER($G297),$G297&lt;=IF($S297=MesCiclo,InicioCiclo,$S297+MOD(2-WEEKDAY($S297),7))+20),1,IF(N($W297)&gt;0,AVERAGEIFS($AA$5:$AA$1000,$U$5:$U$1000,ROW(),$V$5:$V$1000,"Sub"),$AA297)))</f>
        <v/>
      </c>
      <c r="AF297" s="62">
        <f>IF($V297="","",IF(AND(ISNUMBER($G297),$G297&lt;=IF($S297=MesCiclo,InicioCiclo,$S297+MOD(2-WEEKDAY($S297),7))+27),1,IF(N($W297)&gt;0,AVERAGEIFS($AB$5:$AB$1000,$U$5:$U$1000,ROW(),$V$5:$V$1000,"Sub"),$AB297)))</f>
        <v/>
      </c>
      <c r="AG297" s="62">
        <f>IF($V297&lt;&gt;"Macro","",IF(COUNTIFS($S$5:$S$1000,$S297,$V$5:$V$1000,"Macro",$H$5:$H$1000,"&gt;0")=0,1/COUNTIFS($S$5:$S$1000,$S297,$V$5:$V$1000,"Macro"),IF(AND(ISNUMBER($H297),N($H297)&gt;0),$H297,SUMIFS($H$5:$H$1000,$S$5:$S$1000,$S297,$V$5:$V$1000,"Macro")/COUNTIFS($S$5:$S$1000,$S297,$V$5:$V$1000,"Macro",$H$5:$H$1000,"&gt;0"))/(COUNTIFS($S$5:$S$1000,$S297,$V$5:$V$1000,"Macro")*SUMIFS($H$5:$H$1000,$S$5:$S$1000,$S297,$V$5:$V$1000,"Macro")/COUNTIFS($S$5:$S$1000,$S297,$V$5:$V$1000,"Macro",$H$5:$H$1000,"&gt;0"))))</f>
        <v/>
      </c>
      <c r="AH297" s="62" t="n"/>
      <c r="AI297" s="62" t="n"/>
      <c r="AJ297" s="62" t="n"/>
      <c r="AK297" s="62" t="n"/>
      <c r="AL297" s="62">
        <f>IF(LEFT($C297,11)="[Jefatura] ",IFERROR(MATCH("Riesgo Normativo|"&amp;MID($C297,12,500),rDname_ADM,0),0),"")</f>
        <v/>
      </c>
      <c r="AM297" s="62">
        <f>IF(N($AL297)&gt;0,INDEX(rIni_ADM,$AL297),IF(ISNUMBER($E297),$E297,""))</f>
        <v/>
      </c>
      <c r="AN297" s="62">
        <f>IF(N($AL297)&gt;0,INDEX(rLim_ADM,$AL297),IF(ISNUMBER($F297),$F297,""))</f>
        <v/>
      </c>
    </row>
    <row r="298">
      <c r="A298" s="56">
        <f>IF(NOT((COUNTA($B298:$D298)+COUNTA($G298:$L298)+COUNTA($Q298))&gt;0),"",IF($V298="Macro",COUNTIFS($V$5:$V298,"Macro",$S$5:$S298,$S298),IF(N($U298)=0,"?",COUNTIFS(INDEX($V$5:$V$1000,1):INDEX($V$5:$V$1000,$U298-4),"Macro",INDEX($S$5:$S$1000,1):INDEX($S$5:$S$1000,$U298-4),INDEX($S$5:$S$1000,$U298-4))&amp;"."&amp;COUNTIFS($U$5:$U298,$U298,$V$5:$V298,"Sub"))))</f>
        <v/>
      </c>
      <c r="B298" s="57" t="n"/>
      <c r="C298" s="58" t="n"/>
      <c r="D298" s="58" t="n"/>
      <c r="E298" s="59">
        <f>IF(N($AL298)&gt;0,INDEX(rIni_ADM,$AL298),"")</f>
        <v/>
      </c>
      <c r="F298" s="59">
        <f>IF(N($AL298)&gt;0,INDEX(rLim_ADM,$AL298),"")</f>
        <v/>
      </c>
      <c r="G298" s="59" t="n"/>
      <c r="H298" s="60" t="n"/>
      <c r="I298" s="60" t="n"/>
      <c r="J298" s="60" t="n"/>
      <c r="K298" s="60" t="n"/>
      <c r="L298" s="60" t="n"/>
      <c r="M298" s="61">
        <f>IF(NOT((COUNTA($B298:$D298)+COUNTA($G298:$L298)+COUNTA($Q298))&gt;0),"",IF(ISNUMBER($G298),1,IF(N($W298)&gt;0,AVERAGEIFS($X$5:$X$1000,$U$5:$U$1000,ROW(),$V$5:$V$1000,"Sub"),$X298)))</f>
        <v/>
      </c>
      <c r="N298" s="56">
        <f>IF($M298="","",IF($M298&gt;=1,"Completado",IF($M298&gt;0,"En curso","Pendiente")))</f>
        <v/>
      </c>
      <c r="O298" s="56">
        <f>IF(NOT((COUNTA($B298:$D298)+COUNTA($G298:$L298)+COUNTA($Q298))&gt;0),"",IF(ISNUMBER($G298),IF(AND(ISNUMBER($AN298),$G298&gt;$AN298),"Cumplida con "&amp;($G298-$AN298)&amp;IF($G298-$AN298=1," día"," días")&amp;" de retraso","Cumplida"),IF(N($M298)&gt;=1,"Cumplida",IF(NOT(ISNUMBER($AN298)),"Sin fecha límite",IF($AN298&lt;FechaRef,"Vencida hace "&amp;(FechaRef-$AN298)&amp;IF(FechaRef-$AN298=1," día"," días"),IF($AN298=FechaRef,"Vence hoy",IF($AN298-FechaRef&lt;=DiasAlerta,"Vence en "&amp;($AN298-FechaRef)&amp;IF($AN298-FechaRef=1," día"," días"),"En plazo")))))))</f>
        <v/>
      </c>
      <c r="P298" s="62" t="n"/>
      <c r="Q298" s="58" t="n"/>
      <c r="R298" s="63">
        <f>IF(NOT((COUNTA($B298:$D298)+COUNTA($G298:$L298)+COUNTA($Q298))&gt;0),"",IF((IF($C298="","Falta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",""))="","✔ OK","⚠ "&amp;LEFT(IF($C298="","Falta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",""),LEN(IF($C298="","Falta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",""))-3)))</f>
        <v/>
      </c>
      <c r="S298" s="64">
        <f>IF(NOT((COUNTA($B298:$D298)+COUNTA($G298:$L298)+COUNTA($Q298))&gt;0),"",IF(AND($V298="Sub",N($U298)&gt;0),IF(ISNUMBER(INDEX($AM$5:$AM$1000,$U298-4)),DATE(YEAR(INDEX($AM$5:$AM$1000,$U298-4)),MONTH(INDEX($AM$5:$AM$1000,$U298-4)),1),IF(ISNUMBER(INDEX($AN$5:$AN$1000,$U298-4)),DATE(YEAR(INDEX($AN$5:$AN$1000,$U298-4)),MONTH(INDEX($AN$5:$AN$1000,$U298-4)),1),MesCiclo)),IF(ISNUMBER($AM298),DATE(YEAR($AM298),MONTH($AM298),1),IF(ISNUMBER($AN298),DATE(YEAR($AN298),MONTH($AN298),1),MesCiclo))))</f>
        <v/>
      </c>
      <c r="T298" s="62">
        <f>IF(OR($S298="",$S298&lt;&gt;MesCiclo),"",COUNTIF($S$5:$S298,MesCiclo))</f>
        <v/>
      </c>
      <c r="U298" s="62">
        <f>IF($V298="","",IF($V298="Macro",ROW(),IFERROR(LOOKUP(2,1/($V$5:$V298="Macro"),ROW($V$5:$V298)),0)))</f>
        <v/>
      </c>
      <c r="V298" s="62">
        <f>IF(NOT((COUNTA($B298:$D298)+COUNTA($G298:$L298)+COUNTA($Q298))&gt;0),"",IF($B298="Subactividad","Sub","Macro"))</f>
        <v/>
      </c>
      <c r="W298" s="62">
        <f>IF($V298="Macro",COUNTIFS($U$5:$U$1000,ROW(),$V$5:$V$1000,"Sub"),"")</f>
        <v/>
      </c>
      <c r="X298" s="62">
        <f>IF($V298="","",IF(ISNUMBER($G298),1,IFERROR(LOOKUP(2,1/($I298:$L298&lt;&gt;""),$I298:$L298),0)))</f>
        <v/>
      </c>
      <c r="Y298" s="62">
        <f>IF($V298="","",IF(AND(ISNUMBER($G298),$G298&lt;=IF($S298=MesCiclo,InicioCiclo,$S298+MOD(2-WEEKDAY($S298),7))+6),1,IF(ISNUMBER($I298),$I298,0)))</f>
        <v/>
      </c>
      <c r="Z298" s="62">
        <f>IF($V298="","",IF(AND(ISNUMBER($G298),$G298&lt;=IF($S298=MesCiclo,InicioCiclo,$S298+MOD(2-WEEKDAY($S298),7))+13),1,IF(ISNUMBER($J298),$J298,$Y298)))</f>
        <v/>
      </c>
      <c r="AA298" s="62">
        <f>IF($V298="","",IF(AND(ISNUMBER($G298),$G298&lt;=IF($S298=MesCiclo,InicioCiclo,$S298+MOD(2-WEEKDAY($S298),7))+20),1,IF(ISNUMBER($K298),$K298,$Z298)))</f>
        <v/>
      </c>
      <c r="AB298" s="62">
        <f>IF($V298="","",IF(AND(ISNUMBER($G298),$G298&lt;=IF($S298=MesCiclo,InicioCiclo,$S298+MOD(2-WEEKDAY($S298),7))+27),1,IF(ISNUMBER($L298),$L298,$AA298)))</f>
        <v/>
      </c>
      <c r="AC298" s="62">
        <f>IF($V298="","",IF(AND(ISNUMBER($G298),$G298&lt;=IF($S298=MesCiclo,InicioCiclo,$S298+MOD(2-WEEKDAY($S298),7))+6),1,IF(N($W298)&gt;0,AVERAGEIFS($Y$5:$Y$1000,$U$5:$U$1000,ROW(),$V$5:$V$1000,"Sub"),$Y298)))</f>
        <v/>
      </c>
      <c r="AD298" s="62">
        <f>IF($V298="","",IF(AND(ISNUMBER($G298),$G298&lt;=IF($S298=MesCiclo,InicioCiclo,$S298+MOD(2-WEEKDAY($S298),7))+13),1,IF(N($W298)&gt;0,AVERAGEIFS($Z$5:$Z$1000,$U$5:$U$1000,ROW(),$V$5:$V$1000,"Sub"),$Z298)))</f>
        <v/>
      </c>
      <c r="AE298" s="62">
        <f>IF($V298="","",IF(AND(ISNUMBER($G298),$G298&lt;=IF($S298=MesCiclo,InicioCiclo,$S298+MOD(2-WEEKDAY($S298),7))+20),1,IF(N($W298)&gt;0,AVERAGEIFS($AA$5:$AA$1000,$U$5:$U$1000,ROW(),$V$5:$V$1000,"Sub"),$AA298)))</f>
        <v/>
      </c>
      <c r="AF298" s="62">
        <f>IF($V298="","",IF(AND(ISNUMBER($G298),$G298&lt;=IF($S298=MesCiclo,InicioCiclo,$S298+MOD(2-WEEKDAY($S298),7))+27),1,IF(N($W298)&gt;0,AVERAGEIFS($AB$5:$AB$1000,$U$5:$U$1000,ROW(),$V$5:$V$1000,"Sub"),$AB298)))</f>
        <v/>
      </c>
      <c r="AG298" s="62">
        <f>IF($V298&lt;&gt;"Macro","",IF(COUNTIFS($S$5:$S$1000,$S298,$V$5:$V$1000,"Macro",$H$5:$H$1000,"&gt;0")=0,1/COUNTIFS($S$5:$S$1000,$S298,$V$5:$V$1000,"Macro"),IF(AND(ISNUMBER($H298),N($H298)&gt;0),$H298,SUMIFS($H$5:$H$1000,$S$5:$S$1000,$S298,$V$5:$V$1000,"Macro")/COUNTIFS($S$5:$S$1000,$S298,$V$5:$V$1000,"Macro",$H$5:$H$1000,"&gt;0"))/(COUNTIFS($S$5:$S$1000,$S298,$V$5:$V$1000,"Macro")*SUMIFS($H$5:$H$1000,$S$5:$S$1000,$S298,$V$5:$V$1000,"Macro")/COUNTIFS($S$5:$S$1000,$S298,$V$5:$V$1000,"Macro",$H$5:$H$1000,"&gt;0"))))</f>
        <v/>
      </c>
      <c r="AH298" s="62" t="n"/>
      <c r="AI298" s="62" t="n"/>
      <c r="AJ298" s="62" t="n"/>
      <c r="AK298" s="62" t="n"/>
      <c r="AL298" s="62">
        <f>IF(LEFT($C298,11)="[Jefatura] ",IFERROR(MATCH("Riesgo Normativo|"&amp;MID($C298,12,500),rDname_ADM,0),0),"")</f>
        <v/>
      </c>
      <c r="AM298" s="62">
        <f>IF(N($AL298)&gt;0,INDEX(rIni_ADM,$AL298),IF(ISNUMBER($E298),$E298,""))</f>
        <v/>
      </c>
      <c r="AN298" s="62">
        <f>IF(N($AL298)&gt;0,INDEX(rLim_ADM,$AL298),IF(ISNUMBER($F298),$F298,""))</f>
        <v/>
      </c>
    </row>
    <row r="299">
      <c r="A299" s="56">
        <f>IF(NOT((COUNTA($B299:$D299)+COUNTA($G299:$L299)+COUNTA($Q299))&gt;0),"",IF($V299="Macro",COUNTIFS($V$5:$V299,"Macro",$S$5:$S299,$S299),IF(N($U299)=0,"?",COUNTIFS(INDEX($V$5:$V$1000,1):INDEX($V$5:$V$1000,$U299-4),"Macro",INDEX($S$5:$S$1000,1):INDEX($S$5:$S$1000,$U299-4),INDEX($S$5:$S$1000,$U299-4))&amp;"."&amp;COUNTIFS($U$5:$U299,$U299,$V$5:$V299,"Sub"))))</f>
        <v/>
      </c>
      <c r="B299" s="57" t="n"/>
      <c r="C299" s="58" t="n"/>
      <c r="D299" s="58" t="n"/>
      <c r="E299" s="59">
        <f>IF(N($AL299)&gt;0,INDEX(rIni_ADM,$AL299),"")</f>
        <v/>
      </c>
      <c r="F299" s="59">
        <f>IF(N($AL299)&gt;0,INDEX(rLim_ADM,$AL299),"")</f>
        <v/>
      </c>
      <c r="G299" s="59" t="n"/>
      <c r="H299" s="60" t="n"/>
      <c r="I299" s="60" t="n"/>
      <c r="J299" s="60" t="n"/>
      <c r="K299" s="60" t="n"/>
      <c r="L299" s="60" t="n"/>
      <c r="M299" s="61">
        <f>IF(NOT((COUNTA($B299:$D299)+COUNTA($G299:$L299)+COUNTA($Q299))&gt;0),"",IF(ISNUMBER($G299),1,IF(N($W299)&gt;0,AVERAGEIFS($X$5:$X$1000,$U$5:$U$1000,ROW(),$V$5:$V$1000,"Sub"),$X299)))</f>
        <v/>
      </c>
      <c r="N299" s="56">
        <f>IF($M299="","",IF($M299&gt;=1,"Completado",IF($M299&gt;0,"En curso","Pendiente")))</f>
        <v/>
      </c>
      <c r="O299" s="56">
        <f>IF(NOT((COUNTA($B299:$D299)+COUNTA($G299:$L299)+COUNTA($Q299))&gt;0),"",IF(ISNUMBER($G299),IF(AND(ISNUMBER($AN299),$G299&gt;$AN299),"Cumplida con "&amp;($G299-$AN299)&amp;IF($G299-$AN299=1," día"," días")&amp;" de retraso","Cumplida"),IF(N($M299)&gt;=1,"Cumplida",IF(NOT(ISNUMBER($AN299)),"Sin fecha límite",IF($AN299&lt;FechaRef,"Vencida hace "&amp;(FechaRef-$AN299)&amp;IF(FechaRef-$AN299=1," día"," días"),IF($AN299=FechaRef,"Vence hoy",IF($AN299-FechaRef&lt;=DiasAlerta,"Vence en "&amp;($AN299-FechaRef)&amp;IF($AN299-FechaRef=1," día"," días"),"En plazo")))))))</f>
        <v/>
      </c>
      <c r="P299" s="62" t="n"/>
      <c r="Q299" s="58" t="n"/>
      <c r="R299" s="63">
        <f>IF(NOT((COUNTA($B299:$D299)+COUNTA($G299:$L299)+COUNTA($Q299))&gt;0),"",IF((IF($C299="","Falta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",""))="","✔ OK","⚠ "&amp;LEFT(IF($C299="","Falta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",""),LEN(IF($C299="","Falta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",""))-3)))</f>
        <v/>
      </c>
      <c r="S299" s="64">
        <f>IF(NOT((COUNTA($B299:$D299)+COUNTA($G299:$L299)+COUNTA($Q299))&gt;0),"",IF(AND($V299="Sub",N($U299)&gt;0),IF(ISNUMBER(INDEX($AM$5:$AM$1000,$U299-4)),DATE(YEAR(INDEX($AM$5:$AM$1000,$U299-4)),MONTH(INDEX($AM$5:$AM$1000,$U299-4)),1),IF(ISNUMBER(INDEX($AN$5:$AN$1000,$U299-4)),DATE(YEAR(INDEX($AN$5:$AN$1000,$U299-4)),MONTH(INDEX($AN$5:$AN$1000,$U299-4)),1),MesCiclo)),IF(ISNUMBER($AM299),DATE(YEAR($AM299),MONTH($AM299),1),IF(ISNUMBER($AN299),DATE(YEAR($AN299),MONTH($AN299),1),MesCiclo))))</f>
        <v/>
      </c>
      <c r="T299" s="62">
        <f>IF(OR($S299="",$S299&lt;&gt;MesCiclo),"",COUNTIF($S$5:$S299,MesCiclo))</f>
        <v/>
      </c>
      <c r="U299" s="62">
        <f>IF($V299="","",IF($V299="Macro",ROW(),IFERROR(LOOKUP(2,1/($V$5:$V299="Macro"),ROW($V$5:$V299)),0)))</f>
        <v/>
      </c>
      <c r="V299" s="62">
        <f>IF(NOT((COUNTA($B299:$D299)+COUNTA($G299:$L299)+COUNTA($Q299))&gt;0),"",IF($B299="Subactividad","Sub","Macro"))</f>
        <v/>
      </c>
      <c r="W299" s="62">
        <f>IF($V299="Macro",COUNTIFS($U$5:$U$1000,ROW(),$V$5:$V$1000,"Sub"),"")</f>
        <v/>
      </c>
      <c r="X299" s="62">
        <f>IF($V299="","",IF(ISNUMBER($G299),1,IFERROR(LOOKUP(2,1/($I299:$L299&lt;&gt;""),$I299:$L299),0)))</f>
        <v/>
      </c>
      <c r="Y299" s="62">
        <f>IF($V299="","",IF(AND(ISNUMBER($G299),$G299&lt;=IF($S299=MesCiclo,InicioCiclo,$S299+MOD(2-WEEKDAY($S299),7))+6),1,IF(ISNUMBER($I299),$I299,0)))</f>
        <v/>
      </c>
      <c r="Z299" s="62">
        <f>IF($V299="","",IF(AND(ISNUMBER($G299),$G299&lt;=IF($S299=MesCiclo,InicioCiclo,$S299+MOD(2-WEEKDAY($S299),7))+13),1,IF(ISNUMBER($J299),$J299,$Y299)))</f>
        <v/>
      </c>
      <c r="AA299" s="62">
        <f>IF($V299="","",IF(AND(ISNUMBER($G299),$G299&lt;=IF($S299=MesCiclo,InicioCiclo,$S299+MOD(2-WEEKDAY($S299),7))+20),1,IF(ISNUMBER($K299),$K299,$Z299)))</f>
        <v/>
      </c>
      <c r="AB299" s="62">
        <f>IF($V299="","",IF(AND(ISNUMBER($G299),$G299&lt;=IF($S299=MesCiclo,InicioCiclo,$S299+MOD(2-WEEKDAY($S299),7))+27),1,IF(ISNUMBER($L299),$L299,$AA299)))</f>
        <v/>
      </c>
      <c r="AC299" s="62">
        <f>IF($V299="","",IF(AND(ISNUMBER($G299),$G299&lt;=IF($S299=MesCiclo,InicioCiclo,$S299+MOD(2-WEEKDAY($S299),7))+6),1,IF(N($W299)&gt;0,AVERAGEIFS($Y$5:$Y$1000,$U$5:$U$1000,ROW(),$V$5:$V$1000,"Sub"),$Y299)))</f>
        <v/>
      </c>
      <c r="AD299" s="62">
        <f>IF($V299="","",IF(AND(ISNUMBER($G299),$G299&lt;=IF($S299=MesCiclo,InicioCiclo,$S299+MOD(2-WEEKDAY($S299),7))+13),1,IF(N($W299)&gt;0,AVERAGEIFS($Z$5:$Z$1000,$U$5:$U$1000,ROW(),$V$5:$V$1000,"Sub"),$Z299)))</f>
        <v/>
      </c>
      <c r="AE299" s="62">
        <f>IF($V299="","",IF(AND(ISNUMBER($G299),$G299&lt;=IF($S299=MesCiclo,InicioCiclo,$S299+MOD(2-WEEKDAY($S299),7))+20),1,IF(N($W299)&gt;0,AVERAGEIFS($AA$5:$AA$1000,$U$5:$U$1000,ROW(),$V$5:$V$1000,"Sub"),$AA299)))</f>
        <v/>
      </c>
      <c r="AF299" s="62">
        <f>IF($V299="","",IF(AND(ISNUMBER($G299),$G299&lt;=IF($S299=MesCiclo,InicioCiclo,$S299+MOD(2-WEEKDAY($S299),7))+27),1,IF(N($W299)&gt;0,AVERAGEIFS($AB$5:$AB$1000,$U$5:$U$1000,ROW(),$V$5:$V$1000,"Sub"),$AB299)))</f>
        <v/>
      </c>
      <c r="AG299" s="62">
        <f>IF($V299&lt;&gt;"Macro","",IF(COUNTIFS($S$5:$S$1000,$S299,$V$5:$V$1000,"Macro",$H$5:$H$1000,"&gt;0")=0,1/COUNTIFS($S$5:$S$1000,$S299,$V$5:$V$1000,"Macro"),IF(AND(ISNUMBER($H299),N($H299)&gt;0),$H299,SUMIFS($H$5:$H$1000,$S$5:$S$1000,$S299,$V$5:$V$1000,"Macro")/COUNTIFS($S$5:$S$1000,$S299,$V$5:$V$1000,"Macro",$H$5:$H$1000,"&gt;0"))/(COUNTIFS($S$5:$S$1000,$S299,$V$5:$V$1000,"Macro")*SUMIFS($H$5:$H$1000,$S$5:$S$1000,$S299,$V$5:$V$1000,"Macro")/COUNTIFS($S$5:$S$1000,$S299,$V$5:$V$1000,"Macro",$H$5:$H$1000,"&gt;0"))))</f>
        <v/>
      </c>
      <c r="AH299" s="62" t="n"/>
      <c r="AI299" s="62" t="n"/>
      <c r="AJ299" s="62" t="n"/>
      <c r="AK299" s="62" t="n"/>
      <c r="AL299" s="62">
        <f>IF(LEFT($C299,11)="[Jefatura] ",IFERROR(MATCH("Riesgo Normativo|"&amp;MID($C299,12,500),rDname_ADM,0),0),"")</f>
        <v/>
      </c>
      <c r="AM299" s="62">
        <f>IF(N($AL299)&gt;0,INDEX(rIni_ADM,$AL299),IF(ISNUMBER($E299),$E299,""))</f>
        <v/>
      </c>
      <c r="AN299" s="62">
        <f>IF(N($AL299)&gt;0,INDEX(rLim_ADM,$AL299),IF(ISNUMBER($F299),$F299,""))</f>
        <v/>
      </c>
    </row>
    <row r="300">
      <c r="A300" s="56">
        <f>IF(NOT((COUNTA($B300:$D300)+COUNTA($G300:$L300)+COUNTA($Q300))&gt;0),"",IF($V300="Macro",COUNTIFS($V$5:$V300,"Macro",$S$5:$S300,$S300),IF(N($U300)=0,"?",COUNTIFS(INDEX($V$5:$V$1000,1):INDEX($V$5:$V$1000,$U300-4),"Macro",INDEX($S$5:$S$1000,1):INDEX($S$5:$S$1000,$U300-4),INDEX($S$5:$S$1000,$U300-4))&amp;"."&amp;COUNTIFS($U$5:$U300,$U300,$V$5:$V300,"Sub"))))</f>
        <v/>
      </c>
      <c r="B300" s="57" t="n"/>
      <c r="C300" s="58" t="n"/>
      <c r="D300" s="58" t="n"/>
      <c r="E300" s="59">
        <f>IF(N($AL300)&gt;0,INDEX(rIni_ADM,$AL300),"")</f>
        <v/>
      </c>
      <c r="F300" s="59">
        <f>IF(N($AL300)&gt;0,INDEX(rLim_ADM,$AL300),"")</f>
        <v/>
      </c>
      <c r="G300" s="59" t="n"/>
      <c r="H300" s="60" t="n"/>
      <c r="I300" s="60" t="n"/>
      <c r="J300" s="60" t="n"/>
      <c r="K300" s="60" t="n"/>
      <c r="L300" s="60" t="n"/>
      <c r="M300" s="61">
        <f>IF(NOT((COUNTA($B300:$D300)+COUNTA($G300:$L300)+COUNTA($Q300))&gt;0),"",IF(ISNUMBER($G300),1,IF(N($W300)&gt;0,AVERAGEIFS($X$5:$X$1000,$U$5:$U$1000,ROW(),$V$5:$V$1000,"Sub"),$X300)))</f>
        <v/>
      </c>
      <c r="N300" s="56">
        <f>IF($M300="","",IF($M300&gt;=1,"Completado",IF($M300&gt;0,"En curso","Pendiente")))</f>
        <v/>
      </c>
      <c r="O300" s="56">
        <f>IF(NOT((COUNTA($B300:$D300)+COUNTA($G300:$L300)+COUNTA($Q300))&gt;0),"",IF(ISNUMBER($G300),IF(AND(ISNUMBER($AN300),$G300&gt;$AN300),"Cumplida con "&amp;($G300-$AN300)&amp;IF($G300-$AN300=1," día"," días")&amp;" de retraso","Cumplida"),IF(N($M300)&gt;=1,"Cumplida",IF(NOT(ISNUMBER($AN300)),"Sin fecha límite",IF($AN300&lt;FechaRef,"Vencida hace "&amp;(FechaRef-$AN300)&amp;IF(FechaRef-$AN300=1," día"," días"),IF($AN300=FechaRef,"Vence hoy",IF($AN300-FechaRef&lt;=DiasAlerta,"Vence en "&amp;($AN300-FechaRef)&amp;IF($AN300-FechaRef=1," día"," días"),"En plazo")))))))</f>
        <v/>
      </c>
      <c r="P300" s="62" t="n"/>
      <c r="Q300" s="58" t="n"/>
      <c r="R300" s="63">
        <f>IF(NOT((COUNTA($B300:$D300)+COUNTA($G300:$L300)+COUNTA($Q300))&gt;0),"",IF((IF($C300="","Falta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",""))="","✔ OK","⚠ "&amp;LEFT(IF($C300="","Falta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",""),LEN(IF($C300="","Falta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",""))-3)))</f>
        <v/>
      </c>
      <c r="S300" s="64">
        <f>IF(NOT((COUNTA($B300:$D300)+COUNTA($G300:$L300)+COUNTA($Q300))&gt;0),"",IF(AND($V300="Sub",N($U300)&gt;0),IF(ISNUMBER(INDEX($AM$5:$AM$1000,$U300-4)),DATE(YEAR(INDEX($AM$5:$AM$1000,$U300-4)),MONTH(INDEX($AM$5:$AM$1000,$U300-4)),1),IF(ISNUMBER(INDEX($AN$5:$AN$1000,$U300-4)),DATE(YEAR(INDEX($AN$5:$AN$1000,$U300-4)),MONTH(INDEX($AN$5:$AN$1000,$U300-4)),1),MesCiclo)),IF(ISNUMBER($AM300),DATE(YEAR($AM300),MONTH($AM300),1),IF(ISNUMBER($AN300),DATE(YEAR($AN300),MONTH($AN300),1),MesCiclo))))</f>
        <v/>
      </c>
      <c r="T300" s="62">
        <f>IF(OR($S300="",$S300&lt;&gt;MesCiclo),"",COUNTIF($S$5:$S300,MesCiclo))</f>
        <v/>
      </c>
      <c r="U300" s="62">
        <f>IF($V300="","",IF($V300="Macro",ROW(),IFERROR(LOOKUP(2,1/($V$5:$V300="Macro"),ROW($V$5:$V300)),0)))</f>
        <v/>
      </c>
      <c r="V300" s="62">
        <f>IF(NOT((COUNTA($B300:$D300)+COUNTA($G300:$L300)+COUNTA($Q300))&gt;0),"",IF($B300="Subactividad","Sub","Macro"))</f>
        <v/>
      </c>
      <c r="W300" s="62">
        <f>IF($V300="Macro",COUNTIFS($U$5:$U$1000,ROW(),$V$5:$V$1000,"Sub"),"")</f>
        <v/>
      </c>
      <c r="X300" s="62">
        <f>IF($V300="","",IF(ISNUMBER($G300),1,IFERROR(LOOKUP(2,1/($I300:$L300&lt;&gt;""),$I300:$L300),0)))</f>
        <v/>
      </c>
      <c r="Y300" s="62">
        <f>IF($V300="","",IF(AND(ISNUMBER($G300),$G300&lt;=IF($S300=MesCiclo,InicioCiclo,$S300+MOD(2-WEEKDAY($S300),7))+6),1,IF(ISNUMBER($I300),$I300,0)))</f>
        <v/>
      </c>
      <c r="Z300" s="62">
        <f>IF($V300="","",IF(AND(ISNUMBER($G300),$G300&lt;=IF($S300=MesCiclo,InicioCiclo,$S300+MOD(2-WEEKDAY($S300),7))+13),1,IF(ISNUMBER($J300),$J300,$Y300)))</f>
        <v/>
      </c>
      <c r="AA300" s="62">
        <f>IF($V300="","",IF(AND(ISNUMBER($G300),$G300&lt;=IF($S300=MesCiclo,InicioCiclo,$S300+MOD(2-WEEKDAY($S300),7))+20),1,IF(ISNUMBER($K300),$K300,$Z300)))</f>
        <v/>
      </c>
      <c r="AB300" s="62">
        <f>IF($V300="","",IF(AND(ISNUMBER($G300),$G300&lt;=IF($S300=MesCiclo,InicioCiclo,$S300+MOD(2-WEEKDAY($S300),7))+27),1,IF(ISNUMBER($L300),$L300,$AA300)))</f>
        <v/>
      </c>
      <c r="AC300" s="62">
        <f>IF($V300="","",IF(AND(ISNUMBER($G300),$G300&lt;=IF($S300=MesCiclo,InicioCiclo,$S300+MOD(2-WEEKDAY($S300),7))+6),1,IF(N($W300)&gt;0,AVERAGEIFS($Y$5:$Y$1000,$U$5:$U$1000,ROW(),$V$5:$V$1000,"Sub"),$Y300)))</f>
        <v/>
      </c>
      <c r="AD300" s="62">
        <f>IF($V300="","",IF(AND(ISNUMBER($G300),$G300&lt;=IF($S300=MesCiclo,InicioCiclo,$S300+MOD(2-WEEKDAY($S300),7))+13),1,IF(N($W300)&gt;0,AVERAGEIFS($Z$5:$Z$1000,$U$5:$U$1000,ROW(),$V$5:$V$1000,"Sub"),$Z300)))</f>
        <v/>
      </c>
      <c r="AE300" s="62">
        <f>IF($V300="","",IF(AND(ISNUMBER($G300),$G300&lt;=IF($S300=MesCiclo,InicioCiclo,$S300+MOD(2-WEEKDAY($S300),7))+20),1,IF(N($W300)&gt;0,AVERAGEIFS($AA$5:$AA$1000,$U$5:$U$1000,ROW(),$V$5:$V$1000,"Sub"),$AA300)))</f>
        <v/>
      </c>
      <c r="AF300" s="62">
        <f>IF($V300="","",IF(AND(ISNUMBER($G300),$G300&lt;=IF($S300=MesCiclo,InicioCiclo,$S300+MOD(2-WEEKDAY($S300),7))+27),1,IF(N($W300)&gt;0,AVERAGEIFS($AB$5:$AB$1000,$U$5:$U$1000,ROW(),$V$5:$V$1000,"Sub"),$AB300)))</f>
        <v/>
      </c>
      <c r="AG300" s="62">
        <f>IF($V300&lt;&gt;"Macro","",IF(COUNTIFS($S$5:$S$1000,$S300,$V$5:$V$1000,"Macro",$H$5:$H$1000,"&gt;0")=0,1/COUNTIFS($S$5:$S$1000,$S300,$V$5:$V$1000,"Macro"),IF(AND(ISNUMBER($H300),N($H300)&gt;0),$H300,SUMIFS($H$5:$H$1000,$S$5:$S$1000,$S300,$V$5:$V$1000,"Macro")/COUNTIFS($S$5:$S$1000,$S300,$V$5:$V$1000,"Macro",$H$5:$H$1000,"&gt;0"))/(COUNTIFS($S$5:$S$1000,$S300,$V$5:$V$1000,"Macro")*SUMIFS($H$5:$H$1000,$S$5:$S$1000,$S300,$V$5:$V$1000,"Macro")/COUNTIFS($S$5:$S$1000,$S300,$V$5:$V$1000,"Macro",$H$5:$H$1000,"&gt;0"))))</f>
        <v/>
      </c>
      <c r="AH300" s="62" t="n"/>
      <c r="AI300" s="62" t="n"/>
      <c r="AJ300" s="62" t="n"/>
      <c r="AK300" s="62" t="n"/>
      <c r="AL300" s="62">
        <f>IF(LEFT($C300,11)="[Jefatura] ",IFERROR(MATCH("Riesgo Normativo|"&amp;MID($C300,12,500),rDname_ADM,0),0),"")</f>
        <v/>
      </c>
      <c r="AM300" s="62">
        <f>IF(N($AL300)&gt;0,INDEX(rIni_ADM,$AL300),IF(ISNUMBER($E300),$E300,""))</f>
        <v/>
      </c>
      <c r="AN300" s="62">
        <f>IF(N($AL300)&gt;0,INDEX(rLim_ADM,$AL300),IF(ISNUMBER($F300),$F300,""))</f>
        <v/>
      </c>
    </row>
    <row r="301">
      <c r="A301" s="56">
        <f>IF(NOT((COUNTA($B301:$D301)+COUNTA($G301:$L301)+COUNTA($Q301))&gt;0),"",IF($V301="Macro",COUNTIFS($V$5:$V301,"Macro",$S$5:$S301,$S301),IF(N($U301)=0,"?",COUNTIFS(INDEX($V$5:$V$1000,1):INDEX($V$5:$V$1000,$U301-4),"Macro",INDEX($S$5:$S$1000,1):INDEX($S$5:$S$1000,$U301-4),INDEX($S$5:$S$1000,$U301-4))&amp;"."&amp;COUNTIFS($U$5:$U301,$U301,$V$5:$V301,"Sub"))))</f>
        <v/>
      </c>
      <c r="B301" s="57" t="n"/>
      <c r="C301" s="58" t="n"/>
      <c r="D301" s="58" t="n"/>
      <c r="E301" s="59">
        <f>IF(N($AL301)&gt;0,INDEX(rIni_ADM,$AL301),"")</f>
        <v/>
      </c>
      <c r="F301" s="59">
        <f>IF(N($AL301)&gt;0,INDEX(rLim_ADM,$AL301),"")</f>
        <v/>
      </c>
      <c r="G301" s="59" t="n"/>
      <c r="H301" s="60" t="n"/>
      <c r="I301" s="60" t="n"/>
      <c r="J301" s="60" t="n"/>
      <c r="K301" s="60" t="n"/>
      <c r="L301" s="60" t="n"/>
      <c r="M301" s="61">
        <f>IF(NOT((COUNTA($B301:$D301)+COUNTA($G301:$L301)+COUNTA($Q301))&gt;0),"",IF(ISNUMBER($G301),1,IF(N($W301)&gt;0,AVERAGEIFS($X$5:$X$1000,$U$5:$U$1000,ROW(),$V$5:$V$1000,"Sub"),$X301)))</f>
        <v/>
      </c>
      <c r="N301" s="56">
        <f>IF($M301="","",IF($M301&gt;=1,"Completado",IF($M301&gt;0,"En curso","Pendiente")))</f>
        <v/>
      </c>
      <c r="O301" s="56">
        <f>IF(NOT((COUNTA($B301:$D301)+COUNTA($G301:$L301)+COUNTA($Q301))&gt;0),"",IF(ISNUMBER($G301),IF(AND(ISNUMBER($AN301),$G301&gt;$AN301),"Cumplida con "&amp;($G301-$AN301)&amp;IF($G301-$AN301=1," día"," días")&amp;" de retraso","Cumplida"),IF(N($M301)&gt;=1,"Cumplida",IF(NOT(ISNUMBER($AN301)),"Sin fecha límite",IF($AN301&lt;FechaRef,"Vencida hace "&amp;(FechaRef-$AN301)&amp;IF(FechaRef-$AN301=1," día"," días"),IF($AN301=FechaRef,"Vence hoy",IF($AN301-FechaRef&lt;=DiasAlerta,"Vence en "&amp;($AN301-FechaRef)&amp;IF($AN301-FechaRef=1," día"," días"),"En plazo")))))))</f>
        <v/>
      </c>
      <c r="P301" s="62" t="n"/>
      <c r="Q301" s="58" t="n"/>
      <c r="R301" s="63">
        <f>IF(NOT((COUNTA($B301:$D301)+COUNTA($G301:$L301)+COUNTA($Q301))&gt;0),"",IF((IF($C301="","Falta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",""))="","✔ OK","⚠ "&amp;LEFT(IF($C301="","Falta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",""),LEN(IF($C301="","Falta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",""))-3)))</f>
        <v/>
      </c>
      <c r="S301" s="64">
        <f>IF(NOT((COUNTA($B301:$D301)+COUNTA($G301:$L301)+COUNTA($Q301))&gt;0),"",IF(AND($V301="Sub",N($U301)&gt;0),IF(ISNUMBER(INDEX($AM$5:$AM$1000,$U301-4)),DATE(YEAR(INDEX($AM$5:$AM$1000,$U301-4)),MONTH(INDEX($AM$5:$AM$1000,$U301-4)),1),IF(ISNUMBER(INDEX($AN$5:$AN$1000,$U301-4)),DATE(YEAR(INDEX($AN$5:$AN$1000,$U301-4)),MONTH(INDEX($AN$5:$AN$1000,$U301-4)),1),MesCiclo)),IF(ISNUMBER($AM301),DATE(YEAR($AM301),MONTH($AM301),1),IF(ISNUMBER($AN301),DATE(YEAR($AN301),MONTH($AN301),1),MesCiclo))))</f>
        <v/>
      </c>
      <c r="T301" s="62">
        <f>IF(OR($S301="",$S301&lt;&gt;MesCiclo),"",COUNTIF($S$5:$S301,MesCiclo))</f>
        <v/>
      </c>
      <c r="U301" s="62">
        <f>IF($V301="","",IF($V301="Macro",ROW(),IFERROR(LOOKUP(2,1/($V$5:$V301="Macro"),ROW($V$5:$V301)),0)))</f>
        <v/>
      </c>
      <c r="V301" s="62">
        <f>IF(NOT((COUNTA($B301:$D301)+COUNTA($G301:$L301)+COUNTA($Q301))&gt;0),"",IF($B301="Subactividad","Sub","Macro"))</f>
        <v/>
      </c>
      <c r="W301" s="62">
        <f>IF($V301="Macro",COUNTIFS($U$5:$U$1000,ROW(),$V$5:$V$1000,"Sub"),"")</f>
        <v/>
      </c>
      <c r="X301" s="62">
        <f>IF($V301="","",IF(ISNUMBER($G301),1,IFERROR(LOOKUP(2,1/($I301:$L301&lt;&gt;""),$I301:$L301),0)))</f>
        <v/>
      </c>
      <c r="Y301" s="62">
        <f>IF($V301="","",IF(AND(ISNUMBER($G301),$G301&lt;=IF($S301=MesCiclo,InicioCiclo,$S301+MOD(2-WEEKDAY($S301),7))+6),1,IF(ISNUMBER($I301),$I301,0)))</f>
        <v/>
      </c>
      <c r="Z301" s="62">
        <f>IF($V301="","",IF(AND(ISNUMBER($G301),$G301&lt;=IF($S301=MesCiclo,InicioCiclo,$S301+MOD(2-WEEKDAY($S301),7))+13),1,IF(ISNUMBER($J301),$J301,$Y301)))</f>
        <v/>
      </c>
      <c r="AA301" s="62">
        <f>IF($V301="","",IF(AND(ISNUMBER($G301),$G301&lt;=IF($S301=MesCiclo,InicioCiclo,$S301+MOD(2-WEEKDAY($S301),7))+20),1,IF(ISNUMBER($K301),$K301,$Z301)))</f>
        <v/>
      </c>
      <c r="AB301" s="62">
        <f>IF($V301="","",IF(AND(ISNUMBER($G301),$G301&lt;=IF($S301=MesCiclo,InicioCiclo,$S301+MOD(2-WEEKDAY($S301),7))+27),1,IF(ISNUMBER($L301),$L301,$AA301)))</f>
        <v/>
      </c>
      <c r="AC301" s="62">
        <f>IF($V301="","",IF(AND(ISNUMBER($G301),$G301&lt;=IF($S301=MesCiclo,InicioCiclo,$S301+MOD(2-WEEKDAY($S301),7))+6),1,IF(N($W301)&gt;0,AVERAGEIFS($Y$5:$Y$1000,$U$5:$U$1000,ROW(),$V$5:$V$1000,"Sub"),$Y301)))</f>
        <v/>
      </c>
      <c r="AD301" s="62">
        <f>IF($V301="","",IF(AND(ISNUMBER($G301),$G301&lt;=IF($S301=MesCiclo,InicioCiclo,$S301+MOD(2-WEEKDAY($S301),7))+13),1,IF(N($W301)&gt;0,AVERAGEIFS($Z$5:$Z$1000,$U$5:$U$1000,ROW(),$V$5:$V$1000,"Sub"),$Z301)))</f>
        <v/>
      </c>
      <c r="AE301" s="62">
        <f>IF($V301="","",IF(AND(ISNUMBER($G301),$G301&lt;=IF($S301=MesCiclo,InicioCiclo,$S301+MOD(2-WEEKDAY($S301),7))+20),1,IF(N($W301)&gt;0,AVERAGEIFS($AA$5:$AA$1000,$U$5:$U$1000,ROW(),$V$5:$V$1000,"Sub"),$AA301)))</f>
        <v/>
      </c>
      <c r="AF301" s="62">
        <f>IF($V301="","",IF(AND(ISNUMBER($G301),$G301&lt;=IF($S301=MesCiclo,InicioCiclo,$S301+MOD(2-WEEKDAY($S301),7))+27),1,IF(N($W301)&gt;0,AVERAGEIFS($AB$5:$AB$1000,$U$5:$U$1000,ROW(),$V$5:$V$1000,"Sub"),$AB301)))</f>
        <v/>
      </c>
      <c r="AG301" s="62">
        <f>IF($V301&lt;&gt;"Macro","",IF(COUNTIFS($S$5:$S$1000,$S301,$V$5:$V$1000,"Macro",$H$5:$H$1000,"&gt;0")=0,1/COUNTIFS($S$5:$S$1000,$S301,$V$5:$V$1000,"Macro"),IF(AND(ISNUMBER($H301),N($H301)&gt;0),$H301,SUMIFS($H$5:$H$1000,$S$5:$S$1000,$S301,$V$5:$V$1000,"Macro")/COUNTIFS($S$5:$S$1000,$S301,$V$5:$V$1000,"Macro",$H$5:$H$1000,"&gt;0"))/(COUNTIFS($S$5:$S$1000,$S301,$V$5:$V$1000,"Macro")*SUMIFS($H$5:$H$1000,$S$5:$S$1000,$S301,$V$5:$V$1000,"Macro")/COUNTIFS($S$5:$S$1000,$S301,$V$5:$V$1000,"Macro",$H$5:$H$1000,"&gt;0"))))</f>
        <v/>
      </c>
      <c r="AH301" s="62" t="n"/>
      <c r="AI301" s="62" t="n"/>
      <c r="AJ301" s="62" t="n"/>
      <c r="AK301" s="62" t="n"/>
      <c r="AL301" s="62">
        <f>IF(LEFT($C301,11)="[Jefatura] ",IFERROR(MATCH("Riesgo Normativo|"&amp;MID($C301,12,500),rDname_ADM,0),0),"")</f>
        <v/>
      </c>
      <c r="AM301" s="62">
        <f>IF(N($AL301)&gt;0,INDEX(rIni_ADM,$AL301),IF(ISNUMBER($E301),$E301,""))</f>
        <v/>
      </c>
      <c r="AN301" s="62">
        <f>IF(N($AL301)&gt;0,INDEX(rLim_ADM,$AL301),IF(ISNUMBER($F301),$F301,""))</f>
        <v/>
      </c>
    </row>
    <row r="302">
      <c r="A302" s="56">
        <f>IF(NOT((COUNTA($B302:$D302)+COUNTA($G302:$L302)+COUNTA($Q302))&gt;0),"",IF($V302="Macro",COUNTIFS($V$5:$V302,"Macro",$S$5:$S302,$S302),IF(N($U302)=0,"?",COUNTIFS(INDEX($V$5:$V$1000,1):INDEX($V$5:$V$1000,$U302-4),"Macro",INDEX($S$5:$S$1000,1):INDEX($S$5:$S$1000,$U302-4),INDEX($S$5:$S$1000,$U302-4))&amp;"."&amp;COUNTIFS($U$5:$U302,$U302,$V$5:$V302,"Sub"))))</f>
        <v/>
      </c>
      <c r="B302" s="57" t="n"/>
      <c r="C302" s="58" t="n"/>
      <c r="D302" s="58" t="n"/>
      <c r="E302" s="59">
        <f>IF(N($AL302)&gt;0,INDEX(rIni_ADM,$AL302),"")</f>
        <v/>
      </c>
      <c r="F302" s="59">
        <f>IF(N($AL302)&gt;0,INDEX(rLim_ADM,$AL302),"")</f>
        <v/>
      </c>
      <c r="G302" s="59" t="n"/>
      <c r="H302" s="60" t="n"/>
      <c r="I302" s="60" t="n"/>
      <c r="J302" s="60" t="n"/>
      <c r="K302" s="60" t="n"/>
      <c r="L302" s="60" t="n"/>
      <c r="M302" s="61">
        <f>IF(NOT((COUNTA($B302:$D302)+COUNTA($G302:$L302)+COUNTA($Q302))&gt;0),"",IF(ISNUMBER($G302),1,IF(N($W302)&gt;0,AVERAGEIFS($X$5:$X$1000,$U$5:$U$1000,ROW(),$V$5:$V$1000,"Sub"),$X302)))</f>
        <v/>
      </c>
      <c r="N302" s="56">
        <f>IF($M302="","",IF($M302&gt;=1,"Completado",IF($M302&gt;0,"En curso","Pendiente")))</f>
        <v/>
      </c>
      <c r="O302" s="56">
        <f>IF(NOT((COUNTA($B302:$D302)+COUNTA($G302:$L302)+COUNTA($Q302))&gt;0),"",IF(ISNUMBER($G302),IF(AND(ISNUMBER($AN302),$G302&gt;$AN302),"Cumplida con "&amp;($G302-$AN302)&amp;IF($G302-$AN302=1," día"," días")&amp;" de retraso","Cumplida"),IF(N($M302)&gt;=1,"Cumplida",IF(NOT(ISNUMBER($AN302)),"Sin fecha límite",IF($AN302&lt;FechaRef,"Vencida hace "&amp;(FechaRef-$AN302)&amp;IF(FechaRef-$AN302=1," día"," días"),IF($AN302=FechaRef,"Vence hoy",IF($AN302-FechaRef&lt;=DiasAlerta,"Vence en "&amp;($AN302-FechaRef)&amp;IF($AN302-FechaRef=1," día"," días"),"En plazo")))))))</f>
        <v/>
      </c>
      <c r="P302" s="62" t="n"/>
      <c r="Q302" s="58" t="n"/>
      <c r="R302" s="63">
        <f>IF(NOT((COUNTA($B302:$D302)+COUNTA($G302:$L302)+COUNTA($Q302))&gt;0),"",IF((IF($C302="","Falta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",""))="","✔ OK","⚠ "&amp;LEFT(IF($C302="","Falta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",""),LEN(IF($C302="","Falta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",""))-3)))</f>
        <v/>
      </c>
      <c r="S302" s="64">
        <f>IF(NOT((COUNTA($B302:$D302)+COUNTA($G302:$L302)+COUNTA($Q302))&gt;0),"",IF(AND($V302="Sub",N($U302)&gt;0),IF(ISNUMBER(INDEX($AM$5:$AM$1000,$U302-4)),DATE(YEAR(INDEX($AM$5:$AM$1000,$U302-4)),MONTH(INDEX($AM$5:$AM$1000,$U302-4)),1),IF(ISNUMBER(INDEX($AN$5:$AN$1000,$U302-4)),DATE(YEAR(INDEX($AN$5:$AN$1000,$U302-4)),MONTH(INDEX($AN$5:$AN$1000,$U302-4)),1),MesCiclo)),IF(ISNUMBER($AM302),DATE(YEAR($AM302),MONTH($AM302),1),IF(ISNUMBER($AN302),DATE(YEAR($AN302),MONTH($AN302),1),MesCiclo))))</f>
        <v/>
      </c>
      <c r="T302" s="62">
        <f>IF(OR($S302="",$S302&lt;&gt;MesCiclo),"",COUNTIF($S$5:$S302,MesCiclo))</f>
        <v/>
      </c>
      <c r="U302" s="62">
        <f>IF($V302="","",IF($V302="Macro",ROW(),IFERROR(LOOKUP(2,1/($V$5:$V302="Macro"),ROW($V$5:$V302)),0)))</f>
        <v/>
      </c>
      <c r="V302" s="62">
        <f>IF(NOT((COUNTA($B302:$D302)+COUNTA($G302:$L302)+COUNTA($Q302))&gt;0),"",IF($B302="Subactividad","Sub","Macro"))</f>
        <v/>
      </c>
      <c r="W302" s="62">
        <f>IF($V302="Macro",COUNTIFS($U$5:$U$1000,ROW(),$V$5:$V$1000,"Sub"),"")</f>
        <v/>
      </c>
      <c r="X302" s="62">
        <f>IF($V302="","",IF(ISNUMBER($G302),1,IFERROR(LOOKUP(2,1/($I302:$L302&lt;&gt;""),$I302:$L302),0)))</f>
        <v/>
      </c>
      <c r="Y302" s="62">
        <f>IF($V302="","",IF(AND(ISNUMBER($G302),$G302&lt;=IF($S302=MesCiclo,InicioCiclo,$S302+MOD(2-WEEKDAY($S302),7))+6),1,IF(ISNUMBER($I302),$I302,0)))</f>
        <v/>
      </c>
      <c r="Z302" s="62">
        <f>IF($V302="","",IF(AND(ISNUMBER($G302),$G302&lt;=IF($S302=MesCiclo,InicioCiclo,$S302+MOD(2-WEEKDAY($S302),7))+13),1,IF(ISNUMBER($J302),$J302,$Y302)))</f>
        <v/>
      </c>
      <c r="AA302" s="62">
        <f>IF($V302="","",IF(AND(ISNUMBER($G302),$G302&lt;=IF($S302=MesCiclo,InicioCiclo,$S302+MOD(2-WEEKDAY($S302),7))+20),1,IF(ISNUMBER($K302),$K302,$Z302)))</f>
        <v/>
      </c>
      <c r="AB302" s="62">
        <f>IF($V302="","",IF(AND(ISNUMBER($G302),$G302&lt;=IF($S302=MesCiclo,InicioCiclo,$S302+MOD(2-WEEKDAY($S302),7))+27),1,IF(ISNUMBER($L302),$L302,$AA302)))</f>
        <v/>
      </c>
      <c r="AC302" s="62">
        <f>IF($V302="","",IF(AND(ISNUMBER($G302),$G302&lt;=IF($S302=MesCiclo,InicioCiclo,$S302+MOD(2-WEEKDAY($S302),7))+6),1,IF(N($W302)&gt;0,AVERAGEIFS($Y$5:$Y$1000,$U$5:$U$1000,ROW(),$V$5:$V$1000,"Sub"),$Y302)))</f>
        <v/>
      </c>
      <c r="AD302" s="62">
        <f>IF($V302="","",IF(AND(ISNUMBER($G302),$G302&lt;=IF($S302=MesCiclo,InicioCiclo,$S302+MOD(2-WEEKDAY($S302),7))+13),1,IF(N($W302)&gt;0,AVERAGEIFS($Z$5:$Z$1000,$U$5:$U$1000,ROW(),$V$5:$V$1000,"Sub"),$Z302)))</f>
        <v/>
      </c>
      <c r="AE302" s="62">
        <f>IF($V302="","",IF(AND(ISNUMBER($G302),$G302&lt;=IF($S302=MesCiclo,InicioCiclo,$S302+MOD(2-WEEKDAY($S302),7))+20),1,IF(N($W302)&gt;0,AVERAGEIFS($AA$5:$AA$1000,$U$5:$U$1000,ROW(),$V$5:$V$1000,"Sub"),$AA302)))</f>
        <v/>
      </c>
      <c r="AF302" s="62">
        <f>IF($V302="","",IF(AND(ISNUMBER($G302),$G302&lt;=IF($S302=MesCiclo,InicioCiclo,$S302+MOD(2-WEEKDAY($S302),7))+27),1,IF(N($W302)&gt;0,AVERAGEIFS($AB$5:$AB$1000,$U$5:$U$1000,ROW(),$V$5:$V$1000,"Sub"),$AB302)))</f>
        <v/>
      </c>
      <c r="AG302" s="62">
        <f>IF($V302&lt;&gt;"Macro","",IF(COUNTIFS($S$5:$S$1000,$S302,$V$5:$V$1000,"Macro",$H$5:$H$1000,"&gt;0")=0,1/COUNTIFS($S$5:$S$1000,$S302,$V$5:$V$1000,"Macro"),IF(AND(ISNUMBER($H302),N($H302)&gt;0),$H302,SUMIFS($H$5:$H$1000,$S$5:$S$1000,$S302,$V$5:$V$1000,"Macro")/COUNTIFS($S$5:$S$1000,$S302,$V$5:$V$1000,"Macro",$H$5:$H$1000,"&gt;0"))/(COUNTIFS($S$5:$S$1000,$S302,$V$5:$V$1000,"Macro")*SUMIFS($H$5:$H$1000,$S$5:$S$1000,$S302,$V$5:$V$1000,"Macro")/COUNTIFS($S$5:$S$1000,$S302,$V$5:$V$1000,"Macro",$H$5:$H$1000,"&gt;0"))))</f>
        <v/>
      </c>
      <c r="AH302" s="62" t="n"/>
      <c r="AI302" s="62" t="n"/>
      <c r="AJ302" s="62" t="n"/>
      <c r="AK302" s="62" t="n"/>
      <c r="AL302" s="62">
        <f>IF(LEFT($C302,11)="[Jefatura] ",IFERROR(MATCH("Riesgo Normativo|"&amp;MID($C302,12,500),rDname_ADM,0),0),"")</f>
        <v/>
      </c>
      <c r="AM302" s="62">
        <f>IF(N($AL302)&gt;0,INDEX(rIni_ADM,$AL302),IF(ISNUMBER($E302),$E302,""))</f>
        <v/>
      </c>
      <c r="AN302" s="62">
        <f>IF(N($AL302)&gt;0,INDEX(rLim_ADM,$AL302),IF(ISNUMBER($F302),$F302,""))</f>
        <v/>
      </c>
    </row>
    <row r="303">
      <c r="A303" s="56">
        <f>IF(NOT((COUNTA($B303:$D303)+COUNTA($G303:$L303)+COUNTA($Q303))&gt;0),"",IF($V303="Macro",COUNTIFS($V$5:$V303,"Macro",$S$5:$S303,$S303),IF(N($U303)=0,"?",COUNTIFS(INDEX($V$5:$V$1000,1):INDEX($V$5:$V$1000,$U303-4),"Macro",INDEX($S$5:$S$1000,1):INDEX($S$5:$S$1000,$U303-4),INDEX($S$5:$S$1000,$U303-4))&amp;"."&amp;COUNTIFS($U$5:$U303,$U303,$V$5:$V303,"Sub"))))</f>
        <v/>
      </c>
      <c r="B303" s="57" t="n"/>
      <c r="C303" s="58" t="n"/>
      <c r="D303" s="58" t="n"/>
      <c r="E303" s="59">
        <f>IF(N($AL303)&gt;0,INDEX(rIni_ADM,$AL303),"")</f>
        <v/>
      </c>
      <c r="F303" s="59">
        <f>IF(N($AL303)&gt;0,INDEX(rLim_ADM,$AL303),"")</f>
        <v/>
      </c>
      <c r="G303" s="59" t="n"/>
      <c r="H303" s="60" t="n"/>
      <c r="I303" s="60" t="n"/>
      <c r="J303" s="60" t="n"/>
      <c r="K303" s="60" t="n"/>
      <c r="L303" s="60" t="n"/>
      <c r="M303" s="61">
        <f>IF(NOT((COUNTA($B303:$D303)+COUNTA($G303:$L303)+COUNTA($Q303))&gt;0),"",IF(ISNUMBER($G303),1,IF(N($W303)&gt;0,AVERAGEIFS($X$5:$X$1000,$U$5:$U$1000,ROW(),$V$5:$V$1000,"Sub"),$X303)))</f>
        <v/>
      </c>
      <c r="N303" s="56">
        <f>IF($M303="","",IF($M303&gt;=1,"Completado",IF($M303&gt;0,"En curso","Pendiente")))</f>
        <v/>
      </c>
      <c r="O303" s="56">
        <f>IF(NOT((COUNTA($B303:$D303)+COUNTA($G303:$L303)+COUNTA($Q303))&gt;0),"",IF(ISNUMBER($G303),IF(AND(ISNUMBER($AN303),$G303&gt;$AN303),"Cumplida con "&amp;($G303-$AN303)&amp;IF($G303-$AN303=1," día"," días")&amp;" de retraso","Cumplida"),IF(N($M303)&gt;=1,"Cumplida",IF(NOT(ISNUMBER($AN303)),"Sin fecha límite",IF($AN303&lt;FechaRef,"Vencida hace "&amp;(FechaRef-$AN303)&amp;IF(FechaRef-$AN303=1," día"," días"),IF($AN303=FechaRef,"Vence hoy",IF($AN303-FechaRef&lt;=DiasAlerta,"Vence en "&amp;($AN303-FechaRef)&amp;IF($AN303-FechaRef=1," día"," días"),"En plazo")))))))</f>
        <v/>
      </c>
      <c r="P303" s="62" t="n"/>
      <c r="Q303" s="58" t="n"/>
      <c r="R303" s="63">
        <f>IF(NOT((COUNTA($B303:$D303)+COUNTA($G303:$L303)+COUNTA($Q303))&gt;0),"",IF((IF($C303="","Falta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",""))="","✔ OK","⚠ "&amp;LEFT(IF($C303="","Falta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",""),LEN(IF($C303="","Falta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",""))-3)))</f>
        <v/>
      </c>
      <c r="S303" s="64">
        <f>IF(NOT((COUNTA($B303:$D303)+COUNTA($G303:$L303)+COUNTA($Q303))&gt;0),"",IF(AND($V303="Sub",N($U303)&gt;0),IF(ISNUMBER(INDEX($AM$5:$AM$1000,$U303-4)),DATE(YEAR(INDEX($AM$5:$AM$1000,$U303-4)),MONTH(INDEX($AM$5:$AM$1000,$U303-4)),1),IF(ISNUMBER(INDEX($AN$5:$AN$1000,$U303-4)),DATE(YEAR(INDEX($AN$5:$AN$1000,$U303-4)),MONTH(INDEX($AN$5:$AN$1000,$U303-4)),1),MesCiclo)),IF(ISNUMBER($AM303),DATE(YEAR($AM303),MONTH($AM303),1),IF(ISNUMBER($AN303),DATE(YEAR($AN303),MONTH($AN303),1),MesCiclo))))</f>
        <v/>
      </c>
      <c r="T303" s="62">
        <f>IF(OR($S303="",$S303&lt;&gt;MesCiclo),"",COUNTIF($S$5:$S303,MesCiclo))</f>
        <v/>
      </c>
      <c r="U303" s="62">
        <f>IF($V303="","",IF($V303="Macro",ROW(),IFERROR(LOOKUP(2,1/($V$5:$V303="Macro"),ROW($V$5:$V303)),0)))</f>
        <v/>
      </c>
      <c r="V303" s="62">
        <f>IF(NOT((COUNTA($B303:$D303)+COUNTA($G303:$L303)+COUNTA($Q303))&gt;0),"",IF($B303="Subactividad","Sub","Macro"))</f>
        <v/>
      </c>
      <c r="W303" s="62">
        <f>IF($V303="Macro",COUNTIFS($U$5:$U$1000,ROW(),$V$5:$V$1000,"Sub"),"")</f>
        <v/>
      </c>
      <c r="X303" s="62">
        <f>IF($V303="","",IF(ISNUMBER($G303),1,IFERROR(LOOKUP(2,1/($I303:$L303&lt;&gt;""),$I303:$L303),0)))</f>
        <v/>
      </c>
      <c r="Y303" s="62">
        <f>IF($V303="","",IF(AND(ISNUMBER($G303),$G303&lt;=IF($S303=MesCiclo,InicioCiclo,$S303+MOD(2-WEEKDAY($S303),7))+6),1,IF(ISNUMBER($I303),$I303,0)))</f>
        <v/>
      </c>
      <c r="Z303" s="62">
        <f>IF($V303="","",IF(AND(ISNUMBER($G303),$G303&lt;=IF($S303=MesCiclo,InicioCiclo,$S303+MOD(2-WEEKDAY($S303),7))+13),1,IF(ISNUMBER($J303),$J303,$Y303)))</f>
        <v/>
      </c>
      <c r="AA303" s="62">
        <f>IF($V303="","",IF(AND(ISNUMBER($G303),$G303&lt;=IF($S303=MesCiclo,InicioCiclo,$S303+MOD(2-WEEKDAY($S303),7))+20),1,IF(ISNUMBER($K303),$K303,$Z303)))</f>
        <v/>
      </c>
      <c r="AB303" s="62">
        <f>IF($V303="","",IF(AND(ISNUMBER($G303),$G303&lt;=IF($S303=MesCiclo,InicioCiclo,$S303+MOD(2-WEEKDAY($S303),7))+27),1,IF(ISNUMBER($L303),$L303,$AA303)))</f>
        <v/>
      </c>
      <c r="AC303" s="62">
        <f>IF($V303="","",IF(AND(ISNUMBER($G303),$G303&lt;=IF($S303=MesCiclo,InicioCiclo,$S303+MOD(2-WEEKDAY($S303),7))+6),1,IF(N($W303)&gt;0,AVERAGEIFS($Y$5:$Y$1000,$U$5:$U$1000,ROW(),$V$5:$V$1000,"Sub"),$Y303)))</f>
        <v/>
      </c>
      <c r="AD303" s="62">
        <f>IF($V303="","",IF(AND(ISNUMBER($G303),$G303&lt;=IF($S303=MesCiclo,InicioCiclo,$S303+MOD(2-WEEKDAY($S303),7))+13),1,IF(N($W303)&gt;0,AVERAGEIFS($Z$5:$Z$1000,$U$5:$U$1000,ROW(),$V$5:$V$1000,"Sub"),$Z303)))</f>
        <v/>
      </c>
      <c r="AE303" s="62">
        <f>IF($V303="","",IF(AND(ISNUMBER($G303),$G303&lt;=IF($S303=MesCiclo,InicioCiclo,$S303+MOD(2-WEEKDAY($S303),7))+20),1,IF(N($W303)&gt;0,AVERAGEIFS($AA$5:$AA$1000,$U$5:$U$1000,ROW(),$V$5:$V$1000,"Sub"),$AA303)))</f>
        <v/>
      </c>
      <c r="AF303" s="62">
        <f>IF($V303="","",IF(AND(ISNUMBER($G303),$G303&lt;=IF($S303=MesCiclo,InicioCiclo,$S303+MOD(2-WEEKDAY($S303),7))+27),1,IF(N($W303)&gt;0,AVERAGEIFS($AB$5:$AB$1000,$U$5:$U$1000,ROW(),$V$5:$V$1000,"Sub"),$AB303)))</f>
        <v/>
      </c>
      <c r="AG303" s="62">
        <f>IF($V303&lt;&gt;"Macro","",IF(COUNTIFS($S$5:$S$1000,$S303,$V$5:$V$1000,"Macro",$H$5:$H$1000,"&gt;0")=0,1/COUNTIFS($S$5:$S$1000,$S303,$V$5:$V$1000,"Macro"),IF(AND(ISNUMBER($H303),N($H303)&gt;0),$H303,SUMIFS($H$5:$H$1000,$S$5:$S$1000,$S303,$V$5:$V$1000,"Macro")/COUNTIFS($S$5:$S$1000,$S303,$V$5:$V$1000,"Macro",$H$5:$H$1000,"&gt;0"))/(COUNTIFS($S$5:$S$1000,$S303,$V$5:$V$1000,"Macro")*SUMIFS($H$5:$H$1000,$S$5:$S$1000,$S303,$V$5:$V$1000,"Macro")/COUNTIFS($S$5:$S$1000,$S303,$V$5:$V$1000,"Macro",$H$5:$H$1000,"&gt;0"))))</f>
        <v/>
      </c>
      <c r="AH303" s="62" t="n"/>
      <c r="AI303" s="62" t="n"/>
      <c r="AJ303" s="62" t="n"/>
      <c r="AK303" s="62" t="n"/>
      <c r="AL303" s="62">
        <f>IF(LEFT($C303,11)="[Jefatura] ",IFERROR(MATCH("Riesgo Normativo|"&amp;MID($C303,12,500),rDname_ADM,0),0),"")</f>
        <v/>
      </c>
      <c r="AM303" s="62">
        <f>IF(N($AL303)&gt;0,INDEX(rIni_ADM,$AL303),IF(ISNUMBER($E303),$E303,""))</f>
        <v/>
      </c>
      <c r="AN303" s="62">
        <f>IF(N($AL303)&gt;0,INDEX(rLim_ADM,$AL303),IF(ISNUMBER($F303),$F303,""))</f>
        <v/>
      </c>
    </row>
    <row r="304">
      <c r="A304" s="56">
        <f>IF(NOT((COUNTA($B304:$D304)+COUNTA($G304:$L304)+COUNTA($Q304))&gt;0),"",IF($V304="Macro",COUNTIFS($V$5:$V304,"Macro",$S$5:$S304,$S304),IF(N($U304)=0,"?",COUNTIFS(INDEX($V$5:$V$1000,1):INDEX($V$5:$V$1000,$U304-4),"Macro",INDEX($S$5:$S$1000,1):INDEX($S$5:$S$1000,$U304-4),INDEX($S$5:$S$1000,$U304-4))&amp;"."&amp;COUNTIFS($U$5:$U304,$U304,$V$5:$V304,"Sub"))))</f>
        <v/>
      </c>
      <c r="B304" s="57" t="n"/>
      <c r="C304" s="58" t="n"/>
      <c r="D304" s="58" t="n"/>
      <c r="E304" s="59">
        <f>IF(N($AL304)&gt;0,INDEX(rIni_ADM,$AL304),"")</f>
        <v/>
      </c>
      <c r="F304" s="59">
        <f>IF(N($AL304)&gt;0,INDEX(rLim_ADM,$AL304),"")</f>
        <v/>
      </c>
      <c r="G304" s="59" t="n"/>
      <c r="H304" s="60" t="n"/>
      <c r="I304" s="60" t="n"/>
      <c r="J304" s="60" t="n"/>
      <c r="K304" s="60" t="n"/>
      <c r="L304" s="60" t="n"/>
      <c r="M304" s="61">
        <f>IF(NOT((COUNTA($B304:$D304)+COUNTA($G304:$L304)+COUNTA($Q304))&gt;0),"",IF(ISNUMBER($G304),1,IF(N($W304)&gt;0,AVERAGEIFS($X$5:$X$1000,$U$5:$U$1000,ROW(),$V$5:$V$1000,"Sub"),$X304)))</f>
        <v/>
      </c>
      <c r="N304" s="56">
        <f>IF($M304="","",IF($M304&gt;=1,"Completado",IF($M304&gt;0,"En curso","Pendiente")))</f>
        <v/>
      </c>
      <c r="O304" s="56">
        <f>IF(NOT((COUNTA($B304:$D304)+COUNTA($G304:$L304)+COUNTA($Q304))&gt;0),"",IF(ISNUMBER($G304),IF(AND(ISNUMBER($AN304),$G304&gt;$AN304),"Cumplida con "&amp;($G304-$AN304)&amp;IF($G304-$AN304=1," día"," días")&amp;" de retraso","Cumplida"),IF(N($M304)&gt;=1,"Cumplida",IF(NOT(ISNUMBER($AN304)),"Sin fecha límite",IF($AN304&lt;FechaRef,"Vencida hace "&amp;(FechaRef-$AN304)&amp;IF(FechaRef-$AN304=1," día"," días"),IF($AN304=FechaRef,"Vence hoy",IF($AN304-FechaRef&lt;=DiasAlerta,"Vence en "&amp;($AN304-FechaRef)&amp;IF($AN304-FechaRef=1," día"," días"),"En plazo")))))))</f>
        <v/>
      </c>
      <c r="P304" s="62" t="n"/>
      <c r="Q304" s="58" t="n"/>
      <c r="R304" s="63">
        <f>IF(NOT((COUNTA($B304:$D304)+COUNTA($G304:$L304)+COUNTA($Q304))&gt;0),"",IF((IF($C304="","Falta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",""))="","✔ OK","⚠ "&amp;LEFT(IF($C304="","Falta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",""),LEN(IF($C304="","Falta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",""))-3)))</f>
        <v/>
      </c>
      <c r="S304" s="64">
        <f>IF(NOT((COUNTA($B304:$D304)+COUNTA($G304:$L304)+COUNTA($Q304))&gt;0),"",IF(AND($V304="Sub",N($U304)&gt;0),IF(ISNUMBER(INDEX($AM$5:$AM$1000,$U304-4)),DATE(YEAR(INDEX($AM$5:$AM$1000,$U304-4)),MONTH(INDEX($AM$5:$AM$1000,$U304-4)),1),IF(ISNUMBER(INDEX($AN$5:$AN$1000,$U304-4)),DATE(YEAR(INDEX($AN$5:$AN$1000,$U304-4)),MONTH(INDEX($AN$5:$AN$1000,$U304-4)),1),MesCiclo)),IF(ISNUMBER($AM304),DATE(YEAR($AM304),MONTH($AM304),1),IF(ISNUMBER($AN304),DATE(YEAR($AN304),MONTH($AN304),1),MesCiclo))))</f>
        <v/>
      </c>
      <c r="T304" s="62">
        <f>IF(OR($S304="",$S304&lt;&gt;MesCiclo),"",COUNTIF($S$5:$S304,MesCiclo))</f>
        <v/>
      </c>
      <c r="U304" s="62">
        <f>IF($V304="","",IF($V304="Macro",ROW(),IFERROR(LOOKUP(2,1/($V$5:$V304="Macro"),ROW($V$5:$V304)),0)))</f>
        <v/>
      </c>
      <c r="V304" s="62">
        <f>IF(NOT((COUNTA($B304:$D304)+COUNTA($G304:$L304)+COUNTA($Q304))&gt;0),"",IF($B304="Subactividad","Sub","Macro"))</f>
        <v/>
      </c>
      <c r="W304" s="62">
        <f>IF($V304="Macro",COUNTIFS($U$5:$U$1000,ROW(),$V$5:$V$1000,"Sub"),"")</f>
        <v/>
      </c>
      <c r="X304" s="62">
        <f>IF($V304="","",IF(ISNUMBER($G304),1,IFERROR(LOOKUP(2,1/($I304:$L304&lt;&gt;""),$I304:$L304),0)))</f>
        <v/>
      </c>
      <c r="Y304" s="62">
        <f>IF($V304="","",IF(AND(ISNUMBER($G304),$G304&lt;=IF($S304=MesCiclo,InicioCiclo,$S304+MOD(2-WEEKDAY($S304),7))+6),1,IF(ISNUMBER($I304),$I304,0)))</f>
        <v/>
      </c>
      <c r="Z304" s="62">
        <f>IF($V304="","",IF(AND(ISNUMBER($G304),$G304&lt;=IF($S304=MesCiclo,InicioCiclo,$S304+MOD(2-WEEKDAY($S304),7))+13),1,IF(ISNUMBER($J304),$J304,$Y304)))</f>
        <v/>
      </c>
      <c r="AA304" s="62">
        <f>IF($V304="","",IF(AND(ISNUMBER($G304),$G304&lt;=IF($S304=MesCiclo,InicioCiclo,$S304+MOD(2-WEEKDAY($S304),7))+20),1,IF(ISNUMBER($K304),$K304,$Z304)))</f>
        <v/>
      </c>
      <c r="AB304" s="62">
        <f>IF($V304="","",IF(AND(ISNUMBER($G304),$G304&lt;=IF($S304=MesCiclo,InicioCiclo,$S304+MOD(2-WEEKDAY($S304),7))+27),1,IF(ISNUMBER($L304),$L304,$AA304)))</f>
        <v/>
      </c>
      <c r="AC304" s="62">
        <f>IF($V304="","",IF(AND(ISNUMBER($G304),$G304&lt;=IF($S304=MesCiclo,InicioCiclo,$S304+MOD(2-WEEKDAY($S304),7))+6),1,IF(N($W304)&gt;0,AVERAGEIFS($Y$5:$Y$1000,$U$5:$U$1000,ROW(),$V$5:$V$1000,"Sub"),$Y304)))</f>
        <v/>
      </c>
      <c r="AD304" s="62">
        <f>IF($V304="","",IF(AND(ISNUMBER($G304),$G304&lt;=IF($S304=MesCiclo,InicioCiclo,$S304+MOD(2-WEEKDAY($S304),7))+13),1,IF(N($W304)&gt;0,AVERAGEIFS($Z$5:$Z$1000,$U$5:$U$1000,ROW(),$V$5:$V$1000,"Sub"),$Z304)))</f>
        <v/>
      </c>
      <c r="AE304" s="62">
        <f>IF($V304="","",IF(AND(ISNUMBER($G304),$G304&lt;=IF($S304=MesCiclo,InicioCiclo,$S304+MOD(2-WEEKDAY($S304),7))+20),1,IF(N($W304)&gt;0,AVERAGEIFS($AA$5:$AA$1000,$U$5:$U$1000,ROW(),$V$5:$V$1000,"Sub"),$AA304)))</f>
        <v/>
      </c>
      <c r="AF304" s="62">
        <f>IF($V304="","",IF(AND(ISNUMBER($G304),$G304&lt;=IF($S304=MesCiclo,InicioCiclo,$S304+MOD(2-WEEKDAY($S304),7))+27),1,IF(N($W304)&gt;0,AVERAGEIFS($AB$5:$AB$1000,$U$5:$U$1000,ROW(),$V$5:$V$1000,"Sub"),$AB304)))</f>
        <v/>
      </c>
      <c r="AG304" s="62">
        <f>IF($V304&lt;&gt;"Macro","",IF(COUNTIFS($S$5:$S$1000,$S304,$V$5:$V$1000,"Macro",$H$5:$H$1000,"&gt;0")=0,1/COUNTIFS($S$5:$S$1000,$S304,$V$5:$V$1000,"Macro"),IF(AND(ISNUMBER($H304),N($H304)&gt;0),$H304,SUMIFS($H$5:$H$1000,$S$5:$S$1000,$S304,$V$5:$V$1000,"Macro")/COUNTIFS($S$5:$S$1000,$S304,$V$5:$V$1000,"Macro",$H$5:$H$1000,"&gt;0"))/(COUNTIFS($S$5:$S$1000,$S304,$V$5:$V$1000,"Macro")*SUMIFS($H$5:$H$1000,$S$5:$S$1000,$S304,$V$5:$V$1000,"Macro")/COUNTIFS($S$5:$S$1000,$S304,$V$5:$V$1000,"Macro",$H$5:$H$1000,"&gt;0"))))</f>
        <v/>
      </c>
      <c r="AH304" s="62" t="n"/>
      <c r="AI304" s="62" t="n"/>
      <c r="AJ304" s="62" t="n"/>
      <c r="AK304" s="62" t="n"/>
      <c r="AL304" s="62">
        <f>IF(LEFT($C304,11)="[Jefatura] ",IFERROR(MATCH("Riesgo Normativo|"&amp;MID($C304,12,500),rDname_ADM,0),0),"")</f>
        <v/>
      </c>
      <c r="AM304" s="62">
        <f>IF(N($AL304)&gt;0,INDEX(rIni_ADM,$AL304),IF(ISNUMBER($E304),$E304,""))</f>
        <v/>
      </c>
      <c r="AN304" s="62">
        <f>IF(N($AL304)&gt;0,INDEX(rLim_ADM,$AL304),IF(ISNUMBER($F304),$F304,""))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S1"/>
    <mergeCell ref="M3:O3"/>
    <mergeCell ref="E3:J3"/>
    <mergeCell ref="A2:S2"/>
    <mergeCell ref="K3:L3"/>
    <mergeCell ref="Q3:S3"/>
  </mergeCells>
  <conditionalFormatting sqref="M3:O3">
    <cfRule type="expression" priority="1" dxfId="8" stopIfTrue="1">
      <formula>COUNTIFS($S$5:$S$1000,MesCiclo,$O$5:$O$1000,"Vencida*")&gt;0</formula>
    </cfRule>
    <cfRule type="expression" priority="2" dxfId="9" stopIfTrue="1">
      <formula>COUNTIFS($S$5:$S$1000,MesCiclo,$O$5:$O$1000,"Vence*")&gt;0</formula>
    </cfRule>
    <cfRule type="expression" priority="3" dxfId="0">
      <formula>TRUE</formula>
    </cfRule>
  </conditionalFormatting>
  <conditionalFormatting sqref="Q3:S3">
    <cfRule type="expression" priority="4" dxfId="9" stopIfTrue="1">
      <formula>(COUNTIFS('Administración'!$D$5:$D$1000,"Riesgo Normativo",'Administración'!$S$5:$S$1000,MesCiclo,'Administración'!$V$5:$V$1000,"Macro")-COUNTIFS('Administración'!$D$5:$D$1000,"Riesgo Normativo",'Administración'!$S$5:$S$1000,MesCiclo,'Administración'!$V$5:$V$1000,"Macro",'Administración'!$AH$5:$AH$1000,"&gt;0"))&gt;0</formula>
    </cfRule>
    <cfRule type="expression" priority="5" dxfId="0">
      <formula>COUNTIFS('Administración'!$D$5:$D$1000,"Riesgo Normativo",'Administración'!$S$5:$S$1000,MesCiclo,'Administración'!$V$5:$V$1000,"Macro")&gt;0</formula>
    </cfRule>
  </conditionalFormatting>
  <conditionalFormatting sqref="C5:C1000">
    <cfRule type="expression" priority="6" dxfId="10" stopIfTrue="1">
      <formula>LEFT($C5,11)="[Jefatura] "</formula>
    </cfRule>
    <cfRule type="expression" priority="9" dxfId="11">
      <formula>$V5="Sub"</formula>
    </cfRule>
  </conditionalFormatting>
  <conditionalFormatting sqref="A5:C1000">
    <cfRule type="expression" priority="7" dxfId="5" stopIfTrue="1">
      <formula>AND($V5="Macro",$C5="")</formula>
    </cfRule>
    <cfRule type="expression" priority="8" dxfId="20">
      <formula>$V5="Macro"</formula>
    </cfRule>
  </conditionalFormatting>
  <conditionalFormatting sqref="N5:N1000">
    <cfRule type="expression" priority="10" dxfId="0">
      <formula>$N5="Completado"</formula>
    </cfRule>
    <cfRule type="expression" priority="11" dxfId="4">
      <formula>$N5="En curso"</formula>
    </cfRule>
    <cfRule type="expression" priority="12" dxfId="5">
      <formula>$N5="Pendiente"</formula>
    </cfRule>
  </conditionalFormatting>
  <conditionalFormatting sqref="O5:O1000">
    <cfRule type="expression" priority="13" dxfId="8" stopIfTrue="1">
      <formula>LEFT($O5,7)="Vencida"</formula>
    </cfRule>
    <cfRule type="expression" priority="14" dxfId="9" stopIfTrue="1">
      <formula>LEFT($O5,5)="Vence"</formula>
    </cfRule>
    <cfRule type="expression" priority="15" dxfId="0" stopIfTrue="1">
      <formula>LEFT($O5,8)="Cumplida"</formula>
    </cfRule>
    <cfRule type="expression" priority="16" dxfId="13" stopIfTrue="1">
      <formula>$O5="En plazo"</formula>
    </cfRule>
    <cfRule type="expression" priority="17" dxfId="5">
      <formula>$O5="Sin fecha límite"</formula>
    </cfRule>
  </conditionalFormatting>
  <conditionalFormatting sqref="M5:M1000">
    <cfRule type="expression" priority="18" dxfId="0">
      <formula>AND(ISNUMBER($M5),$M5&gt;=1)</formula>
    </cfRule>
    <cfRule type="dataBar" priority="19">
      <dataBar showValue="1">
        <cfvo type="num" val="0"/>
        <cfvo type="num" val="1"/>
        <color rgb="005B9BD5"/>
      </dataBar>
    </cfRule>
  </conditionalFormatting>
  <conditionalFormatting sqref="G5:G1000">
    <cfRule type="expression" priority="20" dxfId="0">
      <formula>ISNUMBER($G5)</formula>
    </cfRule>
  </conditionalFormatting>
  <conditionalFormatting sqref="F5:F1000">
    <cfRule type="expression" priority="21" dxfId="6" stopIfTrue="1">
      <formula>AND(ISNUMBER($AN5),$AN5&lt;FechaRef,N($M5)&lt;1)</formula>
    </cfRule>
    <cfRule type="expression" priority="22" dxfId="7">
      <formula>AND(ISNUMBER($AN5),$AN5&gt;=FechaRef,$AN5-FechaRef&lt;=DiasAlerta,N($M5)&lt;1)</formula>
    </cfRule>
  </conditionalFormatting>
  <conditionalFormatting sqref="E5:F1000">
    <cfRule type="expression" priority="23" dxfId="10" stopIfTrue="1">
      <formula>AND(N($AL5)&gt;0)</formula>
    </cfRule>
    <cfRule type="expression" priority="24" dxfId="5" stopIfTrue="1">
      <formula>AND((COUNTA($B5:$D5)+COUNTA($G5:$L5)+COUNTA($Q5))&gt;0,$AM5="")</formula>
    </cfRule>
    <cfRule type="expression" priority="25" dxfId="6">
      <formula>AND(ISNUMBER($E5),ISNUMBER($F5),$E5&gt;$F5)</formula>
    </cfRule>
  </conditionalFormatting>
  <conditionalFormatting sqref="H5:H1000">
    <cfRule type="expression" priority="26" dxfId="5" stopIfTrue="1">
      <formula>AND($V5="Sub",$H5&lt;&gt;"")</formula>
    </cfRule>
    <cfRule type="expression" priority="27" dxfId="14" stopIfTrue="1">
      <formula>$V5="Sub"</formula>
    </cfRule>
  </conditionalFormatting>
  <conditionalFormatting sqref="I5:L1000">
    <cfRule type="expression" priority="28" dxfId="5" stopIfTrue="1">
      <formula>AND(N($W5)&gt;0,I5&lt;&gt;"")</formula>
    </cfRule>
    <cfRule type="expression" priority="29" dxfId="14" stopIfTrue="1">
      <formula>OR(N($W5)&gt;0,ISNUMBER($G5))</formula>
    </cfRule>
    <cfRule type="expression" priority="30" dxfId="5" stopIfTrue="1">
      <formula>AND(I5&lt;&gt;"",OR(NOT(ISNUMBER(I5)),I5&gt;1,I5&lt;0))</formula>
    </cfRule>
  </conditionalFormatting>
  <conditionalFormatting sqref="J5:L1000">
    <cfRule type="expression" priority="31" dxfId="6">
      <formula>AND(J5&lt;&gt;"",J5&lt;MAX($I5:I5))</formula>
    </cfRule>
  </conditionalFormatting>
  <conditionalFormatting sqref="Q5:Q1000">
    <cfRule type="expression" priority="32" dxfId="5">
      <formula>AND(ObsObligatoria="Sí",ISNUMBER($F5),$F5&lt;FechaRef,N($M5)&lt;1,$Q5="")</formula>
    </cfRule>
  </conditionalFormatting>
  <conditionalFormatting sqref="R5:R1000">
    <cfRule type="expression" priority="33" dxfId="5">
      <formula>LEFT($R5,1)="⚠"</formula>
    </cfRule>
    <cfRule type="expression" priority="34" dxfId="15">
      <formula>LEFT($R5,1)="✔"</formula>
    </cfRule>
  </conditionalFormatting>
  <conditionalFormatting sqref="S5:S1000">
    <cfRule type="expression" priority="35" dxfId="1">
      <formula>AND($S5&lt;&gt;"",$S5=MesCiclo)</formula>
    </cfRule>
  </conditionalFormatting>
  <dataValidations count="6">
    <dataValidation sqref="E5:F1000" showDropDown="0" showInputMessage="1" showErrorMessage="1" allowBlank="1" errorTitle="Fecha no permitida" error="Si la actividad es de la jefatura ([Jefatura]), las fechas las pone la jefatura y no se pueden cambiar. En sus actividades propias escriba una fecha válida (dd/mm/aaaa)." promptTitle="Fechas" prompt="En actividades [Jefatura] las fechas aparecen solas (las pone la jefatura). En las propias, escriba la fecha." type="custom">
      <formula1>AND(LEFT($C5,11)&lt;&gt;"[Jefatura] ",ISNUMBER(E5),E5&gt;36526)</formula1>
    </dataValidation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). Vacío = Macroactividad." type="list">
      <formula1>"Macroactividad,Subactividad"</formula1>
    </dataValidation>
    <dataValidation sqref="G5:G1000" showDropDown="0" showInputMessage="1" showErrorMessage="1" allowBlank="1" errorTitle="Fecha no válida" error="Ingrese una fecha válida (dd/mm/aaaa)." promptTitle="Fecha de cumplimiento" prompt="Escriba la fecha en que se cumplió. La actividad queda al 100% y ya no aparece vencida." type="date" operator="greaterThan">
      <formula1>36526</formula1>
    </dataValidation>
    <dataValidation sqref="H5:H1000" showDropDown="0" showInputMessage="1" showErrorMessage="1" allowBlank="1" errorTitle="Peso no válido" error="Ingrese un porcentaje entre 0% y 100% (por ejemplo 40%)." promptTitle="Peso (solo macroactividades)" prompt="Opcional. Vacío = todas las macroactividades del mes valen igual. Si escribe pesos, se ajustan solos a 100%. Las subactividades no llevan peso." type="decimal" operator="between">
      <formula1>0</formula1>
      <formula2>1</formula2>
    </dataValidation>
    <dataValidation sqref="I5:L1000" showDropDown="0" showInputMessage="1" showErrorMessage="1" allowBlank="1" errorTitle="Avance no válido" error="Ingrese un porcentaje entre 0% y 100%. Deje la celda vacía si la semana no ha llegado." promptTitle="Avance parcial (opcional)" prompt="% TOTAL logrado hasta esta semana. Cuando termine, escriba la Fecha de cumplimiento. Si la macroactividad tiene subactividades, déjelo vacío." type="decimal" operator="between">
      <formula1>0</formula1>
      <formula2>1</formula2>
    </dataValidation>
    <dataValidation sqref="C5:C1000" showDropDown="0" showInputMessage="1" showErrorMessage="0" allowBlank="1" promptTitle="Actividad" prompt="Escriba el nombre, o elija en la lista una actividad delegada por la jefatura." type="list">
      <formula1>ListaDeleg_RN</formula1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Q10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2" customWidth="1" min="3" max="3"/>
    <col width="12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20" customWidth="1" min="12" max="12"/>
    <col width="46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28" customHeight="1">
      <c r="A1" s="80" t="inlineStr">
        <is>
          <t>Actividades del mes por semana – Riesgo Normativo</t>
        </is>
      </c>
      <c r="B1" s="80" t="n"/>
      <c r="C1" s="80" t="n"/>
      <c r="D1" s="80" t="n"/>
      <c r="E1" s="80" t="n"/>
      <c r="F1" s="80" t="n"/>
      <c r="G1" s="80" t="n"/>
      <c r="H1" s="80" t="n"/>
      <c r="I1" s="80" t="n"/>
      <c r="J1" s="80" t="n"/>
      <c r="K1" s="80" t="n"/>
      <c r="L1" s="80" t="n"/>
      <c r="M1" s="80" t="n"/>
    </row>
    <row r="2" ht="34" customHeight="1">
      <c r="A2" s="74" t="inlineStr">
        <is>
          <t>HOJA AUTOMÁTICA Y BLOQUEADA: muestra solo las actividades del mes indicado abajo, tomadas de «Cronograma R. Normativo». No hay que escribir nada aquí. Cada macroactividad (resaltada) va seguida de sus subactividades (↳). La barra de color marca las semanas en que cada actividad está programada y dentro aparece el avance de esa semana. La columna «Alerta de plazo» indica lo vencido y lo que está por vencer.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</row>
    <row r="3">
      <c r="A3" s="75" t="inlineStr">
        <is>
          <t>Mes:</t>
        </is>
      </c>
      <c r="B3" s="76">
        <f>MesCiclo</f>
        <v/>
      </c>
      <c r="E3" s="77" t="inlineStr">
        <is>
          <t>Semana del:</t>
        </is>
      </c>
      <c r="F3" s="78">
        <f>(InicioCiclo+0)</f>
        <v/>
      </c>
      <c r="G3" s="78">
        <f>(InicioCiclo+7)</f>
        <v/>
      </c>
      <c r="H3" s="78">
        <f>(InicioCiclo+14)</f>
        <v/>
      </c>
      <c r="I3" s="78">
        <f>(InicioCiclo+21)</f>
        <v/>
      </c>
    </row>
    <row r="4" ht="34" customHeight="1">
      <c r="A4" s="54" t="inlineStr">
        <is>
          <t>N°</t>
        </is>
      </c>
      <c r="B4" s="54" t="inlineStr">
        <is>
          <t>Actividad</t>
        </is>
      </c>
      <c r="C4" s="54" t="inlineStr">
        <is>
          <t>Fecha de inicio</t>
        </is>
      </c>
      <c r="D4" s="54" t="inlineStr">
        <is>
          <t>Fecha límite</t>
        </is>
      </c>
      <c r="E4" s="54" t="inlineStr">
        <is>
          <t>Semana de entrega</t>
        </is>
      </c>
      <c r="F4" s="68" t="inlineStr">
        <is>
          <t>Semana 1</t>
        </is>
      </c>
      <c r="G4" s="68" t="inlineStr">
        <is>
          <t>Semana 2</t>
        </is>
      </c>
      <c r="H4" s="68" t="inlineStr">
        <is>
          <t>Semana 3</t>
        </is>
      </c>
      <c r="I4" s="68" t="inlineStr">
        <is>
          <t>Semana 4</t>
        </is>
      </c>
      <c r="J4" s="54" t="inlineStr">
        <is>
          <t>% Avance actual</t>
        </is>
      </c>
      <c r="K4" s="54" t="inlineStr">
        <is>
          <t>Estado</t>
        </is>
      </c>
      <c r="L4" s="54" t="inlineStr">
        <is>
          <t>Alerta de plazo</t>
        </is>
      </c>
      <c r="M4" s="54" t="inlineStr">
        <is>
          <t>Observaciones</t>
        </is>
      </c>
      <c r="N4" t="inlineStr">
        <is>
          <t>Fila origen (aux)</t>
        </is>
      </c>
      <c r="O4" t="inlineStr">
        <is>
          <t>Tipo (aux)</t>
        </is>
      </c>
      <c r="P4" t="inlineStr">
        <is>
          <t>N subactividades (aux)</t>
        </is>
      </c>
      <c r="Q4" t="inlineStr">
        <is>
          <t>N° alerta de plazo (aux)</t>
        </is>
      </c>
    </row>
    <row r="5">
      <c r="A5" s="56">
        <f>IF($N5="","",INDEX('Cronograma R. Normativo'!$A$5:$A$1000,$N5))</f>
        <v/>
      </c>
      <c r="B5" s="62">
        <f>IF($N5="","",IF($O5="Sub","      ↳  "&amp;INDEX('Cronograma R. Normativo'!$C$5:$C$1000,$N5),INDEX('Cronograma R. Normativo'!$C$5:$C$1000,$N5)&amp;""))</f>
        <v/>
      </c>
      <c r="C5" s="79">
        <f>IF($N5="","",IF(INDEX('Cronograma R. Normativo'!$AM$5:$AM$1000,$N5)="","",INDEX('Cronograma R. Normativo'!$AM$5:$AM$1000,$N5)))</f>
        <v/>
      </c>
      <c r="D5" s="79">
        <f>IF($N5="","",IF(INDEX('Cronograma R. Normativo'!$AN$5:$AN$1000,$N5)="","",INDEX('Cronograma R. Normativo'!$AN$5:$AN$1000,$N5)))</f>
        <v/>
      </c>
      <c r="E5" s="56">
        <f>IF($N5="","",IF(NOT(ISNUMBER($D5)),"",IF($D5&lt;InicioCiclo,"Antes del ciclo",IF($D5&gt;=InicioCiclo+28,"Después del ciclo","Semana "&amp;(INT(($D5-InicioCiclo)/7)+1)))))</f>
        <v/>
      </c>
      <c r="F5" s="61">
        <f>IF($N5="","",IF($P5&gt;0,IF(1&lt;=SemanaActual,INDEX('Cronograma R. Normativo'!$AC$5:$AC$1000,$N5),""),IF(INDEX('Cronograma R. Normativo'!$I$5:$I$1000,$N5)="","",INDEX('Cronograma R. Normativo'!$I$5:$I$1000,$N5))))</f>
        <v/>
      </c>
      <c r="G5" s="61">
        <f>IF($N5="","",IF($P5&gt;0,IF(2&lt;=SemanaActual,INDEX('Cronograma R. Normativo'!$AD$5:$AD$1000,$N5),""),IF(INDEX('Cronograma R. Normativo'!$J$5:$J$1000,$N5)="","",INDEX('Cronograma R. Normativo'!$J$5:$J$1000,$N5))))</f>
        <v/>
      </c>
      <c r="H5" s="61">
        <f>IF($N5="","",IF($P5&gt;0,IF(3&lt;=SemanaActual,INDEX('Cronograma R. Normativo'!$AE$5:$AE$1000,$N5),""),IF(INDEX('Cronograma R. Normativo'!$K$5:$K$1000,$N5)="","",INDEX('Cronograma R. Normativo'!$K$5:$K$1000,$N5))))</f>
        <v/>
      </c>
      <c r="I5" s="61">
        <f>IF($N5="","",IF($P5&gt;0,IF(4&lt;=SemanaActual,INDEX('Cronograma R. Normativo'!$AF$5:$AF$1000,$N5),""),IF(INDEX('Cronograma R. Normativo'!$L$5:$L$1000,$N5)="","",INDEX('Cronograma R. Normativo'!$L$5:$L$1000,$N5))))</f>
        <v/>
      </c>
      <c r="J5" s="61">
        <f>IF($N5="","",INDEX('Cronograma R. Normativo'!$M$5:$M$1000,$N5))</f>
        <v/>
      </c>
      <c r="K5" s="56">
        <f>IF($N5="","",IF(N($J5)&gt;=1,"Completado",IF(AND(ISNUMBER($D5),$D5&lt;FechaRef),"Vencida",IF(N($J5)&gt;0,"En curso","Pendiente"))))</f>
        <v/>
      </c>
      <c r="L5" s="56">
        <f>IF($N5="","",INDEX('Cronograma R. Normativo'!$O$5:$O$1000,$N5)&amp;"")</f>
        <v/>
      </c>
      <c r="M5" s="62">
        <f>IF($N5="","",INDEX('Cronograma R. Normativo'!$Q$5:$Q$1000,$N5)&amp;"")</f>
        <v/>
      </c>
      <c r="N5">
        <f>IFERROR(MATCH(ROW()-4,rOrden_RN,0),"")</f>
        <v/>
      </c>
      <c r="O5">
        <f>IF($N5="","",INDEX('Cronograma R. Normativo'!$V$5:$V$1000,$N5))</f>
        <v/>
      </c>
      <c r="P5">
        <f>IF($N5="","",N(INDEX('Cronograma R. Normativo'!$W$5:$W$1000,$N5)))</f>
        <v/>
      </c>
      <c r="Q5">
        <f>IF(OR(LEFT($L5,7)="Vencida",LEFT($L5,5)="Vence"),SUMPRODUCT(--(LEFT($L$5:$L5,7)="Vencida"))+SUMPRODUCT(--(LEFT($L$5:$L5,5)="Vence")),"")</f>
        <v/>
      </c>
    </row>
    <row r="6">
      <c r="A6" s="56">
        <f>IF($N6="","",INDEX('Cronograma R. Normativo'!$A$5:$A$1000,$N6))</f>
        <v/>
      </c>
      <c r="B6" s="62">
        <f>IF($N6="","",IF($O6="Sub","      ↳  "&amp;INDEX('Cronograma R. Normativo'!$C$5:$C$1000,$N6),INDEX('Cronograma R. Normativo'!$C$5:$C$1000,$N6)&amp;""))</f>
        <v/>
      </c>
      <c r="C6" s="79">
        <f>IF($N6="","",IF(INDEX('Cronograma R. Normativo'!$AM$5:$AM$1000,$N6)="","",INDEX('Cronograma R. Normativo'!$AM$5:$AM$1000,$N6)))</f>
        <v/>
      </c>
      <c r="D6" s="79">
        <f>IF($N6="","",IF(INDEX('Cronograma R. Normativo'!$AN$5:$AN$1000,$N6)="","",INDEX('Cronograma R. Normativo'!$AN$5:$AN$1000,$N6)))</f>
        <v/>
      </c>
      <c r="E6" s="56">
        <f>IF($N6="","",IF(NOT(ISNUMBER($D6)),"",IF($D6&lt;InicioCiclo,"Antes del ciclo",IF($D6&gt;=InicioCiclo+28,"Después del ciclo","Semana "&amp;(INT(($D6-InicioCiclo)/7)+1)))))</f>
        <v/>
      </c>
      <c r="F6" s="61">
        <f>IF($N6="","",IF($P6&gt;0,IF(1&lt;=SemanaActual,INDEX('Cronograma R. Normativo'!$AC$5:$AC$1000,$N6),""),IF(INDEX('Cronograma R. Normativo'!$I$5:$I$1000,$N6)="","",INDEX('Cronograma R. Normativo'!$I$5:$I$1000,$N6))))</f>
        <v/>
      </c>
      <c r="G6" s="61">
        <f>IF($N6="","",IF($P6&gt;0,IF(2&lt;=SemanaActual,INDEX('Cronograma R. Normativo'!$AD$5:$AD$1000,$N6),""),IF(INDEX('Cronograma R. Normativo'!$J$5:$J$1000,$N6)="","",INDEX('Cronograma R. Normativo'!$J$5:$J$1000,$N6))))</f>
        <v/>
      </c>
      <c r="H6" s="61">
        <f>IF($N6="","",IF($P6&gt;0,IF(3&lt;=SemanaActual,INDEX('Cronograma R. Normativo'!$AE$5:$AE$1000,$N6),""),IF(INDEX('Cronograma R. Normativo'!$K$5:$K$1000,$N6)="","",INDEX('Cronograma R. Normativo'!$K$5:$K$1000,$N6))))</f>
        <v/>
      </c>
      <c r="I6" s="61">
        <f>IF($N6="","",IF($P6&gt;0,IF(4&lt;=SemanaActual,INDEX('Cronograma R. Normativo'!$AF$5:$AF$1000,$N6),""),IF(INDEX('Cronograma R. Normativo'!$L$5:$L$1000,$N6)="","",INDEX('Cronograma R. Normativo'!$L$5:$L$1000,$N6))))</f>
        <v/>
      </c>
      <c r="J6" s="61">
        <f>IF($N6="","",INDEX('Cronograma R. Normativo'!$M$5:$M$1000,$N6))</f>
        <v/>
      </c>
      <c r="K6" s="56">
        <f>IF($N6="","",IF(N($J6)&gt;=1,"Completado",IF(AND(ISNUMBER($D6),$D6&lt;FechaRef),"Vencida",IF(N($J6)&gt;0,"En curso","Pendiente"))))</f>
        <v/>
      </c>
      <c r="L6" s="56">
        <f>IF($N6="","",INDEX('Cronograma R. Normativo'!$O$5:$O$1000,$N6)&amp;"")</f>
        <v/>
      </c>
      <c r="M6" s="62">
        <f>IF($N6="","",INDEX('Cronograma R. Normativo'!$Q$5:$Q$1000,$N6)&amp;"")</f>
        <v/>
      </c>
      <c r="N6">
        <f>IFERROR(MATCH(ROW()-4,rOrden_RN,0),"")</f>
        <v/>
      </c>
      <c r="O6">
        <f>IF($N6="","",INDEX('Cronograma R. Normativo'!$V$5:$V$1000,$N6))</f>
        <v/>
      </c>
      <c r="P6">
        <f>IF($N6="","",N(INDEX('Cronograma R. Normativo'!$W$5:$W$1000,$N6)))</f>
        <v/>
      </c>
      <c r="Q6">
        <f>IF(OR(LEFT($L6,7)="Vencida",LEFT($L6,5)="Vence"),SUMPRODUCT(--(LEFT($L$5:$L6,7)="Vencida"))+SUMPRODUCT(--(LEFT($L$5:$L6,5)="Vence")),"")</f>
        <v/>
      </c>
    </row>
    <row r="7">
      <c r="A7" s="56">
        <f>IF($N7="","",INDEX('Cronograma R. Normativo'!$A$5:$A$1000,$N7))</f>
        <v/>
      </c>
      <c r="B7" s="62">
        <f>IF($N7="","",IF($O7="Sub","      ↳  "&amp;INDEX('Cronograma R. Normativo'!$C$5:$C$1000,$N7),INDEX('Cronograma R. Normativo'!$C$5:$C$1000,$N7)&amp;""))</f>
        <v/>
      </c>
      <c r="C7" s="79">
        <f>IF($N7="","",IF(INDEX('Cronograma R. Normativo'!$AM$5:$AM$1000,$N7)="","",INDEX('Cronograma R. Normativo'!$AM$5:$AM$1000,$N7)))</f>
        <v/>
      </c>
      <c r="D7" s="79">
        <f>IF($N7="","",IF(INDEX('Cronograma R. Normativo'!$AN$5:$AN$1000,$N7)="","",INDEX('Cronograma R. Normativo'!$AN$5:$AN$1000,$N7)))</f>
        <v/>
      </c>
      <c r="E7" s="56">
        <f>IF($N7="","",IF(NOT(ISNUMBER($D7)),"",IF($D7&lt;InicioCiclo,"Antes del ciclo",IF($D7&gt;=InicioCiclo+28,"Después del ciclo","Semana "&amp;(INT(($D7-InicioCiclo)/7)+1)))))</f>
        <v/>
      </c>
      <c r="F7" s="61">
        <f>IF($N7="","",IF($P7&gt;0,IF(1&lt;=SemanaActual,INDEX('Cronograma R. Normativo'!$AC$5:$AC$1000,$N7),""),IF(INDEX('Cronograma R. Normativo'!$I$5:$I$1000,$N7)="","",INDEX('Cronograma R. Normativo'!$I$5:$I$1000,$N7))))</f>
        <v/>
      </c>
      <c r="G7" s="61">
        <f>IF($N7="","",IF($P7&gt;0,IF(2&lt;=SemanaActual,INDEX('Cronograma R. Normativo'!$AD$5:$AD$1000,$N7),""),IF(INDEX('Cronograma R. Normativo'!$J$5:$J$1000,$N7)="","",INDEX('Cronograma R. Normativo'!$J$5:$J$1000,$N7))))</f>
        <v/>
      </c>
      <c r="H7" s="61">
        <f>IF($N7="","",IF($P7&gt;0,IF(3&lt;=SemanaActual,INDEX('Cronograma R. Normativo'!$AE$5:$AE$1000,$N7),""),IF(INDEX('Cronograma R. Normativo'!$K$5:$K$1000,$N7)="","",INDEX('Cronograma R. Normativo'!$K$5:$K$1000,$N7))))</f>
        <v/>
      </c>
      <c r="I7" s="61">
        <f>IF($N7="","",IF($P7&gt;0,IF(4&lt;=SemanaActual,INDEX('Cronograma R. Normativo'!$AF$5:$AF$1000,$N7),""),IF(INDEX('Cronograma R. Normativo'!$L$5:$L$1000,$N7)="","",INDEX('Cronograma R. Normativo'!$L$5:$L$1000,$N7))))</f>
        <v/>
      </c>
      <c r="J7" s="61">
        <f>IF($N7="","",INDEX('Cronograma R. Normativo'!$M$5:$M$1000,$N7))</f>
        <v/>
      </c>
      <c r="K7" s="56">
        <f>IF($N7="","",IF(N($J7)&gt;=1,"Completado",IF(AND(ISNUMBER($D7),$D7&lt;FechaRef),"Vencida",IF(N($J7)&gt;0,"En curso","Pendiente"))))</f>
        <v/>
      </c>
      <c r="L7" s="56">
        <f>IF($N7="","",INDEX('Cronograma R. Normativo'!$O$5:$O$1000,$N7)&amp;"")</f>
        <v/>
      </c>
      <c r="M7" s="62">
        <f>IF($N7="","",INDEX('Cronograma R. Normativo'!$Q$5:$Q$1000,$N7)&amp;"")</f>
        <v/>
      </c>
      <c r="N7">
        <f>IFERROR(MATCH(ROW()-4,rOrden_RN,0),"")</f>
        <v/>
      </c>
      <c r="O7">
        <f>IF($N7="","",INDEX('Cronograma R. Normativo'!$V$5:$V$1000,$N7))</f>
        <v/>
      </c>
      <c r="P7">
        <f>IF($N7="","",N(INDEX('Cronograma R. Normativo'!$W$5:$W$1000,$N7)))</f>
        <v/>
      </c>
      <c r="Q7">
        <f>IF(OR(LEFT($L7,7)="Vencida",LEFT($L7,5)="Vence"),SUMPRODUCT(--(LEFT($L$5:$L7,7)="Vencida"))+SUMPRODUCT(--(LEFT($L$5:$L7,5)="Vence")),"")</f>
        <v/>
      </c>
    </row>
    <row r="8">
      <c r="A8" s="56">
        <f>IF($N8="","",INDEX('Cronograma R. Normativo'!$A$5:$A$1000,$N8))</f>
        <v/>
      </c>
      <c r="B8" s="62">
        <f>IF($N8="","",IF($O8="Sub","      ↳  "&amp;INDEX('Cronograma R. Normativo'!$C$5:$C$1000,$N8),INDEX('Cronograma R. Normativo'!$C$5:$C$1000,$N8)&amp;""))</f>
        <v/>
      </c>
      <c r="C8" s="79">
        <f>IF($N8="","",IF(INDEX('Cronograma R. Normativo'!$AM$5:$AM$1000,$N8)="","",INDEX('Cronograma R. Normativo'!$AM$5:$AM$1000,$N8)))</f>
        <v/>
      </c>
      <c r="D8" s="79">
        <f>IF($N8="","",IF(INDEX('Cronograma R. Normativo'!$AN$5:$AN$1000,$N8)="","",INDEX('Cronograma R. Normativo'!$AN$5:$AN$1000,$N8)))</f>
        <v/>
      </c>
      <c r="E8" s="56">
        <f>IF($N8="","",IF(NOT(ISNUMBER($D8)),"",IF($D8&lt;InicioCiclo,"Antes del ciclo",IF($D8&gt;=InicioCiclo+28,"Después del ciclo","Semana "&amp;(INT(($D8-InicioCiclo)/7)+1)))))</f>
        <v/>
      </c>
      <c r="F8" s="61">
        <f>IF($N8="","",IF($P8&gt;0,IF(1&lt;=SemanaActual,INDEX('Cronograma R. Normativo'!$AC$5:$AC$1000,$N8),""),IF(INDEX('Cronograma R. Normativo'!$I$5:$I$1000,$N8)="","",INDEX('Cronograma R. Normativo'!$I$5:$I$1000,$N8))))</f>
        <v/>
      </c>
      <c r="G8" s="61">
        <f>IF($N8="","",IF($P8&gt;0,IF(2&lt;=SemanaActual,INDEX('Cronograma R. Normativo'!$AD$5:$AD$1000,$N8),""),IF(INDEX('Cronograma R. Normativo'!$J$5:$J$1000,$N8)="","",INDEX('Cronograma R. Normativo'!$J$5:$J$1000,$N8))))</f>
        <v/>
      </c>
      <c r="H8" s="61">
        <f>IF($N8="","",IF($P8&gt;0,IF(3&lt;=SemanaActual,INDEX('Cronograma R. Normativo'!$AE$5:$AE$1000,$N8),""),IF(INDEX('Cronograma R. Normativo'!$K$5:$K$1000,$N8)="","",INDEX('Cronograma R. Normativo'!$K$5:$K$1000,$N8))))</f>
        <v/>
      </c>
      <c r="I8" s="61">
        <f>IF($N8="","",IF($P8&gt;0,IF(4&lt;=SemanaActual,INDEX('Cronograma R. Normativo'!$AF$5:$AF$1000,$N8),""),IF(INDEX('Cronograma R. Normativo'!$L$5:$L$1000,$N8)="","",INDEX('Cronograma R. Normativo'!$L$5:$L$1000,$N8))))</f>
        <v/>
      </c>
      <c r="J8" s="61">
        <f>IF($N8="","",INDEX('Cronograma R. Normativo'!$M$5:$M$1000,$N8))</f>
        <v/>
      </c>
      <c r="K8" s="56">
        <f>IF($N8="","",IF(N($J8)&gt;=1,"Completado",IF(AND(ISNUMBER($D8),$D8&lt;FechaRef),"Vencida",IF(N($J8)&gt;0,"En curso","Pendiente"))))</f>
        <v/>
      </c>
      <c r="L8" s="56">
        <f>IF($N8="","",INDEX('Cronograma R. Normativo'!$O$5:$O$1000,$N8)&amp;"")</f>
        <v/>
      </c>
      <c r="M8" s="62">
        <f>IF($N8="","",INDEX('Cronograma R. Normativo'!$Q$5:$Q$1000,$N8)&amp;"")</f>
        <v/>
      </c>
      <c r="N8">
        <f>IFERROR(MATCH(ROW()-4,rOrden_RN,0),"")</f>
        <v/>
      </c>
      <c r="O8">
        <f>IF($N8="","",INDEX('Cronograma R. Normativo'!$V$5:$V$1000,$N8))</f>
        <v/>
      </c>
      <c r="P8">
        <f>IF($N8="","",N(INDEX('Cronograma R. Normativo'!$W$5:$W$1000,$N8)))</f>
        <v/>
      </c>
      <c r="Q8">
        <f>IF(OR(LEFT($L8,7)="Vencida",LEFT($L8,5)="Vence"),SUMPRODUCT(--(LEFT($L$5:$L8,7)="Vencida"))+SUMPRODUCT(--(LEFT($L$5:$L8,5)="Vence")),"")</f>
        <v/>
      </c>
    </row>
    <row r="9">
      <c r="A9" s="56">
        <f>IF($N9="","",INDEX('Cronograma R. Normativo'!$A$5:$A$1000,$N9))</f>
        <v/>
      </c>
      <c r="B9" s="62">
        <f>IF($N9="","",IF($O9="Sub","      ↳  "&amp;INDEX('Cronograma R. Normativo'!$C$5:$C$1000,$N9),INDEX('Cronograma R. Normativo'!$C$5:$C$1000,$N9)&amp;""))</f>
        <v/>
      </c>
      <c r="C9" s="79">
        <f>IF($N9="","",IF(INDEX('Cronograma R. Normativo'!$AM$5:$AM$1000,$N9)="","",INDEX('Cronograma R. Normativo'!$AM$5:$AM$1000,$N9)))</f>
        <v/>
      </c>
      <c r="D9" s="79">
        <f>IF($N9="","",IF(INDEX('Cronograma R. Normativo'!$AN$5:$AN$1000,$N9)="","",INDEX('Cronograma R. Normativo'!$AN$5:$AN$1000,$N9)))</f>
        <v/>
      </c>
      <c r="E9" s="56">
        <f>IF($N9="","",IF(NOT(ISNUMBER($D9)),"",IF($D9&lt;InicioCiclo,"Antes del ciclo",IF($D9&gt;=InicioCiclo+28,"Después del ciclo","Semana "&amp;(INT(($D9-InicioCiclo)/7)+1)))))</f>
        <v/>
      </c>
      <c r="F9" s="61">
        <f>IF($N9="","",IF($P9&gt;0,IF(1&lt;=SemanaActual,INDEX('Cronograma R. Normativo'!$AC$5:$AC$1000,$N9),""),IF(INDEX('Cronograma R. Normativo'!$I$5:$I$1000,$N9)="","",INDEX('Cronograma R. Normativo'!$I$5:$I$1000,$N9))))</f>
        <v/>
      </c>
      <c r="G9" s="61">
        <f>IF($N9="","",IF($P9&gt;0,IF(2&lt;=SemanaActual,INDEX('Cronograma R. Normativo'!$AD$5:$AD$1000,$N9),""),IF(INDEX('Cronograma R. Normativo'!$J$5:$J$1000,$N9)="","",INDEX('Cronograma R. Normativo'!$J$5:$J$1000,$N9))))</f>
        <v/>
      </c>
      <c r="H9" s="61">
        <f>IF($N9="","",IF($P9&gt;0,IF(3&lt;=SemanaActual,INDEX('Cronograma R. Normativo'!$AE$5:$AE$1000,$N9),""),IF(INDEX('Cronograma R. Normativo'!$K$5:$K$1000,$N9)="","",INDEX('Cronograma R. Normativo'!$K$5:$K$1000,$N9))))</f>
        <v/>
      </c>
      <c r="I9" s="61">
        <f>IF($N9="","",IF($P9&gt;0,IF(4&lt;=SemanaActual,INDEX('Cronograma R. Normativo'!$AF$5:$AF$1000,$N9),""),IF(INDEX('Cronograma R. Normativo'!$L$5:$L$1000,$N9)="","",INDEX('Cronograma R. Normativo'!$L$5:$L$1000,$N9))))</f>
        <v/>
      </c>
      <c r="J9" s="61">
        <f>IF($N9="","",INDEX('Cronograma R. Normativo'!$M$5:$M$1000,$N9))</f>
        <v/>
      </c>
      <c r="K9" s="56">
        <f>IF($N9="","",IF(N($J9)&gt;=1,"Completado",IF(AND(ISNUMBER($D9),$D9&lt;FechaRef),"Vencida",IF(N($J9)&gt;0,"En curso","Pendiente"))))</f>
        <v/>
      </c>
      <c r="L9" s="56">
        <f>IF($N9="","",INDEX('Cronograma R. Normativo'!$O$5:$O$1000,$N9)&amp;"")</f>
        <v/>
      </c>
      <c r="M9" s="62">
        <f>IF($N9="","",INDEX('Cronograma R. Normativo'!$Q$5:$Q$1000,$N9)&amp;"")</f>
        <v/>
      </c>
      <c r="N9">
        <f>IFERROR(MATCH(ROW()-4,rOrden_RN,0),"")</f>
        <v/>
      </c>
      <c r="O9">
        <f>IF($N9="","",INDEX('Cronograma R. Normativo'!$V$5:$V$1000,$N9))</f>
        <v/>
      </c>
      <c r="P9">
        <f>IF($N9="","",N(INDEX('Cronograma R. Normativo'!$W$5:$W$1000,$N9)))</f>
        <v/>
      </c>
      <c r="Q9">
        <f>IF(OR(LEFT($L9,7)="Vencida",LEFT($L9,5)="Vence"),SUMPRODUCT(--(LEFT($L$5:$L9,7)="Vencida"))+SUMPRODUCT(--(LEFT($L$5:$L9,5)="Vence")),"")</f>
        <v/>
      </c>
    </row>
    <row r="10">
      <c r="A10" s="56">
        <f>IF($N10="","",INDEX('Cronograma R. Normativo'!$A$5:$A$1000,$N10))</f>
        <v/>
      </c>
      <c r="B10" s="62">
        <f>IF($N10="","",IF($O10="Sub","      ↳  "&amp;INDEX('Cronograma R. Normativo'!$C$5:$C$1000,$N10),INDEX('Cronograma R. Normativo'!$C$5:$C$1000,$N10)&amp;""))</f>
        <v/>
      </c>
      <c r="C10" s="79">
        <f>IF($N10="","",IF(INDEX('Cronograma R. Normativo'!$AM$5:$AM$1000,$N10)="","",INDEX('Cronograma R. Normativo'!$AM$5:$AM$1000,$N10)))</f>
        <v/>
      </c>
      <c r="D10" s="79">
        <f>IF($N10="","",IF(INDEX('Cronograma R. Normativo'!$AN$5:$AN$1000,$N10)="","",INDEX('Cronograma R. Normativo'!$AN$5:$AN$1000,$N10)))</f>
        <v/>
      </c>
      <c r="E10" s="56">
        <f>IF($N10="","",IF(NOT(ISNUMBER($D10)),"",IF($D10&lt;InicioCiclo,"Antes del ciclo",IF($D10&gt;=InicioCiclo+28,"Después del ciclo","Semana "&amp;(INT(($D10-InicioCiclo)/7)+1)))))</f>
        <v/>
      </c>
      <c r="F10" s="61">
        <f>IF($N10="","",IF($P10&gt;0,IF(1&lt;=SemanaActual,INDEX('Cronograma R. Normativo'!$AC$5:$AC$1000,$N10),""),IF(INDEX('Cronograma R. Normativo'!$I$5:$I$1000,$N10)="","",INDEX('Cronograma R. Normativo'!$I$5:$I$1000,$N10))))</f>
        <v/>
      </c>
      <c r="G10" s="61">
        <f>IF($N10="","",IF($P10&gt;0,IF(2&lt;=SemanaActual,INDEX('Cronograma R. Normativo'!$AD$5:$AD$1000,$N10),""),IF(INDEX('Cronograma R. Normativo'!$J$5:$J$1000,$N10)="","",INDEX('Cronograma R. Normativo'!$J$5:$J$1000,$N10))))</f>
        <v/>
      </c>
      <c r="H10" s="61">
        <f>IF($N10="","",IF($P10&gt;0,IF(3&lt;=SemanaActual,INDEX('Cronograma R. Normativo'!$AE$5:$AE$1000,$N10),""),IF(INDEX('Cronograma R. Normativo'!$K$5:$K$1000,$N10)="","",INDEX('Cronograma R. Normativo'!$K$5:$K$1000,$N10))))</f>
        <v/>
      </c>
      <c r="I10" s="61">
        <f>IF($N10="","",IF($P10&gt;0,IF(4&lt;=SemanaActual,INDEX('Cronograma R. Normativo'!$AF$5:$AF$1000,$N10),""),IF(INDEX('Cronograma R. Normativo'!$L$5:$L$1000,$N10)="","",INDEX('Cronograma R. Normativo'!$L$5:$L$1000,$N10))))</f>
        <v/>
      </c>
      <c r="J10" s="61">
        <f>IF($N10="","",INDEX('Cronograma R. Normativo'!$M$5:$M$1000,$N10))</f>
        <v/>
      </c>
      <c r="K10" s="56">
        <f>IF($N10="","",IF(N($J10)&gt;=1,"Completado",IF(AND(ISNUMBER($D10),$D10&lt;FechaRef),"Vencida",IF(N($J10)&gt;0,"En curso","Pendiente"))))</f>
        <v/>
      </c>
      <c r="L10" s="56">
        <f>IF($N10="","",INDEX('Cronograma R. Normativo'!$O$5:$O$1000,$N10)&amp;"")</f>
        <v/>
      </c>
      <c r="M10" s="62">
        <f>IF($N10="","",INDEX('Cronograma R. Normativo'!$Q$5:$Q$1000,$N10)&amp;"")</f>
        <v/>
      </c>
      <c r="N10">
        <f>IFERROR(MATCH(ROW()-4,rOrden_RN,0),"")</f>
        <v/>
      </c>
      <c r="O10">
        <f>IF($N10="","",INDEX('Cronograma R. Normativo'!$V$5:$V$1000,$N10))</f>
        <v/>
      </c>
      <c r="P10">
        <f>IF($N10="","",N(INDEX('Cronograma R. Normativo'!$W$5:$W$1000,$N10)))</f>
        <v/>
      </c>
      <c r="Q10">
        <f>IF(OR(LEFT($L10,7)="Vencida",LEFT($L10,5)="Vence"),SUMPRODUCT(--(LEFT($L$5:$L10,7)="Vencida"))+SUMPRODUCT(--(LEFT($L$5:$L10,5)="Vence")),"")</f>
        <v/>
      </c>
    </row>
    <row r="11">
      <c r="A11" s="56">
        <f>IF($N11="","",INDEX('Cronograma R. Normativo'!$A$5:$A$1000,$N11))</f>
        <v/>
      </c>
      <c r="B11" s="62">
        <f>IF($N11="","",IF($O11="Sub","      ↳  "&amp;INDEX('Cronograma R. Normativo'!$C$5:$C$1000,$N11),INDEX('Cronograma R. Normativo'!$C$5:$C$1000,$N11)&amp;""))</f>
        <v/>
      </c>
      <c r="C11" s="79">
        <f>IF($N11="","",IF(INDEX('Cronograma R. Normativo'!$AM$5:$AM$1000,$N11)="","",INDEX('Cronograma R. Normativo'!$AM$5:$AM$1000,$N11)))</f>
        <v/>
      </c>
      <c r="D11" s="79">
        <f>IF($N11="","",IF(INDEX('Cronograma R. Normativo'!$AN$5:$AN$1000,$N11)="","",INDEX('Cronograma R. Normativo'!$AN$5:$AN$1000,$N11)))</f>
        <v/>
      </c>
      <c r="E11" s="56">
        <f>IF($N11="","",IF(NOT(ISNUMBER($D11)),"",IF($D11&lt;InicioCiclo,"Antes del ciclo",IF($D11&gt;=InicioCiclo+28,"Después del ciclo","Semana "&amp;(INT(($D11-InicioCiclo)/7)+1)))))</f>
        <v/>
      </c>
      <c r="F11" s="61">
        <f>IF($N11="","",IF($P11&gt;0,IF(1&lt;=SemanaActual,INDEX('Cronograma R. Normativo'!$AC$5:$AC$1000,$N11),""),IF(INDEX('Cronograma R. Normativo'!$I$5:$I$1000,$N11)="","",INDEX('Cronograma R. Normativo'!$I$5:$I$1000,$N11))))</f>
        <v/>
      </c>
      <c r="G11" s="61">
        <f>IF($N11="","",IF($P11&gt;0,IF(2&lt;=SemanaActual,INDEX('Cronograma R. Normativo'!$AD$5:$AD$1000,$N11),""),IF(INDEX('Cronograma R. Normativo'!$J$5:$J$1000,$N11)="","",INDEX('Cronograma R. Normativo'!$J$5:$J$1000,$N11))))</f>
        <v/>
      </c>
      <c r="H11" s="61">
        <f>IF($N11="","",IF($P11&gt;0,IF(3&lt;=SemanaActual,INDEX('Cronograma R. Normativo'!$AE$5:$AE$1000,$N11),""),IF(INDEX('Cronograma R. Normativo'!$K$5:$K$1000,$N11)="","",INDEX('Cronograma R. Normativo'!$K$5:$K$1000,$N11))))</f>
        <v/>
      </c>
      <c r="I11" s="61">
        <f>IF($N11="","",IF($P11&gt;0,IF(4&lt;=SemanaActual,INDEX('Cronograma R. Normativo'!$AF$5:$AF$1000,$N11),""),IF(INDEX('Cronograma R. Normativo'!$L$5:$L$1000,$N11)="","",INDEX('Cronograma R. Normativo'!$L$5:$L$1000,$N11))))</f>
        <v/>
      </c>
      <c r="J11" s="61">
        <f>IF($N11="","",INDEX('Cronograma R. Normativo'!$M$5:$M$1000,$N11))</f>
        <v/>
      </c>
      <c r="K11" s="56">
        <f>IF($N11="","",IF(N($J11)&gt;=1,"Completado",IF(AND(ISNUMBER($D11),$D11&lt;FechaRef),"Vencida",IF(N($J11)&gt;0,"En curso","Pendiente"))))</f>
        <v/>
      </c>
      <c r="L11" s="56">
        <f>IF($N11="","",INDEX('Cronograma R. Normativo'!$O$5:$O$1000,$N11)&amp;"")</f>
        <v/>
      </c>
      <c r="M11" s="62">
        <f>IF($N11="","",INDEX('Cronograma R. Normativo'!$Q$5:$Q$1000,$N11)&amp;"")</f>
        <v/>
      </c>
      <c r="N11">
        <f>IFERROR(MATCH(ROW()-4,rOrden_RN,0),"")</f>
        <v/>
      </c>
      <c r="O11">
        <f>IF($N11="","",INDEX('Cronograma R. Normativo'!$V$5:$V$1000,$N11))</f>
        <v/>
      </c>
      <c r="P11">
        <f>IF($N11="","",N(INDEX('Cronograma R. Normativo'!$W$5:$W$1000,$N11)))</f>
        <v/>
      </c>
      <c r="Q11">
        <f>IF(OR(LEFT($L11,7)="Vencida",LEFT($L11,5)="Vence"),SUMPRODUCT(--(LEFT($L$5:$L11,7)="Vencida"))+SUMPRODUCT(--(LEFT($L$5:$L11,5)="Vence")),"")</f>
        <v/>
      </c>
    </row>
    <row r="12">
      <c r="A12" s="56">
        <f>IF($N12="","",INDEX('Cronograma R. Normativo'!$A$5:$A$1000,$N12))</f>
        <v/>
      </c>
      <c r="B12" s="62">
        <f>IF($N12="","",IF($O12="Sub","      ↳  "&amp;INDEX('Cronograma R. Normativo'!$C$5:$C$1000,$N12),INDEX('Cronograma R. Normativo'!$C$5:$C$1000,$N12)&amp;""))</f>
        <v/>
      </c>
      <c r="C12" s="79">
        <f>IF($N12="","",IF(INDEX('Cronograma R. Normativo'!$AM$5:$AM$1000,$N12)="","",INDEX('Cronograma R. Normativo'!$AM$5:$AM$1000,$N12)))</f>
        <v/>
      </c>
      <c r="D12" s="79">
        <f>IF($N12="","",IF(INDEX('Cronograma R. Normativo'!$AN$5:$AN$1000,$N12)="","",INDEX('Cronograma R. Normativo'!$AN$5:$AN$1000,$N12)))</f>
        <v/>
      </c>
      <c r="E12" s="56">
        <f>IF($N12="","",IF(NOT(ISNUMBER($D12)),"",IF($D12&lt;InicioCiclo,"Antes del ciclo",IF($D12&gt;=InicioCiclo+28,"Después del ciclo","Semana "&amp;(INT(($D12-InicioCiclo)/7)+1)))))</f>
        <v/>
      </c>
      <c r="F12" s="61">
        <f>IF($N12="","",IF($P12&gt;0,IF(1&lt;=SemanaActual,INDEX('Cronograma R. Normativo'!$AC$5:$AC$1000,$N12),""),IF(INDEX('Cronograma R. Normativo'!$I$5:$I$1000,$N12)="","",INDEX('Cronograma R. Normativo'!$I$5:$I$1000,$N12))))</f>
        <v/>
      </c>
      <c r="G12" s="61">
        <f>IF($N12="","",IF($P12&gt;0,IF(2&lt;=SemanaActual,INDEX('Cronograma R. Normativo'!$AD$5:$AD$1000,$N12),""),IF(INDEX('Cronograma R. Normativo'!$J$5:$J$1000,$N12)="","",INDEX('Cronograma R. Normativo'!$J$5:$J$1000,$N12))))</f>
        <v/>
      </c>
      <c r="H12" s="61">
        <f>IF($N12="","",IF($P12&gt;0,IF(3&lt;=SemanaActual,INDEX('Cronograma R. Normativo'!$AE$5:$AE$1000,$N12),""),IF(INDEX('Cronograma R. Normativo'!$K$5:$K$1000,$N12)="","",INDEX('Cronograma R. Normativo'!$K$5:$K$1000,$N12))))</f>
        <v/>
      </c>
      <c r="I12" s="61">
        <f>IF($N12="","",IF($P12&gt;0,IF(4&lt;=SemanaActual,INDEX('Cronograma R. Normativo'!$AF$5:$AF$1000,$N12),""),IF(INDEX('Cronograma R. Normativo'!$L$5:$L$1000,$N12)="","",INDEX('Cronograma R. Normativo'!$L$5:$L$1000,$N12))))</f>
        <v/>
      </c>
      <c r="J12" s="61">
        <f>IF($N12="","",INDEX('Cronograma R. Normativo'!$M$5:$M$1000,$N12))</f>
        <v/>
      </c>
      <c r="K12" s="56">
        <f>IF($N12="","",IF(N($J12)&gt;=1,"Completado",IF(AND(ISNUMBER($D12),$D12&lt;FechaRef),"Vencida",IF(N($J12)&gt;0,"En curso","Pendiente"))))</f>
        <v/>
      </c>
      <c r="L12" s="56">
        <f>IF($N12="","",INDEX('Cronograma R. Normativo'!$O$5:$O$1000,$N12)&amp;"")</f>
        <v/>
      </c>
      <c r="M12" s="62">
        <f>IF($N12="","",INDEX('Cronograma R. Normativo'!$Q$5:$Q$1000,$N12)&amp;"")</f>
        <v/>
      </c>
      <c r="N12">
        <f>IFERROR(MATCH(ROW()-4,rOrden_RN,0),"")</f>
        <v/>
      </c>
      <c r="O12">
        <f>IF($N12="","",INDEX('Cronograma R. Normativo'!$V$5:$V$1000,$N12))</f>
        <v/>
      </c>
      <c r="P12">
        <f>IF($N12="","",N(INDEX('Cronograma R. Normativo'!$W$5:$W$1000,$N12)))</f>
        <v/>
      </c>
      <c r="Q12">
        <f>IF(OR(LEFT($L12,7)="Vencida",LEFT($L12,5)="Vence"),SUMPRODUCT(--(LEFT($L$5:$L12,7)="Vencida"))+SUMPRODUCT(--(LEFT($L$5:$L12,5)="Vence")),"")</f>
        <v/>
      </c>
    </row>
    <row r="13">
      <c r="A13" s="56">
        <f>IF($N13="","",INDEX('Cronograma R. Normativo'!$A$5:$A$1000,$N13))</f>
        <v/>
      </c>
      <c r="B13" s="62">
        <f>IF($N13="","",IF($O13="Sub","      ↳  "&amp;INDEX('Cronograma R. Normativo'!$C$5:$C$1000,$N13),INDEX('Cronograma R. Normativo'!$C$5:$C$1000,$N13)&amp;""))</f>
        <v/>
      </c>
      <c r="C13" s="79">
        <f>IF($N13="","",IF(INDEX('Cronograma R. Normativo'!$AM$5:$AM$1000,$N13)="","",INDEX('Cronograma R. Normativo'!$AM$5:$AM$1000,$N13)))</f>
        <v/>
      </c>
      <c r="D13" s="79">
        <f>IF($N13="","",IF(INDEX('Cronograma R. Normativo'!$AN$5:$AN$1000,$N13)="","",INDEX('Cronograma R. Normativo'!$AN$5:$AN$1000,$N13)))</f>
        <v/>
      </c>
      <c r="E13" s="56">
        <f>IF($N13="","",IF(NOT(ISNUMBER($D13)),"",IF($D13&lt;InicioCiclo,"Antes del ciclo",IF($D13&gt;=InicioCiclo+28,"Después del ciclo","Semana "&amp;(INT(($D13-InicioCiclo)/7)+1)))))</f>
        <v/>
      </c>
      <c r="F13" s="61">
        <f>IF($N13="","",IF($P13&gt;0,IF(1&lt;=SemanaActual,INDEX('Cronograma R. Normativo'!$AC$5:$AC$1000,$N13),""),IF(INDEX('Cronograma R. Normativo'!$I$5:$I$1000,$N13)="","",INDEX('Cronograma R. Normativo'!$I$5:$I$1000,$N13))))</f>
        <v/>
      </c>
      <c r="G13" s="61">
        <f>IF($N13="","",IF($P13&gt;0,IF(2&lt;=SemanaActual,INDEX('Cronograma R. Normativo'!$AD$5:$AD$1000,$N13),""),IF(INDEX('Cronograma R. Normativo'!$J$5:$J$1000,$N13)="","",INDEX('Cronograma R. Normativo'!$J$5:$J$1000,$N13))))</f>
        <v/>
      </c>
      <c r="H13" s="61">
        <f>IF($N13="","",IF($P13&gt;0,IF(3&lt;=SemanaActual,INDEX('Cronograma R. Normativo'!$AE$5:$AE$1000,$N13),""),IF(INDEX('Cronograma R. Normativo'!$K$5:$K$1000,$N13)="","",INDEX('Cronograma R. Normativo'!$K$5:$K$1000,$N13))))</f>
        <v/>
      </c>
      <c r="I13" s="61">
        <f>IF($N13="","",IF($P13&gt;0,IF(4&lt;=SemanaActual,INDEX('Cronograma R. Normativo'!$AF$5:$AF$1000,$N13),""),IF(INDEX('Cronograma R. Normativo'!$L$5:$L$1000,$N13)="","",INDEX('Cronograma R. Normativo'!$L$5:$L$1000,$N13))))</f>
        <v/>
      </c>
      <c r="J13" s="61">
        <f>IF($N13="","",INDEX('Cronograma R. Normativo'!$M$5:$M$1000,$N13))</f>
        <v/>
      </c>
      <c r="K13" s="56">
        <f>IF($N13="","",IF(N($J13)&gt;=1,"Completado",IF(AND(ISNUMBER($D13),$D13&lt;FechaRef),"Vencida",IF(N($J13)&gt;0,"En curso","Pendiente"))))</f>
        <v/>
      </c>
      <c r="L13" s="56">
        <f>IF($N13="","",INDEX('Cronograma R. Normativo'!$O$5:$O$1000,$N13)&amp;"")</f>
        <v/>
      </c>
      <c r="M13" s="62">
        <f>IF($N13="","",INDEX('Cronograma R. Normativo'!$Q$5:$Q$1000,$N13)&amp;"")</f>
        <v/>
      </c>
      <c r="N13">
        <f>IFERROR(MATCH(ROW()-4,rOrden_RN,0),"")</f>
        <v/>
      </c>
      <c r="O13">
        <f>IF($N13="","",INDEX('Cronograma R. Normativo'!$V$5:$V$1000,$N13))</f>
        <v/>
      </c>
      <c r="P13">
        <f>IF($N13="","",N(INDEX('Cronograma R. Normativo'!$W$5:$W$1000,$N13)))</f>
        <v/>
      </c>
      <c r="Q13">
        <f>IF(OR(LEFT($L13,7)="Vencida",LEFT($L13,5)="Vence"),SUMPRODUCT(--(LEFT($L$5:$L13,7)="Vencida"))+SUMPRODUCT(--(LEFT($L$5:$L13,5)="Vence")),"")</f>
        <v/>
      </c>
    </row>
    <row r="14">
      <c r="A14" s="56">
        <f>IF($N14="","",INDEX('Cronograma R. Normativo'!$A$5:$A$1000,$N14))</f>
        <v/>
      </c>
      <c r="B14" s="62">
        <f>IF($N14="","",IF($O14="Sub","      ↳  "&amp;INDEX('Cronograma R. Normativo'!$C$5:$C$1000,$N14),INDEX('Cronograma R. Normativo'!$C$5:$C$1000,$N14)&amp;""))</f>
        <v/>
      </c>
      <c r="C14" s="79">
        <f>IF($N14="","",IF(INDEX('Cronograma R. Normativo'!$AM$5:$AM$1000,$N14)="","",INDEX('Cronograma R. Normativo'!$AM$5:$AM$1000,$N14)))</f>
        <v/>
      </c>
      <c r="D14" s="79">
        <f>IF($N14="","",IF(INDEX('Cronograma R. Normativo'!$AN$5:$AN$1000,$N14)="","",INDEX('Cronograma R. Normativo'!$AN$5:$AN$1000,$N14)))</f>
        <v/>
      </c>
      <c r="E14" s="56">
        <f>IF($N14="","",IF(NOT(ISNUMBER($D14)),"",IF($D14&lt;InicioCiclo,"Antes del ciclo",IF($D14&gt;=InicioCiclo+28,"Después del ciclo","Semana "&amp;(INT(($D14-InicioCiclo)/7)+1)))))</f>
        <v/>
      </c>
      <c r="F14" s="61">
        <f>IF($N14="","",IF($P14&gt;0,IF(1&lt;=SemanaActual,INDEX('Cronograma R. Normativo'!$AC$5:$AC$1000,$N14),""),IF(INDEX('Cronograma R. Normativo'!$I$5:$I$1000,$N14)="","",INDEX('Cronograma R. Normativo'!$I$5:$I$1000,$N14))))</f>
        <v/>
      </c>
      <c r="G14" s="61">
        <f>IF($N14="","",IF($P14&gt;0,IF(2&lt;=SemanaActual,INDEX('Cronograma R. Normativo'!$AD$5:$AD$1000,$N14),""),IF(INDEX('Cronograma R. Normativo'!$J$5:$J$1000,$N14)="","",INDEX('Cronograma R. Normativo'!$J$5:$J$1000,$N14))))</f>
        <v/>
      </c>
      <c r="H14" s="61">
        <f>IF($N14="","",IF($P14&gt;0,IF(3&lt;=SemanaActual,INDEX('Cronograma R. Normativo'!$AE$5:$AE$1000,$N14),""),IF(INDEX('Cronograma R. Normativo'!$K$5:$K$1000,$N14)="","",INDEX('Cronograma R. Normativo'!$K$5:$K$1000,$N14))))</f>
        <v/>
      </c>
      <c r="I14" s="61">
        <f>IF($N14="","",IF($P14&gt;0,IF(4&lt;=SemanaActual,INDEX('Cronograma R. Normativo'!$AF$5:$AF$1000,$N14),""),IF(INDEX('Cronograma R. Normativo'!$L$5:$L$1000,$N14)="","",INDEX('Cronograma R. Normativo'!$L$5:$L$1000,$N14))))</f>
        <v/>
      </c>
      <c r="J14" s="61">
        <f>IF($N14="","",INDEX('Cronograma R. Normativo'!$M$5:$M$1000,$N14))</f>
        <v/>
      </c>
      <c r="K14" s="56">
        <f>IF($N14="","",IF(N($J14)&gt;=1,"Completado",IF(AND(ISNUMBER($D14),$D14&lt;FechaRef),"Vencida",IF(N($J14)&gt;0,"En curso","Pendiente"))))</f>
        <v/>
      </c>
      <c r="L14" s="56">
        <f>IF($N14="","",INDEX('Cronograma R. Normativo'!$O$5:$O$1000,$N14)&amp;"")</f>
        <v/>
      </c>
      <c r="M14" s="62">
        <f>IF($N14="","",INDEX('Cronograma R. Normativo'!$Q$5:$Q$1000,$N14)&amp;"")</f>
        <v/>
      </c>
      <c r="N14">
        <f>IFERROR(MATCH(ROW()-4,rOrden_RN,0),"")</f>
        <v/>
      </c>
      <c r="O14">
        <f>IF($N14="","",INDEX('Cronograma R. Normativo'!$V$5:$V$1000,$N14))</f>
        <v/>
      </c>
      <c r="P14">
        <f>IF($N14="","",N(INDEX('Cronograma R. Normativo'!$W$5:$W$1000,$N14)))</f>
        <v/>
      </c>
      <c r="Q14">
        <f>IF(OR(LEFT($L14,7)="Vencida",LEFT($L14,5)="Vence"),SUMPRODUCT(--(LEFT($L$5:$L14,7)="Vencida"))+SUMPRODUCT(--(LEFT($L$5:$L14,5)="Vence")),"")</f>
        <v/>
      </c>
    </row>
    <row r="15">
      <c r="A15" s="56">
        <f>IF($N15="","",INDEX('Cronograma R. Normativo'!$A$5:$A$1000,$N15))</f>
        <v/>
      </c>
      <c r="B15" s="62">
        <f>IF($N15="","",IF($O15="Sub","      ↳  "&amp;INDEX('Cronograma R. Normativo'!$C$5:$C$1000,$N15),INDEX('Cronograma R. Normativo'!$C$5:$C$1000,$N15)&amp;""))</f>
        <v/>
      </c>
      <c r="C15" s="79">
        <f>IF($N15="","",IF(INDEX('Cronograma R. Normativo'!$AM$5:$AM$1000,$N15)="","",INDEX('Cronograma R. Normativo'!$AM$5:$AM$1000,$N15)))</f>
        <v/>
      </c>
      <c r="D15" s="79">
        <f>IF($N15="","",IF(INDEX('Cronograma R. Normativo'!$AN$5:$AN$1000,$N15)="","",INDEX('Cronograma R. Normativo'!$AN$5:$AN$1000,$N15)))</f>
        <v/>
      </c>
      <c r="E15" s="56">
        <f>IF($N15="","",IF(NOT(ISNUMBER($D15)),"",IF($D15&lt;InicioCiclo,"Antes del ciclo",IF($D15&gt;=InicioCiclo+28,"Después del ciclo","Semana "&amp;(INT(($D15-InicioCiclo)/7)+1)))))</f>
        <v/>
      </c>
      <c r="F15" s="61">
        <f>IF($N15="","",IF($P15&gt;0,IF(1&lt;=SemanaActual,INDEX('Cronograma R. Normativo'!$AC$5:$AC$1000,$N15),""),IF(INDEX('Cronograma R. Normativo'!$I$5:$I$1000,$N15)="","",INDEX('Cronograma R. Normativo'!$I$5:$I$1000,$N15))))</f>
        <v/>
      </c>
      <c r="G15" s="61">
        <f>IF($N15="","",IF($P15&gt;0,IF(2&lt;=SemanaActual,INDEX('Cronograma R. Normativo'!$AD$5:$AD$1000,$N15),""),IF(INDEX('Cronograma R. Normativo'!$J$5:$J$1000,$N15)="","",INDEX('Cronograma R. Normativo'!$J$5:$J$1000,$N15))))</f>
        <v/>
      </c>
      <c r="H15" s="61">
        <f>IF($N15="","",IF($P15&gt;0,IF(3&lt;=SemanaActual,INDEX('Cronograma R. Normativo'!$AE$5:$AE$1000,$N15),""),IF(INDEX('Cronograma R. Normativo'!$K$5:$K$1000,$N15)="","",INDEX('Cronograma R. Normativo'!$K$5:$K$1000,$N15))))</f>
        <v/>
      </c>
      <c r="I15" s="61">
        <f>IF($N15="","",IF($P15&gt;0,IF(4&lt;=SemanaActual,INDEX('Cronograma R. Normativo'!$AF$5:$AF$1000,$N15),""),IF(INDEX('Cronograma R. Normativo'!$L$5:$L$1000,$N15)="","",INDEX('Cronograma R. Normativo'!$L$5:$L$1000,$N15))))</f>
        <v/>
      </c>
      <c r="J15" s="61">
        <f>IF($N15="","",INDEX('Cronograma R. Normativo'!$M$5:$M$1000,$N15))</f>
        <v/>
      </c>
      <c r="K15" s="56">
        <f>IF($N15="","",IF(N($J15)&gt;=1,"Completado",IF(AND(ISNUMBER($D15),$D15&lt;FechaRef),"Vencida",IF(N($J15)&gt;0,"En curso","Pendiente"))))</f>
        <v/>
      </c>
      <c r="L15" s="56">
        <f>IF($N15="","",INDEX('Cronograma R. Normativo'!$O$5:$O$1000,$N15)&amp;"")</f>
        <v/>
      </c>
      <c r="M15" s="62">
        <f>IF($N15="","",INDEX('Cronograma R. Normativo'!$Q$5:$Q$1000,$N15)&amp;"")</f>
        <v/>
      </c>
      <c r="N15">
        <f>IFERROR(MATCH(ROW()-4,rOrden_RN,0),"")</f>
        <v/>
      </c>
      <c r="O15">
        <f>IF($N15="","",INDEX('Cronograma R. Normativo'!$V$5:$V$1000,$N15))</f>
        <v/>
      </c>
      <c r="P15">
        <f>IF($N15="","",N(INDEX('Cronograma R. Normativo'!$W$5:$W$1000,$N15)))</f>
        <v/>
      </c>
      <c r="Q15">
        <f>IF(OR(LEFT($L15,7)="Vencida",LEFT($L15,5)="Vence"),SUMPRODUCT(--(LEFT($L$5:$L15,7)="Vencida"))+SUMPRODUCT(--(LEFT($L$5:$L15,5)="Vence")),"")</f>
        <v/>
      </c>
    </row>
    <row r="16">
      <c r="A16" s="56">
        <f>IF($N16="","",INDEX('Cronograma R. Normativo'!$A$5:$A$1000,$N16))</f>
        <v/>
      </c>
      <c r="B16" s="62">
        <f>IF($N16="","",IF($O16="Sub","      ↳  "&amp;INDEX('Cronograma R. Normativo'!$C$5:$C$1000,$N16),INDEX('Cronograma R. Normativo'!$C$5:$C$1000,$N16)&amp;""))</f>
        <v/>
      </c>
      <c r="C16" s="79">
        <f>IF($N16="","",IF(INDEX('Cronograma R. Normativo'!$AM$5:$AM$1000,$N16)="","",INDEX('Cronograma R. Normativo'!$AM$5:$AM$1000,$N16)))</f>
        <v/>
      </c>
      <c r="D16" s="79">
        <f>IF($N16="","",IF(INDEX('Cronograma R. Normativo'!$AN$5:$AN$1000,$N16)="","",INDEX('Cronograma R. Normativo'!$AN$5:$AN$1000,$N16)))</f>
        <v/>
      </c>
      <c r="E16" s="56">
        <f>IF($N16="","",IF(NOT(ISNUMBER($D16)),"",IF($D16&lt;InicioCiclo,"Antes del ciclo",IF($D16&gt;=InicioCiclo+28,"Después del ciclo","Semana "&amp;(INT(($D16-InicioCiclo)/7)+1)))))</f>
        <v/>
      </c>
      <c r="F16" s="61">
        <f>IF($N16="","",IF($P16&gt;0,IF(1&lt;=SemanaActual,INDEX('Cronograma R. Normativo'!$AC$5:$AC$1000,$N16),""),IF(INDEX('Cronograma R. Normativo'!$I$5:$I$1000,$N16)="","",INDEX('Cronograma R. Normativo'!$I$5:$I$1000,$N16))))</f>
        <v/>
      </c>
      <c r="G16" s="61">
        <f>IF($N16="","",IF($P16&gt;0,IF(2&lt;=SemanaActual,INDEX('Cronograma R. Normativo'!$AD$5:$AD$1000,$N16),""),IF(INDEX('Cronograma R. Normativo'!$J$5:$J$1000,$N16)="","",INDEX('Cronograma R. Normativo'!$J$5:$J$1000,$N16))))</f>
        <v/>
      </c>
      <c r="H16" s="61">
        <f>IF($N16="","",IF($P16&gt;0,IF(3&lt;=SemanaActual,INDEX('Cronograma R. Normativo'!$AE$5:$AE$1000,$N16),""),IF(INDEX('Cronograma R. Normativo'!$K$5:$K$1000,$N16)="","",INDEX('Cronograma R. Normativo'!$K$5:$K$1000,$N16))))</f>
        <v/>
      </c>
      <c r="I16" s="61">
        <f>IF($N16="","",IF($P16&gt;0,IF(4&lt;=SemanaActual,INDEX('Cronograma R. Normativo'!$AF$5:$AF$1000,$N16),""),IF(INDEX('Cronograma R. Normativo'!$L$5:$L$1000,$N16)="","",INDEX('Cronograma R. Normativo'!$L$5:$L$1000,$N16))))</f>
        <v/>
      </c>
      <c r="J16" s="61">
        <f>IF($N16="","",INDEX('Cronograma R. Normativo'!$M$5:$M$1000,$N16))</f>
        <v/>
      </c>
      <c r="K16" s="56">
        <f>IF($N16="","",IF(N($J16)&gt;=1,"Completado",IF(AND(ISNUMBER($D16),$D16&lt;FechaRef),"Vencida",IF(N($J16)&gt;0,"En curso","Pendiente"))))</f>
        <v/>
      </c>
      <c r="L16" s="56">
        <f>IF($N16="","",INDEX('Cronograma R. Normativo'!$O$5:$O$1000,$N16)&amp;"")</f>
        <v/>
      </c>
      <c r="M16" s="62">
        <f>IF($N16="","",INDEX('Cronograma R. Normativo'!$Q$5:$Q$1000,$N16)&amp;"")</f>
        <v/>
      </c>
      <c r="N16">
        <f>IFERROR(MATCH(ROW()-4,rOrden_RN,0),"")</f>
        <v/>
      </c>
      <c r="O16">
        <f>IF($N16="","",INDEX('Cronograma R. Normativo'!$V$5:$V$1000,$N16))</f>
        <v/>
      </c>
      <c r="P16">
        <f>IF($N16="","",N(INDEX('Cronograma R. Normativo'!$W$5:$W$1000,$N16)))</f>
        <v/>
      </c>
      <c r="Q16">
        <f>IF(OR(LEFT($L16,7)="Vencida",LEFT($L16,5)="Vence"),SUMPRODUCT(--(LEFT($L$5:$L16,7)="Vencida"))+SUMPRODUCT(--(LEFT($L$5:$L16,5)="Vence")),"")</f>
        <v/>
      </c>
    </row>
    <row r="17">
      <c r="A17" s="56">
        <f>IF($N17="","",INDEX('Cronograma R. Normativo'!$A$5:$A$1000,$N17))</f>
        <v/>
      </c>
      <c r="B17" s="62">
        <f>IF($N17="","",IF($O17="Sub","      ↳  "&amp;INDEX('Cronograma R. Normativo'!$C$5:$C$1000,$N17),INDEX('Cronograma R. Normativo'!$C$5:$C$1000,$N17)&amp;""))</f>
        <v/>
      </c>
      <c r="C17" s="79">
        <f>IF($N17="","",IF(INDEX('Cronograma R. Normativo'!$AM$5:$AM$1000,$N17)="","",INDEX('Cronograma R. Normativo'!$AM$5:$AM$1000,$N17)))</f>
        <v/>
      </c>
      <c r="D17" s="79">
        <f>IF($N17="","",IF(INDEX('Cronograma R. Normativo'!$AN$5:$AN$1000,$N17)="","",INDEX('Cronograma R. Normativo'!$AN$5:$AN$1000,$N17)))</f>
        <v/>
      </c>
      <c r="E17" s="56">
        <f>IF($N17="","",IF(NOT(ISNUMBER($D17)),"",IF($D17&lt;InicioCiclo,"Antes del ciclo",IF($D17&gt;=InicioCiclo+28,"Después del ciclo","Semana "&amp;(INT(($D17-InicioCiclo)/7)+1)))))</f>
        <v/>
      </c>
      <c r="F17" s="61">
        <f>IF($N17="","",IF($P17&gt;0,IF(1&lt;=SemanaActual,INDEX('Cronograma R. Normativo'!$AC$5:$AC$1000,$N17),""),IF(INDEX('Cronograma R. Normativo'!$I$5:$I$1000,$N17)="","",INDEX('Cronograma R. Normativo'!$I$5:$I$1000,$N17))))</f>
        <v/>
      </c>
      <c r="G17" s="61">
        <f>IF($N17="","",IF($P17&gt;0,IF(2&lt;=SemanaActual,INDEX('Cronograma R. Normativo'!$AD$5:$AD$1000,$N17),""),IF(INDEX('Cronograma R. Normativo'!$J$5:$J$1000,$N17)="","",INDEX('Cronograma R. Normativo'!$J$5:$J$1000,$N17))))</f>
        <v/>
      </c>
      <c r="H17" s="61">
        <f>IF($N17="","",IF($P17&gt;0,IF(3&lt;=SemanaActual,INDEX('Cronograma R. Normativo'!$AE$5:$AE$1000,$N17),""),IF(INDEX('Cronograma R. Normativo'!$K$5:$K$1000,$N17)="","",INDEX('Cronograma R. Normativo'!$K$5:$K$1000,$N17))))</f>
        <v/>
      </c>
      <c r="I17" s="61">
        <f>IF($N17="","",IF($P17&gt;0,IF(4&lt;=SemanaActual,INDEX('Cronograma R. Normativo'!$AF$5:$AF$1000,$N17),""),IF(INDEX('Cronograma R. Normativo'!$L$5:$L$1000,$N17)="","",INDEX('Cronograma R. Normativo'!$L$5:$L$1000,$N17))))</f>
        <v/>
      </c>
      <c r="J17" s="61">
        <f>IF($N17="","",INDEX('Cronograma R. Normativo'!$M$5:$M$1000,$N17))</f>
        <v/>
      </c>
      <c r="K17" s="56">
        <f>IF($N17="","",IF(N($J17)&gt;=1,"Completado",IF(AND(ISNUMBER($D17),$D17&lt;FechaRef),"Vencida",IF(N($J17)&gt;0,"En curso","Pendiente"))))</f>
        <v/>
      </c>
      <c r="L17" s="56">
        <f>IF($N17="","",INDEX('Cronograma R. Normativo'!$O$5:$O$1000,$N17)&amp;"")</f>
        <v/>
      </c>
      <c r="M17" s="62">
        <f>IF($N17="","",INDEX('Cronograma R. Normativo'!$Q$5:$Q$1000,$N17)&amp;"")</f>
        <v/>
      </c>
      <c r="N17">
        <f>IFERROR(MATCH(ROW()-4,rOrden_RN,0),"")</f>
        <v/>
      </c>
      <c r="O17">
        <f>IF($N17="","",INDEX('Cronograma R. Normativo'!$V$5:$V$1000,$N17))</f>
        <v/>
      </c>
      <c r="P17">
        <f>IF($N17="","",N(INDEX('Cronograma R. Normativo'!$W$5:$W$1000,$N17)))</f>
        <v/>
      </c>
      <c r="Q17">
        <f>IF(OR(LEFT($L17,7)="Vencida",LEFT($L17,5)="Vence"),SUMPRODUCT(--(LEFT($L$5:$L17,7)="Vencida"))+SUMPRODUCT(--(LEFT($L$5:$L17,5)="Vence")),"")</f>
        <v/>
      </c>
    </row>
    <row r="18">
      <c r="A18" s="56">
        <f>IF($N18="","",INDEX('Cronograma R. Normativo'!$A$5:$A$1000,$N18))</f>
        <v/>
      </c>
      <c r="B18" s="62">
        <f>IF($N18="","",IF($O18="Sub","      ↳  "&amp;INDEX('Cronograma R. Normativo'!$C$5:$C$1000,$N18),INDEX('Cronograma R. Normativo'!$C$5:$C$1000,$N18)&amp;""))</f>
        <v/>
      </c>
      <c r="C18" s="79">
        <f>IF($N18="","",IF(INDEX('Cronograma R. Normativo'!$AM$5:$AM$1000,$N18)="","",INDEX('Cronograma R. Normativo'!$AM$5:$AM$1000,$N18)))</f>
        <v/>
      </c>
      <c r="D18" s="79">
        <f>IF($N18="","",IF(INDEX('Cronograma R. Normativo'!$AN$5:$AN$1000,$N18)="","",INDEX('Cronograma R. Normativo'!$AN$5:$AN$1000,$N18)))</f>
        <v/>
      </c>
      <c r="E18" s="56">
        <f>IF($N18="","",IF(NOT(ISNUMBER($D18)),"",IF($D18&lt;InicioCiclo,"Antes del ciclo",IF($D18&gt;=InicioCiclo+28,"Después del ciclo","Semana "&amp;(INT(($D18-InicioCiclo)/7)+1)))))</f>
        <v/>
      </c>
      <c r="F18" s="61">
        <f>IF($N18="","",IF($P18&gt;0,IF(1&lt;=SemanaActual,INDEX('Cronograma R. Normativo'!$AC$5:$AC$1000,$N18),""),IF(INDEX('Cronograma R. Normativo'!$I$5:$I$1000,$N18)="","",INDEX('Cronograma R. Normativo'!$I$5:$I$1000,$N18))))</f>
        <v/>
      </c>
      <c r="G18" s="61">
        <f>IF($N18="","",IF($P18&gt;0,IF(2&lt;=SemanaActual,INDEX('Cronograma R. Normativo'!$AD$5:$AD$1000,$N18),""),IF(INDEX('Cronograma R. Normativo'!$J$5:$J$1000,$N18)="","",INDEX('Cronograma R. Normativo'!$J$5:$J$1000,$N18))))</f>
        <v/>
      </c>
      <c r="H18" s="61">
        <f>IF($N18="","",IF($P18&gt;0,IF(3&lt;=SemanaActual,INDEX('Cronograma R. Normativo'!$AE$5:$AE$1000,$N18),""),IF(INDEX('Cronograma R. Normativo'!$K$5:$K$1000,$N18)="","",INDEX('Cronograma R. Normativo'!$K$5:$K$1000,$N18))))</f>
        <v/>
      </c>
      <c r="I18" s="61">
        <f>IF($N18="","",IF($P18&gt;0,IF(4&lt;=SemanaActual,INDEX('Cronograma R. Normativo'!$AF$5:$AF$1000,$N18),""),IF(INDEX('Cronograma R. Normativo'!$L$5:$L$1000,$N18)="","",INDEX('Cronograma R. Normativo'!$L$5:$L$1000,$N18))))</f>
        <v/>
      </c>
      <c r="J18" s="61">
        <f>IF($N18="","",INDEX('Cronograma R. Normativo'!$M$5:$M$1000,$N18))</f>
        <v/>
      </c>
      <c r="K18" s="56">
        <f>IF($N18="","",IF(N($J18)&gt;=1,"Completado",IF(AND(ISNUMBER($D18),$D18&lt;FechaRef),"Vencida",IF(N($J18)&gt;0,"En curso","Pendiente"))))</f>
        <v/>
      </c>
      <c r="L18" s="56">
        <f>IF($N18="","",INDEX('Cronograma R. Normativo'!$O$5:$O$1000,$N18)&amp;"")</f>
        <v/>
      </c>
      <c r="M18" s="62">
        <f>IF($N18="","",INDEX('Cronograma R. Normativo'!$Q$5:$Q$1000,$N18)&amp;"")</f>
        <v/>
      </c>
      <c r="N18">
        <f>IFERROR(MATCH(ROW()-4,rOrden_RN,0),"")</f>
        <v/>
      </c>
      <c r="O18">
        <f>IF($N18="","",INDEX('Cronograma R. Normativo'!$V$5:$V$1000,$N18))</f>
        <v/>
      </c>
      <c r="P18">
        <f>IF($N18="","",N(INDEX('Cronograma R. Normativo'!$W$5:$W$1000,$N18)))</f>
        <v/>
      </c>
      <c r="Q18">
        <f>IF(OR(LEFT($L18,7)="Vencida",LEFT($L18,5)="Vence"),SUMPRODUCT(--(LEFT($L$5:$L18,7)="Vencida"))+SUMPRODUCT(--(LEFT($L$5:$L18,5)="Vence")),"")</f>
        <v/>
      </c>
    </row>
    <row r="19">
      <c r="A19" s="56">
        <f>IF($N19="","",INDEX('Cronograma R. Normativo'!$A$5:$A$1000,$N19))</f>
        <v/>
      </c>
      <c r="B19" s="62">
        <f>IF($N19="","",IF($O19="Sub","      ↳  "&amp;INDEX('Cronograma R. Normativo'!$C$5:$C$1000,$N19),INDEX('Cronograma R. Normativo'!$C$5:$C$1000,$N19)&amp;""))</f>
        <v/>
      </c>
      <c r="C19" s="79">
        <f>IF($N19="","",IF(INDEX('Cronograma R. Normativo'!$AM$5:$AM$1000,$N19)="","",INDEX('Cronograma R. Normativo'!$AM$5:$AM$1000,$N19)))</f>
        <v/>
      </c>
      <c r="D19" s="79">
        <f>IF($N19="","",IF(INDEX('Cronograma R. Normativo'!$AN$5:$AN$1000,$N19)="","",INDEX('Cronograma R. Normativo'!$AN$5:$AN$1000,$N19)))</f>
        <v/>
      </c>
      <c r="E19" s="56">
        <f>IF($N19="","",IF(NOT(ISNUMBER($D19)),"",IF($D19&lt;InicioCiclo,"Antes del ciclo",IF($D19&gt;=InicioCiclo+28,"Después del ciclo","Semana "&amp;(INT(($D19-InicioCiclo)/7)+1)))))</f>
        <v/>
      </c>
      <c r="F19" s="61">
        <f>IF($N19="","",IF($P19&gt;0,IF(1&lt;=SemanaActual,INDEX('Cronograma R. Normativo'!$AC$5:$AC$1000,$N19),""),IF(INDEX('Cronograma R. Normativo'!$I$5:$I$1000,$N19)="","",INDEX('Cronograma R. Normativo'!$I$5:$I$1000,$N19))))</f>
        <v/>
      </c>
      <c r="G19" s="61">
        <f>IF($N19="","",IF($P19&gt;0,IF(2&lt;=SemanaActual,INDEX('Cronograma R. Normativo'!$AD$5:$AD$1000,$N19),""),IF(INDEX('Cronograma R. Normativo'!$J$5:$J$1000,$N19)="","",INDEX('Cronograma R. Normativo'!$J$5:$J$1000,$N19))))</f>
        <v/>
      </c>
      <c r="H19" s="61">
        <f>IF($N19="","",IF($P19&gt;0,IF(3&lt;=SemanaActual,INDEX('Cronograma R. Normativo'!$AE$5:$AE$1000,$N19),""),IF(INDEX('Cronograma R. Normativo'!$K$5:$K$1000,$N19)="","",INDEX('Cronograma R. Normativo'!$K$5:$K$1000,$N19))))</f>
        <v/>
      </c>
      <c r="I19" s="61">
        <f>IF($N19="","",IF($P19&gt;0,IF(4&lt;=SemanaActual,INDEX('Cronograma R. Normativo'!$AF$5:$AF$1000,$N19),""),IF(INDEX('Cronograma R. Normativo'!$L$5:$L$1000,$N19)="","",INDEX('Cronograma R. Normativo'!$L$5:$L$1000,$N19))))</f>
        <v/>
      </c>
      <c r="J19" s="61">
        <f>IF($N19="","",INDEX('Cronograma R. Normativo'!$M$5:$M$1000,$N19))</f>
        <v/>
      </c>
      <c r="K19" s="56">
        <f>IF($N19="","",IF(N($J19)&gt;=1,"Completado",IF(AND(ISNUMBER($D19),$D19&lt;FechaRef),"Vencida",IF(N($J19)&gt;0,"En curso","Pendiente"))))</f>
        <v/>
      </c>
      <c r="L19" s="56">
        <f>IF($N19="","",INDEX('Cronograma R. Normativo'!$O$5:$O$1000,$N19)&amp;"")</f>
        <v/>
      </c>
      <c r="M19" s="62">
        <f>IF($N19="","",INDEX('Cronograma R. Normativo'!$Q$5:$Q$1000,$N19)&amp;"")</f>
        <v/>
      </c>
      <c r="N19">
        <f>IFERROR(MATCH(ROW()-4,rOrden_RN,0),"")</f>
        <v/>
      </c>
      <c r="O19">
        <f>IF($N19="","",INDEX('Cronograma R. Normativo'!$V$5:$V$1000,$N19))</f>
        <v/>
      </c>
      <c r="P19">
        <f>IF($N19="","",N(INDEX('Cronograma R. Normativo'!$W$5:$W$1000,$N19)))</f>
        <v/>
      </c>
      <c r="Q19">
        <f>IF(OR(LEFT($L19,7)="Vencida",LEFT($L19,5)="Vence"),SUMPRODUCT(--(LEFT($L$5:$L19,7)="Vencida"))+SUMPRODUCT(--(LEFT($L$5:$L19,5)="Vence")),"")</f>
        <v/>
      </c>
    </row>
    <row r="20">
      <c r="A20" s="56">
        <f>IF($N20="","",INDEX('Cronograma R. Normativo'!$A$5:$A$1000,$N20))</f>
        <v/>
      </c>
      <c r="B20" s="62">
        <f>IF($N20="","",IF($O20="Sub","      ↳  "&amp;INDEX('Cronograma R. Normativo'!$C$5:$C$1000,$N20),INDEX('Cronograma R. Normativo'!$C$5:$C$1000,$N20)&amp;""))</f>
        <v/>
      </c>
      <c r="C20" s="79">
        <f>IF($N20="","",IF(INDEX('Cronograma R. Normativo'!$AM$5:$AM$1000,$N20)="","",INDEX('Cronograma R. Normativo'!$AM$5:$AM$1000,$N20)))</f>
        <v/>
      </c>
      <c r="D20" s="79">
        <f>IF($N20="","",IF(INDEX('Cronograma R. Normativo'!$AN$5:$AN$1000,$N20)="","",INDEX('Cronograma R. Normativo'!$AN$5:$AN$1000,$N20)))</f>
        <v/>
      </c>
      <c r="E20" s="56">
        <f>IF($N20="","",IF(NOT(ISNUMBER($D20)),"",IF($D20&lt;InicioCiclo,"Antes del ciclo",IF($D20&gt;=InicioCiclo+28,"Después del ciclo","Semana "&amp;(INT(($D20-InicioCiclo)/7)+1)))))</f>
        <v/>
      </c>
      <c r="F20" s="61">
        <f>IF($N20="","",IF($P20&gt;0,IF(1&lt;=SemanaActual,INDEX('Cronograma R. Normativo'!$AC$5:$AC$1000,$N20),""),IF(INDEX('Cronograma R. Normativo'!$I$5:$I$1000,$N20)="","",INDEX('Cronograma R. Normativo'!$I$5:$I$1000,$N20))))</f>
        <v/>
      </c>
      <c r="G20" s="61">
        <f>IF($N20="","",IF($P20&gt;0,IF(2&lt;=SemanaActual,INDEX('Cronograma R. Normativo'!$AD$5:$AD$1000,$N20),""),IF(INDEX('Cronograma R. Normativo'!$J$5:$J$1000,$N20)="","",INDEX('Cronograma R. Normativo'!$J$5:$J$1000,$N20))))</f>
        <v/>
      </c>
      <c r="H20" s="61">
        <f>IF($N20="","",IF($P20&gt;0,IF(3&lt;=SemanaActual,INDEX('Cronograma R. Normativo'!$AE$5:$AE$1000,$N20),""),IF(INDEX('Cronograma R. Normativo'!$K$5:$K$1000,$N20)="","",INDEX('Cronograma R. Normativo'!$K$5:$K$1000,$N20))))</f>
        <v/>
      </c>
      <c r="I20" s="61">
        <f>IF($N20="","",IF($P20&gt;0,IF(4&lt;=SemanaActual,INDEX('Cronograma R. Normativo'!$AF$5:$AF$1000,$N20),""),IF(INDEX('Cronograma R. Normativo'!$L$5:$L$1000,$N20)="","",INDEX('Cronograma R. Normativo'!$L$5:$L$1000,$N20))))</f>
        <v/>
      </c>
      <c r="J20" s="61">
        <f>IF($N20="","",INDEX('Cronograma R. Normativo'!$M$5:$M$1000,$N20))</f>
        <v/>
      </c>
      <c r="K20" s="56">
        <f>IF($N20="","",IF(N($J20)&gt;=1,"Completado",IF(AND(ISNUMBER($D20),$D20&lt;FechaRef),"Vencida",IF(N($J20)&gt;0,"En curso","Pendiente"))))</f>
        <v/>
      </c>
      <c r="L20" s="56">
        <f>IF($N20="","",INDEX('Cronograma R. Normativo'!$O$5:$O$1000,$N20)&amp;"")</f>
        <v/>
      </c>
      <c r="M20" s="62">
        <f>IF($N20="","",INDEX('Cronograma R. Normativo'!$Q$5:$Q$1000,$N20)&amp;"")</f>
        <v/>
      </c>
      <c r="N20">
        <f>IFERROR(MATCH(ROW()-4,rOrden_RN,0),"")</f>
        <v/>
      </c>
      <c r="O20">
        <f>IF($N20="","",INDEX('Cronograma R. Normativo'!$V$5:$V$1000,$N20))</f>
        <v/>
      </c>
      <c r="P20">
        <f>IF($N20="","",N(INDEX('Cronograma R. Normativo'!$W$5:$W$1000,$N20)))</f>
        <v/>
      </c>
      <c r="Q20">
        <f>IF(OR(LEFT($L20,7)="Vencida",LEFT($L20,5)="Vence"),SUMPRODUCT(--(LEFT($L$5:$L20,7)="Vencida"))+SUMPRODUCT(--(LEFT($L$5:$L20,5)="Vence")),"")</f>
        <v/>
      </c>
    </row>
    <row r="21">
      <c r="A21" s="56">
        <f>IF($N21="","",INDEX('Cronograma R. Normativo'!$A$5:$A$1000,$N21))</f>
        <v/>
      </c>
      <c r="B21" s="62">
        <f>IF($N21="","",IF($O21="Sub","      ↳  "&amp;INDEX('Cronograma R. Normativo'!$C$5:$C$1000,$N21),INDEX('Cronograma R. Normativo'!$C$5:$C$1000,$N21)&amp;""))</f>
        <v/>
      </c>
      <c r="C21" s="79">
        <f>IF($N21="","",IF(INDEX('Cronograma R. Normativo'!$AM$5:$AM$1000,$N21)="","",INDEX('Cronograma R. Normativo'!$AM$5:$AM$1000,$N21)))</f>
        <v/>
      </c>
      <c r="D21" s="79">
        <f>IF($N21="","",IF(INDEX('Cronograma R. Normativo'!$AN$5:$AN$1000,$N21)="","",INDEX('Cronograma R. Normativo'!$AN$5:$AN$1000,$N21)))</f>
        <v/>
      </c>
      <c r="E21" s="56">
        <f>IF($N21="","",IF(NOT(ISNUMBER($D21)),"",IF($D21&lt;InicioCiclo,"Antes del ciclo",IF($D21&gt;=InicioCiclo+28,"Después del ciclo","Semana "&amp;(INT(($D21-InicioCiclo)/7)+1)))))</f>
        <v/>
      </c>
      <c r="F21" s="61">
        <f>IF($N21="","",IF($P21&gt;0,IF(1&lt;=SemanaActual,INDEX('Cronograma R. Normativo'!$AC$5:$AC$1000,$N21),""),IF(INDEX('Cronograma R. Normativo'!$I$5:$I$1000,$N21)="","",INDEX('Cronograma R. Normativo'!$I$5:$I$1000,$N21))))</f>
        <v/>
      </c>
      <c r="G21" s="61">
        <f>IF($N21="","",IF($P21&gt;0,IF(2&lt;=SemanaActual,INDEX('Cronograma R. Normativo'!$AD$5:$AD$1000,$N21),""),IF(INDEX('Cronograma R. Normativo'!$J$5:$J$1000,$N21)="","",INDEX('Cronograma R. Normativo'!$J$5:$J$1000,$N21))))</f>
        <v/>
      </c>
      <c r="H21" s="61">
        <f>IF($N21="","",IF($P21&gt;0,IF(3&lt;=SemanaActual,INDEX('Cronograma R. Normativo'!$AE$5:$AE$1000,$N21),""),IF(INDEX('Cronograma R. Normativo'!$K$5:$K$1000,$N21)="","",INDEX('Cronograma R. Normativo'!$K$5:$K$1000,$N21))))</f>
        <v/>
      </c>
      <c r="I21" s="61">
        <f>IF($N21="","",IF($P21&gt;0,IF(4&lt;=SemanaActual,INDEX('Cronograma R. Normativo'!$AF$5:$AF$1000,$N21),""),IF(INDEX('Cronograma R. Normativo'!$L$5:$L$1000,$N21)="","",INDEX('Cronograma R. Normativo'!$L$5:$L$1000,$N21))))</f>
        <v/>
      </c>
      <c r="J21" s="61">
        <f>IF($N21="","",INDEX('Cronograma R. Normativo'!$M$5:$M$1000,$N21))</f>
        <v/>
      </c>
      <c r="K21" s="56">
        <f>IF($N21="","",IF(N($J21)&gt;=1,"Completado",IF(AND(ISNUMBER($D21),$D21&lt;FechaRef),"Vencida",IF(N($J21)&gt;0,"En curso","Pendiente"))))</f>
        <v/>
      </c>
      <c r="L21" s="56">
        <f>IF($N21="","",INDEX('Cronograma R. Normativo'!$O$5:$O$1000,$N21)&amp;"")</f>
        <v/>
      </c>
      <c r="M21" s="62">
        <f>IF($N21="","",INDEX('Cronograma R. Normativo'!$Q$5:$Q$1000,$N21)&amp;"")</f>
        <v/>
      </c>
      <c r="N21">
        <f>IFERROR(MATCH(ROW()-4,rOrden_RN,0),"")</f>
        <v/>
      </c>
      <c r="O21">
        <f>IF($N21="","",INDEX('Cronograma R. Normativo'!$V$5:$V$1000,$N21))</f>
        <v/>
      </c>
      <c r="P21">
        <f>IF($N21="","",N(INDEX('Cronograma R. Normativo'!$W$5:$W$1000,$N21)))</f>
        <v/>
      </c>
      <c r="Q21">
        <f>IF(OR(LEFT($L21,7)="Vencida",LEFT($L21,5)="Vence"),SUMPRODUCT(--(LEFT($L$5:$L21,7)="Vencida"))+SUMPRODUCT(--(LEFT($L$5:$L21,5)="Vence")),"")</f>
        <v/>
      </c>
    </row>
    <row r="22">
      <c r="A22" s="56">
        <f>IF($N22="","",INDEX('Cronograma R. Normativo'!$A$5:$A$1000,$N22))</f>
        <v/>
      </c>
      <c r="B22" s="62">
        <f>IF($N22="","",IF($O22="Sub","      ↳  "&amp;INDEX('Cronograma R. Normativo'!$C$5:$C$1000,$N22),INDEX('Cronograma R. Normativo'!$C$5:$C$1000,$N22)&amp;""))</f>
        <v/>
      </c>
      <c r="C22" s="79">
        <f>IF($N22="","",IF(INDEX('Cronograma R. Normativo'!$AM$5:$AM$1000,$N22)="","",INDEX('Cronograma R. Normativo'!$AM$5:$AM$1000,$N22)))</f>
        <v/>
      </c>
      <c r="D22" s="79">
        <f>IF($N22="","",IF(INDEX('Cronograma R. Normativo'!$AN$5:$AN$1000,$N22)="","",INDEX('Cronograma R. Normativo'!$AN$5:$AN$1000,$N22)))</f>
        <v/>
      </c>
      <c r="E22" s="56">
        <f>IF($N22="","",IF(NOT(ISNUMBER($D22)),"",IF($D22&lt;InicioCiclo,"Antes del ciclo",IF($D22&gt;=InicioCiclo+28,"Después del ciclo","Semana "&amp;(INT(($D22-InicioCiclo)/7)+1)))))</f>
        <v/>
      </c>
      <c r="F22" s="61">
        <f>IF($N22="","",IF($P22&gt;0,IF(1&lt;=SemanaActual,INDEX('Cronograma R. Normativo'!$AC$5:$AC$1000,$N22),""),IF(INDEX('Cronograma R. Normativo'!$I$5:$I$1000,$N22)="","",INDEX('Cronograma R. Normativo'!$I$5:$I$1000,$N22))))</f>
        <v/>
      </c>
      <c r="G22" s="61">
        <f>IF($N22="","",IF($P22&gt;0,IF(2&lt;=SemanaActual,INDEX('Cronograma R. Normativo'!$AD$5:$AD$1000,$N22),""),IF(INDEX('Cronograma R. Normativo'!$J$5:$J$1000,$N22)="","",INDEX('Cronograma R. Normativo'!$J$5:$J$1000,$N22))))</f>
        <v/>
      </c>
      <c r="H22" s="61">
        <f>IF($N22="","",IF($P22&gt;0,IF(3&lt;=SemanaActual,INDEX('Cronograma R. Normativo'!$AE$5:$AE$1000,$N22),""),IF(INDEX('Cronograma R. Normativo'!$K$5:$K$1000,$N22)="","",INDEX('Cronograma R. Normativo'!$K$5:$K$1000,$N22))))</f>
        <v/>
      </c>
      <c r="I22" s="61">
        <f>IF($N22="","",IF($P22&gt;0,IF(4&lt;=SemanaActual,INDEX('Cronograma R. Normativo'!$AF$5:$AF$1000,$N22),""),IF(INDEX('Cronograma R. Normativo'!$L$5:$L$1000,$N22)="","",INDEX('Cronograma R. Normativo'!$L$5:$L$1000,$N22))))</f>
        <v/>
      </c>
      <c r="J22" s="61">
        <f>IF($N22="","",INDEX('Cronograma R. Normativo'!$M$5:$M$1000,$N22))</f>
        <v/>
      </c>
      <c r="K22" s="56">
        <f>IF($N22="","",IF(N($J22)&gt;=1,"Completado",IF(AND(ISNUMBER($D22),$D22&lt;FechaRef),"Vencida",IF(N($J22)&gt;0,"En curso","Pendiente"))))</f>
        <v/>
      </c>
      <c r="L22" s="56">
        <f>IF($N22="","",INDEX('Cronograma R. Normativo'!$O$5:$O$1000,$N22)&amp;"")</f>
        <v/>
      </c>
      <c r="M22" s="62">
        <f>IF($N22="","",INDEX('Cronograma R. Normativo'!$Q$5:$Q$1000,$N22)&amp;"")</f>
        <v/>
      </c>
      <c r="N22">
        <f>IFERROR(MATCH(ROW()-4,rOrden_RN,0),"")</f>
        <v/>
      </c>
      <c r="O22">
        <f>IF($N22="","",INDEX('Cronograma R. Normativo'!$V$5:$V$1000,$N22))</f>
        <v/>
      </c>
      <c r="P22">
        <f>IF($N22="","",N(INDEX('Cronograma R. Normativo'!$W$5:$W$1000,$N22)))</f>
        <v/>
      </c>
      <c r="Q22">
        <f>IF(OR(LEFT($L22,7)="Vencida",LEFT($L22,5)="Vence"),SUMPRODUCT(--(LEFT($L$5:$L22,7)="Vencida"))+SUMPRODUCT(--(LEFT($L$5:$L22,5)="Vence")),"")</f>
        <v/>
      </c>
    </row>
    <row r="23">
      <c r="A23" s="56">
        <f>IF($N23="","",INDEX('Cronograma R. Normativo'!$A$5:$A$1000,$N23))</f>
        <v/>
      </c>
      <c r="B23" s="62">
        <f>IF($N23="","",IF($O23="Sub","      ↳  "&amp;INDEX('Cronograma R. Normativo'!$C$5:$C$1000,$N23),INDEX('Cronograma R. Normativo'!$C$5:$C$1000,$N23)&amp;""))</f>
        <v/>
      </c>
      <c r="C23" s="79">
        <f>IF($N23="","",IF(INDEX('Cronograma R. Normativo'!$AM$5:$AM$1000,$N23)="","",INDEX('Cronograma R. Normativo'!$AM$5:$AM$1000,$N23)))</f>
        <v/>
      </c>
      <c r="D23" s="79">
        <f>IF($N23="","",IF(INDEX('Cronograma R. Normativo'!$AN$5:$AN$1000,$N23)="","",INDEX('Cronograma R. Normativo'!$AN$5:$AN$1000,$N23)))</f>
        <v/>
      </c>
      <c r="E23" s="56">
        <f>IF($N23="","",IF(NOT(ISNUMBER($D23)),"",IF($D23&lt;InicioCiclo,"Antes del ciclo",IF($D23&gt;=InicioCiclo+28,"Después del ciclo","Semana "&amp;(INT(($D23-InicioCiclo)/7)+1)))))</f>
        <v/>
      </c>
      <c r="F23" s="61">
        <f>IF($N23="","",IF($P23&gt;0,IF(1&lt;=SemanaActual,INDEX('Cronograma R. Normativo'!$AC$5:$AC$1000,$N23),""),IF(INDEX('Cronograma R. Normativo'!$I$5:$I$1000,$N23)="","",INDEX('Cronograma R. Normativo'!$I$5:$I$1000,$N23))))</f>
        <v/>
      </c>
      <c r="G23" s="61">
        <f>IF($N23="","",IF($P23&gt;0,IF(2&lt;=SemanaActual,INDEX('Cronograma R. Normativo'!$AD$5:$AD$1000,$N23),""),IF(INDEX('Cronograma R. Normativo'!$J$5:$J$1000,$N23)="","",INDEX('Cronograma R. Normativo'!$J$5:$J$1000,$N23))))</f>
        <v/>
      </c>
      <c r="H23" s="61">
        <f>IF($N23="","",IF($P23&gt;0,IF(3&lt;=SemanaActual,INDEX('Cronograma R. Normativo'!$AE$5:$AE$1000,$N23),""),IF(INDEX('Cronograma R. Normativo'!$K$5:$K$1000,$N23)="","",INDEX('Cronograma R. Normativo'!$K$5:$K$1000,$N23))))</f>
        <v/>
      </c>
      <c r="I23" s="61">
        <f>IF($N23="","",IF($P23&gt;0,IF(4&lt;=SemanaActual,INDEX('Cronograma R. Normativo'!$AF$5:$AF$1000,$N23),""),IF(INDEX('Cronograma R. Normativo'!$L$5:$L$1000,$N23)="","",INDEX('Cronograma R. Normativo'!$L$5:$L$1000,$N23))))</f>
        <v/>
      </c>
      <c r="J23" s="61">
        <f>IF($N23="","",INDEX('Cronograma R. Normativo'!$M$5:$M$1000,$N23))</f>
        <v/>
      </c>
      <c r="K23" s="56">
        <f>IF($N23="","",IF(N($J23)&gt;=1,"Completado",IF(AND(ISNUMBER($D23),$D23&lt;FechaRef),"Vencida",IF(N($J23)&gt;0,"En curso","Pendiente"))))</f>
        <v/>
      </c>
      <c r="L23" s="56">
        <f>IF($N23="","",INDEX('Cronograma R. Normativo'!$O$5:$O$1000,$N23)&amp;"")</f>
        <v/>
      </c>
      <c r="M23" s="62">
        <f>IF($N23="","",INDEX('Cronograma R. Normativo'!$Q$5:$Q$1000,$N23)&amp;"")</f>
        <v/>
      </c>
      <c r="N23">
        <f>IFERROR(MATCH(ROW()-4,rOrden_RN,0),"")</f>
        <v/>
      </c>
      <c r="O23">
        <f>IF($N23="","",INDEX('Cronograma R. Normativo'!$V$5:$V$1000,$N23))</f>
        <v/>
      </c>
      <c r="P23">
        <f>IF($N23="","",N(INDEX('Cronograma R. Normativo'!$W$5:$W$1000,$N23)))</f>
        <v/>
      </c>
      <c r="Q23">
        <f>IF(OR(LEFT($L23,7)="Vencida",LEFT($L23,5)="Vence"),SUMPRODUCT(--(LEFT($L$5:$L23,7)="Vencida"))+SUMPRODUCT(--(LEFT($L$5:$L23,5)="Vence")),"")</f>
        <v/>
      </c>
    </row>
    <row r="24">
      <c r="A24" s="56">
        <f>IF($N24="","",INDEX('Cronograma R. Normativo'!$A$5:$A$1000,$N24))</f>
        <v/>
      </c>
      <c r="B24" s="62">
        <f>IF($N24="","",IF($O24="Sub","      ↳  "&amp;INDEX('Cronograma R. Normativo'!$C$5:$C$1000,$N24),INDEX('Cronograma R. Normativo'!$C$5:$C$1000,$N24)&amp;""))</f>
        <v/>
      </c>
      <c r="C24" s="79">
        <f>IF($N24="","",IF(INDEX('Cronograma R. Normativo'!$AM$5:$AM$1000,$N24)="","",INDEX('Cronograma R. Normativo'!$AM$5:$AM$1000,$N24)))</f>
        <v/>
      </c>
      <c r="D24" s="79">
        <f>IF($N24="","",IF(INDEX('Cronograma R. Normativo'!$AN$5:$AN$1000,$N24)="","",INDEX('Cronograma R. Normativo'!$AN$5:$AN$1000,$N24)))</f>
        <v/>
      </c>
      <c r="E24" s="56">
        <f>IF($N24="","",IF(NOT(ISNUMBER($D24)),"",IF($D24&lt;InicioCiclo,"Antes del ciclo",IF($D24&gt;=InicioCiclo+28,"Después del ciclo","Semana "&amp;(INT(($D24-InicioCiclo)/7)+1)))))</f>
        <v/>
      </c>
      <c r="F24" s="61">
        <f>IF($N24="","",IF($P24&gt;0,IF(1&lt;=SemanaActual,INDEX('Cronograma R. Normativo'!$AC$5:$AC$1000,$N24),""),IF(INDEX('Cronograma R. Normativo'!$I$5:$I$1000,$N24)="","",INDEX('Cronograma R. Normativo'!$I$5:$I$1000,$N24))))</f>
        <v/>
      </c>
      <c r="G24" s="61">
        <f>IF($N24="","",IF($P24&gt;0,IF(2&lt;=SemanaActual,INDEX('Cronograma R. Normativo'!$AD$5:$AD$1000,$N24),""),IF(INDEX('Cronograma R. Normativo'!$J$5:$J$1000,$N24)="","",INDEX('Cronograma R. Normativo'!$J$5:$J$1000,$N24))))</f>
        <v/>
      </c>
      <c r="H24" s="61">
        <f>IF($N24="","",IF($P24&gt;0,IF(3&lt;=SemanaActual,INDEX('Cronograma R. Normativo'!$AE$5:$AE$1000,$N24),""),IF(INDEX('Cronograma R. Normativo'!$K$5:$K$1000,$N24)="","",INDEX('Cronograma R. Normativo'!$K$5:$K$1000,$N24))))</f>
        <v/>
      </c>
      <c r="I24" s="61">
        <f>IF($N24="","",IF($P24&gt;0,IF(4&lt;=SemanaActual,INDEX('Cronograma R. Normativo'!$AF$5:$AF$1000,$N24),""),IF(INDEX('Cronograma R. Normativo'!$L$5:$L$1000,$N24)="","",INDEX('Cronograma R. Normativo'!$L$5:$L$1000,$N24))))</f>
        <v/>
      </c>
      <c r="J24" s="61">
        <f>IF($N24="","",INDEX('Cronograma R. Normativo'!$M$5:$M$1000,$N24))</f>
        <v/>
      </c>
      <c r="K24" s="56">
        <f>IF($N24="","",IF(N($J24)&gt;=1,"Completado",IF(AND(ISNUMBER($D24),$D24&lt;FechaRef),"Vencida",IF(N($J24)&gt;0,"En curso","Pendiente"))))</f>
        <v/>
      </c>
      <c r="L24" s="56">
        <f>IF($N24="","",INDEX('Cronograma R. Normativo'!$O$5:$O$1000,$N24)&amp;"")</f>
        <v/>
      </c>
      <c r="M24" s="62">
        <f>IF($N24="","",INDEX('Cronograma R. Normativo'!$Q$5:$Q$1000,$N24)&amp;"")</f>
        <v/>
      </c>
      <c r="N24">
        <f>IFERROR(MATCH(ROW()-4,rOrden_RN,0),"")</f>
        <v/>
      </c>
      <c r="O24">
        <f>IF($N24="","",INDEX('Cronograma R. Normativo'!$V$5:$V$1000,$N24))</f>
        <v/>
      </c>
      <c r="P24">
        <f>IF($N24="","",N(INDEX('Cronograma R. Normativo'!$W$5:$W$1000,$N24)))</f>
        <v/>
      </c>
      <c r="Q24">
        <f>IF(OR(LEFT($L24,7)="Vencida",LEFT($L24,5)="Vence"),SUMPRODUCT(--(LEFT($L$5:$L24,7)="Vencida"))+SUMPRODUCT(--(LEFT($L$5:$L24,5)="Vence")),"")</f>
        <v/>
      </c>
    </row>
    <row r="25">
      <c r="A25" s="56">
        <f>IF($N25="","",INDEX('Cronograma R. Normativo'!$A$5:$A$1000,$N25))</f>
        <v/>
      </c>
      <c r="B25" s="62">
        <f>IF($N25="","",IF($O25="Sub","      ↳  "&amp;INDEX('Cronograma R. Normativo'!$C$5:$C$1000,$N25),INDEX('Cronograma R. Normativo'!$C$5:$C$1000,$N25)&amp;""))</f>
        <v/>
      </c>
      <c r="C25" s="79">
        <f>IF($N25="","",IF(INDEX('Cronograma R. Normativo'!$AM$5:$AM$1000,$N25)="","",INDEX('Cronograma R. Normativo'!$AM$5:$AM$1000,$N25)))</f>
        <v/>
      </c>
      <c r="D25" s="79">
        <f>IF($N25="","",IF(INDEX('Cronograma R. Normativo'!$AN$5:$AN$1000,$N25)="","",INDEX('Cronograma R. Normativo'!$AN$5:$AN$1000,$N25)))</f>
        <v/>
      </c>
      <c r="E25" s="56">
        <f>IF($N25="","",IF(NOT(ISNUMBER($D25)),"",IF($D25&lt;InicioCiclo,"Antes del ciclo",IF($D25&gt;=InicioCiclo+28,"Después del ciclo","Semana "&amp;(INT(($D25-InicioCiclo)/7)+1)))))</f>
        <v/>
      </c>
      <c r="F25" s="61">
        <f>IF($N25="","",IF($P25&gt;0,IF(1&lt;=SemanaActual,INDEX('Cronograma R. Normativo'!$AC$5:$AC$1000,$N25),""),IF(INDEX('Cronograma R. Normativo'!$I$5:$I$1000,$N25)="","",INDEX('Cronograma R. Normativo'!$I$5:$I$1000,$N25))))</f>
        <v/>
      </c>
      <c r="G25" s="61">
        <f>IF($N25="","",IF($P25&gt;0,IF(2&lt;=SemanaActual,INDEX('Cronograma R. Normativo'!$AD$5:$AD$1000,$N25),""),IF(INDEX('Cronograma R. Normativo'!$J$5:$J$1000,$N25)="","",INDEX('Cronograma R. Normativo'!$J$5:$J$1000,$N25))))</f>
        <v/>
      </c>
      <c r="H25" s="61">
        <f>IF($N25="","",IF($P25&gt;0,IF(3&lt;=SemanaActual,INDEX('Cronograma R. Normativo'!$AE$5:$AE$1000,$N25),""),IF(INDEX('Cronograma R. Normativo'!$K$5:$K$1000,$N25)="","",INDEX('Cronograma R. Normativo'!$K$5:$K$1000,$N25))))</f>
        <v/>
      </c>
      <c r="I25" s="61">
        <f>IF($N25="","",IF($P25&gt;0,IF(4&lt;=SemanaActual,INDEX('Cronograma R. Normativo'!$AF$5:$AF$1000,$N25),""),IF(INDEX('Cronograma R. Normativo'!$L$5:$L$1000,$N25)="","",INDEX('Cronograma R. Normativo'!$L$5:$L$1000,$N25))))</f>
        <v/>
      </c>
      <c r="J25" s="61">
        <f>IF($N25="","",INDEX('Cronograma R. Normativo'!$M$5:$M$1000,$N25))</f>
        <v/>
      </c>
      <c r="K25" s="56">
        <f>IF($N25="","",IF(N($J25)&gt;=1,"Completado",IF(AND(ISNUMBER($D25),$D25&lt;FechaRef),"Vencida",IF(N($J25)&gt;0,"En curso","Pendiente"))))</f>
        <v/>
      </c>
      <c r="L25" s="56">
        <f>IF($N25="","",INDEX('Cronograma R. Normativo'!$O$5:$O$1000,$N25)&amp;"")</f>
        <v/>
      </c>
      <c r="M25" s="62">
        <f>IF($N25="","",INDEX('Cronograma R. Normativo'!$Q$5:$Q$1000,$N25)&amp;"")</f>
        <v/>
      </c>
      <c r="N25">
        <f>IFERROR(MATCH(ROW()-4,rOrden_RN,0),"")</f>
        <v/>
      </c>
      <c r="O25">
        <f>IF($N25="","",INDEX('Cronograma R. Normativo'!$V$5:$V$1000,$N25))</f>
        <v/>
      </c>
      <c r="P25">
        <f>IF($N25="","",N(INDEX('Cronograma R. Normativo'!$W$5:$W$1000,$N25)))</f>
        <v/>
      </c>
      <c r="Q25">
        <f>IF(OR(LEFT($L25,7)="Vencida",LEFT($L25,5)="Vence"),SUMPRODUCT(--(LEFT($L$5:$L25,7)="Vencida"))+SUMPRODUCT(--(LEFT($L$5:$L25,5)="Vence")),"")</f>
        <v/>
      </c>
    </row>
    <row r="26">
      <c r="A26" s="56">
        <f>IF($N26="","",INDEX('Cronograma R. Normativo'!$A$5:$A$1000,$N26))</f>
        <v/>
      </c>
      <c r="B26" s="62">
        <f>IF($N26="","",IF($O26="Sub","      ↳  "&amp;INDEX('Cronograma R. Normativo'!$C$5:$C$1000,$N26),INDEX('Cronograma R. Normativo'!$C$5:$C$1000,$N26)&amp;""))</f>
        <v/>
      </c>
      <c r="C26" s="79">
        <f>IF($N26="","",IF(INDEX('Cronograma R. Normativo'!$AM$5:$AM$1000,$N26)="","",INDEX('Cronograma R. Normativo'!$AM$5:$AM$1000,$N26)))</f>
        <v/>
      </c>
      <c r="D26" s="79">
        <f>IF($N26="","",IF(INDEX('Cronograma R. Normativo'!$AN$5:$AN$1000,$N26)="","",INDEX('Cronograma R. Normativo'!$AN$5:$AN$1000,$N26)))</f>
        <v/>
      </c>
      <c r="E26" s="56">
        <f>IF($N26="","",IF(NOT(ISNUMBER($D26)),"",IF($D26&lt;InicioCiclo,"Antes del ciclo",IF($D26&gt;=InicioCiclo+28,"Después del ciclo","Semana "&amp;(INT(($D26-InicioCiclo)/7)+1)))))</f>
        <v/>
      </c>
      <c r="F26" s="61">
        <f>IF($N26="","",IF($P26&gt;0,IF(1&lt;=SemanaActual,INDEX('Cronograma R. Normativo'!$AC$5:$AC$1000,$N26),""),IF(INDEX('Cronograma R. Normativo'!$I$5:$I$1000,$N26)="","",INDEX('Cronograma R. Normativo'!$I$5:$I$1000,$N26))))</f>
        <v/>
      </c>
      <c r="G26" s="61">
        <f>IF($N26="","",IF($P26&gt;0,IF(2&lt;=SemanaActual,INDEX('Cronograma R. Normativo'!$AD$5:$AD$1000,$N26),""),IF(INDEX('Cronograma R. Normativo'!$J$5:$J$1000,$N26)="","",INDEX('Cronograma R. Normativo'!$J$5:$J$1000,$N26))))</f>
        <v/>
      </c>
      <c r="H26" s="61">
        <f>IF($N26="","",IF($P26&gt;0,IF(3&lt;=SemanaActual,INDEX('Cronograma R. Normativo'!$AE$5:$AE$1000,$N26),""),IF(INDEX('Cronograma R. Normativo'!$K$5:$K$1000,$N26)="","",INDEX('Cronograma R. Normativo'!$K$5:$K$1000,$N26))))</f>
        <v/>
      </c>
      <c r="I26" s="61">
        <f>IF($N26="","",IF($P26&gt;0,IF(4&lt;=SemanaActual,INDEX('Cronograma R. Normativo'!$AF$5:$AF$1000,$N26),""),IF(INDEX('Cronograma R. Normativo'!$L$5:$L$1000,$N26)="","",INDEX('Cronograma R. Normativo'!$L$5:$L$1000,$N26))))</f>
        <v/>
      </c>
      <c r="J26" s="61">
        <f>IF($N26="","",INDEX('Cronograma R. Normativo'!$M$5:$M$1000,$N26))</f>
        <v/>
      </c>
      <c r="K26" s="56">
        <f>IF($N26="","",IF(N($J26)&gt;=1,"Completado",IF(AND(ISNUMBER($D26),$D26&lt;FechaRef),"Vencida",IF(N($J26)&gt;0,"En curso","Pendiente"))))</f>
        <v/>
      </c>
      <c r="L26" s="56">
        <f>IF($N26="","",INDEX('Cronograma R. Normativo'!$O$5:$O$1000,$N26)&amp;"")</f>
        <v/>
      </c>
      <c r="M26" s="62">
        <f>IF($N26="","",INDEX('Cronograma R. Normativo'!$Q$5:$Q$1000,$N26)&amp;"")</f>
        <v/>
      </c>
      <c r="N26">
        <f>IFERROR(MATCH(ROW()-4,rOrden_RN,0),"")</f>
        <v/>
      </c>
      <c r="O26">
        <f>IF($N26="","",INDEX('Cronograma R. Normativo'!$V$5:$V$1000,$N26))</f>
        <v/>
      </c>
      <c r="P26">
        <f>IF($N26="","",N(INDEX('Cronograma R. Normativo'!$W$5:$W$1000,$N26)))</f>
        <v/>
      </c>
      <c r="Q26">
        <f>IF(OR(LEFT($L26,7)="Vencida",LEFT($L26,5)="Vence"),SUMPRODUCT(--(LEFT($L$5:$L26,7)="Vencida"))+SUMPRODUCT(--(LEFT($L$5:$L26,5)="Vence")),"")</f>
        <v/>
      </c>
    </row>
    <row r="27">
      <c r="A27" s="56">
        <f>IF($N27="","",INDEX('Cronograma R. Normativo'!$A$5:$A$1000,$N27))</f>
        <v/>
      </c>
      <c r="B27" s="62">
        <f>IF($N27="","",IF($O27="Sub","      ↳  "&amp;INDEX('Cronograma R. Normativo'!$C$5:$C$1000,$N27),INDEX('Cronograma R. Normativo'!$C$5:$C$1000,$N27)&amp;""))</f>
        <v/>
      </c>
      <c r="C27" s="79">
        <f>IF($N27="","",IF(INDEX('Cronograma R. Normativo'!$AM$5:$AM$1000,$N27)="","",INDEX('Cronograma R. Normativo'!$AM$5:$AM$1000,$N27)))</f>
        <v/>
      </c>
      <c r="D27" s="79">
        <f>IF($N27="","",IF(INDEX('Cronograma R. Normativo'!$AN$5:$AN$1000,$N27)="","",INDEX('Cronograma R. Normativo'!$AN$5:$AN$1000,$N27)))</f>
        <v/>
      </c>
      <c r="E27" s="56">
        <f>IF($N27="","",IF(NOT(ISNUMBER($D27)),"",IF($D27&lt;InicioCiclo,"Antes del ciclo",IF($D27&gt;=InicioCiclo+28,"Después del ciclo","Semana "&amp;(INT(($D27-InicioCiclo)/7)+1)))))</f>
        <v/>
      </c>
      <c r="F27" s="61">
        <f>IF($N27="","",IF($P27&gt;0,IF(1&lt;=SemanaActual,INDEX('Cronograma R. Normativo'!$AC$5:$AC$1000,$N27),""),IF(INDEX('Cronograma R. Normativo'!$I$5:$I$1000,$N27)="","",INDEX('Cronograma R. Normativo'!$I$5:$I$1000,$N27))))</f>
        <v/>
      </c>
      <c r="G27" s="61">
        <f>IF($N27="","",IF($P27&gt;0,IF(2&lt;=SemanaActual,INDEX('Cronograma R. Normativo'!$AD$5:$AD$1000,$N27),""),IF(INDEX('Cronograma R. Normativo'!$J$5:$J$1000,$N27)="","",INDEX('Cronograma R. Normativo'!$J$5:$J$1000,$N27))))</f>
        <v/>
      </c>
      <c r="H27" s="61">
        <f>IF($N27="","",IF($P27&gt;0,IF(3&lt;=SemanaActual,INDEX('Cronograma R. Normativo'!$AE$5:$AE$1000,$N27),""),IF(INDEX('Cronograma R. Normativo'!$K$5:$K$1000,$N27)="","",INDEX('Cronograma R. Normativo'!$K$5:$K$1000,$N27))))</f>
        <v/>
      </c>
      <c r="I27" s="61">
        <f>IF($N27="","",IF($P27&gt;0,IF(4&lt;=SemanaActual,INDEX('Cronograma R. Normativo'!$AF$5:$AF$1000,$N27),""),IF(INDEX('Cronograma R. Normativo'!$L$5:$L$1000,$N27)="","",INDEX('Cronograma R. Normativo'!$L$5:$L$1000,$N27))))</f>
        <v/>
      </c>
      <c r="J27" s="61">
        <f>IF($N27="","",INDEX('Cronograma R. Normativo'!$M$5:$M$1000,$N27))</f>
        <v/>
      </c>
      <c r="K27" s="56">
        <f>IF($N27="","",IF(N($J27)&gt;=1,"Completado",IF(AND(ISNUMBER($D27),$D27&lt;FechaRef),"Vencida",IF(N($J27)&gt;0,"En curso","Pendiente"))))</f>
        <v/>
      </c>
      <c r="L27" s="56">
        <f>IF($N27="","",INDEX('Cronograma R. Normativo'!$O$5:$O$1000,$N27)&amp;"")</f>
        <v/>
      </c>
      <c r="M27" s="62">
        <f>IF($N27="","",INDEX('Cronograma R. Normativo'!$Q$5:$Q$1000,$N27)&amp;"")</f>
        <v/>
      </c>
      <c r="N27">
        <f>IFERROR(MATCH(ROW()-4,rOrden_RN,0),"")</f>
        <v/>
      </c>
      <c r="O27">
        <f>IF($N27="","",INDEX('Cronograma R. Normativo'!$V$5:$V$1000,$N27))</f>
        <v/>
      </c>
      <c r="P27">
        <f>IF($N27="","",N(INDEX('Cronograma R. Normativo'!$W$5:$W$1000,$N27)))</f>
        <v/>
      </c>
      <c r="Q27">
        <f>IF(OR(LEFT($L27,7)="Vencida",LEFT($L27,5)="Vence"),SUMPRODUCT(--(LEFT($L$5:$L27,7)="Vencida"))+SUMPRODUCT(--(LEFT($L$5:$L27,5)="Vence")),"")</f>
        <v/>
      </c>
    </row>
    <row r="28">
      <c r="A28" s="56">
        <f>IF($N28="","",INDEX('Cronograma R. Normativo'!$A$5:$A$1000,$N28))</f>
        <v/>
      </c>
      <c r="B28" s="62">
        <f>IF($N28="","",IF($O28="Sub","      ↳  "&amp;INDEX('Cronograma R. Normativo'!$C$5:$C$1000,$N28),INDEX('Cronograma R. Normativo'!$C$5:$C$1000,$N28)&amp;""))</f>
        <v/>
      </c>
      <c r="C28" s="79">
        <f>IF($N28="","",IF(INDEX('Cronograma R. Normativo'!$AM$5:$AM$1000,$N28)="","",INDEX('Cronograma R. Normativo'!$AM$5:$AM$1000,$N28)))</f>
        <v/>
      </c>
      <c r="D28" s="79">
        <f>IF($N28="","",IF(INDEX('Cronograma R. Normativo'!$AN$5:$AN$1000,$N28)="","",INDEX('Cronograma R. Normativo'!$AN$5:$AN$1000,$N28)))</f>
        <v/>
      </c>
      <c r="E28" s="56">
        <f>IF($N28="","",IF(NOT(ISNUMBER($D28)),"",IF($D28&lt;InicioCiclo,"Antes del ciclo",IF($D28&gt;=InicioCiclo+28,"Después del ciclo","Semana "&amp;(INT(($D28-InicioCiclo)/7)+1)))))</f>
        <v/>
      </c>
      <c r="F28" s="61">
        <f>IF($N28="","",IF($P28&gt;0,IF(1&lt;=SemanaActual,INDEX('Cronograma R. Normativo'!$AC$5:$AC$1000,$N28),""),IF(INDEX('Cronograma R. Normativo'!$I$5:$I$1000,$N28)="","",INDEX('Cronograma R. Normativo'!$I$5:$I$1000,$N28))))</f>
        <v/>
      </c>
      <c r="G28" s="61">
        <f>IF($N28="","",IF($P28&gt;0,IF(2&lt;=SemanaActual,INDEX('Cronograma R. Normativo'!$AD$5:$AD$1000,$N28),""),IF(INDEX('Cronograma R. Normativo'!$J$5:$J$1000,$N28)="","",INDEX('Cronograma R. Normativo'!$J$5:$J$1000,$N28))))</f>
        <v/>
      </c>
      <c r="H28" s="61">
        <f>IF($N28="","",IF($P28&gt;0,IF(3&lt;=SemanaActual,INDEX('Cronograma R. Normativo'!$AE$5:$AE$1000,$N28),""),IF(INDEX('Cronograma R. Normativo'!$K$5:$K$1000,$N28)="","",INDEX('Cronograma R. Normativo'!$K$5:$K$1000,$N28))))</f>
        <v/>
      </c>
      <c r="I28" s="61">
        <f>IF($N28="","",IF($P28&gt;0,IF(4&lt;=SemanaActual,INDEX('Cronograma R. Normativo'!$AF$5:$AF$1000,$N28),""),IF(INDEX('Cronograma R. Normativo'!$L$5:$L$1000,$N28)="","",INDEX('Cronograma R. Normativo'!$L$5:$L$1000,$N28))))</f>
        <v/>
      </c>
      <c r="J28" s="61">
        <f>IF($N28="","",INDEX('Cronograma R. Normativo'!$M$5:$M$1000,$N28))</f>
        <v/>
      </c>
      <c r="K28" s="56">
        <f>IF($N28="","",IF(N($J28)&gt;=1,"Completado",IF(AND(ISNUMBER($D28),$D28&lt;FechaRef),"Vencida",IF(N($J28)&gt;0,"En curso","Pendiente"))))</f>
        <v/>
      </c>
      <c r="L28" s="56">
        <f>IF($N28="","",INDEX('Cronograma R. Normativo'!$O$5:$O$1000,$N28)&amp;"")</f>
        <v/>
      </c>
      <c r="M28" s="62">
        <f>IF($N28="","",INDEX('Cronograma R. Normativo'!$Q$5:$Q$1000,$N28)&amp;"")</f>
        <v/>
      </c>
      <c r="N28">
        <f>IFERROR(MATCH(ROW()-4,rOrden_RN,0),"")</f>
        <v/>
      </c>
      <c r="O28">
        <f>IF($N28="","",INDEX('Cronograma R. Normativo'!$V$5:$V$1000,$N28))</f>
        <v/>
      </c>
      <c r="P28">
        <f>IF($N28="","",N(INDEX('Cronograma R. Normativo'!$W$5:$W$1000,$N28)))</f>
        <v/>
      </c>
      <c r="Q28">
        <f>IF(OR(LEFT($L28,7)="Vencida",LEFT($L28,5)="Vence"),SUMPRODUCT(--(LEFT($L$5:$L28,7)="Vencida"))+SUMPRODUCT(--(LEFT($L$5:$L28,5)="Vence")),"")</f>
        <v/>
      </c>
    </row>
    <row r="29">
      <c r="A29" s="56">
        <f>IF($N29="","",INDEX('Cronograma R. Normativo'!$A$5:$A$1000,$N29))</f>
        <v/>
      </c>
      <c r="B29" s="62">
        <f>IF($N29="","",IF($O29="Sub","      ↳  "&amp;INDEX('Cronograma R. Normativo'!$C$5:$C$1000,$N29),INDEX('Cronograma R. Normativo'!$C$5:$C$1000,$N29)&amp;""))</f>
        <v/>
      </c>
      <c r="C29" s="79">
        <f>IF($N29="","",IF(INDEX('Cronograma R. Normativo'!$AM$5:$AM$1000,$N29)="","",INDEX('Cronograma R. Normativo'!$AM$5:$AM$1000,$N29)))</f>
        <v/>
      </c>
      <c r="D29" s="79">
        <f>IF($N29="","",IF(INDEX('Cronograma R. Normativo'!$AN$5:$AN$1000,$N29)="","",INDEX('Cronograma R. Normativo'!$AN$5:$AN$1000,$N29)))</f>
        <v/>
      </c>
      <c r="E29" s="56">
        <f>IF($N29="","",IF(NOT(ISNUMBER($D29)),"",IF($D29&lt;InicioCiclo,"Antes del ciclo",IF($D29&gt;=InicioCiclo+28,"Después del ciclo","Semana "&amp;(INT(($D29-InicioCiclo)/7)+1)))))</f>
        <v/>
      </c>
      <c r="F29" s="61">
        <f>IF($N29="","",IF($P29&gt;0,IF(1&lt;=SemanaActual,INDEX('Cronograma R. Normativo'!$AC$5:$AC$1000,$N29),""),IF(INDEX('Cronograma R. Normativo'!$I$5:$I$1000,$N29)="","",INDEX('Cronograma R. Normativo'!$I$5:$I$1000,$N29))))</f>
        <v/>
      </c>
      <c r="G29" s="61">
        <f>IF($N29="","",IF($P29&gt;0,IF(2&lt;=SemanaActual,INDEX('Cronograma R. Normativo'!$AD$5:$AD$1000,$N29),""),IF(INDEX('Cronograma R. Normativo'!$J$5:$J$1000,$N29)="","",INDEX('Cronograma R. Normativo'!$J$5:$J$1000,$N29))))</f>
        <v/>
      </c>
      <c r="H29" s="61">
        <f>IF($N29="","",IF($P29&gt;0,IF(3&lt;=SemanaActual,INDEX('Cronograma R. Normativo'!$AE$5:$AE$1000,$N29),""),IF(INDEX('Cronograma R. Normativo'!$K$5:$K$1000,$N29)="","",INDEX('Cronograma R. Normativo'!$K$5:$K$1000,$N29))))</f>
        <v/>
      </c>
      <c r="I29" s="61">
        <f>IF($N29="","",IF($P29&gt;0,IF(4&lt;=SemanaActual,INDEX('Cronograma R. Normativo'!$AF$5:$AF$1000,$N29),""),IF(INDEX('Cronograma R. Normativo'!$L$5:$L$1000,$N29)="","",INDEX('Cronograma R. Normativo'!$L$5:$L$1000,$N29))))</f>
        <v/>
      </c>
      <c r="J29" s="61">
        <f>IF($N29="","",INDEX('Cronograma R. Normativo'!$M$5:$M$1000,$N29))</f>
        <v/>
      </c>
      <c r="K29" s="56">
        <f>IF($N29="","",IF(N($J29)&gt;=1,"Completado",IF(AND(ISNUMBER($D29),$D29&lt;FechaRef),"Vencida",IF(N($J29)&gt;0,"En curso","Pendiente"))))</f>
        <v/>
      </c>
      <c r="L29" s="56">
        <f>IF($N29="","",INDEX('Cronograma R. Normativo'!$O$5:$O$1000,$N29)&amp;"")</f>
        <v/>
      </c>
      <c r="M29" s="62">
        <f>IF($N29="","",INDEX('Cronograma R. Normativo'!$Q$5:$Q$1000,$N29)&amp;"")</f>
        <v/>
      </c>
      <c r="N29">
        <f>IFERROR(MATCH(ROW()-4,rOrden_RN,0),"")</f>
        <v/>
      </c>
      <c r="O29">
        <f>IF($N29="","",INDEX('Cronograma R. Normativo'!$V$5:$V$1000,$N29))</f>
        <v/>
      </c>
      <c r="P29">
        <f>IF($N29="","",N(INDEX('Cronograma R. Normativo'!$W$5:$W$1000,$N29)))</f>
        <v/>
      </c>
      <c r="Q29">
        <f>IF(OR(LEFT($L29,7)="Vencida",LEFT($L29,5)="Vence"),SUMPRODUCT(--(LEFT($L$5:$L29,7)="Vencida"))+SUMPRODUCT(--(LEFT($L$5:$L29,5)="Vence")),"")</f>
        <v/>
      </c>
    </row>
    <row r="30">
      <c r="A30" s="56">
        <f>IF($N30="","",INDEX('Cronograma R. Normativo'!$A$5:$A$1000,$N30))</f>
        <v/>
      </c>
      <c r="B30" s="62">
        <f>IF($N30="","",IF($O30="Sub","      ↳  "&amp;INDEX('Cronograma R. Normativo'!$C$5:$C$1000,$N30),INDEX('Cronograma R. Normativo'!$C$5:$C$1000,$N30)&amp;""))</f>
        <v/>
      </c>
      <c r="C30" s="79">
        <f>IF($N30="","",IF(INDEX('Cronograma R. Normativo'!$AM$5:$AM$1000,$N30)="","",INDEX('Cronograma R. Normativo'!$AM$5:$AM$1000,$N30)))</f>
        <v/>
      </c>
      <c r="D30" s="79">
        <f>IF($N30="","",IF(INDEX('Cronograma R. Normativo'!$AN$5:$AN$1000,$N30)="","",INDEX('Cronograma R. Normativo'!$AN$5:$AN$1000,$N30)))</f>
        <v/>
      </c>
      <c r="E30" s="56">
        <f>IF($N30="","",IF(NOT(ISNUMBER($D30)),"",IF($D30&lt;InicioCiclo,"Antes del ciclo",IF($D30&gt;=InicioCiclo+28,"Después del ciclo","Semana "&amp;(INT(($D30-InicioCiclo)/7)+1)))))</f>
        <v/>
      </c>
      <c r="F30" s="61">
        <f>IF($N30="","",IF($P30&gt;0,IF(1&lt;=SemanaActual,INDEX('Cronograma R. Normativo'!$AC$5:$AC$1000,$N30),""),IF(INDEX('Cronograma R. Normativo'!$I$5:$I$1000,$N30)="","",INDEX('Cronograma R. Normativo'!$I$5:$I$1000,$N30))))</f>
        <v/>
      </c>
      <c r="G30" s="61">
        <f>IF($N30="","",IF($P30&gt;0,IF(2&lt;=SemanaActual,INDEX('Cronograma R. Normativo'!$AD$5:$AD$1000,$N30),""),IF(INDEX('Cronograma R. Normativo'!$J$5:$J$1000,$N30)="","",INDEX('Cronograma R. Normativo'!$J$5:$J$1000,$N30))))</f>
        <v/>
      </c>
      <c r="H30" s="61">
        <f>IF($N30="","",IF($P30&gt;0,IF(3&lt;=SemanaActual,INDEX('Cronograma R. Normativo'!$AE$5:$AE$1000,$N30),""),IF(INDEX('Cronograma R. Normativo'!$K$5:$K$1000,$N30)="","",INDEX('Cronograma R. Normativo'!$K$5:$K$1000,$N30))))</f>
        <v/>
      </c>
      <c r="I30" s="61">
        <f>IF($N30="","",IF($P30&gt;0,IF(4&lt;=SemanaActual,INDEX('Cronograma R. Normativo'!$AF$5:$AF$1000,$N30),""),IF(INDEX('Cronograma R. Normativo'!$L$5:$L$1000,$N30)="","",INDEX('Cronograma R. Normativo'!$L$5:$L$1000,$N30))))</f>
        <v/>
      </c>
      <c r="J30" s="61">
        <f>IF($N30="","",INDEX('Cronograma R. Normativo'!$M$5:$M$1000,$N30))</f>
        <v/>
      </c>
      <c r="K30" s="56">
        <f>IF($N30="","",IF(N($J30)&gt;=1,"Completado",IF(AND(ISNUMBER($D30),$D30&lt;FechaRef),"Vencida",IF(N($J30)&gt;0,"En curso","Pendiente"))))</f>
        <v/>
      </c>
      <c r="L30" s="56">
        <f>IF($N30="","",INDEX('Cronograma R. Normativo'!$O$5:$O$1000,$N30)&amp;"")</f>
        <v/>
      </c>
      <c r="M30" s="62">
        <f>IF($N30="","",INDEX('Cronograma R. Normativo'!$Q$5:$Q$1000,$N30)&amp;"")</f>
        <v/>
      </c>
      <c r="N30">
        <f>IFERROR(MATCH(ROW()-4,rOrden_RN,0),"")</f>
        <v/>
      </c>
      <c r="O30">
        <f>IF($N30="","",INDEX('Cronograma R. Normativo'!$V$5:$V$1000,$N30))</f>
        <v/>
      </c>
      <c r="P30">
        <f>IF($N30="","",N(INDEX('Cronograma R. Normativo'!$W$5:$W$1000,$N30)))</f>
        <v/>
      </c>
      <c r="Q30">
        <f>IF(OR(LEFT($L30,7)="Vencida",LEFT($L30,5)="Vence"),SUMPRODUCT(--(LEFT($L$5:$L30,7)="Vencida"))+SUMPRODUCT(--(LEFT($L$5:$L30,5)="Vence")),"")</f>
        <v/>
      </c>
    </row>
    <row r="31">
      <c r="A31" s="56">
        <f>IF($N31="","",INDEX('Cronograma R. Normativo'!$A$5:$A$1000,$N31))</f>
        <v/>
      </c>
      <c r="B31" s="62">
        <f>IF($N31="","",IF($O31="Sub","      ↳  "&amp;INDEX('Cronograma R. Normativo'!$C$5:$C$1000,$N31),INDEX('Cronograma R. Normativo'!$C$5:$C$1000,$N31)&amp;""))</f>
        <v/>
      </c>
      <c r="C31" s="79">
        <f>IF($N31="","",IF(INDEX('Cronograma R. Normativo'!$AM$5:$AM$1000,$N31)="","",INDEX('Cronograma R. Normativo'!$AM$5:$AM$1000,$N31)))</f>
        <v/>
      </c>
      <c r="D31" s="79">
        <f>IF($N31="","",IF(INDEX('Cronograma R. Normativo'!$AN$5:$AN$1000,$N31)="","",INDEX('Cronograma R. Normativo'!$AN$5:$AN$1000,$N31)))</f>
        <v/>
      </c>
      <c r="E31" s="56">
        <f>IF($N31="","",IF(NOT(ISNUMBER($D31)),"",IF($D31&lt;InicioCiclo,"Antes del ciclo",IF($D31&gt;=InicioCiclo+28,"Después del ciclo","Semana "&amp;(INT(($D31-InicioCiclo)/7)+1)))))</f>
        <v/>
      </c>
      <c r="F31" s="61">
        <f>IF($N31="","",IF($P31&gt;0,IF(1&lt;=SemanaActual,INDEX('Cronograma R. Normativo'!$AC$5:$AC$1000,$N31),""),IF(INDEX('Cronograma R. Normativo'!$I$5:$I$1000,$N31)="","",INDEX('Cronograma R. Normativo'!$I$5:$I$1000,$N31))))</f>
        <v/>
      </c>
      <c r="G31" s="61">
        <f>IF($N31="","",IF($P31&gt;0,IF(2&lt;=SemanaActual,INDEX('Cronograma R. Normativo'!$AD$5:$AD$1000,$N31),""),IF(INDEX('Cronograma R. Normativo'!$J$5:$J$1000,$N31)="","",INDEX('Cronograma R. Normativo'!$J$5:$J$1000,$N31))))</f>
        <v/>
      </c>
      <c r="H31" s="61">
        <f>IF($N31="","",IF($P31&gt;0,IF(3&lt;=SemanaActual,INDEX('Cronograma R. Normativo'!$AE$5:$AE$1000,$N31),""),IF(INDEX('Cronograma R. Normativo'!$K$5:$K$1000,$N31)="","",INDEX('Cronograma R. Normativo'!$K$5:$K$1000,$N31))))</f>
        <v/>
      </c>
      <c r="I31" s="61">
        <f>IF($N31="","",IF($P31&gt;0,IF(4&lt;=SemanaActual,INDEX('Cronograma R. Normativo'!$AF$5:$AF$1000,$N31),""),IF(INDEX('Cronograma R. Normativo'!$L$5:$L$1000,$N31)="","",INDEX('Cronograma R. Normativo'!$L$5:$L$1000,$N31))))</f>
        <v/>
      </c>
      <c r="J31" s="61">
        <f>IF($N31="","",INDEX('Cronograma R. Normativo'!$M$5:$M$1000,$N31))</f>
        <v/>
      </c>
      <c r="K31" s="56">
        <f>IF($N31="","",IF(N($J31)&gt;=1,"Completado",IF(AND(ISNUMBER($D31),$D31&lt;FechaRef),"Vencida",IF(N($J31)&gt;0,"En curso","Pendiente"))))</f>
        <v/>
      </c>
      <c r="L31" s="56">
        <f>IF($N31="","",INDEX('Cronograma R. Normativo'!$O$5:$O$1000,$N31)&amp;"")</f>
        <v/>
      </c>
      <c r="M31" s="62">
        <f>IF($N31="","",INDEX('Cronograma R. Normativo'!$Q$5:$Q$1000,$N31)&amp;"")</f>
        <v/>
      </c>
      <c r="N31">
        <f>IFERROR(MATCH(ROW()-4,rOrden_RN,0),"")</f>
        <v/>
      </c>
      <c r="O31">
        <f>IF($N31="","",INDEX('Cronograma R. Normativo'!$V$5:$V$1000,$N31))</f>
        <v/>
      </c>
      <c r="P31">
        <f>IF($N31="","",N(INDEX('Cronograma R. Normativo'!$W$5:$W$1000,$N31)))</f>
        <v/>
      </c>
      <c r="Q31">
        <f>IF(OR(LEFT($L31,7)="Vencida",LEFT($L31,5)="Vence"),SUMPRODUCT(--(LEFT($L$5:$L31,7)="Vencida"))+SUMPRODUCT(--(LEFT($L$5:$L31,5)="Vence")),"")</f>
        <v/>
      </c>
    </row>
    <row r="32">
      <c r="A32" s="56">
        <f>IF($N32="","",INDEX('Cronograma R. Normativo'!$A$5:$A$1000,$N32))</f>
        <v/>
      </c>
      <c r="B32" s="62">
        <f>IF($N32="","",IF($O32="Sub","      ↳  "&amp;INDEX('Cronograma R. Normativo'!$C$5:$C$1000,$N32),INDEX('Cronograma R. Normativo'!$C$5:$C$1000,$N32)&amp;""))</f>
        <v/>
      </c>
      <c r="C32" s="79">
        <f>IF($N32="","",IF(INDEX('Cronograma R. Normativo'!$AM$5:$AM$1000,$N32)="","",INDEX('Cronograma R. Normativo'!$AM$5:$AM$1000,$N32)))</f>
        <v/>
      </c>
      <c r="D32" s="79">
        <f>IF($N32="","",IF(INDEX('Cronograma R. Normativo'!$AN$5:$AN$1000,$N32)="","",INDEX('Cronograma R. Normativo'!$AN$5:$AN$1000,$N32)))</f>
        <v/>
      </c>
      <c r="E32" s="56">
        <f>IF($N32="","",IF(NOT(ISNUMBER($D32)),"",IF($D32&lt;InicioCiclo,"Antes del ciclo",IF($D32&gt;=InicioCiclo+28,"Después del ciclo","Semana "&amp;(INT(($D32-InicioCiclo)/7)+1)))))</f>
        <v/>
      </c>
      <c r="F32" s="61">
        <f>IF($N32="","",IF($P32&gt;0,IF(1&lt;=SemanaActual,INDEX('Cronograma R. Normativo'!$AC$5:$AC$1000,$N32),""),IF(INDEX('Cronograma R. Normativo'!$I$5:$I$1000,$N32)="","",INDEX('Cronograma R. Normativo'!$I$5:$I$1000,$N32))))</f>
        <v/>
      </c>
      <c r="G32" s="61">
        <f>IF($N32="","",IF($P32&gt;0,IF(2&lt;=SemanaActual,INDEX('Cronograma R. Normativo'!$AD$5:$AD$1000,$N32),""),IF(INDEX('Cronograma R. Normativo'!$J$5:$J$1000,$N32)="","",INDEX('Cronograma R. Normativo'!$J$5:$J$1000,$N32))))</f>
        <v/>
      </c>
      <c r="H32" s="61">
        <f>IF($N32="","",IF($P32&gt;0,IF(3&lt;=SemanaActual,INDEX('Cronograma R. Normativo'!$AE$5:$AE$1000,$N32),""),IF(INDEX('Cronograma R. Normativo'!$K$5:$K$1000,$N32)="","",INDEX('Cronograma R. Normativo'!$K$5:$K$1000,$N32))))</f>
        <v/>
      </c>
      <c r="I32" s="61">
        <f>IF($N32="","",IF($P32&gt;0,IF(4&lt;=SemanaActual,INDEX('Cronograma R. Normativo'!$AF$5:$AF$1000,$N32),""),IF(INDEX('Cronograma R. Normativo'!$L$5:$L$1000,$N32)="","",INDEX('Cronograma R. Normativo'!$L$5:$L$1000,$N32))))</f>
        <v/>
      </c>
      <c r="J32" s="61">
        <f>IF($N32="","",INDEX('Cronograma R. Normativo'!$M$5:$M$1000,$N32))</f>
        <v/>
      </c>
      <c r="K32" s="56">
        <f>IF($N32="","",IF(N($J32)&gt;=1,"Completado",IF(AND(ISNUMBER($D32),$D32&lt;FechaRef),"Vencida",IF(N($J32)&gt;0,"En curso","Pendiente"))))</f>
        <v/>
      </c>
      <c r="L32" s="56">
        <f>IF($N32="","",INDEX('Cronograma R. Normativo'!$O$5:$O$1000,$N32)&amp;"")</f>
        <v/>
      </c>
      <c r="M32" s="62">
        <f>IF($N32="","",INDEX('Cronograma R. Normativo'!$Q$5:$Q$1000,$N32)&amp;"")</f>
        <v/>
      </c>
      <c r="N32">
        <f>IFERROR(MATCH(ROW()-4,rOrden_RN,0),"")</f>
        <v/>
      </c>
      <c r="O32">
        <f>IF($N32="","",INDEX('Cronograma R. Normativo'!$V$5:$V$1000,$N32))</f>
        <v/>
      </c>
      <c r="P32">
        <f>IF($N32="","",N(INDEX('Cronograma R. Normativo'!$W$5:$W$1000,$N32)))</f>
        <v/>
      </c>
      <c r="Q32">
        <f>IF(OR(LEFT($L32,7)="Vencida",LEFT($L32,5)="Vence"),SUMPRODUCT(--(LEFT($L$5:$L32,7)="Vencida"))+SUMPRODUCT(--(LEFT($L$5:$L32,5)="Vence")),"")</f>
        <v/>
      </c>
    </row>
    <row r="33">
      <c r="A33" s="56">
        <f>IF($N33="","",INDEX('Cronograma R. Normativo'!$A$5:$A$1000,$N33))</f>
        <v/>
      </c>
      <c r="B33" s="62">
        <f>IF($N33="","",IF($O33="Sub","      ↳  "&amp;INDEX('Cronograma R. Normativo'!$C$5:$C$1000,$N33),INDEX('Cronograma R. Normativo'!$C$5:$C$1000,$N33)&amp;""))</f>
        <v/>
      </c>
      <c r="C33" s="79">
        <f>IF($N33="","",IF(INDEX('Cronograma R. Normativo'!$AM$5:$AM$1000,$N33)="","",INDEX('Cronograma R. Normativo'!$AM$5:$AM$1000,$N33)))</f>
        <v/>
      </c>
      <c r="D33" s="79">
        <f>IF($N33="","",IF(INDEX('Cronograma R. Normativo'!$AN$5:$AN$1000,$N33)="","",INDEX('Cronograma R. Normativo'!$AN$5:$AN$1000,$N33)))</f>
        <v/>
      </c>
      <c r="E33" s="56">
        <f>IF($N33="","",IF(NOT(ISNUMBER($D33)),"",IF($D33&lt;InicioCiclo,"Antes del ciclo",IF($D33&gt;=InicioCiclo+28,"Después del ciclo","Semana "&amp;(INT(($D33-InicioCiclo)/7)+1)))))</f>
        <v/>
      </c>
      <c r="F33" s="61">
        <f>IF($N33="","",IF($P33&gt;0,IF(1&lt;=SemanaActual,INDEX('Cronograma R. Normativo'!$AC$5:$AC$1000,$N33),""),IF(INDEX('Cronograma R. Normativo'!$I$5:$I$1000,$N33)="","",INDEX('Cronograma R. Normativo'!$I$5:$I$1000,$N33))))</f>
        <v/>
      </c>
      <c r="G33" s="61">
        <f>IF($N33="","",IF($P33&gt;0,IF(2&lt;=SemanaActual,INDEX('Cronograma R. Normativo'!$AD$5:$AD$1000,$N33),""),IF(INDEX('Cronograma R. Normativo'!$J$5:$J$1000,$N33)="","",INDEX('Cronograma R. Normativo'!$J$5:$J$1000,$N33))))</f>
        <v/>
      </c>
      <c r="H33" s="61">
        <f>IF($N33="","",IF($P33&gt;0,IF(3&lt;=SemanaActual,INDEX('Cronograma R. Normativo'!$AE$5:$AE$1000,$N33),""),IF(INDEX('Cronograma R. Normativo'!$K$5:$K$1000,$N33)="","",INDEX('Cronograma R. Normativo'!$K$5:$K$1000,$N33))))</f>
        <v/>
      </c>
      <c r="I33" s="61">
        <f>IF($N33="","",IF($P33&gt;0,IF(4&lt;=SemanaActual,INDEX('Cronograma R. Normativo'!$AF$5:$AF$1000,$N33),""),IF(INDEX('Cronograma R. Normativo'!$L$5:$L$1000,$N33)="","",INDEX('Cronograma R. Normativo'!$L$5:$L$1000,$N33))))</f>
        <v/>
      </c>
      <c r="J33" s="61">
        <f>IF($N33="","",INDEX('Cronograma R. Normativo'!$M$5:$M$1000,$N33))</f>
        <v/>
      </c>
      <c r="K33" s="56">
        <f>IF($N33="","",IF(N($J33)&gt;=1,"Completado",IF(AND(ISNUMBER($D33),$D33&lt;FechaRef),"Vencida",IF(N($J33)&gt;0,"En curso","Pendiente"))))</f>
        <v/>
      </c>
      <c r="L33" s="56">
        <f>IF($N33="","",INDEX('Cronograma R. Normativo'!$O$5:$O$1000,$N33)&amp;"")</f>
        <v/>
      </c>
      <c r="M33" s="62">
        <f>IF($N33="","",INDEX('Cronograma R. Normativo'!$Q$5:$Q$1000,$N33)&amp;"")</f>
        <v/>
      </c>
      <c r="N33">
        <f>IFERROR(MATCH(ROW()-4,rOrden_RN,0),"")</f>
        <v/>
      </c>
      <c r="O33">
        <f>IF($N33="","",INDEX('Cronograma R. Normativo'!$V$5:$V$1000,$N33))</f>
        <v/>
      </c>
      <c r="P33">
        <f>IF($N33="","",N(INDEX('Cronograma R. Normativo'!$W$5:$W$1000,$N33)))</f>
        <v/>
      </c>
      <c r="Q33">
        <f>IF(OR(LEFT($L33,7)="Vencida",LEFT($L33,5)="Vence"),SUMPRODUCT(--(LEFT($L$5:$L33,7)="Vencida"))+SUMPRODUCT(--(LEFT($L$5:$L33,5)="Vence")),"")</f>
        <v/>
      </c>
    </row>
    <row r="34">
      <c r="A34" s="56">
        <f>IF($N34="","",INDEX('Cronograma R. Normativo'!$A$5:$A$1000,$N34))</f>
        <v/>
      </c>
      <c r="B34" s="62">
        <f>IF($N34="","",IF($O34="Sub","      ↳  "&amp;INDEX('Cronograma R. Normativo'!$C$5:$C$1000,$N34),INDEX('Cronograma R. Normativo'!$C$5:$C$1000,$N34)&amp;""))</f>
        <v/>
      </c>
      <c r="C34" s="79">
        <f>IF($N34="","",IF(INDEX('Cronograma R. Normativo'!$AM$5:$AM$1000,$N34)="","",INDEX('Cronograma R. Normativo'!$AM$5:$AM$1000,$N34)))</f>
        <v/>
      </c>
      <c r="D34" s="79">
        <f>IF($N34="","",IF(INDEX('Cronograma R. Normativo'!$AN$5:$AN$1000,$N34)="","",INDEX('Cronograma R. Normativo'!$AN$5:$AN$1000,$N34)))</f>
        <v/>
      </c>
      <c r="E34" s="56">
        <f>IF($N34="","",IF(NOT(ISNUMBER($D34)),"",IF($D34&lt;InicioCiclo,"Antes del ciclo",IF($D34&gt;=InicioCiclo+28,"Después del ciclo","Semana "&amp;(INT(($D34-InicioCiclo)/7)+1)))))</f>
        <v/>
      </c>
      <c r="F34" s="61">
        <f>IF($N34="","",IF($P34&gt;0,IF(1&lt;=SemanaActual,INDEX('Cronograma R. Normativo'!$AC$5:$AC$1000,$N34),""),IF(INDEX('Cronograma R. Normativo'!$I$5:$I$1000,$N34)="","",INDEX('Cronograma R. Normativo'!$I$5:$I$1000,$N34))))</f>
        <v/>
      </c>
      <c r="G34" s="61">
        <f>IF($N34="","",IF($P34&gt;0,IF(2&lt;=SemanaActual,INDEX('Cronograma R. Normativo'!$AD$5:$AD$1000,$N34),""),IF(INDEX('Cronograma R. Normativo'!$J$5:$J$1000,$N34)="","",INDEX('Cronograma R. Normativo'!$J$5:$J$1000,$N34))))</f>
        <v/>
      </c>
      <c r="H34" s="61">
        <f>IF($N34="","",IF($P34&gt;0,IF(3&lt;=SemanaActual,INDEX('Cronograma R. Normativo'!$AE$5:$AE$1000,$N34),""),IF(INDEX('Cronograma R. Normativo'!$K$5:$K$1000,$N34)="","",INDEX('Cronograma R. Normativo'!$K$5:$K$1000,$N34))))</f>
        <v/>
      </c>
      <c r="I34" s="61">
        <f>IF($N34="","",IF($P34&gt;0,IF(4&lt;=SemanaActual,INDEX('Cronograma R. Normativo'!$AF$5:$AF$1000,$N34),""),IF(INDEX('Cronograma R. Normativo'!$L$5:$L$1000,$N34)="","",INDEX('Cronograma R. Normativo'!$L$5:$L$1000,$N34))))</f>
        <v/>
      </c>
      <c r="J34" s="61">
        <f>IF($N34="","",INDEX('Cronograma R. Normativo'!$M$5:$M$1000,$N34))</f>
        <v/>
      </c>
      <c r="K34" s="56">
        <f>IF($N34="","",IF(N($J34)&gt;=1,"Completado",IF(AND(ISNUMBER($D34),$D34&lt;FechaRef),"Vencida",IF(N($J34)&gt;0,"En curso","Pendiente"))))</f>
        <v/>
      </c>
      <c r="L34" s="56">
        <f>IF($N34="","",INDEX('Cronograma R. Normativo'!$O$5:$O$1000,$N34)&amp;"")</f>
        <v/>
      </c>
      <c r="M34" s="62">
        <f>IF($N34="","",INDEX('Cronograma R. Normativo'!$Q$5:$Q$1000,$N34)&amp;"")</f>
        <v/>
      </c>
      <c r="N34">
        <f>IFERROR(MATCH(ROW()-4,rOrden_RN,0),"")</f>
        <v/>
      </c>
      <c r="O34">
        <f>IF($N34="","",INDEX('Cronograma R. Normativo'!$V$5:$V$1000,$N34))</f>
        <v/>
      </c>
      <c r="P34">
        <f>IF($N34="","",N(INDEX('Cronograma R. Normativo'!$W$5:$W$1000,$N34)))</f>
        <v/>
      </c>
      <c r="Q34">
        <f>IF(OR(LEFT($L34,7)="Vencida",LEFT($L34,5)="Vence"),SUMPRODUCT(--(LEFT($L$5:$L34,7)="Vencida"))+SUMPRODUCT(--(LEFT($L$5:$L34,5)="Vence")),"")</f>
        <v/>
      </c>
    </row>
    <row r="35">
      <c r="A35" s="56">
        <f>IF($N35="","",INDEX('Cronograma R. Normativo'!$A$5:$A$1000,$N35))</f>
        <v/>
      </c>
      <c r="B35" s="62">
        <f>IF($N35="","",IF($O35="Sub","      ↳  "&amp;INDEX('Cronograma R. Normativo'!$C$5:$C$1000,$N35),INDEX('Cronograma R. Normativo'!$C$5:$C$1000,$N35)&amp;""))</f>
        <v/>
      </c>
      <c r="C35" s="79">
        <f>IF($N35="","",IF(INDEX('Cronograma R. Normativo'!$AM$5:$AM$1000,$N35)="","",INDEX('Cronograma R. Normativo'!$AM$5:$AM$1000,$N35)))</f>
        <v/>
      </c>
      <c r="D35" s="79">
        <f>IF($N35="","",IF(INDEX('Cronograma R. Normativo'!$AN$5:$AN$1000,$N35)="","",INDEX('Cronograma R. Normativo'!$AN$5:$AN$1000,$N35)))</f>
        <v/>
      </c>
      <c r="E35" s="56">
        <f>IF($N35="","",IF(NOT(ISNUMBER($D35)),"",IF($D35&lt;InicioCiclo,"Antes del ciclo",IF($D35&gt;=InicioCiclo+28,"Después del ciclo","Semana "&amp;(INT(($D35-InicioCiclo)/7)+1)))))</f>
        <v/>
      </c>
      <c r="F35" s="61">
        <f>IF($N35="","",IF($P35&gt;0,IF(1&lt;=SemanaActual,INDEX('Cronograma R. Normativo'!$AC$5:$AC$1000,$N35),""),IF(INDEX('Cronograma R. Normativo'!$I$5:$I$1000,$N35)="","",INDEX('Cronograma R. Normativo'!$I$5:$I$1000,$N35))))</f>
        <v/>
      </c>
      <c r="G35" s="61">
        <f>IF($N35="","",IF($P35&gt;0,IF(2&lt;=SemanaActual,INDEX('Cronograma R. Normativo'!$AD$5:$AD$1000,$N35),""),IF(INDEX('Cronograma R. Normativo'!$J$5:$J$1000,$N35)="","",INDEX('Cronograma R. Normativo'!$J$5:$J$1000,$N35))))</f>
        <v/>
      </c>
      <c r="H35" s="61">
        <f>IF($N35="","",IF($P35&gt;0,IF(3&lt;=SemanaActual,INDEX('Cronograma R. Normativo'!$AE$5:$AE$1000,$N35),""),IF(INDEX('Cronograma R. Normativo'!$K$5:$K$1000,$N35)="","",INDEX('Cronograma R. Normativo'!$K$5:$K$1000,$N35))))</f>
        <v/>
      </c>
      <c r="I35" s="61">
        <f>IF($N35="","",IF($P35&gt;0,IF(4&lt;=SemanaActual,INDEX('Cronograma R. Normativo'!$AF$5:$AF$1000,$N35),""),IF(INDEX('Cronograma R. Normativo'!$L$5:$L$1000,$N35)="","",INDEX('Cronograma R. Normativo'!$L$5:$L$1000,$N35))))</f>
        <v/>
      </c>
      <c r="J35" s="61">
        <f>IF($N35="","",INDEX('Cronograma R. Normativo'!$M$5:$M$1000,$N35))</f>
        <v/>
      </c>
      <c r="K35" s="56">
        <f>IF($N35="","",IF(N($J35)&gt;=1,"Completado",IF(AND(ISNUMBER($D35),$D35&lt;FechaRef),"Vencida",IF(N($J35)&gt;0,"En curso","Pendiente"))))</f>
        <v/>
      </c>
      <c r="L35" s="56">
        <f>IF($N35="","",INDEX('Cronograma R. Normativo'!$O$5:$O$1000,$N35)&amp;"")</f>
        <v/>
      </c>
      <c r="M35" s="62">
        <f>IF($N35="","",INDEX('Cronograma R. Normativo'!$Q$5:$Q$1000,$N35)&amp;"")</f>
        <v/>
      </c>
      <c r="N35">
        <f>IFERROR(MATCH(ROW()-4,rOrden_RN,0),"")</f>
        <v/>
      </c>
      <c r="O35">
        <f>IF($N35="","",INDEX('Cronograma R. Normativo'!$V$5:$V$1000,$N35))</f>
        <v/>
      </c>
      <c r="P35">
        <f>IF($N35="","",N(INDEX('Cronograma R. Normativo'!$W$5:$W$1000,$N35)))</f>
        <v/>
      </c>
      <c r="Q35">
        <f>IF(OR(LEFT($L35,7)="Vencida",LEFT($L35,5)="Vence"),SUMPRODUCT(--(LEFT($L$5:$L35,7)="Vencida"))+SUMPRODUCT(--(LEFT($L$5:$L35,5)="Vence")),"")</f>
        <v/>
      </c>
    </row>
    <row r="36">
      <c r="A36" s="56">
        <f>IF($N36="","",INDEX('Cronograma R. Normativo'!$A$5:$A$1000,$N36))</f>
        <v/>
      </c>
      <c r="B36" s="62">
        <f>IF($N36="","",IF($O36="Sub","      ↳  "&amp;INDEX('Cronograma R. Normativo'!$C$5:$C$1000,$N36),INDEX('Cronograma R. Normativo'!$C$5:$C$1000,$N36)&amp;""))</f>
        <v/>
      </c>
      <c r="C36" s="79">
        <f>IF($N36="","",IF(INDEX('Cronograma R. Normativo'!$AM$5:$AM$1000,$N36)="","",INDEX('Cronograma R. Normativo'!$AM$5:$AM$1000,$N36)))</f>
        <v/>
      </c>
      <c r="D36" s="79">
        <f>IF($N36="","",IF(INDEX('Cronograma R. Normativo'!$AN$5:$AN$1000,$N36)="","",INDEX('Cronograma R. Normativo'!$AN$5:$AN$1000,$N36)))</f>
        <v/>
      </c>
      <c r="E36" s="56">
        <f>IF($N36="","",IF(NOT(ISNUMBER($D36)),"",IF($D36&lt;InicioCiclo,"Antes del ciclo",IF($D36&gt;=InicioCiclo+28,"Después del ciclo","Semana "&amp;(INT(($D36-InicioCiclo)/7)+1)))))</f>
        <v/>
      </c>
      <c r="F36" s="61">
        <f>IF($N36="","",IF($P36&gt;0,IF(1&lt;=SemanaActual,INDEX('Cronograma R. Normativo'!$AC$5:$AC$1000,$N36),""),IF(INDEX('Cronograma R. Normativo'!$I$5:$I$1000,$N36)="","",INDEX('Cronograma R. Normativo'!$I$5:$I$1000,$N36))))</f>
        <v/>
      </c>
      <c r="G36" s="61">
        <f>IF($N36="","",IF($P36&gt;0,IF(2&lt;=SemanaActual,INDEX('Cronograma R. Normativo'!$AD$5:$AD$1000,$N36),""),IF(INDEX('Cronograma R. Normativo'!$J$5:$J$1000,$N36)="","",INDEX('Cronograma R. Normativo'!$J$5:$J$1000,$N36))))</f>
        <v/>
      </c>
      <c r="H36" s="61">
        <f>IF($N36="","",IF($P36&gt;0,IF(3&lt;=SemanaActual,INDEX('Cronograma R. Normativo'!$AE$5:$AE$1000,$N36),""),IF(INDEX('Cronograma R. Normativo'!$K$5:$K$1000,$N36)="","",INDEX('Cronograma R. Normativo'!$K$5:$K$1000,$N36))))</f>
        <v/>
      </c>
      <c r="I36" s="61">
        <f>IF($N36="","",IF($P36&gt;0,IF(4&lt;=SemanaActual,INDEX('Cronograma R. Normativo'!$AF$5:$AF$1000,$N36),""),IF(INDEX('Cronograma R. Normativo'!$L$5:$L$1000,$N36)="","",INDEX('Cronograma R. Normativo'!$L$5:$L$1000,$N36))))</f>
        <v/>
      </c>
      <c r="J36" s="61">
        <f>IF($N36="","",INDEX('Cronograma R. Normativo'!$M$5:$M$1000,$N36))</f>
        <v/>
      </c>
      <c r="K36" s="56">
        <f>IF($N36="","",IF(N($J36)&gt;=1,"Completado",IF(AND(ISNUMBER($D36),$D36&lt;FechaRef),"Vencida",IF(N($J36)&gt;0,"En curso","Pendiente"))))</f>
        <v/>
      </c>
      <c r="L36" s="56">
        <f>IF($N36="","",INDEX('Cronograma R. Normativo'!$O$5:$O$1000,$N36)&amp;"")</f>
        <v/>
      </c>
      <c r="M36" s="62">
        <f>IF($N36="","",INDEX('Cronograma R. Normativo'!$Q$5:$Q$1000,$N36)&amp;"")</f>
        <v/>
      </c>
      <c r="N36">
        <f>IFERROR(MATCH(ROW()-4,rOrden_RN,0),"")</f>
        <v/>
      </c>
      <c r="O36">
        <f>IF($N36="","",INDEX('Cronograma R. Normativo'!$V$5:$V$1000,$N36))</f>
        <v/>
      </c>
      <c r="P36">
        <f>IF($N36="","",N(INDEX('Cronograma R. Normativo'!$W$5:$W$1000,$N36)))</f>
        <v/>
      </c>
      <c r="Q36">
        <f>IF(OR(LEFT($L36,7)="Vencida",LEFT($L36,5)="Vence"),SUMPRODUCT(--(LEFT($L$5:$L36,7)="Vencida"))+SUMPRODUCT(--(LEFT($L$5:$L36,5)="Vence")),"")</f>
        <v/>
      </c>
    </row>
    <row r="37">
      <c r="A37" s="56">
        <f>IF($N37="","",INDEX('Cronograma R. Normativo'!$A$5:$A$1000,$N37))</f>
        <v/>
      </c>
      <c r="B37" s="62">
        <f>IF($N37="","",IF($O37="Sub","      ↳  "&amp;INDEX('Cronograma R. Normativo'!$C$5:$C$1000,$N37),INDEX('Cronograma R. Normativo'!$C$5:$C$1000,$N37)&amp;""))</f>
        <v/>
      </c>
      <c r="C37" s="79">
        <f>IF($N37="","",IF(INDEX('Cronograma R. Normativo'!$AM$5:$AM$1000,$N37)="","",INDEX('Cronograma R. Normativo'!$AM$5:$AM$1000,$N37)))</f>
        <v/>
      </c>
      <c r="D37" s="79">
        <f>IF($N37="","",IF(INDEX('Cronograma R. Normativo'!$AN$5:$AN$1000,$N37)="","",INDEX('Cronograma R. Normativo'!$AN$5:$AN$1000,$N37)))</f>
        <v/>
      </c>
      <c r="E37" s="56">
        <f>IF($N37="","",IF(NOT(ISNUMBER($D37)),"",IF($D37&lt;InicioCiclo,"Antes del ciclo",IF($D37&gt;=InicioCiclo+28,"Después del ciclo","Semana "&amp;(INT(($D37-InicioCiclo)/7)+1)))))</f>
        <v/>
      </c>
      <c r="F37" s="61">
        <f>IF($N37="","",IF($P37&gt;0,IF(1&lt;=SemanaActual,INDEX('Cronograma R. Normativo'!$AC$5:$AC$1000,$N37),""),IF(INDEX('Cronograma R. Normativo'!$I$5:$I$1000,$N37)="","",INDEX('Cronograma R. Normativo'!$I$5:$I$1000,$N37))))</f>
        <v/>
      </c>
      <c r="G37" s="61">
        <f>IF($N37="","",IF($P37&gt;0,IF(2&lt;=SemanaActual,INDEX('Cronograma R. Normativo'!$AD$5:$AD$1000,$N37),""),IF(INDEX('Cronograma R. Normativo'!$J$5:$J$1000,$N37)="","",INDEX('Cronograma R. Normativo'!$J$5:$J$1000,$N37))))</f>
        <v/>
      </c>
      <c r="H37" s="61">
        <f>IF($N37="","",IF($P37&gt;0,IF(3&lt;=SemanaActual,INDEX('Cronograma R. Normativo'!$AE$5:$AE$1000,$N37),""),IF(INDEX('Cronograma R. Normativo'!$K$5:$K$1000,$N37)="","",INDEX('Cronograma R. Normativo'!$K$5:$K$1000,$N37))))</f>
        <v/>
      </c>
      <c r="I37" s="61">
        <f>IF($N37="","",IF($P37&gt;0,IF(4&lt;=SemanaActual,INDEX('Cronograma R. Normativo'!$AF$5:$AF$1000,$N37),""),IF(INDEX('Cronograma R. Normativo'!$L$5:$L$1000,$N37)="","",INDEX('Cronograma R. Normativo'!$L$5:$L$1000,$N37))))</f>
        <v/>
      </c>
      <c r="J37" s="61">
        <f>IF($N37="","",INDEX('Cronograma R. Normativo'!$M$5:$M$1000,$N37))</f>
        <v/>
      </c>
      <c r="K37" s="56">
        <f>IF($N37="","",IF(N($J37)&gt;=1,"Completado",IF(AND(ISNUMBER($D37),$D37&lt;FechaRef),"Vencida",IF(N($J37)&gt;0,"En curso","Pendiente"))))</f>
        <v/>
      </c>
      <c r="L37" s="56">
        <f>IF($N37="","",INDEX('Cronograma R. Normativo'!$O$5:$O$1000,$N37)&amp;"")</f>
        <v/>
      </c>
      <c r="M37" s="62">
        <f>IF($N37="","",INDEX('Cronograma R. Normativo'!$Q$5:$Q$1000,$N37)&amp;"")</f>
        <v/>
      </c>
      <c r="N37">
        <f>IFERROR(MATCH(ROW()-4,rOrden_RN,0),"")</f>
        <v/>
      </c>
      <c r="O37">
        <f>IF($N37="","",INDEX('Cronograma R. Normativo'!$V$5:$V$1000,$N37))</f>
        <v/>
      </c>
      <c r="P37">
        <f>IF($N37="","",N(INDEX('Cronograma R. Normativo'!$W$5:$W$1000,$N37)))</f>
        <v/>
      </c>
      <c r="Q37">
        <f>IF(OR(LEFT($L37,7)="Vencida",LEFT($L37,5)="Vence"),SUMPRODUCT(--(LEFT($L$5:$L37,7)="Vencida"))+SUMPRODUCT(--(LEFT($L$5:$L37,5)="Vence")),"")</f>
        <v/>
      </c>
    </row>
    <row r="38">
      <c r="A38" s="56">
        <f>IF($N38="","",INDEX('Cronograma R. Normativo'!$A$5:$A$1000,$N38))</f>
        <v/>
      </c>
      <c r="B38" s="62">
        <f>IF($N38="","",IF($O38="Sub","      ↳  "&amp;INDEX('Cronograma R. Normativo'!$C$5:$C$1000,$N38),INDEX('Cronograma R. Normativo'!$C$5:$C$1000,$N38)&amp;""))</f>
        <v/>
      </c>
      <c r="C38" s="79">
        <f>IF($N38="","",IF(INDEX('Cronograma R. Normativo'!$AM$5:$AM$1000,$N38)="","",INDEX('Cronograma R. Normativo'!$AM$5:$AM$1000,$N38)))</f>
        <v/>
      </c>
      <c r="D38" s="79">
        <f>IF($N38="","",IF(INDEX('Cronograma R. Normativo'!$AN$5:$AN$1000,$N38)="","",INDEX('Cronograma R. Normativo'!$AN$5:$AN$1000,$N38)))</f>
        <v/>
      </c>
      <c r="E38" s="56">
        <f>IF($N38="","",IF(NOT(ISNUMBER($D38)),"",IF($D38&lt;InicioCiclo,"Antes del ciclo",IF($D38&gt;=InicioCiclo+28,"Después del ciclo","Semana "&amp;(INT(($D38-InicioCiclo)/7)+1)))))</f>
        <v/>
      </c>
      <c r="F38" s="61">
        <f>IF($N38="","",IF($P38&gt;0,IF(1&lt;=SemanaActual,INDEX('Cronograma R. Normativo'!$AC$5:$AC$1000,$N38),""),IF(INDEX('Cronograma R. Normativo'!$I$5:$I$1000,$N38)="","",INDEX('Cronograma R. Normativo'!$I$5:$I$1000,$N38))))</f>
        <v/>
      </c>
      <c r="G38" s="61">
        <f>IF($N38="","",IF($P38&gt;0,IF(2&lt;=SemanaActual,INDEX('Cronograma R. Normativo'!$AD$5:$AD$1000,$N38),""),IF(INDEX('Cronograma R. Normativo'!$J$5:$J$1000,$N38)="","",INDEX('Cronograma R. Normativo'!$J$5:$J$1000,$N38))))</f>
        <v/>
      </c>
      <c r="H38" s="61">
        <f>IF($N38="","",IF($P38&gt;0,IF(3&lt;=SemanaActual,INDEX('Cronograma R. Normativo'!$AE$5:$AE$1000,$N38),""),IF(INDEX('Cronograma R. Normativo'!$K$5:$K$1000,$N38)="","",INDEX('Cronograma R. Normativo'!$K$5:$K$1000,$N38))))</f>
        <v/>
      </c>
      <c r="I38" s="61">
        <f>IF($N38="","",IF($P38&gt;0,IF(4&lt;=SemanaActual,INDEX('Cronograma R. Normativo'!$AF$5:$AF$1000,$N38),""),IF(INDEX('Cronograma R. Normativo'!$L$5:$L$1000,$N38)="","",INDEX('Cronograma R. Normativo'!$L$5:$L$1000,$N38))))</f>
        <v/>
      </c>
      <c r="J38" s="61">
        <f>IF($N38="","",INDEX('Cronograma R. Normativo'!$M$5:$M$1000,$N38))</f>
        <v/>
      </c>
      <c r="K38" s="56">
        <f>IF($N38="","",IF(N($J38)&gt;=1,"Completado",IF(AND(ISNUMBER($D38),$D38&lt;FechaRef),"Vencida",IF(N($J38)&gt;0,"En curso","Pendiente"))))</f>
        <v/>
      </c>
      <c r="L38" s="56">
        <f>IF($N38="","",INDEX('Cronograma R. Normativo'!$O$5:$O$1000,$N38)&amp;"")</f>
        <v/>
      </c>
      <c r="M38" s="62">
        <f>IF($N38="","",INDEX('Cronograma R. Normativo'!$Q$5:$Q$1000,$N38)&amp;"")</f>
        <v/>
      </c>
      <c r="N38">
        <f>IFERROR(MATCH(ROW()-4,rOrden_RN,0),"")</f>
        <v/>
      </c>
      <c r="O38">
        <f>IF($N38="","",INDEX('Cronograma R. Normativo'!$V$5:$V$1000,$N38))</f>
        <v/>
      </c>
      <c r="P38">
        <f>IF($N38="","",N(INDEX('Cronograma R. Normativo'!$W$5:$W$1000,$N38)))</f>
        <v/>
      </c>
      <c r="Q38">
        <f>IF(OR(LEFT($L38,7)="Vencida",LEFT($L38,5)="Vence"),SUMPRODUCT(--(LEFT($L$5:$L38,7)="Vencida"))+SUMPRODUCT(--(LEFT($L$5:$L38,5)="Vence")),"")</f>
        <v/>
      </c>
    </row>
    <row r="39">
      <c r="A39" s="56">
        <f>IF($N39="","",INDEX('Cronograma R. Normativo'!$A$5:$A$1000,$N39))</f>
        <v/>
      </c>
      <c r="B39" s="62">
        <f>IF($N39="","",IF($O39="Sub","      ↳  "&amp;INDEX('Cronograma R. Normativo'!$C$5:$C$1000,$N39),INDEX('Cronograma R. Normativo'!$C$5:$C$1000,$N39)&amp;""))</f>
        <v/>
      </c>
      <c r="C39" s="79">
        <f>IF($N39="","",IF(INDEX('Cronograma R. Normativo'!$AM$5:$AM$1000,$N39)="","",INDEX('Cronograma R. Normativo'!$AM$5:$AM$1000,$N39)))</f>
        <v/>
      </c>
      <c r="D39" s="79">
        <f>IF($N39="","",IF(INDEX('Cronograma R. Normativo'!$AN$5:$AN$1000,$N39)="","",INDEX('Cronograma R. Normativo'!$AN$5:$AN$1000,$N39)))</f>
        <v/>
      </c>
      <c r="E39" s="56">
        <f>IF($N39="","",IF(NOT(ISNUMBER($D39)),"",IF($D39&lt;InicioCiclo,"Antes del ciclo",IF($D39&gt;=InicioCiclo+28,"Después del ciclo","Semana "&amp;(INT(($D39-InicioCiclo)/7)+1)))))</f>
        <v/>
      </c>
      <c r="F39" s="61">
        <f>IF($N39="","",IF($P39&gt;0,IF(1&lt;=SemanaActual,INDEX('Cronograma R. Normativo'!$AC$5:$AC$1000,$N39),""),IF(INDEX('Cronograma R. Normativo'!$I$5:$I$1000,$N39)="","",INDEX('Cronograma R. Normativo'!$I$5:$I$1000,$N39))))</f>
        <v/>
      </c>
      <c r="G39" s="61">
        <f>IF($N39="","",IF($P39&gt;0,IF(2&lt;=SemanaActual,INDEX('Cronograma R. Normativo'!$AD$5:$AD$1000,$N39),""),IF(INDEX('Cronograma R. Normativo'!$J$5:$J$1000,$N39)="","",INDEX('Cronograma R. Normativo'!$J$5:$J$1000,$N39))))</f>
        <v/>
      </c>
      <c r="H39" s="61">
        <f>IF($N39="","",IF($P39&gt;0,IF(3&lt;=SemanaActual,INDEX('Cronograma R. Normativo'!$AE$5:$AE$1000,$N39),""),IF(INDEX('Cronograma R. Normativo'!$K$5:$K$1000,$N39)="","",INDEX('Cronograma R. Normativo'!$K$5:$K$1000,$N39))))</f>
        <v/>
      </c>
      <c r="I39" s="61">
        <f>IF($N39="","",IF($P39&gt;0,IF(4&lt;=SemanaActual,INDEX('Cronograma R. Normativo'!$AF$5:$AF$1000,$N39),""),IF(INDEX('Cronograma R. Normativo'!$L$5:$L$1000,$N39)="","",INDEX('Cronograma R. Normativo'!$L$5:$L$1000,$N39))))</f>
        <v/>
      </c>
      <c r="J39" s="61">
        <f>IF($N39="","",INDEX('Cronograma R. Normativo'!$M$5:$M$1000,$N39))</f>
        <v/>
      </c>
      <c r="K39" s="56">
        <f>IF($N39="","",IF(N($J39)&gt;=1,"Completado",IF(AND(ISNUMBER($D39),$D39&lt;FechaRef),"Vencida",IF(N($J39)&gt;0,"En curso","Pendiente"))))</f>
        <v/>
      </c>
      <c r="L39" s="56">
        <f>IF($N39="","",INDEX('Cronograma R. Normativo'!$O$5:$O$1000,$N39)&amp;"")</f>
        <v/>
      </c>
      <c r="M39" s="62">
        <f>IF($N39="","",INDEX('Cronograma R. Normativo'!$Q$5:$Q$1000,$N39)&amp;"")</f>
        <v/>
      </c>
      <c r="N39">
        <f>IFERROR(MATCH(ROW()-4,rOrden_RN,0),"")</f>
        <v/>
      </c>
      <c r="O39">
        <f>IF($N39="","",INDEX('Cronograma R. Normativo'!$V$5:$V$1000,$N39))</f>
        <v/>
      </c>
      <c r="P39">
        <f>IF($N39="","",N(INDEX('Cronograma R. Normativo'!$W$5:$W$1000,$N39)))</f>
        <v/>
      </c>
      <c r="Q39">
        <f>IF(OR(LEFT($L39,7)="Vencida",LEFT($L39,5)="Vence"),SUMPRODUCT(--(LEFT($L$5:$L39,7)="Vencida"))+SUMPRODUCT(--(LEFT($L$5:$L39,5)="Vence")),"")</f>
        <v/>
      </c>
    </row>
    <row r="40">
      <c r="A40" s="56">
        <f>IF($N40="","",INDEX('Cronograma R. Normativo'!$A$5:$A$1000,$N40))</f>
        <v/>
      </c>
      <c r="B40" s="62">
        <f>IF($N40="","",IF($O40="Sub","      ↳  "&amp;INDEX('Cronograma R. Normativo'!$C$5:$C$1000,$N40),INDEX('Cronograma R. Normativo'!$C$5:$C$1000,$N40)&amp;""))</f>
        <v/>
      </c>
      <c r="C40" s="79">
        <f>IF($N40="","",IF(INDEX('Cronograma R. Normativo'!$AM$5:$AM$1000,$N40)="","",INDEX('Cronograma R. Normativo'!$AM$5:$AM$1000,$N40)))</f>
        <v/>
      </c>
      <c r="D40" s="79">
        <f>IF($N40="","",IF(INDEX('Cronograma R. Normativo'!$AN$5:$AN$1000,$N40)="","",INDEX('Cronograma R. Normativo'!$AN$5:$AN$1000,$N40)))</f>
        <v/>
      </c>
      <c r="E40" s="56">
        <f>IF($N40="","",IF(NOT(ISNUMBER($D40)),"",IF($D40&lt;InicioCiclo,"Antes del ciclo",IF($D40&gt;=InicioCiclo+28,"Después del ciclo","Semana "&amp;(INT(($D40-InicioCiclo)/7)+1)))))</f>
        <v/>
      </c>
      <c r="F40" s="61">
        <f>IF($N40="","",IF($P40&gt;0,IF(1&lt;=SemanaActual,INDEX('Cronograma R. Normativo'!$AC$5:$AC$1000,$N40),""),IF(INDEX('Cronograma R. Normativo'!$I$5:$I$1000,$N40)="","",INDEX('Cronograma R. Normativo'!$I$5:$I$1000,$N40))))</f>
        <v/>
      </c>
      <c r="G40" s="61">
        <f>IF($N40="","",IF($P40&gt;0,IF(2&lt;=SemanaActual,INDEX('Cronograma R. Normativo'!$AD$5:$AD$1000,$N40),""),IF(INDEX('Cronograma R. Normativo'!$J$5:$J$1000,$N40)="","",INDEX('Cronograma R. Normativo'!$J$5:$J$1000,$N40))))</f>
        <v/>
      </c>
      <c r="H40" s="61">
        <f>IF($N40="","",IF($P40&gt;0,IF(3&lt;=SemanaActual,INDEX('Cronograma R. Normativo'!$AE$5:$AE$1000,$N40),""),IF(INDEX('Cronograma R. Normativo'!$K$5:$K$1000,$N40)="","",INDEX('Cronograma R. Normativo'!$K$5:$K$1000,$N40))))</f>
        <v/>
      </c>
      <c r="I40" s="61">
        <f>IF($N40="","",IF($P40&gt;0,IF(4&lt;=SemanaActual,INDEX('Cronograma R. Normativo'!$AF$5:$AF$1000,$N40),""),IF(INDEX('Cronograma R. Normativo'!$L$5:$L$1000,$N40)="","",INDEX('Cronograma R. Normativo'!$L$5:$L$1000,$N40))))</f>
        <v/>
      </c>
      <c r="J40" s="61">
        <f>IF($N40="","",INDEX('Cronograma R. Normativo'!$M$5:$M$1000,$N40))</f>
        <v/>
      </c>
      <c r="K40" s="56">
        <f>IF($N40="","",IF(N($J40)&gt;=1,"Completado",IF(AND(ISNUMBER($D40),$D40&lt;FechaRef),"Vencida",IF(N($J40)&gt;0,"En curso","Pendiente"))))</f>
        <v/>
      </c>
      <c r="L40" s="56">
        <f>IF($N40="","",INDEX('Cronograma R. Normativo'!$O$5:$O$1000,$N40)&amp;"")</f>
        <v/>
      </c>
      <c r="M40" s="62">
        <f>IF($N40="","",INDEX('Cronograma R. Normativo'!$Q$5:$Q$1000,$N40)&amp;"")</f>
        <v/>
      </c>
      <c r="N40">
        <f>IFERROR(MATCH(ROW()-4,rOrden_RN,0),"")</f>
        <v/>
      </c>
      <c r="O40">
        <f>IF($N40="","",INDEX('Cronograma R. Normativo'!$V$5:$V$1000,$N40))</f>
        <v/>
      </c>
      <c r="P40">
        <f>IF($N40="","",N(INDEX('Cronograma R. Normativo'!$W$5:$W$1000,$N40)))</f>
        <v/>
      </c>
      <c r="Q40">
        <f>IF(OR(LEFT($L40,7)="Vencida",LEFT($L40,5)="Vence"),SUMPRODUCT(--(LEFT($L$5:$L40,7)="Vencida"))+SUMPRODUCT(--(LEFT($L$5:$L40,5)="Vence")),"")</f>
        <v/>
      </c>
    </row>
    <row r="41">
      <c r="A41" s="56">
        <f>IF($N41="","",INDEX('Cronograma R. Normativo'!$A$5:$A$1000,$N41))</f>
        <v/>
      </c>
      <c r="B41" s="62">
        <f>IF($N41="","",IF($O41="Sub","      ↳  "&amp;INDEX('Cronograma R. Normativo'!$C$5:$C$1000,$N41),INDEX('Cronograma R. Normativo'!$C$5:$C$1000,$N41)&amp;""))</f>
        <v/>
      </c>
      <c r="C41" s="79">
        <f>IF($N41="","",IF(INDEX('Cronograma R. Normativo'!$AM$5:$AM$1000,$N41)="","",INDEX('Cronograma R. Normativo'!$AM$5:$AM$1000,$N41)))</f>
        <v/>
      </c>
      <c r="D41" s="79">
        <f>IF($N41="","",IF(INDEX('Cronograma R. Normativo'!$AN$5:$AN$1000,$N41)="","",INDEX('Cronograma R. Normativo'!$AN$5:$AN$1000,$N41)))</f>
        <v/>
      </c>
      <c r="E41" s="56">
        <f>IF($N41="","",IF(NOT(ISNUMBER($D41)),"",IF($D41&lt;InicioCiclo,"Antes del ciclo",IF($D41&gt;=InicioCiclo+28,"Después del ciclo","Semana "&amp;(INT(($D41-InicioCiclo)/7)+1)))))</f>
        <v/>
      </c>
      <c r="F41" s="61">
        <f>IF($N41="","",IF($P41&gt;0,IF(1&lt;=SemanaActual,INDEX('Cronograma R. Normativo'!$AC$5:$AC$1000,$N41),""),IF(INDEX('Cronograma R. Normativo'!$I$5:$I$1000,$N41)="","",INDEX('Cronograma R. Normativo'!$I$5:$I$1000,$N41))))</f>
        <v/>
      </c>
      <c r="G41" s="61">
        <f>IF($N41="","",IF($P41&gt;0,IF(2&lt;=SemanaActual,INDEX('Cronograma R. Normativo'!$AD$5:$AD$1000,$N41),""),IF(INDEX('Cronograma R. Normativo'!$J$5:$J$1000,$N41)="","",INDEX('Cronograma R. Normativo'!$J$5:$J$1000,$N41))))</f>
        <v/>
      </c>
      <c r="H41" s="61">
        <f>IF($N41="","",IF($P41&gt;0,IF(3&lt;=SemanaActual,INDEX('Cronograma R. Normativo'!$AE$5:$AE$1000,$N41),""),IF(INDEX('Cronograma R. Normativo'!$K$5:$K$1000,$N41)="","",INDEX('Cronograma R. Normativo'!$K$5:$K$1000,$N41))))</f>
        <v/>
      </c>
      <c r="I41" s="61">
        <f>IF($N41="","",IF($P41&gt;0,IF(4&lt;=SemanaActual,INDEX('Cronograma R. Normativo'!$AF$5:$AF$1000,$N41),""),IF(INDEX('Cronograma R. Normativo'!$L$5:$L$1000,$N41)="","",INDEX('Cronograma R. Normativo'!$L$5:$L$1000,$N41))))</f>
        <v/>
      </c>
      <c r="J41" s="61">
        <f>IF($N41="","",INDEX('Cronograma R. Normativo'!$M$5:$M$1000,$N41))</f>
        <v/>
      </c>
      <c r="K41" s="56">
        <f>IF($N41="","",IF(N($J41)&gt;=1,"Completado",IF(AND(ISNUMBER($D41),$D41&lt;FechaRef),"Vencida",IF(N($J41)&gt;0,"En curso","Pendiente"))))</f>
        <v/>
      </c>
      <c r="L41" s="56">
        <f>IF($N41="","",INDEX('Cronograma R. Normativo'!$O$5:$O$1000,$N41)&amp;"")</f>
        <v/>
      </c>
      <c r="M41" s="62">
        <f>IF($N41="","",INDEX('Cronograma R. Normativo'!$Q$5:$Q$1000,$N41)&amp;"")</f>
        <v/>
      </c>
      <c r="N41">
        <f>IFERROR(MATCH(ROW()-4,rOrden_RN,0),"")</f>
        <v/>
      </c>
      <c r="O41">
        <f>IF($N41="","",INDEX('Cronograma R. Normativo'!$V$5:$V$1000,$N41))</f>
        <v/>
      </c>
      <c r="P41">
        <f>IF($N41="","",N(INDEX('Cronograma R. Normativo'!$W$5:$W$1000,$N41)))</f>
        <v/>
      </c>
      <c r="Q41">
        <f>IF(OR(LEFT($L41,7)="Vencida",LEFT($L41,5)="Vence"),SUMPRODUCT(--(LEFT($L$5:$L41,7)="Vencida"))+SUMPRODUCT(--(LEFT($L$5:$L41,5)="Vence")),"")</f>
        <v/>
      </c>
    </row>
    <row r="42">
      <c r="A42" s="56">
        <f>IF($N42="","",INDEX('Cronograma R. Normativo'!$A$5:$A$1000,$N42))</f>
        <v/>
      </c>
      <c r="B42" s="62">
        <f>IF($N42="","",IF($O42="Sub","      ↳  "&amp;INDEX('Cronograma R. Normativo'!$C$5:$C$1000,$N42),INDEX('Cronograma R. Normativo'!$C$5:$C$1000,$N42)&amp;""))</f>
        <v/>
      </c>
      <c r="C42" s="79">
        <f>IF($N42="","",IF(INDEX('Cronograma R. Normativo'!$AM$5:$AM$1000,$N42)="","",INDEX('Cronograma R. Normativo'!$AM$5:$AM$1000,$N42)))</f>
        <v/>
      </c>
      <c r="D42" s="79">
        <f>IF($N42="","",IF(INDEX('Cronograma R. Normativo'!$AN$5:$AN$1000,$N42)="","",INDEX('Cronograma R. Normativo'!$AN$5:$AN$1000,$N42)))</f>
        <v/>
      </c>
      <c r="E42" s="56">
        <f>IF($N42="","",IF(NOT(ISNUMBER($D42)),"",IF($D42&lt;InicioCiclo,"Antes del ciclo",IF($D42&gt;=InicioCiclo+28,"Después del ciclo","Semana "&amp;(INT(($D42-InicioCiclo)/7)+1)))))</f>
        <v/>
      </c>
      <c r="F42" s="61">
        <f>IF($N42="","",IF($P42&gt;0,IF(1&lt;=SemanaActual,INDEX('Cronograma R. Normativo'!$AC$5:$AC$1000,$N42),""),IF(INDEX('Cronograma R. Normativo'!$I$5:$I$1000,$N42)="","",INDEX('Cronograma R. Normativo'!$I$5:$I$1000,$N42))))</f>
        <v/>
      </c>
      <c r="G42" s="61">
        <f>IF($N42="","",IF($P42&gt;0,IF(2&lt;=SemanaActual,INDEX('Cronograma R. Normativo'!$AD$5:$AD$1000,$N42),""),IF(INDEX('Cronograma R. Normativo'!$J$5:$J$1000,$N42)="","",INDEX('Cronograma R. Normativo'!$J$5:$J$1000,$N42))))</f>
        <v/>
      </c>
      <c r="H42" s="61">
        <f>IF($N42="","",IF($P42&gt;0,IF(3&lt;=SemanaActual,INDEX('Cronograma R. Normativo'!$AE$5:$AE$1000,$N42),""),IF(INDEX('Cronograma R. Normativo'!$K$5:$K$1000,$N42)="","",INDEX('Cronograma R. Normativo'!$K$5:$K$1000,$N42))))</f>
        <v/>
      </c>
      <c r="I42" s="61">
        <f>IF($N42="","",IF($P42&gt;0,IF(4&lt;=SemanaActual,INDEX('Cronograma R. Normativo'!$AF$5:$AF$1000,$N42),""),IF(INDEX('Cronograma R. Normativo'!$L$5:$L$1000,$N42)="","",INDEX('Cronograma R. Normativo'!$L$5:$L$1000,$N42))))</f>
        <v/>
      </c>
      <c r="J42" s="61">
        <f>IF($N42="","",INDEX('Cronograma R. Normativo'!$M$5:$M$1000,$N42))</f>
        <v/>
      </c>
      <c r="K42" s="56">
        <f>IF($N42="","",IF(N($J42)&gt;=1,"Completado",IF(AND(ISNUMBER($D42),$D42&lt;FechaRef),"Vencida",IF(N($J42)&gt;0,"En curso","Pendiente"))))</f>
        <v/>
      </c>
      <c r="L42" s="56">
        <f>IF($N42="","",INDEX('Cronograma R. Normativo'!$O$5:$O$1000,$N42)&amp;"")</f>
        <v/>
      </c>
      <c r="M42" s="62">
        <f>IF($N42="","",INDEX('Cronograma R. Normativo'!$Q$5:$Q$1000,$N42)&amp;"")</f>
        <v/>
      </c>
      <c r="N42">
        <f>IFERROR(MATCH(ROW()-4,rOrden_RN,0),"")</f>
        <v/>
      </c>
      <c r="O42">
        <f>IF($N42="","",INDEX('Cronograma R. Normativo'!$V$5:$V$1000,$N42))</f>
        <v/>
      </c>
      <c r="P42">
        <f>IF($N42="","",N(INDEX('Cronograma R. Normativo'!$W$5:$W$1000,$N42)))</f>
        <v/>
      </c>
      <c r="Q42">
        <f>IF(OR(LEFT($L42,7)="Vencida",LEFT($L42,5)="Vence"),SUMPRODUCT(--(LEFT($L$5:$L42,7)="Vencida"))+SUMPRODUCT(--(LEFT($L$5:$L42,5)="Vence")),"")</f>
        <v/>
      </c>
    </row>
    <row r="43">
      <c r="A43" s="56">
        <f>IF($N43="","",INDEX('Cronograma R. Normativo'!$A$5:$A$1000,$N43))</f>
        <v/>
      </c>
      <c r="B43" s="62">
        <f>IF($N43="","",IF($O43="Sub","      ↳  "&amp;INDEX('Cronograma R. Normativo'!$C$5:$C$1000,$N43),INDEX('Cronograma R. Normativo'!$C$5:$C$1000,$N43)&amp;""))</f>
        <v/>
      </c>
      <c r="C43" s="79">
        <f>IF($N43="","",IF(INDEX('Cronograma R. Normativo'!$AM$5:$AM$1000,$N43)="","",INDEX('Cronograma R. Normativo'!$AM$5:$AM$1000,$N43)))</f>
        <v/>
      </c>
      <c r="D43" s="79">
        <f>IF($N43="","",IF(INDEX('Cronograma R. Normativo'!$AN$5:$AN$1000,$N43)="","",INDEX('Cronograma R. Normativo'!$AN$5:$AN$1000,$N43)))</f>
        <v/>
      </c>
      <c r="E43" s="56">
        <f>IF($N43="","",IF(NOT(ISNUMBER($D43)),"",IF($D43&lt;InicioCiclo,"Antes del ciclo",IF($D43&gt;=InicioCiclo+28,"Después del ciclo","Semana "&amp;(INT(($D43-InicioCiclo)/7)+1)))))</f>
        <v/>
      </c>
      <c r="F43" s="61">
        <f>IF($N43="","",IF($P43&gt;0,IF(1&lt;=SemanaActual,INDEX('Cronograma R. Normativo'!$AC$5:$AC$1000,$N43),""),IF(INDEX('Cronograma R. Normativo'!$I$5:$I$1000,$N43)="","",INDEX('Cronograma R. Normativo'!$I$5:$I$1000,$N43))))</f>
        <v/>
      </c>
      <c r="G43" s="61">
        <f>IF($N43="","",IF($P43&gt;0,IF(2&lt;=SemanaActual,INDEX('Cronograma R. Normativo'!$AD$5:$AD$1000,$N43),""),IF(INDEX('Cronograma R. Normativo'!$J$5:$J$1000,$N43)="","",INDEX('Cronograma R. Normativo'!$J$5:$J$1000,$N43))))</f>
        <v/>
      </c>
      <c r="H43" s="61">
        <f>IF($N43="","",IF($P43&gt;0,IF(3&lt;=SemanaActual,INDEX('Cronograma R. Normativo'!$AE$5:$AE$1000,$N43),""),IF(INDEX('Cronograma R. Normativo'!$K$5:$K$1000,$N43)="","",INDEX('Cronograma R. Normativo'!$K$5:$K$1000,$N43))))</f>
        <v/>
      </c>
      <c r="I43" s="61">
        <f>IF($N43="","",IF($P43&gt;0,IF(4&lt;=SemanaActual,INDEX('Cronograma R. Normativo'!$AF$5:$AF$1000,$N43),""),IF(INDEX('Cronograma R. Normativo'!$L$5:$L$1000,$N43)="","",INDEX('Cronograma R. Normativo'!$L$5:$L$1000,$N43))))</f>
        <v/>
      </c>
      <c r="J43" s="61">
        <f>IF($N43="","",INDEX('Cronograma R. Normativo'!$M$5:$M$1000,$N43))</f>
        <v/>
      </c>
      <c r="K43" s="56">
        <f>IF($N43="","",IF(N($J43)&gt;=1,"Completado",IF(AND(ISNUMBER($D43),$D43&lt;FechaRef),"Vencida",IF(N($J43)&gt;0,"En curso","Pendiente"))))</f>
        <v/>
      </c>
      <c r="L43" s="56">
        <f>IF($N43="","",INDEX('Cronograma R. Normativo'!$O$5:$O$1000,$N43)&amp;"")</f>
        <v/>
      </c>
      <c r="M43" s="62">
        <f>IF($N43="","",INDEX('Cronograma R. Normativo'!$Q$5:$Q$1000,$N43)&amp;"")</f>
        <v/>
      </c>
      <c r="N43">
        <f>IFERROR(MATCH(ROW()-4,rOrden_RN,0),"")</f>
        <v/>
      </c>
      <c r="O43">
        <f>IF($N43="","",INDEX('Cronograma R. Normativo'!$V$5:$V$1000,$N43))</f>
        <v/>
      </c>
      <c r="P43">
        <f>IF($N43="","",N(INDEX('Cronograma R. Normativo'!$W$5:$W$1000,$N43)))</f>
        <v/>
      </c>
      <c r="Q43">
        <f>IF(OR(LEFT($L43,7)="Vencida",LEFT($L43,5)="Vence"),SUMPRODUCT(--(LEFT($L$5:$L43,7)="Vencida"))+SUMPRODUCT(--(LEFT($L$5:$L43,5)="Vence")),"")</f>
        <v/>
      </c>
    </row>
    <row r="44">
      <c r="A44" s="56">
        <f>IF($N44="","",INDEX('Cronograma R. Normativo'!$A$5:$A$1000,$N44))</f>
        <v/>
      </c>
      <c r="B44" s="62">
        <f>IF($N44="","",IF($O44="Sub","      ↳  "&amp;INDEX('Cronograma R. Normativo'!$C$5:$C$1000,$N44),INDEX('Cronograma R. Normativo'!$C$5:$C$1000,$N44)&amp;""))</f>
        <v/>
      </c>
      <c r="C44" s="79">
        <f>IF($N44="","",IF(INDEX('Cronograma R. Normativo'!$AM$5:$AM$1000,$N44)="","",INDEX('Cronograma R. Normativo'!$AM$5:$AM$1000,$N44)))</f>
        <v/>
      </c>
      <c r="D44" s="79">
        <f>IF($N44="","",IF(INDEX('Cronograma R. Normativo'!$AN$5:$AN$1000,$N44)="","",INDEX('Cronograma R. Normativo'!$AN$5:$AN$1000,$N44)))</f>
        <v/>
      </c>
      <c r="E44" s="56">
        <f>IF($N44="","",IF(NOT(ISNUMBER($D44)),"",IF($D44&lt;InicioCiclo,"Antes del ciclo",IF($D44&gt;=InicioCiclo+28,"Después del ciclo","Semana "&amp;(INT(($D44-InicioCiclo)/7)+1)))))</f>
        <v/>
      </c>
      <c r="F44" s="61">
        <f>IF($N44="","",IF($P44&gt;0,IF(1&lt;=SemanaActual,INDEX('Cronograma R. Normativo'!$AC$5:$AC$1000,$N44),""),IF(INDEX('Cronograma R. Normativo'!$I$5:$I$1000,$N44)="","",INDEX('Cronograma R. Normativo'!$I$5:$I$1000,$N44))))</f>
        <v/>
      </c>
      <c r="G44" s="61">
        <f>IF($N44="","",IF($P44&gt;0,IF(2&lt;=SemanaActual,INDEX('Cronograma R. Normativo'!$AD$5:$AD$1000,$N44),""),IF(INDEX('Cronograma R. Normativo'!$J$5:$J$1000,$N44)="","",INDEX('Cronograma R. Normativo'!$J$5:$J$1000,$N44))))</f>
        <v/>
      </c>
      <c r="H44" s="61">
        <f>IF($N44="","",IF($P44&gt;0,IF(3&lt;=SemanaActual,INDEX('Cronograma R. Normativo'!$AE$5:$AE$1000,$N44),""),IF(INDEX('Cronograma R. Normativo'!$K$5:$K$1000,$N44)="","",INDEX('Cronograma R. Normativo'!$K$5:$K$1000,$N44))))</f>
        <v/>
      </c>
      <c r="I44" s="61">
        <f>IF($N44="","",IF($P44&gt;0,IF(4&lt;=SemanaActual,INDEX('Cronograma R. Normativo'!$AF$5:$AF$1000,$N44),""),IF(INDEX('Cronograma R. Normativo'!$L$5:$L$1000,$N44)="","",INDEX('Cronograma R. Normativo'!$L$5:$L$1000,$N44))))</f>
        <v/>
      </c>
      <c r="J44" s="61">
        <f>IF($N44="","",INDEX('Cronograma R. Normativo'!$M$5:$M$1000,$N44))</f>
        <v/>
      </c>
      <c r="K44" s="56">
        <f>IF($N44="","",IF(N($J44)&gt;=1,"Completado",IF(AND(ISNUMBER($D44),$D44&lt;FechaRef),"Vencida",IF(N($J44)&gt;0,"En curso","Pendiente"))))</f>
        <v/>
      </c>
      <c r="L44" s="56">
        <f>IF($N44="","",INDEX('Cronograma R. Normativo'!$O$5:$O$1000,$N44)&amp;"")</f>
        <v/>
      </c>
      <c r="M44" s="62">
        <f>IF($N44="","",INDEX('Cronograma R. Normativo'!$Q$5:$Q$1000,$N44)&amp;"")</f>
        <v/>
      </c>
      <c r="N44">
        <f>IFERROR(MATCH(ROW()-4,rOrden_RN,0),"")</f>
        <v/>
      </c>
      <c r="O44">
        <f>IF($N44="","",INDEX('Cronograma R. Normativo'!$V$5:$V$1000,$N44))</f>
        <v/>
      </c>
      <c r="P44">
        <f>IF($N44="","",N(INDEX('Cronograma R. Normativo'!$W$5:$W$1000,$N44)))</f>
        <v/>
      </c>
      <c r="Q44">
        <f>IF(OR(LEFT($L44,7)="Vencida",LEFT($L44,5)="Vence"),SUMPRODUCT(--(LEFT($L$5:$L44,7)="Vencida"))+SUMPRODUCT(--(LEFT($L$5:$L44,5)="Vence")),"")</f>
        <v/>
      </c>
    </row>
    <row r="45">
      <c r="A45" s="56">
        <f>IF($N45="","",INDEX('Cronograma R. Normativo'!$A$5:$A$1000,$N45))</f>
        <v/>
      </c>
      <c r="B45" s="62">
        <f>IF($N45="","",IF($O45="Sub","      ↳  "&amp;INDEX('Cronograma R. Normativo'!$C$5:$C$1000,$N45),INDEX('Cronograma R. Normativo'!$C$5:$C$1000,$N45)&amp;""))</f>
        <v/>
      </c>
      <c r="C45" s="79">
        <f>IF($N45="","",IF(INDEX('Cronograma R. Normativo'!$AM$5:$AM$1000,$N45)="","",INDEX('Cronograma R. Normativo'!$AM$5:$AM$1000,$N45)))</f>
        <v/>
      </c>
      <c r="D45" s="79">
        <f>IF($N45="","",IF(INDEX('Cronograma R. Normativo'!$AN$5:$AN$1000,$N45)="","",INDEX('Cronograma R. Normativo'!$AN$5:$AN$1000,$N45)))</f>
        <v/>
      </c>
      <c r="E45" s="56">
        <f>IF($N45="","",IF(NOT(ISNUMBER($D45)),"",IF($D45&lt;InicioCiclo,"Antes del ciclo",IF($D45&gt;=InicioCiclo+28,"Después del ciclo","Semana "&amp;(INT(($D45-InicioCiclo)/7)+1)))))</f>
        <v/>
      </c>
      <c r="F45" s="61">
        <f>IF($N45="","",IF($P45&gt;0,IF(1&lt;=SemanaActual,INDEX('Cronograma R. Normativo'!$AC$5:$AC$1000,$N45),""),IF(INDEX('Cronograma R. Normativo'!$I$5:$I$1000,$N45)="","",INDEX('Cronograma R. Normativo'!$I$5:$I$1000,$N45))))</f>
        <v/>
      </c>
      <c r="G45" s="61">
        <f>IF($N45="","",IF($P45&gt;0,IF(2&lt;=SemanaActual,INDEX('Cronograma R. Normativo'!$AD$5:$AD$1000,$N45),""),IF(INDEX('Cronograma R. Normativo'!$J$5:$J$1000,$N45)="","",INDEX('Cronograma R. Normativo'!$J$5:$J$1000,$N45))))</f>
        <v/>
      </c>
      <c r="H45" s="61">
        <f>IF($N45="","",IF($P45&gt;0,IF(3&lt;=SemanaActual,INDEX('Cronograma R. Normativo'!$AE$5:$AE$1000,$N45),""),IF(INDEX('Cronograma R. Normativo'!$K$5:$K$1000,$N45)="","",INDEX('Cronograma R. Normativo'!$K$5:$K$1000,$N45))))</f>
        <v/>
      </c>
      <c r="I45" s="61">
        <f>IF($N45="","",IF($P45&gt;0,IF(4&lt;=SemanaActual,INDEX('Cronograma R. Normativo'!$AF$5:$AF$1000,$N45),""),IF(INDEX('Cronograma R. Normativo'!$L$5:$L$1000,$N45)="","",INDEX('Cronograma R. Normativo'!$L$5:$L$1000,$N45))))</f>
        <v/>
      </c>
      <c r="J45" s="61">
        <f>IF($N45="","",INDEX('Cronograma R. Normativo'!$M$5:$M$1000,$N45))</f>
        <v/>
      </c>
      <c r="K45" s="56">
        <f>IF($N45="","",IF(N($J45)&gt;=1,"Completado",IF(AND(ISNUMBER($D45),$D45&lt;FechaRef),"Vencida",IF(N($J45)&gt;0,"En curso","Pendiente"))))</f>
        <v/>
      </c>
      <c r="L45" s="56">
        <f>IF($N45="","",INDEX('Cronograma R. Normativo'!$O$5:$O$1000,$N45)&amp;"")</f>
        <v/>
      </c>
      <c r="M45" s="62">
        <f>IF($N45="","",INDEX('Cronograma R. Normativo'!$Q$5:$Q$1000,$N45)&amp;"")</f>
        <v/>
      </c>
      <c r="N45">
        <f>IFERROR(MATCH(ROW()-4,rOrden_RN,0),"")</f>
        <v/>
      </c>
      <c r="O45">
        <f>IF($N45="","",INDEX('Cronograma R. Normativo'!$V$5:$V$1000,$N45))</f>
        <v/>
      </c>
      <c r="P45">
        <f>IF($N45="","",N(INDEX('Cronograma R. Normativo'!$W$5:$W$1000,$N45)))</f>
        <v/>
      </c>
      <c r="Q45">
        <f>IF(OR(LEFT($L45,7)="Vencida",LEFT($L45,5)="Vence"),SUMPRODUCT(--(LEFT($L$5:$L45,7)="Vencida"))+SUMPRODUCT(--(LEFT($L$5:$L45,5)="Vence")),"")</f>
        <v/>
      </c>
    </row>
    <row r="46">
      <c r="A46" s="56">
        <f>IF($N46="","",INDEX('Cronograma R. Normativo'!$A$5:$A$1000,$N46))</f>
        <v/>
      </c>
      <c r="B46" s="62">
        <f>IF($N46="","",IF($O46="Sub","      ↳  "&amp;INDEX('Cronograma R. Normativo'!$C$5:$C$1000,$N46),INDEX('Cronograma R. Normativo'!$C$5:$C$1000,$N46)&amp;""))</f>
        <v/>
      </c>
      <c r="C46" s="79">
        <f>IF($N46="","",IF(INDEX('Cronograma R. Normativo'!$AM$5:$AM$1000,$N46)="","",INDEX('Cronograma R. Normativo'!$AM$5:$AM$1000,$N46)))</f>
        <v/>
      </c>
      <c r="D46" s="79">
        <f>IF($N46="","",IF(INDEX('Cronograma R. Normativo'!$AN$5:$AN$1000,$N46)="","",INDEX('Cronograma R. Normativo'!$AN$5:$AN$1000,$N46)))</f>
        <v/>
      </c>
      <c r="E46" s="56">
        <f>IF($N46="","",IF(NOT(ISNUMBER($D46)),"",IF($D46&lt;InicioCiclo,"Antes del ciclo",IF($D46&gt;=InicioCiclo+28,"Después del ciclo","Semana "&amp;(INT(($D46-InicioCiclo)/7)+1)))))</f>
        <v/>
      </c>
      <c r="F46" s="61">
        <f>IF($N46="","",IF($P46&gt;0,IF(1&lt;=SemanaActual,INDEX('Cronograma R. Normativo'!$AC$5:$AC$1000,$N46),""),IF(INDEX('Cronograma R. Normativo'!$I$5:$I$1000,$N46)="","",INDEX('Cronograma R. Normativo'!$I$5:$I$1000,$N46))))</f>
        <v/>
      </c>
      <c r="G46" s="61">
        <f>IF($N46="","",IF($P46&gt;0,IF(2&lt;=SemanaActual,INDEX('Cronograma R. Normativo'!$AD$5:$AD$1000,$N46),""),IF(INDEX('Cronograma R. Normativo'!$J$5:$J$1000,$N46)="","",INDEX('Cronograma R. Normativo'!$J$5:$J$1000,$N46))))</f>
        <v/>
      </c>
      <c r="H46" s="61">
        <f>IF($N46="","",IF($P46&gt;0,IF(3&lt;=SemanaActual,INDEX('Cronograma R. Normativo'!$AE$5:$AE$1000,$N46),""),IF(INDEX('Cronograma R. Normativo'!$K$5:$K$1000,$N46)="","",INDEX('Cronograma R. Normativo'!$K$5:$K$1000,$N46))))</f>
        <v/>
      </c>
      <c r="I46" s="61">
        <f>IF($N46="","",IF($P46&gt;0,IF(4&lt;=SemanaActual,INDEX('Cronograma R. Normativo'!$AF$5:$AF$1000,$N46),""),IF(INDEX('Cronograma R. Normativo'!$L$5:$L$1000,$N46)="","",INDEX('Cronograma R. Normativo'!$L$5:$L$1000,$N46))))</f>
        <v/>
      </c>
      <c r="J46" s="61">
        <f>IF($N46="","",INDEX('Cronograma R. Normativo'!$M$5:$M$1000,$N46))</f>
        <v/>
      </c>
      <c r="K46" s="56">
        <f>IF($N46="","",IF(N($J46)&gt;=1,"Completado",IF(AND(ISNUMBER($D46),$D46&lt;FechaRef),"Vencida",IF(N($J46)&gt;0,"En curso","Pendiente"))))</f>
        <v/>
      </c>
      <c r="L46" s="56">
        <f>IF($N46="","",INDEX('Cronograma R. Normativo'!$O$5:$O$1000,$N46)&amp;"")</f>
        <v/>
      </c>
      <c r="M46" s="62">
        <f>IF($N46="","",INDEX('Cronograma R. Normativo'!$Q$5:$Q$1000,$N46)&amp;"")</f>
        <v/>
      </c>
      <c r="N46">
        <f>IFERROR(MATCH(ROW()-4,rOrden_RN,0),"")</f>
        <v/>
      </c>
      <c r="O46">
        <f>IF($N46="","",INDEX('Cronograma R. Normativo'!$V$5:$V$1000,$N46))</f>
        <v/>
      </c>
      <c r="P46">
        <f>IF($N46="","",N(INDEX('Cronograma R. Normativo'!$W$5:$W$1000,$N46)))</f>
        <v/>
      </c>
      <c r="Q46">
        <f>IF(OR(LEFT($L46,7)="Vencida",LEFT($L46,5)="Vence"),SUMPRODUCT(--(LEFT($L$5:$L46,7)="Vencida"))+SUMPRODUCT(--(LEFT($L$5:$L46,5)="Vence")),"")</f>
        <v/>
      </c>
    </row>
    <row r="47">
      <c r="A47" s="56">
        <f>IF($N47="","",INDEX('Cronograma R. Normativo'!$A$5:$A$1000,$N47))</f>
        <v/>
      </c>
      <c r="B47" s="62">
        <f>IF($N47="","",IF($O47="Sub","      ↳  "&amp;INDEX('Cronograma R. Normativo'!$C$5:$C$1000,$N47),INDEX('Cronograma R. Normativo'!$C$5:$C$1000,$N47)&amp;""))</f>
        <v/>
      </c>
      <c r="C47" s="79">
        <f>IF($N47="","",IF(INDEX('Cronograma R. Normativo'!$AM$5:$AM$1000,$N47)="","",INDEX('Cronograma R. Normativo'!$AM$5:$AM$1000,$N47)))</f>
        <v/>
      </c>
      <c r="D47" s="79">
        <f>IF($N47="","",IF(INDEX('Cronograma R. Normativo'!$AN$5:$AN$1000,$N47)="","",INDEX('Cronograma R. Normativo'!$AN$5:$AN$1000,$N47)))</f>
        <v/>
      </c>
      <c r="E47" s="56">
        <f>IF($N47="","",IF(NOT(ISNUMBER($D47)),"",IF($D47&lt;InicioCiclo,"Antes del ciclo",IF($D47&gt;=InicioCiclo+28,"Después del ciclo","Semana "&amp;(INT(($D47-InicioCiclo)/7)+1)))))</f>
        <v/>
      </c>
      <c r="F47" s="61">
        <f>IF($N47="","",IF($P47&gt;0,IF(1&lt;=SemanaActual,INDEX('Cronograma R. Normativo'!$AC$5:$AC$1000,$N47),""),IF(INDEX('Cronograma R. Normativo'!$I$5:$I$1000,$N47)="","",INDEX('Cronograma R. Normativo'!$I$5:$I$1000,$N47))))</f>
        <v/>
      </c>
      <c r="G47" s="61">
        <f>IF($N47="","",IF($P47&gt;0,IF(2&lt;=SemanaActual,INDEX('Cronograma R. Normativo'!$AD$5:$AD$1000,$N47),""),IF(INDEX('Cronograma R. Normativo'!$J$5:$J$1000,$N47)="","",INDEX('Cronograma R. Normativo'!$J$5:$J$1000,$N47))))</f>
        <v/>
      </c>
      <c r="H47" s="61">
        <f>IF($N47="","",IF($P47&gt;0,IF(3&lt;=SemanaActual,INDEX('Cronograma R. Normativo'!$AE$5:$AE$1000,$N47),""),IF(INDEX('Cronograma R. Normativo'!$K$5:$K$1000,$N47)="","",INDEX('Cronograma R. Normativo'!$K$5:$K$1000,$N47))))</f>
        <v/>
      </c>
      <c r="I47" s="61">
        <f>IF($N47="","",IF($P47&gt;0,IF(4&lt;=SemanaActual,INDEX('Cronograma R. Normativo'!$AF$5:$AF$1000,$N47),""),IF(INDEX('Cronograma R. Normativo'!$L$5:$L$1000,$N47)="","",INDEX('Cronograma R. Normativo'!$L$5:$L$1000,$N47))))</f>
        <v/>
      </c>
      <c r="J47" s="61">
        <f>IF($N47="","",INDEX('Cronograma R. Normativo'!$M$5:$M$1000,$N47))</f>
        <v/>
      </c>
      <c r="K47" s="56">
        <f>IF($N47="","",IF(N($J47)&gt;=1,"Completado",IF(AND(ISNUMBER($D47),$D47&lt;FechaRef),"Vencida",IF(N($J47)&gt;0,"En curso","Pendiente"))))</f>
        <v/>
      </c>
      <c r="L47" s="56">
        <f>IF($N47="","",INDEX('Cronograma R. Normativo'!$O$5:$O$1000,$N47)&amp;"")</f>
        <v/>
      </c>
      <c r="M47" s="62">
        <f>IF($N47="","",INDEX('Cronograma R. Normativo'!$Q$5:$Q$1000,$N47)&amp;"")</f>
        <v/>
      </c>
      <c r="N47">
        <f>IFERROR(MATCH(ROW()-4,rOrden_RN,0),"")</f>
        <v/>
      </c>
      <c r="O47">
        <f>IF($N47="","",INDEX('Cronograma R. Normativo'!$V$5:$V$1000,$N47))</f>
        <v/>
      </c>
      <c r="P47">
        <f>IF($N47="","",N(INDEX('Cronograma R. Normativo'!$W$5:$W$1000,$N47)))</f>
        <v/>
      </c>
      <c r="Q47">
        <f>IF(OR(LEFT($L47,7)="Vencida",LEFT($L47,5)="Vence"),SUMPRODUCT(--(LEFT($L$5:$L47,7)="Vencida"))+SUMPRODUCT(--(LEFT($L$5:$L47,5)="Vence")),"")</f>
        <v/>
      </c>
    </row>
    <row r="48">
      <c r="A48" s="56">
        <f>IF($N48="","",INDEX('Cronograma R. Normativo'!$A$5:$A$1000,$N48))</f>
        <v/>
      </c>
      <c r="B48" s="62">
        <f>IF($N48="","",IF($O48="Sub","      ↳  "&amp;INDEX('Cronograma R. Normativo'!$C$5:$C$1000,$N48),INDEX('Cronograma R. Normativo'!$C$5:$C$1000,$N48)&amp;""))</f>
        <v/>
      </c>
      <c r="C48" s="79">
        <f>IF($N48="","",IF(INDEX('Cronograma R. Normativo'!$AM$5:$AM$1000,$N48)="","",INDEX('Cronograma R. Normativo'!$AM$5:$AM$1000,$N48)))</f>
        <v/>
      </c>
      <c r="D48" s="79">
        <f>IF($N48="","",IF(INDEX('Cronograma R. Normativo'!$AN$5:$AN$1000,$N48)="","",INDEX('Cronograma R. Normativo'!$AN$5:$AN$1000,$N48)))</f>
        <v/>
      </c>
      <c r="E48" s="56">
        <f>IF($N48="","",IF(NOT(ISNUMBER($D48)),"",IF($D48&lt;InicioCiclo,"Antes del ciclo",IF($D48&gt;=InicioCiclo+28,"Después del ciclo","Semana "&amp;(INT(($D48-InicioCiclo)/7)+1)))))</f>
        <v/>
      </c>
      <c r="F48" s="61">
        <f>IF($N48="","",IF($P48&gt;0,IF(1&lt;=SemanaActual,INDEX('Cronograma R. Normativo'!$AC$5:$AC$1000,$N48),""),IF(INDEX('Cronograma R. Normativo'!$I$5:$I$1000,$N48)="","",INDEX('Cronograma R. Normativo'!$I$5:$I$1000,$N48))))</f>
        <v/>
      </c>
      <c r="G48" s="61">
        <f>IF($N48="","",IF($P48&gt;0,IF(2&lt;=SemanaActual,INDEX('Cronograma R. Normativo'!$AD$5:$AD$1000,$N48),""),IF(INDEX('Cronograma R. Normativo'!$J$5:$J$1000,$N48)="","",INDEX('Cronograma R. Normativo'!$J$5:$J$1000,$N48))))</f>
        <v/>
      </c>
      <c r="H48" s="61">
        <f>IF($N48="","",IF($P48&gt;0,IF(3&lt;=SemanaActual,INDEX('Cronograma R. Normativo'!$AE$5:$AE$1000,$N48),""),IF(INDEX('Cronograma R. Normativo'!$K$5:$K$1000,$N48)="","",INDEX('Cronograma R. Normativo'!$K$5:$K$1000,$N48))))</f>
        <v/>
      </c>
      <c r="I48" s="61">
        <f>IF($N48="","",IF($P48&gt;0,IF(4&lt;=SemanaActual,INDEX('Cronograma R. Normativo'!$AF$5:$AF$1000,$N48),""),IF(INDEX('Cronograma R. Normativo'!$L$5:$L$1000,$N48)="","",INDEX('Cronograma R. Normativo'!$L$5:$L$1000,$N48))))</f>
        <v/>
      </c>
      <c r="J48" s="61">
        <f>IF($N48="","",INDEX('Cronograma R. Normativo'!$M$5:$M$1000,$N48))</f>
        <v/>
      </c>
      <c r="K48" s="56">
        <f>IF($N48="","",IF(N($J48)&gt;=1,"Completado",IF(AND(ISNUMBER($D48),$D48&lt;FechaRef),"Vencida",IF(N($J48)&gt;0,"En curso","Pendiente"))))</f>
        <v/>
      </c>
      <c r="L48" s="56">
        <f>IF($N48="","",INDEX('Cronograma R. Normativo'!$O$5:$O$1000,$N48)&amp;"")</f>
        <v/>
      </c>
      <c r="M48" s="62">
        <f>IF($N48="","",INDEX('Cronograma R. Normativo'!$Q$5:$Q$1000,$N48)&amp;"")</f>
        <v/>
      </c>
      <c r="N48">
        <f>IFERROR(MATCH(ROW()-4,rOrden_RN,0),"")</f>
        <v/>
      </c>
      <c r="O48">
        <f>IF($N48="","",INDEX('Cronograma R. Normativo'!$V$5:$V$1000,$N48))</f>
        <v/>
      </c>
      <c r="P48">
        <f>IF($N48="","",N(INDEX('Cronograma R. Normativo'!$W$5:$W$1000,$N48)))</f>
        <v/>
      </c>
      <c r="Q48">
        <f>IF(OR(LEFT($L48,7)="Vencida",LEFT($L48,5)="Vence"),SUMPRODUCT(--(LEFT($L$5:$L48,7)="Vencida"))+SUMPRODUCT(--(LEFT($L$5:$L48,5)="Vence")),"")</f>
        <v/>
      </c>
    </row>
    <row r="49">
      <c r="A49" s="56">
        <f>IF($N49="","",INDEX('Cronograma R. Normativo'!$A$5:$A$1000,$N49))</f>
        <v/>
      </c>
      <c r="B49" s="62">
        <f>IF($N49="","",IF($O49="Sub","      ↳  "&amp;INDEX('Cronograma R. Normativo'!$C$5:$C$1000,$N49),INDEX('Cronograma R. Normativo'!$C$5:$C$1000,$N49)&amp;""))</f>
        <v/>
      </c>
      <c r="C49" s="79">
        <f>IF($N49="","",IF(INDEX('Cronograma R. Normativo'!$AM$5:$AM$1000,$N49)="","",INDEX('Cronograma R. Normativo'!$AM$5:$AM$1000,$N49)))</f>
        <v/>
      </c>
      <c r="D49" s="79">
        <f>IF($N49="","",IF(INDEX('Cronograma R. Normativo'!$AN$5:$AN$1000,$N49)="","",INDEX('Cronograma R. Normativo'!$AN$5:$AN$1000,$N49)))</f>
        <v/>
      </c>
      <c r="E49" s="56">
        <f>IF($N49="","",IF(NOT(ISNUMBER($D49)),"",IF($D49&lt;InicioCiclo,"Antes del ciclo",IF($D49&gt;=InicioCiclo+28,"Después del ciclo","Semana "&amp;(INT(($D49-InicioCiclo)/7)+1)))))</f>
        <v/>
      </c>
      <c r="F49" s="61">
        <f>IF($N49="","",IF($P49&gt;0,IF(1&lt;=SemanaActual,INDEX('Cronograma R. Normativo'!$AC$5:$AC$1000,$N49),""),IF(INDEX('Cronograma R. Normativo'!$I$5:$I$1000,$N49)="","",INDEX('Cronograma R. Normativo'!$I$5:$I$1000,$N49))))</f>
        <v/>
      </c>
      <c r="G49" s="61">
        <f>IF($N49="","",IF($P49&gt;0,IF(2&lt;=SemanaActual,INDEX('Cronograma R. Normativo'!$AD$5:$AD$1000,$N49),""),IF(INDEX('Cronograma R. Normativo'!$J$5:$J$1000,$N49)="","",INDEX('Cronograma R. Normativo'!$J$5:$J$1000,$N49))))</f>
        <v/>
      </c>
      <c r="H49" s="61">
        <f>IF($N49="","",IF($P49&gt;0,IF(3&lt;=SemanaActual,INDEX('Cronograma R. Normativo'!$AE$5:$AE$1000,$N49),""),IF(INDEX('Cronograma R. Normativo'!$K$5:$K$1000,$N49)="","",INDEX('Cronograma R. Normativo'!$K$5:$K$1000,$N49))))</f>
        <v/>
      </c>
      <c r="I49" s="61">
        <f>IF($N49="","",IF($P49&gt;0,IF(4&lt;=SemanaActual,INDEX('Cronograma R. Normativo'!$AF$5:$AF$1000,$N49),""),IF(INDEX('Cronograma R. Normativo'!$L$5:$L$1000,$N49)="","",INDEX('Cronograma R. Normativo'!$L$5:$L$1000,$N49))))</f>
        <v/>
      </c>
      <c r="J49" s="61">
        <f>IF($N49="","",INDEX('Cronograma R. Normativo'!$M$5:$M$1000,$N49))</f>
        <v/>
      </c>
      <c r="K49" s="56">
        <f>IF($N49="","",IF(N($J49)&gt;=1,"Completado",IF(AND(ISNUMBER($D49),$D49&lt;FechaRef),"Vencida",IF(N($J49)&gt;0,"En curso","Pendiente"))))</f>
        <v/>
      </c>
      <c r="L49" s="56">
        <f>IF($N49="","",INDEX('Cronograma R. Normativo'!$O$5:$O$1000,$N49)&amp;"")</f>
        <v/>
      </c>
      <c r="M49" s="62">
        <f>IF($N49="","",INDEX('Cronograma R. Normativo'!$Q$5:$Q$1000,$N49)&amp;"")</f>
        <v/>
      </c>
      <c r="N49">
        <f>IFERROR(MATCH(ROW()-4,rOrden_RN,0),"")</f>
        <v/>
      </c>
      <c r="O49">
        <f>IF($N49="","",INDEX('Cronograma R. Normativo'!$V$5:$V$1000,$N49))</f>
        <v/>
      </c>
      <c r="P49">
        <f>IF($N49="","",N(INDEX('Cronograma R. Normativo'!$W$5:$W$1000,$N49)))</f>
        <v/>
      </c>
      <c r="Q49">
        <f>IF(OR(LEFT($L49,7)="Vencida",LEFT($L49,5)="Vence"),SUMPRODUCT(--(LEFT($L$5:$L49,7)="Vencida"))+SUMPRODUCT(--(LEFT($L$5:$L49,5)="Vence")),"")</f>
        <v/>
      </c>
    </row>
    <row r="50">
      <c r="A50" s="56">
        <f>IF($N50="","",INDEX('Cronograma R. Normativo'!$A$5:$A$1000,$N50))</f>
        <v/>
      </c>
      <c r="B50" s="62">
        <f>IF($N50="","",IF($O50="Sub","      ↳  "&amp;INDEX('Cronograma R. Normativo'!$C$5:$C$1000,$N50),INDEX('Cronograma R. Normativo'!$C$5:$C$1000,$N50)&amp;""))</f>
        <v/>
      </c>
      <c r="C50" s="79">
        <f>IF($N50="","",IF(INDEX('Cronograma R. Normativo'!$AM$5:$AM$1000,$N50)="","",INDEX('Cronograma R. Normativo'!$AM$5:$AM$1000,$N50)))</f>
        <v/>
      </c>
      <c r="D50" s="79">
        <f>IF($N50="","",IF(INDEX('Cronograma R. Normativo'!$AN$5:$AN$1000,$N50)="","",INDEX('Cronograma R. Normativo'!$AN$5:$AN$1000,$N50)))</f>
        <v/>
      </c>
      <c r="E50" s="56">
        <f>IF($N50="","",IF(NOT(ISNUMBER($D50)),"",IF($D50&lt;InicioCiclo,"Antes del ciclo",IF($D50&gt;=InicioCiclo+28,"Después del ciclo","Semana "&amp;(INT(($D50-InicioCiclo)/7)+1)))))</f>
        <v/>
      </c>
      <c r="F50" s="61">
        <f>IF($N50="","",IF($P50&gt;0,IF(1&lt;=SemanaActual,INDEX('Cronograma R. Normativo'!$AC$5:$AC$1000,$N50),""),IF(INDEX('Cronograma R. Normativo'!$I$5:$I$1000,$N50)="","",INDEX('Cronograma R. Normativo'!$I$5:$I$1000,$N50))))</f>
        <v/>
      </c>
      <c r="G50" s="61">
        <f>IF($N50="","",IF($P50&gt;0,IF(2&lt;=SemanaActual,INDEX('Cronograma R. Normativo'!$AD$5:$AD$1000,$N50),""),IF(INDEX('Cronograma R. Normativo'!$J$5:$J$1000,$N50)="","",INDEX('Cronograma R. Normativo'!$J$5:$J$1000,$N50))))</f>
        <v/>
      </c>
      <c r="H50" s="61">
        <f>IF($N50="","",IF($P50&gt;0,IF(3&lt;=SemanaActual,INDEX('Cronograma R. Normativo'!$AE$5:$AE$1000,$N50),""),IF(INDEX('Cronograma R. Normativo'!$K$5:$K$1000,$N50)="","",INDEX('Cronograma R. Normativo'!$K$5:$K$1000,$N50))))</f>
        <v/>
      </c>
      <c r="I50" s="61">
        <f>IF($N50="","",IF($P50&gt;0,IF(4&lt;=SemanaActual,INDEX('Cronograma R. Normativo'!$AF$5:$AF$1000,$N50),""),IF(INDEX('Cronograma R. Normativo'!$L$5:$L$1000,$N50)="","",INDEX('Cronograma R. Normativo'!$L$5:$L$1000,$N50))))</f>
        <v/>
      </c>
      <c r="J50" s="61">
        <f>IF($N50="","",INDEX('Cronograma R. Normativo'!$M$5:$M$1000,$N50))</f>
        <v/>
      </c>
      <c r="K50" s="56">
        <f>IF($N50="","",IF(N($J50)&gt;=1,"Completado",IF(AND(ISNUMBER($D50),$D50&lt;FechaRef),"Vencida",IF(N($J50)&gt;0,"En curso","Pendiente"))))</f>
        <v/>
      </c>
      <c r="L50" s="56">
        <f>IF($N50="","",INDEX('Cronograma R. Normativo'!$O$5:$O$1000,$N50)&amp;"")</f>
        <v/>
      </c>
      <c r="M50" s="62">
        <f>IF($N50="","",INDEX('Cronograma R. Normativo'!$Q$5:$Q$1000,$N50)&amp;"")</f>
        <v/>
      </c>
      <c r="N50">
        <f>IFERROR(MATCH(ROW()-4,rOrden_RN,0),"")</f>
        <v/>
      </c>
      <c r="O50">
        <f>IF($N50="","",INDEX('Cronograma R. Normativo'!$V$5:$V$1000,$N50))</f>
        <v/>
      </c>
      <c r="P50">
        <f>IF($N50="","",N(INDEX('Cronograma R. Normativo'!$W$5:$W$1000,$N50)))</f>
        <v/>
      </c>
      <c r="Q50">
        <f>IF(OR(LEFT($L50,7)="Vencida",LEFT($L50,5)="Vence"),SUMPRODUCT(--(LEFT($L$5:$L50,7)="Vencida"))+SUMPRODUCT(--(LEFT($L$5:$L50,5)="Vence")),"")</f>
        <v/>
      </c>
    </row>
    <row r="51">
      <c r="A51" s="56">
        <f>IF($N51="","",INDEX('Cronograma R. Normativo'!$A$5:$A$1000,$N51))</f>
        <v/>
      </c>
      <c r="B51" s="62">
        <f>IF($N51="","",IF($O51="Sub","      ↳  "&amp;INDEX('Cronograma R. Normativo'!$C$5:$C$1000,$N51),INDEX('Cronograma R. Normativo'!$C$5:$C$1000,$N51)&amp;""))</f>
        <v/>
      </c>
      <c r="C51" s="79">
        <f>IF($N51="","",IF(INDEX('Cronograma R. Normativo'!$AM$5:$AM$1000,$N51)="","",INDEX('Cronograma R. Normativo'!$AM$5:$AM$1000,$N51)))</f>
        <v/>
      </c>
      <c r="D51" s="79">
        <f>IF($N51="","",IF(INDEX('Cronograma R. Normativo'!$AN$5:$AN$1000,$N51)="","",INDEX('Cronograma R. Normativo'!$AN$5:$AN$1000,$N51)))</f>
        <v/>
      </c>
      <c r="E51" s="56">
        <f>IF($N51="","",IF(NOT(ISNUMBER($D51)),"",IF($D51&lt;InicioCiclo,"Antes del ciclo",IF($D51&gt;=InicioCiclo+28,"Después del ciclo","Semana "&amp;(INT(($D51-InicioCiclo)/7)+1)))))</f>
        <v/>
      </c>
      <c r="F51" s="61">
        <f>IF($N51="","",IF($P51&gt;0,IF(1&lt;=SemanaActual,INDEX('Cronograma R. Normativo'!$AC$5:$AC$1000,$N51),""),IF(INDEX('Cronograma R. Normativo'!$I$5:$I$1000,$N51)="","",INDEX('Cronograma R. Normativo'!$I$5:$I$1000,$N51))))</f>
        <v/>
      </c>
      <c r="G51" s="61">
        <f>IF($N51="","",IF($P51&gt;0,IF(2&lt;=SemanaActual,INDEX('Cronograma R. Normativo'!$AD$5:$AD$1000,$N51),""),IF(INDEX('Cronograma R. Normativo'!$J$5:$J$1000,$N51)="","",INDEX('Cronograma R. Normativo'!$J$5:$J$1000,$N51))))</f>
        <v/>
      </c>
      <c r="H51" s="61">
        <f>IF($N51="","",IF($P51&gt;0,IF(3&lt;=SemanaActual,INDEX('Cronograma R. Normativo'!$AE$5:$AE$1000,$N51),""),IF(INDEX('Cronograma R. Normativo'!$K$5:$K$1000,$N51)="","",INDEX('Cronograma R. Normativo'!$K$5:$K$1000,$N51))))</f>
        <v/>
      </c>
      <c r="I51" s="61">
        <f>IF($N51="","",IF($P51&gt;0,IF(4&lt;=SemanaActual,INDEX('Cronograma R. Normativo'!$AF$5:$AF$1000,$N51),""),IF(INDEX('Cronograma R. Normativo'!$L$5:$L$1000,$N51)="","",INDEX('Cronograma R. Normativo'!$L$5:$L$1000,$N51))))</f>
        <v/>
      </c>
      <c r="J51" s="61">
        <f>IF($N51="","",INDEX('Cronograma R. Normativo'!$M$5:$M$1000,$N51))</f>
        <v/>
      </c>
      <c r="K51" s="56">
        <f>IF($N51="","",IF(N($J51)&gt;=1,"Completado",IF(AND(ISNUMBER($D51),$D51&lt;FechaRef),"Vencida",IF(N($J51)&gt;0,"En curso","Pendiente"))))</f>
        <v/>
      </c>
      <c r="L51" s="56">
        <f>IF($N51="","",INDEX('Cronograma R. Normativo'!$O$5:$O$1000,$N51)&amp;"")</f>
        <v/>
      </c>
      <c r="M51" s="62">
        <f>IF($N51="","",INDEX('Cronograma R. Normativo'!$Q$5:$Q$1000,$N51)&amp;"")</f>
        <v/>
      </c>
      <c r="N51">
        <f>IFERROR(MATCH(ROW()-4,rOrden_RN,0),"")</f>
        <v/>
      </c>
      <c r="O51">
        <f>IF($N51="","",INDEX('Cronograma R. Normativo'!$V$5:$V$1000,$N51))</f>
        <v/>
      </c>
      <c r="P51">
        <f>IF($N51="","",N(INDEX('Cronograma R. Normativo'!$W$5:$W$1000,$N51)))</f>
        <v/>
      </c>
      <c r="Q51">
        <f>IF(OR(LEFT($L51,7)="Vencida",LEFT($L51,5)="Vence"),SUMPRODUCT(--(LEFT($L$5:$L51,7)="Vencida"))+SUMPRODUCT(--(LEFT($L$5:$L51,5)="Vence")),"")</f>
        <v/>
      </c>
    </row>
    <row r="52">
      <c r="A52" s="56">
        <f>IF($N52="","",INDEX('Cronograma R. Normativo'!$A$5:$A$1000,$N52))</f>
        <v/>
      </c>
      <c r="B52" s="62">
        <f>IF($N52="","",IF($O52="Sub","      ↳  "&amp;INDEX('Cronograma R. Normativo'!$C$5:$C$1000,$N52),INDEX('Cronograma R. Normativo'!$C$5:$C$1000,$N52)&amp;""))</f>
        <v/>
      </c>
      <c r="C52" s="79">
        <f>IF($N52="","",IF(INDEX('Cronograma R. Normativo'!$AM$5:$AM$1000,$N52)="","",INDEX('Cronograma R. Normativo'!$AM$5:$AM$1000,$N52)))</f>
        <v/>
      </c>
      <c r="D52" s="79">
        <f>IF($N52="","",IF(INDEX('Cronograma R. Normativo'!$AN$5:$AN$1000,$N52)="","",INDEX('Cronograma R. Normativo'!$AN$5:$AN$1000,$N52)))</f>
        <v/>
      </c>
      <c r="E52" s="56">
        <f>IF($N52="","",IF(NOT(ISNUMBER($D52)),"",IF($D52&lt;InicioCiclo,"Antes del ciclo",IF($D52&gt;=InicioCiclo+28,"Después del ciclo","Semana "&amp;(INT(($D52-InicioCiclo)/7)+1)))))</f>
        <v/>
      </c>
      <c r="F52" s="61">
        <f>IF($N52="","",IF($P52&gt;0,IF(1&lt;=SemanaActual,INDEX('Cronograma R. Normativo'!$AC$5:$AC$1000,$N52),""),IF(INDEX('Cronograma R. Normativo'!$I$5:$I$1000,$N52)="","",INDEX('Cronograma R. Normativo'!$I$5:$I$1000,$N52))))</f>
        <v/>
      </c>
      <c r="G52" s="61">
        <f>IF($N52="","",IF($P52&gt;0,IF(2&lt;=SemanaActual,INDEX('Cronograma R. Normativo'!$AD$5:$AD$1000,$N52),""),IF(INDEX('Cronograma R. Normativo'!$J$5:$J$1000,$N52)="","",INDEX('Cronograma R. Normativo'!$J$5:$J$1000,$N52))))</f>
        <v/>
      </c>
      <c r="H52" s="61">
        <f>IF($N52="","",IF($P52&gt;0,IF(3&lt;=SemanaActual,INDEX('Cronograma R. Normativo'!$AE$5:$AE$1000,$N52),""),IF(INDEX('Cronograma R. Normativo'!$K$5:$K$1000,$N52)="","",INDEX('Cronograma R. Normativo'!$K$5:$K$1000,$N52))))</f>
        <v/>
      </c>
      <c r="I52" s="61">
        <f>IF($N52="","",IF($P52&gt;0,IF(4&lt;=SemanaActual,INDEX('Cronograma R. Normativo'!$AF$5:$AF$1000,$N52),""),IF(INDEX('Cronograma R. Normativo'!$L$5:$L$1000,$N52)="","",INDEX('Cronograma R. Normativo'!$L$5:$L$1000,$N52))))</f>
        <v/>
      </c>
      <c r="J52" s="61">
        <f>IF($N52="","",INDEX('Cronograma R. Normativo'!$M$5:$M$1000,$N52))</f>
        <v/>
      </c>
      <c r="K52" s="56">
        <f>IF($N52="","",IF(N($J52)&gt;=1,"Completado",IF(AND(ISNUMBER($D52),$D52&lt;FechaRef),"Vencida",IF(N($J52)&gt;0,"En curso","Pendiente"))))</f>
        <v/>
      </c>
      <c r="L52" s="56">
        <f>IF($N52="","",INDEX('Cronograma R. Normativo'!$O$5:$O$1000,$N52)&amp;"")</f>
        <v/>
      </c>
      <c r="M52" s="62">
        <f>IF($N52="","",INDEX('Cronograma R. Normativo'!$Q$5:$Q$1000,$N52)&amp;"")</f>
        <v/>
      </c>
      <c r="N52">
        <f>IFERROR(MATCH(ROW()-4,rOrden_RN,0),"")</f>
        <v/>
      </c>
      <c r="O52">
        <f>IF($N52="","",INDEX('Cronograma R. Normativo'!$V$5:$V$1000,$N52))</f>
        <v/>
      </c>
      <c r="P52">
        <f>IF($N52="","",N(INDEX('Cronograma R. Normativo'!$W$5:$W$1000,$N52)))</f>
        <v/>
      </c>
      <c r="Q52">
        <f>IF(OR(LEFT($L52,7)="Vencida",LEFT($L52,5)="Vence"),SUMPRODUCT(--(LEFT($L$5:$L52,7)="Vencida"))+SUMPRODUCT(--(LEFT($L$5:$L52,5)="Vence")),"")</f>
        <v/>
      </c>
    </row>
    <row r="53">
      <c r="A53" s="56">
        <f>IF($N53="","",INDEX('Cronograma R. Normativo'!$A$5:$A$1000,$N53))</f>
        <v/>
      </c>
      <c r="B53" s="62">
        <f>IF($N53="","",IF($O53="Sub","      ↳  "&amp;INDEX('Cronograma R. Normativo'!$C$5:$C$1000,$N53),INDEX('Cronograma R. Normativo'!$C$5:$C$1000,$N53)&amp;""))</f>
        <v/>
      </c>
      <c r="C53" s="79">
        <f>IF($N53="","",IF(INDEX('Cronograma R. Normativo'!$AM$5:$AM$1000,$N53)="","",INDEX('Cronograma R. Normativo'!$AM$5:$AM$1000,$N53)))</f>
        <v/>
      </c>
      <c r="D53" s="79">
        <f>IF($N53="","",IF(INDEX('Cronograma R. Normativo'!$AN$5:$AN$1000,$N53)="","",INDEX('Cronograma R. Normativo'!$AN$5:$AN$1000,$N53)))</f>
        <v/>
      </c>
      <c r="E53" s="56">
        <f>IF($N53="","",IF(NOT(ISNUMBER($D53)),"",IF($D53&lt;InicioCiclo,"Antes del ciclo",IF($D53&gt;=InicioCiclo+28,"Después del ciclo","Semana "&amp;(INT(($D53-InicioCiclo)/7)+1)))))</f>
        <v/>
      </c>
      <c r="F53" s="61">
        <f>IF($N53="","",IF($P53&gt;0,IF(1&lt;=SemanaActual,INDEX('Cronograma R. Normativo'!$AC$5:$AC$1000,$N53),""),IF(INDEX('Cronograma R. Normativo'!$I$5:$I$1000,$N53)="","",INDEX('Cronograma R. Normativo'!$I$5:$I$1000,$N53))))</f>
        <v/>
      </c>
      <c r="G53" s="61">
        <f>IF($N53="","",IF($P53&gt;0,IF(2&lt;=SemanaActual,INDEX('Cronograma R. Normativo'!$AD$5:$AD$1000,$N53),""),IF(INDEX('Cronograma R. Normativo'!$J$5:$J$1000,$N53)="","",INDEX('Cronograma R. Normativo'!$J$5:$J$1000,$N53))))</f>
        <v/>
      </c>
      <c r="H53" s="61">
        <f>IF($N53="","",IF($P53&gt;0,IF(3&lt;=SemanaActual,INDEX('Cronograma R. Normativo'!$AE$5:$AE$1000,$N53),""),IF(INDEX('Cronograma R. Normativo'!$K$5:$K$1000,$N53)="","",INDEX('Cronograma R. Normativo'!$K$5:$K$1000,$N53))))</f>
        <v/>
      </c>
      <c r="I53" s="61">
        <f>IF($N53="","",IF($P53&gt;0,IF(4&lt;=SemanaActual,INDEX('Cronograma R. Normativo'!$AF$5:$AF$1000,$N53),""),IF(INDEX('Cronograma R. Normativo'!$L$5:$L$1000,$N53)="","",INDEX('Cronograma R. Normativo'!$L$5:$L$1000,$N53))))</f>
        <v/>
      </c>
      <c r="J53" s="61">
        <f>IF($N53="","",INDEX('Cronograma R. Normativo'!$M$5:$M$1000,$N53))</f>
        <v/>
      </c>
      <c r="K53" s="56">
        <f>IF($N53="","",IF(N($J53)&gt;=1,"Completado",IF(AND(ISNUMBER($D53),$D53&lt;FechaRef),"Vencida",IF(N($J53)&gt;0,"En curso","Pendiente"))))</f>
        <v/>
      </c>
      <c r="L53" s="56">
        <f>IF($N53="","",INDEX('Cronograma R. Normativo'!$O$5:$O$1000,$N53)&amp;"")</f>
        <v/>
      </c>
      <c r="M53" s="62">
        <f>IF($N53="","",INDEX('Cronograma R. Normativo'!$Q$5:$Q$1000,$N53)&amp;"")</f>
        <v/>
      </c>
      <c r="N53">
        <f>IFERROR(MATCH(ROW()-4,rOrden_RN,0),"")</f>
        <v/>
      </c>
      <c r="O53">
        <f>IF($N53="","",INDEX('Cronograma R. Normativo'!$V$5:$V$1000,$N53))</f>
        <v/>
      </c>
      <c r="P53">
        <f>IF($N53="","",N(INDEX('Cronograma R. Normativo'!$W$5:$W$1000,$N53)))</f>
        <v/>
      </c>
      <c r="Q53">
        <f>IF(OR(LEFT($L53,7)="Vencida",LEFT($L53,5)="Vence"),SUMPRODUCT(--(LEFT($L$5:$L53,7)="Vencida"))+SUMPRODUCT(--(LEFT($L$5:$L53,5)="Vence")),"")</f>
        <v/>
      </c>
    </row>
    <row r="54">
      <c r="A54" s="56">
        <f>IF($N54="","",INDEX('Cronograma R. Normativo'!$A$5:$A$1000,$N54))</f>
        <v/>
      </c>
      <c r="B54" s="62">
        <f>IF($N54="","",IF($O54="Sub","      ↳  "&amp;INDEX('Cronograma R. Normativo'!$C$5:$C$1000,$N54),INDEX('Cronograma R. Normativo'!$C$5:$C$1000,$N54)&amp;""))</f>
        <v/>
      </c>
      <c r="C54" s="79">
        <f>IF($N54="","",IF(INDEX('Cronograma R. Normativo'!$AM$5:$AM$1000,$N54)="","",INDEX('Cronograma R. Normativo'!$AM$5:$AM$1000,$N54)))</f>
        <v/>
      </c>
      <c r="D54" s="79">
        <f>IF($N54="","",IF(INDEX('Cronograma R. Normativo'!$AN$5:$AN$1000,$N54)="","",INDEX('Cronograma R. Normativo'!$AN$5:$AN$1000,$N54)))</f>
        <v/>
      </c>
      <c r="E54" s="56">
        <f>IF($N54="","",IF(NOT(ISNUMBER($D54)),"",IF($D54&lt;InicioCiclo,"Antes del ciclo",IF($D54&gt;=InicioCiclo+28,"Después del ciclo","Semana "&amp;(INT(($D54-InicioCiclo)/7)+1)))))</f>
        <v/>
      </c>
      <c r="F54" s="61">
        <f>IF($N54="","",IF($P54&gt;0,IF(1&lt;=SemanaActual,INDEX('Cronograma R. Normativo'!$AC$5:$AC$1000,$N54),""),IF(INDEX('Cronograma R. Normativo'!$I$5:$I$1000,$N54)="","",INDEX('Cronograma R. Normativo'!$I$5:$I$1000,$N54))))</f>
        <v/>
      </c>
      <c r="G54" s="61">
        <f>IF($N54="","",IF($P54&gt;0,IF(2&lt;=SemanaActual,INDEX('Cronograma R. Normativo'!$AD$5:$AD$1000,$N54),""),IF(INDEX('Cronograma R. Normativo'!$J$5:$J$1000,$N54)="","",INDEX('Cronograma R. Normativo'!$J$5:$J$1000,$N54))))</f>
        <v/>
      </c>
      <c r="H54" s="61">
        <f>IF($N54="","",IF($P54&gt;0,IF(3&lt;=SemanaActual,INDEX('Cronograma R. Normativo'!$AE$5:$AE$1000,$N54),""),IF(INDEX('Cronograma R. Normativo'!$K$5:$K$1000,$N54)="","",INDEX('Cronograma R. Normativo'!$K$5:$K$1000,$N54))))</f>
        <v/>
      </c>
      <c r="I54" s="61">
        <f>IF($N54="","",IF($P54&gt;0,IF(4&lt;=SemanaActual,INDEX('Cronograma R. Normativo'!$AF$5:$AF$1000,$N54),""),IF(INDEX('Cronograma R. Normativo'!$L$5:$L$1000,$N54)="","",INDEX('Cronograma R. Normativo'!$L$5:$L$1000,$N54))))</f>
        <v/>
      </c>
      <c r="J54" s="61">
        <f>IF($N54="","",INDEX('Cronograma R. Normativo'!$M$5:$M$1000,$N54))</f>
        <v/>
      </c>
      <c r="K54" s="56">
        <f>IF($N54="","",IF(N($J54)&gt;=1,"Completado",IF(AND(ISNUMBER($D54),$D54&lt;FechaRef),"Vencida",IF(N($J54)&gt;0,"En curso","Pendiente"))))</f>
        <v/>
      </c>
      <c r="L54" s="56">
        <f>IF($N54="","",INDEX('Cronograma R. Normativo'!$O$5:$O$1000,$N54)&amp;"")</f>
        <v/>
      </c>
      <c r="M54" s="62">
        <f>IF($N54="","",INDEX('Cronograma R. Normativo'!$Q$5:$Q$1000,$N54)&amp;"")</f>
        <v/>
      </c>
      <c r="N54">
        <f>IFERROR(MATCH(ROW()-4,rOrden_RN,0),"")</f>
        <v/>
      </c>
      <c r="O54">
        <f>IF($N54="","",INDEX('Cronograma R. Normativo'!$V$5:$V$1000,$N54))</f>
        <v/>
      </c>
      <c r="P54">
        <f>IF($N54="","",N(INDEX('Cronograma R. Normativo'!$W$5:$W$1000,$N54)))</f>
        <v/>
      </c>
      <c r="Q54">
        <f>IF(OR(LEFT($L54,7)="Vencida",LEFT($L54,5)="Vence"),SUMPRODUCT(--(LEFT($L$5:$L54,7)="Vencida"))+SUMPRODUCT(--(LEFT($L$5:$L54,5)="Vence")),"")</f>
        <v/>
      </c>
    </row>
    <row r="55">
      <c r="A55" s="56">
        <f>IF($N55="","",INDEX('Cronograma R. Normativo'!$A$5:$A$1000,$N55))</f>
        <v/>
      </c>
      <c r="B55" s="62">
        <f>IF($N55="","",IF($O55="Sub","      ↳  "&amp;INDEX('Cronograma R. Normativo'!$C$5:$C$1000,$N55),INDEX('Cronograma R. Normativo'!$C$5:$C$1000,$N55)&amp;""))</f>
        <v/>
      </c>
      <c r="C55" s="79">
        <f>IF($N55="","",IF(INDEX('Cronograma R. Normativo'!$AM$5:$AM$1000,$N55)="","",INDEX('Cronograma R. Normativo'!$AM$5:$AM$1000,$N55)))</f>
        <v/>
      </c>
      <c r="D55" s="79">
        <f>IF($N55="","",IF(INDEX('Cronograma R. Normativo'!$AN$5:$AN$1000,$N55)="","",INDEX('Cronograma R. Normativo'!$AN$5:$AN$1000,$N55)))</f>
        <v/>
      </c>
      <c r="E55" s="56">
        <f>IF($N55="","",IF(NOT(ISNUMBER($D55)),"",IF($D55&lt;InicioCiclo,"Antes del ciclo",IF($D55&gt;=InicioCiclo+28,"Después del ciclo","Semana "&amp;(INT(($D55-InicioCiclo)/7)+1)))))</f>
        <v/>
      </c>
      <c r="F55" s="61">
        <f>IF($N55="","",IF($P55&gt;0,IF(1&lt;=SemanaActual,INDEX('Cronograma R. Normativo'!$AC$5:$AC$1000,$N55),""),IF(INDEX('Cronograma R. Normativo'!$I$5:$I$1000,$N55)="","",INDEX('Cronograma R. Normativo'!$I$5:$I$1000,$N55))))</f>
        <v/>
      </c>
      <c r="G55" s="61">
        <f>IF($N55="","",IF($P55&gt;0,IF(2&lt;=SemanaActual,INDEX('Cronograma R. Normativo'!$AD$5:$AD$1000,$N55),""),IF(INDEX('Cronograma R. Normativo'!$J$5:$J$1000,$N55)="","",INDEX('Cronograma R. Normativo'!$J$5:$J$1000,$N55))))</f>
        <v/>
      </c>
      <c r="H55" s="61">
        <f>IF($N55="","",IF($P55&gt;0,IF(3&lt;=SemanaActual,INDEX('Cronograma R. Normativo'!$AE$5:$AE$1000,$N55),""),IF(INDEX('Cronograma R. Normativo'!$K$5:$K$1000,$N55)="","",INDEX('Cronograma R. Normativo'!$K$5:$K$1000,$N55))))</f>
        <v/>
      </c>
      <c r="I55" s="61">
        <f>IF($N55="","",IF($P55&gt;0,IF(4&lt;=SemanaActual,INDEX('Cronograma R. Normativo'!$AF$5:$AF$1000,$N55),""),IF(INDEX('Cronograma R. Normativo'!$L$5:$L$1000,$N55)="","",INDEX('Cronograma R. Normativo'!$L$5:$L$1000,$N55))))</f>
        <v/>
      </c>
      <c r="J55" s="61">
        <f>IF($N55="","",INDEX('Cronograma R. Normativo'!$M$5:$M$1000,$N55))</f>
        <v/>
      </c>
      <c r="K55" s="56">
        <f>IF($N55="","",IF(N($J55)&gt;=1,"Completado",IF(AND(ISNUMBER($D55),$D55&lt;FechaRef),"Vencida",IF(N($J55)&gt;0,"En curso","Pendiente"))))</f>
        <v/>
      </c>
      <c r="L55" s="56">
        <f>IF($N55="","",INDEX('Cronograma R. Normativo'!$O$5:$O$1000,$N55)&amp;"")</f>
        <v/>
      </c>
      <c r="M55" s="62">
        <f>IF($N55="","",INDEX('Cronograma R. Normativo'!$Q$5:$Q$1000,$N55)&amp;"")</f>
        <v/>
      </c>
      <c r="N55">
        <f>IFERROR(MATCH(ROW()-4,rOrden_RN,0),"")</f>
        <v/>
      </c>
      <c r="O55">
        <f>IF($N55="","",INDEX('Cronograma R. Normativo'!$V$5:$V$1000,$N55))</f>
        <v/>
      </c>
      <c r="P55">
        <f>IF($N55="","",N(INDEX('Cronograma R. Normativo'!$W$5:$W$1000,$N55)))</f>
        <v/>
      </c>
      <c r="Q55">
        <f>IF(OR(LEFT($L55,7)="Vencida",LEFT($L55,5)="Vence"),SUMPRODUCT(--(LEFT($L$5:$L55,7)="Vencida"))+SUMPRODUCT(--(LEFT($L$5:$L55,5)="Vence")),"")</f>
        <v/>
      </c>
    </row>
    <row r="56">
      <c r="A56" s="56">
        <f>IF($N56="","",INDEX('Cronograma R. Normativo'!$A$5:$A$1000,$N56))</f>
        <v/>
      </c>
      <c r="B56" s="62">
        <f>IF($N56="","",IF($O56="Sub","      ↳  "&amp;INDEX('Cronograma R. Normativo'!$C$5:$C$1000,$N56),INDEX('Cronograma R. Normativo'!$C$5:$C$1000,$N56)&amp;""))</f>
        <v/>
      </c>
      <c r="C56" s="79">
        <f>IF($N56="","",IF(INDEX('Cronograma R. Normativo'!$AM$5:$AM$1000,$N56)="","",INDEX('Cronograma R. Normativo'!$AM$5:$AM$1000,$N56)))</f>
        <v/>
      </c>
      <c r="D56" s="79">
        <f>IF($N56="","",IF(INDEX('Cronograma R. Normativo'!$AN$5:$AN$1000,$N56)="","",INDEX('Cronograma R. Normativo'!$AN$5:$AN$1000,$N56)))</f>
        <v/>
      </c>
      <c r="E56" s="56">
        <f>IF($N56="","",IF(NOT(ISNUMBER($D56)),"",IF($D56&lt;InicioCiclo,"Antes del ciclo",IF($D56&gt;=InicioCiclo+28,"Después del ciclo","Semana "&amp;(INT(($D56-InicioCiclo)/7)+1)))))</f>
        <v/>
      </c>
      <c r="F56" s="61">
        <f>IF($N56="","",IF($P56&gt;0,IF(1&lt;=SemanaActual,INDEX('Cronograma R. Normativo'!$AC$5:$AC$1000,$N56),""),IF(INDEX('Cronograma R. Normativo'!$I$5:$I$1000,$N56)="","",INDEX('Cronograma R. Normativo'!$I$5:$I$1000,$N56))))</f>
        <v/>
      </c>
      <c r="G56" s="61">
        <f>IF($N56="","",IF($P56&gt;0,IF(2&lt;=SemanaActual,INDEX('Cronograma R. Normativo'!$AD$5:$AD$1000,$N56),""),IF(INDEX('Cronograma R. Normativo'!$J$5:$J$1000,$N56)="","",INDEX('Cronograma R. Normativo'!$J$5:$J$1000,$N56))))</f>
        <v/>
      </c>
      <c r="H56" s="61">
        <f>IF($N56="","",IF($P56&gt;0,IF(3&lt;=SemanaActual,INDEX('Cronograma R. Normativo'!$AE$5:$AE$1000,$N56),""),IF(INDEX('Cronograma R. Normativo'!$K$5:$K$1000,$N56)="","",INDEX('Cronograma R. Normativo'!$K$5:$K$1000,$N56))))</f>
        <v/>
      </c>
      <c r="I56" s="61">
        <f>IF($N56="","",IF($P56&gt;0,IF(4&lt;=SemanaActual,INDEX('Cronograma R. Normativo'!$AF$5:$AF$1000,$N56),""),IF(INDEX('Cronograma R. Normativo'!$L$5:$L$1000,$N56)="","",INDEX('Cronograma R. Normativo'!$L$5:$L$1000,$N56))))</f>
        <v/>
      </c>
      <c r="J56" s="61">
        <f>IF($N56="","",INDEX('Cronograma R. Normativo'!$M$5:$M$1000,$N56))</f>
        <v/>
      </c>
      <c r="K56" s="56">
        <f>IF($N56="","",IF(N($J56)&gt;=1,"Completado",IF(AND(ISNUMBER($D56),$D56&lt;FechaRef),"Vencida",IF(N($J56)&gt;0,"En curso","Pendiente"))))</f>
        <v/>
      </c>
      <c r="L56" s="56">
        <f>IF($N56="","",INDEX('Cronograma R. Normativo'!$O$5:$O$1000,$N56)&amp;"")</f>
        <v/>
      </c>
      <c r="M56" s="62">
        <f>IF($N56="","",INDEX('Cronograma R. Normativo'!$Q$5:$Q$1000,$N56)&amp;"")</f>
        <v/>
      </c>
      <c r="N56">
        <f>IFERROR(MATCH(ROW()-4,rOrden_RN,0),"")</f>
        <v/>
      </c>
      <c r="O56">
        <f>IF($N56="","",INDEX('Cronograma R. Normativo'!$V$5:$V$1000,$N56))</f>
        <v/>
      </c>
      <c r="P56">
        <f>IF($N56="","",N(INDEX('Cronograma R. Normativo'!$W$5:$W$1000,$N56)))</f>
        <v/>
      </c>
      <c r="Q56">
        <f>IF(OR(LEFT($L56,7)="Vencida",LEFT($L56,5)="Vence"),SUMPRODUCT(--(LEFT($L$5:$L56,7)="Vencida"))+SUMPRODUCT(--(LEFT($L$5:$L56,5)="Vence")),"")</f>
        <v/>
      </c>
    </row>
    <row r="57">
      <c r="A57" s="56">
        <f>IF($N57="","",INDEX('Cronograma R. Normativo'!$A$5:$A$1000,$N57))</f>
        <v/>
      </c>
      <c r="B57" s="62">
        <f>IF($N57="","",IF($O57="Sub","      ↳  "&amp;INDEX('Cronograma R. Normativo'!$C$5:$C$1000,$N57),INDEX('Cronograma R. Normativo'!$C$5:$C$1000,$N57)&amp;""))</f>
        <v/>
      </c>
      <c r="C57" s="79">
        <f>IF($N57="","",IF(INDEX('Cronograma R. Normativo'!$AM$5:$AM$1000,$N57)="","",INDEX('Cronograma R. Normativo'!$AM$5:$AM$1000,$N57)))</f>
        <v/>
      </c>
      <c r="D57" s="79">
        <f>IF($N57="","",IF(INDEX('Cronograma R. Normativo'!$AN$5:$AN$1000,$N57)="","",INDEX('Cronograma R. Normativo'!$AN$5:$AN$1000,$N57)))</f>
        <v/>
      </c>
      <c r="E57" s="56">
        <f>IF($N57="","",IF(NOT(ISNUMBER($D57)),"",IF($D57&lt;InicioCiclo,"Antes del ciclo",IF($D57&gt;=InicioCiclo+28,"Después del ciclo","Semana "&amp;(INT(($D57-InicioCiclo)/7)+1)))))</f>
        <v/>
      </c>
      <c r="F57" s="61">
        <f>IF($N57="","",IF($P57&gt;0,IF(1&lt;=SemanaActual,INDEX('Cronograma R. Normativo'!$AC$5:$AC$1000,$N57),""),IF(INDEX('Cronograma R. Normativo'!$I$5:$I$1000,$N57)="","",INDEX('Cronograma R. Normativo'!$I$5:$I$1000,$N57))))</f>
        <v/>
      </c>
      <c r="G57" s="61">
        <f>IF($N57="","",IF($P57&gt;0,IF(2&lt;=SemanaActual,INDEX('Cronograma R. Normativo'!$AD$5:$AD$1000,$N57),""),IF(INDEX('Cronograma R. Normativo'!$J$5:$J$1000,$N57)="","",INDEX('Cronograma R. Normativo'!$J$5:$J$1000,$N57))))</f>
        <v/>
      </c>
      <c r="H57" s="61">
        <f>IF($N57="","",IF($P57&gt;0,IF(3&lt;=SemanaActual,INDEX('Cronograma R. Normativo'!$AE$5:$AE$1000,$N57),""),IF(INDEX('Cronograma R. Normativo'!$K$5:$K$1000,$N57)="","",INDEX('Cronograma R. Normativo'!$K$5:$K$1000,$N57))))</f>
        <v/>
      </c>
      <c r="I57" s="61">
        <f>IF($N57="","",IF($P57&gt;0,IF(4&lt;=SemanaActual,INDEX('Cronograma R. Normativo'!$AF$5:$AF$1000,$N57),""),IF(INDEX('Cronograma R. Normativo'!$L$5:$L$1000,$N57)="","",INDEX('Cronograma R. Normativo'!$L$5:$L$1000,$N57))))</f>
        <v/>
      </c>
      <c r="J57" s="61">
        <f>IF($N57="","",INDEX('Cronograma R. Normativo'!$M$5:$M$1000,$N57))</f>
        <v/>
      </c>
      <c r="K57" s="56">
        <f>IF($N57="","",IF(N($J57)&gt;=1,"Completado",IF(AND(ISNUMBER($D57),$D57&lt;FechaRef),"Vencida",IF(N($J57)&gt;0,"En curso","Pendiente"))))</f>
        <v/>
      </c>
      <c r="L57" s="56">
        <f>IF($N57="","",INDEX('Cronograma R. Normativo'!$O$5:$O$1000,$N57)&amp;"")</f>
        <v/>
      </c>
      <c r="M57" s="62">
        <f>IF($N57="","",INDEX('Cronograma R. Normativo'!$Q$5:$Q$1000,$N57)&amp;"")</f>
        <v/>
      </c>
      <c r="N57">
        <f>IFERROR(MATCH(ROW()-4,rOrden_RN,0),"")</f>
        <v/>
      </c>
      <c r="O57">
        <f>IF($N57="","",INDEX('Cronograma R. Normativo'!$V$5:$V$1000,$N57))</f>
        <v/>
      </c>
      <c r="P57">
        <f>IF($N57="","",N(INDEX('Cronograma R. Normativo'!$W$5:$W$1000,$N57)))</f>
        <v/>
      </c>
      <c r="Q57">
        <f>IF(OR(LEFT($L57,7)="Vencida",LEFT($L57,5)="Vence"),SUMPRODUCT(--(LEFT($L$5:$L57,7)="Vencida"))+SUMPRODUCT(--(LEFT($L$5:$L57,5)="Vence")),"")</f>
        <v/>
      </c>
    </row>
    <row r="58">
      <c r="A58" s="56">
        <f>IF($N58="","",INDEX('Cronograma R. Normativo'!$A$5:$A$1000,$N58))</f>
        <v/>
      </c>
      <c r="B58" s="62">
        <f>IF($N58="","",IF($O58="Sub","      ↳  "&amp;INDEX('Cronograma R. Normativo'!$C$5:$C$1000,$N58),INDEX('Cronograma R. Normativo'!$C$5:$C$1000,$N58)&amp;""))</f>
        <v/>
      </c>
      <c r="C58" s="79">
        <f>IF($N58="","",IF(INDEX('Cronograma R. Normativo'!$AM$5:$AM$1000,$N58)="","",INDEX('Cronograma R. Normativo'!$AM$5:$AM$1000,$N58)))</f>
        <v/>
      </c>
      <c r="D58" s="79">
        <f>IF($N58="","",IF(INDEX('Cronograma R. Normativo'!$AN$5:$AN$1000,$N58)="","",INDEX('Cronograma R. Normativo'!$AN$5:$AN$1000,$N58)))</f>
        <v/>
      </c>
      <c r="E58" s="56">
        <f>IF($N58="","",IF(NOT(ISNUMBER($D58)),"",IF($D58&lt;InicioCiclo,"Antes del ciclo",IF($D58&gt;=InicioCiclo+28,"Después del ciclo","Semana "&amp;(INT(($D58-InicioCiclo)/7)+1)))))</f>
        <v/>
      </c>
      <c r="F58" s="61">
        <f>IF($N58="","",IF($P58&gt;0,IF(1&lt;=SemanaActual,INDEX('Cronograma R. Normativo'!$AC$5:$AC$1000,$N58),""),IF(INDEX('Cronograma R. Normativo'!$I$5:$I$1000,$N58)="","",INDEX('Cronograma R. Normativo'!$I$5:$I$1000,$N58))))</f>
        <v/>
      </c>
      <c r="G58" s="61">
        <f>IF($N58="","",IF($P58&gt;0,IF(2&lt;=SemanaActual,INDEX('Cronograma R. Normativo'!$AD$5:$AD$1000,$N58),""),IF(INDEX('Cronograma R. Normativo'!$J$5:$J$1000,$N58)="","",INDEX('Cronograma R. Normativo'!$J$5:$J$1000,$N58))))</f>
        <v/>
      </c>
      <c r="H58" s="61">
        <f>IF($N58="","",IF($P58&gt;0,IF(3&lt;=SemanaActual,INDEX('Cronograma R. Normativo'!$AE$5:$AE$1000,$N58),""),IF(INDEX('Cronograma R. Normativo'!$K$5:$K$1000,$N58)="","",INDEX('Cronograma R. Normativo'!$K$5:$K$1000,$N58))))</f>
        <v/>
      </c>
      <c r="I58" s="61">
        <f>IF($N58="","",IF($P58&gt;0,IF(4&lt;=SemanaActual,INDEX('Cronograma R. Normativo'!$AF$5:$AF$1000,$N58),""),IF(INDEX('Cronograma R. Normativo'!$L$5:$L$1000,$N58)="","",INDEX('Cronograma R. Normativo'!$L$5:$L$1000,$N58))))</f>
        <v/>
      </c>
      <c r="J58" s="61">
        <f>IF($N58="","",INDEX('Cronograma R. Normativo'!$M$5:$M$1000,$N58))</f>
        <v/>
      </c>
      <c r="K58" s="56">
        <f>IF($N58="","",IF(N($J58)&gt;=1,"Completado",IF(AND(ISNUMBER($D58),$D58&lt;FechaRef),"Vencida",IF(N($J58)&gt;0,"En curso","Pendiente"))))</f>
        <v/>
      </c>
      <c r="L58" s="56">
        <f>IF($N58="","",INDEX('Cronograma R. Normativo'!$O$5:$O$1000,$N58)&amp;"")</f>
        <v/>
      </c>
      <c r="M58" s="62">
        <f>IF($N58="","",INDEX('Cronograma R. Normativo'!$Q$5:$Q$1000,$N58)&amp;"")</f>
        <v/>
      </c>
      <c r="N58">
        <f>IFERROR(MATCH(ROW()-4,rOrden_RN,0),"")</f>
        <v/>
      </c>
      <c r="O58">
        <f>IF($N58="","",INDEX('Cronograma R. Normativo'!$V$5:$V$1000,$N58))</f>
        <v/>
      </c>
      <c r="P58">
        <f>IF($N58="","",N(INDEX('Cronograma R. Normativo'!$W$5:$W$1000,$N58)))</f>
        <v/>
      </c>
      <c r="Q58">
        <f>IF(OR(LEFT($L58,7)="Vencida",LEFT($L58,5)="Vence"),SUMPRODUCT(--(LEFT($L$5:$L58,7)="Vencida"))+SUMPRODUCT(--(LEFT($L$5:$L58,5)="Vence")),"")</f>
        <v/>
      </c>
    </row>
    <row r="59">
      <c r="A59" s="56">
        <f>IF($N59="","",INDEX('Cronograma R. Normativo'!$A$5:$A$1000,$N59))</f>
        <v/>
      </c>
      <c r="B59" s="62">
        <f>IF($N59="","",IF($O59="Sub","      ↳  "&amp;INDEX('Cronograma R. Normativo'!$C$5:$C$1000,$N59),INDEX('Cronograma R. Normativo'!$C$5:$C$1000,$N59)&amp;""))</f>
        <v/>
      </c>
      <c r="C59" s="79">
        <f>IF($N59="","",IF(INDEX('Cronograma R. Normativo'!$AM$5:$AM$1000,$N59)="","",INDEX('Cronograma R. Normativo'!$AM$5:$AM$1000,$N59)))</f>
        <v/>
      </c>
      <c r="D59" s="79">
        <f>IF($N59="","",IF(INDEX('Cronograma R. Normativo'!$AN$5:$AN$1000,$N59)="","",INDEX('Cronograma R. Normativo'!$AN$5:$AN$1000,$N59)))</f>
        <v/>
      </c>
      <c r="E59" s="56">
        <f>IF($N59="","",IF(NOT(ISNUMBER($D59)),"",IF($D59&lt;InicioCiclo,"Antes del ciclo",IF($D59&gt;=InicioCiclo+28,"Después del ciclo","Semana "&amp;(INT(($D59-InicioCiclo)/7)+1)))))</f>
        <v/>
      </c>
      <c r="F59" s="61">
        <f>IF($N59="","",IF($P59&gt;0,IF(1&lt;=SemanaActual,INDEX('Cronograma R. Normativo'!$AC$5:$AC$1000,$N59),""),IF(INDEX('Cronograma R. Normativo'!$I$5:$I$1000,$N59)="","",INDEX('Cronograma R. Normativo'!$I$5:$I$1000,$N59))))</f>
        <v/>
      </c>
      <c r="G59" s="61">
        <f>IF($N59="","",IF($P59&gt;0,IF(2&lt;=SemanaActual,INDEX('Cronograma R. Normativo'!$AD$5:$AD$1000,$N59),""),IF(INDEX('Cronograma R. Normativo'!$J$5:$J$1000,$N59)="","",INDEX('Cronograma R. Normativo'!$J$5:$J$1000,$N59))))</f>
        <v/>
      </c>
      <c r="H59" s="61">
        <f>IF($N59="","",IF($P59&gt;0,IF(3&lt;=SemanaActual,INDEX('Cronograma R. Normativo'!$AE$5:$AE$1000,$N59),""),IF(INDEX('Cronograma R. Normativo'!$K$5:$K$1000,$N59)="","",INDEX('Cronograma R. Normativo'!$K$5:$K$1000,$N59))))</f>
        <v/>
      </c>
      <c r="I59" s="61">
        <f>IF($N59="","",IF($P59&gt;0,IF(4&lt;=SemanaActual,INDEX('Cronograma R. Normativo'!$AF$5:$AF$1000,$N59),""),IF(INDEX('Cronograma R. Normativo'!$L$5:$L$1000,$N59)="","",INDEX('Cronograma R. Normativo'!$L$5:$L$1000,$N59))))</f>
        <v/>
      </c>
      <c r="J59" s="61">
        <f>IF($N59="","",INDEX('Cronograma R. Normativo'!$M$5:$M$1000,$N59))</f>
        <v/>
      </c>
      <c r="K59" s="56">
        <f>IF($N59="","",IF(N($J59)&gt;=1,"Completado",IF(AND(ISNUMBER($D59),$D59&lt;FechaRef),"Vencida",IF(N($J59)&gt;0,"En curso","Pendiente"))))</f>
        <v/>
      </c>
      <c r="L59" s="56">
        <f>IF($N59="","",INDEX('Cronograma R. Normativo'!$O$5:$O$1000,$N59)&amp;"")</f>
        <v/>
      </c>
      <c r="M59" s="62">
        <f>IF($N59="","",INDEX('Cronograma R. Normativo'!$Q$5:$Q$1000,$N59)&amp;"")</f>
        <v/>
      </c>
      <c r="N59">
        <f>IFERROR(MATCH(ROW()-4,rOrden_RN,0),"")</f>
        <v/>
      </c>
      <c r="O59">
        <f>IF($N59="","",INDEX('Cronograma R. Normativo'!$V$5:$V$1000,$N59))</f>
        <v/>
      </c>
      <c r="P59">
        <f>IF($N59="","",N(INDEX('Cronograma R. Normativo'!$W$5:$W$1000,$N59)))</f>
        <v/>
      </c>
      <c r="Q59">
        <f>IF(OR(LEFT($L59,7)="Vencida",LEFT($L59,5)="Vence"),SUMPRODUCT(--(LEFT($L$5:$L59,7)="Vencida"))+SUMPRODUCT(--(LEFT($L$5:$L59,5)="Vence")),"")</f>
        <v/>
      </c>
    </row>
    <row r="60">
      <c r="A60" s="56">
        <f>IF($N60="","",INDEX('Cronograma R. Normativo'!$A$5:$A$1000,$N60))</f>
        <v/>
      </c>
      <c r="B60" s="62">
        <f>IF($N60="","",IF($O60="Sub","      ↳  "&amp;INDEX('Cronograma R. Normativo'!$C$5:$C$1000,$N60),INDEX('Cronograma R. Normativo'!$C$5:$C$1000,$N60)&amp;""))</f>
        <v/>
      </c>
      <c r="C60" s="79">
        <f>IF($N60="","",IF(INDEX('Cronograma R. Normativo'!$AM$5:$AM$1000,$N60)="","",INDEX('Cronograma R. Normativo'!$AM$5:$AM$1000,$N60)))</f>
        <v/>
      </c>
      <c r="D60" s="79">
        <f>IF($N60="","",IF(INDEX('Cronograma R. Normativo'!$AN$5:$AN$1000,$N60)="","",INDEX('Cronograma R. Normativo'!$AN$5:$AN$1000,$N60)))</f>
        <v/>
      </c>
      <c r="E60" s="56">
        <f>IF($N60="","",IF(NOT(ISNUMBER($D60)),"",IF($D60&lt;InicioCiclo,"Antes del ciclo",IF($D60&gt;=InicioCiclo+28,"Después del ciclo","Semana "&amp;(INT(($D60-InicioCiclo)/7)+1)))))</f>
        <v/>
      </c>
      <c r="F60" s="61">
        <f>IF($N60="","",IF($P60&gt;0,IF(1&lt;=SemanaActual,INDEX('Cronograma R. Normativo'!$AC$5:$AC$1000,$N60),""),IF(INDEX('Cronograma R. Normativo'!$I$5:$I$1000,$N60)="","",INDEX('Cronograma R. Normativo'!$I$5:$I$1000,$N60))))</f>
        <v/>
      </c>
      <c r="G60" s="61">
        <f>IF($N60="","",IF($P60&gt;0,IF(2&lt;=SemanaActual,INDEX('Cronograma R. Normativo'!$AD$5:$AD$1000,$N60),""),IF(INDEX('Cronograma R. Normativo'!$J$5:$J$1000,$N60)="","",INDEX('Cronograma R. Normativo'!$J$5:$J$1000,$N60))))</f>
        <v/>
      </c>
      <c r="H60" s="61">
        <f>IF($N60="","",IF($P60&gt;0,IF(3&lt;=SemanaActual,INDEX('Cronograma R. Normativo'!$AE$5:$AE$1000,$N60),""),IF(INDEX('Cronograma R. Normativo'!$K$5:$K$1000,$N60)="","",INDEX('Cronograma R. Normativo'!$K$5:$K$1000,$N60))))</f>
        <v/>
      </c>
      <c r="I60" s="61">
        <f>IF($N60="","",IF($P60&gt;0,IF(4&lt;=SemanaActual,INDEX('Cronograma R. Normativo'!$AF$5:$AF$1000,$N60),""),IF(INDEX('Cronograma R. Normativo'!$L$5:$L$1000,$N60)="","",INDEX('Cronograma R. Normativo'!$L$5:$L$1000,$N60))))</f>
        <v/>
      </c>
      <c r="J60" s="61">
        <f>IF($N60="","",INDEX('Cronograma R. Normativo'!$M$5:$M$1000,$N60))</f>
        <v/>
      </c>
      <c r="K60" s="56">
        <f>IF($N60="","",IF(N($J60)&gt;=1,"Completado",IF(AND(ISNUMBER($D60),$D60&lt;FechaRef),"Vencida",IF(N($J60)&gt;0,"En curso","Pendiente"))))</f>
        <v/>
      </c>
      <c r="L60" s="56">
        <f>IF($N60="","",INDEX('Cronograma R. Normativo'!$O$5:$O$1000,$N60)&amp;"")</f>
        <v/>
      </c>
      <c r="M60" s="62">
        <f>IF($N60="","",INDEX('Cronograma R. Normativo'!$Q$5:$Q$1000,$N60)&amp;"")</f>
        <v/>
      </c>
      <c r="N60">
        <f>IFERROR(MATCH(ROW()-4,rOrden_RN,0),"")</f>
        <v/>
      </c>
      <c r="O60">
        <f>IF($N60="","",INDEX('Cronograma R. Normativo'!$V$5:$V$1000,$N60))</f>
        <v/>
      </c>
      <c r="P60">
        <f>IF($N60="","",N(INDEX('Cronograma R. Normativo'!$W$5:$W$1000,$N60)))</f>
        <v/>
      </c>
      <c r="Q60">
        <f>IF(OR(LEFT($L60,7)="Vencida",LEFT($L60,5)="Vence"),SUMPRODUCT(--(LEFT($L$5:$L60,7)="Vencida"))+SUMPRODUCT(--(LEFT($L$5:$L60,5)="Vence")),"")</f>
        <v/>
      </c>
    </row>
    <row r="61">
      <c r="A61" s="56">
        <f>IF($N61="","",INDEX('Cronograma R. Normativo'!$A$5:$A$1000,$N61))</f>
        <v/>
      </c>
      <c r="B61" s="62">
        <f>IF($N61="","",IF($O61="Sub","      ↳  "&amp;INDEX('Cronograma R. Normativo'!$C$5:$C$1000,$N61),INDEX('Cronograma R. Normativo'!$C$5:$C$1000,$N61)&amp;""))</f>
        <v/>
      </c>
      <c r="C61" s="79">
        <f>IF($N61="","",IF(INDEX('Cronograma R. Normativo'!$AM$5:$AM$1000,$N61)="","",INDEX('Cronograma R. Normativo'!$AM$5:$AM$1000,$N61)))</f>
        <v/>
      </c>
      <c r="D61" s="79">
        <f>IF($N61="","",IF(INDEX('Cronograma R. Normativo'!$AN$5:$AN$1000,$N61)="","",INDEX('Cronograma R. Normativo'!$AN$5:$AN$1000,$N61)))</f>
        <v/>
      </c>
      <c r="E61" s="56">
        <f>IF($N61="","",IF(NOT(ISNUMBER($D61)),"",IF($D61&lt;InicioCiclo,"Antes del ciclo",IF($D61&gt;=InicioCiclo+28,"Después del ciclo","Semana "&amp;(INT(($D61-InicioCiclo)/7)+1)))))</f>
        <v/>
      </c>
      <c r="F61" s="61">
        <f>IF($N61="","",IF($P61&gt;0,IF(1&lt;=SemanaActual,INDEX('Cronograma R. Normativo'!$AC$5:$AC$1000,$N61),""),IF(INDEX('Cronograma R. Normativo'!$I$5:$I$1000,$N61)="","",INDEX('Cronograma R. Normativo'!$I$5:$I$1000,$N61))))</f>
        <v/>
      </c>
      <c r="G61" s="61">
        <f>IF($N61="","",IF($P61&gt;0,IF(2&lt;=SemanaActual,INDEX('Cronograma R. Normativo'!$AD$5:$AD$1000,$N61),""),IF(INDEX('Cronograma R. Normativo'!$J$5:$J$1000,$N61)="","",INDEX('Cronograma R. Normativo'!$J$5:$J$1000,$N61))))</f>
        <v/>
      </c>
      <c r="H61" s="61">
        <f>IF($N61="","",IF($P61&gt;0,IF(3&lt;=SemanaActual,INDEX('Cronograma R. Normativo'!$AE$5:$AE$1000,$N61),""),IF(INDEX('Cronograma R. Normativo'!$K$5:$K$1000,$N61)="","",INDEX('Cronograma R. Normativo'!$K$5:$K$1000,$N61))))</f>
        <v/>
      </c>
      <c r="I61" s="61">
        <f>IF($N61="","",IF($P61&gt;0,IF(4&lt;=SemanaActual,INDEX('Cronograma R. Normativo'!$AF$5:$AF$1000,$N61),""),IF(INDEX('Cronograma R. Normativo'!$L$5:$L$1000,$N61)="","",INDEX('Cronograma R. Normativo'!$L$5:$L$1000,$N61))))</f>
        <v/>
      </c>
      <c r="J61" s="61">
        <f>IF($N61="","",INDEX('Cronograma R. Normativo'!$M$5:$M$1000,$N61))</f>
        <v/>
      </c>
      <c r="K61" s="56">
        <f>IF($N61="","",IF(N($J61)&gt;=1,"Completado",IF(AND(ISNUMBER($D61),$D61&lt;FechaRef),"Vencida",IF(N($J61)&gt;0,"En curso","Pendiente"))))</f>
        <v/>
      </c>
      <c r="L61" s="56">
        <f>IF($N61="","",INDEX('Cronograma R. Normativo'!$O$5:$O$1000,$N61)&amp;"")</f>
        <v/>
      </c>
      <c r="M61" s="62">
        <f>IF($N61="","",INDEX('Cronograma R. Normativo'!$Q$5:$Q$1000,$N61)&amp;"")</f>
        <v/>
      </c>
      <c r="N61">
        <f>IFERROR(MATCH(ROW()-4,rOrden_RN,0),"")</f>
        <v/>
      </c>
      <c r="O61">
        <f>IF($N61="","",INDEX('Cronograma R. Normativo'!$V$5:$V$1000,$N61))</f>
        <v/>
      </c>
      <c r="P61">
        <f>IF($N61="","",N(INDEX('Cronograma R. Normativo'!$W$5:$W$1000,$N61)))</f>
        <v/>
      </c>
      <c r="Q61">
        <f>IF(OR(LEFT($L61,7)="Vencida",LEFT($L61,5)="Vence"),SUMPRODUCT(--(LEFT($L$5:$L61,7)="Vencida"))+SUMPRODUCT(--(LEFT($L$5:$L61,5)="Vence")),"")</f>
        <v/>
      </c>
    </row>
    <row r="62">
      <c r="A62" s="56">
        <f>IF($N62="","",INDEX('Cronograma R. Normativo'!$A$5:$A$1000,$N62))</f>
        <v/>
      </c>
      <c r="B62" s="62">
        <f>IF($N62="","",IF($O62="Sub","      ↳  "&amp;INDEX('Cronograma R. Normativo'!$C$5:$C$1000,$N62),INDEX('Cronograma R. Normativo'!$C$5:$C$1000,$N62)&amp;""))</f>
        <v/>
      </c>
      <c r="C62" s="79">
        <f>IF($N62="","",IF(INDEX('Cronograma R. Normativo'!$AM$5:$AM$1000,$N62)="","",INDEX('Cronograma R. Normativo'!$AM$5:$AM$1000,$N62)))</f>
        <v/>
      </c>
      <c r="D62" s="79">
        <f>IF($N62="","",IF(INDEX('Cronograma R. Normativo'!$AN$5:$AN$1000,$N62)="","",INDEX('Cronograma R. Normativo'!$AN$5:$AN$1000,$N62)))</f>
        <v/>
      </c>
      <c r="E62" s="56">
        <f>IF($N62="","",IF(NOT(ISNUMBER($D62)),"",IF($D62&lt;InicioCiclo,"Antes del ciclo",IF($D62&gt;=InicioCiclo+28,"Después del ciclo","Semana "&amp;(INT(($D62-InicioCiclo)/7)+1)))))</f>
        <v/>
      </c>
      <c r="F62" s="61">
        <f>IF($N62="","",IF($P62&gt;0,IF(1&lt;=SemanaActual,INDEX('Cronograma R. Normativo'!$AC$5:$AC$1000,$N62),""),IF(INDEX('Cronograma R. Normativo'!$I$5:$I$1000,$N62)="","",INDEX('Cronograma R. Normativo'!$I$5:$I$1000,$N62))))</f>
        <v/>
      </c>
      <c r="G62" s="61">
        <f>IF($N62="","",IF($P62&gt;0,IF(2&lt;=SemanaActual,INDEX('Cronograma R. Normativo'!$AD$5:$AD$1000,$N62),""),IF(INDEX('Cronograma R. Normativo'!$J$5:$J$1000,$N62)="","",INDEX('Cronograma R. Normativo'!$J$5:$J$1000,$N62))))</f>
        <v/>
      </c>
      <c r="H62" s="61">
        <f>IF($N62="","",IF($P62&gt;0,IF(3&lt;=SemanaActual,INDEX('Cronograma R. Normativo'!$AE$5:$AE$1000,$N62),""),IF(INDEX('Cronograma R. Normativo'!$K$5:$K$1000,$N62)="","",INDEX('Cronograma R. Normativo'!$K$5:$K$1000,$N62))))</f>
        <v/>
      </c>
      <c r="I62" s="61">
        <f>IF($N62="","",IF($P62&gt;0,IF(4&lt;=SemanaActual,INDEX('Cronograma R. Normativo'!$AF$5:$AF$1000,$N62),""),IF(INDEX('Cronograma R. Normativo'!$L$5:$L$1000,$N62)="","",INDEX('Cronograma R. Normativo'!$L$5:$L$1000,$N62))))</f>
        <v/>
      </c>
      <c r="J62" s="61">
        <f>IF($N62="","",INDEX('Cronograma R. Normativo'!$M$5:$M$1000,$N62))</f>
        <v/>
      </c>
      <c r="K62" s="56">
        <f>IF($N62="","",IF(N($J62)&gt;=1,"Completado",IF(AND(ISNUMBER($D62),$D62&lt;FechaRef),"Vencida",IF(N($J62)&gt;0,"En curso","Pendiente"))))</f>
        <v/>
      </c>
      <c r="L62" s="56">
        <f>IF($N62="","",INDEX('Cronograma R. Normativo'!$O$5:$O$1000,$N62)&amp;"")</f>
        <v/>
      </c>
      <c r="M62" s="62">
        <f>IF($N62="","",INDEX('Cronograma R. Normativo'!$Q$5:$Q$1000,$N62)&amp;"")</f>
        <v/>
      </c>
      <c r="N62">
        <f>IFERROR(MATCH(ROW()-4,rOrden_RN,0),"")</f>
        <v/>
      </c>
      <c r="O62">
        <f>IF($N62="","",INDEX('Cronograma R. Normativo'!$V$5:$V$1000,$N62))</f>
        <v/>
      </c>
      <c r="P62">
        <f>IF($N62="","",N(INDEX('Cronograma R. Normativo'!$W$5:$W$1000,$N62)))</f>
        <v/>
      </c>
      <c r="Q62">
        <f>IF(OR(LEFT($L62,7)="Vencida",LEFT($L62,5)="Vence"),SUMPRODUCT(--(LEFT($L$5:$L62,7)="Vencida"))+SUMPRODUCT(--(LEFT($L$5:$L62,5)="Vence")),"")</f>
        <v/>
      </c>
    </row>
    <row r="63">
      <c r="A63" s="56">
        <f>IF($N63="","",INDEX('Cronograma R. Normativo'!$A$5:$A$1000,$N63))</f>
        <v/>
      </c>
      <c r="B63" s="62">
        <f>IF($N63="","",IF($O63="Sub","      ↳  "&amp;INDEX('Cronograma R. Normativo'!$C$5:$C$1000,$N63),INDEX('Cronograma R. Normativo'!$C$5:$C$1000,$N63)&amp;""))</f>
        <v/>
      </c>
      <c r="C63" s="79">
        <f>IF($N63="","",IF(INDEX('Cronograma R. Normativo'!$AM$5:$AM$1000,$N63)="","",INDEX('Cronograma R. Normativo'!$AM$5:$AM$1000,$N63)))</f>
        <v/>
      </c>
      <c r="D63" s="79">
        <f>IF($N63="","",IF(INDEX('Cronograma R. Normativo'!$AN$5:$AN$1000,$N63)="","",INDEX('Cronograma R. Normativo'!$AN$5:$AN$1000,$N63)))</f>
        <v/>
      </c>
      <c r="E63" s="56">
        <f>IF($N63="","",IF(NOT(ISNUMBER($D63)),"",IF($D63&lt;InicioCiclo,"Antes del ciclo",IF($D63&gt;=InicioCiclo+28,"Después del ciclo","Semana "&amp;(INT(($D63-InicioCiclo)/7)+1)))))</f>
        <v/>
      </c>
      <c r="F63" s="61">
        <f>IF($N63="","",IF($P63&gt;0,IF(1&lt;=SemanaActual,INDEX('Cronograma R. Normativo'!$AC$5:$AC$1000,$N63),""),IF(INDEX('Cronograma R. Normativo'!$I$5:$I$1000,$N63)="","",INDEX('Cronograma R. Normativo'!$I$5:$I$1000,$N63))))</f>
        <v/>
      </c>
      <c r="G63" s="61">
        <f>IF($N63="","",IF($P63&gt;0,IF(2&lt;=SemanaActual,INDEX('Cronograma R. Normativo'!$AD$5:$AD$1000,$N63),""),IF(INDEX('Cronograma R. Normativo'!$J$5:$J$1000,$N63)="","",INDEX('Cronograma R. Normativo'!$J$5:$J$1000,$N63))))</f>
        <v/>
      </c>
      <c r="H63" s="61">
        <f>IF($N63="","",IF($P63&gt;0,IF(3&lt;=SemanaActual,INDEX('Cronograma R. Normativo'!$AE$5:$AE$1000,$N63),""),IF(INDEX('Cronograma R. Normativo'!$K$5:$K$1000,$N63)="","",INDEX('Cronograma R. Normativo'!$K$5:$K$1000,$N63))))</f>
        <v/>
      </c>
      <c r="I63" s="61">
        <f>IF($N63="","",IF($P63&gt;0,IF(4&lt;=SemanaActual,INDEX('Cronograma R. Normativo'!$AF$5:$AF$1000,$N63),""),IF(INDEX('Cronograma R. Normativo'!$L$5:$L$1000,$N63)="","",INDEX('Cronograma R. Normativo'!$L$5:$L$1000,$N63))))</f>
        <v/>
      </c>
      <c r="J63" s="61">
        <f>IF($N63="","",INDEX('Cronograma R. Normativo'!$M$5:$M$1000,$N63))</f>
        <v/>
      </c>
      <c r="K63" s="56">
        <f>IF($N63="","",IF(N($J63)&gt;=1,"Completado",IF(AND(ISNUMBER($D63),$D63&lt;FechaRef),"Vencida",IF(N($J63)&gt;0,"En curso","Pendiente"))))</f>
        <v/>
      </c>
      <c r="L63" s="56">
        <f>IF($N63="","",INDEX('Cronograma R. Normativo'!$O$5:$O$1000,$N63)&amp;"")</f>
        <v/>
      </c>
      <c r="M63" s="62">
        <f>IF($N63="","",INDEX('Cronograma R. Normativo'!$Q$5:$Q$1000,$N63)&amp;"")</f>
        <v/>
      </c>
      <c r="N63">
        <f>IFERROR(MATCH(ROW()-4,rOrden_RN,0),"")</f>
        <v/>
      </c>
      <c r="O63">
        <f>IF($N63="","",INDEX('Cronograma R. Normativo'!$V$5:$V$1000,$N63))</f>
        <v/>
      </c>
      <c r="P63">
        <f>IF($N63="","",N(INDEX('Cronograma R. Normativo'!$W$5:$W$1000,$N63)))</f>
        <v/>
      </c>
      <c r="Q63">
        <f>IF(OR(LEFT($L63,7)="Vencida",LEFT($L63,5)="Vence"),SUMPRODUCT(--(LEFT($L$5:$L63,7)="Vencida"))+SUMPRODUCT(--(LEFT($L$5:$L63,5)="Vence")),"")</f>
        <v/>
      </c>
    </row>
    <row r="64">
      <c r="A64" s="56">
        <f>IF($N64="","",INDEX('Cronograma R. Normativo'!$A$5:$A$1000,$N64))</f>
        <v/>
      </c>
      <c r="B64" s="62">
        <f>IF($N64="","",IF($O64="Sub","      ↳  "&amp;INDEX('Cronograma R. Normativo'!$C$5:$C$1000,$N64),INDEX('Cronograma R. Normativo'!$C$5:$C$1000,$N64)&amp;""))</f>
        <v/>
      </c>
      <c r="C64" s="79">
        <f>IF($N64="","",IF(INDEX('Cronograma R. Normativo'!$AM$5:$AM$1000,$N64)="","",INDEX('Cronograma R. Normativo'!$AM$5:$AM$1000,$N64)))</f>
        <v/>
      </c>
      <c r="D64" s="79">
        <f>IF($N64="","",IF(INDEX('Cronograma R. Normativo'!$AN$5:$AN$1000,$N64)="","",INDEX('Cronograma R. Normativo'!$AN$5:$AN$1000,$N64)))</f>
        <v/>
      </c>
      <c r="E64" s="56">
        <f>IF($N64="","",IF(NOT(ISNUMBER($D64)),"",IF($D64&lt;InicioCiclo,"Antes del ciclo",IF($D64&gt;=InicioCiclo+28,"Después del ciclo","Semana "&amp;(INT(($D64-InicioCiclo)/7)+1)))))</f>
        <v/>
      </c>
      <c r="F64" s="61">
        <f>IF($N64="","",IF($P64&gt;0,IF(1&lt;=SemanaActual,INDEX('Cronograma R. Normativo'!$AC$5:$AC$1000,$N64),""),IF(INDEX('Cronograma R. Normativo'!$I$5:$I$1000,$N64)="","",INDEX('Cronograma R. Normativo'!$I$5:$I$1000,$N64))))</f>
        <v/>
      </c>
      <c r="G64" s="61">
        <f>IF($N64="","",IF($P64&gt;0,IF(2&lt;=SemanaActual,INDEX('Cronograma R. Normativo'!$AD$5:$AD$1000,$N64),""),IF(INDEX('Cronograma R. Normativo'!$J$5:$J$1000,$N64)="","",INDEX('Cronograma R. Normativo'!$J$5:$J$1000,$N64))))</f>
        <v/>
      </c>
      <c r="H64" s="61">
        <f>IF($N64="","",IF($P64&gt;0,IF(3&lt;=SemanaActual,INDEX('Cronograma R. Normativo'!$AE$5:$AE$1000,$N64),""),IF(INDEX('Cronograma R. Normativo'!$K$5:$K$1000,$N64)="","",INDEX('Cronograma R. Normativo'!$K$5:$K$1000,$N64))))</f>
        <v/>
      </c>
      <c r="I64" s="61">
        <f>IF($N64="","",IF($P64&gt;0,IF(4&lt;=SemanaActual,INDEX('Cronograma R. Normativo'!$AF$5:$AF$1000,$N64),""),IF(INDEX('Cronograma R. Normativo'!$L$5:$L$1000,$N64)="","",INDEX('Cronograma R. Normativo'!$L$5:$L$1000,$N64))))</f>
        <v/>
      </c>
      <c r="J64" s="61">
        <f>IF($N64="","",INDEX('Cronograma R. Normativo'!$M$5:$M$1000,$N64))</f>
        <v/>
      </c>
      <c r="K64" s="56">
        <f>IF($N64="","",IF(N($J64)&gt;=1,"Completado",IF(AND(ISNUMBER($D64),$D64&lt;FechaRef),"Vencida",IF(N($J64)&gt;0,"En curso","Pendiente"))))</f>
        <v/>
      </c>
      <c r="L64" s="56">
        <f>IF($N64="","",INDEX('Cronograma R. Normativo'!$O$5:$O$1000,$N64)&amp;"")</f>
        <v/>
      </c>
      <c r="M64" s="62">
        <f>IF($N64="","",INDEX('Cronograma R. Normativo'!$Q$5:$Q$1000,$N64)&amp;"")</f>
        <v/>
      </c>
      <c r="N64">
        <f>IFERROR(MATCH(ROW()-4,rOrden_RN,0),"")</f>
        <v/>
      </c>
      <c r="O64">
        <f>IF($N64="","",INDEX('Cronograma R. Normativo'!$V$5:$V$1000,$N64))</f>
        <v/>
      </c>
      <c r="P64">
        <f>IF($N64="","",N(INDEX('Cronograma R. Normativo'!$W$5:$W$1000,$N64)))</f>
        <v/>
      </c>
      <c r="Q64">
        <f>IF(OR(LEFT($L64,7)="Vencida",LEFT($L64,5)="Vence"),SUMPRODUCT(--(LEFT($L$5:$L64,7)="Vencida"))+SUMPRODUCT(--(LEFT($L$5:$L64,5)="Vence")),"")</f>
        <v/>
      </c>
    </row>
    <row r="65">
      <c r="A65" s="56">
        <f>IF($N65="","",INDEX('Cronograma R. Normativo'!$A$5:$A$1000,$N65))</f>
        <v/>
      </c>
      <c r="B65" s="62">
        <f>IF($N65="","",IF($O65="Sub","      ↳  "&amp;INDEX('Cronograma R. Normativo'!$C$5:$C$1000,$N65),INDEX('Cronograma R. Normativo'!$C$5:$C$1000,$N65)&amp;""))</f>
        <v/>
      </c>
      <c r="C65" s="79">
        <f>IF($N65="","",IF(INDEX('Cronograma R. Normativo'!$AM$5:$AM$1000,$N65)="","",INDEX('Cronograma R. Normativo'!$AM$5:$AM$1000,$N65)))</f>
        <v/>
      </c>
      <c r="D65" s="79">
        <f>IF($N65="","",IF(INDEX('Cronograma R. Normativo'!$AN$5:$AN$1000,$N65)="","",INDEX('Cronograma R. Normativo'!$AN$5:$AN$1000,$N65)))</f>
        <v/>
      </c>
      <c r="E65" s="56">
        <f>IF($N65="","",IF(NOT(ISNUMBER($D65)),"",IF($D65&lt;InicioCiclo,"Antes del ciclo",IF($D65&gt;=InicioCiclo+28,"Después del ciclo","Semana "&amp;(INT(($D65-InicioCiclo)/7)+1)))))</f>
        <v/>
      </c>
      <c r="F65" s="61">
        <f>IF($N65="","",IF($P65&gt;0,IF(1&lt;=SemanaActual,INDEX('Cronograma R. Normativo'!$AC$5:$AC$1000,$N65),""),IF(INDEX('Cronograma R. Normativo'!$I$5:$I$1000,$N65)="","",INDEX('Cronograma R. Normativo'!$I$5:$I$1000,$N65))))</f>
        <v/>
      </c>
      <c r="G65" s="61">
        <f>IF($N65="","",IF($P65&gt;0,IF(2&lt;=SemanaActual,INDEX('Cronograma R. Normativo'!$AD$5:$AD$1000,$N65),""),IF(INDEX('Cronograma R. Normativo'!$J$5:$J$1000,$N65)="","",INDEX('Cronograma R. Normativo'!$J$5:$J$1000,$N65))))</f>
        <v/>
      </c>
      <c r="H65" s="61">
        <f>IF($N65="","",IF($P65&gt;0,IF(3&lt;=SemanaActual,INDEX('Cronograma R. Normativo'!$AE$5:$AE$1000,$N65),""),IF(INDEX('Cronograma R. Normativo'!$K$5:$K$1000,$N65)="","",INDEX('Cronograma R. Normativo'!$K$5:$K$1000,$N65))))</f>
        <v/>
      </c>
      <c r="I65" s="61">
        <f>IF($N65="","",IF($P65&gt;0,IF(4&lt;=SemanaActual,INDEX('Cronograma R. Normativo'!$AF$5:$AF$1000,$N65),""),IF(INDEX('Cronograma R. Normativo'!$L$5:$L$1000,$N65)="","",INDEX('Cronograma R. Normativo'!$L$5:$L$1000,$N65))))</f>
        <v/>
      </c>
      <c r="J65" s="61">
        <f>IF($N65="","",INDEX('Cronograma R. Normativo'!$M$5:$M$1000,$N65))</f>
        <v/>
      </c>
      <c r="K65" s="56">
        <f>IF($N65="","",IF(N($J65)&gt;=1,"Completado",IF(AND(ISNUMBER($D65),$D65&lt;FechaRef),"Vencida",IF(N($J65)&gt;0,"En curso","Pendiente"))))</f>
        <v/>
      </c>
      <c r="L65" s="56">
        <f>IF($N65="","",INDEX('Cronograma R. Normativo'!$O$5:$O$1000,$N65)&amp;"")</f>
        <v/>
      </c>
      <c r="M65" s="62">
        <f>IF($N65="","",INDEX('Cronograma R. Normativo'!$Q$5:$Q$1000,$N65)&amp;"")</f>
        <v/>
      </c>
      <c r="N65">
        <f>IFERROR(MATCH(ROW()-4,rOrden_RN,0),"")</f>
        <v/>
      </c>
      <c r="O65">
        <f>IF($N65="","",INDEX('Cronograma R. Normativo'!$V$5:$V$1000,$N65))</f>
        <v/>
      </c>
      <c r="P65">
        <f>IF($N65="","",N(INDEX('Cronograma R. Normativo'!$W$5:$W$1000,$N65)))</f>
        <v/>
      </c>
      <c r="Q65">
        <f>IF(OR(LEFT($L65,7)="Vencida",LEFT($L65,5)="Vence"),SUMPRODUCT(--(LEFT($L$5:$L65,7)="Vencida"))+SUMPRODUCT(--(LEFT($L$5:$L65,5)="Vence")),"")</f>
        <v/>
      </c>
    </row>
    <row r="66">
      <c r="A66" s="56">
        <f>IF($N66="","",INDEX('Cronograma R. Normativo'!$A$5:$A$1000,$N66))</f>
        <v/>
      </c>
      <c r="B66" s="62">
        <f>IF($N66="","",IF($O66="Sub","      ↳  "&amp;INDEX('Cronograma R. Normativo'!$C$5:$C$1000,$N66),INDEX('Cronograma R. Normativo'!$C$5:$C$1000,$N66)&amp;""))</f>
        <v/>
      </c>
      <c r="C66" s="79">
        <f>IF($N66="","",IF(INDEX('Cronograma R. Normativo'!$AM$5:$AM$1000,$N66)="","",INDEX('Cronograma R. Normativo'!$AM$5:$AM$1000,$N66)))</f>
        <v/>
      </c>
      <c r="D66" s="79">
        <f>IF($N66="","",IF(INDEX('Cronograma R. Normativo'!$AN$5:$AN$1000,$N66)="","",INDEX('Cronograma R. Normativo'!$AN$5:$AN$1000,$N66)))</f>
        <v/>
      </c>
      <c r="E66" s="56">
        <f>IF($N66="","",IF(NOT(ISNUMBER($D66)),"",IF($D66&lt;InicioCiclo,"Antes del ciclo",IF($D66&gt;=InicioCiclo+28,"Después del ciclo","Semana "&amp;(INT(($D66-InicioCiclo)/7)+1)))))</f>
        <v/>
      </c>
      <c r="F66" s="61">
        <f>IF($N66="","",IF($P66&gt;0,IF(1&lt;=SemanaActual,INDEX('Cronograma R. Normativo'!$AC$5:$AC$1000,$N66),""),IF(INDEX('Cronograma R. Normativo'!$I$5:$I$1000,$N66)="","",INDEX('Cronograma R. Normativo'!$I$5:$I$1000,$N66))))</f>
        <v/>
      </c>
      <c r="G66" s="61">
        <f>IF($N66="","",IF($P66&gt;0,IF(2&lt;=SemanaActual,INDEX('Cronograma R. Normativo'!$AD$5:$AD$1000,$N66),""),IF(INDEX('Cronograma R. Normativo'!$J$5:$J$1000,$N66)="","",INDEX('Cronograma R. Normativo'!$J$5:$J$1000,$N66))))</f>
        <v/>
      </c>
      <c r="H66" s="61">
        <f>IF($N66="","",IF($P66&gt;0,IF(3&lt;=SemanaActual,INDEX('Cronograma R. Normativo'!$AE$5:$AE$1000,$N66),""),IF(INDEX('Cronograma R. Normativo'!$K$5:$K$1000,$N66)="","",INDEX('Cronograma R. Normativo'!$K$5:$K$1000,$N66))))</f>
        <v/>
      </c>
      <c r="I66" s="61">
        <f>IF($N66="","",IF($P66&gt;0,IF(4&lt;=SemanaActual,INDEX('Cronograma R. Normativo'!$AF$5:$AF$1000,$N66),""),IF(INDEX('Cronograma R. Normativo'!$L$5:$L$1000,$N66)="","",INDEX('Cronograma R. Normativo'!$L$5:$L$1000,$N66))))</f>
        <v/>
      </c>
      <c r="J66" s="61">
        <f>IF($N66="","",INDEX('Cronograma R. Normativo'!$M$5:$M$1000,$N66))</f>
        <v/>
      </c>
      <c r="K66" s="56">
        <f>IF($N66="","",IF(N($J66)&gt;=1,"Completado",IF(AND(ISNUMBER($D66),$D66&lt;FechaRef),"Vencida",IF(N($J66)&gt;0,"En curso","Pendiente"))))</f>
        <v/>
      </c>
      <c r="L66" s="56">
        <f>IF($N66="","",INDEX('Cronograma R. Normativo'!$O$5:$O$1000,$N66)&amp;"")</f>
        <v/>
      </c>
      <c r="M66" s="62">
        <f>IF($N66="","",INDEX('Cronograma R. Normativo'!$Q$5:$Q$1000,$N66)&amp;"")</f>
        <v/>
      </c>
      <c r="N66">
        <f>IFERROR(MATCH(ROW()-4,rOrden_RN,0),"")</f>
        <v/>
      </c>
      <c r="O66">
        <f>IF($N66="","",INDEX('Cronograma R. Normativo'!$V$5:$V$1000,$N66))</f>
        <v/>
      </c>
      <c r="P66">
        <f>IF($N66="","",N(INDEX('Cronograma R. Normativo'!$W$5:$W$1000,$N66)))</f>
        <v/>
      </c>
      <c r="Q66">
        <f>IF(OR(LEFT($L66,7)="Vencida",LEFT($L66,5)="Vence"),SUMPRODUCT(--(LEFT($L$5:$L66,7)="Vencida"))+SUMPRODUCT(--(LEFT($L$5:$L66,5)="Vence")),"")</f>
        <v/>
      </c>
    </row>
    <row r="67">
      <c r="A67" s="56">
        <f>IF($N67="","",INDEX('Cronograma R. Normativo'!$A$5:$A$1000,$N67))</f>
        <v/>
      </c>
      <c r="B67" s="62">
        <f>IF($N67="","",IF($O67="Sub","      ↳  "&amp;INDEX('Cronograma R. Normativo'!$C$5:$C$1000,$N67),INDEX('Cronograma R. Normativo'!$C$5:$C$1000,$N67)&amp;""))</f>
        <v/>
      </c>
      <c r="C67" s="79">
        <f>IF($N67="","",IF(INDEX('Cronograma R. Normativo'!$AM$5:$AM$1000,$N67)="","",INDEX('Cronograma R. Normativo'!$AM$5:$AM$1000,$N67)))</f>
        <v/>
      </c>
      <c r="D67" s="79">
        <f>IF($N67="","",IF(INDEX('Cronograma R. Normativo'!$AN$5:$AN$1000,$N67)="","",INDEX('Cronograma R. Normativo'!$AN$5:$AN$1000,$N67)))</f>
        <v/>
      </c>
      <c r="E67" s="56">
        <f>IF($N67="","",IF(NOT(ISNUMBER($D67)),"",IF($D67&lt;InicioCiclo,"Antes del ciclo",IF($D67&gt;=InicioCiclo+28,"Después del ciclo","Semana "&amp;(INT(($D67-InicioCiclo)/7)+1)))))</f>
        <v/>
      </c>
      <c r="F67" s="61">
        <f>IF($N67="","",IF($P67&gt;0,IF(1&lt;=SemanaActual,INDEX('Cronograma R. Normativo'!$AC$5:$AC$1000,$N67),""),IF(INDEX('Cronograma R. Normativo'!$I$5:$I$1000,$N67)="","",INDEX('Cronograma R. Normativo'!$I$5:$I$1000,$N67))))</f>
        <v/>
      </c>
      <c r="G67" s="61">
        <f>IF($N67="","",IF($P67&gt;0,IF(2&lt;=SemanaActual,INDEX('Cronograma R. Normativo'!$AD$5:$AD$1000,$N67),""),IF(INDEX('Cronograma R. Normativo'!$J$5:$J$1000,$N67)="","",INDEX('Cronograma R. Normativo'!$J$5:$J$1000,$N67))))</f>
        <v/>
      </c>
      <c r="H67" s="61">
        <f>IF($N67="","",IF($P67&gt;0,IF(3&lt;=SemanaActual,INDEX('Cronograma R. Normativo'!$AE$5:$AE$1000,$N67),""),IF(INDEX('Cronograma R. Normativo'!$K$5:$K$1000,$N67)="","",INDEX('Cronograma R. Normativo'!$K$5:$K$1000,$N67))))</f>
        <v/>
      </c>
      <c r="I67" s="61">
        <f>IF($N67="","",IF($P67&gt;0,IF(4&lt;=SemanaActual,INDEX('Cronograma R. Normativo'!$AF$5:$AF$1000,$N67),""),IF(INDEX('Cronograma R. Normativo'!$L$5:$L$1000,$N67)="","",INDEX('Cronograma R. Normativo'!$L$5:$L$1000,$N67))))</f>
        <v/>
      </c>
      <c r="J67" s="61">
        <f>IF($N67="","",INDEX('Cronograma R. Normativo'!$M$5:$M$1000,$N67))</f>
        <v/>
      </c>
      <c r="K67" s="56">
        <f>IF($N67="","",IF(N($J67)&gt;=1,"Completado",IF(AND(ISNUMBER($D67),$D67&lt;FechaRef),"Vencida",IF(N($J67)&gt;0,"En curso","Pendiente"))))</f>
        <v/>
      </c>
      <c r="L67" s="56">
        <f>IF($N67="","",INDEX('Cronograma R. Normativo'!$O$5:$O$1000,$N67)&amp;"")</f>
        <v/>
      </c>
      <c r="M67" s="62">
        <f>IF($N67="","",INDEX('Cronograma R. Normativo'!$Q$5:$Q$1000,$N67)&amp;"")</f>
        <v/>
      </c>
      <c r="N67">
        <f>IFERROR(MATCH(ROW()-4,rOrden_RN,0),"")</f>
        <v/>
      </c>
      <c r="O67">
        <f>IF($N67="","",INDEX('Cronograma R. Normativo'!$V$5:$V$1000,$N67))</f>
        <v/>
      </c>
      <c r="P67">
        <f>IF($N67="","",N(INDEX('Cronograma R. Normativo'!$W$5:$W$1000,$N67)))</f>
        <v/>
      </c>
      <c r="Q67">
        <f>IF(OR(LEFT($L67,7)="Vencida",LEFT($L67,5)="Vence"),SUMPRODUCT(--(LEFT($L$5:$L67,7)="Vencida"))+SUMPRODUCT(--(LEFT($L$5:$L67,5)="Vence")),"")</f>
        <v/>
      </c>
    </row>
    <row r="68">
      <c r="A68" s="56">
        <f>IF($N68="","",INDEX('Cronograma R. Normativo'!$A$5:$A$1000,$N68))</f>
        <v/>
      </c>
      <c r="B68" s="62">
        <f>IF($N68="","",IF($O68="Sub","      ↳  "&amp;INDEX('Cronograma R. Normativo'!$C$5:$C$1000,$N68),INDEX('Cronograma R. Normativo'!$C$5:$C$1000,$N68)&amp;""))</f>
        <v/>
      </c>
      <c r="C68" s="79">
        <f>IF($N68="","",IF(INDEX('Cronograma R. Normativo'!$AM$5:$AM$1000,$N68)="","",INDEX('Cronograma R. Normativo'!$AM$5:$AM$1000,$N68)))</f>
        <v/>
      </c>
      <c r="D68" s="79">
        <f>IF($N68="","",IF(INDEX('Cronograma R. Normativo'!$AN$5:$AN$1000,$N68)="","",INDEX('Cronograma R. Normativo'!$AN$5:$AN$1000,$N68)))</f>
        <v/>
      </c>
      <c r="E68" s="56">
        <f>IF($N68="","",IF(NOT(ISNUMBER($D68)),"",IF($D68&lt;InicioCiclo,"Antes del ciclo",IF($D68&gt;=InicioCiclo+28,"Después del ciclo","Semana "&amp;(INT(($D68-InicioCiclo)/7)+1)))))</f>
        <v/>
      </c>
      <c r="F68" s="61">
        <f>IF($N68="","",IF($P68&gt;0,IF(1&lt;=SemanaActual,INDEX('Cronograma R. Normativo'!$AC$5:$AC$1000,$N68),""),IF(INDEX('Cronograma R. Normativo'!$I$5:$I$1000,$N68)="","",INDEX('Cronograma R. Normativo'!$I$5:$I$1000,$N68))))</f>
        <v/>
      </c>
      <c r="G68" s="61">
        <f>IF($N68="","",IF($P68&gt;0,IF(2&lt;=SemanaActual,INDEX('Cronograma R. Normativo'!$AD$5:$AD$1000,$N68),""),IF(INDEX('Cronograma R. Normativo'!$J$5:$J$1000,$N68)="","",INDEX('Cronograma R. Normativo'!$J$5:$J$1000,$N68))))</f>
        <v/>
      </c>
      <c r="H68" s="61">
        <f>IF($N68="","",IF($P68&gt;0,IF(3&lt;=SemanaActual,INDEX('Cronograma R. Normativo'!$AE$5:$AE$1000,$N68),""),IF(INDEX('Cronograma R. Normativo'!$K$5:$K$1000,$N68)="","",INDEX('Cronograma R. Normativo'!$K$5:$K$1000,$N68))))</f>
        <v/>
      </c>
      <c r="I68" s="61">
        <f>IF($N68="","",IF($P68&gt;0,IF(4&lt;=SemanaActual,INDEX('Cronograma R. Normativo'!$AF$5:$AF$1000,$N68),""),IF(INDEX('Cronograma R. Normativo'!$L$5:$L$1000,$N68)="","",INDEX('Cronograma R. Normativo'!$L$5:$L$1000,$N68))))</f>
        <v/>
      </c>
      <c r="J68" s="61">
        <f>IF($N68="","",INDEX('Cronograma R. Normativo'!$M$5:$M$1000,$N68))</f>
        <v/>
      </c>
      <c r="K68" s="56">
        <f>IF($N68="","",IF(N($J68)&gt;=1,"Completado",IF(AND(ISNUMBER($D68),$D68&lt;FechaRef),"Vencida",IF(N($J68)&gt;0,"En curso","Pendiente"))))</f>
        <v/>
      </c>
      <c r="L68" s="56">
        <f>IF($N68="","",INDEX('Cronograma R. Normativo'!$O$5:$O$1000,$N68)&amp;"")</f>
        <v/>
      </c>
      <c r="M68" s="62">
        <f>IF($N68="","",INDEX('Cronograma R. Normativo'!$Q$5:$Q$1000,$N68)&amp;"")</f>
        <v/>
      </c>
      <c r="N68">
        <f>IFERROR(MATCH(ROW()-4,rOrden_RN,0),"")</f>
        <v/>
      </c>
      <c r="O68">
        <f>IF($N68="","",INDEX('Cronograma R. Normativo'!$V$5:$V$1000,$N68))</f>
        <v/>
      </c>
      <c r="P68">
        <f>IF($N68="","",N(INDEX('Cronograma R. Normativo'!$W$5:$W$1000,$N68)))</f>
        <v/>
      </c>
      <c r="Q68">
        <f>IF(OR(LEFT($L68,7)="Vencida",LEFT($L68,5)="Vence"),SUMPRODUCT(--(LEFT($L$5:$L68,7)="Vencida"))+SUMPRODUCT(--(LEFT($L$5:$L68,5)="Vence")),"")</f>
        <v/>
      </c>
    </row>
    <row r="69">
      <c r="A69" s="56">
        <f>IF($N69="","",INDEX('Cronograma R. Normativo'!$A$5:$A$1000,$N69))</f>
        <v/>
      </c>
      <c r="B69" s="62">
        <f>IF($N69="","",IF($O69="Sub","      ↳  "&amp;INDEX('Cronograma R. Normativo'!$C$5:$C$1000,$N69),INDEX('Cronograma R. Normativo'!$C$5:$C$1000,$N69)&amp;""))</f>
        <v/>
      </c>
      <c r="C69" s="79">
        <f>IF($N69="","",IF(INDEX('Cronograma R. Normativo'!$AM$5:$AM$1000,$N69)="","",INDEX('Cronograma R. Normativo'!$AM$5:$AM$1000,$N69)))</f>
        <v/>
      </c>
      <c r="D69" s="79">
        <f>IF($N69="","",IF(INDEX('Cronograma R. Normativo'!$AN$5:$AN$1000,$N69)="","",INDEX('Cronograma R. Normativo'!$AN$5:$AN$1000,$N69)))</f>
        <v/>
      </c>
      <c r="E69" s="56">
        <f>IF($N69="","",IF(NOT(ISNUMBER($D69)),"",IF($D69&lt;InicioCiclo,"Antes del ciclo",IF($D69&gt;=InicioCiclo+28,"Después del ciclo","Semana "&amp;(INT(($D69-InicioCiclo)/7)+1)))))</f>
        <v/>
      </c>
      <c r="F69" s="61">
        <f>IF($N69="","",IF($P69&gt;0,IF(1&lt;=SemanaActual,INDEX('Cronograma R. Normativo'!$AC$5:$AC$1000,$N69),""),IF(INDEX('Cronograma R. Normativo'!$I$5:$I$1000,$N69)="","",INDEX('Cronograma R. Normativo'!$I$5:$I$1000,$N69))))</f>
        <v/>
      </c>
      <c r="G69" s="61">
        <f>IF($N69="","",IF($P69&gt;0,IF(2&lt;=SemanaActual,INDEX('Cronograma R. Normativo'!$AD$5:$AD$1000,$N69),""),IF(INDEX('Cronograma R. Normativo'!$J$5:$J$1000,$N69)="","",INDEX('Cronograma R. Normativo'!$J$5:$J$1000,$N69))))</f>
        <v/>
      </c>
      <c r="H69" s="61">
        <f>IF($N69="","",IF($P69&gt;0,IF(3&lt;=SemanaActual,INDEX('Cronograma R. Normativo'!$AE$5:$AE$1000,$N69),""),IF(INDEX('Cronograma R. Normativo'!$K$5:$K$1000,$N69)="","",INDEX('Cronograma R. Normativo'!$K$5:$K$1000,$N69))))</f>
        <v/>
      </c>
      <c r="I69" s="61">
        <f>IF($N69="","",IF($P69&gt;0,IF(4&lt;=SemanaActual,INDEX('Cronograma R. Normativo'!$AF$5:$AF$1000,$N69),""),IF(INDEX('Cronograma R. Normativo'!$L$5:$L$1000,$N69)="","",INDEX('Cronograma R. Normativo'!$L$5:$L$1000,$N69))))</f>
        <v/>
      </c>
      <c r="J69" s="61">
        <f>IF($N69="","",INDEX('Cronograma R. Normativo'!$M$5:$M$1000,$N69))</f>
        <v/>
      </c>
      <c r="K69" s="56">
        <f>IF($N69="","",IF(N($J69)&gt;=1,"Completado",IF(AND(ISNUMBER($D69),$D69&lt;FechaRef),"Vencida",IF(N($J69)&gt;0,"En curso","Pendiente"))))</f>
        <v/>
      </c>
      <c r="L69" s="56">
        <f>IF($N69="","",INDEX('Cronograma R. Normativo'!$O$5:$O$1000,$N69)&amp;"")</f>
        <v/>
      </c>
      <c r="M69" s="62">
        <f>IF($N69="","",INDEX('Cronograma R. Normativo'!$Q$5:$Q$1000,$N69)&amp;"")</f>
        <v/>
      </c>
      <c r="N69">
        <f>IFERROR(MATCH(ROW()-4,rOrden_RN,0),"")</f>
        <v/>
      </c>
      <c r="O69">
        <f>IF($N69="","",INDEX('Cronograma R. Normativo'!$V$5:$V$1000,$N69))</f>
        <v/>
      </c>
      <c r="P69">
        <f>IF($N69="","",N(INDEX('Cronograma R. Normativo'!$W$5:$W$1000,$N69)))</f>
        <v/>
      </c>
      <c r="Q69">
        <f>IF(OR(LEFT($L69,7)="Vencida",LEFT($L69,5)="Vence"),SUMPRODUCT(--(LEFT($L$5:$L69,7)="Vencida"))+SUMPRODUCT(--(LEFT($L$5:$L69,5)="Vence")),"")</f>
        <v/>
      </c>
    </row>
    <row r="70">
      <c r="A70" s="56">
        <f>IF($N70="","",INDEX('Cronograma R. Normativo'!$A$5:$A$1000,$N70))</f>
        <v/>
      </c>
      <c r="B70" s="62">
        <f>IF($N70="","",IF($O70="Sub","      ↳  "&amp;INDEX('Cronograma R. Normativo'!$C$5:$C$1000,$N70),INDEX('Cronograma R. Normativo'!$C$5:$C$1000,$N70)&amp;""))</f>
        <v/>
      </c>
      <c r="C70" s="79">
        <f>IF($N70="","",IF(INDEX('Cronograma R. Normativo'!$AM$5:$AM$1000,$N70)="","",INDEX('Cronograma R. Normativo'!$AM$5:$AM$1000,$N70)))</f>
        <v/>
      </c>
      <c r="D70" s="79">
        <f>IF($N70="","",IF(INDEX('Cronograma R. Normativo'!$AN$5:$AN$1000,$N70)="","",INDEX('Cronograma R. Normativo'!$AN$5:$AN$1000,$N70)))</f>
        <v/>
      </c>
      <c r="E70" s="56">
        <f>IF($N70="","",IF(NOT(ISNUMBER($D70)),"",IF($D70&lt;InicioCiclo,"Antes del ciclo",IF($D70&gt;=InicioCiclo+28,"Después del ciclo","Semana "&amp;(INT(($D70-InicioCiclo)/7)+1)))))</f>
        <v/>
      </c>
      <c r="F70" s="61">
        <f>IF($N70="","",IF($P70&gt;0,IF(1&lt;=SemanaActual,INDEX('Cronograma R. Normativo'!$AC$5:$AC$1000,$N70),""),IF(INDEX('Cronograma R. Normativo'!$I$5:$I$1000,$N70)="","",INDEX('Cronograma R. Normativo'!$I$5:$I$1000,$N70))))</f>
        <v/>
      </c>
      <c r="G70" s="61">
        <f>IF($N70="","",IF($P70&gt;0,IF(2&lt;=SemanaActual,INDEX('Cronograma R. Normativo'!$AD$5:$AD$1000,$N70),""),IF(INDEX('Cronograma R. Normativo'!$J$5:$J$1000,$N70)="","",INDEX('Cronograma R. Normativo'!$J$5:$J$1000,$N70))))</f>
        <v/>
      </c>
      <c r="H70" s="61">
        <f>IF($N70="","",IF($P70&gt;0,IF(3&lt;=SemanaActual,INDEX('Cronograma R. Normativo'!$AE$5:$AE$1000,$N70),""),IF(INDEX('Cronograma R. Normativo'!$K$5:$K$1000,$N70)="","",INDEX('Cronograma R. Normativo'!$K$5:$K$1000,$N70))))</f>
        <v/>
      </c>
      <c r="I70" s="61">
        <f>IF($N70="","",IF($P70&gt;0,IF(4&lt;=SemanaActual,INDEX('Cronograma R. Normativo'!$AF$5:$AF$1000,$N70),""),IF(INDEX('Cronograma R. Normativo'!$L$5:$L$1000,$N70)="","",INDEX('Cronograma R. Normativo'!$L$5:$L$1000,$N70))))</f>
        <v/>
      </c>
      <c r="J70" s="61">
        <f>IF($N70="","",INDEX('Cronograma R. Normativo'!$M$5:$M$1000,$N70))</f>
        <v/>
      </c>
      <c r="K70" s="56">
        <f>IF($N70="","",IF(N($J70)&gt;=1,"Completado",IF(AND(ISNUMBER($D70),$D70&lt;FechaRef),"Vencida",IF(N($J70)&gt;0,"En curso","Pendiente"))))</f>
        <v/>
      </c>
      <c r="L70" s="56">
        <f>IF($N70="","",INDEX('Cronograma R. Normativo'!$O$5:$O$1000,$N70)&amp;"")</f>
        <v/>
      </c>
      <c r="M70" s="62">
        <f>IF($N70="","",INDEX('Cronograma R. Normativo'!$Q$5:$Q$1000,$N70)&amp;"")</f>
        <v/>
      </c>
      <c r="N70">
        <f>IFERROR(MATCH(ROW()-4,rOrden_RN,0),"")</f>
        <v/>
      </c>
      <c r="O70">
        <f>IF($N70="","",INDEX('Cronograma R. Normativo'!$V$5:$V$1000,$N70))</f>
        <v/>
      </c>
      <c r="P70">
        <f>IF($N70="","",N(INDEX('Cronograma R. Normativo'!$W$5:$W$1000,$N70)))</f>
        <v/>
      </c>
      <c r="Q70">
        <f>IF(OR(LEFT($L70,7)="Vencida",LEFT($L70,5)="Vence"),SUMPRODUCT(--(LEFT($L$5:$L70,7)="Vencida"))+SUMPRODUCT(--(LEFT($L$5:$L70,5)="Vence")),"")</f>
        <v/>
      </c>
    </row>
    <row r="71">
      <c r="A71" s="56">
        <f>IF($N71="","",INDEX('Cronograma R. Normativo'!$A$5:$A$1000,$N71))</f>
        <v/>
      </c>
      <c r="B71" s="62">
        <f>IF($N71="","",IF($O71="Sub","      ↳  "&amp;INDEX('Cronograma R. Normativo'!$C$5:$C$1000,$N71),INDEX('Cronograma R. Normativo'!$C$5:$C$1000,$N71)&amp;""))</f>
        <v/>
      </c>
      <c r="C71" s="79">
        <f>IF($N71="","",IF(INDEX('Cronograma R. Normativo'!$AM$5:$AM$1000,$N71)="","",INDEX('Cronograma R. Normativo'!$AM$5:$AM$1000,$N71)))</f>
        <v/>
      </c>
      <c r="D71" s="79">
        <f>IF($N71="","",IF(INDEX('Cronograma R. Normativo'!$AN$5:$AN$1000,$N71)="","",INDEX('Cronograma R. Normativo'!$AN$5:$AN$1000,$N71)))</f>
        <v/>
      </c>
      <c r="E71" s="56">
        <f>IF($N71="","",IF(NOT(ISNUMBER($D71)),"",IF($D71&lt;InicioCiclo,"Antes del ciclo",IF($D71&gt;=InicioCiclo+28,"Después del ciclo","Semana "&amp;(INT(($D71-InicioCiclo)/7)+1)))))</f>
        <v/>
      </c>
      <c r="F71" s="61">
        <f>IF($N71="","",IF($P71&gt;0,IF(1&lt;=SemanaActual,INDEX('Cronograma R. Normativo'!$AC$5:$AC$1000,$N71),""),IF(INDEX('Cronograma R. Normativo'!$I$5:$I$1000,$N71)="","",INDEX('Cronograma R. Normativo'!$I$5:$I$1000,$N71))))</f>
        <v/>
      </c>
      <c r="G71" s="61">
        <f>IF($N71="","",IF($P71&gt;0,IF(2&lt;=SemanaActual,INDEX('Cronograma R. Normativo'!$AD$5:$AD$1000,$N71),""),IF(INDEX('Cronograma R. Normativo'!$J$5:$J$1000,$N71)="","",INDEX('Cronograma R. Normativo'!$J$5:$J$1000,$N71))))</f>
        <v/>
      </c>
      <c r="H71" s="61">
        <f>IF($N71="","",IF($P71&gt;0,IF(3&lt;=SemanaActual,INDEX('Cronograma R. Normativo'!$AE$5:$AE$1000,$N71),""),IF(INDEX('Cronograma R. Normativo'!$K$5:$K$1000,$N71)="","",INDEX('Cronograma R. Normativo'!$K$5:$K$1000,$N71))))</f>
        <v/>
      </c>
      <c r="I71" s="61">
        <f>IF($N71="","",IF($P71&gt;0,IF(4&lt;=SemanaActual,INDEX('Cronograma R. Normativo'!$AF$5:$AF$1000,$N71),""),IF(INDEX('Cronograma R. Normativo'!$L$5:$L$1000,$N71)="","",INDEX('Cronograma R. Normativo'!$L$5:$L$1000,$N71))))</f>
        <v/>
      </c>
      <c r="J71" s="61">
        <f>IF($N71="","",INDEX('Cronograma R. Normativo'!$M$5:$M$1000,$N71))</f>
        <v/>
      </c>
      <c r="K71" s="56">
        <f>IF($N71="","",IF(N($J71)&gt;=1,"Completado",IF(AND(ISNUMBER($D71),$D71&lt;FechaRef),"Vencida",IF(N($J71)&gt;0,"En curso","Pendiente"))))</f>
        <v/>
      </c>
      <c r="L71" s="56">
        <f>IF($N71="","",INDEX('Cronograma R. Normativo'!$O$5:$O$1000,$N71)&amp;"")</f>
        <v/>
      </c>
      <c r="M71" s="62">
        <f>IF($N71="","",INDEX('Cronograma R. Normativo'!$Q$5:$Q$1000,$N71)&amp;"")</f>
        <v/>
      </c>
      <c r="N71">
        <f>IFERROR(MATCH(ROW()-4,rOrden_RN,0),"")</f>
        <v/>
      </c>
      <c r="O71">
        <f>IF($N71="","",INDEX('Cronograma R. Normativo'!$V$5:$V$1000,$N71))</f>
        <v/>
      </c>
      <c r="P71">
        <f>IF($N71="","",N(INDEX('Cronograma R. Normativo'!$W$5:$W$1000,$N71)))</f>
        <v/>
      </c>
      <c r="Q71">
        <f>IF(OR(LEFT($L71,7)="Vencida",LEFT($L71,5)="Vence"),SUMPRODUCT(--(LEFT($L$5:$L71,7)="Vencida"))+SUMPRODUCT(--(LEFT($L$5:$L71,5)="Vence")),"")</f>
        <v/>
      </c>
    </row>
    <row r="72">
      <c r="A72" s="56">
        <f>IF($N72="","",INDEX('Cronograma R. Normativo'!$A$5:$A$1000,$N72))</f>
        <v/>
      </c>
      <c r="B72" s="62">
        <f>IF($N72="","",IF($O72="Sub","      ↳  "&amp;INDEX('Cronograma R. Normativo'!$C$5:$C$1000,$N72),INDEX('Cronograma R. Normativo'!$C$5:$C$1000,$N72)&amp;""))</f>
        <v/>
      </c>
      <c r="C72" s="79">
        <f>IF($N72="","",IF(INDEX('Cronograma R. Normativo'!$AM$5:$AM$1000,$N72)="","",INDEX('Cronograma R. Normativo'!$AM$5:$AM$1000,$N72)))</f>
        <v/>
      </c>
      <c r="D72" s="79">
        <f>IF($N72="","",IF(INDEX('Cronograma R. Normativo'!$AN$5:$AN$1000,$N72)="","",INDEX('Cronograma R. Normativo'!$AN$5:$AN$1000,$N72)))</f>
        <v/>
      </c>
      <c r="E72" s="56">
        <f>IF($N72="","",IF(NOT(ISNUMBER($D72)),"",IF($D72&lt;InicioCiclo,"Antes del ciclo",IF($D72&gt;=InicioCiclo+28,"Después del ciclo","Semana "&amp;(INT(($D72-InicioCiclo)/7)+1)))))</f>
        <v/>
      </c>
      <c r="F72" s="61">
        <f>IF($N72="","",IF($P72&gt;0,IF(1&lt;=SemanaActual,INDEX('Cronograma R. Normativo'!$AC$5:$AC$1000,$N72),""),IF(INDEX('Cronograma R. Normativo'!$I$5:$I$1000,$N72)="","",INDEX('Cronograma R. Normativo'!$I$5:$I$1000,$N72))))</f>
        <v/>
      </c>
      <c r="G72" s="61">
        <f>IF($N72="","",IF($P72&gt;0,IF(2&lt;=SemanaActual,INDEX('Cronograma R. Normativo'!$AD$5:$AD$1000,$N72),""),IF(INDEX('Cronograma R. Normativo'!$J$5:$J$1000,$N72)="","",INDEX('Cronograma R. Normativo'!$J$5:$J$1000,$N72))))</f>
        <v/>
      </c>
      <c r="H72" s="61">
        <f>IF($N72="","",IF($P72&gt;0,IF(3&lt;=SemanaActual,INDEX('Cronograma R. Normativo'!$AE$5:$AE$1000,$N72),""),IF(INDEX('Cronograma R. Normativo'!$K$5:$K$1000,$N72)="","",INDEX('Cronograma R. Normativo'!$K$5:$K$1000,$N72))))</f>
        <v/>
      </c>
      <c r="I72" s="61">
        <f>IF($N72="","",IF($P72&gt;0,IF(4&lt;=SemanaActual,INDEX('Cronograma R. Normativo'!$AF$5:$AF$1000,$N72),""),IF(INDEX('Cronograma R. Normativo'!$L$5:$L$1000,$N72)="","",INDEX('Cronograma R. Normativo'!$L$5:$L$1000,$N72))))</f>
        <v/>
      </c>
      <c r="J72" s="61">
        <f>IF($N72="","",INDEX('Cronograma R. Normativo'!$M$5:$M$1000,$N72))</f>
        <v/>
      </c>
      <c r="K72" s="56">
        <f>IF($N72="","",IF(N($J72)&gt;=1,"Completado",IF(AND(ISNUMBER($D72),$D72&lt;FechaRef),"Vencida",IF(N($J72)&gt;0,"En curso","Pendiente"))))</f>
        <v/>
      </c>
      <c r="L72" s="56">
        <f>IF($N72="","",INDEX('Cronograma R. Normativo'!$O$5:$O$1000,$N72)&amp;"")</f>
        <v/>
      </c>
      <c r="M72" s="62">
        <f>IF($N72="","",INDEX('Cronograma R. Normativo'!$Q$5:$Q$1000,$N72)&amp;"")</f>
        <v/>
      </c>
      <c r="N72">
        <f>IFERROR(MATCH(ROW()-4,rOrden_RN,0),"")</f>
        <v/>
      </c>
      <c r="O72">
        <f>IF($N72="","",INDEX('Cronograma R. Normativo'!$V$5:$V$1000,$N72))</f>
        <v/>
      </c>
      <c r="P72">
        <f>IF($N72="","",N(INDEX('Cronograma R. Normativo'!$W$5:$W$1000,$N72)))</f>
        <v/>
      </c>
      <c r="Q72">
        <f>IF(OR(LEFT($L72,7)="Vencida",LEFT($L72,5)="Vence"),SUMPRODUCT(--(LEFT($L$5:$L72,7)="Vencida"))+SUMPRODUCT(--(LEFT($L$5:$L72,5)="Vence")),"")</f>
        <v/>
      </c>
    </row>
    <row r="73">
      <c r="A73" s="56">
        <f>IF($N73="","",INDEX('Cronograma R. Normativo'!$A$5:$A$1000,$N73))</f>
        <v/>
      </c>
      <c r="B73" s="62">
        <f>IF($N73="","",IF($O73="Sub","      ↳  "&amp;INDEX('Cronograma R. Normativo'!$C$5:$C$1000,$N73),INDEX('Cronograma R. Normativo'!$C$5:$C$1000,$N73)&amp;""))</f>
        <v/>
      </c>
      <c r="C73" s="79">
        <f>IF($N73="","",IF(INDEX('Cronograma R. Normativo'!$AM$5:$AM$1000,$N73)="","",INDEX('Cronograma R. Normativo'!$AM$5:$AM$1000,$N73)))</f>
        <v/>
      </c>
      <c r="D73" s="79">
        <f>IF($N73="","",IF(INDEX('Cronograma R. Normativo'!$AN$5:$AN$1000,$N73)="","",INDEX('Cronograma R. Normativo'!$AN$5:$AN$1000,$N73)))</f>
        <v/>
      </c>
      <c r="E73" s="56">
        <f>IF($N73="","",IF(NOT(ISNUMBER($D73)),"",IF($D73&lt;InicioCiclo,"Antes del ciclo",IF($D73&gt;=InicioCiclo+28,"Después del ciclo","Semana "&amp;(INT(($D73-InicioCiclo)/7)+1)))))</f>
        <v/>
      </c>
      <c r="F73" s="61">
        <f>IF($N73="","",IF($P73&gt;0,IF(1&lt;=SemanaActual,INDEX('Cronograma R. Normativo'!$AC$5:$AC$1000,$N73),""),IF(INDEX('Cronograma R. Normativo'!$I$5:$I$1000,$N73)="","",INDEX('Cronograma R. Normativo'!$I$5:$I$1000,$N73))))</f>
        <v/>
      </c>
      <c r="G73" s="61">
        <f>IF($N73="","",IF($P73&gt;0,IF(2&lt;=SemanaActual,INDEX('Cronograma R. Normativo'!$AD$5:$AD$1000,$N73),""),IF(INDEX('Cronograma R. Normativo'!$J$5:$J$1000,$N73)="","",INDEX('Cronograma R. Normativo'!$J$5:$J$1000,$N73))))</f>
        <v/>
      </c>
      <c r="H73" s="61">
        <f>IF($N73="","",IF($P73&gt;0,IF(3&lt;=SemanaActual,INDEX('Cronograma R. Normativo'!$AE$5:$AE$1000,$N73),""),IF(INDEX('Cronograma R. Normativo'!$K$5:$K$1000,$N73)="","",INDEX('Cronograma R. Normativo'!$K$5:$K$1000,$N73))))</f>
        <v/>
      </c>
      <c r="I73" s="61">
        <f>IF($N73="","",IF($P73&gt;0,IF(4&lt;=SemanaActual,INDEX('Cronograma R. Normativo'!$AF$5:$AF$1000,$N73),""),IF(INDEX('Cronograma R. Normativo'!$L$5:$L$1000,$N73)="","",INDEX('Cronograma R. Normativo'!$L$5:$L$1000,$N73))))</f>
        <v/>
      </c>
      <c r="J73" s="61">
        <f>IF($N73="","",INDEX('Cronograma R. Normativo'!$M$5:$M$1000,$N73))</f>
        <v/>
      </c>
      <c r="K73" s="56">
        <f>IF($N73="","",IF(N($J73)&gt;=1,"Completado",IF(AND(ISNUMBER($D73),$D73&lt;FechaRef),"Vencida",IF(N($J73)&gt;0,"En curso","Pendiente"))))</f>
        <v/>
      </c>
      <c r="L73" s="56">
        <f>IF($N73="","",INDEX('Cronograma R. Normativo'!$O$5:$O$1000,$N73)&amp;"")</f>
        <v/>
      </c>
      <c r="M73" s="62">
        <f>IF($N73="","",INDEX('Cronograma R. Normativo'!$Q$5:$Q$1000,$N73)&amp;"")</f>
        <v/>
      </c>
      <c r="N73">
        <f>IFERROR(MATCH(ROW()-4,rOrden_RN,0),"")</f>
        <v/>
      </c>
      <c r="O73">
        <f>IF($N73="","",INDEX('Cronograma R. Normativo'!$V$5:$V$1000,$N73))</f>
        <v/>
      </c>
      <c r="P73">
        <f>IF($N73="","",N(INDEX('Cronograma R. Normativo'!$W$5:$W$1000,$N73)))</f>
        <v/>
      </c>
      <c r="Q73">
        <f>IF(OR(LEFT($L73,7)="Vencida",LEFT($L73,5)="Vence"),SUMPRODUCT(--(LEFT($L$5:$L73,7)="Vencida"))+SUMPRODUCT(--(LEFT($L$5:$L73,5)="Vence")),"")</f>
        <v/>
      </c>
    </row>
    <row r="74">
      <c r="A74" s="56">
        <f>IF($N74="","",INDEX('Cronograma R. Normativo'!$A$5:$A$1000,$N74))</f>
        <v/>
      </c>
      <c r="B74" s="62">
        <f>IF($N74="","",IF($O74="Sub","      ↳  "&amp;INDEX('Cronograma R. Normativo'!$C$5:$C$1000,$N74),INDEX('Cronograma R. Normativo'!$C$5:$C$1000,$N74)&amp;""))</f>
        <v/>
      </c>
      <c r="C74" s="79">
        <f>IF($N74="","",IF(INDEX('Cronograma R. Normativo'!$AM$5:$AM$1000,$N74)="","",INDEX('Cronograma R. Normativo'!$AM$5:$AM$1000,$N74)))</f>
        <v/>
      </c>
      <c r="D74" s="79">
        <f>IF($N74="","",IF(INDEX('Cronograma R. Normativo'!$AN$5:$AN$1000,$N74)="","",INDEX('Cronograma R. Normativo'!$AN$5:$AN$1000,$N74)))</f>
        <v/>
      </c>
      <c r="E74" s="56">
        <f>IF($N74="","",IF(NOT(ISNUMBER($D74)),"",IF($D74&lt;InicioCiclo,"Antes del ciclo",IF($D74&gt;=InicioCiclo+28,"Después del ciclo","Semana "&amp;(INT(($D74-InicioCiclo)/7)+1)))))</f>
        <v/>
      </c>
      <c r="F74" s="61">
        <f>IF($N74="","",IF($P74&gt;0,IF(1&lt;=SemanaActual,INDEX('Cronograma R. Normativo'!$AC$5:$AC$1000,$N74),""),IF(INDEX('Cronograma R. Normativo'!$I$5:$I$1000,$N74)="","",INDEX('Cronograma R. Normativo'!$I$5:$I$1000,$N74))))</f>
        <v/>
      </c>
      <c r="G74" s="61">
        <f>IF($N74="","",IF($P74&gt;0,IF(2&lt;=SemanaActual,INDEX('Cronograma R. Normativo'!$AD$5:$AD$1000,$N74),""),IF(INDEX('Cronograma R. Normativo'!$J$5:$J$1000,$N74)="","",INDEX('Cronograma R. Normativo'!$J$5:$J$1000,$N74))))</f>
        <v/>
      </c>
      <c r="H74" s="61">
        <f>IF($N74="","",IF($P74&gt;0,IF(3&lt;=SemanaActual,INDEX('Cronograma R. Normativo'!$AE$5:$AE$1000,$N74),""),IF(INDEX('Cronograma R. Normativo'!$K$5:$K$1000,$N74)="","",INDEX('Cronograma R. Normativo'!$K$5:$K$1000,$N74))))</f>
        <v/>
      </c>
      <c r="I74" s="61">
        <f>IF($N74="","",IF($P74&gt;0,IF(4&lt;=SemanaActual,INDEX('Cronograma R. Normativo'!$AF$5:$AF$1000,$N74),""),IF(INDEX('Cronograma R. Normativo'!$L$5:$L$1000,$N74)="","",INDEX('Cronograma R. Normativo'!$L$5:$L$1000,$N74))))</f>
        <v/>
      </c>
      <c r="J74" s="61">
        <f>IF($N74="","",INDEX('Cronograma R. Normativo'!$M$5:$M$1000,$N74))</f>
        <v/>
      </c>
      <c r="K74" s="56">
        <f>IF($N74="","",IF(N($J74)&gt;=1,"Completado",IF(AND(ISNUMBER($D74),$D74&lt;FechaRef),"Vencida",IF(N($J74)&gt;0,"En curso","Pendiente"))))</f>
        <v/>
      </c>
      <c r="L74" s="56">
        <f>IF($N74="","",INDEX('Cronograma R. Normativo'!$O$5:$O$1000,$N74)&amp;"")</f>
        <v/>
      </c>
      <c r="M74" s="62">
        <f>IF($N74="","",INDEX('Cronograma R. Normativo'!$Q$5:$Q$1000,$N74)&amp;"")</f>
        <v/>
      </c>
      <c r="N74">
        <f>IFERROR(MATCH(ROW()-4,rOrden_RN,0),"")</f>
        <v/>
      </c>
      <c r="O74">
        <f>IF($N74="","",INDEX('Cronograma R. Normativo'!$V$5:$V$1000,$N74))</f>
        <v/>
      </c>
      <c r="P74">
        <f>IF($N74="","",N(INDEX('Cronograma R. Normativo'!$W$5:$W$1000,$N74)))</f>
        <v/>
      </c>
      <c r="Q74">
        <f>IF(OR(LEFT($L74,7)="Vencida",LEFT($L74,5)="Vence"),SUMPRODUCT(--(LEFT($L$5:$L74,7)="Vencida"))+SUMPRODUCT(--(LEFT($L$5:$L74,5)="Vence")),"")</f>
        <v/>
      </c>
    </row>
    <row r="75">
      <c r="A75" s="56">
        <f>IF($N75="","",INDEX('Cronograma R. Normativo'!$A$5:$A$1000,$N75))</f>
        <v/>
      </c>
      <c r="B75" s="62">
        <f>IF($N75="","",IF($O75="Sub","      ↳  "&amp;INDEX('Cronograma R. Normativo'!$C$5:$C$1000,$N75),INDEX('Cronograma R. Normativo'!$C$5:$C$1000,$N75)&amp;""))</f>
        <v/>
      </c>
      <c r="C75" s="79">
        <f>IF($N75="","",IF(INDEX('Cronograma R. Normativo'!$AM$5:$AM$1000,$N75)="","",INDEX('Cronograma R. Normativo'!$AM$5:$AM$1000,$N75)))</f>
        <v/>
      </c>
      <c r="D75" s="79">
        <f>IF($N75="","",IF(INDEX('Cronograma R. Normativo'!$AN$5:$AN$1000,$N75)="","",INDEX('Cronograma R. Normativo'!$AN$5:$AN$1000,$N75)))</f>
        <v/>
      </c>
      <c r="E75" s="56">
        <f>IF($N75="","",IF(NOT(ISNUMBER($D75)),"",IF($D75&lt;InicioCiclo,"Antes del ciclo",IF($D75&gt;=InicioCiclo+28,"Después del ciclo","Semana "&amp;(INT(($D75-InicioCiclo)/7)+1)))))</f>
        <v/>
      </c>
      <c r="F75" s="61">
        <f>IF($N75="","",IF($P75&gt;0,IF(1&lt;=SemanaActual,INDEX('Cronograma R. Normativo'!$AC$5:$AC$1000,$N75),""),IF(INDEX('Cronograma R. Normativo'!$I$5:$I$1000,$N75)="","",INDEX('Cronograma R. Normativo'!$I$5:$I$1000,$N75))))</f>
        <v/>
      </c>
      <c r="G75" s="61">
        <f>IF($N75="","",IF($P75&gt;0,IF(2&lt;=SemanaActual,INDEX('Cronograma R. Normativo'!$AD$5:$AD$1000,$N75),""),IF(INDEX('Cronograma R. Normativo'!$J$5:$J$1000,$N75)="","",INDEX('Cronograma R. Normativo'!$J$5:$J$1000,$N75))))</f>
        <v/>
      </c>
      <c r="H75" s="61">
        <f>IF($N75="","",IF($P75&gt;0,IF(3&lt;=SemanaActual,INDEX('Cronograma R. Normativo'!$AE$5:$AE$1000,$N75),""),IF(INDEX('Cronograma R. Normativo'!$K$5:$K$1000,$N75)="","",INDEX('Cronograma R. Normativo'!$K$5:$K$1000,$N75))))</f>
        <v/>
      </c>
      <c r="I75" s="61">
        <f>IF($N75="","",IF($P75&gt;0,IF(4&lt;=SemanaActual,INDEX('Cronograma R. Normativo'!$AF$5:$AF$1000,$N75),""),IF(INDEX('Cronograma R. Normativo'!$L$5:$L$1000,$N75)="","",INDEX('Cronograma R. Normativo'!$L$5:$L$1000,$N75))))</f>
        <v/>
      </c>
      <c r="J75" s="61">
        <f>IF($N75="","",INDEX('Cronograma R. Normativo'!$M$5:$M$1000,$N75))</f>
        <v/>
      </c>
      <c r="K75" s="56">
        <f>IF($N75="","",IF(N($J75)&gt;=1,"Completado",IF(AND(ISNUMBER($D75),$D75&lt;FechaRef),"Vencida",IF(N($J75)&gt;0,"En curso","Pendiente"))))</f>
        <v/>
      </c>
      <c r="L75" s="56">
        <f>IF($N75="","",INDEX('Cronograma R. Normativo'!$O$5:$O$1000,$N75)&amp;"")</f>
        <v/>
      </c>
      <c r="M75" s="62">
        <f>IF($N75="","",INDEX('Cronograma R. Normativo'!$Q$5:$Q$1000,$N75)&amp;"")</f>
        <v/>
      </c>
      <c r="N75">
        <f>IFERROR(MATCH(ROW()-4,rOrden_RN,0),"")</f>
        <v/>
      </c>
      <c r="O75">
        <f>IF($N75="","",INDEX('Cronograma R. Normativo'!$V$5:$V$1000,$N75))</f>
        <v/>
      </c>
      <c r="P75">
        <f>IF($N75="","",N(INDEX('Cronograma R. Normativo'!$W$5:$W$1000,$N75)))</f>
        <v/>
      </c>
      <c r="Q75">
        <f>IF(OR(LEFT($L75,7)="Vencida",LEFT($L75,5)="Vence"),SUMPRODUCT(--(LEFT($L$5:$L75,7)="Vencida"))+SUMPRODUCT(--(LEFT($L$5:$L75,5)="Vence")),"")</f>
        <v/>
      </c>
    </row>
    <row r="76">
      <c r="A76" s="56">
        <f>IF($N76="","",INDEX('Cronograma R. Normativo'!$A$5:$A$1000,$N76))</f>
        <v/>
      </c>
      <c r="B76" s="62">
        <f>IF($N76="","",IF($O76="Sub","      ↳  "&amp;INDEX('Cronograma R. Normativo'!$C$5:$C$1000,$N76),INDEX('Cronograma R. Normativo'!$C$5:$C$1000,$N76)&amp;""))</f>
        <v/>
      </c>
      <c r="C76" s="79">
        <f>IF($N76="","",IF(INDEX('Cronograma R. Normativo'!$AM$5:$AM$1000,$N76)="","",INDEX('Cronograma R. Normativo'!$AM$5:$AM$1000,$N76)))</f>
        <v/>
      </c>
      <c r="D76" s="79">
        <f>IF($N76="","",IF(INDEX('Cronograma R. Normativo'!$AN$5:$AN$1000,$N76)="","",INDEX('Cronograma R. Normativo'!$AN$5:$AN$1000,$N76)))</f>
        <v/>
      </c>
      <c r="E76" s="56">
        <f>IF($N76="","",IF(NOT(ISNUMBER($D76)),"",IF($D76&lt;InicioCiclo,"Antes del ciclo",IF($D76&gt;=InicioCiclo+28,"Después del ciclo","Semana "&amp;(INT(($D76-InicioCiclo)/7)+1)))))</f>
        <v/>
      </c>
      <c r="F76" s="61">
        <f>IF($N76="","",IF($P76&gt;0,IF(1&lt;=SemanaActual,INDEX('Cronograma R. Normativo'!$AC$5:$AC$1000,$N76),""),IF(INDEX('Cronograma R. Normativo'!$I$5:$I$1000,$N76)="","",INDEX('Cronograma R. Normativo'!$I$5:$I$1000,$N76))))</f>
        <v/>
      </c>
      <c r="G76" s="61">
        <f>IF($N76="","",IF($P76&gt;0,IF(2&lt;=SemanaActual,INDEX('Cronograma R. Normativo'!$AD$5:$AD$1000,$N76),""),IF(INDEX('Cronograma R. Normativo'!$J$5:$J$1000,$N76)="","",INDEX('Cronograma R. Normativo'!$J$5:$J$1000,$N76))))</f>
        <v/>
      </c>
      <c r="H76" s="61">
        <f>IF($N76="","",IF($P76&gt;0,IF(3&lt;=SemanaActual,INDEX('Cronograma R. Normativo'!$AE$5:$AE$1000,$N76),""),IF(INDEX('Cronograma R. Normativo'!$K$5:$K$1000,$N76)="","",INDEX('Cronograma R. Normativo'!$K$5:$K$1000,$N76))))</f>
        <v/>
      </c>
      <c r="I76" s="61">
        <f>IF($N76="","",IF($P76&gt;0,IF(4&lt;=SemanaActual,INDEX('Cronograma R. Normativo'!$AF$5:$AF$1000,$N76),""),IF(INDEX('Cronograma R. Normativo'!$L$5:$L$1000,$N76)="","",INDEX('Cronograma R. Normativo'!$L$5:$L$1000,$N76))))</f>
        <v/>
      </c>
      <c r="J76" s="61">
        <f>IF($N76="","",INDEX('Cronograma R. Normativo'!$M$5:$M$1000,$N76))</f>
        <v/>
      </c>
      <c r="K76" s="56">
        <f>IF($N76="","",IF(N($J76)&gt;=1,"Completado",IF(AND(ISNUMBER($D76),$D76&lt;FechaRef),"Vencida",IF(N($J76)&gt;0,"En curso","Pendiente"))))</f>
        <v/>
      </c>
      <c r="L76" s="56">
        <f>IF($N76="","",INDEX('Cronograma R. Normativo'!$O$5:$O$1000,$N76)&amp;"")</f>
        <v/>
      </c>
      <c r="M76" s="62">
        <f>IF($N76="","",INDEX('Cronograma R. Normativo'!$Q$5:$Q$1000,$N76)&amp;"")</f>
        <v/>
      </c>
      <c r="N76">
        <f>IFERROR(MATCH(ROW()-4,rOrden_RN,0),"")</f>
        <v/>
      </c>
      <c r="O76">
        <f>IF($N76="","",INDEX('Cronograma R. Normativo'!$V$5:$V$1000,$N76))</f>
        <v/>
      </c>
      <c r="P76">
        <f>IF($N76="","",N(INDEX('Cronograma R. Normativo'!$W$5:$W$1000,$N76)))</f>
        <v/>
      </c>
      <c r="Q76">
        <f>IF(OR(LEFT($L76,7)="Vencida",LEFT($L76,5)="Vence"),SUMPRODUCT(--(LEFT($L$5:$L76,7)="Vencida"))+SUMPRODUCT(--(LEFT($L$5:$L76,5)="Vence")),"")</f>
        <v/>
      </c>
    </row>
    <row r="77">
      <c r="A77" s="56">
        <f>IF($N77="","",INDEX('Cronograma R. Normativo'!$A$5:$A$1000,$N77))</f>
        <v/>
      </c>
      <c r="B77" s="62">
        <f>IF($N77="","",IF($O77="Sub","      ↳  "&amp;INDEX('Cronograma R. Normativo'!$C$5:$C$1000,$N77),INDEX('Cronograma R. Normativo'!$C$5:$C$1000,$N77)&amp;""))</f>
        <v/>
      </c>
      <c r="C77" s="79">
        <f>IF($N77="","",IF(INDEX('Cronograma R. Normativo'!$AM$5:$AM$1000,$N77)="","",INDEX('Cronograma R. Normativo'!$AM$5:$AM$1000,$N77)))</f>
        <v/>
      </c>
      <c r="D77" s="79">
        <f>IF($N77="","",IF(INDEX('Cronograma R. Normativo'!$AN$5:$AN$1000,$N77)="","",INDEX('Cronograma R. Normativo'!$AN$5:$AN$1000,$N77)))</f>
        <v/>
      </c>
      <c r="E77" s="56">
        <f>IF($N77="","",IF(NOT(ISNUMBER($D77)),"",IF($D77&lt;InicioCiclo,"Antes del ciclo",IF($D77&gt;=InicioCiclo+28,"Después del ciclo","Semana "&amp;(INT(($D77-InicioCiclo)/7)+1)))))</f>
        <v/>
      </c>
      <c r="F77" s="61">
        <f>IF($N77="","",IF($P77&gt;0,IF(1&lt;=SemanaActual,INDEX('Cronograma R. Normativo'!$AC$5:$AC$1000,$N77),""),IF(INDEX('Cronograma R. Normativo'!$I$5:$I$1000,$N77)="","",INDEX('Cronograma R. Normativo'!$I$5:$I$1000,$N77))))</f>
        <v/>
      </c>
      <c r="G77" s="61">
        <f>IF($N77="","",IF($P77&gt;0,IF(2&lt;=SemanaActual,INDEX('Cronograma R. Normativo'!$AD$5:$AD$1000,$N77),""),IF(INDEX('Cronograma R. Normativo'!$J$5:$J$1000,$N77)="","",INDEX('Cronograma R. Normativo'!$J$5:$J$1000,$N77))))</f>
        <v/>
      </c>
      <c r="H77" s="61">
        <f>IF($N77="","",IF($P77&gt;0,IF(3&lt;=SemanaActual,INDEX('Cronograma R. Normativo'!$AE$5:$AE$1000,$N77),""),IF(INDEX('Cronograma R. Normativo'!$K$5:$K$1000,$N77)="","",INDEX('Cronograma R. Normativo'!$K$5:$K$1000,$N77))))</f>
        <v/>
      </c>
      <c r="I77" s="61">
        <f>IF($N77="","",IF($P77&gt;0,IF(4&lt;=SemanaActual,INDEX('Cronograma R. Normativo'!$AF$5:$AF$1000,$N77),""),IF(INDEX('Cronograma R. Normativo'!$L$5:$L$1000,$N77)="","",INDEX('Cronograma R. Normativo'!$L$5:$L$1000,$N77))))</f>
        <v/>
      </c>
      <c r="J77" s="61">
        <f>IF($N77="","",INDEX('Cronograma R. Normativo'!$M$5:$M$1000,$N77))</f>
        <v/>
      </c>
      <c r="K77" s="56">
        <f>IF($N77="","",IF(N($J77)&gt;=1,"Completado",IF(AND(ISNUMBER($D77),$D77&lt;FechaRef),"Vencida",IF(N($J77)&gt;0,"En curso","Pendiente"))))</f>
        <v/>
      </c>
      <c r="L77" s="56">
        <f>IF($N77="","",INDEX('Cronograma R. Normativo'!$O$5:$O$1000,$N77)&amp;"")</f>
        <v/>
      </c>
      <c r="M77" s="62">
        <f>IF($N77="","",INDEX('Cronograma R. Normativo'!$Q$5:$Q$1000,$N77)&amp;"")</f>
        <v/>
      </c>
      <c r="N77">
        <f>IFERROR(MATCH(ROW()-4,rOrden_RN,0),"")</f>
        <v/>
      </c>
      <c r="O77">
        <f>IF($N77="","",INDEX('Cronograma R. Normativo'!$V$5:$V$1000,$N77))</f>
        <v/>
      </c>
      <c r="P77">
        <f>IF($N77="","",N(INDEX('Cronograma R. Normativo'!$W$5:$W$1000,$N77)))</f>
        <v/>
      </c>
      <c r="Q77">
        <f>IF(OR(LEFT($L77,7)="Vencida",LEFT($L77,5)="Vence"),SUMPRODUCT(--(LEFT($L$5:$L77,7)="Vencida"))+SUMPRODUCT(--(LEFT($L$5:$L77,5)="Vence")),"")</f>
        <v/>
      </c>
    </row>
    <row r="78">
      <c r="A78" s="56">
        <f>IF($N78="","",INDEX('Cronograma R. Normativo'!$A$5:$A$1000,$N78))</f>
        <v/>
      </c>
      <c r="B78" s="62">
        <f>IF($N78="","",IF($O78="Sub","      ↳  "&amp;INDEX('Cronograma R. Normativo'!$C$5:$C$1000,$N78),INDEX('Cronograma R. Normativo'!$C$5:$C$1000,$N78)&amp;""))</f>
        <v/>
      </c>
      <c r="C78" s="79">
        <f>IF($N78="","",IF(INDEX('Cronograma R. Normativo'!$AM$5:$AM$1000,$N78)="","",INDEX('Cronograma R. Normativo'!$AM$5:$AM$1000,$N78)))</f>
        <v/>
      </c>
      <c r="D78" s="79">
        <f>IF($N78="","",IF(INDEX('Cronograma R. Normativo'!$AN$5:$AN$1000,$N78)="","",INDEX('Cronograma R. Normativo'!$AN$5:$AN$1000,$N78)))</f>
        <v/>
      </c>
      <c r="E78" s="56">
        <f>IF($N78="","",IF(NOT(ISNUMBER($D78)),"",IF($D78&lt;InicioCiclo,"Antes del ciclo",IF($D78&gt;=InicioCiclo+28,"Después del ciclo","Semana "&amp;(INT(($D78-InicioCiclo)/7)+1)))))</f>
        <v/>
      </c>
      <c r="F78" s="61">
        <f>IF($N78="","",IF($P78&gt;0,IF(1&lt;=SemanaActual,INDEX('Cronograma R. Normativo'!$AC$5:$AC$1000,$N78),""),IF(INDEX('Cronograma R. Normativo'!$I$5:$I$1000,$N78)="","",INDEX('Cronograma R. Normativo'!$I$5:$I$1000,$N78))))</f>
        <v/>
      </c>
      <c r="G78" s="61">
        <f>IF($N78="","",IF($P78&gt;0,IF(2&lt;=SemanaActual,INDEX('Cronograma R. Normativo'!$AD$5:$AD$1000,$N78),""),IF(INDEX('Cronograma R. Normativo'!$J$5:$J$1000,$N78)="","",INDEX('Cronograma R. Normativo'!$J$5:$J$1000,$N78))))</f>
        <v/>
      </c>
      <c r="H78" s="61">
        <f>IF($N78="","",IF($P78&gt;0,IF(3&lt;=SemanaActual,INDEX('Cronograma R. Normativo'!$AE$5:$AE$1000,$N78),""),IF(INDEX('Cronograma R. Normativo'!$K$5:$K$1000,$N78)="","",INDEX('Cronograma R. Normativo'!$K$5:$K$1000,$N78))))</f>
        <v/>
      </c>
      <c r="I78" s="61">
        <f>IF($N78="","",IF($P78&gt;0,IF(4&lt;=SemanaActual,INDEX('Cronograma R. Normativo'!$AF$5:$AF$1000,$N78),""),IF(INDEX('Cronograma R. Normativo'!$L$5:$L$1000,$N78)="","",INDEX('Cronograma R. Normativo'!$L$5:$L$1000,$N78))))</f>
        <v/>
      </c>
      <c r="J78" s="61">
        <f>IF($N78="","",INDEX('Cronograma R. Normativo'!$M$5:$M$1000,$N78))</f>
        <v/>
      </c>
      <c r="K78" s="56">
        <f>IF($N78="","",IF(N($J78)&gt;=1,"Completado",IF(AND(ISNUMBER($D78),$D78&lt;FechaRef),"Vencida",IF(N($J78)&gt;0,"En curso","Pendiente"))))</f>
        <v/>
      </c>
      <c r="L78" s="56">
        <f>IF($N78="","",INDEX('Cronograma R. Normativo'!$O$5:$O$1000,$N78)&amp;"")</f>
        <v/>
      </c>
      <c r="M78" s="62">
        <f>IF($N78="","",INDEX('Cronograma R. Normativo'!$Q$5:$Q$1000,$N78)&amp;"")</f>
        <v/>
      </c>
      <c r="N78">
        <f>IFERROR(MATCH(ROW()-4,rOrden_RN,0),"")</f>
        <v/>
      </c>
      <c r="O78">
        <f>IF($N78="","",INDEX('Cronograma R. Normativo'!$V$5:$V$1000,$N78))</f>
        <v/>
      </c>
      <c r="P78">
        <f>IF($N78="","",N(INDEX('Cronograma R. Normativo'!$W$5:$W$1000,$N78)))</f>
        <v/>
      </c>
      <c r="Q78">
        <f>IF(OR(LEFT($L78,7)="Vencida",LEFT($L78,5)="Vence"),SUMPRODUCT(--(LEFT($L$5:$L78,7)="Vencida"))+SUMPRODUCT(--(LEFT($L$5:$L78,5)="Vence")),"")</f>
        <v/>
      </c>
    </row>
    <row r="79">
      <c r="A79" s="56">
        <f>IF($N79="","",INDEX('Cronograma R. Normativo'!$A$5:$A$1000,$N79))</f>
        <v/>
      </c>
      <c r="B79" s="62">
        <f>IF($N79="","",IF($O79="Sub","      ↳  "&amp;INDEX('Cronograma R. Normativo'!$C$5:$C$1000,$N79),INDEX('Cronograma R. Normativo'!$C$5:$C$1000,$N79)&amp;""))</f>
        <v/>
      </c>
      <c r="C79" s="79">
        <f>IF($N79="","",IF(INDEX('Cronograma R. Normativo'!$AM$5:$AM$1000,$N79)="","",INDEX('Cronograma R. Normativo'!$AM$5:$AM$1000,$N79)))</f>
        <v/>
      </c>
      <c r="D79" s="79">
        <f>IF($N79="","",IF(INDEX('Cronograma R. Normativo'!$AN$5:$AN$1000,$N79)="","",INDEX('Cronograma R. Normativo'!$AN$5:$AN$1000,$N79)))</f>
        <v/>
      </c>
      <c r="E79" s="56">
        <f>IF($N79="","",IF(NOT(ISNUMBER($D79)),"",IF($D79&lt;InicioCiclo,"Antes del ciclo",IF($D79&gt;=InicioCiclo+28,"Después del ciclo","Semana "&amp;(INT(($D79-InicioCiclo)/7)+1)))))</f>
        <v/>
      </c>
      <c r="F79" s="61">
        <f>IF($N79="","",IF($P79&gt;0,IF(1&lt;=SemanaActual,INDEX('Cronograma R. Normativo'!$AC$5:$AC$1000,$N79),""),IF(INDEX('Cronograma R. Normativo'!$I$5:$I$1000,$N79)="","",INDEX('Cronograma R. Normativo'!$I$5:$I$1000,$N79))))</f>
        <v/>
      </c>
      <c r="G79" s="61">
        <f>IF($N79="","",IF($P79&gt;0,IF(2&lt;=SemanaActual,INDEX('Cronograma R. Normativo'!$AD$5:$AD$1000,$N79),""),IF(INDEX('Cronograma R. Normativo'!$J$5:$J$1000,$N79)="","",INDEX('Cronograma R. Normativo'!$J$5:$J$1000,$N79))))</f>
        <v/>
      </c>
      <c r="H79" s="61">
        <f>IF($N79="","",IF($P79&gt;0,IF(3&lt;=SemanaActual,INDEX('Cronograma R. Normativo'!$AE$5:$AE$1000,$N79),""),IF(INDEX('Cronograma R. Normativo'!$K$5:$K$1000,$N79)="","",INDEX('Cronograma R. Normativo'!$K$5:$K$1000,$N79))))</f>
        <v/>
      </c>
      <c r="I79" s="61">
        <f>IF($N79="","",IF($P79&gt;0,IF(4&lt;=SemanaActual,INDEX('Cronograma R. Normativo'!$AF$5:$AF$1000,$N79),""),IF(INDEX('Cronograma R. Normativo'!$L$5:$L$1000,$N79)="","",INDEX('Cronograma R. Normativo'!$L$5:$L$1000,$N79))))</f>
        <v/>
      </c>
      <c r="J79" s="61">
        <f>IF($N79="","",INDEX('Cronograma R. Normativo'!$M$5:$M$1000,$N79))</f>
        <v/>
      </c>
      <c r="K79" s="56">
        <f>IF($N79="","",IF(N($J79)&gt;=1,"Completado",IF(AND(ISNUMBER($D79),$D79&lt;FechaRef),"Vencida",IF(N($J79)&gt;0,"En curso","Pendiente"))))</f>
        <v/>
      </c>
      <c r="L79" s="56">
        <f>IF($N79="","",INDEX('Cronograma R. Normativo'!$O$5:$O$1000,$N79)&amp;"")</f>
        <v/>
      </c>
      <c r="M79" s="62">
        <f>IF($N79="","",INDEX('Cronograma R. Normativo'!$Q$5:$Q$1000,$N79)&amp;"")</f>
        <v/>
      </c>
      <c r="N79">
        <f>IFERROR(MATCH(ROW()-4,rOrden_RN,0),"")</f>
        <v/>
      </c>
      <c r="O79">
        <f>IF($N79="","",INDEX('Cronograma R. Normativo'!$V$5:$V$1000,$N79))</f>
        <v/>
      </c>
      <c r="P79">
        <f>IF($N79="","",N(INDEX('Cronograma R. Normativo'!$W$5:$W$1000,$N79)))</f>
        <v/>
      </c>
      <c r="Q79">
        <f>IF(OR(LEFT($L79,7)="Vencida",LEFT($L79,5)="Vence"),SUMPRODUCT(--(LEFT($L$5:$L79,7)="Vencida"))+SUMPRODUCT(--(LEFT($L$5:$L79,5)="Vence")),"")</f>
        <v/>
      </c>
    </row>
    <row r="80">
      <c r="A80" s="56">
        <f>IF($N80="","",INDEX('Cronograma R. Normativo'!$A$5:$A$1000,$N80))</f>
        <v/>
      </c>
      <c r="B80" s="62">
        <f>IF($N80="","",IF($O80="Sub","      ↳  "&amp;INDEX('Cronograma R. Normativo'!$C$5:$C$1000,$N80),INDEX('Cronograma R. Normativo'!$C$5:$C$1000,$N80)&amp;""))</f>
        <v/>
      </c>
      <c r="C80" s="79">
        <f>IF($N80="","",IF(INDEX('Cronograma R. Normativo'!$AM$5:$AM$1000,$N80)="","",INDEX('Cronograma R. Normativo'!$AM$5:$AM$1000,$N80)))</f>
        <v/>
      </c>
      <c r="D80" s="79">
        <f>IF($N80="","",IF(INDEX('Cronograma R. Normativo'!$AN$5:$AN$1000,$N80)="","",INDEX('Cronograma R. Normativo'!$AN$5:$AN$1000,$N80)))</f>
        <v/>
      </c>
      <c r="E80" s="56">
        <f>IF($N80="","",IF(NOT(ISNUMBER($D80)),"",IF($D80&lt;InicioCiclo,"Antes del ciclo",IF($D80&gt;=InicioCiclo+28,"Después del ciclo","Semana "&amp;(INT(($D80-InicioCiclo)/7)+1)))))</f>
        <v/>
      </c>
      <c r="F80" s="61">
        <f>IF($N80="","",IF($P80&gt;0,IF(1&lt;=SemanaActual,INDEX('Cronograma R. Normativo'!$AC$5:$AC$1000,$N80),""),IF(INDEX('Cronograma R. Normativo'!$I$5:$I$1000,$N80)="","",INDEX('Cronograma R. Normativo'!$I$5:$I$1000,$N80))))</f>
        <v/>
      </c>
      <c r="G80" s="61">
        <f>IF($N80="","",IF($P80&gt;0,IF(2&lt;=SemanaActual,INDEX('Cronograma R. Normativo'!$AD$5:$AD$1000,$N80),""),IF(INDEX('Cronograma R. Normativo'!$J$5:$J$1000,$N80)="","",INDEX('Cronograma R. Normativo'!$J$5:$J$1000,$N80))))</f>
        <v/>
      </c>
      <c r="H80" s="61">
        <f>IF($N80="","",IF($P80&gt;0,IF(3&lt;=SemanaActual,INDEX('Cronograma R. Normativo'!$AE$5:$AE$1000,$N80),""),IF(INDEX('Cronograma R. Normativo'!$K$5:$K$1000,$N80)="","",INDEX('Cronograma R. Normativo'!$K$5:$K$1000,$N80))))</f>
        <v/>
      </c>
      <c r="I80" s="61">
        <f>IF($N80="","",IF($P80&gt;0,IF(4&lt;=SemanaActual,INDEX('Cronograma R. Normativo'!$AF$5:$AF$1000,$N80),""),IF(INDEX('Cronograma R. Normativo'!$L$5:$L$1000,$N80)="","",INDEX('Cronograma R. Normativo'!$L$5:$L$1000,$N80))))</f>
        <v/>
      </c>
      <c r="J80" s="61">
        <f>IF($N80="","",INDEX('Cronograma R. Normativo'!$M$5:$M$1000,$N80))</f>
        <v/>
      </c>
      <c r="K80" s="56">
        <f>IF($N80="","",IF(N($J80)&gt;=1,"Completado",IF(AND(ISNUMBER($D80),$D80&lt;FechaRef),"Vencida",IF(N($J80)&gt;0,"En curso","Pendiente"))))</f>
        <v/>
      </c>
      <c r="L80" s="56">
        <f>IF($N80="","",INDEX('Cronograma R. Normativo'!$O$5:$O$1000,$N80)&amp;"")</f>
        <v/>
      </c>
      <c r="M80" s="62">
        <f>IF($N80="","",INDEX('Cronograma R. Normativo'!$Q$5:$Q$1000,$N80)&amp;"")</f>
        <v/>
      </c>
      <c r="N80">
        <f>IFERROR(MATCH(ROW()-4,rOrden_RN,0),"")</f>
        <v/>
      </c>
      <c r="O80">
        <f>IF($N80="","",INDEX('Cronograma R. Normativo'!$V$5:$V$1000,$N80))</f>
        <v/>
      </c>
      <c r="P80">
        <f>IF($N80="","",N(INDEX('Cronograma R. Normativo'!$W$5:$W$1000,$N80)))</f>
        <v/>
      </c>
      <c r="Q80">
        <f>IF(OR(LEFT($L80,7)="Vencida",LEFT($L80,5)="Vence"),SUMPRODUCT(--(LEFT($L$5:$L80,7)="Vencida"))+SUMPRODUCT(--(LEFT($L$5:$L80,5)="Vence")),"")</f>
        <v/>
      </c>
    </row>
    <row r="81">
      <c r="A81" s="56">
        <f>IF($N81="","",INDEX('Cronograma R. Normativo'!$A$5:$A$1000,$N81))</f>
        <v/>
      </c>
      <c r="B81" s="62">
        <f>IF($N81="","",IF($O81="Sub","      ↳  "&amp;INDEX('Cronograma R. Normativo'!$C$5:$C$1000,$N81),INDEX('Cronograma R. Normativo'!$C$5:$C$1000,$N81)&amp;""))</f>
        <v/>
      </c>
      <c r="C81" s="79">
        <f>IF($N81="","",IF(INDEX('Cronograma R. Normativo'!$AM$5:$AM$1000,$N81)="","",INDEX('Cronograma R. Normativo'!$AM$5:$AM$1000,$N81)))</f>
        <v/>
      </c>
      <c r="D81" s="79">
        <f>IF($N81="","",IF(INDEX('Cronograma R. Normativo'!$AN$5:$AN$1000,$N81)="","",INDEX('Cronograma R. Normativo'!$AN$5:$AN$1000,$N81)))</f>
        <v/>
      </c>
      <c r="E81" s="56">
        <f>IF($N81="","",IF(NOT(ISNUMBER($D81)),"",IF($D81&lt;InicioCiclo,"Antes del ciclo",IF($D81&gt;=InicioCiclo+28,"Después del ciclo","Semana "&amp;(INT(($D81-InicioCiclo)/7)+1)))))</f>
        <v/>
      </c>
      <c r="F81" s="61">
        <f>IF($N81="","",IF($P81&gt;0,IF(1&lt;=SemanaActual,INDEX('Cronograma R. Normativo'!$AC$5:$AC$1000,$N81),""),IF(INDEX('Cronograma R. Normativo'!$I$5:$I$1000,$N81)="","",INDEX('Cronograma R. Normativo'!$I$5:$I$1000,$N81))))</f>
        <v/>
      </c>
      <c r="G81" s="61">
        <f>IF($N81="","",IF($P81&gt;0,IF(2&lt;=SemanaActual,INDEX('Cronograma R. Normativo'!$AD$5:$AD$1000,$N81),""),IF(INDEX('Cronograma R. Normativo'!$J$5:$J$1000,$N81)="","",INDEX('Cronograma R. Normativo'!$J$5:$J$1000,$N81))))</f>
        <v/>
      </c>
      <c r="H81" s="61">
        <f>IF($N81="","",IF($P81&gt;0,IF(3&lt;=SemanaActual,INDEX('Cronograma R. Normativo'!$AE$5:$AE$1000,$N81),""),IF(INDEX('Cronograma R. Normativo'!$K$5:$K$1000,$N81)="","",INDEX('Cronograma R. Normativo'!$K$5:$K$1000,$N81))))</f>
        <v/>
      </c>
      <c r="I81" s="61">
        <f>IF($N81="","",IF($P81&gt;0,IF(4&lt;=SemanaActual,INDEX('Cronograma R. Normativo'!$AF$5:$AF$1000,$N81),""),IF(INDEX('Cronograma R. Normativo'!$L$5:$L$1000,$N81)="","",INDEX('Cronograma R. Normativo'!$L$5:$L$1000,$N81))))</f>
        <v/>
      </c>
      <c r="J81" s="61">
        <f>IF($N81="","",INDEX('Cronograma R. Normativo'!$M$5:$M$1000,$N81))</f>
        <v/>
      </c>
      <c r="K81" s="56">
        <f>IF($N81="","",IF(N($J81)&gt;=1,"Completado",IF(AND(ISNUMBER($D81),$D81&lt;FechaRef),"Vencida",IF(N($J81)&gt;0,"En curso","Pendiente"))))</f>
        <v/>
      </c>
      <c r="L81" s="56">
        <f>IF($N81="","",INDEX('Cronograma R. Normativo'!$O$5:$O$1000,$N81)&amp;"")</f>
        <v/>
      </c>
      <c r="M81" s="62">
        <f>IF($N81="","",INDEX('Cronograma R. Normativo'!$Q$5:$Q$1000,$N81)&amp;"")</f>
        <v/>
      </c>
      <c r="N81">
        <f>IFERROR(MATCH(ROW()-4,rOrden_RN,0),"")</f>
        <v/>
      </c>
      <c r="O81">
        <f>IF($N81="","",INDEX('Cronograma R. Normativo'!$V$5:$V$1000,$N81))</f>
        <v/>
      </c>
      <c r="P81">
        <f>IF($N81="","",N(INDEX('Cronograma R. Normativo'!$W$5:$W$1000,$N81)))</f>
        <v/>
      </c>
      <c r="Q81">
        <f>IF(OR(LEFT($L81,7)="Vencida",LEFT($L81,5)="Vence"),SUMPRODUCT(--(LEFT($L$5:$L81,7)="Vencida"))+SUMPRODUCT(--(LEFT($L$5:$L81,5)="Vence")),"")</f>
        <v/>
      </c>
    </row>
    <row r="82">
      <c r="A82" s="56">
        <f>IF($N82="","",INDEX('Cronograma R. Normativo'!$A$5:$A$1000,$N82))</f>
        <v/>
      </c>
      <c r="B82" s="62">
        <f>IF($N82="","",IF($O82="Sub","      ↳  "&amp;INDEX('Cronograma R. Normativo'!$C$5:$C$1000,$N82),INDEX('Cronograma R. Normativo'!$C$5:$C$1000,$N82)&amp;""))</f>
        <v/>
      </c>
      <c r="C82" s="79">
        <f>IF($N82="","",IF(INDEX('Cronograma R. Normativo'!$AM$5:$AM$1000,$N82)="","",INDEX('Cronograma R. Normativo'!$AM$5:$AM$1000,$N82)))</f>
        <v/>
      </c>
      <c r="D82" s="79">
        <f>IF($N82="","",IF(INDEX('Cronograma R. Normativo'!$AN$5:$AN$1000,$N82)="","",INDEX('Cronograma R. Normativo'!$AN$5:$AN$1000,$N82)))</f>
        <v/>
      </c>
      <c r="E82" s="56">
        <f>IF($N82="","",IF(NOT(ISNUMBER($D82)),"",IF($D82&lt;InicioCiclo,"Antes del ciclo",IF($D82&gt;=InicioCiclo+28,"Después del ciclo","Semana "&amp;(INT(($D82-InicioCiclo)/7)+1)))))</f>
        <v/>
      </c>
      <c r="F82" s="61">
        <f>IF($N82="","",IF($P82&gt;0,IF(1&lt;=SemanaActual,INDEX('Cronograma R. Normativo'!$AC$5:$AC$1000,$N82),""),IF(INDEX('Cronograma R. Normativo'!$I$5:$I$1000,$N82)="","",INDEX('Cronograma R. Normativo'!$I$5:$I$1000,$N82))))</f>
        <v/>
      </c>
      <c r="G82" s="61">
        <f>IF($N82="","",IF($P82&gt;0,IF(2&lt;=SemanaActual,INDEX('Cronograma R. Normativo'!$AD$5:$AD$1000,$N82),""),IF(INDEX('Cronograma R. Normativo'!$J$5:$J$1000,$N82)="","",INDEX('Cronograma R. Normativo'!$J$5:$J$1000,$N82))))</f>
        <v/>
      </c>
      <c r="H82" s="61">
        <f>IF($N82="","",IF($P82&gt;0,IF(3&lt;=SemanaActual,INDEX('Cronograma R. Normativo'!$AE$5:$AE$1000,$N82),""),IF(INDEX('Cronograma R. Normativo'!$K$5:$K$1000,$N82)="","",INDEX('Cronograma R. Normativo'!$K$5:$K$1000,$N82))))</f>
        <v/>
      </c>
      <c r="I82" s="61">
        <f>IF($N82="","",IF($P82&gt;0,IF(4&lt;=SemanaActual,INDEX('Cronograma R. Normativo'!$AF$5:$AF$1000,$N82),""),IF(INDEX('Cronograma R. Normativo'!$L$5:$L$1000,$N82)="","",INDEX('Cronograma R. Normativo'!$L$5:$L$1000,$N82))))</f>
        <v/>
      </c>
      <c r="J82" s="61">
        <f>IF($N82="","",INDEX('Cronograma R. Normativo'!$M$5:$M$1000,$N82))</f>
        <v/>
      </c>
      <c r="K82" s="56">
        <f>IF($N82="","",IF(N($J82)&gt;=1,"Completado",IF(AND(ISNUMBER($D82),$D82&lt;FechaRef),"Vencida",IF(N($J82)&gt;0,"En curso","Pendiente"))))</f>
        <v/>
      </c>
      <c r="L82" s="56">
        <f>IF($N82="","",INDEX('Cronograma R. Normativo'!$O$5:$O$1000,$N82)&amp;"")</f>
        <v/>
      </c>
      <c r="M82" s="62">
        <f>IF($N82="","",INDEX('Cronograma R. Normativo'!$Q$5:$Q$1000,$N82)&amp;"")</f>
        <v/>
      </c>
      <c r="N82">
        <f>IFERROR(MATCH(ROW()-4,rOrden_RN,0),"")</f>
        <v/>
      </c>
      <c r="O82">
        <f>IF($N82="","",INDEX('Cronograma R. Normativo'!$V$5:$V$1000,$N82))</f>
        <v/>
      </c>
      <c r="P82">
        <f>IF($N82="","",N(INDEX('Cronograma R. Normativo'!$W$5:$W$1000,$N82)))</f>
        <v/>
      </c>
      <c r="Q82">
        <f>IF(OR(LEFT($L82,7)="Vencida",LEFT($L82,5)="Vence"),SUMPRODUCT(--(LEFT($L$5:$L82,7)="Vencida"))+SUMPRODUCT(--(LEFT($L$5:$L82,5)="Vence")),"")</f>
        <v/>
      </c>
    </row>
    <row r="83">
      <c r="A83" s="56">
        <f>IF($N83="","",INDEX('Cronograma R. Normativo'!$A$5:$A$1000,$N83))</f>
        <v/>
      </c>
      <c r="B83" s="62">
        <f>IF($N83="","",IF($O83="Sub","      ↳  "&amp;INDEX('Cronograma R. Normativo'!$C$5:$C$1000,$N83),INDEX('Cronograma R. Normativo'!$C$5:$C$1000,$N83)&amp;""))</f>
        <v/>
      </c>
      <c r="C83" s="79">
        <f>IF($N83="","",IF(INDEX('Cronograma R. Normativo'!$AM$5:$AM$1000,$N83)="","",INDEX('Cronograma R. Normativo'!$AM$5:$AM$1000,$N83)))</f>
        <v/>
      </c>
      <c r="D83" s="79">
        <f>IF($N83="","",IF(INDEX('Cronograma R. Normativo'!$AN$5:$AN$1000,$N83)="","",INDEX('Cronograma R. Normativo'!$AN$5:$AN$1000,$N83)))</f>
        <v/>
      </c>
      <c r="E83" s="56">
        <f>IF($N83="","",IF(NOT(ISNUMBER($D83)),"",IF($D83&lt;InicioCiclo,"Antes del ciclo",IF($D83&gt;=InicioCiclo+28,"Después del ciclo","Semana "&amp;(INT(($D83-InicioCiclo)/7)+1)))))</f>
        <v/>
      </c>
      <c r="F83" s="61">
        <f>IF($N83="","",IF($P83&gt;0,IF(1&lt;=SemanaActual,INDEX('Cronograma R. Normativo'!$AC$5:$AC$1000,$N83),""),IF(INDEX('Cronograma R. Normativo'!$I$5:$I$1000,$N83)="","",INDEX('Cronograma R. Normativo'!$I$5:$I$1000,$N83))))</f>
        <v/>
      </c>
      <c r="G83" s="61">
        <f>IF($N83="","",IF($P83&gt;0,IF(2&lt;=SemanaActual,INDEX('Cronograma R. Normativo'!$AD$5:$AD$1000,$N83),""),IF(INDEX('Cronograma R. Normativo'!$J$5:$J$1000,$N83)="","",INDEX('Cronograma R. Normativo'!$J$5:$J$1000,$N83))))</f>
        <v/>
      </c>
      <c r="H83" s="61">
        <f>IF($N83="","",IF($P83&gt;0,IF(3&lt;=SemanaActual,INDEX('Cronograma R. Normativo'!$AE$5:$AE$1000,$N83),""),IF(INDEX('Cronograma R. Normativo'!$K$5:$K$1000,$N83)="","",INDEX('Cronograma R. Normativo'!$K$5:$K$1000,$N83))))</f>
        <v/>
      </c>
      <c r="I83" s="61">
        <f>IF($N83="","",IF($P83&gt;0,IF(4&lt;=SemanaActual,INDEX('Cronograma R. Normativo'!$AF$5:$AF$1000,$N83),""),IF(INDEX('Cronograma R. Normativo'!$L$5:$L$1000,$N83)="","",INDEX('Cronograma R. Normativo'!$L$5:$L$1000,$N83))))</f>
        <v/>
      </c>
      <c r="J83" s="61">
        <f>IF($N83="","",INDEX('Cronograma R. Normativo'!$M$5:$M$1000,$N83))</f>
        <v/>
      </c>
      <c r="K83" s="56">
        <f>IF($N83="","",IF(N($J83)&gt;=1,"Completado",IF(AND(ISNUMBER($D83),$D83&lt;FechaRef),"Vencida",IF(N($J83)&gt;0,"En curso","Pendiente"))))</f>
        <v/>
      </c>
      <c r="L83" s="56">
        <f>IF($N83="","",INDEX('Cronograma R. Normativo'!$O$5:$O$1000,$N83)&amp;"")</f>
        <v/>
      </c>
      <c r="M83" s="62">
        <f>IF($N83="","",INDEX('Cronograma R. Normativo'!$Q$5:$Q$1000,$N83)&amp;"")</f>
        <v/>
      </c>
      <c r="N83">
        <f>IFERROR(MATCH(ROW()-4,rOrden_RN,0),"")</f>
        <v/>
      </c>
      <c r="O83">
        <f>IF($N83="","",INDEX('Cronograma R. Normativo'!$V$5:$V$1000,$N83))</f>
        <v/>
      </c>
      <c r="P83">
        <f>IF($N83="","",N(INDEX('Cronograma R. Normativo'!$W$5:$W$1000,$N83)))</f>
        <v/>
      </c>
      <c r="Q83">
        <f>IF(OR(LEFT($L83,7)="Vencida",LEFT($L83,5)="Vence"),SUMPRODUCT(--(LEFT($L$5:$L83,7)="Vencida"))+SUMPRODUCT(--(LEFT($L$5:$L83,5)="Vence")),"")</f>
        <v/>
      </c>
    </row>
    <row r="84">
      <c r="A84" s="56">
        <f>IF($N84="","",INDEX('Cronograma R. Normativo'!$A$5:$A$1000,$N84))</f>
        <v/>
      </c>
      <c r="B84" s="62">
        <f>IF($N84="","",IF($O84="Sub","      ↳  "&amp;INDEX('Cronograma R. Normativo'!$C$5:$C$1000,$N84),INDEX('Cronograma R. Normativo'!$C$5:$C$1000,$N84)&amp;""))</f>
        <v/>
      </c>
      <c r="C84" s="79">
        <f>IF($N84="","",IF(INDEX('Cronograma R. Normativo'!$AM$5:$AM$1000,$N84)="","",INDEX('Cronograma R. Normativo'!$AM$5:$AM$1000,$N84)))</f>
        <v/>
      </c>
      <c r="D84" s="79">
        <f>IF($N84="","",IF(INDEX('Cronograma R. Normativo'!$AN$5:$AN$1000,$N84)="","",INDEX('Cronograma R. Normativo'!$AN$5:$AN$1000,$N84)))</f>
        <v/>
      </c>
      <c r="E84" s="56">
        <f>IF($N84="","",IF(NOT(ISNUMBER($D84)),"",IF($D84&lt;InicioCiclo,"Antes del ciclo",IF($D84&gt;=InicioCiclo+28,"Después del ciclo","Semana "&amp;(INT(($D84-InicioCiclo)/7)+1)))))</f>
        <v/>
      </c>
      <c r="F84" s="61">
        <f>IF($N84="","",IF($P84&gt;0,IF(1&lt;=SemanaActual,INDEX('Cronograma R. Normativo'!$AC$5:$AC$1000,$N84),""),IF(INDEX('Cronograma R. Normativo'!$I$5:$I$1000,$N84)="","",INDEX('Cronograma R. Normativo'!$I$5:$I$1000,$N84))))</f>
        <v/>
      </c>
      <c r="G84" s="61">
        <f>IF($N84="","",IF($P84&gt;0,IF(2&lt;=SemanaActual,INDEX('Cronograma R. Normativo'!$AD$5:$AD$1000,$N84),""),IF(INDEX('Cronograma R. Normativo'!$J$5:$J$1000,$N84)="","",INDEX('Cronograma R. Normativo'!$J$5:$J$1000,$N84))))</f>
        <v/>
      </c>
      <c r="H84" s="61">
        <f>IF($N84="","",IF($P84&gt;0,IF(3&lt;=SemanaActual,INDEX('Cronograma R. Normativo'!$AE$5:$AE$1000,$N84),""),IF(INDEX('Cronograma R. Normativo'!$K$5:$K$1000,$N84)="","",INDEX('Cronograma R. Normativo'!$K$5:$K$1000,$N84))))</f>
        <v/>
      </c>
      <c r="I84" s="61">
        <f>IF($N84="","",IF($P84&gt;0,IF(4&lt;=SemanaActual,INDEX('Cronograma R. Normativo'!$AF$5:$AF$1000,$N84),""),IF(INDEX('Cronograma R. Normativo'!$L$5:$L$1000,$N84)="","",INDEX('Cronograma R. Normativo'!$L$5:$L$1000,$N84))))</f>
        <v/>
      </c>
      <c r="J84" s="61">
        <f>IF($N84="","",INDEX('Cronograma R. Normativo'!$M$5:$M$1000,$N84))</f>
        <v/>
      </c>
      <c r="K84" s="56">
        <f>IF($N84="","",IF(N($J84)&gt;=1,"Completado",IF(AND(ISNUMBER($D84),$D84&lt;FechaRef),"Vencida",IF(N($J84)&gt;0,"En curso","Pendiente"))))</f>
        <v/>
      </c>
      <c r="L84" s="56">
        <f>IF($N84="","",INDEX('Cronograma R. Normativo'!$O$5:$O$1000,$N84)&amp;"")</f>
        <v/>
      </c>
      <c r="M84" s="62">
        <f>IF($N84="","",INDEX('Cronograma R. Normativo'!$Q$5:$Q$1000,$N84)&amp;"")</f>
        <v/>
      </c>
      <c r="N84">
        <f>IFERROR(MATCH(ROW()-4,rOrden_RN,0),"")</f>
        <v/>
      </c>
      <c r="O84">
        <f>IF($N84="","",INDEX('Cronograma R. Normativo'!$V$5:$V$1000,$N84))</f>
        <v/>
      </c>
      <c r="P84">
        <f>IF($N84="","",N(INDEX('Cronograma R. Normativo'!$W$5:$W$1000,$N84)))</f>
        <v/>
      </c>
      <c r="Q84">
        <f>IF(OR(LEFT($L84,7)="Vencida",LEFT($L84,5)="Vence"),SUMPRODUCT(--(LEFT($L$5:$L84,7)="Vencida"))+SUMPRODUCT(--(LEFT($L$5:$L84,5)="Vence")),"")</f>
        <v/>
      </c>
    </row>
    <row r="85">
      <c r="A85" s="56">
        <f>IF($N85="","",INDEX('Cronograma R. Normativo'!$A$5:$A$1000,$N85))</f>
        <v/>
      </c>
      <c r="B85" s="62">
        <f>IF($N85="","",IF($O85="Sub","      ↳  "&amp;INDEX('Cronograma R. Normativo'!$C$5:$C$1000,$N85),INDEX('Cronograma R. Normativo'!$C$5:$C$1000,$N85)&amp;""))</f>
        <v/>
      </c>
      <c r="C85" s="79">
        <f>IF($N85="","",IF(INDEX('Cronograma R. Normativo'!$AM$5:$AM$1000,$N85)="","",INDEX('Cronograma R. Normativo'!$AM$5:$AM$1000,$N85)))</f>
        <v/>
      </c>
      <c r="D85" s="79">
        <f>IF($N85="","",IF(INDEX('Cronograma R. Normativo'!$AN$5:$AN$1000,$N85)="","",INDEX('Cronograma R. Normativo'!$AN$5:$AN$1000,$N85)))</f>
        <v/>
      </c>
      <c r="E85" s="56">
        <f>IF($N85="","",IF(NOT(ISNUMBER($D85)),"",IF($D85&lt;InicioCiclo,"Antes del ciclo",IF($D85&gt;=InicioCiclo+28,"Después del ciclo","Semana "&amp;(INT(($D85-InicioCiclo)/7)+1)))))</f>
        <v/>
      </c>
      <c r="F85" s="61">
        <f>IF($N85="","",IF($P85&gt;0,IF(1&lt;=SemanaActual,INDEX('Cronograma R. Normativo'!$AC$5:$AC$1000,$N85),""),IF(INDEX('Cronograma R. Normativo'!$I$5:$I$1000,$N85)="","",INDEX('Cronograma R. Normativo'!$I$5:$I$1000,$N85))))</f>
        <v/>
      </c>
      <c r="G85" s="61">
        <f>IF($N85="","",IF($P85&gt;0,IF(2&lt;=SemanaActual,INDEX('Cronograma R. Normativo'!$AD$5:$AD$1000,$N85),""),IF(INDEX('Cronograma R. Normativo'!$J$5:$J$1000,$N85)="","",INDEX('Cronograma R. Normativo'!$J$5:$J$1000,$N85))))</f>
        <v/>
      </c>
      <c r="H85" s="61">
        <f>IF($N85="","",IF($P85&gt;0,IF(3&lt;=SemanaActual,INDEX('Cronograma R. Normativo'!$AE$5:$AE$1000,$N85),""),IF(INDEX('Cronograma R. Normativo'!$K$5:$K$1000,$N85)="","",INDEX('Cronograma R. Normativo'!$K$5:$K$1000,$N85))))</f>
        <v/>
      </c>
      <c r="I85" s="61">
        <f>IF($N85="","",IF($P85&gt;0,IF(4&lt;=SemanaActual,INDEX('Cronograma R. Normativo'!$AF$5:$AF$1000,$N85),""),IF(INDEX('Cronograma R. Normativo'!$L$5:$L$1000,$N85)="","",INDEX('Cronograma R. Normativo'!$L$5:$L$1000,$N85))))</f>
        <v/>
      </c>
      <c r="J85" s="61">
        <f>IF($N85="","",INDEX('Cronograma R. Normativo'!$M$5:$M$1000,$N85))</f>
        <v/>
      </c>
      <c r="K85" s="56">
        <f>IF($N85="","",IF(N($J85)&gt;=1,"Completado",IF(AND(ISNUMBER($D85),$D85&lt;FechaRef),"Vencida",IF(N($J85)&gt;0,"En curso","Pendiente"))))</f>
        <v/>
      </c>
      <c r="L85" s="56">
        <f>IF($N85="","",INDEX('Cronograma R. Normativo'!$O$5:$O$1000,$N85)&amp;"")</f>
        <v/>
      </c>
      <c r="M85" s="62">
        <f>IF($N85="","",INDEX('Cronograma R. Normativo'!$Q$5:$Q$1000,$N85)&amp;"")</f>
        <v/>
      </c>
      <c r="N85">
        <f>IFERROR(MATCH(ROW()-4,rOrden_RN,0),"")</f>
        <v/>
      </c>
      <c r="O85">
        <f>IF($N85="","",INDEX('Cronograma R. Normativo'!$V$5:$V$1000,$N85))</f>
        <v/>
      </c>
      <c r="P85">
        <f>IF($N85="","",N(INDEX('Cronograma R. Normativo'!$W$5:$W$1000,$N85)))</f>
        <v/>
      </c>
      <c r="Q85">
        <f>IF(OR(LEFT($L85,7)="Vencida",LEFT($L85,5)="Vence"),SUMPRODUCT(--(LEFT($L$5:$L85,7)="Vencida"))+SUMPRODUCT(--(LEFT($L$5:$L85,5)="Vence")),"")</f>
        <v/>
      </c>
    </row>
    <row r="86">
      <c r="A86" s="56">
        <f>IF($N86="","",INDEX('Cronograma R. Normativo'!$A$5:$A$1000,$N86))</f>
        <v/>
      </c>
      <c r="B86" s="62">
        <f>IF($N86="","",IF($O86="Sub","      ↳  "&amp;INDEX('Cronograma R. Normativo'!$C$5:$C$1000,$N86),INDEX('Cronograma R. Normativo'!$C$5:$C$1000,$N86)&amp;""))</f>
        <v/>
      </c>
      <c r="C86" s="79">
        <f>IF($N86="","",IF(INDEX('Cronograma R. Normativo'!$AM$5:$AM$1000,$N86)="","",INDEX('Cronograma R. Normativo'!$AM$5:$AM$1000,$N86)))</f>
        <v/>
      </c>
      <c r="D86" s="79">
        <f>IF($N86="","",IF(INDEX('Cronograma R. Normativo'!$AN$5:$AN$1000,$N86)="","",INDEX('Cronograma R. Normativo'!$AN$5:$AN$1000,$N86)))</f>
        <v/>
      </c>
      <c r="E86" s="56">
        <f>IF($N86="","",IF(NOT(ISNUMBER($D86)),"",IF($D86&lt;InicioCiclo,"Antes del ciclo",IF($D86&gt;=InicioCiclo+28,"Después del ciclo","Semana "&amp;(INT(($D86-InicioCiclo)/7)+1)))))</f>
        <v/>
      </c>
      <c r="F86" s="61">
        <f>IF($N86="","",IF($P86&gt;0,IF(1&lt;=SemanaActual,INDEX('Cronograma R. Normativo'!$AC$5:$AC$1000,$N86),""),IF(INDEX('Cronograma R. Normativo'!$I$5:$I$1000,$N86)="","",INDEX('Cronograma R. Normativo'!$I$5:$I$1000,$N86))))</f>
        <v/>
      </c>
      <c r="G86" s="61">
        <f>IF($N86="","",IF($P86&gt;0,IF(2&lt;=SemanaActual,INDEX('Cronograma R. Normativo'!$AD$5:$AD$1000,$N86),""),IF(INDEX('Cronograma R. Normativo'!$J$5:$J$1000,$N86)="","",INDEX('Cronograma R. Normativo'!$J$5:$J$1000,$N86))))</f>
        <v/>
      </c>
      <c r="H86" s="61">
        <f>IF($N86="","",IF($P86&gt;0,IF(3&lt;=SemanaActual,INDEX('Cronograma R. Normativo'!$AE$5:$AE$1000,$N86),""),IF(INDEX('Cronograma R. Normativo'!$K$5:$K$1000,$N86)="","",INDEX('Cronograma R. Normativo'!$K$5:$K$1000,$N86))))</f>
        <v/>
      </c>
      <c r="I86" s="61">
        <f>IF($N86="","",IF($P86&gt;0,IF(4&lt;=SemanaActual,INDEX('Cronograma R. Normativo'!$AF$5:$AF$1000,$N86),""),IF(INDEX('Cronograma R. Normativo'!$L$5:$L$1000,$N86)="","",INDEX('Cronograma R. Normativo'!$L$5:$L$1000,$N86))))</f>
        <v/>
      </c>
      <c r="J86" s="61">
        <f>IF($N86="","",INDEX('Cronograma R. Normativo'!$M$5:$M$1000,$N86))</f>
        <v/>
      </c>
      <c r="K86" s="56">
        <f>IF($N86="","",IF(N($J86)&gt;=1,"Completado",IF(AND(ISNUMBER($D86),$D86&lt;FechaRef),"Vencida",IF(N($J86)&gt;0,"En curso","Pendiente"))))</f>
        <v/>
      </c>
      <c r="L86" s="56">
        <f>IF($N86="","",INDEX('Cronograma R. Normativo'!$O$5:$O$1000,$N86)&amp;"")</f>
        <v/>
      </c>
      <c r="M86" s="62">
        <f>IF($N86="","",INDEX('Cronograma R. Normativo'!$Q$5:$Q$1000,$N86)&amp;"")</f>
        <v/>
      </c>
      <c r="N86">
        <f>IFERROR(MATCH(ROW()-4,rOrden_RN,0),"")</f>
        <v/>
      </c>
      <c r="O86">
        <f>IF($N86="","",INDEX('Cronograma R. Normativo'!$V$5:$V$1000,$N86))</f>
        <v/>
      </c>
      <c r="P86">
        <f>IF($N86="","",N(INDEX('Cronograma R. Normativo'!$W$5:$W$1000,$N86)))</f>
        <v/>
      </c>
      <c r="Q86">
        <f>IF(OR(LEFT($L86,7)="Vencida",LEFT($L86,5)="Vence"),SUMPRODUCT(--(LEFT($L$5:$L86,7)="Vencida"))+SUMPRODUCT(--(LEFT($L$5:$L86,5)="Vence")),"")</f>
        <v/>
      </c>
    </row>
    <row r="87">
      <c r="A87" s="56">
        <f>IF($N87="","",INDEX('Cronograma R. Normativo'!$A$5:$A$1000,$N87))</f>
        <v/>
      </c>
      <c r="B87" s="62">
        <f>IF($N87="","",IF($O87="Sub","      ↳  "&amp;INDEX('Cronograma R. Normativo'!$C$5:$C$1000,$N87),INDEX('Cronograma R. Normativo'!$C$5:$C$1000,$N87)&amp;""))</f>
        <v/>
      </c>
      <c r="C87" s="79">
        <f>IF($N87="","",IF(INDEX('Cronograma R. Normativo'!$AM$5:$AM$1000,$N87)="","",INDEX('Cronograma R. Normativo'!$AM$5:$AM$1000,$N87)))</f>
        <v/>
      </c>
      <c r="D87" s="79">
        <f>IF($N87="","",IF(INDEX('Cronograma R. Normativo'!$AN$5:$AN$1000,$N87)="","",INDEX('Cronograma R. Normativo'!$AN$5:$AN$1000,$N87)))</f>
        <v/>
      </c>
      <c r="E87" s="56">
        <f>IF($N87="","",IF(NOT(ISNUMBER($D87)),"",IF($D87&lt;InicioCiclo,"Antes del ciclo",IF($D87&gt;=InicioCiclo+28,"Después del ciclo","Semana "&amp;(INT(($D87-InicioCiclo)/7)+1)))))</f>
        <v/>
      </c>
      <c r="F87" s="61">
        <f>IF($N87="","",IF($P87&gt;0,IF(1&lt;=SemanaActual,INDEX('Cronograma R. Normativo'!$AC$5:$AC$1000,$N87),""),IF(INDEX('Cronograma R. Normativo'!$I$5:$I$1000,$N87)="","",INDEX('Cronograma R. Normativo'!$I$5:$I$1000,$N87))))</f>
        <v/>
      </c>
      <c r="G87" s="61">
        <f>IF($N87="","",IF($P87&gt;0,IF(2&lt;=SemanaActual,INDEX('Cronograma R. Normativo'!$AD$5:$AD$1000,$N87),""),IF(INDEX('Cronograma R. Normativo'!$J$5:$J$1000,$N87)="","",INDEX('Cronograma R. Normativo'!$J$5:$J$1000,$N87))))</f>
        <v/>
      </c>
      <c r="H87" s="61">
        <f>IF($N87="","",IF($P87&gt;0,IF(3&lt;=SemanaActual,INDEX('Cronograma R. Normativo'!$AE$5:$AE$1000,$N87),""),IF(INDEX('Cronograma R. Normativo'!$K$5:$K$1000,$N87)="","",INDEX('Cronograma R. Normativo'!$K$5:$K$1000,$N87))))</f>
        <v/>
      </c>
      <c r="I87" s="61">
        <f>IF($N87="","",IF($P87&gt;0,IF(4&lt;=SemanaActual,INDEX('Cronograma R. Normativo'!$AF$5:$AF$1000,$N87),""),IF(INDEX('Cronograma R. Normativo'!$L$5:$L$1000,$N87)="","",INDEX('Cronograma R. Normativo'!$L$5:$L$1000,$N87))))</f>
        <v/>
      </c>
      <c r="J87" s="61">
        <f>IF($N87="","",INDEX('Cronograma R. Normativo'!$M$5:$M$1000,$N87))</f>
        <v/>
      </c>
      <c r="K87" s="56">
        <f>IF($N87="","",IF(N($J87)&gt;=1,"Completado",IF(AND(ISNUMBER($D87),$D87&lt;FechaRef),"Vencida",IF(N($J87)&gt;0,"En curso","Pendiente"))))</f>
        <v/>
      </c>
      <c r="L87" s="56">
        <f>IF($N87="","",INDEX('Cronograma R. Normativo'!$O$5:$O$1000,$N87)&amp;"")</f>
        <v/>
      </c>
      <c r="M87" s="62">
        <f>IF($N87="","",INDEX('Cronograma R. Normativo'!$Q$5:$Q$1000,$N87)&amp;"")</f>
        <v/>
      </c>
      <c r="N87">
        <f>IFERROR(MATCH(ROW()-4,rOrden_RN,0),"")</f>
        <v/>
      </c>
      <c r="O87">
        <f>IF($N87="","",INDEX('Cronograma R. Normativo'!$V$5:$V$1000,$N87))</f>
        <v/>
      </c>
      <c r="P87">
        <f>IF($N87="","",N(INDEX('Cronograma R. Normativo'!$W$5:$W$1000,$N87)))</f>
        <v/>
      </c>
      <c r="Q87">
        <f>IF(OR(LEFT($L87,7)="Vencida",LEFT($L87,5)="Vence"),SUMPRODUCT(--(LEFT($L$5:$L87,7)="Vencida"))+SUMPRODUCT(--(LEFT($L$5:$L87,5)="Vence")),"")</f>
        <v/>
      </c>
    </row>
    <row r="88">
      <c r="A88" s="56">
        <f>IF($N88="","",INDEX('Cronograma R. Normativo'!$A$5:$A$1000,$N88))</f>
        <v/>
      </c>
      <c r="B88" s="62">
        <f>IF($N88="","",IF($O88="Sub","      ↳  "&amp;INDEX('Cronograma R. Normativo'!$C$5:$C$1000,$N88),INDEX('Cronograma R. Normativo'!$C$5:$C$1000,$N88)&amp;""))</f>
        <v/>
      </c>
      <c r="C88" s="79">
        <f>IF($N88="","",IF(INDEX('Cronograma R. Normativo'!$AM$5:$AM$1000,$N88)="","",INDEX('Cronograma R. Normativo'!$AM$5:$AM$1000,$N88)))</f>
        <v/>
      </c>
      <c r="D88" s="79">
        <f>IF($N88="","",IF(INDEX('Cronograma R. Normativo'!$AN$5:$AN$1000,$N88)="","",INDEX('Cronograma R. Normativo'!$AN$5:$AN$1000,$N88)))</f>
        <v/>
      </c>
      <c r="E88" s="56">
        <f>IF($N88="","",IF(NOT(ISNUMBER($D88)),"",IF($D88&lt;InicioCiclo,"Antes del ciclo",IF($D88&gt;=InicioCiclo+28,"Después del ciclo","Semana "&amp;(INT(($D88-InicioCiclo)/7)+1)))))</f>
        <v/>
      </c>
      <c r="F88" s="61">
        <f>IF($N88="","",IF($P88&gt;0,IF(1&lt;=SemanaActual,INDEX('Cronograma R. Normativo'!$AC$5:$AC$1000,$N88),""),IF(INDEX('Cronograma R. Normativo'!$I$5:$I$1000,$N88)="","",INDEX('Cronograma R. Normativo'!$I$5:$I$1000,$N88))))</f>
        <v/>
      </c>
      <c r="G88" s="61">
        <f>IF($N88="","",IF($P88&gt;0,IF(2&lt;=SemanaActual,INDEX('Cronograma R. Normativo'!$AD$5:$AD$1000,$N88),""),IF(INDEX('Cronograma R. Normativo'!$J$5:$J$1000,$N88)="","",INDEX('Cronograma R. Normativo'!$J$5:$J$1000,$N88))))</f>
        <v/>
      </c>
      <c r="H88" s="61">
        <f>IF($N88="","",IF($P88&gt;0,IF(3&lt;=SemanaActual,INDEX('Cronograma R. Normativo'!$AE$5:$AE$1000,$N88),""),IF(INDEX('Cronograma R. Normativo'!$K$5:$K$1000,$N88)="","",INDEX('Cronograma R. Normativo'!$K$5:$K$1000,$N88))))</f>
        <v/>
      </c>
      <c r="I88" s="61">
        <f>IF($N88="","",IF($P88&gt;0,IF(4&lt;=SemanaActual,INDEX('Cronograma R. Normativo'!$AF$5:$AF$1000,$N88),""),IF(INDEX('Cronograma R. Normativo'!$L$5:$L$1000,$N88)="","",INDEX('Cronograma R. Normativo'!$L$5:$L$1000,$N88))))</f>
        <v/>
      </c>
      <c r="J88" s="61">
        <f>IF($N88="","",INDEX('Cronograma R. Normativo'!$M$5:$M$1000,$N88))</f>
        <v/>
      </c>
      <c r="K88" s="56">
        <f>IF($N88="","",IF(N($J88)&gt;=1,"Completado",IF(AND(ISNUMBER($D88),$D88&lt;FechaRef),"Vencida",IF(N($J88)&gt;0,"En curso","Pendiente"))))</f>
        <v/>
      </c>
      <c r="L88" s="56">
        <f>IF($N88="","",INDEX('Cronograma R. Normativo'!$O$5:$O$1000,$N88)&amp;"")</f>
        <v/>
      </c>
      <c r="M88" s="62">
        <f>IF($N88="","",INDEX('Cronograma R. Normativo'!$Q$5:$Q$1000,$N88)&amp;"")</f>
        <v/>
      </c>
      <c r="N88">
        <f>IFERROR(MATCH(ROW()-4,rOrden_RN,0),"")</f>
        <v/>
      </c>
      <c r="O88">
        <f>IF($N88="","",INDEX('Cronograma R. Normativo'!$V$5:$V$1000,$N88))</f>
        <v/>
      </c>
      <c r="P88">
        <f>IF($N88="","",N(INDEX('Cronograma R. Normativo'!$W$5:$W$1000,$N88)))</f>
        <v/>
      </c>
      <c r="Q88">
        <f>IF(OR(LEFT($L88,7)="Vencida",LEFT($L88,5)="Vence"),SUMPRODUCT(--(LEFT($L$5:$L88,7)="Vencida"))+SUMPRODUCT(--(LEFT($L$5:$L88,5)="Vence")),"")</f>
        <v/>
      </c>
    </row>
    <row r="89">
      <c r="A89" s="56">
        <f>IF($N89="","",INDEX('Cronograma R. Normativo'!$A$5:$A$1000,$N89))</f>
        <v/>
      </c>
      <c r="B89" s="62">
        <f>IF($N89="","",IF($O89="Sub","      ↳  "&amp;INDEX('Cronograma R. Normativo'!$C$5:$C$1000,$N89),INDEX('Cronograma R. Normativo'!$C$5:$C$1000,$N89)&amp;""))</f>
        <v/>
      </c>
      <c r="C89" s="79">
        <f>IF($N89="","",IF(INDEX('Cronograma R. Normativo'!$AM$5:$AM$1000,$N89)="","",INDEX('Cronograma R. Normativo'!$AM$5:$AM$1000,$N89)))</f>
        <v/>
      </c>
      <c r="D89" s="79">
        <f>IF($N89="","",IF(INDEX('Cronograma R. Normativo'!$AN$5:$AN$1000,$N89)="","",INDEX('Cronograma R. Normativo'!$AN$5:$AN$1000,$N89)))</f>
        <v/>
      </c>
      <c r="E89" s="56">
        <f>IF($N89="","",IF(NOT(ISNUMBER($D89)),"",IF($D89&lt;InicioCiclo,"Antes del ciclo",IF($D89&gt;=InicioCiclo+28,"Después del ciclo","Semana "&amp;(INT(($D89-InicioCiclo)/7)+1)))))</f>
        <v/>
      </c>
      <c r="F89" s="61">
        <f>IF($N89="","",IF($P89&gt;0,IF(1&lt;=SemanaActual,INDEX('Cronograma R. Normativo'!$AC$5:$AC$1000,$N89),""),IF(INDEX('Cronograma R. Normativo'!$I$5:$I$1000,$N89)="","",INDEX('Cronograma R. Normativo'!$I$5:$I$1000,$N89))))</f>
        <v/>
      </c>
      <c r="G89" s="61">
        <f>IF($N89="","",IF($P89&gt;0,IF(2&lt;=SemanaActual,INDEX('Cronograma R. Normativo'!$AD$5:$AD$1000,$N89),""),IF(INDEX('Cronograma R. Normativo'!$J$5:$J$1000,$N89)="","",INDEX('Cronograma R. Normativo'!$J$5:$J$1000,$N89))))</f>
        <v/>
      </c>
      <c r="H89" s="61">
        <f>IF($N89="","",IF($P89&gt;0,IF(3&lt;=SemanaActual,INDEX('Cronograma R. Normativo'!$AE$5:$AE$1000,$N89),""),IF(INDEX('Cronograma R. Normativo'!$K$5:$K$1000,$N89)="","",INDEX('Cronograma R. Normativo'!$K$5:$K$1000,$N89))))</f>
        <v/>
      </c>
      <c r="I89" s="61">
        <f>IF($N89="","",IF($P89&gt;0,IF(4&lt;=SemanaActual,INDEX('Cronograma R. Normativo'!$AF$5:$AF$1000,$N89),""),IF(INDEX('Cronograma R. Normativo'!$L$5:$L$1000,$N89)="","",INDEX('Cronograma R. Normativo'!$L$5:$L$1000,$N89))))</f>
        <v/>
      </c>
      <c r="J89" s="61">
        <f>IF($N89="","",INDEX('Cronograma R. Normativo'!$M$5:$M$1000,$N89))</f>
        <v/>
      </c>
      <c r="K89" s="56">
        <f>IF($N89="","",IF(N($J89)&gt;=1,"Completado",IF(AND(ISNUMBER($D89),$D89&lt;FechaRef),"Vencida",IF(N($J89)&gt;0,"En curso","Pendiente"))))</f>
        <v/>
      </c>
      <c r="L89" s="56">
        <f>IF($N89="","",INDEX('Cronograma R. Normativo'!$O$5:$O$1000,$N89)&amp;"")</f>
        <v/>
      </c>
      <c r="M89" s="62">
        <f>IF($N89="","",INDEX('Cronograma R. Normativo'!$Q$5:$Q$1000,$N89)&amp;"")</f>
        <v/>
      </c>
      <c r="N89">
        <f>IFERROR(MATCH(ROW()-4,rOrden_RN,0),"")</f>
        <v/>
      </c>
      <c r="O89">
        <f>IF($N89="","",INDEX('Cronograma R. Normativo'!$V$5:$V$1000,$N89))</f>
        <v/>
      </c>
      <c r="P89">
        <f>IF($N89="","",N(INDEX('Cronograma R. Normativo'!$W$5:$W$1000,$N89)))</f>
        <v/>
      </c>
      <c r="Q89">
        <f>IF(OR(LEFT($L89,7)="Vencida",LEFT($L89,5)="Vence"),SUMPRODUCT(--(LEFT($L$5:$L89,7)="Vencida"))+SUMPRODUCT(--(LEFT($L$5:$L89,5)="Vence")),"")</f>
        <v/>
      </c>
    </row>
    <row r="90">
      <c r="A90" s="56">
        <f>IF($N90="","",INDEX('Cronograma R. Normativo'!$A$5:$A$1000,$N90))</f>
        <v/>
      </c>
      <c r="B90" s="62">
        <f>IF($N90="","",IF($O90="Sub","      ↳  "&amp;INDEX('Cronograma R. Normativo'!$C$5:$C$1000,$N90),INDEX('Cronograma R. Normativo'!$C$5:$C$1000,$N90)&amp;""))</f>
        <v/>
      </c>
      <c r="C90" s="79">
        <f>IF($N90="","",IF(INDEX('Cronograma R. Normativo'!$AM$5:$AM$1000,$N90)="","",INDEX('Cronograma R. Normativo'!$AM$5:$AM$1000,$N90)))</f>
        <v/>
      </c>
      <c r="D90" s="79">
        <f>IF($N90="","",IF(INDEX('Cronograma R. Normativo'!$AN$5:$AN$1000,$N90)="","",INDEX('Cronograma R. Normativo'!$AN$5:$AN$1000,$N90)))</f>
        <v/>
      </c>
      <c r="E90" s="56">
        <f>IF($N90="","",IF(NOT(ISNUMBER($D90)),"",IF($D90&lt;InicioCiclo,"Antes del ciclo",IF($D90&gt;=InicioCiclo+28,"Después del ciclo","Semana "&amp;(INT(($D90-InicioCiclo)/7)+1)))))</f>
        <v/>
      </c>
      <c r="F90" s="61">
        <f>IF($N90="","",IF($P90&gt;0,IF(1&lt;=SemanaActual,INDEX('Cronograma R. Normativo'!$AC$5:$AC$1000,$N90),""),IF(INDEX('Cronograma R. Normativo'!$I$5:$I$1000,$N90)="","",INDEX('Cronograma R. Normativo'!$I$5:$I$1000,$N90))))</f>
        <v/>
      </c>
      <c r="G90" s="61">
        <f>IF($N90="","",IF($P90&gt;0,IF(2&lt;=SemanaActual,INDEX('Cronograma R. Normativo'!$AD$5:$AD$1000,$N90),""),IF(INDEX('Cronograma R. Normativo'!$J$5:$J$1000,$N90)="","",INDEX('Cronograma R. Normativo'!$J$5:$J$1000,$N90))))</f>
        <v/>
      </c>
      <c r="H90" s="61">
        <f>IF($N90="","",IF($P90&gt;0,IF(3&lt;=SemanaActual,INDEX('Cronograma R. Normativo'!$AE$5:$AE$1000,$N90),""),IF(INDEX('Cronograma R. Normativo'!$K$5:$K$1000,$N90)="","",INDEX('Cronograma R. Normativo'!$K$5:$K$1000,$N90))))</f>
        <v/>
      </c>
      <c r="I90" s="61">
        <f>IF($N90="","",IF($P90&gt;0,IF(4&lt;=SemanaActual,INDEX('Cronograma R. Normativo'!$AF$5:$AF$1000,$N90),""),IF(INDEX('Cronograma R. Normativo'!$L$5:$L$1000,$N90)="","",INDEX('Cronograma R. Normativo'!$L$5:$L$1000,$N90))))</f>
        <v/>
      </c>
      <c r="J90" s="61">
        <f>IF($N90="","",INDEX('Cronograma R. Normativo'!$M$5:$M$1000,$N90))</f>
        <v/>
      </c>
      <c r="K90" s="56">
        <f>IF($N90="","",IF(N($J90)&gt;=1,"Completado",IF(AND(ISNUMBER($D90),$D90&lt;FechaRef),"Vencida",IF(N($J90)&gt;0,"En curso","Pendiente"))))</f>
        <v/>
      </c>
      <c r="L90" s="56">
        <f>IF($N90="","",INDEX('Cronograma R. Normativo'!$O$5:$O$1000,$N90)&amp;"")</f>
        <v/>
      </c>
      <c r="M90" s="62">
        <f>IF($N90="","",INDEX('Cronograma R. Normativo'!$Q$5:$Q$1000,$N90)&amp;"")</f>
        <v/>
      </c>
      <c r="N90">
        <f>IFERROR(MATCH(ROW()-4,rOrden_RN,0),"")</f>
        <v/>
      </c>
      <c r="O90">
        <f>IF($N90="","",INDEX('Cronograma R. Normativo'!$V$5:$V$1000,$N90))</f>
        <v/>
      </c>
      <c r="P90">
        <f>IF($N90="","",N(INDEX('Cronograma R. Normativo'!$W$5:$W$1000,$N90)))</f>
        <v/>
      </c>
      <c r="Q90">
        <f>IF(OR(LEFT($L90,7)="Vencida",LEFT($L90,5)="Vence"),SUMPRODUCT(--(LEFT($L$5:$L90,7)="Vencida"))+SUMPRODUCT(--(LEFT($L$5:$L90,5)="Vence")),"")</f>
        <v/>
      </c>
    </row>
    <row r="91">
      <c r="A91" s="56">
        <f>IF($N91="","",INDEX('Cronograma R. Normativo'!$A$5:$A$1000,$N91))</f>
        <v/>
      </c>
      <c r="B91" s="62">
        <f>IF($N91="","",IF($O91="Sub","      ↳  "&amp;INDEX('Cronograma R. Normativo'!$C$5:$C$1000,$N91),INDEX('Cronograma R. Normativo'!$C$5:$C$1000,$N91)&amp;""))</f>
        <v/>
      </c>
      <c r="C91" s="79">
        <f>IF($N91="","",IF(INDEX('Cronograma R. Normativo'!$AM$5:$AM$1000,$N91)="","",INDEX('Cronograma R. Normativo'!$AM$5:$AM$1000,$N91)))</f>
        <v/>
      </c>
      <c r="D91" s="79">
        <f>IF($N91="","",IF(INDEX('Cronograma R. Normativo'!$AN$5:$AN$1000,$N91)="","",INDEX('Cronograma R. Normativo'!$AN$5:$AN$1000,$N91)))</f>
        <v/>
      </c>
      <c r="E91" s="56">
        <f>IF($N91="","",IF(NOT(ISNUMBER($D91)),"",IF($D91&lt;InicioCiclo,"Antes del ciclo",IF($D91&gt;=InicioCiclo+28,"Después del ciclo","Semana "&amp;(INT(($D91-InicioCiclo)/7)+1)))))</f>
        <v/>
      </c>
      <c r="F91" s="61">
        <f>IF($N91="","",IF($P91&gt;0,IF(1&lt;=SemanaActual,INDEX('Cronograma R. Normativo'!$AC$5:$AC$1000,$N91),""),IF(INDEX('Cronograma R. Normativo'!$I$5:$I$1000,$N91)="","",INDEX('Cronograma R. Normativo'!$I$5:$I$1000,$N91))))</f>
        <v/>
      </c>
      <c r="G91" s="61">
        <f>IF($N91="","",IF($P91&gt;0,IF(2&lt;=SemanaActual,INDEX('Cronograma R. Normativo'!$AD$5:$AD$1000,$N91),""),IF(INDEX('Cronograma R. Normativo'!$J$5:$J$1000,$N91)="","",INDEX('Cronograma R. Normativo'!$J$5:$J$1000,$N91))))</f>
        <v/>
      </c>
      <c r="H91" s="61">
        <f>IF($N91="","",IF($P91&gt;0,IF(3&lt;=SemanaActual,INDEX('Cronograma R. Normativo'!$AE$5:$AE$1000,$N91),""),IF(INDEX('Cronograma R. Normativo'!$K$5:$K$1000,$N91)="","",INDEX('Cronograma R. Normativo'!$K$5:$K$1000,$N91))))</f>
        <v/>
      </c>
      <c r="I91" s="61">
        <f>IF($N91="","",IF($P91&gt;0,IF(4&lt;=SemanaActual,INDEX('Cronograma R. Normativo'!$AF$5:$AF$1000,$N91),""),IF(INDEX('Cronograma R. Normativo'!$L$5:$L$1000,$N91)="","",INDEX('Cronograma R. Normativo'!$L$5:$L$1000,$N91))))</f>
        <v/>
      </c>
      <c r="J91" s="61">
        <f>IF($N91="","",INDEX('Cronograma R. Normativo'!$M$5:$M$1000,$N91))</f>
        <v/>
      </c>
      <c r="K91" s="56">
        <f>IF($N91="","",IF(N($J91)&gt;=1,"Completado",IF(AND(ISNUMBER($D91),$D91&lt;FechaRef),"Vencida",IF(N($J91)&gt;0,"En curso","Pendiente"))))</f>
        <v/>
      </c>
      <c r="L91" s="56">
        <f>IF($N91="","",INDEX('Cronograma R. Normativo'!$O$5:$O$1000,$N91)&amp;"")</f>
        <v/>
      </c>
      <c r="M91" s="62">
        <f>IF($N91="","",INDEX('Cronograma R. Normativo'!$Q$5:$Q$1000,$N91)&amp;"")</f>
        <v/>
      </c>
      <c r="N91">
        <f>IFERROR(MATCH(ROW()-4,rOrden_RN,0),"")</f>
        <v/>
      </c>
      <c r="O91">
        <f>IF($N91="","",INDEX('Cronograma R. Normativo'!$V$5:$V$1000,$N91))</f>
        <v/>
      </c>
      <c r="P91">
        <f>IF($N91="","",N(INDEX('Cronograma R. Normativo'!$W$5:$W$1000,$N91)))</f>
        <v/>
      </c>
      <c r="Q91">
        <f>IF(OR(LEFT($L91,7)="Vencida",LEFT($L91,5)="Vence"),SUMPRODUCT(--(LEFT($L$5:$L91,7)="Vencida"))+SUMPRODUCT(--(LEFT($L$5:$L91,5)="Vence")),"")</f>
        <v/>
      </c>
    </row>
    <row r="92">
      <c r="A92" s="56">
        <f>IF($N92="","",INDEX('Cronograma R. Normativo'!$A$5:$A$1000,$N92))</f>
        <v/>
      </c>
      <c r="B92" s="62">
        <f>IF($N92="","",IF($O92="Sub","      ↳  "&amp;INDEX('Cronograma R. Normativo'!$C$5:$C$1000,$N92),INDEX('Cronograma R. Normativo'!$C$5:$C$1000,$N92)&amp;""))</f>
        <v/>
      </c>
      <c r="C92" s="79">
        <f>IF($N92="","",IF(INDEX('Cronograma R. Normativo'!$AM$5:$AM$1000,$N92)="","",INDEX('Cronograma R. Normativo'!$AM$5:$AM$1000,$N92)))</f>
        <v/>
      </c>
      <c r="D92" s="79">
        <f>IF($N92="","",IF(INDEX('Cronograma R. Normativo'!$AN$5:$AN$1000,$N92)="","",INDEX('Cronograma R. Normativo'!$AN$5:$AN$1000,$N92)))</f>
        <v/>
      </c>
      <c r="E92" s="56">
        <f>IF($N92="","",IF(NOT(ISNUMBER($D92)),"",IF($D92&lt;InicioCiclo,"Antes del ciclo",IF($D92&gt;=InicioCiclo+28,"Después del ciclo","Semana "&amp;(INT(($D92-InicioCiclo)/7)+1)))))</f>
        <v/>
      </c>
      <c r="F92" s="61">
        <f>IF($N92="","",IF($P92&gt;0,IF(1&lt;=SemanaActual,INDEX('Cronograma R. Normativo'!$AC$5:$AC$1000,$N92),""),IF(INDEX('Cronograma R. Normativo'!$I$5:$I$1000,$N92)="","",INDEX('Cronograma R. Normativo'!$I$5:$I$1000,$N92))))</f>
        <v/>
      </c>
      <c r="G92" s="61">
        <f>IF($N92="","",IF($P92&gt;0,IF(2&lt;=SemanaActual,INDEX('Cronograma R. Normativo'!$AD$5:$AD$1000,$N92),""),IF(INDEX('Cronograma R. Normativo'!$J$5:$J$1000,$N92)="","",INDEX('Cronograma R. Normativo'!$J$5:$J$1000,$N92))))</f>
        <v/>
      </c>
      <c r="H92" s="61">
        <f>IF($N92="","",IF($P92&gt;0,IF(3&lt;=SemanaActual,INDEX('Cronograma R. Normativo'!$AE$5:$AE$1000,$N92),""),IF(INDEX('Cronograma R. Normativo'!$K$5:$K$1000,$N92)="","",INDEX('Cronograma R. Normativo'!$K$5:$K$1000,$N92))))</f>
        <v/>
      </c>
      <c r="I92" s="61">
        <f>IF($N92="","",IF($P92&gt;0,IF(4&lt;=SemanaActual,INDEX('Cronograma R. Normativo'!$AF$5:$AF$1000,$N92),""),IF(INDEX('Cronograma R. Normativo'!$L$5:$L$1000,$N92)="","",INDEX('Cronograma R. Normativo'!$L$5:$L$1000,$N92))))</f>
        <v/>
      </c>
      <c r="J92" s="61">
        <f>IF($N92="","",INDEX('Cronograma R. Normativo'!$M$5:$M$1000,$N92))</f>
        <v/>
      </c>
      <c r="K92" s="56">
        <f>IF($N92="","",IF(N($J92)&gt;=1,"Completado",IF(AND(ISNUMBER($D92),$D92&lt;FechaRef),"Vencida",IF(N($J92)&gt;0,"En curso","Pendiente"))))</f>
        <v/>
      </c>
      <c r="L92" s="56">
        <f>IF($N92="","",INDEX('Cronograma R. Normativo'!$O$5:$O$1000,$N92)&amp;"")</f>
        <v/>
      </c>
      <c r="M92" s="62">
        <f>IF($N92="","",INDEX('Cronograma R. Normativo'!$Q$5:$Q$1000,$N92)&amp;"")</f>
        <v/>
      </c>
      <c r="N92">
        <f>IFERROR(MATCH(ROW()-4,rOrden_RN,0),"")</f>
        <v/>
      </c>
      <c r="O92">
        <f>IF($N92="","",INDEX('Cronograma R. Normativo'!$V$5:$V$1000,$N92))</f>
        <v/>
      </c>
      <c r="P92">
        <f>IF($N92="","",N(INDEX('Cronograma R. Normativo'!$W$5:$W$1000,$N92)))</f>
        <v/>
      </c>
      <c r="Q92">
        <f>IF(OR(LEFT($L92,7)="Vencida",LEFT($L92,5)="Vence"),SUMPRODUCT(--(LEFT($L$5:$L92,7)="Vencida"))+SUMPRODUCT(--(LEFT($L$5:$L92,5)="Vence")),"")</f>
        <v/>
      </c>
    </row>
    <row r="93">
      <c r="A93" s="56">
        <f>IF($N93="","",INDEX('Cronograma R. Normativo'!$A$5:$A$1000,$N93))</f>
        <v/>
      </c>
      <c r="B93" s="62">
        <f>IF($N93="","",IF($O93="Sub","      ↳  "&amp;INDEX('Cronograma R. Normativo'!$C$5:$C$1000,$N93),INDEX('Cronograma R. Normativo'!$C$5:$C$1000,$N93)&amp;""))</f>
        <v/>
      </c>
      <c r="C93" s="79">
        <f>IF($N93="","",IF(INDEX('Cronograma R. Normativo'!$AM$5:$AM$1000,$N93)="","",INDEX('Cronograma R. Normativo'!$AM$5:$AM$1000,$N93)))</f>
        <v/>
      </c>
      <c r="D93" s="79">
        <f>IF($N93="","",IF(INDEX('Cronograma R. Normativo'!$AN$5:$AN$1000,$N93)="","",INDEX('Cronograma R. Normativo'!$AN$5:$AN$1000,$N93)))</f>
        <v/>
      </c>
      <c r="E93" s="56">
        <f>IF($N93="","",IF(NOT(ISNUMBER($D93)),"",IF($D93&lt;InicioCiclo,"Antes del ciclo",IF($D93&gt;=InicioCiclo+28,"Después del ciclo","Semana "&amp;(INT(($D93-InicioCiclo)/7)+1)))))</f>
        <v/>
      </c>
      <c r="F93" s="61">
        <f>IF($N93="","",IF($P93&gt;0,IF(1&lt;=SemanaActual,INDEX('Cronograma R. Normativo'!$AC$5:$AC$1000,$N93),""),IF(INDEX('Cronograma R. Normativo'!$I$5:$I$1000,$N93)="","",INDEX('Cronograma R. Normativo'!$I$5:$I$1000,$N93))))</f>
        <v/>
      </c>
      <c r="G93" s="61">
        <f>IF($N93="","",IF($P93&gt;0,IF(2&lt;=SemanaActual,INDEX('Cronograma R. Normativo'!$AD$5:$AD$1000,$N93),""),IF(INDEX('Cronograma R. Normativo'!$J$5:$J$1000,$N93)="","",INDEX('Cronograma R. Normativo'!$J$5:$J$1000,$N93))))</f>
        <v/>
      </c>
      <c r="H93" s="61">
        <f>IF($N93="","",IF($P93&gt;0,IF(3&lt;=SemanaActual,INDEX('Cronograma R. Normativo'!$AE$5:$AE$1000,$N93),""),IF(INDEX('Cronograma R. Normativo'!$K$5:$K$1000,$N93)="","",INDEX('Cronograma R. Normativo'!$K$5:$K$1000,$N93))))</f>
        <v/>
      </c>
      <c r="I93" s="61">
        <f>IF($N93="","",IF($P93&gt;0,IF(4&lt;=SemanaActual,INDEX('Cronograma R. Normativo'!$AF$5:$AF$1000,$N93),""),IF(INDEX('Cronograma R. Normativo'!$L$5:$L$1000,$N93)="","",INDEX('Cronograma R. Normativo'!$L$5:$L$1000,$N93))))</f>
        <v/>
      </c>
      <c r="J93" s="61">
        <f>IF($N93="","",INDEX('Cronograma R. Normativo'!$M$5:$M$1000,$N93))</f>
        <v/>
      </c>
      <c r="K93" s="56">
        <f>IF($N93="","",IF(N($J93)&gt;=1,"Completado",IF(AND(ISNUMBER($D93),$D93&lt;FechaRef),"Vencida",IF(N($J93)&gt;0,"En curso","Pendiente"))))</f>
        <v/>
      </c>
      <c r="L93" s="56">
        <f>IF($N93="","",INDEX('Cronograma R. Normativo'!$O$5:$O$1000,$N93)&amp;"")</f>
        <v/>
      </c>
      <c r="M93" s="62">
        <f>IF($N93="","",INDEX('Cronograma R. Normativo'!$Q$5:$Q$1000,$N93)&amp;"")</f>
        <v/>
      </c>
      <c r="N93">
        <f>IFERROR(MATCH(ROW()-4,rOrden_RN,0),"")</f>
        <v/>
      </c>
      <c r="O93">
        <f>IF($N93="","",INDEX('Cronograma R. Normativo'!$V$5:$V$1000,$N93))</f>
        <v/>
      </c>
      <c r="P93">
        <f>IF($N93="","",N(INDEX('Cronograma R. Normativo'!$W$5:$W$1000,$N93)))</f>
        <v/>
      </c>
      <c r="Q93">
        <f>IF(OR(LEFT($L93,7)="Vencida",LEFT($L93,5)="Vence"),SUMPRODUCT(--(LEFT($L$5:$L93,7)="Vencida"))+SUMPRODUCT(--(LEFT($L$5:$L93,5)="Vence")),"")</f>
        <v/>
      </c>
    </row>
    <row r="94">
      <c r="A94" s="56">
        <f>IF($N94="","",INDEX('Cronograma R. Normativo'!$A$5:$A$1000,$N94))</f>
        <v/>
      </c>
      <c r="B94" s="62">
        <f>IF($N94="","",IF($O94="Sub","      ↳  "&amp;INDEX('Cronograma R. Normativo'!$C$5:$C$1000,$N94),INDEX('Cronograma R. Normativo'!$C$5:$C$1000,$N94)&amp;""))</f>
        <v/>
      </c>
      <c r="C94" s="79">
        <f>IF($N94="","",IF(INDEX('Cronograma R. Normativo'!$AM$5:$AM$1000,$N94)="","",INDEX('Cronograma R. Normativo'!$AM$5:$AM$1000,$N94)))</f>
        <v/>
      </c>
      <c r="D94" s="79">
        <f>IF($N94="","",IF(INDEX('Cronograma R. Normativo'!$AN$5:$AN$1000,$N94)="","",INDEX('Cronograma R. Normativo'!$AN$5:$AN$1000,$N94)))</f>
        <v/>
      </c>
      <c r="E94" s="56">
        <f>IF($N94="","",IF(NOT(ISNUMBER($D94)),"",IF($D94&lt;InicioCiclo,"Antes del ciclo",IF($D94&gt;=InicioCiclo+28,"Después del ciclo","Semana "&amp;(INT(($D94-InicioCiclo)/7)+1)))))</f>
        <v/>
      </c>
      <c r="F94" s="61">
        <f>IF($N94="","",IF($P94&gt;0,IF(1&lt;=SemanaActual,INDEX('Cronograma R. Normativo'!$AC$5:$AC$1000,$N94),""),IF(INDEX('Cronograma R. Normativo'!$I$5:$I$1000,$N94)="","",INDEX('Cronograma R. Normativo'!$I$5:$I$1000,$N94))))</f>
        <v/>
      </c>
      <c r="G94" s="61">
        <f>IF($N94="","",IF($P94&gt;0,IF(2&lt;=SemanaActual,INDEX('Cronograma R. Normativo'!$AD$5:$AD$1000,$N94),""),IF(INDEX('Cronograma R. Normativo'!$J$5:$J$1000,$N94)="","",INDEX('Cronograma R. Normativo'!$J$5:$J$1000,$N94))))</f>
        <v/>
      </c>
      <c r="H94" s="61">
        <f>IF($N94="","",IF($P94&gt;0,IF(3&lt;=SemanaActual,INDEX('Cronograma R. Normativo'!$AE$5:$AE$1000,$N94),""),IF(INDEX('Cronograma R. Normativo'!$K$5:$K$1000,$N94)="","",INDEX('Cronograma R. Normativo'!$K$5:$K$1000,$N94))))</f>
        <v/>
      </c>
      <c r="I94" s="61">
        <f>IF($N94="","",IF($P94&gt;0,IF(4&lt;=SemanaActual,INDEX('Cronograma R. Normativo'!$AF$5:$AF$1000,$N94),""),IF(INDEX('Cronograma R. Normativo'!$L$5:$L$1000,$N94)="","",INDEX('Cronograma R. Normativo'!$L$5:$L$1000,$N94))))</f>
        <v/>
      </c>
      <c r="J94" s="61">
        <f>IF($N94="","",INDEX('Cronograma R. Normativo'!$M$5:$M$1000,$N94))</f>
        <v/>
      </c>
      <c r="K94" s="56">
        <f>IF($N94="","",IF(N($J94)&gt;=1,"Completado",IF(AND(ISNUMBER($D94),$D94&lt;FechaRef),"Vencida",IF(N($J94)&gt;0,"En curso","Pendiente"))))</f>
        <v/>
      </c>
      <c r="L94" s="56">
        <f>IF($N94="","",INDEX('Cronograma R. Normativo'!$O$5:$O$1000,$N94)&amp;"")</f>
        <v/>
      </c>
      <c r="M94" s="62">
        <f>IF($N94="","",INDEX('Cronograma R. Normativo'!$Q$5:$Q$1000,$N94)&amp;"")</f>
        <v/>
      </c>
      <c r="N94">
        <f>IFERROR(MATCH(ROW()-4,rOrden_RN,0),"")</f>
        <v/>
      </c>
      <c r="O94">
        <f>IF($N94="","",INDEX('Cronograma R. Normativo'!$V$5:$V$1000,$N94))</f>
        <v/>
      </c>
      <c r="P94">
        <f>IF($N94="","",N(INDEX('Cronograma R. Normativo'!$W$5:$W$1000,$N94)))</f>
        <v/>
      </c>
      <c r="Q94">
        <f>IF(OR(LEFT($L94,7)="Vencida",LEFT($L94,5)="Vence"),SUMPRODUCT(--(LEFT($L$5:$L94,7)="Vencida"))+SUMPRODUCT(--(LEFT($L$5:$L94,5)="Vence")),"")</f>
        <v/>
      </c>
    </row>
    <row r="95">
      <c r="A95" s="56">
        <f>IF($N95="","",INDEX('Cronograma R. Normativo'!$A$5:$A$1000,$N95))</f>
        <v/>
      </c>
      <c r="B95" s="62">
        <f>IF($N95="","",IF($O95="Sub","      ↳  "&amp;INDEX('Cronograma R. Normativo'!$C$5:$C$1000,$N95),INDEX('Cronograma R. Normativo'!$C$5:$C$1000,$N95)&amp;""))</f>
        <v/>
      </c>
      <c r="C95" s="79">
        <f>IF($N95="","",IF(INDEX('Cronograma R. Normativo'!$AM$5:$AM$1000,$N95)="","",INDEX('Cronograma R. Normativo'!$AM$5:$AM$1000,$N95)))</f>
        <v/>
      </c>
      <c r="D95" s="79">
        <f>IF($N95="","",IF(INDEX('Cronograma R. Normativo'!$AN$5:$AN$1000,$N95)="","",INDEX('Cronograma R. Normativo'!$AN$5:$AN$1000,$N95)))</f>
        <v/>
      </c>
      <c r="E95" s="56">
        <f>IF($N95="","",IF(NOT(ISNUMBER($D95)),"",IF($D95&lt;InicioCiclo,"Antes del ciclo",IF($D95&gt;=InicioCiclo+28,"Después del ciclo","Semana "&amp;(INT(($D95-InicioCiclo)/7)+1)))))</f>
        <v/>
      </c>
      <c r="F95" s="61">
        <f>IF($N95="","",IF($P95&gt;0,IF(1&lt;=SemanaActual,INDEX('Cronograma R. Normativo'!$AC$5:$AC$1000,$N95),""),IF(INDEX('Cronograma R. Normativo'!$I$5:$I$1000,$N95)="","",INDEX('Cronograma R. Normativo'!$I$5:$I$1000,$N95))))</f>
        <v/>
      </c>
      <c r="G95" s="61">
        <f>IF($N95="","",IF($P95&gt;0,IF(2&lt;=SemanaActual,INDEX('Cronograma R. Normativo'!$AD$5:$AD$1000,$N95),""),IF(INDEX('Cronograma R. Normativo'!$J$5:$J$1000,$N95)="","",INDEX('Cronograma R. Normativo'!$J$5:$J$1000,$N95))))</f>
        <v/>
      </c>
      <c r="H95" s="61">
        <f>IF($N95="","",IF($P95&gt;0,IF(3&lt;=SemanaActual,INDEX('Cronograma R. Normativo'!$AE$5:$AE$1000,$N95),""),IF(INDEX('Cronograma R. Normativo'!$K$5:$K$1000,$N95)="","",INDEX('Cronograma R. Normativo'!$K$5:$K$1000,$N95))))</f>
        <v/>
      </c>
      <c r="I95" s="61">
        <f>IF($N95="","",IF($P95&gt;0,IF(4&lt;=SemanaActual,INDEX('Cronograma R. Normativo'!$AF$5:$AF$1000,$N95),""),IF(INDEX('Cronograma R. Normativo'!$L$5:$L$1000,$N95)="","",INDEX('Cronograma R. Normativo'!$L$5:$L$1000,$N95))))</f>
        <v/>
      </c>
      <c r="J95" s="61">
        <f>IF($N95="","",INDEX('Cronograma R. Normativo'!$M$5:$M$1000,$N95))</f>
        <v/>
      </c>
      <c r="K95" s="56">
        <f>IF($N95="","",IF(N($J95)&gt;=1,"Completado",IF(AND(ISNUMBER($D95),$D95&lt;FechaRef),"Vencida",IF(N($J95)&gt;0,"En curso","Pendiente"))))</f>
        <v/>
      </c>
      <c r="L95" s="56">
        <f>IF($N95="","",INDEX('Cronograma R. Normativo'!$O$5:$O$1000,$N95)&amp;"")</f>
        <v/>
      </c>
      <c r="M95" s="62">
        <f>IF($N95="","",INDEX('Cronograma R. Normativo'!$Q$5:$Q$1000,$N95)&amp;"")</f>
        <v/>
      </c>
      <c r="N95">
        <f>IFERROR(MATCH(ROW()-4,rOrden_RN,0),"")</f>
        <v/>
      </c>
      <c r="O95">
        <f>IF($N95="","",INDEX('Cronograma R. Normativo'!$V$5:$V$1000,$N95))</f>
        <v/>
      </c>
      <c r="P95">
        <f>IF($N95="","",N(INDEX('Cronograma R. Normativo'!$W$5:$W$1000,$N95)))</f>
        <v/>
      </c>
      <c r="Q95">
        <f>IF(OR(LEFT($L95,7)="Vencida",LEFT($L95,5)="Vence"),SUMPRODUCT(--(LEFT($L$5:$L95,7)="Vencida"))+SUMPRODUCT(--(LEFT($L$5:$L95,5)="Vence")),"")</f>
        <v/>
      </c>
    </row>
    <row r="96">
      <c r="A96" s="56">
        <f>IF($N96="","",INDEX('Cronograma R. Normativo'!$A$5:$A$1000,$N96))</f>
        <v/>
      </c>
      <c r="B96" s="62">
        <f>IF($N96="","",IF($O96="Sub","      ↳  "&amp;INDEX('Cronograma R. Normativo'!$C$5:$C$1000,$N96),INDEX('Cronograma R. Normativo'!$C$5:$C$1000,$N96)&amp;""))</f>
        <v/>
      </c>
      <c r="C96" s="79">
        <f>IF($N96="","",IF(INDEX('Cronograma R. Normativo'!$AM$5:$AM$1000,$N96)="","",INDEX('Cronograma R. Normativo'!$AM$5:$AM$1000,$N96)))</f>
        <v/>
      </c>
      <c r="D96" s="79">
        <f>IF($N96="","",IF(INDEX('Cronograma R. Normativo'!$AN$5:$AN$1000,$N96)="","",INDEX('Cronograma R. Normativo'!$AN$5:$AN$1000,$N96)))</f>
        <v/>
      </c>
      <c r="E96" s="56">
        <f>IF($N96="","",IF(NOT(ISNUMBER($D96)),"",IF($D96&lt;InicioCiclo,"Antes del ciclo",IF($D96&gt;=InicioCiclo+28,"Después del ciclo","Semana "&amp;(INT(($D96-InicioCiclo)/7)+1)))))</f>
        <v/>
      </c>
      <c r="F96" s="61">
        <f>IF($N96="","",IF($P96&gt;0,IF(1&lt;=SemanaActual,INDEX('Cronograma R. Normativo'!$AC$5:$AC$1000,$N96),""),IF(INDEX('Cronograma R. Normativo'!$I$5:$I$1000,$N96)="","",INDEX('Cronograma R. Normativo'!$I$5:$I$1000,$N96))))</f>
        <v/>
      </c>
      <c r="G96" s="61">
        <f>IF($N96="","",IF($P96&gt;0,IF(2&lt;=SemanaActual,INDEX('Cronograma R. Normativo'!$AD$5:$AD$1000,$N96),""),IF(INDEX('Cronograma R. Normativo'!$J$5:$J$1000,$N96)="","",INDEX('Cronograma R. Normativo'!$J$5:$J$1000,$N96))))</f>
        <v/>
      </c>
      <c r="H96" s="61">
        <f>IF($N96="","",IF($P96&gt;0,IF(3&lt;=SemanaActual,INDEX('Cronograma R. Normativo'!$AE$5:$AE$1000,$N96),""),IF(INDEX('Cronograma R. Normativo'!$K$5:$K$1000,$N96)="","",INDEX('Cronograma R. Normativo'!$K$5:$K$1000,$N96))))</f>
        <v/>
      </c>
      <c r="I96" s="61">
        <f>IF($N96="","",IF($P96&gt;0,IF(4&lt;=SemanaActual,INDEX('Cronograma R. Normativo'!$AF$5:$AF$1000,$N96),""),IF(INDEX('Cronograma R. Normativo'!$L$5:$L$1000,$N96)="","",INDEX('Cronograma R. Normativo'!$L$5:$L$1000,$N96))))</f>
        <v/>
      </c>
      <c r="J96" s="61">
        <f>IF($N96="","",INDEX('Cronograma R. Normativo'!$M$5:$M$1000,$N96))</f>
        <v/>
      </c>
      <c r="K96" s="56">
        <f>IF($N96="","",IF(N($J96)&gt;=1,"Completado",IF(AND(ISNUMBER($D96),$D96&lt;FechaRef),"Vencida",IF(N($J96)&gt;0,"En curso","Pendiente"))))</f>
        <v/>
      </c>
      <c r="L96" s="56">
        <f>IF($N96="","",INDEX('Cronograma R. Normativo'!$O$5:$O$1000,$N96)&amp;"")</f>
        <v/>
      </c>
      <c r="M96" s="62">
        <f>IF($N96="","",INDEX('Cronograma R. Normativo'!$Q$5:$Q$1000,$N96)&amp;"")</f>
        <v/>
      </c>
      <c r="N96">
        <f>IFERROR(MATCH(ROW()-4,rOrden_RN,0),"")</f>
        <v/>
      </c>
      <c r="O96">
        <f>IF($N96="","",INDEX('Cronograma R. Normativo'!$V$5:$V$1000,$N96))</f>
        <v/>
      </c>
      <c r="P96">
        <f>IF($N96="","",N(INDEX('Cronograma R. Normativo'!$W$5:$W$1000,$N96)))</f>
        <v/>
      </c>
      <c r="Q96">
        <f>IF(OR(LEFT($L96,7)="Vencida",LEFT($L96,5)="Vence"),SUMPRODUCT(--(LEFT($L$5:$L96,7)="Vencida"))+SUMPRODUCT(--(LEFT($L$5:$L96,5)="Vence")),"")</f>
        <v/>
      </c>
    </row>
    <row r="97">
      <c r="A97" s="56">
        <f>IF($N97="","",INDEX('Cronograma R. Normativo'!$A$5:$A$1000,$N97))</f>
        <v/>
      </c>
      <c r="B97" s="62">
        <f>IF($N97="","",IF($O97="Sub","      ↳  "&amp;INDEX('Cronograma R. Normativo'!$C$5:$C$1000,$N97),INDEX('Cronograma R. Normativo'!$C$5:$C$1000,$N97)&amp;""))</f>
        <v/>
      </c>
      <c r="C97" s="79">
        <f>IF($N97="","",IF(INDEX('Cronograma R. Normativo'!$AM$5:$AM$1000,$N97)="","",INDEX('Cronograma R. Normativo'!$AM$5:$AM$1000,$N97)))</f>
        <v/>
      </c>
      <c r="D97" s="79">
        <f>IF($N97="","",IF(INDEX('Cronograma R. Normativo'!$AN$5:$AN$1000,$N97)="","",INDEX('Cronograma R. Normativo'!$AN$5:$AN$1000,$N97)))</f>
        <v/>
      </c>
      <c r="E97" s="56">
        <f>IF($N97="","",IF(NOT(ISNUMBER($D97)),"",IF($D97&lt;InicioCiclo,"Antes del ciclo",IF($D97&gt;=InicioCiclo+28,"Después del ciclo","Semana "&amp;(INT(($D97-InicioCiclo)/7)+1)))))</f>
        <v/>
      </c>
      <c r="F97" s="61">
        <f>IF($N97="","",IF($P97&gt;0,IF(1&lt;=SemanaActual,INDEX('Cronograma R. Normativo'!$AC$5:$AC$1000,$N97),""),IF(INDEX('Cronograma R. Normativo'!$I$5:$I$1000,$N97)="","",INDEX('Cronograma R. Normativo'!$I$5:$I$1000,$N97))))</f>
        <v/>
      </c>
      <c r="G97" s="61">
        <f>IF($N97="","",IF($P97&gt;0,IF(2&lt;=SemanaActual,INDEX('Cronograma R. Normativo'!$AD$5:$AD$1000,$N97),""),IF(INDEX('Cronograma R. Normativo'!$J$5:$J$1000,$N97)="","",INDEX('Cronograma R. Normativo'!$J$5:$J$1000,$N97))))</f>
        <v/>
      </c>
      <c r="H97" s="61">
        <f>IF($N97="","",IF($P97&gt;0,IF(3&lt;=SemanaActual,INDEX('Cronograma R. Normativo'!$AE$5:$AE$1000,$N97),""),IF(INDEX('Cronograma R. Normativo'!$K$5:$K$1000,$N97)="","",INDEX('Cronograma R. Normativo'!$K$5:$K$1000,$N97))))</f>
        <v/>
      </c>
      <c r="I97" s="61">
        <f>IF($N97="","",IF($P97&gt;0,IF(4&lt;=SemanaActual,INDEX('Cronograma R. Normativo'!$AF$5:$AF$1000,$N97),""),IF(INDEX('Cronograma R. Normativo'!$L$5:$L$1000,$N97)="","",INDEX('Cronograma R. Normativo'!$L$5:$L$1000,$N97))))</f>
        <v/>
      </c>
      <c r="J97" s="61">
        <f>IF($N97="","",INDEX('Cronograma R. Normativo'!$M$5:$M$1000,$N97))</f>
        <v/>
      </c>
      <c r="K97" s="56">
        <f>IF($N97="","",IF(N($J97)&gt;=1,"Completado",IF(AND(ISNUMBER($D97),$D97&lt;FechaRef),"Vencida",IF(N($J97)&gt;0,"En curso","Pendiente"))))</f>
        <v/>
      </c>
      <c r="L97" s="56">
        <f>IF($N97="","",INDEX('Cronograma R. Normativo'!$O$5:$O$1000,$N97)&amp;"")</f>
        <v/>
      </c>
      <c r="M97" s="62">
        <f>IF($N97="","",INDEX('Cronograma R. Normativo'!$Q$5:$Q$1000,$N97)&amp;"")</f>
        <v/>
      </c>
      <c r="N97">
        <f>IFERROR(MATCH(ROW()-4,rOrden_RN,0),"")</f>
        <v/>
      </c>
      <c r="O97">
        <f>IF($N97="","",INDEX('Cronograma R. Normativo'!$V$5:$V$1000,$N97))</f>
        <v/>
      </c>
      <c r="P97">
        <f>IF($N97="","",N(INDEX('Cronograma R. Normativo'!$W$5:$W$1000,$N97)))</f>
        <v/>
      </c>
      <c r="Q97">
        <f>IF(OR(LEFT($L97,7)="Vencida",LEFT($L97,5)="Vence"),SUMPRODUCT(--(LEFT($L$5:$L97,7)="Vencida"))+SUMPRODUCT(--(LEFT($L$5:$L97,5)="Vence")),"")</f>
        <v/>
      </c>
    </row>
    <row r="98">
      <c r="A98" s="56">
        <f>IF($N98="","",INDEX('Cronograma R. Normativo'!$A$5:$A$1000,$N98))</f>
        <v/>
      </c>
      <c r="B98" s="62">
        <f>IF($N98="","",IF($O98="Sub","      ↳  "&amp;INDEX('Cronograma R. Normativo'!$C$5:$C$1000,$N98),INDEX('Cronograma R. Normativo'!$C$5:$C$1000,$N98)&amp;""))</f>
        <v/>
      </c>
      <c r="C98" s="79">
        <f>IF($N98="","",IF(INDEX('Cronograma R. Normativo'!$AM$5:$AM$1000,$N98)="","",INDEX('Cronograma R. Normativo'!$AM$5:$AM$1000,$N98)))</f>
        <v/>
      </c>
      <c r="D98" s="79">
        <f>IF($N98="","",IF(INDEX('Cronograma R. Normativo'!$AN$5:$AN$1000,$N98)="","",INDEX('Cronograma R. Normativo'!$AN$5:$AN$1000,$N98)))</f>
        <v/>
      </c>
      <c r="E98" s="56">
        <f>IF($N98="","",IF(NOT(ISNUMBER($D98)),"",IF($D98&lt;InicioCiclo,"Antes del ciclo",IF($D98&gt;=InicioCiclo+28,"Después del ciclo","Semana "&amp;(INT(($D98-InicioCiclo)/7)+1)))))</f>
        <v/>
      </c>
      <c r="F98" s="61">
        <f>IF($N98="","",IF($P98&gt;0,IF(1&lt;=SemanaActual,INDEX('Cronograma R. Normativo'!$AC$5:$AC$1000,$N98),""),IF(INDEX('Cronograma R. Normativo'!$I$5:$I$1000,$N98)="","",INDEX('Cronograma R. Normativo'!$I$5:$I$1000,$N98))))</f>
        <v/>
      </c>
      <c r="G98" s="61">
        <f>IF($N98="","",IF($P98&gt;0,IF(2&lt;=SemanaActual,INDEX('Cronograma R. Normativo'!$AD$5:$AD$1000,$N98),""),IF(INDEX('Cronograma R. Normativo'!$J$5:$J$1000,$N98)="","",INDEX('Cronograma R. Normativo'!$J$5:$J$1000,$N98))))</f>
        <v/>
      </c>
      <c r="H98" s="61">
        <f>IF($N98="","",IF($P98&gt;0,IF(3&lt;=SemanaActual,INDEX('Cronograma R. Normativo'!$AE$5:$AE$1000,$N98),""),IF(INDEX('Cronograma R. Normativo'!$K$5:$K$1000,$N98)="","",INDEX('Cronograma R. Normativo'!$K$5:$K$1000,$N98))))</f>
        <v/>
      </c>
      <c r="I98" s="61">
        <f>IF($N98="","",IF($P98&gt;0,IF(4&lt;=SemanaActual,INDEX('Cronograma R. Normativo'!$AF$5:$AF$1000,$N98),""),IF(INDEX('Cronograma R. Normativo'!$L$5:$L$1000,$N98)="","",INDEX('Cronograma R. Normativo'!$L$5:$L$1000,$N98))))</f>
        <v/>
      </c>
      <c r="J98" s="61">
        <f>IF($N98="","",INDEX('Cronograma R. Normativo'!$M$5:$M$1000,$N98))</f>
        <v/>
      </c>
      <c r="K98" s="56">
        <f>IF($N98="","",IF(N($J98)&gt;=1,"Completado",IF(AND(ISNUMBER($D98),$D98&lt;FechaRef),"Vencida",IF(N($J98)&gt;0,"En curso","Pendiente"))))</f>
        <v/>
      </c>
      <c r="L98" s="56">
        <f>IF($N98="","",INDEX('Cronograma R. Normativo'!$O$5:$O$1000,$N98)&amp;"")</f>
        <v/>
      </c>
      <c r="M98" s="62">
        <f>IF($N98="","",INDEX('Cronograma R. Normativo'!$Q$5:$Q$1000,$N98)&amp;"")</f>
        <v/>
      </c>
      <c r="N98">
        <f>IFERROR(MATCH(ROW()-4,rOrden_RN,0),"")</f>
        <v/>
      </c>
      <c r="O98">
        <f>IF($N98="","",INDEX('Cronograma R. Normativo'!$V$5:$V$1000,$N98))</f>
        <v/>
      </c>
      <c r="P98">
        <f>IF($N98="","",N(INDEX('Cronograma R. Normativo'!$W$5:$W$1000,$N98)))</f>
        <v/>
      </c>
      <c r="Q98">
        <f>IF(OR(LEFT($L98,7)="Vencida",LEFT($L98,5)="Vence"),SUMPRODUCT(--(LEFT($L$5:$L98,7)="Vencida"))+SUMPRODUCT(--(LEFT($L$5:$L98,5)="Vence")),"")</f>
        <v/>
      </c>
    </row>
    <row r="99">
      <c r="A99" s="56">
        <f>IF($N99="","",INDEX('Cronograma R. Normativo'!$A$5:$A$1000,$N99))</f>
        <v/>
      </c>
      <c r="B99" s="62">
        <f>IF($N99="","",IF($O99="Sub","      ↳  "&amp;INDEX('Cronograma R. Normativo'!$C$5:$C$1000,$N99),INDEX('Cronograma R. Normativo'!$C$5:$C$1000,$N99)&amp;""))</f>
        <v/>
      </c>
      <c r="C99" s="79">
        <f>IF($N99="","",IF(INDEX('Cronograma R. Normativo'!$AM$5:$AM$1000,$N99)="","",INDEX('Cronograma R. Normativo'!$AM$5:$AM$1000,$N99)))</f>
        <v/>
      </c>
      <c r="D99" s="79">
        <f>IF($N99="","",IF(INDEX('Cronograma R. Normativo'!$AN$5:$AN$1000,$N99)="","",INDEX('Cronograma R. Normativo'!$AN$5:$AN$1000,$N99)))</f>
        <v/>
      </c>
      <c r="E99" s="56">
        <f>IF($N99="","",IF(NOT(ISNUMBER($D99)),"",IF($D99&lt;InicioCiclo,"Antes del ciclo",IF($D99&gt;=InicioCiclo+28,"Después del ciclo","Semana "&amp;(INT(($D99-InicioCiclo)/7)+1)))))</f>
        <v/>
      </c>
      <c r="F99" s="61">
        <f>IF($N99="","",IF($P99&gt;0,IF(1&lt;=SemanaActual,INDEX('Cronograma R. Normativo'!$AC$5:$AC$1000,$N99),""),IF(INDEX('Cronograma R. Normativo'!$I$5:$I$1000,$N99)="","",INDEX('Cronograma R. Normativo'!$I$5:$I$1000,$N99))))</f>
        <v/>
      </c>
      <c r="G99" s="61">
        <f>IF($N99="","",IF($P99&gt;0,IF(2&lt;=SemanaActual,INDEX('Cronograma R. Normativo'!$AD$5:$AD$1000,$N99),""),IF(INDEX('Cronograma R. Normativo'!$J$5:$J$1000,$N99)="","",INDEX('Cronograma R. Normativo'!$J$5:$J$1000,$N99))))</f>
        <v/>
      </c>
      <c r="H99" s="61">
        <f>IF($N99="","",IF($P99&gt;0,IF(3&lt;=SemanaActual,INDEX('Cronograma R. Normativo'!$AE$5:$AE$1000,$N99),""),IF(INDEX('Cronograma R. Normativo'!$K$5:$K$1000,$N99)="","",INDEX('Cronograma R. Normativo'!$K$5:$K$1000,$N99))))</f>
        <v/>
      </c>
      <c r="I99" s="61">
        <f>IF($N99="","",IF($P99&gt;0,IF(4&lt;=SemanaActual,INDEX('Cronograma R. Normativo'!$AF$5:$AF$1000,$N99),""),IF(INDEX('Cronograma R. Normativo'!$L$5:$L$1000,$N99)="","",INDEX('Cronograma R. Normativo'!$L$5:$L$1000,$N99))))</f>
        <v/>
      </c>
      <c r="J99" s="61">
        <f>IF($N99="","",INDEX('Cronograma R. Normativo'!$M$5:$M$1000,$N99))</f>
        <v/>
      </c>
      <c r="K99" s="56">
        <f>IF($N99="","",IF(N($J99)&gt;=1,"Completado",IF(AND(ISNUMBER($D99),$D99&lt;FechaRef),"Vencida",IF(N($J99)&gt;0,"En curso","Pendiente"))))</f>
        <v/>
      </c>
      <c r="L99" s="56">
        <f>IF($N99="","",INDEX('Cronograma R. Normativo'!$O$5:$O$1000,$N99)&amp;"")</f>
        <v/>
      </c>
      <c r="M99" s="62">
        <f>IF($N99="","",INDEX('Cronograma R. Normativo'!$Q$5:$Q$1000,$N99)&amp;"")</f>
        <v/>
      </c>
      <c r="N99">
        <f>IFERROR(MATCH(ROW()-4,rOrden_RN,0),"")</f>
        <v/>
      </c>
      <c r="O99">
        <f>IF($N99="","",INDEX('Cronograma R. Normativo'!$V$5:$V$1000,$N99))</f>
        <v/>
      </c>
      <c r="P99">
        <f>IF($N99="","",N(INDEX('Cronograma R. Normativo'!$W$5:$W$1000,$N99)))</f>
        <v/>
      </c>
      <c r="Q99">
        <f>IF(OR(LEFT($L99,7)="Vencida",LEFT($L99,5)="Vence"),SUMPRODUCT(--(LEFT($L$5:$L99,7)="Vencida"))+SUMPRODUCT(--(LEFT($L$5:$L99,5)="Vence")),"")</f>
        <v/>
      </c>
    </row>
    <row r="100">
      <c r="A100" s="56">
        <f>IF($N100="","",INDEX('Cronograma R. Normativo'!$A$5:$A$1000,$N100))</f>
        <v/>
      </c>
      <c r="B100" s="62">
        <f>IF($N100="","",IF($O100="Sub","      ↳  "&amp;INDEX('Cronograma R. Normativo'!$C$5:$C$1000,$N100),INDEX('Cronograma R. Normativo'!$C$5:$C$1000,$N100)&amp;""))</f>
        <v/>
      </c>
      <c r="C100" s="79">
        <f>IF($N100="","",IF(INDEX('Cronograma R. Normativo'!$AM$5:$AM$1000,$N100)="","",INDEX('Cronograma R. Normativo'!$AM$5:$AM$1000,$N100)))</f>
        <v/>
      </c>
      <c r="D100" s="79">
        <f>IF($N100="","",IF(INDEX('Cronograma R. Normativo'!$AN$5:$AN$1000,$N100)="","",INDEX('Cronograma R. Normativo'!$AN$5:$AN$1000,$N100)))</f>
        <v/>
      </c>
      <c r="E100" s="56">
        <f>IF($N100="","",IF(NOT(ISNUMBER($D100)),"",IF($D100&lt;InicioCiclo,"Antes del ciclo",IF($D100&gt;=InicioCiclo+28,"Después del ciclo","Semana "&amp;(INT(($D100-InicioCiclo)/7)+1)))))</f>
        <v/>
      </c>
      <c r="F100" s="61">
        <f>IF($N100="","",IF($P100&gt;0,IF(1&lt;=SemanaActual,INDEX('Cronograma R. Normativo'!$AC$5:$AC$1000,$N100),""),IF(INDEX('Cronograma R. Normativo'!$I$5:$I$1000,$N100)="","",INDEX('Cronograma R. Normativo'!$I$5:$I$1000,$N100))))</f>
        <v/>
      </c>
      <c r="G100" s="61">
        <f>IF($N100="","",IF($P100&gt;0,IF(2&lt;=SemanaActual,INDEX('Cronograma R. Normativo'!$AD$5:$AD$1000,$N100),""),IF(INDEX('Cronograma R. Normativo'!$J$5:$J$1000,$N100)="","",INDEX('Cronograma R. Normativo'!$J$5:$J$1000,$N100))))</f>
        <v/>
      </c>
      <c r="H100" s="61">
        <f>IF($N100="","",IF($P100&gt;0,IF(3&lt;=SemanaActual,INDEX('Cronograma R. Normativo'!$AE$5:$AE$1000,$N100),""),IF(INDEX('Cronograma R. Normativo'!$K$5:$K$1000,$N100)="","",INDEX('Cronograma R. Normativo'!$K$5:$K$1000,$N100))))</f>
        <v/>
      </c>
      <c r="I100" s="61">
        <f>IF($N100="","",IF($P100&gt;0,IF(4&lt;=SemanaActual,INDEX('Cronograma R. Normativo'!$AF$5:$AF$1000,$N100),""),IF(INDEX('Cronograma R. Normativo'!$L$5:$L$1000,$N100)="","",INDEX('Cronograma R. Normativo'!$L$5:$L$1000,$N100))))</f>
        <v/>
      </c>
      <c r="J100" s="61">
        <f>IF($N100="","",INDEX('Cronograma R. Normativo'!$M$5:$M$1000,$N100))</f>
        <v/>
      </c>
      <c r="K100" s="56">
        <f>IF($N100="","",IF(N($J100)&gt;=1,"Completado",IF(AND(ISNUMBER($D100),$D100&lt;FechaRef),"Vencida",IF(N($J100)&gt;0,"En curso","Pendiente"))))</f>
        <v/>
      </c>
      <c r="L100" s="56">
        <f>IF($N100="","",INDEX('Cronograma R. Normativo'!$O$5:$O$1000,$N100)&amp;"")</f>
        <v/>
      </c>
      <c r="M100" s="62">
        <f>IF($N100="","",INDEX('Cronograma R. Normativo'!$Q$5:$Q$1000,$N100)&amp;"")</f>
        <v/>
      </c>
      <c r="N100">
        <f>IFERROR(MATCH(ROW()-4,rOrden_RN,0),"")</f>
        <v/>
      </c>
      <c r="O100">
        <f>IF($N100="","",INDEX('Cronograma R. Normativo'!$V$5:$V$1000,$N100))</f>
        <v/>
      </c>
      <c r="P100">
        <f>IF($N100="","",N(INDEX('Cronograma R. Normativo'!$W$5:$W$1000,$N100)))</f>
        <v/>
      </c>
      <c r="Q100">
        <f>IF(OR(LEFT($L100,7)="Vencida",LEFT($L100,5)="Vence"),SUMPRODUCT(--(LEFT($L$5:$L100,7)="Vencida"))+SUMPRODUCT(--(LEFT($L$5:$L100,5)="Vence")),"")</f>
        <v/>
      </c>
    </row>
    <row r="101">
      <c r="A101" s="56">
        <f>IF($N101="","",INDEX('Cronograma R. Normativo'!$A$5:$A$1000,$N101))</f>
        <v/>
      </c>
      <c r="B101" s="62">
        <f>IF($N101="","",IF($O101="Sub","      ↳  "&amp;INDEX('Cronograma R. Normativo'!$C$5:$C$1000,$N101),INDEX('Cronograma R. Normativo'!$C$5:$C$1000,$N101)&amp;""))</f>
        <v/>
      </c>
      <c r="C101" s="79">
        <f>IF($N101="","",IF(INDEX('Cronograma R. Normativo'!$AM$5:$AM$1000,$N101)="","",INDEX('Cronograma R. Normativo'!$AM$5:$AM$1000,$N101)))</f>
        <v/>
      </c>
      <c r="D101" s="79">
        <f>IF($N101="","",IF(INDEX('Cronograma R. Normativo'!$AN$5:$AN$1000,$N101)="","",INDEX('Cronograma R. Normativo'!$AN$5:$AN$1000,$N101)))</f>
        <v/>
      </c>
      <c r="E101" s="56">
        <f>IF($N101="","",IF(NOT(ISNUMBER($D101)),"",IF($D101&lt;InicioCiclo,"Antes del ciclo",IF($D101&gt;=InicioCiclo+28,"Después del ciclo","Semana "&amp;(INT(($D101-InicioCiclo)/7)+1)))))</f>
        <v/>
      </c>
      <c r="F101" s="61">
        <f>IF($N101="","",IF($P101&gt;0,IF(1&lt;=SemanaActual,INDEX('Cronograma R. Normativo'!$AC$5:$AC$1000,$N101),""),IF(INDEX('Cronograma R. Normativo'!$I$5:$I$1000,$N101)="","",INDEX('Cronograma R. Normativo'!$I$5:$I$1000,$N101))))</f>
        <v/>
      </c>
      <c r="G101" s="61">
        <f>IF($N101="","",IF($P101&gt;0,IF(2&lt;=SemanaActual,INDEX('Cronograma R. Normativo'!$AD$5:$AD$1000,$N101),""),IF(INDEX('Cronograma R. Normativo'!$J$5:$J$1000,$N101)="","",INDEX('Cronograma R. Normativo'!$J$5:$J$1000,$N101))))</f>
        <v/>
      </c>
      <c r="H101" s="61">
        <f>IF($N101="","",IF($P101&gt;0,IF(3&lt;=SemanaActual,INDEX('Cronograma R. Normativo'!$AE$5:$AE$1000,$N101),""),IF(INDEX('Cronograma R. Normativo'!$K$5:$K$1000,$N101)="","",INDEX('Cronograma R. Normativo'!$K$5:$K$1000,$N101))))</f>
        <v/>
      </c>
      <c r="I101" s="61">
        <f>IF($N101="","",IF($P101&gt;0,IF(4&lt;=SemanaActual,INDEX('Cronograma R. Normativo'!$AF$5:$AF$1000,$N101),""),IF(INDEX('Cronograma R. Normativo'!$L$5:$L$1000,$N101)="","",INDEX('Cronograma R. Normativo'!$L$5:$L$1000,$N101))))</f>
        <v/>
      </c>
      <c r="J101" s="61">
        <f>IF($N101="","",INDEX('Cronograma R. Normativo'!$M$5:$M$1000,$N101))</f>
        <v/>
      </c>
      <c r="K101" s="56">
        <f>IF($N101="","",IF(N($J101)&gt;=1,"Completado",IF(AND(ISNUMBER($D101),$D101&lt;FechaRef),"Vencida",IF(N($J101)&gt;0,"En curso","Pendiente"))))</f>
        <v/>
      </c>
      <c r="L101" s="56">
        <f>IF($N101="","",INDEX('Cronograma R. Normativo'!$O$5:$O$1000,$N101)&amp;"")</f>
        <v/>
      </c>
      <c r="M101" s="62">
        <f>IF($N101="","",INDEX('Cronograma R. Normativo'!$Q$5:$Q$1000,$N101)&amp;"")</f>
        <v/>
      </c>
      <c r="N101">
        <f>IFERROR(MATCH(ROW()-4,rOrden_RN,0),"")</f>
        <v/>
      </c>
      <c r="O101">
        <f>IF($N101="","",INDEX('Cronograma R. Normativo'!$V$5:$V$1000,$N101))</f>
        <v/>
      </c>
      <c r="P101">
        <f>IF($N101="","",N(INDEX('Cronograma R. Normativo'!$W$5:$W$1000,$N101)))</f>
        <v/>
      </c>
      <c r="Q101">
        <f>IF(OR(LEFT($L101,7)="Vencida",LEFT($L101,5)="Vence"),SUMPRODUCT(--(LEFT($L$5:$L101,7)="Vencida"))+SUMPRODUCT(--(LEFT($L$5:$L101,5)="Vence")),"")</f>
        <v/>
      </c>
    </row>
    <row r="102">
      <c r="A102" s="56">
        <f>IF($N102="","",INDEX('Cronograma R. Normativo'!$A$5:$A$1000,$N102))</f>
        <v/>
      </c>
      <c r="B102" s="62">
        <f>IF($N102="","",IF($O102="Sub","      ↳  "&amp;INDEX('Cronograma R. Normativo'!$C$5:$C$1000,$N102),INDEX('Cronograma R. Normativo'!$C$5:$C$1000,$N102)&amp;""))</f>
        <v/>
      </c>
      <c r="C102" s="79">
        <f>IF($N102="","",IF(INDEX('Cronograma R. Normativo'!$AM$5:$AM$1000,$N102)="","",INDEX('Cronograma R. Normativo'!$AM$5:$AM$1000,$N102)))</f>
        <v/>
      </c>
      <c r="D102" s="79">
        <f>IF($N102="","",IF(INDEX('Cronograma R. Normativo'!$AN$5:$AN$1000,$N102)="","",INDEX('Cronograma R. Normativo'!$AN$5:$AN$1000,$N102)))</f>
        <v/>
      </c>
      <c r="E102" s="56">
        <f>IF($N102="","",IF(NOT(ISNUMBER($D102)),"",IF($D102&lt;InicioCiclo,"Antes del ciclo",IF($D102&gt;=InicioCiclo+28,"Después del ciclo","Semana "&amp;(INT(($D102-InicioCiclo)/7)+1)))))</f>
        <v/>
      </c>
      <c r="F102" s="61">
        <f>IF($N102="","",IF($P102&gt;0,IF(1&lt;=SemanaActual,INDEX('Cronograma R. Normativo'!$AC$5:$AC$1000,$N102),""),IF(INDEX('Cronograma R. Normativo'!$I$5:$I$1000,$N102)="","",INDEX('Cronograma R. Normativo'!$I$5:$I$1000,$N102))))</f>
        <v/>
      </c>
      <c r="G102" s="61">
        <f>IF($N102="","",IF($P102&gt;0,IF(2&lt;=SemanaActual,INDEX('Cronograma R. Normativo'!$AD$5:$AD$1000,$N102),""),IF(INDEX('Cronograma R. Normativo'!$J$5:$J$1000,$N102)="","",INDEX('Cronograma R. Normativo'!$J$5:$J$1000,$N102))))</f>
        <v/>
      </c>
      <c r="H102" s="61">
        <f>IF($N102="","",IF($P102&gt;0,IF(3&lt;=SemanaActual,INDEX('Cronograma R. Normativo'!$AE$5:$AE$1000,$N102),""),IF(INDEX('Cronograma R. Normativo'!$K$5:$K$1000,$N102)="","",INDEX('Cronograma R. Normativo'!$K$5:$K$1000,$N102))))</f>
        <v/>
      </c>
      <c r="I102" s="61">
        <f>IF($N102="","",IF($P102&gt;0,IF(4&lt;=SemanaActual,INDEX('Cronograma R. Normativo'!$AF$5:$AF$1000,$N102),""),IF(INDEX('Cronograma R. Normativo'!$L$5:$L$1000,$N102)="","",INDEX('Cronograma R. Normativo'!$L$5:$L$1000,$N102))))</f>
        <v/>
      </c>
      <c r="J102" s="61">
        <f>IF($N102="","",INDEX('Cronograma R. Normativo'!$M$5:$M$1000,$N102))</f>
        <v/>
      </c>
      <c r="K102" s="56">
        <f>IF($N102="","",IF(N($J102)&gt;=1,"Completado",IF(AND(ISNUMBER($D102),$D102&lt;FechaRef),"Vencida",IF(N($J102)&gt;0,"En curso","Pendiente"))))</f>
        <v/>
      </c>
      <c r="L102" s="56">
        <f>IF($N102="","",INDEX('Cronograma R. Normativo'!$O$5:$O$1000,$N102)&amp;"")</f>
        <v/>
      </c>
      <c r="M102" s="62">
        <f>IF($N102="","",INDEX('Cronograma R. Normativo'!$Q$5:$Q$1000,$N102)&amp;"")</f>
        <v/>
      </c>
      <c r="N102">
        <f>IFERROR(MATCH(ROW()-4,rOrden_RN,0),"")</f>
        <v/>
      </c>
      <c r="O102">
        <f>IF($N102="","",INDEX('Cronograma R. Normativo'!$V$5:$V$1000,$N102))</f>
        <v/>
      </c>
      <c r="P102">
        <f>IF($N102="","",N(INDEX('Cronograma R. Normativo'!$W$5:$W$1000,$N102)))</f>
        <v/>
      </c>
      <c r="Q102">
        <f>IF(OR(LEFT($L102,7)="Vencida",LEFT($L102,5)="Vence"),SUMPRODUCT(--(LEFT($L$5:$L102,7)="Vencida"))+SUMPRODUCT(--(LEFT($L$5:$L102,5)="Vence")),"")</f>
        <v/>
      </c>
    </row>
    <row r="103">
      <c r="A103" s="56">
        <f>IF($N103="","",INDEX('Cronograma R. Normativo'!$A$5:$A$1000,$N103))</f>
        <v/>
      </c>
      <c r="B103" s="62">
        <f>IF($N103="","",IF($O103="Sub","      ↳  "&amp;INDEX('Cronograma R. Normativo'!$C$5:$C$1000,$N103),INDEX('Cronograma R. Normativo'!$C$5:$C$1000,$N103)&amp;""))</f>
        <v/>
      </c>
      <c r="C103" s="79">
        <f>IF($N103="","",IF(INDEX('Cronograma R. Normativo'!$AM$5:$AM$1000,$N103)="","",INDEX('Cronograma R. Normativo'!$AM$5:$AM$1000,$N103)))</f>
        <v/>
      </c>
      <c r="D103" s="79">
        <f>IF($N103="","",IF(INDEX('Cronograma R. Normativo'!$AN$5:$AN$1000,$N103)="","",INDEX('Cronograma R. Normativo'!$AN$5:$AN$1000,$N103)))</f>
        <v/>
      </c>
      <c r="E103" s="56">
        <f>IF($N103="","",IF(NOT(ISNUMBER($D103)),"",IF($D103&lt;InicioCiclo,"Antes del ciclo",IF($D103&gt;=InicioCiclo+28,"Después del ciclo","Semana "&amp;(INT(($D103-InicioCiclo)/7)+1)))))</f>
        <v/>
      </c>
      <c r="F103" s="61">
        <f>IF($N103="","",IF($P103&gt;0,IF(1&lt;=SemanaActual,INDEX('Cronograma R. Normativo'!$AC$5:$AC$1000,$N103),""),IF(INDEX('Cronograma R. Normativo'!$I$5:$I$1000,$N103)="","",INDEX('Cronograma R. Normativo'!$I$5:$I$1000,$N103))))</f>
        <v/>
      </c>
      <c r="G103" s="61">
        <f>IF($N103="","",IF($P103&gt;0,IF(2&lt;=SemanaActual,INDEX('Cronograma R. Normativo'!$AD$5:$AD$1000,$N103),""),IF(INDEX('Cronograma R. Normativo'!$J$5:$J$1000,$N103)="","",INDEX('Cronograma R. Normativo'!$J$5:$J$1000,$N103))))</f>
        <v/>
      </c>
      <c r="H103" s="61">
        <f>IF($N103="","",IF($P103&gt;0,IF(3&lt;=SemanaActual,INDEX('Cronograma R. Normativo'!$AE$5:$AE$1000,$N103),""),IF(INDEX('Cronograma R. Normativo'!$K$5:$K$1000,$N103)="","",INDEX('Cronograma R. Normativo'!$K$5:$K$1000,$N103))))</f>
        <v/>
      </c>
      <c r="I103" s="61">
        <f>IF($N103="","",IF($P103&gt;0,IF(4&lt;=SemanaActual,INDEX('Cronograma R. Normativo'!$AF$5:$AF$1000,$N103),""),IF(INDEX('Cronograma R. Normativo'!$L$5:$L$1000,$N103)="","",INDEX('Cronograma R. Normativo'!$L$5:$L$1000,$N103))))</f>
        <v/>
      </c>
      <c r="J103" s="61">
        <f>IF($N103="","",INDEX('Cronograma R. Normativo'!$M$5:$M$1000,$N103))</f>
        <v/>
      </c>
      <c r="K103" s="56">
        <f>IF($N103="","",IF(N($J103)&gt;=1,"Completado",IF(AND(ISNUMBER($D103),$D103&lt;FechaRef),"Vencida",IF(N($J103)&gt;0,"En curso","Pendiente"))))</f>
        <v/>
      </c>
      <c r="L103" s="56">
        <f>IF($N103="","",INDEX('Cronograma R. Normativo'!$O$5:$O$1000,$N103)&amp;"")</f>
        <v/>
      </c>
      <c r="M103" s="62">
        <f>IF($N103="","",INDEX('Cronograma R. Normativo'!$Q$5:$Q$1000,$N103)&amp;"")</f>
        <v/>
      </c>
      <c r="N103">
        <f>IFERROR(MATCH(ROW()-4,rOrden_RN,0),"")</f>
        <v/>
      </c>
      <c r="O103">
        <f>IF($N103="","",INDEX('Cronograma R. Normativo'!$V$5:$V$1000,$N103))</f>
        <v/>
      </c>
      <c r="P103">
        <f>IF($N103="","",N(INDEX('Cronograma R. Normativo'!$W$5:$W$1000,$N103)))</f>
        <v/>
      </c>
      <c r="Q103">
        <f>IF(OR(LEFT($L103,7)="Vencida",LEFT($L103,5)="Vence"),SUMPRODUCT(--(LEFT($L$5:$L103,7)="Vencida"))+SUMPRODUCT(--(LEFT($L$5:$L103,5)="Vence")),"")</f>
        <v/>
      </c>
    </row>
    <row r="104">
      <c r="A104" s="56">
        <f>IF($N104="","",INDEX('Cronograma R. Normativo'!$A$5:$A$1000,$N104))</f>
        <v/>
      </c>
      <c r="B104" s="62">
        <f>IF($N104="","",IF($O104="Sub","      ↳  "&amp;INDEX('Cronograma R. Normativo'!$C$5:$C$1000,$N104),INDEX('Cronograma R. Normativo'!$C$5:$C$1000,$N104)&amp;""))</f>
        <v/>
      </c>
      <c r="C104" s="79">
        <f>IF($N104="","",IF(INDEX('Cronograma R. Normativo'!$AM$5:$AM$1000,$N104)="","",INDEX('Cronograma R. Normativo'!$AM$5:$AM$1000,$N104)))</f>
        <v/>
      </c>
      <c r="D104" s="79">
        <f>IF($N104="","",IF(INDEX('Cronograma R. Normativo'!$AN$5:$AN$1000,$N104)="","",INDEX('Cronograma R. Normativo'!$AN$5:$AN$1000,$N104)))</f>
        <v/>
      </c>
      <c r="E104" s="56">
        <f>IF($N104="","",IF(NOT(ISNUMBER($D104)),"",IF($D104&lt;InicioCiclo,"Antes del ciclo",IF($D104&gt;=InicioCiclo+28,"Después del ciclo","Semana "&amp;(INT(($D104-InicioCiclo)/7)+1)))))</f>
        <v/>
      </c>
      <c r="F104" s="61">
        <f>IF($N104="","",IF($P104&gt;0,IF(1&lt;=SemanaActual,INDEX('Cronograma R. Normativo'!$AC$5:$AC$1000,$N104),""),IF(INDEX('Cronograma R. Normativo'!$I$5:$I$1000,$N104)="","",INDEX('Cronograma R. Normativo'!$I$5:$I$1000,$N104))))</f>
        <v/>
      </c>
      <c r="G104" s="61">
        <f>IF($N104="","",IF($P104&gt;0,IF(2&lt;=SemanaActual,INDEX('Cronograma R. Normativo'!$AD$5:$AD$1000,$N104),""),IF(INDEX('Cronograma R. Normativo'!$J$5:$J$1000,$N104)="","",INDEX('Cronograma R. Normativo'!$J$5:$J$1000,$N104))))</f>
        <v/>
      </c>
      <c r="H104" s="61">
        <f>IF($N104="","",IF($P104&gt;0,IF(3&lt;=SemanaActual,INDEX('Cronograma R. Normativo'!$AE$5:$AE$1000,$N104),""),IF(INDEX('Cronograma R. Normativo'!$K$5:$K$1000,$N104)="","",INDEX('Cronograma R. Normativo'!$K$5:$K$1000,$N104))))</f>
        <v/>
      </c>
      <c r="I104" s="61">
        <f>IF($N104="","",IF($P104&gt;0,IF(4&lt;=SemanaActual,INDEX('Cronograma R. Normativo'!$AF$5:$AF$1000,$N104),""),IF(INDEX('Cronograma R. Normativo'!$L$5:$L$1000,$N104)="","",INDEX('Cronograma R. Normativo'!$L$5:$L$1000,$N104))))</f>
        <v/>
      </c>
      <c r="J104" s="61">
        <f>IF($N104="","",INDEX('Cronograma R. Normativo'!$M$5:$M$1000,$N104))</f>
        <v/>
      </c>
      <c r="K104" s="56">
        <f>IF($N104="","",IF(N($J104)&gt;=1,"Completado",IF(AND(ISNUMBER($D104),$D104&lt;FechaRef),"Vencida",IF(N($J104)&gt;0,"En curso","Pendiente"))))</f>
        <v/>
      </c>
      <c r="L104" s="56">
        <f>IF($N104="","",INDEX('Cronograma R. Normativo'!$O$5:$O$1000,$N104)&amp;"")</f>
        <v/>
      </c>
      <c r="M104" s="62">
        <f>IF($N104="","",INDEX('Cronograma R. Normativo'!$Q$5:$Q$1000,$N104)&amp;"")</f>
        <v/>
      </c>
      <c r="N104">
        <f>IFERROR(MATCH(ROW()-4,rOrden_RN,0),"")</f>
        <v/>
      </c>
      <c r="O104">
        <f>IF($N104="","",INDEX('Cronograma R. Normativo'!$V$5:$V$1000,$N104))</f>
        <v/>
      </c>
      <c r="P104">
        <f>IF($N104="","",N(INDEX('Cronograma R. Normativo'!$W$5:$W$1000,$N104)))</f>
        <v/>
      </c>
      <c r="Q104">
        <f>IF(OR(LEFT($L104,7)="Vencida",LEFT($L104,5)="Vence"),SUMPRODUCT(--(LEFT($L$5:$L104,7)="Vencida"))+SUMPRODUCT(--(LEFT($L$5:$L104,5)="Vence")),"")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M2"/>
    <mergeCell ref="A1:M1"/>
  </mergeCells>
  <conditionalFormatting sqref="F5:I104">
    <cfRule type="expression" priority="1" dxfId="6" stopIfTrue="1">
      <formula>AND(AND(ISNUMBER($C5),ISNUMBER($D5),$C5&lt;=InicioCiclo+7*(COLUMN(F5)-6)+6,$D5&gt;=InicioCiclo+7*(COLUMN(F5)-6)),$K5="Vencida")</formula>
    </cfRule>
    <cfRule type="expression" priority="2" dxfId="21">
      <formula>AND(ISNUMBER($C5),ISNUMBER($D5),$C5&lt;=InicioCiclo+7*(COLUMN(F5)-6)+6,$D5&gt;=InicioCiclo+7*(COLUMN(F5)-6))</formula>
    </cfRule>
  </conditionalFormatting>
  <conditionalFormatting sqref="A5:B104">
    <cfRule type="expression" priority="3" dxfId="20">
      <formula>$O5="Macro"</formula>
    </cfRule>
  </conditionalFormatting>
  <conditionalFormatting sqref="K5:K104">
    <cfRule type="expression" priority="4" dxfId="0">
      <formula>$K5="Completado"</formula>
    </cfRule>
    <cfRule type="expression" priority="5" dxfId="6">
      <formula>$K5="Vencida"</formula>
    </cfRule>
    <cfRule type="expression" priority="6" dxfId="4">
      <formula>$K5="En curso"</formula>
    </cfRule>
    <cfRule type="expression" priority="7" dxfId="5">
      <formula>$K5="Pendiente"</formula>
    </cfRule>
  </conditionalFormatting>
  <conditionalFormatting sqref="L5:L104">
    <cfRule type="expression" priority="8" dxfId="8" stopIfTrue="1">
      <formula>LEFT($L5,7)="Vencida"</formula>
    </cfRule>
    <cfRule type="expression" priority="9" dxfId="9" stopIfTrue="1">
      <formula>LEFT($L5,5)="Vence"</formula>
    </cfRule>
    <cfRule type="expression" priority="10" dxfId="0" stopIfTrue="1">
      <formula>LEFT($L5,8)="Cumplida"</formula>
    </cfRule>
    <cfRule type="expression" priority="11" dxfId="13" stopIfTrue="1">
      <formula>$L5="En plazo"</formula>
    </cfRule>
    <cfRule type="expression" priority="12" dxfId="5">
      <formula>$L5="Sin fecha límite"</formula>
    </cfRule>
  </conditionalFormatting>
  <conditionalFormatting sqref="E5:E104">
    <cfRule type="expression" priority="13" dxfId="1">
      <formula>$E5="Semana "&amp;SemanaActual</formula>
    </cfRule>
  </conditionalFormatting>
  <conditionalFormatting sqref="J5:J104">
    <cfRule type="dataBar" priority="14">
      <dataBar showValue="1">
        <cfvo type="num" val="0"/>
        <cfvo type="num" val="1"/>
        <color rgb="005B9BD5"/>
      </dataBar>
    </cfRule>
  </conditionalFormatting>
  <conditionalFormatting sqref="F4:I4">
    <cfRule type="expression" priority="15" dxfId="1">
      <formula>COLUMN(F4)-5=SemanaActual</formula>
    </cfRule>
  </conditionalFormatting>
  <conditionalFormatting sqref="F3:I3">
    <cfRule type="expression" priority="16" dxfId="1">
      <formula>COLUMN(F3)-5=SemanaActual</formula>
    </cfRule>
  </conditionalFormatting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AN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48" customWidth="1" min="3" max="3"/>
    <col hidden="1" width="22" customWidth="1" min="4" max="4"/>
    <col width="12" customWidth="1" min="5" max="5"/>
    <col width="12" customWidth="1" min="6" max="6"/>
    <col width="14" customWidth="1" min="7" max="7"/>
    <col width="12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  <col width="12" customWidth="1" min="14" max="14"/>
    <col width="24" customWidth="1" min="15" max="15"/>
    <col hidden="1" width="30" customWidth="1" min="16" max="16"/>
    <col width="36" customWidth="1" min="17" max="17"/>
    <col width="44" customWidth="1" min="18" max="18"/>
    <col width="14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</cols>
  <sheetData>
    <row r="1" ht="28" customHeight="1">
      <c r="A1" s="82" t="inlineStr">
        <is>
          <t>Cronograma – Riesgo Financiero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  <c r="N1" s="82" t="n"/>
      <c r="O1" s="82" t="n"/>
      <c r="P1" s="82" t="n"/>
      <c r="Q1" s="82" t="n"/>
      <c r="R1" s="82" t="n"/>
      <c r="S1" s="82" t="n"/>
    </row>
    <row r="2" ht="44" customHeight="1">
      <c r="A2" s="48" t="inlineStr">
        <is>
          <t>Llene solo las celdas GRIS SUAVE; las AZUL CLARO son automáticas. En «Tipo» elija Macroactividad o Subactividad: las subactividades van en las filas de ABAJO de su macroactividad (se ven con ↳) y su promedio da el % de la macroactividad. Cuando termine algo, escriba la FECHA DE CUMPLIMIENTO: queda al 100% y ya no aparece vencido. Si quiere registrar avances parciales, escriba en cada semana el % total logrado hasta esa semana. Cada mes agregue sus actividades debajo de las anteriores (no borre los meses pasados: quedan como historial).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  <c r="L2" s="48" t="n"/>
      <c r="M2" s="48" t="n"/>
      <c r="N2" s="48" t="n"/>
      <c r="O2" s="48" t="n"/>
      <c r="P2" s="48" t="n"/>
      <c r="Q2" s="48" t="n"/>
      <c r="R2" s="48" t="n"/>
      <c r="S2" s="48" t="n"/>
    </row>
    <row r="3" ht="22" customHeight="1">
      <c r="A3" s="49" t="inlineStr">
        <is>
          <t>Llenar</t>
        </is>
      </c>
      <c r="B3" s="50" t="inlineStr">
        <is>
          <t>Automático</t>
        </is>
      </c>
      <c r="C3" s="83" t="inlineStr">
        <is>
          <t>Macroactividad (fila resaltada)</t>
        </is>
      </c>
      <c r="E3" s="6" t="inlineStr">
        <is>
          <t>Peso: solo macroactividades. Si lo deja vacío valen igual; si lo escribe, se ajusta solo a 100%.</t>
        </is>
      </c>
      <c r="F3" s="6" t="n"/>
      <c r="G3" s="6" t="n"/>
      <c r="H3" s="6" t="n"/>
      <c r="I3" s="6" t="n"/>
      <c r="J3" s="6" t="n"/>
      <c r="K3" s="52" t="inlineStr">
        <is>
          <t>Plazos del mes:</t>
        </is>
      </c>
      <c r="M3" s="43">
        <f>COUNTIFS($S$5:$S$1000,MesCiclo,$O$5:$O$1000,"Vencida*")&amp;" vencida(s)  ·  "&amp;COUNTIFS($S$5:$S$1000,MesCiclo,$O$5:$O$1000,"Vence*")&amp;" por vencer"</f>
        <v/>
      </c>
      <c r="N3" s="43" t="n"/>
      <c r="O3" s="43" t="n"/>
      <c r="Q3" s="45">
        <f>IF(COUNTIFS('Administración'!$D$5:$D$1000,"Riesgo Financiero",'Administración'!$S$5:$S$1000,MesCiclo,'Administración'!$V$5:$V$1000,"Macro")=0,"Sin actividades delegadas por la jefatura este mes","★ La jefatura le delegó "&amp;COUNTIFS('Administración'!$D$5:$D$1000,"Riesgo Financiero",'Administración'!$S$5:$S$1000,MesCiclo,'Administración'!$V$5:$V$1000,"Macro")&amp;" actividad(es) este mes · "&amp;(COUNTIFS('Administración'!$D$5:$D$1000,"Riesgo Financiero",'Administración'!$S$5:$S$1000,MesCiclo,'Administración'!$V$5:$V$1000,"Macro")-COUNTIFS('Administración'!$D$5:$D$1000,"Riesgo Financiero",'Administración'!$S$5:$S$1000,MesCiclo,'Administración'!$V$5:$V$1000,"Macro",'Administración'!$AH$5:$AH$1000,"&gt;0"))&amp;" pendiente(s) de agregar (elíjalas en la lista de «Actividad»). Cuentan en su avance del mes.")</f>
        <v/>
      </c>
      <c r="R3" s="45" t="n"/>
      <c r="S3" s="45" t="n"/>
    </row>
    <row r="4" ht="42" customHeight="1">
      <c r="A4" s="54" t="inlineStr">
        <is>
          <t>N°</t>
        </is>
      </c>
      <c r="B4" s="69" t="inlineStr">
        <is>
          <t>Tipo</t>
        </is>
      </c>
      <c r="C4" s="69" t="inlineStr">
        <is>
          <t>Actividad</t>
        </is>
      </c>
      <c r="D4" s="69" t="inlineStr">
        <is>
          <t>Delegar a</t>
        </is>
      </c>
      <c r="E4" s="69" t="inlineStr">
        <is>
          <t>Fecha de inicio</t>
        </is>
      </c>
      <c r="F4" s="69" t="inlineStr">
        <is>
          <t>Fecha límite</t>
        </is>
      </c>
      <c r="G4" s="69" t="inlineStr">
        <is>
          <t>Fecha de cumplimiento</t>
        </is>
      </c>
      <c r="H4" s="69" t="inlineStr">
        <is>
          <t>Peso (%)</t>
        </is>
      </c>
      <c r="I4" s="69" t="inlineStr">
        <is>
          <t>Avance Semana 1 (%)</t>
        </is>
      </c>
      <c r="J4" s="69" t="inlineStr">
        <is>
          <t>Avance Semana 2 (%)</t>
        </is>
      </c>
      <c r="K4" s="69" t="inlineStr">
        <is>
          <t>Avance Semana 3 (%)</t>
        </is>
      </c>
      <c r="L4" s="69" t="inlineStr">
        <is>
          <t>Avance Semana 4 (%)</t>
        </is>
      </c>
      <c r="M4" s="54" t="inlineStr">
        <is>
          <t>% de Avance Total Actual</t>
        </is>
      </c>
      <c r="N4" s="54" t="inlineStr">
        <is>
          <t>Estado</t>
        </is>
      </c>
      <c r="O4" s="54" t="inlineStr">
        <is>
          <t>Alerta de plazo</t>
        </is>
      </c>
      <c r="P4" s="54" t="inlineStr">
        <is>
          <t>Seguimiento de la delegación</t>
        </is>
      </c>
      <c r="Q4" s="69" t="inlineStr">
        <is>
          <t>Observaciones</t>
        </is>
      </c>
      <c r="R4" s="54" t="inlineStr">
        <is>
          <t>Revisión automática (alertas)</t>
        </is>
      </c>
      <c r="S4" s="54" t="inlineStr">
        <is>
          <t>Mes</t>
        </is>
      </c>
      <c r="T4" s="54" t="inlineStr">
        <is>
          <t>Orden en el mes (aux)</t>
        </is>
      </c>
      <c r="U4" s="54" t="inlineStr">
        <is>
          <t>Grupo (aux)</t>
        </is>
      </c>
      <c r="V4" s="54" t="inlineStr">
        <is>
          <t>Tipo (aux)</t>
        </is>
      </c>
      <c r="W4" s="54" t="inlineStr">
        <is>
          <t>N subactividades (aux)</t>
        </is>
      </c>
      <c r="X4" s="54" t="inlineStr">
        <is>
          <t>Avance propio (aux)</t>
        </is>
      </c>
      <c r="Y4" s="54" t="inlineStr">
        <is>
          <t>Propio S1 (aux)</t>
        </is>
      </c>
      <c r="Z4" s="54" t="inlineStr">
        <is>
          <t>Propio S2 (aux)</t>
        </is>
      </c>
      <c r="AA4" s="54" t="inlineStr">
        <is>
          <t>Propio S3 (aux)</t>
        </is>
      </c>
      <c r="AB4" s="54" t="inlineStr">
        <is>
          <t>Propio S4 (aux)</t>
        </is>
      </c>
      <c r="AC4" s="54" t="inlineStr">
        <is>
          <t>Efectivo S1 (aux)</t>
        </is>
      </c>
      <c r="AD4" s="54" t="inlineStr">
        <is>
          <t>Efectivo S2 (aux)</t>
        </is>
      </c>
      <c r="AE4" s="54" t="inlineStr">
        <is>
          <t>Efectivo S3 (aux)</t>
        </is>
      </c>
      <c r="AF4" s="54" t="inlineStr">
        <is>
          <t>Efectivo S4 (aux)</t>
        </is>
      </c>
      <c r="AG4" s="54" t="inlineStr">
        <is>
          <t>Peso efectivo (aux)</t>
        </is>
      </c>
      <c r="AH4" s="54" t="inlineStr">
        <is>
          <t>Fila en el puesto (aux)</t>
        </is>
      </c>
      <c r="AI4" s="54" t="inlineStr">
        <is>
          <t>N° delegada en el mes (aux)</t>
        </is>
      </c>
      <c r="AJ4" s="54" t="inlineStr">
        <is>
          <t>Clave delegada (aux)</t>
        </is>
      </c>
      <c r="AK4" s="54" t="inlineStr">
        <is>
          <t>Clave puesto-actividad (aux)</t>
        </is>
      </c>
      <c r="AL4" s="54" t="inlineStr">
        <is>
          <t>Fila en Administración (aux)</t>
        </is>
      </c>
      <c r="AM4" s="54" t="inlineStr">
        <is>
          <t>Inicio efectivo (aux)</t>
        </is>
      </c>
      <c r="AN4" s="54" t="inlineStr">
        <is>
          <t>Límite efectivo (aux)</t>
        </is>
      </c>
    </row>
    <row r="5">
      <c r="A5" s="56">
        <f>IF(NOT((COUNTA($B5:$D5)+COUNTA($G5:$L5)+COUNTA($Q5))&gt;0),"",IF($V5="Macro",COUNTIFS($V$5:$V5,"Macro",$S$5:$S5,$S5),IF(N($U5)=0,"?",COUNTIFS(INDEX($V$5:$V$1000,1):INDEX($V$5:$V$1000,$U5-4),"Macro",INDEX($S$5:$S$1000,1):INDEX($S$5:$S$1000,$U5-4),INDEX($S$5:$S$1000,$U5-4))&amp;"."&amp;COUNTIFS($U$5:$U5,$U5,$V$5:$V5,"Sub"))))</f>
        <v/>
      </c>
      <c r="B5" s="57" t="n"/>
      <c r="C5" s="58" t="n"/>
      <c r="D5" s="58" t="n"/>
      <c r="E5" s="59">
        <f>IF(N($AL5)&gt;0,INDEX(rIni_ADM,$AL5),"")</f>
        <v/>
      </c>
      <c r="F5" s="59">
        <f>IF(N($AL5)&gt;0,INDEX(rLim_ADM,$AL5),"")</f>
        <v/>
      </c>
      <c r="G5" s="59" t="n"/>
      <c r="H5" s="60" t="n"/>
      <c r="I5" s="60" t="n"/>
      <c r="J5" s="60" t="n"/>
      <c r="K5" s="60" t="n"/>
      <c r="L5" s="60" t="n"/>
      <c r="M5" s="61">
        <f>IF(NOT((COUNTA($B5:$D5)+COUNTA($G5:$L5)+COUNTA($Q5))&gt;0),"",IF(ISNUMBER($G5),1,IF(N($W5)&gt;0,AVERAGEIFS($X$5:$X$1000,$U$5:$U$1000,ROW(),$V$5:$V$1000,"Sub"),$X5)))</f>
        <v/>
      </c>
      <c r="N5" s="56">
        <f>IF($M5="","",IF($M5&gt;=1,"Completado",IF($M5&gt;0,"En curso","Pendiente")))</f>
        <v/>
      </c>
      <c r="O5" s="56">
        <f>IF(NOT((COUNTA($B5:$D5)+COUNTA($G5:$L5)+COUNTA($Q5))&gt;0),"",IF(ISNUMBER($G5),IF(AND(ISNUMBER($AN5),$G5&gt;$AN5),"Cumplida con "&amp;($G5-$AN5)&amp;IF($G5-$AN5=1," día"," días")&amp;" de retraso","Cumplida"),IF(N($M5)&gt;=1,"Cumplida",IF(NOT(ISNUMBER($AN5)),"Sin fecha límite",IF($AN5&lt;FechaRef,"Vencida hace "&amp;(FechaRef-$AN5)&amp;IF(FechaRef-$AN5=1," día"," días"),IF($AN5=FechaRef,"Vence hoy",IF($AN5-FechaRef&lt;=DiasAlerta,"Vence en "&amp;($AN5-FechaRef)&amp;IF($AN5-FechaRef=1," día"," días"),"En plazo")))))))</f>
        <v/>
      </c>
      <c r="P5" s="62" t="n"/>
      <c r="Q5" s="58" t="n"/>
      <c r="R5" s="63">
        <f>IF(NOT((COUNTA($B5:$D5)+COUNTA($G5:$L5)+COUNTA($Q5))&gt;0),"",IF((IF($C5="","Falta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",""))="","✔ OK","⚠ "&amp;LEFT(IF($C5="","Falta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",""),LEN(IF($C5="","Falta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",""))-3)))</f>
        <v/>
      </c>
      <c r="S5" s="64">
        <f>IF(NOT((COUNTA($B5:$D5)+COUNTA($G5:$L5)+COUNTA($Q5))&gt;0),"",IF(AND($V5="Sub",N($U5)&gt;0),IF(ISNUMBER(INDEX($AM$5:$AM$1000,$U5-4)),DATE(YEAR(INDEX($AM$5:$AM$1000,$U5-4)),MONTH(INDEX($AM$5:$AM$1000,$U5-4)),1),IF(ISNUMBER(INDEX($AN$5:$AN$1000,$U5-4)),DATE(YEAR(INDEX($AN$5:$AN$1000,$U5-4)),MONTH(INDEX($AN$5:$AN$1000,$U5-4)),1),MesCiclo)),IF(ISNUMBER($AM5),DATE(YEAR($AM5),MONTH($AM5),1),IF(ISNUMBER($AN5),DATE(YEAR($AN5),MONTH($AN5),1),MesCiclo))))</f>
        <v/>
      </c>
      <c r="T5" s="62">
        <f>IF(OR($S5="",$S5&lt;&gt;MesCiclo),"",COUNTIF($S$5:$S5,MesCiclo))</f>
        <v/>
      </c>
      <c r="U5" s="62">
        <f>IF($V5="","",IF($V5="Macro",ROW(),IFERROR(LOOKUP(2,1/($V$5:$V5="Macro"),ROW($V$5:$V5)),0)))</f>
        <v/>
      </c>
      <c r="V5" s="62">
        <f>IF(NOT((COUNTA($B5:$D5)+COUNTA($G5:$L5)+COUNTA($Q5))&gt;0),"",IF($B5="Subactividad","Sub","Macro"))</f>
        <v/>
      </c>
      <c r="W5" s="62">
        <f>IF($V5="Macro",COUNTIFS($U$5:$U$1000,ROW(),$V$5:$V$1000,"Sub"),"")</f>
        <v/>
      </c>
      <c r="X5" s="62">
        <f>IF($V5="","",IF(ISNUMBER($G5),1,IFERROR(LOOKUP(2,1/($I5:$L5&lt;&gt;""),$I5:$L5),0)))</f>
        <v/>
      </c>
      <c r="Y5" s="62">
        <f>IF($V5="","",IF(AND(ISNUMBER($G5),$G5&lt;=IF($S5=MesCiclo,InicioCiclo,$S5+MOD(2-WEEKDAY($S5),7))+6),1,IF(ISNUMBER($I5),$I5,0)))</f>
        <v/>
      </c>
      <c r="Z5" s="62">
        <f>IF($V5="","",IF(AND(ISNUMBER($G5),$G5&lt;=IF($S5=MesCiclo,InicioCiclo,$S5+MOD(2-WEEKDAY($S5),7))+13),1,IF(ISNUMBER($J5),$J5,$Y5)))</f>
        <v/>
      </c>
      <c r="AA5" s="62">
        <f>IF($V5="","",IF(AND(ISNUMBER($G5),$G5&lt;=IF($S5=MesCiclo,InicioCiclo,$S5+MOD(2-WEEKDAY($S5),7))+20),1,IF(ISNUMBER($K5),$K5,$Z5)))</f>
        <v/>
      </c>
      <c r="AB5" s="62">
        <f>IF($V5="","",IF(AND(ISNUMBER($G5),$G5&lt;=IF($S5=MesCiclo,InicioCiclo,$S5+MOD(2-WEEKDAY($S5),7))+27),1,IF(ISNUMBER($L5),$L5,$AA5)))</f>
        <v/>
      </c>
      <c r="AC5" s="62">
        <f>IF($V5="","",IF(AND(ISNUMBER($G5),$G5&lt;=IF($S5=MesCiclo,InicioCiclo,$S5+MOD(2-WEEKDAY($S5),7))+6),1,IF(N($W5)&gt;0,AVERAGEIFS($Y$5:$Y$1000,$U$5:$U$1000,ROW(),$V$5:$V$1000,"Sub"),$Y5)))</f>
        <v/>
      </c>
      <c r="AD5" s="62">
        <f>IF($V5="","",IF(AND(ISNUMBER($G5),$G5&lt;=IF($S5=MesCiclo,InicioCiclo,$S5+MOD(2-WEEKDAY($S5),7))+13),1,IF(N($W5)&gt;0,AVERAGEIFS($Z$5:$Z$1000,$U$5:$U$1000,ROW(),$V$5:$V$1000,"Sub"),$Z5)))</f>
        <v/>
      </c>
      <c r="AE5" s="62">
        <f>IF($V5="","",IF(AND(ISNUMBER($G5),$G5&lt;=IF($S5=MesCiclo,InicioCiclo,$S5+MOD(2-WEEKDAY($S5),7))+20),1,IF(N($W5)&gt;0,AVERAGEIFS($AA$5:$AA$1000,$U$5:$U$1000,ROW(),$V$5:$V$1000,"Sub"),$AA5)))</f>
        <v/>
      </c>
      <c r="AF5" s="62">
        <f>IF($V5="","",IF(AND(ISNUMBER($G5),$G5&lt;=IF($S5=MesCiclo,InicioCiclo,$S5+MOD(2-WEEKDAY($S5),7))+27),1,IF(N($W5)&gt;0,AVERAGEIFS($AB$5:$AB$1000,$U$5:$U$1000,ROW(),$V$5:$V$1000,"Sub"),$AB5)))</f>
        <v/>
      </c>
      <c r="AG5" s="62">
        <f>IF($V5&lt;&gt;"Macro","",IF(COUNTIFS($S$5:$S$1000,$S5,$V$5:$V$1000,"Macro",$H$5:$H$1000,"&gt;0")=0,1/COUNTIFS($S$5:$S$1000,$S5,$V$5:$V$1000,"Macro"),IF(AND(ISNUMBER($H5),N($H5)&gt;0),$H5,SUMIFS($H$5:$H$1000,$S$5:$S$1000,$S5,$V$5:$V$1000,"Macro")/COUNTIFS($S$5:$S$1000,$S5,$V$5:$V$1000,"Macro",$H$5:$H$1000,"&gt;0"))/(COUNTIFS($S$5:$S$1000,$S5,$V$5:$V$1000,"Macro")*SUMIFS($H$5:$H$1000,$S$5:$S$1000,$S5,$V$5:$V$1000,"Macro")/COUNTIFS($S$5:$S$1000,$S5,$V$5:$V$1000,"Macro",$H$5:$H$1000,"&gt;0"))))</f>
        <v/>
      </c>
      <c r="AH5" s="62" t="n"/>
      <c r="AI5" s="62" t="n"/>
      <c r="AJ5" s="62" t="n"/>
      <c r="AK5" s="62" t="n"/>
      <c r="AL5" s="62">
        <f>IF(LEFT($C5,11)="[Jefatura] ",IFERROR(MATCH("Riesgo Financiero|"&amp;MID($C5,12,500),rDname_ADM,0),0),"")</f>
        <v/>
      </c>
      <c r="AM5" s="62">
        <f>IF(N($AL5)&gt;0,INDEX(rIni_ADM,$AL5),IF(ISNUMBER($E5),$E5,""))</f>
        <v/>
      </c>
      <c r="AN5" s="62">
        <f>IF(N($AL5)&gt;0,INDEX(rLim_ADM,$AL5),IF(ISNUMBER($F5),$F5,""))</f>
        <v/>
      </c>
    </row>
    <row r="6">
      <c r="A6" s="56">
        <f>IF(NOT((COUNTA($B6:$D6)+COUNTA($G6:$L6)+COUNTA($Q6))&gt;0),"",IF($V6="Macro",COUNTIFS($V$5:$V6,"Macro",$S$5:$S6,$S6),IF(N($U6)=0,"?",COUNTIFS(INDEX($V$5:$V$1000,1):INDEX($V$5:$V$1000,$U6-4),"Macro",INDEX($S$5:$S$1000,1):INDEX($S$5:$S$1000,$U6-4),INDEX($S$5:$S$1000,$U6-4))&amp;"."&amp;COUNTIFS($U$5:$U6,$U6,$V$5:$V6,"Sub"))))</f>
        <v/>
      </c>
      <c r="B6" s="57" t="n"/>
      <c r="C6" s="58" t="n"/>
      <c r="D6" s="58" t="n"/>
      <c r="E6" s="59">
        <f>IF(N($AL6)&gt;0,INDEX(rIni_ADM,$AL6),"")</f>
        <v/>
      </c>
      <c r="F6" s="59">
        <f>IF(N($AL6)&gt;0,INDEX(rLim_ADM,$AL6),"")</f>
        <v/>
      </c>
      <c r="G6" s="59" t="n"/>
      <c r="H6" s="60" t="n"/>
      <c r="I6" s="60" t="n"/>
      <c r="J6" s="60" t="n"/>
      <c r="K6" s="60" t="n"/>
      <c r="L6" s="60" t="n"/>
      <c r="M6" s="61">
        <f>IF(NOT((COUNTA($B6:$D6)+COUNTA($G6:$L6)+COUNTA($Q6))&gt;0),"",IF(ISNUMBER($G6),1,IF(N($W6)&gt;0,AVERAGEIFS($X$5:$X$1000,$U$5:$U$1000,ROW(),$V$5:$V$1000,"Sub"),$X6)))</f>
        <v/>
      </c>
      <c r="N6" s="56">
        <f>IF($M6="","",IF($M6&gt;=1,"Completado",IF($M6&gt;0,"En curso","Pendiente")))</f>
        <v/>
      </c>
      <c r="O6" s="56">
        <f>IF(NOT((COUNTA($B6:$D6)+COUNTA($G6:$L6)+COUNTA($Q6))&gt;0),"",IF(ISNUMBER($G6),IF(AND(ISNUMBER($AN6),$G6&gt;$AN6),"Cumplida con "&amp;($G6-$AN6)&amp;IF($G6-$AN6=1," día"," días")&amp;" de retraso","Cumplida"),IF(N($M6)&gt;=1,"Cumplida",IF(NOT(ISNUMBER($AN6)),"Sin fecha límite",IF($AN6&lt;FechaRef,"Vencida hace "&amp;(FechaRef-$AN6)&amp;IF(FechaRef-$AN6=1," día"," días"),IF($AN6=FechaRef,"Vence hoy",IF($AN6-FechaRef&lt;=DiasAlerta,"Vence en "&amp;($AN6-FechaRef)&amp;IF($AN6-FechaRef=1," día"," días"),"En plazo")))))))</f>
        <v/>
      </c>
      <c r="P6" s="62" t="n"/>
      <c r="Q6" s="58" t="n"/>
      <c r="R6" s="63">
        <f>IF(NOT((COUNTA($B6:$D6)+COUNTA($G6:$L6)+COUNTA($Q6))&gt;0),"",IF((IF($C6="","Falta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",""))="","✔ OK","⚠ "&amp;LEFT(IF($C6="","Falta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",""),LEN(IF($C6="","Falta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",""))-3)))</f>
        <v/>
      </c>
      <c r="S6" s="64">
        <f>IF(NOT((COUNTA($B6:$D6)+COUNTA($G6:$L6)+COUNTA($Q6))&gt;0),"",IF(AND($V6="Sub",N($U6)&gt;0),IF(ISNUMBER(INDEX($AM$5:$AM$1000,$U6-4)),DATE(YEAR(INDEX($AM$5:$AM$1000,$U6-4)),MONTH(INDEX($AM$5:$AM$1000,$U6-4)),1),IF(ISNUMBER(INDEX($AN$5:$AN$1000,$U6-4)),DATE(YEAR(INDEX($AN$5:$AN$1000,$U6-4)),MONTH(INDEX($AN$5:$AN$1000,$U6-4)),1),MesCiclo)),IF(ISNUMBER($AM6),DATE(YEAR($AM6),MONTH($AM6),1),IF(ISNUMBER($AN6),DATE(YEAR($AN6),MONTH($AN6),1),MesCiclo))))</f>
        <v/>
      </c>
      <c r="T6" s="62">
        <f>IF(OR($S6="",$S6&lt;&gt;MesCiclo),"",COUNTIF($S$5:$S6,MesCiclo))</f>
        <v/>
      </c>
      <c r="U6" s="62">
        <f>IF($V6="","",IF($V6="Macro",ROW(),IFERROR(LOOKUP(2,1/($V$5:$V6="Macro"),ROW($V$5:$V6)),0)))</f>
        <v/>
      </c>
      <c r="V6" s="62">
        <f>IF(NOT((COUNTA($B6:$D6)+COUNTA($G6:$L6)+COUNTA($Q6))&gt;0),"",IF($B6="Subactividad","Sub","Macro"))</f>
        <v/>
      </c>
      <c r="W6" s="62">
        <f>IF($V6="Macro",COUNTIFS($U$5:$U$1000,ROW(),$V$5:$V$1000,"Sub"),"")</f>
        <v/>
      </c>
      <c r="X6" s="62">
        <f>IF($V6="","",IF(ISNUMBER($G6),1,IFERROR(LOOKUP(2,1/($I6:$L6&lt;&gt;""),$I6:$L6),0)))</f>
        <v/>
      </c>
      <c r="Y6" s="62">
        <f>IF($V6="","",IF(AND(ISNUMBER($G6),$G6&lt;=IF($S6=MesCiclo,InicioCiclo,$S6+MOD(2-WEEKDAY($S6),7))+6),1,IF(ISNUMBER($I6),$I6,0)))</f>
        <v/>
      </c>
      <c r="Z6" s="62">
        <f>IF($V6="","",IF(AND(ISNUMBER($G6),$G6&lt;=IF($S6=MesCiclo,InicioCiclo,$S6+MOD(2-WEEKDAY($S6),7))+13),1,IF(ISNUMBER($J6),$J6,$Y6)))</f>
        <v/>
      </c>
      <c r="AA6" s="62">
        <f>IF($V6="","",IF(AND(ISNUMBER($G6),$G6&lt;=IF($S6=MesCiclo,InicioCiclo,$S6+MOD(2-WEEKDAY($S6),7))+20),1,IF(ISNUMBER($K6),$K6,$Z6)))</f>
        <v/>
      </c>
      <c r="AB6" s="62">
        <f>IF($V6="","",IF(AND(ISNUMBER($G6),$G6&lt;=IF($S6=MesCiclo,InicioCiclo,$S6+MOD(2-WEEKDAY($S6),7))+27),1,IF(ISNUMBER($L6),$L6,$AA6)))</f>
        <v/>
      </c>
      <c r="AC6" s="62">
        <f>IF($V6="","",IF(AND(ISNUMBER($G6),$G6&lt;=IF($S6=MesCiclo,InicioCiclo,$S6+MOD(2-WEEKDAY($S6),7))+6),1,IF(N($W6)&gt;0,AVERAGEIFS($Y$5:$Y$1000,$U$5:$U$1000,ROW(),$V$5:$V$1000,"Sub"),$Y6)))</f>
        <v/>
      </c>
      <c r="AD6" s="62">
        <f>IF($V6="","",IF(AND(ISNUMBER($G6),$G6&lt;=IF($S6=MesCiclo,InicioCiclo,$S6+MOD(2-WEEKDAY($S6),7))+13),1,IF(N($W6)&gt;0,AVERAGEIFS($Z$5:$Z$1000,$U$5:$U$1000,ROW(),$V$5:$V$1000,"Sub"),$Z6)))</f>
        <v/>
      </c>
      <c r="AE6" s="62">
        <f>IF($V6="","",IF(AND(ISNUMBER($G6),$G6&lt;=IF($S6=MesCiclo,InicioCiclo,$S6+MOD(2-WEEKDAY($S6),7))+20),1,IF(N($W6)&gt;0,AVERAGEIFS($AA$5:$AA$1000,$U$5:$U$1000,ROW(),$V$5:$V$1000,"Sub"),$AA6)))</f>
        <v/>
      </c>
      <c r="AF6" s="62">
        <f>IF($V6="","",IF(AND(ISNUMBER($G6),$G6&lt;=IF($S6=MesCiclo,InicioCiclo,$S6+MOD(2-WEEKDAY($S6),7))+27),1,IF(N($W6)&gt;0,AVERAGEIFS($AB$5:$AB$1000,$U$5:$U$1000,ROW(),$V$5:$V$1000,"Sub"),$AB6)))</f>
        <v/>
      </c>
      <c r="AG6" s="62">
        <f>IF($V6&lt;&gt;"Macro","",IF(COUNTIFS($S$5:$S$1000,$S6,$V$5:$V$1000,"Macro",$H$5:$H$1000,"&gt;0")=0,1/COUNTIFS($S$5:$S$1000,$S6,$V$5:$V$1000,"Macro"),IF(AND(ISNUMBER($H6),N($H6)&gt;0),$H6,SUMIFS($H$5:$H$1000,$S$5:$S$1000,$S6,$V$5:$V$1000,"Macro")/COUNTIFS($S$5:$S$1000,$S6,$V$5:$V$1000,"Macro",$H$5:$H$1000,"&gt;0"))/(COUNTIFS($S$5:$S$1000,$S6,$V$5:$V$1000,"Macro")*SUMIFS($H$5:$H$1000,$S$5:$S$1000,$S6,$V$5:$V$1000,"Macro")/COUNTIFS($S$5:$S$1000,$S6,$V$5:$V$1000,"Macro",$H$5:$H$1000,"&gt;0"))))</f>
        <v/>
      </c>
      <c r="AH6" s="62" t="n"/>
      <c r="AI6" s="62" t="n"/>
      <c r="AJ6" s="62" t="n"/>
      <c r="AK6" s="62" t="n"/>
      <c r="AL6" s="62">
        <f>IF(LEFT($C6,11)="[Jefatura] ",IFERROR(MATCH("Riesgo Financiero|"&amp;MID($C6,12,500),rDname_ADM,0),0),"")</f>
        <v/>
      </c>
      <c r="AM6" s="62">
        <f>IF(N($AL6)&gt;0,INDEX(rIni_ADM,$AL6),IF(ISNUMBER($E6),$E6,""))</f>
        <v/>
      </c>
      <c r="AN6" s="62">
        <f>IF(N($AL6)&gt;0,INDEX(rLim_ADM,$AL6),IF(ISNUMBER($F6),$F6,""))</f>
        <v/>
      </c>
    </row>
    <row r="7">
      <c r="A7" s="56">
        <f>IF(NOT((COUNTA($B7:$D7)+COUNTA($G7:$L7)+COUNTA($Q7))&gt;0),"",IF($V7="Macro",COUNTIFS($V$5:$V7,"Macro",$S$5:$S7,$S7),IF(N($U7)=0,"?",COUNTIFS(INDEX($V$5:$V$1000,1):INDEX($V$5:$V$1000,$U7-4),"Macro",INDEX($S$5:$S$1000,1):INDEX($S$5:$S$1000,$U7-4),INDEX($S$5:$S$1000,$U7-4))&amp;"."&amp;COUNTIFS($U$5:$U7,$U7,$V$5:$V7,"Sub"))))</f>
        <v/>
      </c>
      <c r="B7" s="57" t="n"/>
      <c r="C7" s="58" t="n"/>
      <c r="D7" s="58" t="n"/>
      <c r="E7" s="59">
        <f>IF(N($AL7)&gt;0,INDEX(rIni_ADM,$AL7),"")</f>
        <v/>
      </c>
      <c r="F7" s="59">
        <f>IF(N($AL7)&gt;0,INDEX(rLim_ADM,$AL7),"")</f>
        <v/>
      </c>
      <c r="G7" s="59" t="n"/>
      <c r="H7" s="60" t="n"/>
      <c r="I7" s="60" t="n"/>
      <c r="J7" s="60" t="n"/>
      <c r="K7" s="60" t="n"/>
      <c r="L7" s="60" t="n"/>
      <c r="M7" s="61">
        <f>IF(NOT((COUNTA($B7:$D7)+COUNTA($G7:$L7)+COUNTA($Q7))&gt;0),"",IF(ISNUMBER($G7),1,IF(N($W7)&gt;0,AVERAGEIFS($X$5:$X$1000,$U$5:$U$1000,ROW(),$V$5:$V$1000,"Sub"),$X7)))</f>
        <v/>
      </c>
      <c r="N7" s="56">
        <f>IF($M7="","",IF($M7&gt;=1,"Completado",IF($M7&gt;0,"En curso","Pendiente")))</f>
        <v/>
      </c>
      <c r="O7" s="56">
        <f>IF(NOT((COUNTA($B7:$D7)+COUNTA($G7:$L7)+COUNTA($Q7))&gt;0),"",IF(ISNUMBER($G7),IF(AND(ISNUMBER($AN7),$G7&gt;$AN7),"Cumplida con "&amp;($G7-$AN7)&amp;IF($G7-$AN7=1," día"," días")&amp;" de retraso","Cumplida"),IF(N($M7)&gt;=1,"Cumplida",IF(NOT(ISNUMBER($AN7)),"Sin fecha límite",IF($AN7&lt;FechaRef,"Vencida hace "&amp;(FechaRef-$AN7)&amp;IF(FechaRef-$AN7=1," día"," días"),IF($AN7=FechaRef,"Vence hoy",IF($AN7-FechaRef&lt;=DiasAlerta,"Vence en "&amp;($AN7-FechaRef)&amp;IF($AN7-FechaRef=1," día"," días"),"En plazo")))))))</f>
        <v/>
      </c>
      <c r="P7" s="62" t="n"/>
      <c r="Q7" s="58" t="n"/>
      <c r="R7" s="63">
        <f>IF(NOT((COUNTA($B7:$D7)+COUNTA($G7:$L7)+COUNTA($Q7))&gt;0),"",IF((IF($C7="","Falta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",""))="","✔ OK","⚠ "&amp;LEFT(IF($C7="","Falta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",""),LEN(IF($C7="","Falta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",""))-3)))</f>
        <v/>
      </c>
      <c r="S7" s="64">
        <f>IF(NOT((COUNTA($B7:$D7)+COUNTA($G7:$L7)+COUNTA($Q7))&gt;0),"",IF(AND($V7="Sub",N($U7)&gt;0),IF(ISNUMBER(INDEX($AM$5:$AM$1000,$U7-4)),DATE(YEAR(INDEX($AM$5:$AM$1000,$U7-4)),MONTH(INDEX($AM$5:$AM$1000,$U7-4)),1),IF(ISNUMBER(INDEX($AN$5:$AN$1000,$U7-4)),DATE(YEAR(INDEX($AN$5:$AN$1000,$U7-4)),MONTH(INDEX($AN$5:$AN$1000,$U7-4)),1),MesCiclo)),IF(ISNUMBER($AM7),DATE(YEAR($AM7),MONTH($AM7),1),IF(ISNUMBER($AN7),DATE(YEAR($AN7),MONTH($AN7),1),MesCiclo))))</f>
        <v/>
      </c>
      <c r="T7" s="62">
        <f>IF(OR($S7="",$S7&lt;&gt;MesCiclo),"",COUNTIF($S$5:$S7,MesCiclo))</f>
        <v/>
      </c>
      <c r="U7" s="62">
        <f>IF($V7="","",IF($V7="Macro",ROW(),IFERROR(LOOKUP(2,1/($V$5:$V7="Macro"),ROW($V$5:$V7)),0)))</f>
        <v/>
      </c>
      <c r="V7" s="62">
        <f>IF(NOT((COUNTA($B7:$D7)+COUNTA($G7:$L7)+COUNTA($Q7))&gt;0),"",IF($B7="Subactividad","Sub","Macro"))</f>
        <v/>
      </c>
      <c r="W7" s="62">
        <f>IF($V7="Macro",COUNTIFS($U$5:$U$1000,ROW(),$V$5:$V$1000,"Sub"),"")</f>
        <v/>
      </c>
      <c r="X7" s="62">
        <f>IF($V7="","",IF(ISNUMBER($G7),1,IFERROR(LOOKUP(2,1/($I7:$L7&lt;&gt;""),$I7:$L7),0)))</f>
        <v/>
      </c>
      <c r="Y7" s="62">
        <f>IF($V7="","",IF(AND(ISNUMBER($G7),$G7&lt;=IF($S7=MesCiclo,InicioCiclo,$S7+MOD(2-WEEKDAY($S7),7))+6),1,IF(ISNUMBER($I7),$I7,0)))</f>
        <v/>
      </c>
      <c r="Z7" s="62">
        <f>IF($V7="","",IF(AND(ISNUMBER($G7),$G7&lt;=IF($S7=MesCiclo,InicioCiclo,$S7+MOD(2-WEEKDAY($S7),7))+13),1,IF(ISNUMBER($J7),$J7,$Y7)))</f>
        <v/>
      </c>
      <c r="AA7" s="62">
        <f>IF($V7="","",IF(AND(ISNUMBER($G7),$G7&lt;=IF($S7=MesCiclo,InicioCiclo,$S7+MOD(2-WEEKDAY($S7),7))+20),1,IF(ISNUMBER($K7),$K7,$Z7)))</f>
        <v/>
      </c>
      <c r="AB7" s="62">
        <f>IF($V7="","",IF(AND(ISNUMBER($G7),$G7&lt;=IF($S7=MesCiclo,InicioCiclo,$S7+MOD(2-WEEKDAY($S7),7))+27),1,IF(ISNUMBER($L7),$L7,$AA7)))</f>
        <v/>
      </c>
      <c r="AC7" s="62">
        <f>IF($V7="","",IF(AND(ISNUMBER($G7),$G7&lt;=IF($S7=MesCiclo,InicioCiclo,$S7+MOD(2-WEEKDAY($S7),7))+6),1,IF(N($W7)&gt;0,AVERAGEIFS($Y$5:$Y$1000,$U$5:$U$1000,ROW(),$V$5:$V$1000,"Sub"),$Y7)))</f>
        <v/>
      </c>
      <c r="AD7" s="62">
        <f>IF($V7="","",IF(AND(ISNUMBER($G7),$G7&lt;=IF($S7=MesCiclo,InicioCiclo,$S7+MOD(2-WEEKDAY($S7),7))+13),1,IF(N($W7)&gt;0,AVERAGEIFS($Z$5:$Z$1000,$U$5:$U$1000,ROW(),$V$5:$V$1000,"Sub"),$Z7)))</f>
        <v/>
      </c>
      <c r="AE7" s="62">
        <f>IF($V7="","",IF(AND(ISNUMBER($G7),$G7&lt;=IF($S7=MesCiclo,InicioCiclo,$S7+MOD(2-WEEKDAY($S7),7))+20),1,IF(N($W7)&gt;0,AVERAGEIFS($AA$5:$AA$1000,$U$5:$U$1000,ROW(),$V$5:$V$1000,"Sub"),$AA7)))</f>
        <v/>
      </c>
      <c r="AF7" s="62">
        <f>IF($V7="","",IF(AND(ISNUMBER($G7),$G7&lt;=IF($S7=MesCiclo,InicioCiclo,$S7+MOD(2-WEEKDAY($S7),7))+27),1,IF(N($W7)&gt;0,AVERAGEIFS($AB$5:$AB$1000,$U$5:$U$1000,ROW(),$V$5:$V$1000,"Sub"),$AB7)))</f>
        <v/>
      </c>
      <c r="AG7" s="62">
        <f>IF($V7&lt;&gt;"Macro","",IF(COUNTIFS($S$5:$S$1000,$S7,$V$5:$V$1000,"Macro",$H$5:$H$1000,"&gt;0")=0,1/COUNTIFS($S$5:$S$1000,$S7,$V$5:$V$1000,"Macro"),IF(AND(ISNUMBER($H7),N($H7)&gt;0),$H7,SUMIFS($H$5:$H$1000,$S$5:$S$1000,$S7,$V$5:$V$1000,"Macro")/COUNTIFS($S$5:$S$1000,$S7,$V$5:$V$1000,"Macro",$H$5:$H$1000,"&gt;0"))/(COUNTIFS($S$5:$S$1000,$S7,$V$5:$V$1000,"Macro")*SUMIFS($H$5:$H$1000,$S$5:$S$1000,$S7,$V$5:$V$1000,"Macro")/COUNTIFS($S$5:$S$1000,$S7,$V$5:$V$1000,"Macro",$H$5:$H$1000,"&gt;0"))))</f>
        <v/>
      </c>
      <c r="AH7" s="62" t="n"/>
      <c r="AI7" s="62" t="n"/>
      <c r="AJ7" s="62" t="n"/>
      <c r="AK7" s="62" t="n"/>
      <c r="AL7" s="62">
        <f>IF(LEFT($C7,11)="[Jefatura] ",IFERROR(MATCH("Riesgo Financiero|"&amp;MID($C7,12,500),rDname_ADM,0),0),"")</f>
        <v/>
      </c>
      <c r="AM7" s="62">
        <f>IF(N($AL7)&gt;0,INDEX(rIni_ADM,$AL7),IF(ISNUMBER($E7),$E7,""))</f>
        <v/>
      </c>
      <c r="AN7" s="62">
        <f>IF(N($AL7)&gt;0,INDEX(rLim_ADM,$AL7),IF(ISNUMBER($F7),$F7,""))</f>
        <v/>
      </c>
    </row>
    <row r="8">
      <c r="A8" s="56">
        <f>IF(NOT((COUNTA($B8:$D8)+COUNTA($G8:$L8)+COUNTA($Q8))&gt;0),"",IF($V8="Macro",COUNTIFS($V$5:$V8,"Macro",$S$5:$S8,$S8),IF(N($U8)=0,"?",COUNTIFS(INDEX($V$5:$V$1000,1):INDEX($V$5:$V$1000,$U8-4),"Macro",INDEX($S$5:$S$1000,1):INDEX($S$5:$S$1000,$U8-4),INDEX($S$5:$S$1000,$U8-4))&amp;"."&amp;COUNTIFS($U$5:$U8,$U8,$V$5:$V8,"Sub"))))</f>
        <v/>
      </c>
      <c r="B8" s="57" t="n"/>
      <c r="C8" s="58" t="n"/>
      <c r="D8" s="58" t="n"/>
      <c r="E8" s="59">
        <f>IF(N($AL8)&gt;0,INDEX(rIni_ADM,$AL8),"")</f>
        <v/>
      </c>
      <c r="F8" s="59">
        <f>IF(N($AL8)&gt;0,INDEX(rLim_ADM,$AL8),"")</f>
        <v/>
      </c>
      <c r="G8" s="59" t="n"/>
      <c r="H8" s="60" t="n"/>
      <c r="I8" s="60" t="n"/>
      <c r="J8" s="60" t="n"/>
      <c r="K8" s="60" t="n"/>
      <c r="L8" s="60" t="n"/>
      <c r="M8" s="61">
        <f>IF(NOT((COUNTA($B8:$D8)+COUNTA($G8:$L8)+COUNTA($Q8))&gt;0),"",IF(ISNUMBER($G8),1,IF(N($W8)&gt;0,AVERAGEIFS($X$5:$X$1000,$U$5:$U$1000,ROW(),$V$5:$V$1000,"Sub"),$X8)))</f>
        <v/>
      </c>
      <c r="N8" s="56">
        <f>IF($M8="","",IF($M8&gt;=1,"Completado",IF($M8&gt;0,"En curso","Pendiente")))</f>
        <v/>
      </c>
      <c r="O8" s="56">
        <f>IF(NOT((COUNTA($B8:$D8)+COUNTA($G8:$L8)+COUNTA($Q8))&gt;0),"",IF(ISNUMBER($G8),IF(AND(ISNUMBER($AN8),$G8&gt;$AN8),"Cumplida con "&amp;($G8-$AN8)&amp;IF($G8-$AN8=1," día"," días")&amp;" de retraso","Cumplida"),IF(N($M8)&gt;=1,"Cumplida",IF(NOT(ISNUMBER($AN8)),"Sin fecha límite",IF($AN8&lt;FechaRef,"Vencida hace "&amp;(FechaRef-$AN8)&amp;IF(FechaRef-$AN8=1," día"," días"),IF($AN8=FechaRef,"Vence hoy",IF($AN8-FechaRef&lt;=DiasAlerta,"Vence en "&amp;($AN8-FechaRef)&amp;IF($AN8-FechaRef=1," día"," días"),"En plazo")))))))</f>
        <v/>
      </c>
      <c r="P8" s="62" t="n"/>
      <c r="Q8" s="58" t="n"/>
      <c r="R8" s="63">
        <f>IF(NOT((COUNTA($B8:$D8)+COUNTA($G8:$L8)+COUNTA($Q8))&gt;0),"",IF((IF($C8="","Falta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",""))="","✔ OK","⚠ "&amp;LEFT(IF($C8="","Falta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",""),LEN(IF($C8="","Falta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",""))-3)))</f>
        <v/>
      </c>
      <c r="S8" s="64">
        <f>IF(NOT((COUNTA($B8:$D8)+COUNTA($G8:$L8)+COUNTA($Q8))&gt;0),"",IF(AND($V8="Sub",N($U8)&gt;0),IF(ISNUMBER(INDEX($AM$5:$AM$1000,$U8-4)),DATE(YEAR(INDEX($AM$5:$AM$1000,$U8-4)),MONTH(INDEX($AM$5:$AM$1000,$U8-4)),1),IF(ISNUMBER(INDEX($AN$5:$AN$1000,$U8-4)),DATE(YEAR(INDEX($AN$5:$AN$1000,$U8-4)),MONTH(INDEX($AN$5:$AN$1000,$U8-4)),1),MesCiclo)),IF(ISNUMBER($AM8),DATE(YEAR($AM8),MONTH($AM8),1),IF(ISNUMBER($AN8),DATE(YEAR($AN8),MONTH($AN8),1),MesCiclo))))</f>
        <v/>
      </c>
      <c r="T8" s="62">
        <f>IF(OR($S8="",$S8&lt;&gt;MesCiclo),"",COUNTIF($S$5:$S8,MesCiclo))</f>
        <v/>
      </c>
      <c r="U8" s="62">
        <f>IF($V8="","",IF($V8="Macro",ROW(),IFERROR(LOOKUP(2,1/($V$5:$V8="Macro"),ROW($V$5:$V8)),0)))</f>
        <v/>
      </c>
      <c r="V8" s="62">
        <f>IF(NOT((COUNTA($B8:$D8)+COUNTA($G8:$L8)+COUNTA($Q8))&gt;0),"",IF($B8="Subactividad","Sub","Macro"))</f>
        <v/>
      </c>
      <c r="W8" s="62">
        <f>IF($V8="Macro",COUNTIFS($U$5:$U$1000,ROW(),$V$5:$V$1000,"Sub"),"")</f>
        <v/>
      </c>
      <c r="X8" s="62">
        <f>IF($V8="","",IF(ISNUMBER($G8),1,IFERROR(LOOKUP(2,1/($I8:$L8&lt;&gt;""),$I8:$L8),0)))</f>
        <v/>
      </c>
      <c r="Y8" s="62">
        <f>IF($V8="","",IF(AND(ISNUMBER($G8),$G8&lt;=IF($S8=MesCiclo,InicioCiclo,$S8+MOD(2-WEEKDAY($S8),7))+6),1,IF(ISNUMBER($I8),$I8,0)))</f>
        <v/>
      </c>
      <c r="Z8" s="62">
        <f>IF($V8="","",IF(AND(ISNUMBER($G8),$G8&lt;=IF($S8=MesCiclo,InicioCiclo,$S8+MOD(2-WEEKDAY($S8),7))+13),1,IF(ISNUMBER($J8),$J8,$Y8)))</f>
        <v/>
      </c>
      <c r="AA8" s="62">
        <f>IF($V8="","",IF(AND(ISNUMBER($G8),$G8&lt;=IF($S8=MesCiclo,InicioCiclo,$S8+MOD(2-WEEKDAY($S8),7))+20),1,IF(ISNUMBER($K8),$K8,$Z8)))</f>
        <v/>
      </c>
      <c r="AB8" s="62">
        <f>IF($V8="","",IF(AND(ISNUMBER($G8),$G8&lt;=IF($S8=MesCiclo,InicioCiclo,$S8+MOD(2-WEEKDAY($S8),7))+27),1,IF(ISNUMBER($L8),$L8,$AA8)))</f>
        <v/>
      </c>
      <c r="AC8" s="62">
        <f>IF($V8="","",IF(AND(ISNUMBER($G8),$G8&lt;=IF($S8=MesCiclo,InicioCiclo,$S8+MOD(2-WEEKDAY($S8),7))+6),1,IF(N($W8)&gt;0,AVERAGEIFS($Y$5:$Y$1000,$U$5:$U$1000,ROW(),$V$5:$V$1000,"Sub"),$Y8)))</f>
        <v/>
      </c>
      <c r="AD8" s="62">
        <f>IF($V8="","",IF(AND(ISNUMBER($G8),$G8&lt;=IF($S8=MesCiclo,InicioCiclo,$S8+MOD(2-WEEKDAY($S8),7))+13),1,IF(N($W8)&gt;0,AVERAGEIFS($Z$5:$Z$1000,$U$5:$U$1000,ROW(),$V$5:$V$1000,"Sub"),$Z8)))</f>
        <v/>
      </c>
      <c r="AE8" s="62">
        <f>IF($V8="","",IF(AND(ISNUMBER($G8),$G8&lt;=IF($S8=MesCiclo,InicioCiclo,$S8+MOD(2-WEEKDAY($S8),7))+20),1,IF(N($W8)&gt;0,AVERAGEIFS($AA$5:$AA$1000,$U$5:$U$1000,ROW(),$V$5:$V$1000,"Sub"),$AA8)))</f>
        <v/>
      </c>
      <c r="AF8" s="62">
        <f>IF($V8="","",IF(AND(ISNUMBER($G8),$G8&lt;=IF($S8=MesCiclo,InicioCiclo,$S8+MOD(2-WEEKDAY($S8),7))+27),1,IF(N($W8)&gt;0,AVERAGEIFS($AB$5:$AB$1000,$U$5:$U$1000,ROW(),$V$5:$V$1000,"Sub"),$AB8)))</f>
        <v/>
      </c>
      <c r="AG8" s="62">
        <f>IF($V8&lt;&gt;"Macro","",IF(COUNTIFS($S$5:$S$1000,$S8,$V$5:$V$1000,"Macro",$H$5:$H$1000,"&gt;0")=0,1/COUNTIFS($S$5:$S$1000,$S8,$V$5:$V$1000,"Macro"),IF(AND(ISNUMBER($H8),N($H8)&gt;0),$H8,SUMIFS($H$5:$H$1000,$S$5:$S$1000,$S8,$V$5:$V$1000,"Macro")/COUNTIFS($S$5:$S$1000,$S8,$V$5:$V$1000,"Macro",$H$5:$H$1000,"&gt;0"))/(COUNTIFS($S$5:$S$1000,$S8,$V$5:$V$1000,"Macro")*SUMIFS($H$5:$H$1000,$S$5:$S$1000,$S8,$V$5:$V$1000,"Macro")/COUNTIFS($S$5:$S$1000,$S8,$V$5:$V$1000,"Macro",$H$5:$H$1000,"&gt;0"))))</f>
        <v/>
      </c>
      <c r="AH8" s="62" t="n"/>
      <c r="AI8" s="62" t="n"/>
      <c r="AJ8" s="62" t="n"/>
      <c r="AK8" s="62" t="n"/>
      <c r="AL8" s="62">
        <f>IF(LEFT($C8,11)="[Jefatura] ",IFERROR(MATCH("Riesgo Financiero|"&amp;MID($C8,12,500),rDname_ADM,0),0),"")</f>
        <v/>
      </c>
      <c r="AM8" s="62">
        <f>IF(N($AL8)&gt;0,INDEX(rIni_ADM,$AL8),IF(ISNUMBER($E8),$E8,""))</f>
        <v/>
      </c>
      <c r="AN8" s="62">
        <f>IF(N($AL8)&gt;0,INDEX(rLim_ADM,$AL8),IF(ISNUMBER($F8),$F8,""))</f>
        <v/>
      </c>
    </row>
    <row r="9">
      <c r="A9" s="56">
        <f>IF(NOT((COUNTA($B9:$D9)+COUNTA($G9:$L9)+COUNTA($Q9))&gt;0),"",IF($V9="Macro",COUNTIFS($V$5:$V9,"Macro",$S$5:$S9,$S9),IF(N($U9)=0,"?",COUNTIFS(INDEX($V$5:$V$1000,1):INDEX($V$5:$V$1000,$U9-4),"Macro",INDEX($S$5:$S$1000,1):INDEX($S$5:$S$1000,$U9-4),INDEX($S$5:$S$1000,$U9-4))&amp;"."&amp;COUNTIFS($U$5:$U9,$U9,$V$5:$V9,"Sub"))))</f>
        <v/>
      </c>
      <c r="B9" s="57" t="n"/>
      <c r="C9" s="58" t="n"/>
      <c r="D9" s="58" t="n"/>
      <c r="E9" s="59">
        <f>IF(N($AL9)&gt;0,INDEX(rIni_ADM,$AL9),"")</f>
        <v/>
      </c>
      <c r="F9" s="59">
        <f>IF(N($AL9)&gt;0,INDEX(rLim_ADM,$AL9),"")</f>
        <v/>
      </c>
      <c r="G9" s="59" t="n"/>
      <c r="H9" s="60" t="n"/>
      <c r="I9" s="60" t="n"/>
      <c r="J9" s="60" t="n"/>
      <c r="K9" s="60" t="n"/>
      <c r="L9" s="60" t="n"/>
      <c r="M9" s="61">
        <f>IF(NOT((COUNTA($B9:$D9)+COUNTA($G9:$L9)+COUNTA($Q9))&gt;0),"",IF(ISNUMBER($G9),1,IF(N($W9)&gt;0,AVERAGEIFS($X$5:$X$1000,$U$5:$U$1000,ROW(),$V$5:$V$1000,"Sub"),$X9)))</f>
        <v/>
      </c>
      <c r="N9" s="56">
        <f>IF($M9="","",IF($M9&gt;=1,"Completado",IF($M9&gt;0,"En curso","Pendiente")))</f>
        <v/>
      </c>
      <c r="O9" s="56">
        <f>IF(NOT((COUNTA($B9:$D9)+COUNTA($G9:$L9)+COUNTA($Q9))&gt;0),"",IF(ISNUMBER($G9),IF(AND(ISNUMBER($AN9),$G9&gt;$AN9),"Cumplida con "&amp;($G9-$AN9)&amp;IF($G9-$AN9=1," día"," días")&amp;" de retraso","Cumplida"),IF(N($M9)&gt;=1,"Cumplida",IF(NOT(ISNUMBER($AN9)),"Sin fecha límite",IF($AN9&lt;FechaRef,"Vencida hace "&amp;(FechaRef-$AN9)&amp;IF(FechaRef-$AN9=1," día"," días"),IF($AN9=FechaRef,"Vence hoy",IF($AN9-FechaRef&lt;=DiasAlerta,"Vence en "&amp;($AN9-FechaRef)&amp;IF($AN9-FechaRef=1," día"," días"),"En plazo")))))))</f>
        <v/>
      </c>
      <c r="P9" s="62" t="n"/>
      <c r="Q9" s="58" t="n"/>
      <c r="R9" s="63">
        <f>IF(NOT((COUNTA($B9:$D9)+COUNTA($G9:$L9)+COUNTA($Q9))&gt;0),"",IF((IF($C9="","Falta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",""))="","✔ OK","⚠ "&amp;LEFT(IF($C9="","Falta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",""),LEN(IF($C9="","Falta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",""))-3)))</f>
        <v/>
      </c>
      <c r="S9" s="64">
        <f>IF(NOT((COUNTA($B9:$D9)+COUNTA($G9:$L9)+COUNTA($Q9))&gt;0),"",IF(AND($V9="Sub",N($U9)&gt;0),IF(ISNUMBER(INDEX($AM$5:$AM$1000,$U9-4)),DATE(YEAR(INDEX($AM$5:$AM$1000,$U9-4)),MONTH(INDEX($AM$5:$AM$1000,$U9-4)),1),IF(ISNUMBER(INDEX($AN$5:$AN$1000,$U9-4)),DATE(YEAR(INDEX($AN$5:$AN$1000,$U9-4)),MONTH(INDEX($AN$5:$AN$1000,$U9-4)),1),MesCiclo)),IF(ISNUMBER($AM9),DATE(YEAR($AM9),MONTH($AM9),1),IF(ISNUMBER($AN9),DATE(YEAR($AN9),MONTH($AN9),1),MesCiclo))))</f>
        <v/>
      </c>
      <c r="T9" s="62">
        <f>IF(OR($S9="",$S9&lt;&gt;MesCiclo),"",COUNTIF($S$5:$S9,MesCiclo))</f>
        <v/>
      </c>
      <c r="U9" s="62">
        <f>IF($V9="","",IF($V9="Macro",ROW(),IFERROR(LOOKUP(2,1/($V$5:$V9="Macro"),ROW($V$5:$V9)),0)))</f>
        <v/>
      </c>
      <c r="V9" s="62">
        <f>IF(NOT((COUNTA($B9:$D9)+COUNTA($G9:$L9)+COUNTA($Q9))&gt;0),"",IF($B9="Subactividad","Sub","Macro"))</f>
        <v/>
      </c>
      <c r="W9" s="62">
        <f>IF($V9="Macro",COUNTIFS($U$5:$U$1000,ROW(),$V$5:$V$1000,"Sub"),"")</f>
        <v/>
      </c>
      <c r="X9" s="62">
        <f>IF($V9="","",IF(ISNUMBER($G9),1,IFERROR(LOOKUP(2,1/($I9:$L9&lt;&gt;""),$I9:$L9),0)))</f>
        <v/>
      </c>
      <c r="Y9" s="62">
        <f>IF($V9="","",IF(AND(ISNUMBER($G9),$G9&lt;=IF($S9=MesCiclo,InicioCiclo,$S9+MOD(2-WEEKDAY($S9),7))+6),1,IF(ISNUMBER($I9),$I9,0)))</f>
        <v/>
      </c>
      <c r="Z9" s="62">
        <f>IF($V9="","",IF(AND(ISNUMBER($G9),$G9&lt;=IF($S9=MesCiclo,InicioCiclo,$S9+MOD(2-WEEKDAY($S9),7))+13),1,IF(ISNUMBER($J9),$J9,$Y9)))</f>
        <v/>
      </c>
      <c r="AA9" s="62">
        <f>IF($V9="","",IF(AND(ISNUMBER($G9),$G9&lt;=IF($S9=MesCiclo,InicioCiclo,$S9+MOD(2-WEEKDAY($S9),7))+20),1,IF(ISNUMBER($K9),$K9,$Z9)))</f>
        <v/>
      </c>
      <c r="AB9" s="62">
        <f>IF($V9="","",IF(AND(ISNUMBER($G9),$G9&lt;=IF($S9=MesCiclo,InicioCiclo,$S9+MOD(2-WEEKDAY($S9),7))+27),1,IF(ISNUMBER($L9),$L9,$AA9)))</f>
        <v/>
      </c>
      <c r="AC9" s="62">
        <f>IF($V9="","",IF(AND(ISNUMBER($G9),$G9&lt;=IF($S9=MesCiclo,InicioCiclo,$S9+MOD(2-WEEKDAY($S9),7))+6),1,IF(N($W9)&gt;0,AVERAGEIFS($Y$5:$Y$1000,$U$5:$U$1000,ROW(),$V$5:$V$1000,"Sub"),$Y9)))</f>
        <v/>
      </c>
      <c r="AD9" s="62">
        <f>IF($V9="","",IF(AND(ISNUMBER($G9),$G9&lt;=IF($S9=MesCiclo,InicioCiclo,$S9+MOD(2-WEEKDAY($S9),7))+13),1,IF(N($W9)&gt;0,AVERAGEIFS($Z$5:$Z$1000,$U$5:$U$1000,ROW(),$V$5:$V$1000,"Sub"),$Z9)))</f>
        <v/>
      </c>
      <c r="AE9" s="62">
        <f>IF($V9="","",IF(AND(ISNUMBER($G9),$G9&lt;=IF($S9=MesCiclo,InicioCiclo,$S9+MOD(2-WEEKDAY($S9),7))+20),1,IF(N($W9)&gt;0,AVERAGEIFS($AA$5:$AA$1000,$U$5:$U$1000,ROW(),$V$5:$V$1000,"Sub"),$AA9)))</f>
        <v/>
      </c>
      <c r="AF9" s="62">
        <f>IF($V9="","",IF(AND(ISNUMBER($G9),$G9&lt;=IF($S9=MesCiclo,InicioCiclo,$S9+MOD(2-WEEKDAY($S9),7))+27),1,IF(N($W9)&gt;0,AVERAGEIFS($AB$5:$AB$1000,$U$5:$U$1000,ROW(),$V$5:$V$1000,"Sub"),$AB9)))</f>
        <v/>
      </c>
      <c r="AG9" s="62">
        <f>IF($V9&lt;&gt;"Macro","",IF(COUNTIFS($S$5:$S$1000,$S9,$V$5:$V$1000,"Macro",$H$5:$H$1000,"&gt;0")=0,1/COUNTIFS($S$5:$S$1000,$S9,$V$5:$V$1000,"Macro"),IF(AND(ISNUMBER($H9),N($H9)&gt;0),$H9,SUMIFS($H$5:$H$1000,$S$5:$S$1000,$S9,$V$5:$V$1000,"Macro")/COUNTIFS($S$5:$S$1000,$S9,$V$5:$V$1000,"Macro",$H$5:$H$1000,"&gt;0"))/(COUNTIFS($S$5:$S$1000,$S9,$V$5:$V$1000,"Macro")*SUMIFS($H$5:$H$1000,$S$5:$S$1000,$S9,$V$5:$V$1000,"Macro")/COUNTIFS($S$5:$S$1000,$S9,$V$5:$V$1000,"Macro",$H$5:$H$1000,"&gt;0"))))</f>
        <v/>
      </c>
      <c r="AH9" s="62" t="n"/>
      <c r="AI9" s="62" t="n"/>
      <c r="AJ9" s="62" t="n"/>
      <c r="AK9" s="62" t="n"/>
      <c r="AL9" s="62">
        <f>IF(LEFT($C9,11)="[Jefatura] ",IFERROR(MATCH("Riesgo Financiero|"&amp;MID($C9,12,500),rDname_ADM,0),0),"")</f>
        <v/>
      </c>
      <c r="AM9" s="62">
        <f>IF(N($AL9)&gt;0,INDEX(rIni_ADM,$AL9),IF(ISNUMBER($E9),$E9,""))</f>
        <v/>
      </c>
      <c r="AN9" s="62">
        <f>IF(N($AL9)&gt;0,INDEX(rLim_ADM,$AL9),IF(ISNUMBER($F9),$F9,""))</f>
        <v/>
      </c>
    </row>
    <row r="10">
      <c r="A10" s="56">
        <f>IF(NOT((COUNTA($B10:$D10)+COUNTA($G10:$L10)+COUNTA($Q10))&gt;0),"",IF($V10="Macro",COUNTIFS($V$5:$V10,"Macro",$S$5:$S10,$S10),IF(N($U10)=0,"?",COUNTIFS(INDEX($V$5:$V$1000,1):INDEX($V$5:$V$1000,$U10-4),"Macro",INDEX($S$5:$S$1000,1):INDEX($S$5:$S$1000,$U10-4),INDEX($S$5:$S$1000,$U10-4))&amp;"."&amp;COUNTIFS($U$5:$U10,$U10,$V$5:$V10,"Sub"))))</f>
        <v/>
      </c>
      <c r="B10" s="57" t="n"/>
      <c r="C10" s="58" t="n"/>
      <c r="D10" s="58" t="n"/>
      <c r="E10" s="59">
        <f>IF(N($AL10)&gt;0,INDEX(rIni_ADM,$AL10),"")</f>
        <v/>
      </c>
      <c r="F10" s="59">
        <f>IF(N($AL10)&gt;0,INDEX(rLim_ADM,$AL10),"")</f>
        <v/>
      </c>
      <c r="G10" s="59" t="n"/>
      <c r="H10" s="60" t="n"/>
      <c r="I10" s="60" t="n"/>
      <c r="J10" s="60" t="n"/>
      <c r="K10" s="60" t="n"/>
      <c r="L10" s="60" t="n"/>
      <c r="M10" s="61">
        <f>IF(NOT((COUNTA($B10:$D10)+COUNTA($G10:$L10)+COUNTA($Q10))&gt;0),"",IF(ISNUMBER($G10),1,IF(N($W10)&gt;0,AVERAGEIFS($X$5:$X$1000,$U$5:$U$1000,ROW(),$V$5:$V$1000,"Sub"),$X10)))</f>
        <v/>
      </c>
      <c r="N10" s="56">
        <f>IF($M10="","",IF($M10&gt;=1,"Completado",IF($M10&gt;0,"En curso","Pendiente")))</f>
        <v/>
      </c>
      <c r="O10" s="56">
        <f>IF(NOT((COUNTA($B10:$D10)+COUNTA($G10:$L10)+COUNTA($Q10))&gt;0),"",IF(ISNUMBER($G10),IF(AND(ISNUMBER($AN10),$G10&gt;$AN10),"Cumplida con "&amp;($G10-$AN10)&amp;IF($G10-$AN10=1," día"," días")&amp;" de retraso","Cumplida"),IF(N($M10)&gt;=1,"Cumplida",IF(NOT(ISNUMBER($AN10)),"Sin fecha límite",IF($AN10&lt;FechaRef,"Vencida hace "&amp;(FechaRef-$AN10)&amp;IF(FechaRef-$AN10=1," día"," días"),IF($AN10=FechaRef,"Vence hoy",IF($AN10-FechaRef&lt;=DiasAlerta,"Vence en "&amp;($AN10-FechaRef)&amp;IF($AN10-FechaRef=1," día"," días"),"En plazo")))))))</f>
        <v/>
      </c>
      <c r="P10" s="62" t="n"/>
      <c r="Q10" s="58" t="n"/>
      <c r="R10" s="63">
        <f>IF(NOT((COUNTA($B10:$D10)+COUNTA($G10:$L10)+COUNTA($Q10))&gt;0),"",IF((IF($C10="","Falta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",""))="","✔ OK","⚠ "&amp;LEFT(IF($C10="","Falta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",""),LEN(IF($C10="","Falta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",""))-3)))</f>
        <v/>
      </c>
      <c r="S10" s="64">
        <f>IF(NOT((COUNTA($B10:$D10)+COUNTA($G10:$L10)+COUNTA($Q10))&gt;0),"",IF(AND($V10="Sub",N($U10)&gt;0),IF(ISNUMBER(INDEX($AM$5:$AM$1000,$U10-4)),DATE(YEAR(INDEX($AM$5:$AM$1000,$U10-4)),MONTH(INDEX($AM$5:$AM$1000,$U10-4)),1),IF(ISNUMBER(INDEX($AN$5:$AN$1000,$U10-4)),DATE(YEAR(INDEX($AN$5:$AN$1000,$U10-4)),MONTH(INDEX($AN$5:$AN$1000,$U10-4)),1),MesCiclo)),IF(ISNUMBER($AM10),DATE(YEAR($AM10),MONTH($AM10),1),IF(ISNUMBER($AN10),DATE(YEAR($AN10),MONTH($AN10),1),MesCiclo))))</f>
        <v/>
      </c>
      <c r="T10" s="62">
        <f>IF(OR($S10="",$S10&lt;&gt;MesCiclo),"",COUNTIF($S$5:$S10,MesCiclo))</f>
        <v/>
      </c>
      <c r="U10" s="62">
        <f>IF($V10="","",IF($V10="Macro",ROW(),IFERROR(LOOKUP(2,1/($V$5:$V10="Macro"),ROW($V$5:$V10)),0)))</f>
        <v/>
      </c>
      <c r="V10" s="62">
        <f>IF(NOT((COUNTA($B10:$D10)+COUNTA($G10:$L10)+COUNTA($Q10))&gt;0),"",IF($B10="Subactividad","Sub","Macro"))</f>
        <v/>
      </c>
      <c r="W10" s="62">
        <f>IF($V10="Macro",COUNTIFS($U$5:$U$1000,ROW(),$V$5:$V$1000,"Sub"),"")</f>
        <v/>
      </c>
      <c r="X10" s="62">
        <f>IF($V10="","",IF(ISNUMBER($G10),1,IFERROR(LOOKUP(2,1/($I10:$L10&lt;&gt;""),$I10:$L10),0)))</f>
        <v/>
      </c>
      <c r="Y10" s="62">
        <f>IF($V10="","",IF(AND(ISNUMBER($G10),$G10&lt;=IF($S10=MesCiclo,InicioCiclo,$S10+MOD(2-WEEKDAY($S10),7))+6),1,IF(ISNUMBER($I10),$I10,0)))</f>
        <v/>
      </c>
      <c r="Z10" s="62">
        <f>IF($V10="","",IF(AND(ISNUMBER($G10),$G10&lt;=IF($S10=MesCiclo,InicioCiclo,$S10+MOD(2-WEEKDAY($S10),7))+13),1,IF(ISNUMBER($J10),$J10,$Y10)))</f>
        <v/>
      </c>
      <c r="AA10" s="62">
        <f>IF($V10="","",IF(AND(ISNUMBER($G10),$G10&lt;=IF($S10=MesCiclo,InicioCiclo,$S10+MOD(2-WEEKDAY($S10),7))+20),1,IF(ISNUMBER($K10),$K10,$Z10)))</f>
        <v/>
      </c>
      <c r="AB10" s="62">
        <f>IF($V10="","",IF(AND(ISNUMBER($G10),$G10&lt;=IF($S10=MesCiclo,InicioCiclo,$S10+MOD(2-WEEKDAY($S10),7))+27),1,IF(ISNUMBER($L10),$L10,$AA10)))</f>
        <v/>
      </c>
      <c r="AC10" s="62">
        <f>IF($V10="","",IF(AND(ISNUMBER($G10),$G10&lt;=IF($S10=MesCiclo,InicioCiclo,$S10+MOD(2-WEEKDAY($S10),7))+6),1,IF(N($W10)&gt;0,AVERAGEIFS($Y$5:$Y$1000,$U$5:$U$1000,ROW(),$V$5:$V$1000,"Sub"),$Y10)))</f>
        <v/>
      </c>
      <c r="AD10" s="62">
        <f>IF($V10="","",IF(AND(ISNUMBER($G10),$G10&lt;=IF($S10=MesCiclo,InicioCiclo,$S10+MOD(2-WEEKDAY($S10),7))+13),1,IF(N($W10)&gt;0,AVERAGEIFS($Z$5:$Z$1000,$U$5:$U$1000,ROW(),$V$5:$V$1000,"Sub"),$Z10)))</f>
        <v/>
      </c>
      <c r="AE10" s="62">
        <f>IF($V10="","",IF(AND(ISNUMBER($G10),$G10&lt;=IF($S10=MesCiclo,InicioCiclo,$S10+MOD(2-WEEKDAY($S10),7))+20),1,IF(N($W10)&gt;0,AVERAGEIFS($AA$5:$AA$1000,$U$5:$U$1000,ROW(),$V$5:$V$1000,"Sub"),$AA10)))</f>
        <v/>
      </c>
      <c r="AF10" s="62">
        <f>IF($V10="","",IF(AND(ISNUMBER($G10),$G10&lt;=IF($S10=MesCiclo,InicioCiclo,$S10+MOD(2-WEEKDAY($S10),7))+27),1,IF(N($W10)&gt;0,AVERAGEIFS($AB$5:$AB$1000,$U$5:$U$1000,ROW(),$V$5:$V$1000,"Sub"),$AB10)))</f>
        <v/>
      </c>
      <c r="AG10" s="62">
        <f>IF($V10&lt;&gt;"Macro","",IF(COUNTIFS($S$5:$S$1000,$S10,$V$5:$V$1000,"Macro",$H$5:$H$1000,"&gt;0")=0,1/COUNTIFS($S$5:$S$1000,$S10,$V$5:$V$1000,"Macro"),IF(AND(ISNUMBER($H10),N($H10)&gt;0),$H10,SUMIFS($H$5:$H$1000,$S$5:$S$1000,$S10,$V$5:$V$1000,"Macro")/COUNTIFS($S$5:$S$1000,$S10,$V$5:$V$1000,"Macro",$H$5:$H$1000,"&gt;0"))/(COUNTIFS($S$5:$S$1000,$S10,$V$5:$V$1000,"Macro")*SUMIFS($H$5:$H$1000,$S$5:$S$1000,$S10,$V$5:$V$1000,"Macro")/COUNTIFS($S$5:$S$1000,$S10,$V$5:$V$1000,"Macro",$H$5:$H$1000,"&gt;0"))))</f>
        <v/>
      </c>
      <c r="AH10" s="62" t="n"/>
      <c r="AI10" s="62" t="n"/>
      <c r="AJ10" s="62" t="n"/>
      <c r="AK10" s="62" t="n"/>
      <c r="AL10" s="62">
        <f>IF(LEFT($C10,11)="[Jefatura] ",IFERROR(MATCH("Riesgo Financiero|"&amp;MID($C10,12,500),rDname_ADM,0),0),"")</f>
        <v/>
      </c>
      <c r="AM10" s="62">
        <f>IF(N($AL10)&gt;0,INDEX(rIni_ADM,$AL10),IF(ISNUMBER($E10),$E10,""))</f>
        <v/>
      </c>
      <c r="AN10" s="62">
        <f>IF(N($AL10)&gt;0,INDEX(rLim_ADM,$AL10),IF(ISNUMBER($F10),$F10,""))</f>
        <v/>
      </c>
    </row>
    <row r="11">
      <c r="A11" s="56">
        <f>IF(NOT((COUNTA($B11:$D11)+COUNTA($G11:$L11)+COUNTA($Q11))&gt;0),"",IF($V11="Macro",COUNTIFS($V$5:$V11,"Macro",$S$5:$S11,$S11),IF(N($U11)=0,"?",COUNTIFS(INDEX($V$5:$V$1000,1):INDEX($V$5:$V$1000,$U11-4),"Macro",INDEX($S$5:$S$1000,1):INDEX($S$5:$S$1000,$U11-4),INDEX($S$5:$S$1000,$U11-4))&amp;"."&amp;COUNTIFS($U$5:$U11,$U11,$V$5:$V11,"Sub"))))</f>
        <v/>
      </c>
      <c r="B11" s="57" t="n"/>
      <c r="C11" s="58" t="n"/>
      <c r="D11" s="58" t="n"/>
      <c r="E11" s="59">
        <f>IF(N($AL11)&gt;0,INDEX(rIni_ADM,$AL11),"")</f>
        <v/>
      </c>
      <c r="F11" s="59">
        <f>IF(N($AL11)&gt;0,INDEX(rLim_ADM,$AL11),"")</f>
        <v/>
      </c>
      <c r="G11" s="59" t="n"/>
      <c r="H11" s="60" t="n"/>
      <c r="I11" s="60" t="n"/>
      <c r="J11" s="60" t="n"/>
      <c r="K11" s="60" t="n"/>
      <c r="L11" s="60" t="n"/>
      <c r="M11" s="61">
        <f>IF(NOT((COUNTA($B11:$D11)+COUNTA($G11:$L11)+COUNTA($Q11))&gt;0),"",IF(ISNUMBER($G11),1,IF(N($W11)&gt;0,AVERAGEIFS($X$5:$X$1000,$U$5:$U$1000,ROW(),$V$5:$V$1000,"Sub"),$X11)))</f>
        <v/>
      </c>
      <c r="N11" s="56">
        <f>IF($M11="","",IF($M11&gt;=1,"Completado",IF($M11&gt;0,"En curso","Pendiente")))</f>
        <v/>
      </c>
      <c r="O11" s="56">
        <f>IF(NOT((COUNTA($B11:$D11)+COUNTA($G11:$L11)+COUNTA($Q11))&gt;0),"",IF(ISNUMBER($G11),IF(AND(ISNUMBER($AN11),$G11&gt;$AN11),"Cumplida con "&amp;($G11-$AN11)&amp;IF($G11-$AN11=1," día"," días")&amp;" de retraso","Cumplida"),IF(N($M11)&gt;=1,"Cumplida",IF(NOT(ISNUMBER($AN11)),"Sin fecha límite",IF($AN11&lt;FechaRef,"Vencida hace "&amp;(FechaRef-$AN11)&amp;IF(FechaRef-$AN11=1," día"," días"),IF($AN11=FechaRef,"Vence hoy",IF($AN11-FechaRef&lt;=DiasAlerta,"Vence en "&amp;($AN11-FechaRef)&amp;IF($AN11-FechaRef=1," día"," días"),"En plazo")))))))</f>
        <v/>
      </c>
      <c r="P11" s="62" t="n"/>
      <c r="Q11" s="58" t="n"/>
      <c r="R11" s="63">
        <f>IF(NOT((COUNTA($B11:$D11)+COUNTA($G11:$L11)+COUNTA($Q11))&gt;0),"",IF((IF($C11="","Falta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",""))="","✔ OK","⚠ "&amp;LEFT(IF($C11="","Falta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",""),LEN(IF($C11="","Falta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",""))-3)))</f>
        <v/>
      </c>
      <c r="S11" s="64">
        <f>IF(NOT((COUNTA($B11:$D11)+COUNTA($G11:$L11)+COUNTA($Q11))&gt;0),"",IF(AND($V11="Sub",N($U11)&gt;0),IF(ISNUMBER(INDEX($AM$5:$AM$1000,$U11-4)),DATE(YEAR(INDEX($AM$5:$AM$1000,$U11-4)),MONTH(INDEX($AM$5:$AM$1000,$U11-4)),1),IF(ISNUMBER(INDEX($AN$5:$AN$1000,$U11-4)),DATE(YEAR(INDEX($AN$5:$AN$1000,$U11-4)),MONTH(INDEX($AN$5:$AN$1000,$U11-4)),1),MesCiclo)),IF(ISNUMBER($AM11),DATE(YEAR($AM11),MONTH($AM11),1),IF(ISNUMBER($AN11),DATE(YEAR($AN11),MONTH($AN11),1),MesCiclo))))</f>
        <v/>
      </c>
      <c r="T11" s="62">
        <f>IF(OR($S11="",$S11&lt;&gt;MesCiclo),"",COUNTIF($S$5:$S11,MesCiclo))</f>
        <v/>
      </c>
      <c r="U11" s="62">
        <f>IF($V11="","",IF($V11="Macro",ROW(),IFERROR(LOOKUP(2,1/($V$5:$V11="Macro"),ROW($V$5:$V11)),0)))</f>
        <v/>
      </c>
      <c r="V11" s="62">
        <f>IF(NOT((COUNTA($B11:$D11)+COUNTA($G11:$L11)+COUNTA($Q11))&gt;0),"",IF($B11="Subactividad","Sub","Macro"))</f>
        <v/>
      </c>
      <c r="W11" s="62">
        <f>IF($V11="Macro",COUNTIFS($U$5:$U$1000,ROW(),$V$5:$V$1000,"Sub"),"")</f>
        <v/>
      </c>
      <c r="X11" s="62">
        <f>IF($V11="","",IF(ISNUMBER($G11),1,IFERROR(LOOKUP(2,1/($I11:$L11&lt;&gt;""),$I11:$L11),0)))</f>
        <v/>
      </c>
      <c r="Y11" s="62">
        <f>IF($V11="","",IF(AND(ISNUMBER($G11),$G11&lt;=IF($S11=MesCiclo,InicioCiclo,$S11+MOD(2-WEEKDAY($S11),7))+6),1,IF(ISNUMBER($I11),$I11,0)))</f>
        <v/>
      </c>
      <c r="Z11" s="62">
        <f>IF($V11="","",IF(AND(ISNUMBER($G11),$G11&lt;=IF($S11=MesCiclo,InicioCiclo,$S11+MOD(2-WEEKDAY($S11),7))+13),1,IF(ISNUMBER($J11),$J11,$Y11)))</f>
        <v/>
      </c>
      <c r="AA11" s="62">
        <f>IF($V11="","",IF(AND(ISNUMBER($G11),$G11&lt;=IF($S11=MesCiclo,InicioCiclo,$S11+MOD(2-WEEKDAY($S11),7))+20),1,IF(ISNUMBER($K11),$K11,$Z11)))</f>
        <v/>
      </c>
      <c r="AB11" s="62">
        <f>IF($V11="","",IF(AND(ISNUMBER($G11),$G11&lt;=IF($S11=MesCiclo,InicioCiclo,$S11+MOD(2-WEEKDAY($S11),7))+27),1,IF(ISNUMBER($L11),$L11,$AA11)))</f>
        <v/>
      </c>
      <c r="AC11" s="62">
        <f>IF($V11="","",IF(AND(ISNUMBER($G11),$G11&lt;=IF($S11=MesCiclo,InicioCiclo,$S11+MOD(2-WEEKDAY($S11),7))+6),1,IF(N($W11)&gt;0,AVERAGEIFS($Y$5:$Y$1000,$U$5:$U$1000,ROW(),$V$5:$V$1000,"Sub"),$Y11)))</f>
        <v/>
      </c>
      <c r="AD11" s="62">
        <f>IF($V11="","",IF(AND(ISNUMBER($G11),$G11&lt;=IF($S11=MesCiclo,InicioCiclo,$S11+MOD(2-WEEKDAY($S11),7))+13),1,IF(N($W11)&gt;0,AVERAGEIFS($Z$5:$Z$1000,$U$5:$U$1000,ROW(),$V$5:$V$1000,"Sub"),$Z11)))</f>
        <v/>
      </c>
      <c r="AE11" s="62">
        <f>IF($V11="","",IF(AND(ISNUMBER($G11),$G11&lt;=IF($S11=MesCiclo,InicioCiclo,$S11+MOD(2-WEEKDAY($S11),7))+20),1,IF(N($W11)&gt;0,AVERAGEIFS($AA$5:$AA$1000,$U$5:$U$1000,ROW(),$V$5:$V$1000,"Sub"),$AA11)))</f>
        <v/>
      </c>
      <c r="AF11" s="62">
        <f>IF($V11="","",IF(AND(ISNUMBER($G11),$G11&lt;=IF($S11=MesCiclo,InicioCiclo,$S11+MOD(2-WEEKDAY($S11),7))+27),1,IF(N($W11)&gt;0,AVERAGEIFS($AB$5:$AB$1000,$U$5:$U$1000,ROW(),$V$5:$V$1000,"Sub"),$AB11)))</f>
        <v/>
      </c>
      <c r="AG11" s="62">
        <f>IF($V11&lt;&gt;"Macro","",IF(COUNTIFS($S$5:$S$1000,$S11,$V$5:$V$1000,"Macro",$H$5:$H$1000,"&gt;0")=0,1/COUNTIFS($S$5:$S$1000,$S11,$V$5:$V$1000,"Macro"),IF(AND(ISNUMBER($H11),N($H11)&gt;0),$H11,SUMIFS($H$5:$H$1000,$S$5:$S$1000,$S11,$V$5:$V$1000,"Macro")/COUNTIFS($S$5:$S$1000,$S11,$V$5:$V$1000,"Macro",$H$5:$H$1000,"&gt;0"))/(COUNTIFS($S$5:$S$1000,$S11,$V$5:$V$1000,"Macro")*SUMIFS($H$5:$H$1000,$S$5:$S$1000,$S11,$V$5:$V$1000,"Macro")/COUNTIFS($S$5:$S$1000,$S11,$V$5:$V$1000,"Macro",$H$5:$H$1000,"&gt;0"))))</f>
        <v/>
      </c>
      <c r="AH11" s="62" t="n"/>
      <c r="AI11" s="62" t="n"/>
      <c r="AJ11" s="62" t="n"/>
      <c r="AK11" s="62" t="n"/>
      <c r="AL11" s="62">
        <f>IF(LEFT($C11,11)="[Jefatura] ",IFERROR(MATCH("Riesgo Financiero|"&amp;MID($C11,12,500),rDname_ADM,0),0),"")</f>
        <v/>
      </c>
      <c r="AM11" s="62">
        <f>IF(N($AL11)&gt;0,INDEX(rIni_ADM,$AL11),IF(ISNUMBER($E11),$E11,""))</f>
        <v/>
      </c>
      <c r="AN11" s="62">
        <f>IF(N($AL11)&gt;0,INDEX(rLim_ADM,$AL11),IF(ISNUMBER($F11),$F11,""))</f>
        <v/>
      </c>
    </row>
    <row r="12">
      <c r="A12" s="56">
        <f>IF(NOT((COUNTA($B12:$D12)+COUNTA($G12:$L12)+COUNTA($Q12))&gt;0),"",IF($V12="Macro",COUNTIFS($V$5:$V12,"Macro",$S$5:$S12,$S12),IF(N($U12)=0,"?",COUNTIFS(INDEX($V$5:$V$1000,1):INDEX($V$5:$V$1000,$U12-4),"Macro",INDEX($S$5:$S$1000,1):INDEX($S$5:$S$1000,$U12-4),INDEX($S$5:$S$1000,$U12-4))&amp;"."&amp;COUNTIFS($U$5:$U12,$U12,$V$5:$V12,"Sub"))))</f>
        <v/>
      </c>
      <c r="B12" s="57" t="n"/>
      <c r="C12" s="58" t="n"/>
      <c r="D12" s="58" t="n"/>
      <c r="E12" s="59">
        <f>IF(N($AL12)&gt;0,INDEX(rIni_ADM,$AL12),"")</f>
        <v/>
      </c>
      <c r="F12" s="59">
        <f>IF(N($AL12)&gt;0,INDEX(rLim_ADM,$AL12),"")</f>
        <v/>
      </c>
      <c r="G12" s="59" t="n"/>
      <c r="H12" s="60" t="n"/>
      <c r="I12" s="60" t="n"/>
      <c r="J12" s="60" t="n"/>
      <c r="K12" s="60" t="n"/>
      <c r="L12" s="60" t="n"/>
      <c r="M12" s="61">
        <f>IF(NOT((COUNTA($B12:$D12)+COUNTA($G12:$L12)+COUNTA($Q12))&gt;0),"",IF(ISNUMBER($G12),1,IF(N($W12)&gt;0,AVERAGEIFS($X$5:$X$1000,$U$5:$U$1000,ROW(),$V$5:$V$1000,"Sub"),$X12)))</f>
        <v/>
      </c>
      <c r="N12" s="56">
        <f>IF($M12="","",IF($M12&gt;=1,"Completado",IF($M12&gt;0,"En curso","Pendiente")))</f>
        <v/>
      </c>
      <c r="O12" s="56">
        <f>IF(NOT((COUNTA($B12:$D12)+COUNTA($G12:$L12)+COUNTA($Q12))&gt;0),"",IF(ISNUMBER($G12),IF(AND(ISNUMBER($AN12),$G12&gt;$AN12),"Cumplida con "&amp;($G12-$AN12)&amp;IF($G12-$AN12=1," día"," días")&amp;" de retraso","Cumplida"),IF(N($M12)&gt;=1,"Cumplida",IF(NOT(ISNUMBER($AN12)),"Sin fecha límite",IF($AN12&lt;FechaRef,"Vencida hace "&amp;(FechaRef-$AN12)&amp;IF(FechaRef-$AN12=1," día"," días"),IF($AN12=FechaRef,"Vence hoy",IF($AN12-FechaRef&lt;=DiasAlerta,"Vence en "&amp;($AN12-FechaRef)&amp;IF($AN12-FechaRef=1," día"," días"),"En plazo")))))))</f>
        <v/>
      </c>
      <c r="P12" s="62" t="n"/>
      <c r="Q12" s="58" t="n"/>
      <c r="R12" s="63">
        <f>IF(NOT((COUNTA($B12:$D12)+COUNTA($G12:$L12)+COUNTA($Q12))&gt;0),"",IF((IF($C12="","Falta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",""))="","✔ OK","⚠ "&amp;LEFT(IF($C12="","Falta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",""),LEN(IF($C12="","Falta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",""))-3)))</f>
        <v/>
      </c>
      <c r="S12" s="64">
        <f>IF(NOT((COUNTA($B12:$D12)+COUNTA($G12:$L12)+COUNTA($Q12))&gt;0),"",IF(AND($V12="Sub",N($U12)&gt;0),IF(ISNUMBER(INDEX($AM$5:$AM$1000,$U12-4)),DATE(YEAR(INDEX($AM$5:$AM$1000,$U12-4)),MONTH(INDEX($AM$5:$AM$1000,$U12-4)),1),IF(ISNUMBER(INDEX($AN$5:$AN$1000,$U12-4)),DATE(YEAR(INDEX($AN$5:$AN$1000,$U12-4)),MONTH(INDEX($AN$5:$AN$1000,$U12-4)),1),MesCiclo)),IF(ISNUMBER($AM12),DATE(YEAR($AM12),MONTH($AM12),1),IF(ISNUMBER($AN12),DATE(YEAR($AN12),MONTH($AN12),1),MesCiclo))))</f>
        <v/>
      </c>
      <c r="T12" s="62">
        <f>IF(OR($S12="",$S12&lt;&gt;MesCiclo),"",COUNTIF($S$5:$S12,MesCiclo))</f>
        <v/>
      </c>
      <c r="U12" s="62">
        <f>IF($V12="","",IF($V12="Macro",ROW(),IFERROR(LOOKUP(2,1/($V$5:$V12="Macro"),ROW($V$5:$V12)),0)))</f>
        <v/>
      </c>
      <c r="V12" s="62">
        <f>IF(NOT((COUNTA($B12:$D12)+COUNTA($G12:$L12)+COUNTA($Q12))&gt;0),"",IF($B12="Subactividad","Sub","Macro"))</f>
        <v/>
      </c>
      <c r="W12" s="62">
        <f>IF($V12="Macro",COUNTIFS($U$5:$U$1000,ROW(),$V$5:$V$1000,"Sub"),"")</f>
        <v/>
      </c>
      <c r="X12" s="62">
        <f>IF($V12="","",IF(ISNUMBER($G12),1,IFERROR(LOOKUP(2,1/($I12:$L12&lt;&gt;""),$I12:$L12),0)))</f>
        <v/>
      </c>
      <c r="Y12" s="62">
        <f>IF($V12="","",IF(AND(ISNUMBER($G12),$G12&lt;=IF($S12=MesCiclo,InicioCiclo,$S12+MOD(2-WEEKDAY($S12),7))+6),1,IF(ISNUMBER($I12),$I12,0)))</f>
        <v/>
      </c>
      <c r="Z12" s="62">
        <f>IF($V12="","",IF(AND(ISNUMBER($G12),$G12&lt;=IF($S12=MesCiclo,InicioCiclo,$S12+MOD(2-WEEKDAY($S12),7))+13),1,IF(ISNUMBER($J12),$J12,$Y12)))</f>
        <v/>
      </c>
      <c r="AA12" s="62">
        <f>IF($V12="","",IF(AND(ISNUMBER($G12),$G12&lt;=IF($S12=MesCiclo,InicioCiclo,$S12+MOD(2-WEEKDAY($S12),7))+20),1,IF(ISNUMBER($K12),$K12,$Z12)))</f>
        <v/>
      </c>
      <c r="AB12" s="62">
        <f>IF($V12="","",IF(AND(ISNUMBER($G12),$G12&lt;=IF($S12=MesCiclo,InicioCiclo,$S12+MOD(2-WEEKDAY($S12),7))+27),1,IF(ISNUMBER($L12),$L12,$AA12)))</f>
        <v/>
      </c>
      <c r="AC12" s="62">
        <f>IF($V12="","",IF(AND(ISNUMBER($G12),$G12&lt;=IF($S12=MesCiclo,InicioCiclo,$S12+MOD(2-WEEKDAY($S12),7))+6),1,IF(N($W12)&gt;0,AVERAGEIFS($Y$5:$Y$1000,$U$5:$U$1000,ROW(),$V$5:$V$1000,"Sub"),$Y12)))</f>
        <v/>
      </c>
      <c r="AD12" s="62">
        <f>IF($V12="","",IF(AND(ISNUMBER($G12),$G12&lt;=IF($S12=MesCiclo,InicioCiclo,$S12+MOD(2-WEEKDAY($S12),7))+13),1,IF(N($W12)&gt;0,AVERAGEIFS($Z$5:$Z$1000,$U$5:$U$1000,ROW(),$V$5:$V$1000,"Sub"),$Z12)))</f>
        <v/>
      </c>
      <c r="AE12" s="62">
        <f>IF($V12="","",IF(AND(ISNUMBER($G12),$G12&lt;=IF($S12=MesCiclo,InicioCiclo,$S12+MOD(2-WEEKDAY($S12),7))+20),1,IF(N($W12)&gt;0,AVERAGEIFS($AA$5:$AA$1000,$U$5:$U$1000,ROW(),$V$5:$V$1000,"Sub"),$AA12)))</f>
        <v/>
      </c>
      <c r="AF12" s="62">
        <f>IF($V12="","",IF(AND(ISNUMBER($G12),$G12&lt;=IF($S12=MesCiclo,InicioCiclo,$S12+MOD(2-WEEKDAY($S12),7))+27),1,IF(N($W12)&gt;0,AVERAGEIFS($AB$5:$AB$1000,$U$5:$U$1000,ROW(),$V$5:$V$1000,"Sub"),$AB12)))</f>
        <v/>
      </c>
      <c r="AG12" s="62">
        <f>IF($V12&lt;&gt;"Macro","",IF(COUNTIFS($S$5:$S$1000,$S12,$V$5:$V$1000,"Macro",$H$5:$H$1000,"&gt;0")=0,1/COUNTIFS($S$5:$S$1000,$S12,$V$5:$V$1000,"Macro"),IF(AND(ISNUMBER($H12),N($H12)&gt;0),$H12,SUMIFS($H$5:$H$1000,$S$5:$S$1000,$S12,$V$5:$V$1000,"Macro")/COUNTIFS($S$5:$S$1000,$S12,$V$5:$V$1000,"Macro",$H$5:$H$1000,"&gt;0"))/(COUNTIFS($S$5:$S$1000,$S12,$V$5:$V$1000,"Macro")*SUMIFS($H$5:$H$1000,$S$5:$S$1000,$S12,$V$5:$V$1000,"Macro")/COUNTIFS($S$5:$S$1000,$S12,$V$5:$V$1000,"Macro",$H$5:$H$1000,"&gt;0"))))</f>
        <v/>
      </c>
      <c r="AH12" s="62" t="n"/>
      <c r="AI12" s="62" t="n"/>
      <c r="AJ12" s="62" t="n"/>
      <c r="AK12" s="62" t="n"/>
      <c r="AL12" s="62">
        <f>IF(LEFT($C12,11)="[Jefatura] ",IFERROR(MATCH("Riesgo Financiero|"&amp;MID($C12,12,500),rDname_ADM,0),0),"")</f>
        <v/>
      </c>
      <c r="AM12" s="62">
        <f>IF(N($AL12)&gt;0,INDEX(rIni_ADM,$AL12),IF(ISNUMBER($E12),$E12,""))</f>
        <v/>
      </c>
      <c r="AN12" s="62">
        <f>IF(N($AL12)&gt;0,INDEX(rLim_ADM,$AL12),IF(ISNUMBER($F12),$F12,""))</f>
        <v/>
      </c>
    </row>
    <row r="13">
      <c r="A13" s="56">
        <f>IF(NOT((COUNTA($B13:$D13)+COUNTA($G13:$L13)+COUNTA($Q13))&gt;0),"",IF($V13="Macro",COUNTIFS($V$5:$V13,"Macro",$S$5:$S13,$S13),IF(N($U13)=0,"?",COUNTIFS(INDEX($V$5:$V$1000,1):INDEX($V$5:$V$1000,$U13-4),"Macro",INDEX($S$5:$S$1000,1):INDEX($S$5:$S$1000,$U13-4),INDEX($S$5:$S$1000,$U13-4))&amp;"."&amp;COUNTIFS($U$5:$U13,$U13,$V$5:$V13,"Sub"))))</f>
        <v/>
      </c>
      <c r="B13" s="57" t="n"/>
      <c r="C13" s="58" t="n"/>
      <c r="D13" s="58" t="n"/>
      <c r="E13" s="59">
        <f>IF(N($AL13)&gt;0,INDEX(rIni_ADM,$AL13),"")</f>
        <v/>
      </c>
      <c r="F13" s="59">
        <f>IF(N($AL13)&gt;0,INDEX(rLim_ADM,$AL13),"")</f>
        <v/>
      </c>
      <c r="G13" s="59" t="n"/>
      <c r="H13" s="60" t="n"/>
      <c r="I13" s="60" t="n"/>
      <c r="J13" s="60" t="n"/>
      <c r="K13" s="60" t="n"/>
      <c r="L13" s="60" t="n"/>
      <c r="M13" s="61">
        <f>IF(NOT((COUNTA($B13:$D13)+COUNTA($G13:$L13)+COUNTA($Q13))&gt;0),"",IF(ISNUMBER($G13),1,IF(N($W13)&gt;0,AVERAGEIFS($X$5:$X$1000,$U$5:$U$1000,ROW(),$V$5:$V$1000,"Sub"),$X13)))</f>
        <v/>
      </c>
      <c r="N13" s="56">
        <f>IF($M13="","",IF($M13&gt;=1,"Completado",IF($M13&gt;0,"En curso","Pendiente")))</f>
        <v/>
      </c>
      <c r="O13" s="56">
        <f>IF(NOT((COUNTA($B13:$D13)+COUNTA($G13:$L13)+COUNTA($Q13))&gt;0),"",IF(ISNUMBER($G13),IF(AND(ISNUMBER($AN13),$G13&gt;$AN13),"Cumplida con "&amp;($G13-$AN13)&amp;IF($G13-$AN13=1," día"," días")&amp;" de retraso","Cumplida"),IF(N($M13)&gt;=1,"Cumplida",IF(NOT(ISNUMBER($AN13)),"Sin fecha límite",IF($AN13&lt;FechaRef,"Vencida hace "&amp;(FechaRef-$AN13)&amp;IF(FechaRef-$AN13=1," día"," días"),IF($AN13=FechaRef,"Vence hoy",IF($AN13-FechaRef&lt;=DiasAlerta,"Vence en "&amp;($AN13-FechaRef)&amp;IF($AN13-FechaRef=1," día"," días"),"En plazo")))))))</f>
        <v/>
      </c>
      <c r="P13" s="62" t="n"/>
      <c r="Q13" s="58" t="n"/>
      <c r="R13" s="63">
        <f>IF(NOT((COUNTA($B13:$D13)+COUNTA($G13:$L13)+COUNTA($Q13))&gt;0),"",IF((IF($C13="","Falta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",""))="","✔ OK","⚠ "&amp;LEFT(IF($C13="","Falta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",""),LEN(IF($C13="","Falta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",""))-3)))</f>
        <v/>
      </c>
      <c r="S13" s="64">
        <f>IF(NOT((COUNTA($B13:$D13)+COUNTA($G13:$L13)+COUNTA($Q13))&gt;0),"",IF(AND($V13="Sub",N($U13)&gt;0),IF(ISNUMBER(INDEX($AM$5:$AM$1000,$U13-4)),DATE(YEAR(INDEX($AM$5:$AM$1000,$U13-4)),MONTH(INDEX($AM$5:$AM$1000,$U13-4)),1),IF(ISNUMBER(INDEX($AN$5:$AN$1000,$U13-4)),DATE(YEAR(INDEX($AN$5:$AN$1000,$U13-4)),MONTH(INDEX($AN$5:$AN$1000,$U13-4)),1),MesCiclo)),IF(ISNUMBER($AM13),DATE(YEAR($AM13),MONTH($AM13),1),IF(ISNUMBER($AN13),DATE(YEAR($AN13),MONTH($AN13),1),MesCiclo))))</f>
        <v/>
      </c>
      <c r="T13" s="62">
        <f>IF(OR($S13="",$S13&lt;&gt;MesCiclo),"",COUNTIF($S$5:$S13,MesCiclo))</f>
        <v/>
      </c>
      <c r="U13" s="62">
        <f>IF($V13="","",IF($V13="Macro",ROW(),IFERROR(LOOKUP(2,1/($V$5:$V13="Macro"),ROW($V$5:$V13)),0)))</f>
        <v/>
      </c>
      <c r="V13" s="62">
        <f>IF(NOT((COUNTA($B13:$D13)+COUNTA($G13:$L13)+COUNTA($Q13))&gt;0),"",IF($B13="Subactividad","Sub","Macro"))</f>
        <v/>
      </c>
      <c r="W13" s="62">
        <f>IF($V13="Macro",COUNTIFS($U$5:$U$1000,ROW(),$V$5:$V$1000,"Sub"),"")</f>
        <v/>
      </c>
      <c r="X13" s="62">
        <f>IF($V13="","",IF(ISNUMBER($G13),1,IFERROR(LOOKUP(2,1/($I13:$L13&lt;&gt;""),$I13:$L13),0)))</f>
        <v/>
      </c>
      <c r="Y13" s="62">
        <f>IF($V13="","",IF(AND(ISNUMBER($G13),$G13&lt;=IF($S13=MesCiclo,InicioCiclo,$S13+MOD(2-WEEKDAY($S13),7))+6),1,IF(ISNUMBER($I13),$I13,0)))</f>
        <v/>
      </c>
      <c r="Z13" s="62">
        <f>IF($V13="","",IF(AND(ISNUMBER($G13),$G13&lt;=IF($S13=MesCiclo,InicioCiclo,$S13+MOD(2-WEEKDAY($S13),7))+13),1,IF(ISNUMBER($J13),$J13,$Y13)))</f>
        <v/>
      </c>
      <c r="AA13" s="62">
        <f>IF($V13="","",IF(AND(ISNUMBER($G13),$G13&lt;=IF($S13=MesCiclo,InicioCiclo,$S13+MOD(2-WEEKDAY($S13),7))+20),1,IF(ISNUMBER($K13),$K13,$Z13)))</f>
        <v/>
      </c>
      <c r="AB13" s="62">
        <f>IF($V13="","",IF(AND(ISNUMBER($G13),$G13&lt;=IF($S13=MesCiclo,InicioCiclo,$S13+MOD(2-WEEKDAY($S13),7))+27),1,IF(ISNUMBER($L13),$L13,$AA13)))</f>
        <v/>
      </c>
      <c r="AC13" s="62">
        <f>IF($V13="","",IF(AND(ISNUMBER($G13),$G13&lt;=IF($S13=MesCiclo,InicioCiclo,$S13+MOD(2-WEEKDAY($S13),7))+6),1,IF(N($W13)&gt;0,AVERAGEIFS($Y$5:$Y$1000,$U$5:$U$1000,ROW(),$V$5:$V$1000,"Sub"),$Y13)))</f>
        <v/>
      </c>
      <c r="AD13" s="62">
        <f>IF($V13="","",IF(AND(ISNUMBER($G13),$G13&lt;=IF($S13=MesCiclo,InicioCiclo,$S13+MOD(2-WEEKDAY($S13),7))+13),1,IF(N($W13)&gt;0,AVERAGEIFS($Z$5:$Z$1000,$U$5:$U$1000,ROW(),$V$5:$V$1000,"Sub"),$Z13)))</f>
        <v/>
      </c>
      <c r="AE13" s="62">
        <f>IF($V13="","",IF(AND(ISNUMBER($G13),$G13&lt;=IF($S13=MesCiclo,InicioCiclo,$S13+MOD(2-WEEKDAY($S13),7))+20),1,IF(N($W13)&gt;0,AVERAGEIFS($AA$5:$AA$1000,$U$5:$U$1000,ROW(),$V$5:$V$1000,"Sub"),$AA13)))</f>
        <v/>
      </c>
      <c r="AF13" s="62">
        <f>IF($V13="","",IF(AND(ISNUMBER($G13),$G13&lt;=IF($S13=MesCiclo,InicioCiclo,$S13+MOD(2-WEEKDAY($S13),7))+27),1,IF(N($W13)&gt;0,AVERAGEIFS($AB$5:$AB$1000,$U$5:$U$1000,ROW(),$V$5:$V$1000,"Sub"),$AB13)))</f>
        <v/>
      </c>
      <c r="AG13" s="62">
        <f>IF($V13&lt;&gt;"Macro","",IF(COUNTIFS($S$5:$S$1000,$S13,$V$5:$V$1000,"Macro",$H$5:$H$1000,"&gt;0")=0,1/COUNTIFS($S$5:$S$1000,$S13,$V$5:$V$1000,"Macro"),IF(AND(ISNUMBER($H13),N($H13)&gt;0),$H13,SUMIFS($H$5:$H$1000,$S$5:$S$1000,$S13,$V$5:$V$1000,"Macro")/COUNTIFS($S$5:$S$1000,$S13,$V$5:$V$1000,"Macro",$H$5:$H$1000,"&gt;0"))/(COUNTIFS($S$5:$S$1000,$S13,$V$5:$V$1000,"Macro")*SUMIFS($H$5:$H$1000,$S$5:$S$1000,$S13,$V$5:$V$1000,"Macro")/COUNTIFS($S$5:$S$1000,$S13,$V$5:$V$1000,"Macro",$H$5:$H$1000,"&gt;0"))))</f>
        <v/>
      </c>
      <c r="AH13" s="62" t="n"/>
      <c r="AI13" s="62" t="n"/>
      <c r="AJ13" s="62" t="n"/>
      <c r="AK13" s="62" t="n"/>
      <c r="AL13" s="62">
        <f>IF(LEFT($C13,11)="[Jefatura] ",IFERROR(MATCH("Riesgo Financiero|"&amp;MID($C13,12,500),rDname_ADM,0),0),"")</f>
        <v/>
      </c>
      <c r="AM13" s="62">
        <f>IF(N($AL13)&gt;0,INDEX(rIni_ADM,$AL13),IF(ISNUMBER($E13),$E13,""))</f>
        <v/>
      </c>
      <c r="AN13" s="62">
        <f>IF(N($AL13)&gt;0,INDEX(rLim_ADM,$AL13),IF(ISNUMBER($F13),$F13,""))</f>
        <v/>
      </c>
    </row>
    <row r="14">
      <c r="A14" s="56">
        <f>IF(NOT((COUNTA($B14:$D14)+COUNTA($G14:$L14)+COUNTA($Q14))&gt;0),"",IF($V14="Macro",COUNTIFS($V$5:$V14,"Macro",$S$5:$S14,$S14),IF(N($U14)=0,"?",COUNTIFS(INDEX($V$5:$V$1000,1):INDEX($V$5:$V$1000,$U14-4),"Macro",INDEX($S$5:$S$1000,1):INDEX($S$5:$S$1000,$U14-4),INDEX($S$5:$S$1000,$U14-4))&amp;"."&amp;COUNTIFS($U$5:$U14,$U14,$V$5:$V14,"Sub"))))</f>
        <v/>
      </c>
      <c r="B14" s="57" t="n"/>
      <c r="C14" s="58" t="n"/>
      <c r="D14" s="58" t="n"/>
      <c r="E14" s="59">
        <f>IF(N($AL14)&gt;0,INDEX(rIni_ADM,$AL14),"")</f>
        <v/>
      </c>
      <c r="F14" s="59">
        <f>IF(N($AL14)&gt;0,INDEX(rLim_ADM,$AL14),"")</f>
        <v/>
      </c>
      <c r="G14" s="59" t="n"/>
      <c r="H14" s="60" t="n"/>
      <c r="I14" s="60" t="n"/>
      <c r="J14" s="60" t="n"/>
      <c r="K14" s="60" t="n"/>
      <c r="L14" s="60" t="n"/>
      <c r="M14" s="61">
        <f>IF(NOT((COUNTA($B14:$D14)+COUNTA($G14:$L14)+COUNTA($Q14))&gt;0),"",IF(ISNUMBER($G14),1,IF(N($W14)&gt;0,AVERAGEIFS($X$5:$X$1000,$U$5:$U$1000,ROW(),$V$5:$V$1000,"Sub"),$X14)))</f>
        <v/>
      </c>
      <c r="N14" s="56">
        <f>IF($M14="","",IF($M14&gt;=1,"Completado",IF($M14&gt;0,"En curso","Pendiente")))</f>
        <v/>
      </c>
      <c r="O14" s="56">
        <f>IF(NOT((COUNTA($B14:$D14)+COUNTA($G14:$L14)+COUNTA($Q14))&gt;0),"",IF(ISNUMBER($G14),IF(AND(ISNUMBER($AN14),$G14&gt;$AN14),"Cumplida con "&amp;($G14-$AN14)&amp;IF($G14-$AN14=1," día"," días")&amp;" de retraso","Cumplida"),IF(N($M14)&gt;=1,"Cumplida",IF(NOT(ISNUMBER($AN14)),"Sin fecha límite",IF($AN14&lt;FechaRef,"Vencida hace "&amp;(FechaRef-$AN14)&amp;IF(FechaRef-$AN14=1," día"," días"),IF($AN14=FechaRef,"Vence hoy",IF($AN14-FechaRef&lt;=DiasAlerta,"Vence en "&amp;($AN14-FechaRef)&amp;IF($AN14-FechaRef=1," día"," días"),"En plazo")))))))</f>
        <v/>
      </c>
      <c r="P14" s="62" t="n"/>
      <c r="Q14" s="58" t="n"/>
      <c r="R14" s="63">
        <f>IF(NOT((COUNTA($B14:$D14)+COUNTA($G14:$L14)+COUNTA($Q14))&gt;0),"",IF((IF($C14="","Falta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",""))="","✔ OK","⚠ "&amp;LEFT(IF($C14="","Falta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",""),LEN(IF($C14="","Falta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",""))-3)))</f>
        <v/>
      </c>
      <c r="S14" s="64">
        <f>IF(NOT((COUNTA($B14:$D14)+COUNTA($G14:$L14)+COUNTA($Q14))&gt;0),"",IF(AND($V14="Sub",N($U14)&gt;0),IF(ISNUMBER(INDEX($AM$5:$AM$1000,$U14-4)),DATE(YEAR(INDEX($AM$5:$AM$1000,$U14-4)),MONTH(INDEX($AM$5:$AM$1000,$U14-4)),1),IF(ISNUMBER(INDEX($AN$5:$AN$1000,$U14-4)),DATE(YEAR(INDEX($AN$5:$AN$1000,$U14-4)),MONTH(INDEX($AN$5:$AN$1000,$U14-4)),1),MesCiclo)),IF(ISNUMBER($AM14),DATE(YEAR($AM14),MONTH($AM14),1),IF(ISNUMBER($AN14),DATE(YEAR($AN14),MONTH($AN14),1),MesCiclo))))</f>
        <v/>
      </c>
      <c r="T14" s="62">
        <f>IF(OR($S14="",$S14&lt;&gt;MesCiclo),"",COUNTIF($S$5:$S14,MesCiclo))</f>
        <v/>
      </c>
      <c r="U14" s="62">
        <f>IF($V14="","",IF($V14="Macro",ROW(),IFERROR(LOOKUP(2,1/($V$5:$V14="Macro"),ROW($V$5:$V14)),0)))</f>
        <v/>
      </c>
      <c r="V14" s="62">
        <f>IF(NOT((COUNTA($B14:$D14)+COUNTA($G14:$L14)+COUNTA($Q14))&gt;0),"",IF($B14="Subactividad","Sub","Macro"))</f>
        <v/>
      </c>
      <c r="W14" s="62">
        <f>IF($V14="Macro",COUNTIFS($U$5:$U$1000,ROW(),$V$5:$V$1000,"Sub"),"")</f>
        <v/>
      </c>
      <c r="X14" s="62">
        <f>IF($V14="","",IF(ISNUMBER($G14),1,IFERROR(LOOKUP(2,1/($I14:$L14&lt;&gt;""),$I14:$L14),0)))</f>
        <v/>
      </c>
      <c r="Y14" s="62">
        <f>IF($V14="","",IF(AND(ISNUMBER($G14),$G14&lt;=IF($S14=MesCiclo,InicioCiclo,$S14+MOD(2-WEEKDAY($S14),7))+6),1,IF(ISNUMBER($I14),$I14,0)))</f>
        <v/>
      </c>
      <c r="Z14" s="62">
        <f>IF($V14="","",IF(AND(ISNUMBER($G14),$G14&lt;=IF($S14=MesCiclo,InicioCiclo,$S14+MOD(2-WEEKDAY($S14),7))+13),1,IF(ISNUMBER($J14),$J14,$Y14)))</f>
        <v/>
      </c>
      <c r="AA14" s="62">
        <f>IF($V14="","",IF(AND(ISNUMBER($G14),$G14&lt;=IF($S14=MesCiclo,InicioCiclo,$S14+MOD(2-WEEKDAY($S14),7))+20),1,IF(ISNUMBER($K14),$K14,$Z14)))</f>
        <v/>
      </c>
      <c r="AB14" s="62">
        <f>IF($V14="","",IF(AND(ISNUMBER($G14),$G14&lt;=IF($S14=MesCiclo,InicioCiclo,$S14+MOD(2-WEEKDAY($S14),7))+27),1,IF(ISNUMBER($L14),$L14,$AA14)))</f>
        <v/>
      </c>
      <c r="AC14" s="62">
        <f>IF($V14="","",IF(AND(ISNUMBER($G14),$G14&lt;=IF($S14=MesCiclo,InicioCiclo,$S14+MOD(2-WEEKDAY($S14),7))+6),1,IF(N($W14)&gt;0,AVERAGEIFS($Y$5:$Y$1000,$U$5:$U$1000,ROW(),$V$5:$V$1000,"Sub"),$Y14)))</f>
        <v/>
      </c>
      <c r="AD14" s="62">
        <f>IF($V14="","",IF(AND(ISNUMBER($G14),$G14&lt;=IF($S14=MesCiclo,InicioCiclo,$S14+MOD(2-WEEKDAY($S14),7))+13),1,IF(N($W14)&gt;0,AVERAGEIFS($Z$5:$Z$1000,$U$5:$U$1000,ROW(),$V$5:$V$1000,"Sub"),$Z14)))</f>
        <v/>
      </c>
      <c r="AE14" s="62">
        <f>IF($V14="","",IF(AND(ISNUMBER($G14),$G14&lt;=IF($S14=MesCiclo,InicioCiclo,$S14+MOD(2-WEEKDAY($S14),7))+20),1,IF(N($W14)&gt;0,AVERAGEIFS($AA$5:$AA$1000,$U$5:$U$1000,ROW(),$V$5:$V$1000,"Sub"),$AA14)))</f>
        <v/>
      </c>
      <c r="AF14" s="62">
        <f>IF($V14="","",IF(AND(ISNUMBER($G14),$G14&lt;=IF($S14=MesCiclo,InicioCiclo,$S14+MOD(2-WEEKDAY($S14),7))+27),1,IF(N($W14)&gt;0,AVERAGEIFS($AB$5:$AB$1000,$U$5:$U$1000,ROW(),$V$5:$V$1000,"Sub"),$AB14)))</f>
        <v/>
      </c>
      <c r="AG14" s="62">
        <f>IF($V14&lt;&gt;"Macro","",IF(COUNTIFS($S$5:$S$1000,$S14,$V$5:$V$1000,"Macro",$H$5:$H$1000,"&gt;0")=0,1/COUNTIFS($S$5:$S$1000,$S14,$V$5:$V$1000,"Macro"),IF(AND(ISNUMBER($H14),N($H14)&gt;0),$H14,SUMIFS($H$5:$H$1000,$S$5:$S$1000,$S14,$V$5:$V$1000,"Macro")/COUNTIFS($S$5:$S$1000,$S14,$V$5:$V$1000,"Macro",$H$5:$H$1000,"&gt;0"))/(COUNTIFS($S$5:$S$1000,$S14,$V$5:$V$1000,"Macro")*SUMIFS($H$5:$H$1000,$S$5:$S$1000,$S14,$V$5:$V$1000,"Macro")/COUNTIFS($S$5:$S$1000,$S14,$V$5:$V$1000,"Macro",$H$5:$H$1000,"&gt;0"))))</f>
        <v/>
      </c>
      <c r="AH14" s="62" t="n"/>
      <c r="AI14" s="62" t="n"/>
      <c r="AJ14" s="62" t="n"/>
      <c r="AK14" s="62" t="n"/>
      <c r="AL14" s="62">
        <f>IF(LEFT($C14,11)="[Jefatura] ",IFERROR(MATCH("Riesgo Financiero|"&amp;MID($C14,12,500),rDname_ADM,0),0),"")</f>
        <v/>
      </c>
      <c r="AM14" s="62">
        <f>IF(N($AL14)&gt;0,INDEX(rIni_ADM,$AL14),IF(ISNUMBER($E14),$E14,""))</f>
        <v/>
      </c>
      <c r="AN14" s="62">
        <f>IF(N($AL14)&gt;0,INDEX(rLim_ADM,$AL14),IF(ISNUMBER($F14),$F14,""))</f>
        <v/>
      </c>
    </row>
    <row r="15">
      <c r="A15" s="56">
        <f>IF(NOT((COUNTA($B15:$D15)+COUNTA($G15:$L15)+COUNTA($Q15))&gt;0),"",IF($V15="Macro",COUNTIFS($V$5:$V15,"Macro",$S$5:$S15,$S15),IF(N($U15)=0,"?",COUNTIFS(INDEX($V$5:$V$1000,1):INDEX($V$5:$V$1000,$U15-4),"Macro",INDEX($S$5:$S$1000,1):INDEX($S$5:$S$1000,$U15-4),INDEX($S$5:$S$1000,$U15-4))&amp;"."&amp;COUNTIFS($U$5:$U15,$U15,$V$5:$V15,"Sub"))))</f>
        <v/>
      </c>
      <c r="B15" s="57" t="n"/>
      <c r="C15" s="58" t="n"/>
      <c r="D15" s="58" t="n"/>
      <c r="E15" s="59">
        <f>IF(N($AL15)&gt;0,INDEX(rIni_ADM,$AL15),"")</f>
        <v/>
      </c>
      <c r="F15" s="59">
        <f>IF(N($AL15)&gt;0,INDEX(rLim_ADM,$AL15),"")</f>
        <v/>
      </c>
      <c r="G15" s="59" t="n"/>
      <c r="H15" s="60" t="n"/>
      <c r="I15" s="60" t="n"/>
      <c r="J15" s="60" t="n"/>
      <c r="K15" s="60" t="n"/>
      <c r="L15" s="60" t="n"/>
      <c r="M15" s="61">
        <f>IF(NOT((COUNTA($B15:$D15)+COUNTA($G15:$L15)+COUNTA($Q15))&gt;0),"",IF(ISNUMBER($G15),1,IF(N($W15)&gt;0,AVERAGEIFS($X$5:$X$1000,$U$5:$U$1000,ROW(),$V$5:$V$1000,"Sub"),$X15)))</f>
        <v/>
      </c>
      <c r="N15" s="56">
        <f>IF($M15="","",IF($M15&gt;=1,"Completado",IF($M15&gt;0,"En curso","Pendiente")))</f>
        <v/>
      </c>
      <c r="O15" s="56">
        <f>IF(NOT((COUNTA($B15:$D15)+COUNTA($G15:$L15)+COUNTA($Q15))&gt;0),"",IF(ISNUMBER($G15),IF(AND(ISNUMBER($AN15),$G15&gt;$AN15),"Cumplida con "&amp;($G15-$AN15)&amp;IF($G15-$AN15=1," día"," días")&amp;" de retraso","Cumplida"),IF(N($M15)&gt;=1,"Cumplida",IF(NOT(ISNUMBER($AN15)),"Sin fecha límite",IF($AN15&lt;FechaRef,"Vencida hace "&amp;(FechaRef-$AN15)&amp;IF(FechaRef-$AN15=1," día"," días"),IF($AN15=FechaRef,"Vence hoy",IF($AN15-FechaRef&lt;=DiasAlerta,"Vence en "&amp;($AN15-FechaRef)&amp;IF($AN15-FechaRef=1," día"," días"),"En plazo")))))))</f>
        <v/>
      </c>
      <c r="P15" s="62" t="n"/>
      <c r="Q15" s="58" t="n"/>
      <c r="R15" s="63">
        <f>IF(NOT((COUNTA($B15:$D15)+COUNTA($G15:$L15)+COUNTA($Q15))&gt;0),"",IF((IF($C15="","Falta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",""))="","✔ OK","⚠ "&amp;LEFT(IF($C15="","Falta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",""),LEN(IF($C15="","Falta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",""))-3)))</f>
        <v/>
      </c>
      <c r="S15" s="64">
        <f>IF(NOT((COUNTA($B15:$D15)+COUNTA($G15:$L15)+COUNTA($Q15))&gt;0),"",IF(AND($V15="Sub",N($U15)&gt;0),IF(ISNUMBER(INDEX($AM$5:$AM$1000,$U15-4)),DATE(YEAR(INDEX($AM$5:$AM$1000,$U15-4)),MONTH(INDEX($AM$5:$AM$1000,$U15-4)),1),IF(ISNUMBER(INDEX($AN$5:$AN$1000,$U15-4)),DATE(YEAR(INDEX($AN$5:$AN$1000,$U15-4)),MONTH(INDEX($AN$5:$AN$1000,$U15-4)),1),MesCiclo)),IF(ISNUMBER($AM15),DATE(YEAR($AM15),MONTH($AM15),1),IF(ISNUMBER($AN15),DATE(YEAR($AN15),MONTH($AN15),1),MesCiclo))))</f>
        <v/>
      </c>
      <c r="T15" s="62">
        <f>IF(OR($S15="",$S15&lt;&gt;MesCiclo),"",COUNTIF($S$5:$S15,MesCiclo))</f>
        <v/>
      </c>
      <c r="U15" s="62">
        <f>IF($V15="","",IF($V15="Macro",ROW(),IFERROR(LOOKUP(2,1/($V$5:$V15="Macro"),ROW($V$5:$V15)),0)))</f>
        <v/>
      </c>
      <c r="V15" s="62">
        <f>IF(NOT((COUNTA($B15:$D15)+COUNTA($G15:$L15)+COUNTA($Q15))&gt;0),"",IF($B15="Subactividad","Sub","Macro"))</f>
        <v/>
      </c>
      <c r="W15" s="62">
        <f>IF($V15="Macro",COUNTIFS($U$5:$U$1000,ROW(),$V$5:$V$1000,"Sub"),"")</f>
        <v/>
      </c>
      <c r="X15" s="62">
        <f>IF($V15="","",IF(ISNUMBER($G15),1,IFERROR(LOOKUP(2,1/($I15:$L15&lt;&gt;""),$I15:$L15),0)))</f>
        <v/>
      </c>
      <c r="Y15" s="62">
        <f>IF($V15="","",IF(AND(ISNUMBER($G15),$G15&lt;=IF($S15=MesCiclo,InicioCiclo,$S15+MOD(2-WEEKDAY($S15),7))+6),1,IF(ISNUMBER($I15),$I15,0)))</f>
        <v/>
      </c>
      <c r="Z15" s="62">
        <f>IF($V15="","",IF(AND(ISNUMBER($G15),$G15&lt;=IF($S15=MesCiclo,InicioCiclo,$S15+MOD(2-WEEKDAY($S15),7))+13),1,IF(ISNUMBER($J15),$J15,$Y15)))</f>
        <v/>
      </c>
      <c r="AA15" s="62">
        <f>IF($V15="","",IF(AND(ISNUMBER($G15),$G15&lt;=IF($S15=MesCiclo,InicioCiclo,$S15+MOD(2-WEEKDAY($S15),7))+20),1,IF(ISNUMBER($K15),$K15,$Z15)))</f>
        <v/>
      </c>
      <c r="AB15" s="62">
        <f>IF($V15="","",IF(AND(ISNUMBER($G15),$G15&lt;=IF($S15=MesCiclo,InicioCiclo,$S15+MOD(2-WEEKDAY($S15),7))+27),1,IF(ISNUMBER($L15),$L15,$AA15)))</f>
        <v/>
      </c>
      <c r="AC15" s="62">
        <f>IF($V15="","",IF(AND(ISNUMBER($G15),$G15&lt;=IF($S15=MesCiclo,InicioCiclo,$S15+MOD(2-WEEKDAY($S15),7))+6),1,IF(N($W15)&gt;0,AVERAGEIFS($Y$5:$Y$1000,$U$5:$U$1000,ROW(),$V$5:$V$1000,"Sub"),$Y15)))</f>
        <v/>
      </c>
      <c r="AD15" s="62">
        <f>IF($V15="","",IF(AND(ISNUMBER($G15),$G15&lt;=IF($S15=MesCiclo,InicioCiclo,$S15+MOD(2-WEEKDAY($S15),7))+13),1,IF(N($W15)&gt;0,AVERAGEIFS($Z$5:$Z$1000,$U$5:$U$1000,ROW(),$V$5:$V$1000,"Sub"),$Z15)))</f>
        <v/>
      </c>
      <c r="AE15" s="62">
        <f>IF($V15="","",IF(AND(ISNUMBER($G15),$G15&lt;=IF($S15=MesCiclo,InicioCiclo,$S15+MOD(2-WEEKDAY($S15),7))+20),1,IF(N($W15)&gt;0,AVERAGEIFS($AA$5:$AA$1000,$U$5:$U$1000,ROW(),$V$5:$V$1000,"Sub"),$AA15)))</f>
        <v/>
      </c>
      <c r="AF15" s="62">
        <f>IF($V15="","",IF(AND(ISNUMBER($G15),$G15&lt;=IF($S15=MesCiclo,InicioCiclo,$S15+MOD(2-WEEKDAY($S15),7))+27),1,IF(N($W15)&gt;0,AVERAGEIFS($AB$5:$AB$1000,$U$5:$U$1000,ROW(),$V$5:$V$1000,"Sub"),$AB15)))</f>
        <v/>
      </c>
      <c r="AG15" s="62">
        <f>IF($V15&lt;&gt;"Macro","",IF(COUNTIFS($S$5:$S$1000,$S15,$V$5:$V$1000,"Macro",$H$5:$H$1000,"&gt;0")=0,1/COUNTIFS($S$5:$S$1000,$S15,$V$5:$V$1000,"Macro"),IF(AND(ISNUMBER($H15),N($H15)&gt;0),$H15,SUMIFS($H$5:$H$1000,$S$5:$S$1000,$S15,$V$5:$V$1000,"Macro")/COUNTIFS($S$5:$S$1000,$S15,$V$5:$V$1000,"Macro",$H$5:$H$1000,"&gt;0"))/(COUNTIFS($S$5:$S$1000,$S15,$V$5:$V$1000,"Macro")*SUMIFS($H$5:$H$1000,$S$5:$S$1000,$S15,$V$5:$V$1000,"Macro")/COUNTIFS($S$5:$S$1000,$S15,$V$5:$V$1000,"Macro",$H$5:$H$1000,"&gt;0"))))</f>
        <v/>
      </c>
      <c r="AH15" s="62" t="n"/>
      <c r="AI15" s="62" t="n"/>
      <c r="AJ15" s="62" t="n"/>
      <c r="AK15" s="62" t="n"/>
      <c r="AL15" s="62">
        <f>IF(LEFT($C15,11)="[Jefatura] ",IFERROR(MATCH("Riesgo Financiero|"&amp;MID($C15,12,500),rDname_ADM,0),0),"")</f>
        <v/>
      </c>
      <c r="AM15" s="62">
        <f>IF(N($AL15)&gt;0,INDEX(rIni_ADM,$AL15),IF(ISNUMBER($E15),$E15,""))</f>
        <v/>
      </c>
      <c r="AN15" s="62">
        <f>IF(N($AL15)&gt;0,INDEX(rLim_ADM,$AL15),IF(ISNUMBER($F15),$F15,""))</f>
        <v/>
      </c>
    </row>
    <row r="16">
      <c r="A16" s="56">
        <f>IF(NOT((COUNTA($B16:$D16)+COUNTA($G16:$L16)+COUNTA($Q16))&gt;0),"",IF($V16="Macro",COUNTIFS($V$5:$V16,"Macro",$S$5:$S16,$S16),IF(N($U16)=0,"?",COUNTIFS(INDEX($V$5:$V$1000,1):INDEX($V$5:$V$1000,$U16-4),"Macro",INDEX($S$5:$S$1000,1):INDEX($S$5:$S$1000,$U16-4),INDEX($S$5:$S$1000,$U16-4))&amp;"."&amp;COUNTIFS($U$5:$U16,$U16,$V$5:$V16,"Sub"))))</f>
        <v/>
      </c>
      <c r="B16" s="57" t="n"/>
      <c r="C16" s="58" t="n"/>
      <c r="D16" s="58" t="n"/>
      <c r="E16" s="59">
        <f>IF(N($AL16)&gt;0,INDEX(rIni_ADM,$AL16),"")</f>
        <v/>
      </c>
      <c r="F16" s="59">
        <f>IF(N($AL16)&gt;0,INDEX(rLim_ADM,$AL16),"")</f>
        <v/>
      </c>
      <c r="G16" s="59" t="n"/>
      <c r="H16" s="60" t="n"/>
      <c r="I16" s="60" t="n"/>
      <c r="J16" s="60" t="n"/>
      <c r="K16" s="60" t="n"/>
      <c r="L16" s="60" t="n"/>
      <c r="M16" s="61">
        <f>IF(NOT((COUNTA($B16:$D16)+COUNTA($G16:$L16)+COUNTA($Q16))&gt;0),"",IF(ISNUMBER($G16),1,IF(N($W16)&gt;0,AVERAGEIFS($X$5:$X$1000,$U$5:$U$1000,ROW(),$V$5:$V$1000,"Sub"),$X16)))</f>
        <v/>
      </c>
      <c r="N16" s="56">
        <f>IF($M16="","",IF($M16&gt;=1,"Completado",IF($M16&gt;0,"En curso","Pendiente")))</f>
        <v/>
      </c>
      <c r="O16" s="56">
        <f>IF(NOT((COUNTA($B16:$D16)+COUNTA($G16:$L16)+COUNTA($Q16))&gt;0),"",IF(ISNUMBER($G16),IF(AND(ISNUMBER($AN16),$G16&gt;$AN16),"Cumplida con "&amp;($G16-$AN16)&amp;IF($G16-$AN16=1," día"," días")&amp;" de retraso","Cumplida"),IF(N($M16)&gt;=1,"Cumplida",IF(NOT(ISNUMBER($AN16)),"Sin fecha límite",IF($AN16&lt;FechaRef,"Vencida hace "&amp;(FechaRef-$AN16)&amp;IF(FechaRef-$AN16=1," día"," días"),IF($AN16=FechaRef,"Vence hoy",IF($AN16-FechaRef&lt;=DiasAlerta,"Vence en "&amp;($AN16-FechaRef)&amp;IF($AN16-FechaRef=1," día"," días"),"En plazo")))))))</f>
        <v/>
      </c>
      <c r="P16" s="62" t="n"/>
      <c r="Q16" s="58" t="n"/>
      <c r="R16" s="63">
        <f>IF(NOT((COUNTA($B16:$D16)+COUNTA($G16:$L16)+COUNTA($Q16))&gt;0),"",IF((IF($C16="","Falta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",""))="","✔ OK","⚠ "&amp;LEFT(IF($C16="","Falta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",""),LEN(IF($C16="","Falta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",""))-3)))</f>
        <v/>
      </c>
      <c r="S16" s="64">
        <f>IF(NOT((COUNTA($B16:$D16)+COUNTA($G16:$L16)+COUNTA($Q16))&gt;0),"",IF(AND($V16="Sub",N($U16)&gt;0),IF(ISNUMBER(INDEX($AM$5:$AM$1000,$U16-4)),DATE(YEAR(INDEX($AM$5:$AM$1000,$U16-4)),MONTH(INDEX($AM$5:$AM$1000,$U16-4)),1),IF(ISNUMBER(INDEX($AN$5:$AN$1000,$U16-4)),DATE(YEAR(INDEX($AN$5:$AN$1000,$U16-4)),MONTH(INDEX($AN$5:$AN$1000,$U16-4)),1),MesCiclo)),IF(ISNUMBER($AM16),DATE(YEAR($AM16),MONTH($AM16),1),IF(ISNUMBER($AN16),DATE(YEAR($AN16),MONTH($AN16),1),MesCiclo))))</f>
        <v/>
      </c>
      <c r="T16" s="62">
        <f>IF(OR($S16="",$S16&lt;&gt;MesCiclo),"",COUNTIF($S$5:$S16,MesCiclo))</f>
        <v/>
      </c>
      <c r="U16" s="62">
        <f>IF($V16="","",IF($V16="Macro",ROW(),IFERROR(LOOKUP(2,1/($V$5:$V16="Macro"),ROW($V$5:$V16)),0)))</f>
        <v/>
      </c>
      <c r="V16" s="62">
        <f>IF(NOT((COUNTA($B16:$D16)+COUNTA($G16:$L16)+COUNTA($Q16))&gt;0),"",IF($B16="Subactividad","Sub","Macro"))</f>
        <v/>
      </c>
      <c r="W16" s="62">
        <f>IF($V16="Macro",COUNTIFS($U$5:$U$1000,ROW(),$V$5:$V$1000,"Sub"),"")</f>
        <v/>
      </c>
      <c r="X16" s="62">
        <f>IF($V16="","",IF(ISNUMBER($G16),1,IFERROR(LOOKUP(2,1/($I16:$L16&lt;&gt;""),$I16:$L16),0)))</f>
        <v/>
      </c>
      <c r="Y16" s="62">
        <f>IF($V16="","",IF(AND(ISNUMBER($G16),$G16&lt;=IF($S16=MesCiclo,InicioCiclo,$S16+MOD(2-WEEKDAY($S16),7))+6),1,IF(ISNUMBER($I16),$I16,0)))</f>
        <v/>
      </c>
      <c r="Z16" s="62">
        <f>IF($V16="","",IF(AND(ISNUMBER($G16),$G16&lt;=IF($S16=MesCiclo,InicioCiclo,$S16+MOD(2-WEEKDAY($S16),7))+13),1,IF(ISNUMBER($J16),$J16,$Y16)))</f>
        <v/>
      </c>
      <c r="AA16" s="62">
        <f>IF($V16="","",IF(AND(ISNUMBER($G16),$G16&lt;=IF($S16=MesCiclo,InicioCiclo,$S16+MOD(2-WEEKDAY($S16),7))+20),1,IF(ISNUMBER($K16),$K16,$Z16)))</f>
        <v/>
      </c>
      <c r="AB16" s="62">
        <f>IF($V16="","",IF(AND(ISNUMBER($G16),$G16&lt;=IF($S16=MesCiclo,InicioCiclo,$S16+MOD(2-WEEKDAY($S16),7))+27),1,IF(ISNUMBER($L16),$L16,$AA16)))</f>
        <v/>
      </c>
      <c r="AC16" s="62">
        <f>IF($V16="","",IF(AND(ISNUMBER($G16),$G16&lt;=IF($S16=MesCiclo,InicioCiclo,$S16+MOD(2-WEEKDAY($S16),7))+6),1,IF(N($W16)&gt;0,AVERAGEIFS($Y$5:$Y$1000,$U$5:$U$1000,ROW(),$V$5:$V$1000,"Sub"),$Y16)))</f>
        <v/>
      </c>
      <c r="AD16" s="62">
        <f>IF($V16="","",IF(AND(ISNUMBER($G16),$G16&lt;=IF($S16=MesCiclo,InicioCiclo,$S16+MOD(2-WEEKDAY($S16),7))+13),1,IF(N($W16)&gt;0,AVERAGEIFS($Z$5:$Z$1000,$U$5:$U$1000,ROW(),$V$5:$V$1000,"Sub"),$Z16)))</f>
        <v/>
      </c>
      <c r="AE16" s="62">
        <f>IF($V16="","",IF(AND(ISNUMBER($G16),$G16&lt;=IF($S16=MesCiclo,InicioCiclo,$S16+MOD(2-WEEKDAY($S16),7))+20),1,IF(N($W16)&gt;0,AVERAGEIFS($AA$5:$AA$1000,$U$5:$U$1000,ROW(),$V$5:$V$1000,"Sub"),$AA16)))</f>
        <v/>
      </c>
      <c r="AF16" s="62">
        <f>IF($V16="","",IF(AND(ISNUMBER($G16),$G16&lt;=IF($S16=MesCiclo,InicioCiclo,$S16+MOD(2-WEEKDAY($S16),7))+27),1,IF(N($W16)&gt;0,AVERAGEIFS($AB$5:$AB$1000,$U$5:$U$1000,ROW(),$V$5:$V$1000,"Sub"),$AB16)))</f>
        <v/>
      </c>
      <c r="AG16" s="62">
        <f>IF($V16&lt;&gt;"Macro","",IF(COUNTIFS($S$5:$S$1000,$S16,$V$5:$V$1000,"Macro",$H$5:$H$1000,"&gt;0")=0,1/COUNTIFS($S$5:$S$1000,$S16,$V$5:$V$1000,"Macro"),IF(AND(ISNUMBER($H16),N($H16)&gt;0),$H16,SUMIFS($H$5:$H$1000,$S$5:$S$1000,$S16,$V$5:$V$1000,"Macro")/COUNTIFS($S$5:$S$1000,$S16,$V$5:$V$1000,"Macro",$H$5:$H$1000,"&gt;0"))/(COUNTIFS($S$5:$S$1000,$S16,$V$5:$V$1000,"Macro")*SUMIFS($H$5:$H$1000,$S$5:$S$1000,$S16,$V$5:$V$1000,"Macro")/COUNTIFS($S$5:$S$1000,$S16,$V$5:$V$1000,"Macro",$H$5:$H$1000,"&gt;0"))))</f>
        <v/>
      </c>
      <c r="AH16" s="62" t="n"/>
      <c r="AI16" s="62" t="n"/>
      <c r="AJ16" s="62" t="n"/>
      <c r="AK16" s="62" t="n"/>
      <c r="AL16" s="62">
        <f>IF(LEFT($C16,11)="[Jefatura] ",IFERROR(MATCH("Riesgo Financiero|"&amp;MID($C16,12,500),rDname_ADM,0),0),"")</f>
        <v/>
      </c>
      <c r="AM16" s="62">
        <f>IF(N($AL16)&gt;0,INDEX(rIni_ADM,$AL16),IF(ISNUMBER($E16),$E16,""))</f>
        <v/>
      </c>
      <c r="AN16" s="62">
        <f>IF(N($AL16)&gt;0,INDEX(rLim_ADM,$AL16),IF(ISNUMBER($F16),$F16,""))</f>
        <v/>
      </c>
    </row>
    <row r="17">
      <c r="A17" s="56">
        <f>IF(NOT((COUNTA($B17:$D17)+COUNTA($G17:$L17)+COUNTA($Q17))&gt;0),"",IF($V17="Macro",COUNTIFS($V$5:$V17,"Macro",$S$5:$S17,$S17),IF(N($U17)=0,"?",COUNTIFS(INDEX($V$5:$V$1000,1):INDEX($V$5:$V$1000,$U17-4),"Macro",INDEX($S$5:$S$1000,1):INDEX($S$5:$S$1000,$U17-4),INDEX($S$5:$S$1000,$U17-4))&amp;"."&amp;COUNTIFS($U$5:$U17,$U17,$V$5:$V17,"Sub"))))</f>
        <v/>
      </c>
      <c r="B17" s="57" t="n"/>
      <c r="C17" s="58" t="n"/>
      <c r="D17" s="58" t="n"/>
      <c r="E17" s="59">
        <f>IF(N($AL17)&gt;0,INDEX(rIni_ADM,$AL17),"")</f>
        <v/>
      </c>
      <c r="F17" s="59">
        <f>IF(N($AL17)&gt;0,INDEX(rLim_ADM,$AL17),"")</f>
        <v/>
      </c>
      <c r="G17" s="59" t="n"/>
      <c r="H17" s="60" t="n"/>
      <c r="I17" s="60" t="n"/>
      <c r="J17" s="60" t="n"/>
      <c r="K17" s="60" t="n"/>
      <c r="L17" s="60" t="n"/>
      <c r="M17" s="61">
        <f>IF(NOT((COUNTA($B17:$D17)+COUNTA($G17:$L17)+COUNTA($Q17))&gt;0),"",IF(ISNUMBER($G17),1,IF(N($W17)&gt;0,AVERAGEIFS($X$5:$X$1000,$U$5:$U$1000,ROW(),$V$5:$V$1000,"Sub"),$X17)))</f>
        <v/>
      </c>
      <c r="N17" s="56">
        <f>IF($M17="","",IF($M17&gt;=1,"Completado",IF($M17&gt;0,"En curso","Pendiente")))</f>
        <v/>
      </c>
      <c r="O17" s="56">
        <f>IF(NOT((COUNTA($B17:$D17)+COUNTA($G17:$L17)+COUNTA($Q17))&gt;0),"",IF(ISNUMBER($G17),IF(AND(ISNUMBER($AN17),$G17&gt;$AN17),"Cumplida con "&amp;($G17-$AN17)&amp;IF($G17-$AN17=1," día"," días")&amp;" de retraso","Cumplida"),IF(N($M17)&gt;=1,"Cumplida",IF(NOT(ISNUMBER($AN17)),"Sin fecha límite",IF($AN17&lt;FechaRef,"Vencida hace "&amp;(FechaRef-$AN17)&amp;IF(FechaRef-$AN17=1," día"," días"),IF($AN17=FechaRef,"Vence hoy",IF($AN17-FechaRef&lt;=DiasAlerta,"Vence en "&amp;($AN17-FechaRef)&amp;IF($AN17-FechaRef=1," día"," días"),"En plazo")))))))</f>
        <v/>
      </c>
      <c r="P17" s="62" t="n"/>
      <c r="Q17" s="58" t="n"/>
      <c r="R17" s="63">
        <f>IF(NOT((COUNTA($B17:$D17)+COUNTA($G17:$L17)+COUNTA($Q17))&gt;0),"",IF((IF($C17="","Falta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",""))="","✔ OK","⚠ "&amp;LEFT(IF($C17="","Falta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",""),LEN(IF($C17="","Falta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",""))-3)))</f>
        <v/>
      </c>
      <c r="S17" s="64">
        <f>IF(NOT((COUNTA($B17:$D17)+COUNTA($G17:$L17)+COUNTA($Q17))&gt;0),"",IF(AND($V17="Sub",N($U17)&gt;0),IF(ISNUMBER(INDEX($AM$5:$AM$1000,$U17-4)),DATE(YEAR(INDEX($AM$5:$AM$1000,$U17-4)),MONTH(INDEX($AM$5:$AM$1000,$U17-4)),1),IF(ISNUMBER(INDEX($AN$5:$AN$1000,$U17-4)),DATE(YEAR(INDEX($AN$5:$AN$1000,$U17-4)),MONTH(INDEX($AN$5:$AN$1000,$U17-4)),1),MesCiclo)),IF(ISNUMBER($AM17),DATE(YEAR($AM17),MONTH($AM17),1),IF(ISNUMBER($AN17),DATE(YEAR($AN17),MONTH($AN17),1),MesCiclo))))</f>
        <v/>
      </c>
      <c r="T17" s="62">
        <f>IF(OR($S17="",$S17&lt;&gt;MesCiclo),"",COUNTIF($S$5:$S17,MesCiclo))</f>
        <v/>
      </c>
      <c r="U17" s="62">
        <f>IF($V17="","",IF($V17="Macro",ROW(),IFERROR(LOOKUP(2,1/($V$5:$V17="Macro"),ROW($V$5:$V17)),0)))</f>
        <v/>
      </c>
      <c r="V17" s="62">
        <f>IF(NOT((COUNTA($B17:$D17)+COUNTA($G17:$L17)+COUNTA($Q17))&gt;0),"",IF($B17="Subactividad","Sub","Macro"))</f>
        <v/>
      </c>
      <c r="W17" s="62">
        <f>IF($V17="Macro",COUNTIFS($U$5:$U$1000,ROW(),$V$5:$V$1000,"Sub"),"")</f>
        <v/>
      </c>
      <c r="X17" s="62">
        <f>IF($V17="","",IF(ISNUMBER($G17),1,IFERROR(LOOKUP(2,1/($I17:$L17&lt;&gt;""),$I17:$L17),0)))</f>
        <v/>
      </c>
      <c r="Y17" s="62">
        <f>IF($V17="","",IF(AND(ISNUMBER($G17),$G17&lt;=IF($S17=MesCiclo,InicioCiclo,$S17+MOD(2-WEEKDAY($S17),7))+6),1,IF(ISNUMBER($I17),$I17,0)))</f>
        <v/>
      </c>
      <c r="Z17" s="62">
        <f>IF($V17="","",IF(AND(ISNUMBER($G17),$G17&lt;=IF($S17=MesCiclo,InicioCiclo,$S17+MOD(2-WEEKDAY($S17),7))+13),1,IF(ISNUMBER($J17),$J17,$Y17)))</f>
        <v/>
      </c>
      <c r="AA17" s="62">
        <f>IF($V17="","",IF(AND(ISNUMBER($G17),$G17&lt;=IF($S17=MesCiclo,InicioCiclo,$S17+MOD(2-WEEKDAY($S17),7))+20),1,IF(ISNUMBER($K17),$K17,$Z17)))</f>
        <v/>
      </c>
      <c r="AB17" s="62">
        <f>IF($V17="","",IF(AND(ISNUMBER($G17),$G17&lt;=IF($S17=MesCiclo,InicioCiclo,$S17+MOD(2-WEEKDAY($S17),7))+27),1,IF(ISNUMBER($L17),$L17,$AA17)))</f>
        <v/>
      </c>
      <c r="AC17" s="62">
        <f>IF($V17="","",IF(AND(ISNUMBER($G17),$G17&lt;=IF($S17=MesCiclo,InicioCiclo,$S17+MOD(2-WEEKDAY($S17),7))+6),1,IF(N($W17)&gt;0,AVERAGEIFS($Y$5:$Y$1000,$U$5:$U$1000,ROW(),$V$5:$V$1000,"Sub"),$Y17)))</f>
        <v/>
      </c>
      <c r="AD17" s="62">
        <f>IF($V17="","",IF(AND(ISNUMBER($G17),$G17&lt;=IF($S17=MesCiclo,InicioCiclo,$S17+MOD(2-WEEKDAY($S17),7))+13),1,IF(N($W17)&gt;0,AVERAGEIFS($Z$5:$Z$1000,$U$5:$U$1000,ROW(),$V$5:$V$1000,"Sub"),$Z17)))</f>
        <v/>
      </c>
      <c r="AE17" s="62">
        <f>IF($V17="","",IF(AND(ISNUMBER($G17),$G17&lt;=IF($S17=MesCiclo,InicioCiclo,$S17+MOD(2-WEEKDAY($S17),7))+20),1,IF(N($W17)&gt;0,AVERAGEIFS($AA$5:$AA$1000,$U$5:$U$1000,ROW(),$V$5:$V$1000,"Sub"),$AA17)))</f>
        <v/>
      </c>
      <c r="AF17" s="62">
        <f>IF($V17="","",IF(AND(ISNUMBER($G17),$G17&lt;=IF($S17=MesCiclo,InicioCiclo,$S17+MOD(2-WEEKDAY($S17),7))+27),1,IF(N($W17)&gt;0,AVERAGEIFS($AB$5:$AB$1000,$U$5:$U$1000,ROW(),$V$5:$V$1000,"Sub"),$AB17)))</f>
        <v/>
      </c>
      <c r="AG17" s="62">
        <f>IF($V17&lt;&gt;"Macro","",IF(COUNTIFS($S$5:$S$1000,$S17,$V$5:$V$1000,"Macro",$H$5:$H$1000,"&gt;0")=0,1/COUNTIFS($S$5:$S$1000,$S17,$V$5:$V$1000,"Macro"),IF(AND(ISNUMBER($H17),N($H17)&gt;0),$H17,SUMIFS($H$5:$H$1000,$S$5:$S$1000,$S17,$V$5:$V$1000,"Macro")/COUNTIFS($S$5:$S$1000,$S17,$V$5:$V$1000,"Macro",$H$5:$H$1000,"&gt;0"))/(COUNTIFS($S$5:$S$1000,$S17,$V$5:$V$1000,"Macro")*SUMIFS($H$5:$H$1000,$S$5:$S$1000,$S17,$V$5:$V$1000,"Macro")/COUNTIFS($S$5:$S$1000,$S17,$V$5:$V$1000,"Macro",$H$5:$H$1000,"&gt;0"))))</f>
        <v/>
      </c>
      <c r="AH17" s="62" t="n"/>
      <c r="AI17" s="62" t="n"/>
      <c r="AJ17" s="62" t="n"/>
      <c r="AK17" s="62" t="n"/>
      <c r="AL17" s="62">
        <f>IF(LEFT($C17,11)="[Jefatura] ",IFERROR(MATCH("Riesgo Financiero|"&amp;MID($C17,12,500),rDname_ADM,0),0),"")</f>
        <v/>
      </c>
      <c r="AM17" s="62">
        <f>IF(N($AL17)&gt;0,INDEX(rIni_ADM,$AL17),IF(ISNUMBER($E17),$E17,""))</f>
        <v/>
      </c>
      <c r="AN17" s="62">
        <f>IF(N($AL17)&gt;0,INDEX(rLim_ADM,$AL17),IF(ISNUMBER($F17),$F17,""))</f>
        <v/>
      </c>
    </row>
    <row r="18">
      <c r="A18" s="56">
        <f>IF(NOT((COUNTA($B18:$D18)+COUNTA($G18:$L18)+COUNTA($Q18))&gt;0),"",IF($V18="Macro",COUNTIFS($V$5:$V18,"Macro",$S$5:$S18,$S18),IF(N($U18)=0,"?",COUNTIFS(INDEX($V$5:$V$1000,1):INDEX($V$5:$V$1000,$U18-4),"Macro",INDEX($S$5:$S$1000,1):INDEX($S$5:$S$1000,$U18-4),INDEX($S$5:$S$1000,$U18-4))&amp;"."&amp;COUNTIFS($U$5:$U18,$U18,$V$5:$V18,"Sub"))))</f>
        <v/>
      </c>
      <c r="B18" s="57" t="n"/>
      <c r="C18" s="58" t="n"/>
      <c r="D18" s="58" t="n"/>
      <c r="E18" s="59">
        <f>IF(N($AL18)&gt;0,INDEX(rIni_ADM,$AL18),"")</f>
        <v/>
      </c>
      <c r="F18" s="59">
        <f>IF(N($AL18)&gt;0,INDEX(rLim_ADM,$AL18),"")</f>
        <v/>
      </c>
      <c r="G18" s="59" t="n"/>
      <c r="H18" s="60" t="n"/>
      <c r="I18" s="60" t="n"/>
      <c r="J18" s="60" t="n"/>
      <c r="K18" s="60" t="n"/>
      <c r="L18" s="60" t="n"/>
      <c r="M18" s="61">
        <f>IF(NOT((COUNTA($B18:$D18)+COUNTA($G18:$L18)+COUNTA($Q18))&gt;0),"",IF(ISNUMBER($G18),1,IF(N($W18)&gt;0,AVERAGEIFS($X$5:$X$1000,$U$5:$U$1000,ROW(),$V$5:$V$1000,"Sub"),$X18)))</f>
        <v/>
      </c>
      <c r="N18" s="56">
        <f>IF($M18="","",IF($M18&gt;=1,"Completado",IF($M18&gt;0,"En curso","Pendiente")))</f>
        <v/>
      </c>
      <c r="O18" s="56">
        <f>IF(NOT((COUNTA($B18:$D18)+COUNTA($G18:$L18)+COUNTA($Q18))&gt;0),"",IF(ISNUMBER($G18),IF(AND(ISNUMBER($AN18),$G18&gt;$AN18),"Cumplida con "&amp;($G18-$AN18)&amp;IF($G18-$AN18=1," día"," días")&amp;" de retraso","Cumplida"),IF(N($M18)&gt;=1,"Cumplida",IF(NOT(ISNUMBER($AN18)),"Sin fecha límite",IF($AN18&lt;FechaRef,"Vencida hace "&amp;(FechaRef-$AN18)&amp;IF(FechaRef-$AN18=1," día"," días"),IF($AN18=FechaRef,"Vence hoy",IF($AN18-FechaRef&lt;=DiasAlerta,"Vence en "&amp;($AN18-FechaRef)&amp;IF($AN18-FechaRef=1," día"," días"),"En plazo")))))))</f>
        <v/>
      </c>
      <c r="P18" s="62" t="n"/>
      <c r="Q18" s="58" t="n"/>
      <c r="R18" s="63">
        <f>IF(NOT((COUNTA($B18:$D18)+COUNTA($G18:$L18)+COUNTA($Q18))&gt;0),"",IF((IF($C18="","Falta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",""))="","✔ OK","⚠ "&amp;LEFT(IF($C18="","Falta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",""),LEN(IF($C18="","Falta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",""))-3)))</f>
        <v/>
      </c>
      <c r="S18" s="64">
        <f>IF(NOT((COUNTA($B18:$D18)+COUNTA($G18:$L18)+COUNTA($Q18))&gt;0),"",IF(AND($V18="Sub",N($U18)&gt;0),IF(ISNUMBER(INDEX($AM$5:$AM$1000,$U18-4)),DATE(YEAR(INDEX($AM$5:$AM$1000,$U18-4)),MONTH(INDEX($AM$5:$AM$1000,$U18-4)),1),IF(ISNUMBER(INDEX($AN$5:$AN$1000,$U18-4)),DATE(YEAR(INDEX($AN$5:$AN$1000,$U18-4)),MONTH(INDEX($AN$5:$AN$1000,$U18-4)),1),MesCiclo)),IF(ISNUMBER($AM18),DATE(YEAR($AM18),MONTH($AM18),1),IF(ISNUMBER($AN18),DATE(YEAR($AN18),MONTH($AN18),1),MesCiclo))))</f>
        <v/>
      </c>
      <c r="T18" s="62">
        <f>IF(OR($S18="",$S18&lt;&gt;MesCiclo),"",COUNTIF($S$5:$S18,MesCiclo))</f>
        <v/>
      </c>
      <c r="U18" s="62">
        <f>IF($V18="","",IF($V18="Macro",ROW(),IFERROR(LOOKUP(2,1/($V$5:$V18="Macro"),ROW($V$5:$V18)),0)))</f>
        <v/>
      </c>
      <c r="V18" s="62">
        <f>IF(NOT((COUNTA($B18:$D18)+COUNTA($G18:$L18)+COUNTA($Q18))&gt;0),"",IF($B18="Subactividad","Sub","Macro"))</f>
        <v/>
      </c>
      <c r="W18" s="62">
        <f>IF($V18="Macro",COUNTIFS($U$5:$U$1000,ROW(),$V$5:$V$1000,"Sub"),"")</f>
        <v/>
      </c>
      <c r="X18" s="62">
        <f>IF($V18="","",IF(ISNUMBER($G18),1,IFERROR(LOOKUP(2,1/($I18:$L18&lt;&gt;""),$I18:$L18),0)))</f>
        <v/>
      </c>
      <c r="Y18" s="62">
        <f>IF($V18="","",IF(AND(ISNUMBER($G18),$G18&lt;=IF($S18=MesCiclo,InicioCiclo,$S18+MOD(2-WEEKDAY($S18),7))+6),1,IF(ISNUMBER($I18),$I18,0)))</f>
        <v/>
      </c>
      <c r="Z18" s="62">
        <f>IF($V18="","",IF(AND(ISNUMBER($G18),$G18&lt;=IF($S18=MesCiclo,InicioCiclo,$S18+MOD(2-WEEKDAY($S18),7))+13),1,IF(ISNUMBER($J18),$J18,$Y18)))</f>
        <v/>
      </c>
      <c r="AA18" s="62">
        <f>IF($V18="","",IF(AND(ISNUMBER($G18),$G18&lt;=IF($S18=MesCiclo,InicioCiclo,$S18+MOD(2-WEEKDAY($S18),7))+20),1,IF(ISNUMBER($K18),$K18,$Z18)))</f>
        <v/>
      </c>
      <c r="AB18" s="62">
        <f>IF($V18="","",IF(AND(ISNUMBER($G18),$G18&lt;=IF($S18=MesCiclo,InicioCiclo,$S18+MOD(2-WEEKDAY($S18),7))+27),1,IF(ISNUMBER($L18),$L18,$AA18)))</f>
        <v/>
      </c>
      <c r="AC18" s="62">
        <f>IF($V18="","",IF(AND(ISNUMBER($G18),$G18&lt;=IF($S18=MesCiclo,InicioCiclo,$S18+MOD(2-WEEKDAY($S18),7))+6),1,IF(N($W18)&gt;0,AVERAGEIFS($Y$5:$Y$1000,$U$5:$U$1000,ROW(),$V$5:$V$1000,"Sub"),$Y18)))</f>
        <v/>
      </c>
      <c r="AD18" s="62">
        <f>IF($V18="","",IF(AND(ISNUMBER($G18),$G18&lt;=IF($S18=MesCiclo,InicioCiclo,$S18+MOD(2-WEEKDAY($S18),7))+13),1,IF(N($W18)&gt;0,AVERAGEIFS($Z$5:$Z$1000,$U$5:$U$1000,ROW(),$V$5:$V$1000,"Sub"),$Z18)))</f>
        <v/>
      </c>
      <c r="AE18" s="62">
        <f>IF($V18="","",IF(AND(ISNUMBER($G18),$G18&lt;=IF($S18=MesCiclo,InicioCiclo,$S18+MOD(2-WEEKDAY($S18),7))+20),1,IF(N($W18)&gt;0,AVERAGEIFS($AA$5:$AA$1000,$U$5:$U$1000,ROW(),$V$5:$V$1000,"Sub"),$AA18)))</f>
        <v/>
      </c>
      <c r="AF18" s="62">
        <f>IF($V18="","",IF(AND(ISNUMBER($G18),$G18&lt;=IF($S18=MesCiclo,InicioCiclo,$S18+MOD(2-WEEKDAY($S18),7))+27),1,IF(N($W18)&gt;0,AVERAGEIFS($AB$5:$AB$1000,$U$5:$U$1000,ROW(),$V$5:$V$1000,"Sub"),$AB18)))</f>
        <v/>
      </c>
      <c r="AG18" s="62">
        <f>IF($V18&lt;&gt;"Macro","",IF(COUNTIFS($S$5:$S$1000,$S18,$V$5:$V$1000,"Macro",$H$5:$H$1000,"&gt;0")=0,1/COUNTIFS($S$5:$S$1000,$S18,$V$5:$V$1000,"Macro"),IF(AND(ISNUMBER($H18),N($H18)&gt;0),$H18,SUMIFS($H$5:$H$1000,$S$5:$S$1000,$S18,$V$5:$V$1000,"Macro")/COUNTIFS($S$5:$S$1000,$S18,$V$5:$V$1000,"Macro",$H$5:$H$1000,"&gt;0"))/(COUNTIFS($S$5:$S$1000,$S18,$V$5:$V$1000,"Macro")*SUMIFS($H$5:$H$1000,$S$5:$S$1000,$S18,$V$5:$V$1000,"Macro")/COUNTIFS($S$5:$S$1000,$S18,$V$5:$V$1000,"Macro",$H$5:$H$1000,"&gt;0"))))</f>
        <v/>
      </c>
      <c r="AH18" s="62" t="n"/>
      <c r="AI18" s="62" t="n"/>
      <c r="AJ18" s="62" t="n"/>
      <c r="AK18" s="62" t="n"/>
      <c r="AL18" s="62">
        <f>IF(LEFT($C18,11)="[Jefatura] ",IFERROR(MATCH("Riesgo Financiero|"&amp;MID($C18,12,500),rDname_ADM,0),0),"")</f>
        <v/>
      </c>
      <c r="AM18" s="62">
        <f>IF(N($AL18)&gt;0,INDEX(rIni_ADM,$AL18),IF(ISNUMBER($E18),$E18,""))</f>
        <v/>
      </c>
      <c r="AN18" s="62">
        <f>IF(N($AL18)&gt;0,INDEX(rLim_ADM,$AL18),IF(ISNUMBER($F18),$F18,""))</f>
        <v/>
      </c>
    </row>
    <row r="19">
      <c r="A19" s="56">
        <f>IF(NOT((COUNTA($B19:$D19)+COUNTA($G19:$L19)+COUNTA($Q19))&gt;0),"",IF($V19="Macro",COUNTIFS($V$5:$V19,"Macro",$S$5:$S19,$S19),IF(N($U19)=0,"?",COUNTIFS(INDEX($V$5:$V$1000,1):INDEX($V$5:$V$1000,$U19-4),"Macro",INDEX($S$5:$S$1000,1):INDEX($S$5:$S$1000,$U19-4),INDEX($S$5:$S$1000,$U19-4))&amp;"."&amp;COUNTIFS($U$5:$U19,$U19,$V$5:$V19,"Sub"))))</f>
        <v/>
      </c>
      <c r="B19" s="57" t="n"/>
      <c r="C19" s="58" t="n"/>
      <c r="D19" s="58" t="n"/>
      <c r="E19" s="59">
        <f>IF(N($AL19)&gt;0,INDEX(rIni_ADM,$AL19),"")</f>
        <v/>
      </c>
      <c r="F19" s="59">
        <f>IF(N($AL19)&gt;0,INDEX(rLim_ADM,$AL19),"")</f>
        <v/>
      </c>
      <c r="G19" s="59" t="n"/>
      <c r="H19" s="60" t="n"/>
      <c r="I19" s="60" t="n"/>
      <c r="J19" s="60" t="n"/>
      <c r="K19" s="60" t="n"/>
      <c r="L19" s="60" t="n"/>
      <c r="M19" s="61">
        <f>IF(NOT((COUNTA($B19:$D19)+COUNTA($G19:$L19)+COUNTA($Q19))&gt;0),"",IF(ISNUMBER($G19),1,IF(N($W19)&gt;0,AVERAGEIFS($X$5:$X$1000,$U$5:$U$1000,ROW(),$V$5:$V$1000,"Sub"),$X19)))</f>
        <v/>
      </c>
      <c r="N19" s="56">
        <f>IF($M19="","",IF($M19&gt;=1,"Completado",IF($M19&gt;0,"En curso","Pendiente")))</f>
        <v/>
      </c>
      <c r="O19" s="56">
        <f>IF(NOT((COUNTA($B19:$D19)+COUNTA($G19:$L19)+COUNTA($Q19))&gt;0),"",IF(ISNUMBER($G19),IF(AND(ISNUMBER($AN19),$G19&gt;$AN19),"Cumplida con "&amp;($G19-$AN19)&amp;IF($G19-$AN19=1," día"," días")&amp;" de retraso","Cumplida"),IF(N($M19)&gt;=1,"Cumplida",IF(NOT(ISNUMBER($AN19)),"Sin fecha límite",IF($AN19&lt;FechaRef,"Vencida hace "&amp;(FechaRef-$AN19)&amp;IF(FechaRef-$AN19=1," día"," días"),IF($AN19=FechaRef,"Vence hoy",IF($AN19-FechaRef&lt;=DiasAlerta,"Vence en "&amp;($AN19-FechaRef)&amp;IF($AN19-FechaRef=1," día"," días"),"En plazo")))))))</f>
        <v/>
      </c>
      <c r="P19" s="62" t="n"/>
      <c r="Q19" s="58" t="n"/>
      <c r="R19" s="63">
        <f>IF(NOT((COUNTA($B19:$D19)+COUNTA($G19:$L19)+COUNTA($Q19))&gt;0),"",IF((IF($C19="","Falta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",""))="","✔ OK","⚠ "&amp;LEFT(IF($C19="","Falta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",""),LEN(IF($C19="","Falta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",""))-3)))</f>
        <v/>
      </c>
      <c r="S19" s="64">
        <f>IF(NOT((COUNTA($B19:$D19)+COUNTA($G19:$L19)+COUNTA($Q19))&gt;0),"",IF(AND($V19="Sub",N($U19)&gt;0),IF(ISNUMBER(INDEX($AM$5:$AM$1000,$U19-4)),DATE(YEAR(INDEX($AM$5:$AM$1000,$U19-4)),MONTH(INDEX($AM$5:$AM$1000,$U19-4)),1),IF(ISNUMBER(INDEX($AN$5:$AN$1000,$U19-4)),DATE(YEAR(INDEX($AN$5:$AN$1000,$U19-4)),MONTH(INDEX($AN$5:$AN$1000,$U19-4)),1),MesCiclo)),IF(ISNUMBER($AM19),DATE(YEAR($AM19),MONTH($AM19),1),IF(ISNUMBER($AN19),DATE(YEAR($AN19),MONTH($AN19),1),MesCiclo))))</f>
        <v/>
      </c>
      <c r="T19" s="62">
        <f>IF(OR($S19="",$S19&lt;&gt;MesCiclo),"",COUNTIF($S$5:$S19,MesCiclo))</f>
        <v/>
      </c>
      <c r="U19" s="62">
        <f>IF($V19="","",IF($V19="Macro",ROW(),IFERROR(LOOKUP(2,1/($V$5:$V19="Macro"),ROW($V$5:$V19)),0)))</f>
        <v/>
      </c>
      <c r="V19" s="62">
        <f>IF(NOT((COUNTA($B19:$D19)+COUNTA($G19:$L19)+COUNTA($Q19))&gt;0),"",IF($B19="Subactividad","Sub","Macro"))</f>
        <v/>
      </c>
      <c r="W19" s="62">
        <f>IF($V19="Macro",COUNTIFS($U$5:$U$1000,ROW(),$V$5:$V$1000,"Sub"),"")</f>
        <v/>
      </c>
      <c r="X19" s="62">
        <f>IF($V19="","",IF(ISNUMBER($G19),1,IFERROR(LOOKUP(2,1/($I19:$L19&lt;&gt;""),$I19:$L19),0)))</f>
        <v/>
      </c>
      <c r="Y19" s="62">
        <f>IF($V19="","",IF(AND(ISNUMBER($G19),$G19&lt;=IF($S19=MesCiclo,InicioCiclo,$S19+MOD(2-WEEKDAY($S19),7))+6),1,IF(ISNUMBER($I19),$I19,0)))</f>
        <v/>
      </c>
      <c r="Z19" s="62">
        <f>IF($V19="","",IF(AND(ISNUMBER($G19),$G19&lt;=IF($S19=MesCiclo,InicioCiclo,$S19+MOD(2-WEEKDAY($S19),7))+13),1,IF(ISNUMBER($J19),$J19,$Y19)))</f>
        <v/>
      </c>
      <c r="AA19" s="62">
        <f>IF($V19="","",IF(AND(ISNUMBER($G19),$G19&lt;=IF($S19=MesCiclo,InicioCiclo,$S19+MOD(2-WEEKDAY($S19),7))+20),1,IF(ISNUMBER($K19),$K19,$Z19)))</f>
        <v/>
      </c>
      <c r="AB19" s="62">
        <f>IF($V19="","",IF(AND(ISNUMBER($G19),$G19&lt;=IF($S19=MesCiclo,InicioCiclo,$S19+MOD(2-WEEKDAY($S19),7))+27),1,IF(ISNUMBER($L19),$L19,$AA19)))</f>
        <v/>
      </c>
      <c r="AC19" s="62">
        <f>IF($V19="","",IF(AND(ISNUMBER($G19),$G19&lt;=IF($S19=MesCiclo,InicioCiclo,$S19+MOD(2-WEEKDAY($S19),7))+6),1,IF(N($W19)&gt;0,AVERAGEIFS($Y$5:$Y$1000,$U$5:$U$1000,ROW(),$V$5:$V$1000,"Sub"),$Y19)))</f>
        <v/>
      </c>
      <c r="AD19" s="62">
        <f>IF($V19="","",IF(AND(ISNUMBER($G19),$G19&lt;=IF($S19=MesCiclo,InicioCiclo,$S19+MOD(2-WEEKDAY($S19),7))+13),1,IF(N($W19)&gt;0,AVERAGEIFS($Z$5:$Z$1000,$U$5:$U$1000,ROW(),$V$5:$V$1000,"Sub"),$Z19)))</f>
        <v/>
      </c>
      <c r="AE19" s="62">
        <f>IF($V19="","",IF(AND(ISNUMBER($G19),$G19&lt;=IF($S19=MesCiclo,InicioCiclo,$S19+MOD(2-WEEKDAY($S19),7))+20),1,IF(N($W19)&gt;0,AVERAGEIFS($AA$5:$AA$1000,$U$5:$U$1000,ROW(),$V$5:$V$1000,"Sub"),$AA19)))</f>
        <v/>
      </c>
      <c r="AF19" s="62">
        <f>IF($V19="","",IF(AND(ISNUMBER($G19),$G19&lt;=IF($S19=MesCiclo,InicioCiclo,$S19+MOD(2-WEEKDAY($S19),7))+27),1,IF(N($W19)&gt;0,AVERAGEIFS($AB$5:$AB$1000,$U$5:$U$1000,ROW(),$V$5:$V$1000,"Sub"),$AB19)))</f>
        <v/>
      </c>
      <c r="AG19" s="62">
        <f>IF($V19&lt;&gt;"Macro","",IF(COUNTIFS($S$5:$S$1000,$S19,$V$5:$V$1000,"Macro",$H$5:$H$1000,"&gt;0")=0,1/COUNTIFS($S$5:$S$1000,$S19,$V$5:$V$1000,"Macro"),IF(AND(ISNUMBER($H19),N($H19)&gt;0),$H19,SUMIFS($H$5:$H$1000,$S$5:$S$1000,$S19,$V$5:$V$1000,"Macro")/COUNTIFS($S$5:$S$1000,$S19,$V$5:$V$1000,"Macro",$H$5:$H$1000,"&gt;0"))/(COUNTIFS($S$5:$S$1000,$S19,$V$5:$V$1000,"Macro")*SUMIFS($H$5:$H$1000,$S$5:$S$1000,$S19,$V$5:$V$1000,"Macro")/COUNTIFS($S$5:$S$1000,$S19,$V$5:$V$1000,"Macro",$H$5:$H$1000,"&gt;0"))))</f>
        <v/>
      </c>
      <c r="AH19" s="62" t="n"/>
      <c r="AI19" s="62" t="n"/>
      <c r="AJ19" s="62" t="n"/>
      <c r="AK19" s="62" t="n"/>
      <c r="AL19" s="62">
        <f>IF(LEFT($C19,11)="[Jefatura] ",IFERROR(MATCH("Riesgo Financiero|"&amp;MID($C19,12,500),rDname_ADM,0),0),"")</f>
        <v/>
      </c>
      <c r="AM19" s="62">
        <f>IF(N($AL19)&gt;0,INDEX(rIni_ADM,$AL19),IF(ISNUMBER($E19),$E19,""))</f>
        <v/>
      </c>
      <c r="AN19" s="62">
        <f>IF(N($AL19)&gt;0,INDEX(rLim_ADM,$AL19),IF(ISNUMBER($F19),$F19,""))</f>
        <v/>
      </c>
    </row>
    <row r="20">
      <c r="A20" s="56">
        <f>IF(NOT((COUNTA($B20:$D20)+COUNTA($G20:$L20)+COUNTA($Q20))&gt;0),"",IF($V20="Macro",COUNTIFS($V$5:$V20,"Macro",$S$5:$S20,$S20),IF(N($U20)=0,"?",COUNTIFS(INDEX($V$5:$V$1000,1):INDEX($V$5:$V$1000,$U20-4),"Macro",INDEX($S$5:$S$1000,1):INDEX($S$5:$S$1000,$U20-4),INDEX($S$5:$S$1000,$U20-4))&amp;"."&amp;COUNTIFS($U$5:$U20,$U20,$V$5:$V20,"Sub"))))</f>
        <v/>
      </c>
      <c r="B20" s="57" t="n"/>
      <c r="C20" s="58" t="n"/>
      <c r="D20" s="58" t="n"/>
      <c r="E20" s="59">
        <f>IF(N($AL20)&gt;0,INDEX(rIni_ADM,$AL20),"")</f>
        <v/>
      </c>
      <c r="F20" s="59">
        <f>IF(N($AL20)&gt;0,INDEX(rLim_ADM,$AL20),"")</f>
        <v/>
      </c>
      <c r="G20" s="59" t="n"/>
      <c r="H20" s="60" t="n"/>
      <c r="I20" s="60" t="n"/>
      <c r="J20" s="60" t="n"/>
      <c r="K20" s="60" t="n"/>
      <c r="L20" s="60" t="n"/>
      <c r="M20" s="61">
        <f>IF(NOT((COUNTA($B20:$D20)+COUNTA($G20:$L20)+COUNTA($Q20))&gt;0),"",IF(ISNUMBER($G20),1,IF(N($W20)&gt;0,AVERAGEIFS($X$5:$X$1000,$U$5:$U$1000,ROW(),$V$5:$V$1000,"Sub"),$X20)))</f>
        <v/>
      </c>
      <c r="N20" s="56">
        <f>IF($M20="","",IF($M20&gt;=1,"Completado",IF($M20&gt;0,"En curso","Pendiente")))</f>
        <v/>
      </c>
      <c r="O20" s="56">
        <f>IF(NOT((COUNTA($B20:$D20)+COUNTA($G20:$L20)+COUNTA($Q20))&gt;0),"",IF(ISNUMBER($G20),IF(AND(ISNUMBER($AN20),$G20&gt;$AN20),"Cumplida con "&amp;($G20-$AN20)&amp;IF($G20-$AN20=1," día"," días")&amp;" de retraso","Cumplida"),IF(N($M20)&gt;=1,"Cumplida",IF(NOT(ISNUMBER($AN20)),"Sin fecha límite",IF($AN20&lt;FechaRef,"Vencida hace "&amp;(FechaRef-$AN20)&amp;IF(FechaRef-$AN20=1," día"," días"),IF($AN20=FechaRef,"Vence hoy",IF($AN20-FechaRef&lt;=DiasAlerta,"Vence en "&amp;($AN20-FechaRef)&amp;IF($AN20-FechaRef=1," día"," días"),"En plazo")))))))</f>
        <v/>
      </c>
      <c r="P20" s="62" t="n"/>
      <c r="Q20" s="58" t="n"/>
      <c r="R20" s="63">
        <f>IF(NOT((COUNTA($B20:$D20)+COUNTA($G20:$L20)+COUNTA($Q20))&gt;0),"",IF((IF($C20="","Falta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",""))="","✔ OK","⚠ "&amp;LEFT(IF($C20="","Falta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",""),LEN(IF($C20="","Falta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",""))-3)))</f>
        <v/>
      </c>
      <c r="S20" s="64">
        <f>IF(NOT((COUNTA($B20:$D20)+COUNTA($G20:$L20)+COUNTA($Q20))&gt;0),"",IF(AND($V20="Sub",N($U20)&gt;0),IF(ISNUMBER(INDEX($AM$5:$AM$1000,$U20-4)),DATE(YEAR(INDEX($AM$5:$AM$1000,$U20-4)),MONTH(INDEX($AM$5:$AM$1000,$U20-4)),1),IF(ISNUMBER(INDEX($AN$5:$AN$1000,$U20-4)),DATE(YEAR(INDEX($AN$5:$AN$1000,$U20-4)),MONTH(INDEX($AN$5:$AN$1000,$U20-4)),1),MesCiclo)),IF(ISNUMBER($AM20),DATE(YEAR($AM20),MONTH($AM20),1),IF(ISNUMBER($AN20),DATE(YEAR($AN20),MONTH($AN20),1),MesCiclo))))</f>
        <v/>
      </c>
      <c r="T20" s="62">
        <f>IF(OR($S20="",$S20&lt;&gt;MesCiclo),"",COUNTIF($S$5:$S20,MesCiclo))</f>
        <v/>
      </c>
      <c r="U20" s="62">
        <f>IF($V20="","",IF($V20="Macro",ROW(),IFERROR(LOOKUP(2,1/($V$5:$V20="Macro"),ROW($V$5:$V20)),0)))</f>
        <v/>
      </c>
      <c r="V20" s="62">
        <f>IF(NOT((COUNTA($B20:$D20)+COUNTA($G20:$L20)+COUNTA($Q20))&gt;0),"",IF($B20="Subactividad","Sub","Macro"))</f>
        <v/>
      </c>
      <c r="W20" s="62">
        <f>IF($V20="Macro",COUNTIFS($U$5:$U$1000,ROW(),$V$5:$V$1000,"Sub"),"")</f>
        <v/>
      </c>
      <c r="X20" s="62">
        <f>IF($V20="","",IF(ISNUMBER($G20),1,IFERROR(LOOKUP(2,1/($I20:$L20&lt;&gt;""),$I20:$L20),0)))</f>
        <v/>
      </c>
      <c r="Y20" s="62">
        <f>IF($V20="","",IF(AND(ISNUMBER($G20),$G20&lt;=IF($S20=MesCiclo,InicioCiclo,$S20+MOD(2-WEEKDAY($S20),7))+6),1,IF(ISNUMBER($I20),$I20,0)))</f>
        <v/>
      </c>
      <c r="Z20" s="62">
        <f>IF($V20="","",IF(AND(ISNUMBER($G20),$G20&lt;=IF($S20=MesCiclo,InicioCiclo,$S20+MOD(2-WEEKDAY($S20),7))+13),1,IF(ISNUMBER($J20),$J20,$Y20)))</f>
        <v/>
      </c>
      <c r="AA20" s="62">
        <f>IF($V20="","",IF(AND(ISNUMBER($G20),$G20&lt;=IF($S20=MesCiclo,InicioCiclo,$S20+MOD(2-WEEKDAY($S20),7))+20),1,IF(ISNUMBER($K20),$K20,$Z20)))</f>
        <v/>
      </c>
      <c r="AB20" s="62">
        <f>IF($V20="","",IF(AND(ISNUMBER($G20),$G20&lt;=IF($S20=MesCiclo,InicioCiclo,$S20+MOD(2-WEEKDAY($S20),7))+27),1,IF(ISNUMBER($L20),$L20,$AA20)))</f>
        <v/>
      </c>
      <c r="AC20" s="62">
        <f>IF($V20="","",IF(AND(ISNUMBER($G20),$G20&lt;=IF($S20=MesCiclo,InicioCiclo,$S20+MOD(2-WEEKDAY($S20),7))+6),1,IF(N($W20)&gt;0,AVERAGEIFS($Y$5:$Y$1000,$U$5:$U$1000,ROW(),$V$5:$V$1000,"Sub"),$Y20)))</f>
        <v/>
      </c>
      <c r="AD20" s="62">
        <f>IF($V20="","",IF(AND(ISNUMBER($G20),$G20&lt;=IF($S20=MesCiclo,InicioCiclo,$S20+MOD(2-WEEKDAY($S20),7))+13),1,IF(N($W20)&gt;0,AVERAGEIFS($Z$5:$Z$1000,$U$5:$U$1000,ROW(),$V$5:$V$1000,"Sub"),$Z20)))</f>
        <v/>
      </c>
      <c r="AE20" s="62">
        <f>IF($V20="","",IF(AND(ISNUMBER($G20),$G20&lt;=IF($S20=MesCiclo,InicioCiclo,$S20+MOD(2-WEEKDAY($S20),7))+20),1,IF(N($W20)&gt;0,AVERAGEIFS($AA$5:$AA$1000,$U$5:$U$1000,ROW(),$V$5:$V$1000,"Sub"),$AA20)))</f>
        <v/>
      </c>
      <c r="AF20" s="62">
        <f>IF($V20="","",IF(AND(ISNUMBER($G20),$G20&lt;=IF($S20=MesCiclo,InicioCiclo,$S20+MOD(2-WEEKDAY($S20),7))+27),1,IF(N($W20)&gt;0,AVERAGEIFS($AB$5:$AB$1000,$U$5:$U$1000,ROW(),$V$5:$V$1000,"Sub"),$AB20)))</f>
        <v/>
      </c>
      <c r="AG20" s="62">
        <f>IF($V20&lt;&gt;"Macro","",IF(COUNTIFS($S$5:$S$1000,$S20,$V$5:$V$1000,"Macro",$H$5:$H$1000,"&gt;0")=0,1/COUNTIFS($S$5:$S$1000,$S20,$V$5:$V$1000,"Macro"),IF(AND(ISNUMBER($H20),N($H20)&gt;0),$H20,SUMIFS($H$5:$H$1000,$S$5:$S$1000,$S20,$V$5:$V$1000,"Macro")/COUNTIFS($S$5:$S$1000,$S20,$V$5:$V$1000,"Macro",$H$5:$H$1000,"&gt;0"))/(COUNTIFS($S$5:$S$1000,$S20,$V$5:$V$1000,"Macro")*SUMIFS($H$5:$H$1000,$S$5:$S$1000,$S20,$V$5:$V$1000,"Macro")/COUNTIFS($S$5:$S$1000,$S20,$V$5:$V$1000,"Macro",$H$5:$H$1000,"&gt;0"))))</f>
        <v/>
      </c>
      <c r="AH20" s="62" t="n"/>
      <c r="AI20" s="62" t="n"/>
      <c r="AJ20" s="62" t="n"/>
      <c r="AK20" s="62" t="n"/>
      <c r="AL20" s="62">
        <f>IF(LEFT($C20,11)="[Jefatura] ",IFERROR(MATCH("Riesgo Financiero|"&amp;MID($C20,12,500),rDname_ADM,0),0),"")</f>
        <v/>
      </c>
      <c r="AM20" s="62">
        <f>IF(N($AL20)&gt;0,INDEX(rIni_ADM,$AL20),IF(ISNUMBER($E20),$E20,""))</f>
        <v/>
      </c>
      <c r="AN20" s="62">
        <f>IF(N($AL20)&gt;0,INDEX(rLim_ADM,$AL20),IF(ISNUMBER($F20),$F20,""))</f>
        <v/>
      </c>
    </row>
    <row r="21">
      <c r="A21" s="56">
        <f>IF(NOT((COUNTA($B21:$D21)+COUNTA($G21:$L21)+COUNTA($Q21))&gt;0),"",IF($V21="Macro",COUNTIFS($V$5:$V21,"Macro",$S$5:$S21,$S21),IF(N($U21)=0,"?",COUNTIFS(INDEX($V$5:$V$1000,1):INDEX($V$5:$V$1000,$U21-4),"Macro",INDEX($S$5:$S$1000,1):INDEX($S$5:$S$1000,$U21-4),INDEX($S$5:$S$1000,$U21-4))&amp;"."&amp;COUNTIFS($U$5:$U21,$U21,$V$5:$V21,"Sub"))))</f>
        <v/>
      </c>
      <c r="B21" s="57" t="n"/>
      <c r="C21" s="58" t="n"/>
      <c r="D21" s="58" t="n"/>
      <c r="E21" s="59">
        <f>IF(N($AL21)&gt;0,INDEX(rIni_ADM,$AL21),"")</f>
        <v/>
      </c>
      <c r="F21" s="59">
        <f>IF(N($AL21)&gt;0,INDEX(rLim_ADM,$AL21),"")</f>
        <v/>
      </c>
      <c r="G21" s="59" t="n"/>
      <c r="H21" s="60" t="n"/>
      <c r="I21" s="60" t="n"/>
      <c r="J21" s="60" t="n"/>
      <c r="K21" s="60" t="n"/>
      <c r="L21" s="60" t="n"/>
      <c r="M21" s="61">
        <f>IF(NOT((COUNTA($B21:$D21)+COUNTA($G21:$L21)+COUNTA($Q21))&gt;0),"",IF(ISNUMBER($G21),1,IF(N($W21)&gt;0,AVERAGEIFS($X$5:$X$1000,$U$5:$U$1000,ROW(),$V$5:$V$1000,"Sub"),$X21)))</f>
        <v/>
      </c>
      <c r="N21" s="56">
        <f>IF($M21="","",IF($M21&gt;=1,"Completado",IF($M21&gt;0,"En curso","Pendiente")))</f>
        <v/>
      </c>
      <c r="O21" s="56">
        <f>IF(NOT((COUNTA($B21:$D21)+COUNTA($G21:$L21)+COUNTA($Q21))&gt;0),"",IF(ISNUMBER($G21),IF(AND(ISNUMBER($AN21),$G21&gt;$AN21),"Cumplida con "&amp;($G21-$AN21)&amp;IF($G21-$AN21=1," día"," días")&amp;" de retraso","Cumplida"),IF(N($M21)&gt;=1,"Cumplida",IF(NOT(ISNUMBER($AN21)),"Sin fecha límite",IF($AN21&lt;FechaRef,"Vencida hace "&amp;(FechaRef-$AN21)&amp;IF(FechaRef-$AN21=1," día"," días"),IF($AN21=FechaRef,"Vence hoy",IF($AN21-FechaRef&lt;=DiasAlerta,"Vence en "&amp;($AN21-FechaRef)&amp;IF($AN21-FechaRef=1," día"," días"),"En plazo")))))))</f>
        <v/>
      </c>
      <c r="P21" s="62" t="n"/>
      <c r="Q21" s="58" t="n"/>
      <c r="R21" s="63">
        <f>IF(NOT((COUNTA($B21:$D21)+COUNTA($G21:$L21)+COUNTA($Q21))&gt;0),"",IF((IF($C21="","Falta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",""))="","✔ OK","⚠ "&amp;LEFT(IF($C21="","Falta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",""),LEN(IF($C21="","Falta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",""))-3)))</f>
        <v/>
      </c>
      <c r="S21" s="64">
        <f>IF(NOT((COUNTA($B21:$D21)+COUNTA($G21:$L21)+COUNTA($Q21))&gt;0),"",IF(AND($V21="Sub",N($U21)&gt;0),IF(ISNUMBER(INDEX($AM$5:$AM$1000,$U21-4)),DATE(YEAR(INDEX($AM$5:$AM$1000,$U21-4)),MONTH(INDEX($AM$5:$AM$1000,$U21-4)),1),IF(ISNUMBER(INDEX($AN$5:$AN$1000,$U21-4)),DATE(YEAR(INDEX($AN$5:$AN$1000,$U21-4)),MONTH(INDEX($AN$5:$AN$1000,$U21-4)),1),MesCiclo)),IF(ISNUMBER($AM21),DATE(YEAR($AM21),MONTH($AM21),1),IF(ISNUMBER($AN21),DATE(YEAR($AN21),MONTH($AN21),1),MesCiclo))))</f>
        <v/>
      </c>
      <c r="T21" s="62">
        <f>IF(OR($S21="",$S21&lt;&gt;MesCiclo),"",COUNTIF($S$5:$S21,MesCiclo))</f>
        <v/>
      </c>
      <c r="U21" s="62">
        <f>IF($V21="","",IF($V21="Macro",ROW(),IFERROR(LOOKUP(2,1/($V$5:$V21="Macro"),ROW($V$5:$V21)),0)))</f>
        <v/>
      </c>
      <c r="V21" s="62">
        <f>IF(NOT((COUNTA($B21:$D21)+COUNTA($G21:$L21)+COUNTA($Q21))&gt;0),"",IF($B21="Subactividad","Sub","Macro"))</f>
        <v/>
      </c>
      <c r="W21" s="62">
        <f>IF($V21="Macro",COUNTIFS($U$5:$U$1000,ROW(),$V$5:$V$1000,"Sub"),"")</f>
        <v/>
      </c>
      <c r="X21" s="62">
        <f>IF($V21="","",IF(ISNUMBER($G21),1,IFERROR(LOOKUP(2,1/($I21:$L21&lt;&gt;""),$I21:$L21),0)))</f>
        <v/>
      </c>
      <c r="Y21" s="62">
        <f>IF($V21="","",IF(AND(ISNUMBER($G21),$G21&lt;=IF($S21=MesCiclo,InicioCiclo,$S21+MOD(2-WEEKDAY($S21),7))+6),1,IF(ISNUMBER($I21),$I21,0)))</f>
        <v/>
      </c>
      <c r="Z21" s="62">
        <f>IF($V21="","",IF(AND(ISNUMBER($G21),$G21&lt;=IF($S21=MesCiclo,InicioCiclo,$S21+MOD(2-WEEKDAY($S21),7))+13),1,IF(ISNUMBER($J21),$J21,$Y21)))</f>
        <v/>
      </c>
      <c r="AA21" s="62">
        <f>IF($V21="","",IF(AND(ISNUMBER($G21),$G21&lt;=IF($S21=MesCiclo,InicioCiclo,$S21+MOD(2-WEEKDAY($S21),7))+20),1,IF(ISNUMBER($K21),$K21,$Z21)))</f>
        <v/>
      </c>
      <c r="AB21" s="62">
        <f>IF($V21="","",IF(AND(ISNUMBER($G21),$G21&lt;=IF($S21=MesCiclo,InicioCiclo,$S21+MOD(2-WEEKDAY($S21),7))+27),1,IF(ISNUMBER($L21),$L21,$AA21)))</f>
        <v/>
      </c>
      <c r="AC21" s="62">
        <f>IF($V21="","",IF(AND(ISNUMBER($G21),$G21&lt;=IF($S21=MesCiclo,InicioCiclo,$S21+MOD(2-WEEKDAY($S21),7))+6),1,IF(N($W21)&gt;0,AVERAGEIFS($Y$5:$Y$1000,$U$5:$U$1000,ROW(),$V$5:$V$1000,"Sub"),$Y21)))</f>
        <v/>
      </c>
      <c r="AD21" s="62">
        <f>IF($V21="","",IF(AND(ISNUMBER($G21),$G21&lt;=IF($S21=MesCiclo,InicioCiclo,$S21+MOD(2-WEEKDAY($S21),7))+13),1,IF(N($W21)&gt;0,AVERAGEIFS($Z$5:$Z$1000,$U$5:$U$1000,ROW(),$V$5:$V$1000,"Sub"),$Z21)))</f>
        <v/>
      </c>
      <c r="AE21" s="62">
        <f>IF($V21="","",IF(AND(ISNUMBER($G21),$G21&lt;=IF($S21=MesCiclo,InicioCiclo,$S21+MOD(2-WEEKDAY($S21),7))+20),1,IF(N($W21)&gt;0,AVERAGEIFS($AA$5:$AA$1000,$U$5:$U$1000,ROW(),$V$5:$V$1000,"Sub"),$AA21)))</f>
        <v/>
      </c>
      <c r="AF21" s="62">
        <f>IF($V21="","",IF(AND(ISNUMBER($G21),$G21&lt;=IF($S21=MesCiclo,InicioCiclo,$S21+MOD(2-WEEKDAY($S21),7))+27),1,IF(N($W21)&gt;0,AVERAGEIFS($AB$5:$AB$1000,$U$5:$U$1000,ROW(),$V$5:$V$1000,"Sub"),$AB21)))</f>
        <v/>
      </c>
      <c r="AG21" s="62">
        <f>IF($V21&lt;&gt;"Macro","",IF(COUNTIFS($S$5:$S$1000,$S21,$V$5:$V$1000,"Macro",$H$5:$H$1000,"&gt;0")=0,1/COUNTIFS($S$5:$S$1000,$S21,$V$5:$V$1000,"Macro"),IF(AND(ISNUMBER($H21),N($H21)&gt;0),$H21,SUMIFS($H$5:$H$1000,$S$5:$S$1000,$S21,$V$5:$V$1000,"Macro")/COUNTIFS($S$5:$S$1000,$S21,$V$5:$V$1000,"Macro",$H$5:$H$1000,"&gt;0"))/(COUNTIFS($S$5:$S$1000,$S21,$V$5:$V$1000,"Macro")*SUMIFS($H$5:$H$1000,$S$5:$S$1000,$S21,$V$5:$V$1000,"Macro")/COUNTIFS($S$5:$S$1000,$S21,$V$5:$V$1000,"Macro",$H$5:$H$1000,"&gt;0"))))</f>
        <v/>
      </c>
      <c r="AH21" s="62" t="n"/>
      <c r="AI21" s="62" t="n"/>
      <c r="AJ21" s="62" t="n"/>
      <c r="AK21" s="62" t="n"/>
      <c r="AL21" s="62">
        <f>IF(LEFT($C21,11)="[Jefatura] ",IFERROR(MATCH("Riesgo Financiero|"&amp;MID($C21,12,500),rDname_ADM,0),0),"")</f>
        <v/>
      </c>
      <c r="AM21" s="62">
        <f>IF(N($AL21)&gt;0,INDEX(rIni_ADM,$AL21),IF(ISNUMBER($E21),$E21,""))</f>
        <v/>
      </c>
      <c r="AN21" s="62">
        <f>IF(N($AL21)&gt;0,INDEX(rLim_ADM,$AL21),IF(ISNUMBER($F21),$F21,""))</f>
        <v/>
      </c>
    </row>
    <row r="22">
      <c r="A22" s="56">
        <f>IF(NOT((COUNTA($B22:$D22)+COUNTA($G22:$L22)+COUNTA($Q22))&gt;0),"",IF($V22="Macro",COUNTIFS($V$5:$V22,"Macro",$S$5:$S22,$S22),IF(N($U22)=0,"?",COUNTIFS(INDEX($V$5:$V$1000,1):INDEX($V$5:$V$1000,$U22-4),"Macro",INDEX($S$5:$S$1000,1):INDEX($S$5:$S$1000,$U22-4),INDEX($S$5:$S$1000,$U22-4))&amp;"."&amp;COUNTIFS($U$5:$U22,$U22,$V$5:$V22,"Sub"))))</f>
        <v/>
      </c>
      <c r="B22" s="57" t="n"/>
      <c r="C22" s="58" t="n"/>
      <c r="D22" s="58" t="n"/>
      <c r="E22" s="59">
        <f>IF(N($AL22)&gt;0,INDEX(rIni_ADM,$AL22),"")</f>
        <v/>
      </c>
      <c r="F22" s="59">
        <f>IF(N($AL22)&gt;0,INDEX(rLim_ADM,$AL22),"")</f>
        <v/>
      </c>
      <c r="G22" s="59" t="n"/>
      <c r="H22" s="60" t="n"/>
      <c r="I22" s="60" t="n"/>
      <c r="J22" s="60" t="n"/>
      <c r="K22" s="60" t="n"/>
      <c r="L22" s="60" t="n"/>
      <c r="M22" s="61">
        <f>IF(NOT((COUNTA($B22:$D22)+COUNTA($G22:$L22)+COUNTA($Q22))&gt;0),"",IF(ISNUMBER($G22),1,IF(N($W22)&gt;0,AVERAGEIFS($X$5:$X$1000,$U$5:$U$1000,ROW(),$V$5:$V$1000,"Sub"),$X22)))</f>
        <v/>
      </c>
      <c r="N22" s="56">
        <f>IF($M22="","",IF($M22&gt;=1,"Completado",IF($M22&gt;0,"En curso","Pendiente")))</f>
        <v/>
      </c>
      <c r="O22" s="56">
        <f>IF(NOT((COUNTA($B22:$D22)+COUNTA($G22:$L22)+COUNTA($Q22))&gt;0),"",IF(ISNUMBER($G22),IF(AND(ISNUMBER($AN22),$G22&gt;$AN22),"Cumplida con "&amp;($G22-$AN22)&amp;IF($G22-$AN22=1," día"," días")&amp;" de retraso","Cumplida"),IF(N($M22)&gt;=1,"Cumplida",IF(NOT(ISNUMBER($AN22)),"Sin fecha límite",IF($AN22&lt;FechaRef,"Vencida hace "&amp;(FechaRef-$AN22)&amp;IF(FechaRef-$AN22=1," día"," días"),IF($AN22=FechaRef,"Vence hoy",IF($AN22-FechaRef&lt;=DiasAlerta,"Vence en "&amp;($AN22-FechaRef)&amp;IF($AN22-FechaRef=1," día"," días"),"En plazo")))))))</f>
        <v/>
      </c>
      <c r="P22" s="62" t="n"/>
      <c r="Q22" s="58" t="n"/>
      <c r="R22" s="63">
        <f>IF(NOT((COUNTA($B22:$D22)+COUNTA($G22:$L22)+COUNTA($Q22))&gt;0),"",IF((IF($C22="","Falta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",""))="","✔ OK","⚠ "&amp;LEFT(IF($C22="","Falta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",""),LEN(IF($C22="","Falta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",""))-3)))</f>
        <v/>
      </c>
      <c r="S22" s="64">
        <f>IF(NOT((COUNTA($B22:$D22)+COUNTA($G22:$L22)+COUNTA($Q22))&gt;0),"",IF(AND($V22="Sub",N($U22)&gt;0),IF(ISNUMBER(INDEX($AM$5:$AM$1000,$U22-4)),DATE(YEAR(INDEX($AM$5:$AM$1000,$U22-4)),MONTH(INDEX($AM$5:$AM$1000,$U22-4)),1),IF(ISNUMBER(INDEX($AN$5:$AN$1000,$U22-4)),DATE(YEAR(INDEX($AN$5:$AN$1000,$U22-4)),MONTH(INDEX($AN$5:$AN$1000,$U22-4)),1),MesCiclo)),IF(ISNUMBER($AM22),DATE(YEAR($AM22),MONTH($AM22),1),IF(ISNUMBER($AN22),DATE(YEAR($AN22),MONTH($AN22),1),MesCiclo))))</f>
        <v/>
      </c>
      <c r="T22" s="62">
        <f>IF(OR($S22="",$S22&lt;&gt;MesCiclo),"",COUNTIF($S$5:$S22,MesCiclo))</f>
        <v/>
      </c>
      <c r="U22" s="62">
        <f>IF($V22="","",IF($V22="Macro",ROW(),IFERROR(LOOKUP(2,1/($V$5:$V22="Macro"),ROW($V$5:$V22)),0)))</f>
        <v/>
      </c>
      <c r="V22" s="62">
        <f>IF(NOT((COUNTA($B22:$D22)+COUNTA($G22:$L22)+COUNTA($Q22))&gt;0),"",IF($B22="Subactividad","Sub","Macro"))</f>
        <v/>
      </c>
      <c r="W22" s="62">
        <f>IF($V22="Macro",COUNTIFS($U$5:$U$1000,ROW(),$V$5:$V$1000,"Sub"),"")</f>
        <v/>
      </c>
      <c r="X22" s="62">
        <f>IF($V22="","",IF(ISNUMBER($G22),1,IFERROR(LOOKUP(2,1/($I22:$L22&lt;&gt;""),$I22:$L22),0)))</f>
        <v/>
      </c>
      <c r="Y22" s="62">
        <f>IF($V22="","",IF(AND(ISNUMBER($G22),$G22&lt;=IF($S22=MesCiclo,InicioCiclo,$S22+MOD(2-WEEKDAY($S22),7))+6),1,IF(ISNUMBER($I22),$I22,0)))</f>
        <v/>
      </c>
      <c r="Z22" s="62">
        <f>IF($V22="","",IF(AND(ISNUMBER($G22),$G22&lt;=IF($S22=MesCiclo,InicioCiclo,$S22+MOD(2-WEEKDAY($S22),7))+13),1,IF(ISNUMBER($J22),$J22,$Y22)))</f>
        <v/>
      </c>
      <c r="AA22" s="62">
        <f>IF($V22="","",IF(AND(ISNUMBER($G22),$G22&lt;=IF($S22=MesCiclo,InicioCiclo,$S22+MOD(2-WEEKDAY($S22),7))+20),1,IF(ISNUMBER($K22),$K22,$Z22)))</f>
        <v/>
      </c>
      <c r="AB22" s="62">
        <f>IF($V22="","",IF(AND(ISNUMBER($G22),$G22&lt;=IF($S22=MesCiclo,InicioCiclo,$S22+MOD(2-WEEKDAY($S22),7))+27),1,IF(ISNUMBER($L22),$L22,$AA22)))</f>
        <v/>
      </c>
      <c r="AC22" s="62">
        <f>IF($V22="","",IF(AND(ISNUMBER($G22),$G22&lt;=IF($S22=MesCiclo,InicioCiclo,$S22+MOD(2-WEEKDAY($S22),7))+6),1,IF(N($W22)&gt;0,AVERAGEIFS($Y$5:$Y$1000,$U$5:$U$1000,ROW(),$V$5:$V$1000,"Sub"),$Y22)))</f>
        <v/>
      </c>
      <c r="AD22" s="62">
        <f>IF($V22="","",IF(AND(ISNUMBER($G22),$G22&lt;=IF($S22=MesCiclo,InicioCiclo,$S22+MOD(2-WEEKDAY($S22),7))+13),1,IF(N($W22)&gt;0,AVERAGEIFS($Z$5:$Z$1000,$U$5:$U$1000,ROW(),$V$5:$V$1000,"Sub"),$Z22)))</f>
        <v/>
      </c>
      <c r="AE22" s="62">
        <f>IF($V22="","",IF(AND(ISNUMBER($G22),$G22&lt;=IF($S22=MesCiclo,InicioCiclo,$S22+MOD(2-WEEKDAY($S22),7))+20),1,IF(N($W22)&gt;0,AVERAGEIFS($AA$5:$AA$1000,$U$5:$U$1000,ROW(),$V$5:$V$1000,"Sub"),$AA22)))</f>
        <v/>
      </c>
      <c r="AF22" s="62">
        <f>IF($V22="","",IF(AND(ISNUMBER($G22),$G22&lt;=IF($S22=MesCiclo,InicioCiclo,$S22+MOD(2-WEEKDAY($S22),7))+27),1,IF(N($W22)&gt;0,AVERAGEIFS($AB$5:$AB$1000,$U$5:$U$1000,ROW(),$V$5:$V$1000,"Sub"),$AB22)))</f>
        <v/>
      </c>
      <c r="AG22" s="62">
        <f>IF($V22&lt;&gt;"Macro","",IF(COUNTIFS($S$5:$S$1000,$S22,$V$5:$V$1000,"Macro",$H$5:$H$1000,"&gt;0")=0,1/COUNTIFS($S$5:$S$1000,$S22,$V$5:$V$1000,"Macro"),IF(AND(ISNUMBER($H22),N($H22)&gt;0),$H22,SUMIFS($H$5:$H$1000,$S$5:$S$1000,$S22,$V$5:$V$1000,"Macro")/COUNTIFS($S$5:$S$1000,$S22,$V$5:$V$1000,"Macro",$H$5:$H$1000,"&gt;0"))/(COUNTIFS($S$5:$S$1000,$S22,$V$5:$V$1000,"Macro")*SUMIFS($H$5:$H$1000,$S$5:$S$1000,$S22,$V$5:$V$1000,"Macro")/COUNTIFS($S$5:$S$1000,$S22,$V$5:$V$1000,"Macro",$H$5:$H$1000,"&gt;0"))))</f>
        <v/>
      </c>
      <c r="AH22" s="62" t="n"/>
      <c r="AI22" s="62" t="n"/>
      <c r="AJ22" s="62" t="n"/>
      <c r="AK22" s="62" t="n"/>
      <c r="AL22" s="62">
        <f>IF(LEFT($C22,11)="[Jefatura] ",IFERROR(MATCH("Riesgo Financiero|"&amp;MID($C22,12,500),rDname_ADM,0),0),"")</f>
        <v/>
      </c>
      <c r="AM22" s="62">
        <f>IF(N($AL22)&gt;0,INDEX(rIni_ADM,$AL22),IF(ISNUMBER($E22),$E22,""))</f>
        <v/>
      </c>
      <c r="AN22" s="62">
        <f>IF(N($AL22)&gt;0,INDEX(rLim_ADM,$AL22),IF(ISNUMBER($F22),$F22,""))</f>
        <v/>
      </c>
    </row>
    <row r="23">
      <c r="A23" s="56">
        <f>IF(NOT((COUNTA($B23:$D23)+COUNTA($G23:$L23)+COUNTA($Q23))&gt;0),"",IF($V23="Macro",COUNTIFS($V$5:$V23,"Macro",$S$5:$S23,$S23),IF(N($U23)=0,"?",COUNTIFS(INDEX($V$5:$V$1000,1):INDEX($V$5:$V$1000,$U23-4),"Macro",INDEX($S$5:$S$1000,1):INDEX($S$5:$S$1000,$U23-4),INDEX($S$5:$S$1000,$U23-4))&amp;"."&amp;COUNTIFS($U$5:$U23,$U23,$V$5:$V23,"Sub"))))</f>
        <v/>
      </c>
      <c r="B23" s="57" t="n"/>
      <c r="C23" s="58" t="n"/>
      <c r="D23" s="58" t="n"/>
      <c r="E23" s="59">
        <f>IF(N($AL23)&gt;0,INDEX(rIni_ADM,$AL23),"")</f>
        <v/>
      </c>
      <c r="F23" s="59">
        <f>IF(N($AL23)&gt;0,INDEX(rLim_ADM,$AL23),"")</f>
        <v/>
      </c>
      <c r="G23" s="59" t="n"/>
      <c r="H23" s="60" t="n"/>
      <c r="I23" s="60" t="n"/>
      <c r="J23" s="60" t="n"/>
      <c r="K23" s="60" t="n"/>
      <c r="L23" s="60" t="n"/>
      <c r="M23" s="61">
        <f>IF(NOT((COUNTA($B23:$D23)+COUNTA($G23:$L23)+COUNTA($Q23))&gt;0),"",IF(ISNUMBER($G23),1,IF(N($W23)&gt;0,AVERAGEIFS($X$5:$X$1000,$U$5:$U$1000,ROW(),$V$5:$V$1000,"Sub"),$X23)))</f>
        <v/>
      </c>
      <c r="N23" s="56">
        <f>IF($M23="","",IF($M23&gt;=1,"Completado",IF($M23&gt;0,"En curso","Pendiente")))</f>
        <v/>
      </c>
      <c r="O23" s="56">
        <f>IF(NOT((COUNTA($B23:$D23)+COUNTA($G23:$L23)+COUNTA($Q23))&gt;0),"",IF(ISNUMBER($G23),IF(AND(ISNUMBER($AN23),$G23&gt;$AN23),"Cumplida con "&amp;($G23-$AN23)&amp;IF($G23-$AN23=1," día"," días")&amp;" de retraso","Cumplida"),IF(N($M23)&gt;=1,"Cumplida",IF(NOT(ISNUMBER($AN23)),"Sin fecha límite",IF($AN23&lt;FechaRef,"Vencida hace "&amp;(FechaRef-$AN23)&amp;IF(FechaRef-$AN23=1," día"," días"),IF($AN23=FechaRef,"Vence hoy",IF($AN23-FechaRef&lt;=DiasAlerta,"Vence en "&amp;($AN23-FechaRef)&amp;IF($AN23-FechaRef=1," día"," días"),"En plazo")))))))</f>
        <v/>
      </c>
      <c r="P23" s="62" t="n"/>
      <c r="Q23" s="58" t="n"/>
      <c r="R23" s="63">
        <f>IF(NOT((COUNTA($B23:$D23)+COUNTA($G23:$L23)+COUNTA($Q23))&gt;0),"",IF((IF($C23="","Falta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",""))="","✔ OK","⚠ "&amp;LEFT(IF($C23="","Falta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",""),LEN(IF($C23="","Falta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",""))-3)))</f>
        <v/>
      </c>
      <c r="S23" s="64">
        <f>IF(NOT((COUNTA($B23:$D23)+COUNTA($G23:$L23)+COUNTA($Q23))&gt;0),"",IF(AND($V23="Sub",N($U23)&gt;0),IF(ISNUMBER(INDEX($AM$5:$AM$1000,$U23-4)),DATE(YEAR(INDEX($AM$5:$AM$1000,$U23-4)),MONTH(INDEX($AM$5:$AM$1000,$U23-4)),1),IF(ISNUMBER(INDEX($AN$5:$AN$1000,$U23-4)),DATE(YEAR(INDEX($AN$5:$AN$1000,$U23-4)),MONTH(INDEX($AN$5:$AN$1000,$U23-4)),1),MesCiclo)),IF(ISNUMBER($AM23),DATE(YEAR($AM23),MONTH($AM23),1),IF(ISNUMBER($AN23),DATE(YEAR($AN23),MONTH($AN23),1),MesCiclo))))</f>
        <v/>
      </c>
      <c r="T23" s="62">
        <f>IF(OR($S23="",$S23&lt;&gt;MesCiclo),"",COUNTIF($S$5:$S23,MesCiclo))</f>
        <v/>
      </c>
      <c r="U23" s="62">
        <f>IF($V23="","",IF($V23="Macro",ROW(),IFERROR(LOOKUP(2,1/($V$5:$V23="Macro"),ROW($V$5:$V23)),0)))</f>
        <v/>
      </c>
      <c r="V23" s="62">
        <f>IF(NOT((COUNTA($B23:$D23)+COUNTA($G23:$L23)+COUNTA($Q23))&gt;0),"",IF($B23="Subactividad","Sub","Macro"))</f>
        <v/>
      </c>
      <c r="W23" s="62">
        <f>IF($V23="Macro",COUNTIFS($U$5:$U$1000,ROW(),$V$5:$V$1000,"Sub"),"")</f>
        <v/>
      </c>
      <c r="X23" s="62">
        <f>IF($V23="","",IF(ISNUMBER($G23),1,IFERROR(LOOKUP(2,1/($I23:$L23&lt;&gt;""),$I23:$L23),0)))</f>
        <v/>
      </c>
      <c r="Y23" s="62">
        <f>IF($V23="","",IF(AND(ISNUMBER($G23),$G23&lt;=IF($S23=MesCiclo,InicioCiclo,$S23+MOD(2-WEEKDAY($S23),7))+6),1,IF(ISNUMBER($I23),$I23,0)))</f>
        <v/>
      </c>
      <c r="Z23" s="62">
        <f>IF($V23="","",IF(AND(ISNUMBER($G23),$G23&lt;=IF($S23=MesCiclo,InicioCiclo,$S23+MOD(2-WEEKDAY($S23),7))+13),1,IF(ISNUMBER($J23),$J23,$Y23)))</f>
        <v/>
      </c>
      <c r="AA23" s="62">
        <f>IF($V23="","",IF(AND(ISNUMBER($G23),$G23&lt;=IF($S23=MesCiclo,InicioCiclo,$S23+MOD(2-WEEKDAY($S23),7))+20),1,IF(ISNUMBER($K23),$K23,$Z23)))</f>
        <v/>
      </c>
      <c r="AB23" s="62">
        <f>IF($V23="","",IF(AND(ISNUMBER($G23),$G23&lt;=IF($S23=MesCiclo,InicioCiclo,$S23+MOD(2-WEEKDAY($S23),7))+27),1,IF(ISNUMBER($L23),$L23,$AA23)))</f>
        <v/>
      </c>
      <c r="AC23" s="62">
        <f>IF($V23="","",IF(AND(ISNUMBER($G23),$G23&lt;=IF($S23=MesCiclo,InicioCiclo,$S23+MOD(2-WEEKDAY($S23),7))+6),1,IF(N($W23)&gt;0,AVERAGEIFS($Y$5:$Y$1000,$U$5:$U$1000,ROW(),$V$5:$V$1000,"Sub"),$Y23)))</f>
        <v/>
      </c>
      <c r="AD23" s="62">
        <f>IF($V23="","",IF(AND(ISNUMBER($G23),$G23&lt;=IF($S23=MesCiclo,InicioCiclo,$S23+MOD(2-WEEKDAY($S23),7))+13),1,IF(N($W23)&gt;0,AVERAGEIFS($Z$5:$Z$1000,$U$5:$U$1000,ROW(),$V$5:$V$1000,"Sub"),$Z23)))</f>
        <v/>
      </c>
      <c r="AE23" s="62">
        <f>IF($V23="","",IF(AND(ISNUMBER($G23),$G23&lt;=IF($S23=MesCiclo,InicioCiclo,$S23+MOD(2-WEEKDAY($S23),7))+20),1,IF(N($W23)&gt;0,AVERAGEIFS($AA$5:$AA$1000,$U$5:$U$1000,ROW(),$V$5:$V$1000,"Sub"),$AA23)))</f>
        <v/>
      </c>
      <c r="AF23" s="62">
        <f>IF($V23="","",IF(AND(ISNUMBER($G23),$G23&lt;=IF($S23=MesCiclo,InicioCiclo,$S23+MOD(2-WEEKDAY($S23),7))+27),1,IF(N($W23)&gt;0,AVERAGEIFS($AB$5:$AB$1000,$U$5:$U$1000,ROW(),$V$5:$V$1000,"Sub"),$AB23)))</f>
        <v/>
      </c>
      <c r="AG23" s="62">
        <f>IF($V23&lt;&gt;"Macro","",IF(COUNTIFS($S$5:$S$1000,$S23,$V$5:$V$1000,"Macro",$H$5:$H$1000,"&gt;0")=0,1/COUNTIFS($S$5:$S$1000,$S23,$V$5:$V$1000,"Macro"),IF(AND(ISNUMBER($H23),N($H23)&gt;0),$H23,SUMIFS($H$5:$H$1000,$S$5:$S$1000,$S23,$V$5:$V$1000,"Macro")/COUNTIFS($S$5:$S$1000,$S23,$V$5:$V$1000,"Macro",$H$5:$H$1000,"&gt;0"))/(COUNTIFS($S$5:$S$1000,$S23,$V$5:$V$1000,"Macro")*SUMIFS($H$5:$H$1000,$S$5:$S$1000,$S23,$V$5:$V$1000,"Macro")/COUNTIFS($S$5:$S$1000,$S23,$V$5:$V$1000,"Macro",$H$5:$H$1000,"&gt;0"))))</f>
        <v/>
      </c>
      <c r="AH23" s="62" t="n"/>
      <c r="AI23" s="62" t="n"/>
      <c r="AJ23" s="62" t="n"/>
      <c r="AK23" s="62" t="n"/>
      <c r="AL23" s="62">
        <f>IF(LEFT($C23,11)="[Jefatura] ",IFERROR(MATCH("Riesgo Financiero|"&amp;MID($C23,12,500),rDname_ADM,0),0),"")</f>
        <v/>
      </c>
      <c r="AM23" s="62">
        <f>IF(N($AL23)&gt;0,INDEX(rIni_ADM,$AL23),IF(ISNUMBER($E23),$E23,""))</f>
        <v/>
      </c>
      <c r="AN23" s="62">
        <f>IF(N($AL23)&gt;0,INDEX(rLim_ADM,$AL23),IF(ISNUMBER($F23),$F23,""))</f>
        <v/>
      </c>
    </row>
    <row r="24">
      <c r="A24" s="56">
        <f>IF(NOT((COUNTA($B24:$D24)+COUNTA($G24:$L24)+COUNTA($Q24))&gt;0),"",IF($V24="Macro",COUNTIFS($V$5:$V24,"Macro",$S$5:$S24,$S24),IF(N($U24)=0,"?",COUNTIFS(INDEX($V$5:$V$1000,1):INDEX($V$5:$V$1000,$U24-4),"Macro",INDEX($S$5:$S$1000,1):INDEX($S$5:$S$1000,$U24-4),INDEX($S$5:$S$1000,$U24-4))&amp;"."&amp;COUNTIFS($U$5:$U24,$U24,$V$5:$V24,"Sub"))))</f>
        <v/>
      </c>
      <c r="B24" s="57" t="n"/>
      <c r="C24" s="58" t="n"/>
      <c r="D24" s="58" t="n"/>
      <c r="E24" s="59">
        <f>IF(N($AL24)&gt;0,INDEX(rIni_ADM,$AL24),"")</f>
        <v/>
      </c>
      <c r="F24" s="59">
        <f>IF(N($AL24)&gt;0,INDEX(rLim_ADM,$AL24),"")</f>
        <v/>
      </c>
      <c r="G24" s="59" t="n"/>
      <c r="H24" s="60" t="n"/>
      <c r="I24" s="60" t="n"/>
      <c r="J24" s="60" t="n"/>
      <c r="K24" s="60" t="n"/>
      <c r="L24" s="60" t="n"/>
      <c r="M24" s="61">
        <f>IF(NOT((COUNTA($B24:$D24)+COUNTA($G24:$L24)+COUNTA($Q24))&gt;0),"",IF(ISNUMBER($G24),1,IF(N($W24)&gt;0,AVERAGEIFS($X$5:$X$1000,$U$5:$U$1000,ROW(),$V$5:$V$1000,"Sub"),$X24)))</f>
        <v/>
      </c>
      <c r="N24" s="56">
        <f>IF($M24="","",IF($M24&gt;=1,"Completado",IF($M24&gt;0,"En curso","Pendiente")))</f>
        <v/>
      </c>
      <c r="O24" s="56">
        <f>IF(NOT((COUNTA($B24:$D24)+COUNTA($G24:$L24)+COUNTA($Q24))&gt;0),"",IF(ISNUMBER($G24),IF(AND(ISNUMBER($AN24),$G24&gt;$AN24),"Cumplida con "&amp;($G24-$AN24)&amp;IF($G24-$AN24=1," día"," días")&amp;" de retraso","Cumplida"),IF(N($M24)&gt;=1,"Cumplida",IF(NOT(ISNUMBER($AN24)),"Sin fecha límite",IF($AN24&lt;FechaRef,"Vencida hace "&amp;(FechaRef-$AN24)&amp;IF(FechaRef-$AN24=1," día"," días"),IF($AN24=FechaRef,"Vence hoy",IF($AN24-FechaRef&lt;=DiasAlerta,"Vence en "&amp;($AN24-FechaRef)&amp;IF($AN24-FechaRef=1," día"," días"),"En plazo")))))))</f>
        <v/>
      </c>
      <c r="P24" s="62" t="n"/>
      <c r="Q24" s="58" t="n"/>
      <c r="R24" s="63">
        <f>IF(NOT((COUNTA($B24:$D24)+COUNTA($G24:$L24)+COUNTA($Q24))&gt;0),"",IF((IF($C24="","Falta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",""))="","✔ OK","⚠ "&amp;LEFT(IF($C24="","Falta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",""),LEN(IF($C24="","Falta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",""))-3)))</f>
        <v/>
      </c>
      <c r="S24" s="64">
        <f>IF(NOT((COUNTA($B24:$D24)+COUNTA($G24:$L24)+COUNTA($Q24))&gt;0),"",IF(AND($V24="Sub",N($U24)&gt;0),IF(ISNUMBER(INDEX($AM$5:$AM$1000,$U24-4)),DATE(YEAR(INDEX($AM$5:$AM$1000,$U24-4)),MONTH(INDEX($AM$5:$AM$1000,$U24-4)),1),IF(ISNUMBER(INDEX($AN$5:$AN$1000,$U24-4)),DATE(YEAR(INDEX($AN$5:$AN$1000,$U24-4)),MONTH(INDEX($AN$5:$AN$1000,$U24-4)),1),MesCiclo)),IF(ISNUMBER($AM24),DATE(YEAR($AM24),MONTH($AM24),1),IF(ISNUMBER($AN24),DATE(YEAR($AN24),MONTH($AN24),1),MesCiclo))))</f>
        <v/>
      </c>
      <c r="T24" s="62">
        <f>IF(OR($S24="",$S24&lt;&gt;MesCiclo),"",COUNTIF($S$5:$S24,MesCiclo))</f>
        <v/>
      </c>
      <c r="U24" s="62">
        <f>IF($V24="","",IF($V24="Macro",ROW(),IFERROR(LOOKUP(2,1/($V$5:$V24="Macro"),ROW($V$5:$V24)),0)))</f>
        <v/>
      </c>
      <c r="V24" s="62">
        <f>IF(NOT((COUNTA($B24:$D24)+COUNTA($G24:$L24)+COUNTA($Q24))&gt;0),"",IF($B24="Subactividad","Sub","Macro"))</f>
        <v/>
      </c>
      <c r="W24" s="62">
        <f>IF($V24="Macro",COUNTIFS($U$5:$U$1000,ROW(),$V$5:$V$1000,"Sub"),"")</f>
        <v/>
      </c>
      <c r="X24" s="62">
        <f>IF($V24="","",IF(ISNUMBER($G24),1,IFERROR(LOOKUP(2,1/($I24:$L24&lt;&gt;""),$I24:$L24),0)))</f>
        <v/>
      </c>
      <c r="Y24" s="62">
        <f>IF($V24="","",IF(AND(ISNUMBER($G24),$G24&lt;=IF($S24=MesCiclo,InicioCiclo,$S24+MOD(2-WEEKDAY($S24),7))+6),1,IF(ISNUMBER($I24),$I24,0)))</f>
        <v/>
      </c>
      <c r="Z24" s="62">
        <f>IF($V24="","",IF(AND(ISNUMBER($G24),$G24&lt;=IF($S24=MesCiclo,InicioCiclo,$S24+MOD(2-WEEKDAY($S24),7))+13),1,IF(ISNUMBER($J24),$J24,$Y24)))</f>
        <v/>
      </c>
      <c r="AA24" s="62">
        <f>IF($V24="","",IF(AND(ISNUMBER($G24),$G24&lt;=IF($S24=MesCiclo,InicioCiclo,$S24+MOD(2-WEEKDAY($S24),7))+20),1,IF(ISNUMBER($K24),$K24,$Z24)))</f>
        <v/>
      </c>
      <c r="AB24" s="62">
        <f>IF($V24="","",IF(AND(ISNUMBER($G24),$G24&lt;=IF($S24=MesCiclo,InicioCiclo,$S24+MOD(2-WEEKDAY($S24),7))+27),1,IF(ISNUMBER($L24),$L24,$AA24)))</f>
        <v/>
      </c>
      <c r="AC24" s="62">
        <f>IF($V24="","",IF(AND(ISNUMBER($G24),$G24&lt;=IF($S24=MesCiclo,InicioCiclo,$S24+MOD(2-WEEKDAY($S24),7))+6),1,IF(N($W24)&gt;0,AVERAGEIFS($Y$5:$Y$1000,$U$5:$U$1000,ROW(),$V$5:$V$1000,"Sub"),$Y24)))</f>
        <v/>
      </c>
      <c r="AD24" s="62">
        <f>IF($V24="","",IF(AND(ISNUMBER($G24),$G24&lt;=IF($S24=MesCiclo,InicioCiclo,$S24+MOD(2-WEEKDAY($S24),7))+13),1,IF(N($W24)&gt;0,AVERAGEIFS($Z$5:$Z$1000,$U$5:$U$1000,ROW(),$V$5:$V$1000,"Sub"),$Z24)))</f>
        <v/>
      </c>
      <c r="AE24" s="62">
        <f>IF($V24="","",IF(AND(ISNUMBER($G24),$G24&lt;=IF($S24=MesCiclo,InicioCiclo,$S24+MOD(2-WEEKDAY($S24),7))+20),1,IF(N($W24)&gt;0,AVERAGEIFS($AA$5:$AA$1000,$U$5:$U$1000,ROW(),$V$5:$V$1000,"Sub"),$AA24)))</f>
        <v/>
      </c>
      <c r="AF24" s="62">
        <f>IF($V24="","",IF(AND(ISNUMBER($G24),$G24&lt;=IF($S24=MesCiclo,InicioCiclo,$S24+MOD(2-WEEKDAY($S24),7))+27),1,IF(N($W24)&gt;0,AVERAGEIFS($AB$5:$AB$1000,$U$5:$U$1000,ROW(),$V$5:$V$1000,"Sub"),$AB24)))</f>
        <v/>
      </c>
      <c r="AG24" s="62">
        <f>IF($V24&lt;&gt;"Macro","",IF(COUNTIFS($S$5:$S$1000,$S24,$V$5:$V$1000,"Macro",$H$5:$H$1000,"&gt;0")=0,1/COUNTIFS($S$5:$S$1000,$S24,$V$5:$V$1000,"Macro"),IF(AND(ISNUMBER($H24),N($H24)&gt;0),$H24,SUMIFS($H$5:$H$1000,$S$5:$S$1000,$S24,$V$5:$V$1000,"Macro")/COUNTIFS($S$5:$S$1000,$S24,$V$5:$V$1000,"Macro",$H$5:$H$1000,"&gt;0"))/(COUNTIFS($S$5:$S$1000,$S24,$V$5:$V$1000,"Macro")*SUMIFS($H$5:$H$1000,$S$5:$S$1000,$S24,$V$5:$V$1000,"Macro")/COUNTIFS($S$5:$S$1000,$S24,$V$5:$V$1000,"Macro",$H$5:$H$1000,"&gt;0"))))</f>
        <v/>
      </c>
      <c r="AH24" s="62" t="n"/>
      <c r="AI24" s="62" t="n"/>
      <c r="AJ24" s="62" t="n"/>
      <c r="AK24" s="62" t="n"/>
      <c r="AL24" s="62">
        <f>IF(LEFT($C24,11)="[Jefatura] ",IFERROR(MATCH("Riesgo Financiero|"&amp;MID($C24,12,500),rDname_ADM,0),0),"")</f>
        <v/>
      </c>
      <c r="AM24" s="62">
        <f>IF(N($AL24)&gt;0,INDEX(rIni_ADM,$AL24),IF(ISNUMBER($E24),$E24,""))</f>
        <v/>
      </c>
      <c r="AN24" s="62">
        <f>IF(N($AL24)&gt;0,INDEX(rLim_ADM,$AL24),IF(ISNUMBER($F24),$F24,""))</f>
        <v/>
      </c>
    </row>
    <row r="25">
      <c r="A25" s="56">
        <f>IF(NOT((COUNTA($B25:$D25)+COUNTA($G25:$L25)+COUNTA($Q25))&gt;0),"",IF($V25="Macro",COUNTIFS($V$5:$V25,"Macro",$S$5:$S25,$S25),IF(N($U25)=0,"?",COUNTIFS(INDEX($V$5:$V$1000,1):INDEX($V$5:$V$1000,$U25-4),"Macro",INDEX($S$5:$S$1000,1):INDEX($S$5:$S$1000,$U25-4),INDEX($S$5:$S$1000,$U25-4))&amp;"."&amp;COUNTIFS($U$5:$U25,$U25,$V$5:$V25,"Sub"))))</f>
        <v/>
      </c>
      <c r="B25" s="57" t="n"/>
      <c r="C25" s="58" t="n"/>
      <c r="D25" s="58" t="n"/>
      <c r="E25" s="59">
        <f>IF(N($AL25)&gt;0,INDEX(rIni_ADM,$AL25),"")</f>
        <v/>
      </c>
      <c r="F25" s="59">
        <f>IF(N($AL25)&gt;0,INDEX(rLim_ADM,$AL25),"")</f>
        <v/>
      </c>
      <c r="G25" s="59" t="n"/>
      <c r="H25" s="60" t="n"/>
      <c r="I25" s="60" t="n"/>
      <c r="J25" s="60" t="n"/>
      <c r="K25" s="60" t="n"/>
      <c r="L25" s="60" t="n"/>
      <c r="M25" s="61">
        <f>IF(NOT((COUNTA($B25:$D25)+COUNTA($G25:$L25)+COUNTA($Q25))&gt;0),"",IF(ISNUMBER($G25),1,IF(N($W25)&gt;0,AVERAGEIFS($X$5:$X$1000,$U$5:$U$1000,ROW(),$V$5:$V$1000,"Sub"),$X25)))</f>
        <v/>
      </c>
      <c r="N25" s="56">
        <f>IF($M25="","",IF($M25&gt;=1,"Completado",IF($M25&gt;0,"En curso","Pendiente")))</f>
        <v/>
      </c>
      <c r="O25" s="56">
        <f>IF(NOT((COUNTA($B25:$D25)+COUNTA($G25:$L25)+COUNTA($Q25))&gt;0),"",IF(ISNUMBER($G25),IF(AND(ISNUMBER($AN25),$G25&gt;$AN25),"Cumplida con "&amp;($G25-$AN25)&amp;IF($G25-$AN25=1," día"," días")&amp;" de retraso","Cumplida"),IF(N($M25)&gt;=1,"Cumplida",IF(NOT(ISNUMBER($AN25)),"Sin fecha límite",IF($AN25&lt;FechaRef,"Vencida hace "&amp;(FechaRef-$AN25)&amp;IF(FechaRef-$AN25=1," día"," días"),IF($AN25=FechaRef,"Vence hoy",IF($AN25-FechaRef&lt;=DiasAlerta,"Vence en "&amp;($AN25-FechaRef)&amp;IF($AN25-FechaRef=1," día"," días"),"En plazo")))))))</f>
        <v/>
      </c>
      <c r="P25" s="62" t="n"/>
      <c r="Q25" s="58" t="n"/>
      <c r="R25" s="63">
        <f>IF(NOT((COUNTA($B25:$D25)+COUNTA($G25:$L25)+COUNTA($Q25))&gt;0),"",IF((IF($C25="","Falta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",""))="","✔ OK","⚠ "&amp;LEFT(IF($C25="","Falta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",""),LEN(IF($C25="","Falta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",""))-3)))</f>
        <v/>
      </c>
      <c r="S25" s="64">
        <f>IF(NOT((COUNTA($B25:$D25)+COUNTA($G25:$L25)+COUNTA($Q25))&gt;0),"",IF(AND($V25="Sub",N($U25)&gt;0),IF(ISNUMBER(INDEX($AM$5:$AM$1000,$U25-4)),DATE(YEAR(INDEX($AM$5:$AM$1000,$U25-4)),MONTH(INDEX($AM$5:$AM$1000,$U25-4)),1),IF(ISNUMBER(INDEX($AN$5:$AN$1000,$U25-4)),DATE(YEAR(INDEX($AN$5:$AN$1000,$U25-4)),MONTH(INDEX($AN$5:$AN$1000,$U25-4)),1),MesCiclo)),IF(ISNUMBER($AM25),DATE(YEAR($AM25),MONTH($AM25),1),IF(ISNUMBER($AN25),DATE(YEAR($AN25),MONTH($AN25),1),MesCiclo))))</f>
        <v/>
      </c>
      <c r="T25" s="62">
        <f>IF(OR($S25="",$S25&lt;&gt;MesCiclo),"",COUNTIF($S$5:$S25,MesCiclo))</f>
        <v/>
      </c>
      <c r="U25" s="62">
        <f>IF($V25="","",IF($V25="Macro",ROW(),IFERROR(LOOKUP(2,1/($V$5:$V25="Macro"),ROW($V$5:$V25)),0)))</f>
        <v/>
      </c>
      <c r="V25" s="62">
        <f>IF(NOT((COUNTA($B25:$D25)+COUNTA($G25:$L25)+COUNTA($Q25))&gt;0),"",IF($B25="Subactividad","Sub","Macro"))</f>
        <v/>
      </c>
      <c r="W25" s="62">
        <f>IF($V25="Macro",COUNTIFS($U$5:$U$1000,ROW(),$V$5:$V$1000,"Sub"),"")</f>
        <v/>
      </c>
      <c r="X25" s="62">
        <f>IF($V25="","",IF(ISNUMBER($G25),1,IFERROR(LOOKUP(2,1/($I25:$L25&lt;&gt;""),$I25:$L25),0)))</f>
        <v/>
      </c>
      <c r="Y25" s="62">
        <f>IF($V25="","",IF(AND(ISNUMBER($G25),$G25&lt;=IF($S25=MesCiclo,InicioCiclo,$S25+MOD(2-WEEKDAY($S25),7))+6),1,IF(ISNUMBER($I25),$I25,0)))</f>
        <v/>
      </c>
      <c r="Z25" s="62">
        <f>IF($V25="","",IF(AND(ISNUMBER($G25),$G25&lt;=IF($S25=MesCiclo,InicioCiclo,$S25+MOD(2-WEEKDAY($S25),7))+13),1,IF(ISNUMBER($J25),$J25,$Y25)))</f>
        <v/>
      </c>
      <c r="AA25" s="62">
        <f>IF($V25="","",IF(AND(ISNUMBER($G25),$G25&lt;=IF($S25=MesCiclo,InicioCiclo,$S25+MOD(2-WEEKDAY($S25),7))+20),1,IF(ISNUMBER($K25),$K25,$Z25)))</f>
        <v/>
      </c>
      <c r="AB25" s="62">
        <f>IF($V25="","",IF(AND(ISNUMBER($G25),$G25&lt;=IF($S25=MesCiclo,InicioCiclo,$S25+MOD(2-WEEKDAY($S25),7))+27),1,IF(ISNUMBER($L25),$L25,$AA25)))</f>
        <v/>
      </c>
      <c r="AC25" s="62">
        <f>IF($V25="","",IF(AND(ISNUMBER($G25),$G25&lt;=IF($S25=MesCiclo,InicioCiclo,$S25+MOD(2-WEEKDAY($S25),7))+6),1,IF(N($W25)&gt;0,AVERAGEIFS($Y$5:$Y$1000,$U$5:$U$1000,ROW(),$V$5:$V$1000,"Sub"),$Y25)))</f>
        <v/>
      </c>
      <c r="AD25" s="62">
        <f>IF($V25="","",IF(AND(ISNUMBER($G25),$G25&lt;=IF($S25=MesCiclo,InicioCiclo,$S25+MOD(2-WEEKDAY($S25),7))+13),1,IF(N($W25)&gt;0,AVERAGEIFS($Z$5:$Z$1000,$U$5:$U$1000,ROW(),$V$5:$V$1000,"Sub"),$Z25)))</f>
        <v/>
      </c>
      <c r="AE25" s="62">
        <f>IF($V25="","",IF(AND(ISNUMBER($G25),$G25&lt;=IF($S25=MesCiclo,InicioCiclo,$S25+MOD(2-WEEKDAY($S25),7))+20),1,IF(N($W25)&gt;0,AVERAGEIFS($AA$5:$AA$1000,$U$5:$U$1000,ROW(),$V$5:$V$1000,"Sub"),$AA25)))</f>
        <v/>
      </c>
      <c r="AF25" s="62">
        <f>IF($V25="","",IF(AND(ISNUMBER($G25),$G25&lt;=IF($S25=MesCiclo,InicioCiclo,$S25+MOD(2-WEEKDAY($S25),7))+27),1,IF(N($W25)&gt;0,AVERAGEIFS($AB$5:$AB$1000,$U$5:$U$1000,ROW(),$V$5:$V$1000,"Sub"),$AB25)))</f>
        <v/>
      </c>
      <c r="AG25" s="62">
        <f>IF($V25&lt;&gt;"Macro","",IF(COUNTIFS($S$5:$S$1000,$S25,$V$5:$V$1000,"Macro",$H$5:$H$1000,"&gt;0")=0,1/COUNTIFS($S$5:$S$1000,$S25,$V$5:$V$1000,"Macro"),IF(AND(ISNUMBER($H25),N($H25)&gt;0),$H25,SUMIFS($H$5:$H$1000,$S$5:$S$1000,$S25,$V$5:$V$1000,"Macro")/COUNTIFS($S$5:$S$1000,$S25,$V$5:$V$1000,"Macro",$H$5:$H$1000,"&gt;0"))/(COUNTIFS($S$5:$S$1000,$S25,$V$5:$V$1000,"Macro")*SUMIFS($H$5:$H$1000,$S$5:$S$1000,$S25,$V$5:$V$1000,"Macro")/COUNTIFS($S$5:$S$1000,$S25,$V$5:$V$1000,"Macro",$H$5:$H$1000,"&gt;0"))))</f>
        <v/>
      </c>
      <c r="AH25" s="62" t="n"/>
      <c r="AI25" s="62" t="n"/>
      <c r="AJ25" s="62" t="n"/>
      <c r="AK25" s="62" t="n"/>
      <c r="AL25" s="62">
        <f>IF(LEFT($C25,11)="[Jefatura] ",IFERROR(MATCH("Riesgo Financiero|"&amp;MID($C25,12,500),rDname_ADM,0),0),"")</f>
        <v/>
      </c>
      <c r="AM25" s="62">
        <f>IF(N($AL25)&gt;0,INDEX(rIni_ADM,$AL25),IF(ISNUMBER($E25),$E25,""))</f>
        <v/>
      </c>
      <c r="AN25" s="62">
        <f>IF(N($AL25)&gt;0,INDEX(rLim_ADM,$AL25),IF(ISNUMBER($F25),$F25,""))</f>
        <v/>
      </c>
    </row>
    <row r="26">
      <c r="A26" s="56">
        <f>IF(NOT((COUNTA($B26:$D26)+COUNTA($G26:$L26)+COUNTA($Q26))&gt;0),"",IF($V26="Macro",COUNTIFS($V$5:$V26,"Macro",$S$5:$S26,$S26),IF(N($U26)=0,"?",COUNTIFS(INDEX($V$5:$V$1000,1):INDEX($V$5:$V$1000,$U26-4),"Macro",INDEX($S$5:$S$1000,1):INDEX($S$5:$S$1000,$U26-4),INDEX($S$5:$S$1000,$U26-4))&amp;"."&amp;COUNTIFS($U$5:$U26,$U26,$V$5:$V26,"Sub"))))</f>
        <v/>
      </c>
      <c r="B26" s="57" t="n"/>
      <c r="C26" s="58" t="n"/>
      <c r="D26" s="58" t="n"/>
      <c r="E26" s="59">
        <f>IF(N($AL26)&gt;0,INDEX(rIni_ADM,$AL26),"")</f>
        <v/>
      </c>
      <c r="F26" s="59">
        <f>IF(N($AL26)&gt;0,INDEX(rLim_ADM,$AL26),"")</f>
        <v/>
      </c>
      <c r="G26" s="59" t="n"/>
      <c r="H26" s="60" t="n"/>
      <c r="I26" s="60" t="n"/>
      <c r="J26" s="60" t="n"/>
      <c r="K26" s="60" t="n"/>
      <c r="L26" s="60" t="n"/>
      <c r="M26" s="61">
        <f>IF(NOT((COUNTA($B26:$D26)+COUNTA($G26:$L26)+COUNTA($Q26))&gt;0),"",IF(ISNUMBER($G26),1,IF(N($W26)&gt;0,AVERAGEIFS($X$5:$X$1000,$U$5:$U$1000,ROW(),$V$5:$V$1000,"Sub"),$X26)))</f>
        <v/>
      </c>
      <c r="N26" s="56">
        <f>IF($M26="","",IF($M26&gt;=1,"Completado",IF($M26&gt;0,"En curso","Pendiente")))</f>
        <v/>
      </c>
      <c r="O26" s="56">
        <f>IF(NOT((COUNTA($B26:$D26)+COUNTA($G26:$L26)+COUNTA($Q26))&gt;0),"",IF(ISNUMBER($G26),IF(AND(ISNUMBER($AN26),$G26&gt;$AN26),"Cumplida con "&amp;($G26-$AN26)&amp;IF($G26-$AN26=1," día"," días")&amp;" de retraso","Cumplida"),IF(N($M26)&gt;=1,"Cumplida",IF(NOT(ISNUMBER($AN26)),"Sin fecha límite",IF($AN26&lt;FechaRef,"Vencida hace "&amp;(FechaRef-$AN26)&amp;IF(FechaRef-$AN26=1," día"," días"),IF($AN26=FechaRef,"Vence hoy",IF($AN26-FechaRef&lt;=DiasAlerta,"Vence en "&amp;($AN26-FechaRef)&amp;IF($AN26-FechaRef=1," día"," días"),"En plazo")))))))</f>
        <v/>
      </c>
      <c r="P26" s="62" t="n"/>
      <c r="Q26" s="58" t="n"/>
      <c r="R26" s="63">
        <f>IF(NOT((COUNTA($B26:$D26)+COUNTA($G26:$L26)+COUNTA($Q26))&gt;0),"",IF((IF($C26="","Falta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",""))="","✔ OK","⚠ "&amp;LEFT(IF($C26="","Falta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",""),LEN(IF($C26="","Falta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",""))-3)))</f>
        <v/>
      </c>
      <c r="S26" s="64">
        <f>IF(NOT((COUNTA($B26:$D26)+COUNTA($G26:$L26)+COUNTA($Q26))&gt;0),"",IF(AND($V26="Sub",N($U26)&gt;0),IF(ISNUMBER(INDEX($AM$5:$AM$1000,$U26-4)),DATE(YEAR(INDEX($AM$5:$AM$1000,$U26-4)),MONTH(INDEX($AM$5:$AM$1000,$U26-4)),1),IF(ISNUMBER(INDEX($AN$5:$AN$1000,$U26-4)),DATE(YEAR(INDEX($AN$5:$AN$1000,$U26-4)),MONTH(INDEX($AN$5:$AN$1000,$U26-4)),1),MesCiclo)),IF(ISNUMBER($AM26),DATE(YEAR($AM26),MONTH($AM26),1),IF(ISNUMBER($AN26),DATE(YEAR($AN26),MONTH($AN26),1),MesCiclo))))</f>
        <v/>
      </c>
      <c r="T26" s="62">
        <f>IF(OR($S26="",$S26&lt;&gt;MesCiclo),"",COUNTIF($S$5:$S26,MesCiclo))</f>
        <v/>
      </c>
      <c r="U26" s="62">
        <f>IF($V26="","",IF($V26="Macro",ROW(),IFERROR(LOOKUP(2,1/($V$5:$V26="Macro"),ROW($V$5:$V26)),0)))</f>
        <v/>
      </c>
      <c r="V26" s="62">
        <f>IF(NOT((COUNTA($B26:$D26)+COUNTA($G26:$L26)+COUNTA($Q26))&gt;0),"",IF($B26="Subactividad","Sub","Macro"))</f>
        <v/>
      </c>
      <c r="W26" s="62">
        <f>IF($V26="Macro",COUNTIFS($U$5:$U$1000,ROW(),$V$5:$V$1000,"Sub"),"")</f>
        <v/>
      </c>
      <c r="X26" s="62">
        <f>IF($V26="","",IF(ISNUMBER($G26),1,IFERROR(LOOKUP(2,1/($I26:$L26&lt;&gt;""),$I26:$L26),0)))</f>
        <v/>
      </c>
      <c r="Y26" s="62">
        <f>IF($V26="","",IF(AND(ISNUMBER($G26),$G26&lt;=IF($S26=MesCiclo,InicioCiclo,$S26+MOD(2-WEEKDAY($S26),7))+6),1,IF(ISNUMBER($I26),$I26,0)))</f>
        <v/>
      </c>
      <c r="Z26" s="62">
        <f>IF($V26="","",IF(AND(ISNUMBER($G26),$G26&lt;=IF($S26=MesCiclo,InicioCiclo,$S26+MOD(2-WEEKDAY($S26),7))+13),1,IF(ISNUMBER($J26),$J26,$Y26)))</f>
        <v/>
      </c>
      <c r="AA26" s="62">
        <f>IF($V26="","",IF(AND(ISNUMBER($G26),$G26&lt;=IF($S26=MesCiclo,InicioCiclo,$S26+MOD(2-WEEKDAY($S26),7))+20),1,IF(ISNUMBER($K26),$K26,$Z26)))</f>
        <v/>
      </c>
      <c r="AB26" s="62">
        <f>IF($V26="","",IF(AND(ISNUMBER($G26),$G26&lt;=IF($S26=MesCiclo,InicioCiclo,$S26+MOD(2-WEEKDAY($S26),7))+27),1,IF(ISNUMBER($L26),$L26,$AA26)))</f>
        <v/>
      </c>
      <c r="AC26" s="62">
        <f>IF($V26="","",IF(AND(ISNUMBER($G26),$G26&lt;=IF($S26=MesCiclo,InicioCiclo,$S26+MOD(2-WEEKDAY($S26),7))+6),1,IF(N($W26)&gt;0,AVERAGEIFS($Y$5:$Y$1000,$U$5:$U$1000,ROW(),$V$5:$V$1000,"Sub"),$Y26)))</f>
        <v/>
      </c>
      <c r="AD26" s="62">
        <f>IF($V26="","",IF(AND(ISNUMBER($G26),$G26&lt;=IF($S26=MesCiclo,InicioCiclo,$S26+MOD(2-WEEKDAY($S26),7))+13),1,IF(N($W26)&gt;0,AVERAGEIFS($Z$5:$Z$1000,$U$5:$U$1000,ROW(),$V$5:$V$1000,"Sub"),$Z26)))</f>
        <v/>
      </c>
      <c r="AE26" s="62">
        <f>IF($V26="","",IF(AND(ISNUMBER($G26),$G26&lt;=IF($S26=MesCiclo,InicioCiclo,$S26+MOD(2-WEEKDAY($S26),7))+20),1,IF(N($W26)&gt;0,AVERAGEIFS($AA$5:$AA$1000,$U$5:$U$1000,ROW(),$V$5:$V$1000,"Sub"),$AA26)))</f>
        <v/>
      </c>
      <c r="AF26" s="62">
        <f>IF($V26="","",IF(AND(ISNUMBER($G26),$G26&lt;=IF($S26=MesCiclo,InicioCiclo,$S26+MOD(2-WEEKDAY($S26),7))+27),1,IF(N($W26)&gt;0,AVERAGEIFS($AB$5:$AB$1000,$U$5:$U$1000,ROW(),$V$5:$V$1000,"Sub"),$AB26)))</f>
        <v/>
      </c>
      <c r="AG26" s="62">
        <f>IF($V26&lt;&gt;"Macro","",IF(COUNTIFS($S$5:$S$1000,$S26,$V$5:$V$1000,"Macro",$H$5:$H$1000,"&gt;0")=0,1/COUNTIFS($S$5:$S$1000,$S26,$V$5:$V$1000,"Macro"),IF(AND(ISNUMBER($H26),N($H26)&gt;0),$H26,SUMIFS($H$5:$H$1000,$S$5:$S$1000,$S26,$V$5:$V$1000,"Macro")/COUNTIFS($S$5:$S$1000,$S26,$V$5:$V$1000,"Macro",$H$5:$H$1000,"&gt;0"))/(COUNTIFS($S$5:$S$1000,$S26,$V$5:$V$1000,"Macro")*SUMIFS($H$5:$H$1000,$S$5:$S$1000,$S26,$V$5:$V$1000,"Macro")/COUNTIFS($S$5:$S$1000,$S26,$V$5:$V$1000,"Macro",$H$5:$H$1000,"&gt;0"))))</f>
        <v/>
      </c>
      <c r="AH26" s="62" t="n"/>
      <c r="AI26" s="62" t="n"/>
      <c r="AJ26" s="62" t="n"/>
      <c r="AK26" s="62" t="n"/>
      <c r="AL26" s="62">
        <f>IF(LEFT($C26,11)="[Jefatura] ",IFERROR(MATCH("Riesgo Financiero|"&amp;MID($C26,12,500),rDname_ADM,0),0),"")</f>
        <v/>
      </c>
      <c r="AM26" s="62">
        <f>IF(N($AL26)&gt;0,INDEX(rIni_ADM,$AL26),IF(ISNUMBER($E26),$E26,""))</f>
        <v/>
      </c>
      <c r="AN26" s="62">
        <f>IF(N($AL26)&gt;0,INDEX(rLim_ADM,$AL26),IF(ISNUMBER($F26),$F26,""))</f>
        <v/>
      </c>
    </row>
    <row r="27">
      <c r="A27" s="56">
        <f>IF(NOT((COUNTA($B27:$D27)+COUNTA($G27:$L27)+COUNTA($Q27))&gt;0),"",IF($V27="Macro",COUNTIFS($V$5:$V27,"Macro",$S$5:$S27,$S27),IF(N($U27)=0,"?",COUNTIFS(INDEX($V$5:$V$1000,1):INDEX($V$5:$V$1000,$U27-4),"Macro",INDEX($S$5:$S$1000,1):INDEX($S$5:$S$1000,$U27-4),INDEX($S$5:$S$1000,$U27-4))&amp;"."&amp;COUNTIFS($U$5:$U27,$U27,$V$5:$V27,"Sub"))))</f>
        <v/>
      </c>
      <c r="B27" s="57" t="n"/>
      <c r="C27" s="58" t="n"/>
      <c r="D27" s="58" t="n"/>
      <c r="E27" s="59">
        <f>IF(N($AL27)&gt;0,INDEX(rIni_ADM,$AL27),"")</f>
        <v/>
      </c>
      <c r="F27" s="59">
        <f>IF(N($AL27)&gt;0,INDEX(rLim_ADM,$AL27),"")</f>
        <v/>
      </c>
      <c r="G27" s="59" t="n"/>
      <c r="H27" s="60" t="n"/>
      <c r="I27" s="60" t="n"/>
      <c r="J27" s="60" t="n"/>
      <c r="K27" s="60" t="n"/>
      <c r="L27" s="60" t="n"/>
      <c r="M27" s="61">
        <f>IF(NOT((COUNTA($B27:$D27)+COUNTA($G27:$L27)+COUNTA($Q27))&gt;0),"",IF(ISNUMBER($G27),1,IF(N($W27)&gt;0,AVERAGEIFS($X$5:$X$1000,$U$5:$U$1000,ROW(),$V$5:$V$1000,"Sub"),$X27)))</f>
        <v/>
      </c>
      <c r="N27" s="56">
        <f>IF($M27="","",IF($M27&gt;=1,"Completado",IF($M27&gt;0,"En curso","Pendiente")))</f>
        <v/>
      </c>
      <c r="O27" s="56">
        <f>IF(NOT((COUNTA($B27:$D27)+COUNTA($G27:$L27)+COUNTA($Q27))&gt;0),"",IF(ISNUMBER($G27),IF(AND(ISNUMBER($AN27),$G27&gt;$AN27),"Cumplida con "&amp;($G27-$AN27)&amp;IF($G27-$AN27=1," día"," días")&amp;" de retraso","Cumplida"),IF(N($M27)&gt;=1,"Cumplida",IF(NOT(ISNUMBER($AN27)),"Sin fecha límite",IF($AN27&lt;FechaRef,"Vencida hace "&amp;(FechaRef-$AN27)&amp;IF(FechaRef-$AN27=1," día"," días"),IF($AN27=FechaRef,"Vence hoy",IF($AN27-FechaRef&lt;=DiasAlerta,"Vence en "&amp;($AN27-FechaRef)&amp;IF($AN27-FechaRef=1," día"," días"),"En plazo")))))))</f>
        <v/>
      </c>
      <c r="P27" s="62" t="n"/>
      <c r="Q27" s="58" t="n"/>
      <c r="R27" s="63">
        <f>IF(NOT((COUNTA($B27:$D27)+COUNTA($G27:$L27)+COUNTA($Q27))&gt;0),"",IF((IF($C27="","Falta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",""))="","✔ OK","⚠ "&amp;LEFT(IF($C27="","Falta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",""),LEN(IF($C27="","Falta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",""))-3)))</f>
        <v/>
      </c>
      <c r="S27" s="64">
        <f>IF(NOT((COUNTA($B27:$D27)+COUNTA($G27:$L27)+COUNTA($Q27))&gt;0),"",IF(AND($V27="Sub",N($U27)&gt;0),IF(ISNUMBER(INDEX($AM$5:$AM$1000,$U27-4)),DATE(YEAR(INDEX($AM$5:$AM$1000,$U27-4)),MONTH(INDEX($AM$5:$AM$1000,$U27-4)),1),IF(ISNUMBER(INDEX($AN$5:$AN$1000,$U27-4)),DATE(YEAR(INDEX($AN$5:$AN$1000,$U27-4)),MONTH(INDEX($AN$5:$AN$1000,$U27-4)),1),MesCiclo)),IF(ISNUMBER($AM27),DATE(YEAR($AM27),MONTH($AM27),1),IF(ISNUMBER($AN27),DATE(YEAR($AN27),MONTH($AN27),1),MesCiclo))))</f>
        <v/>
      </c>
      <c r="T27" s="62">
        <f>IF(OR($S27="",$S27&lt;&gt;MesCiclo),"",COUNTIF($S$5:$S27,MesCiclo))</f>
        <v/>
      </c>
      <c r="U27" s="62">
        <f>IF($V27="","",IF($V27="Macro",ROW(),IFERROR(LOOKUP(2,1/($V$5:$V27="Macro"),ROW($V$5:$V27)),0)))</f>
        <v/>
      </c>
      <c r="V27" s="62">
        <f>IF(NOT((COUNTA($B27:$D27)+COUNTA($G27:$L27)+COUNTA($Q27))&gt;0),"",IF($B27="Subactividad","Sub","Macro"))</f>
        <v/>
      </c>
      <c r="W27" s="62">
        <f>IF($V27="Macro",COUNTIFS($U$5:$U$1000,ROW(),$V$5:$V$1000,"Sub"),"")</f>
        <v/>
      </c>
      <c r="X27" s="62">
        <f>IF($V27="","",IF(ISNUMBER($G27),1,IFERROR(LOOKUP(2,1/($I27:$L27&lt;&gt;""),$I27:$L27),0)))</f>
        <v/>
      </c>
      <c r="Y27" s="62">
        <f>IF($V27="","",IF(AND(ISNUMBER($G27),$G27&lt;=IF($S27=MesCiclo,InicioCiclo,$S27+MOD(2-WEEKDAY($S27),7))+6),1,IF(ISNUMBER($I27),$I27,0)))</f>
        <v/>
      </c>
      <c r="Z27" s="62">
        <f>IF($V27="","",IF(AND(ISNUMBER($G27),$G27&lt;=IF($S27=MesCiclo,InicioCiclo,$S27+MOD(2-WEEKDAY($S27),7))+13),1,IF(ISNUMBER($J27),$J27,$Y27)))</f>
        <v/>
      </c>
      <c r="AA27" s="62">
        <f>IF($V27="","",IF(AND(ISNUMBER($G27),$G27&lt;=IF($S27=MesCiclo,InicioCiclo,$S27+MOD(2-WEEKDAY($S27),7))+20),1,IF(ISNUMBER($K27),$K27,$Z27)))</f>
        <v/>
      </c>
      <c r="AB27" s="62">
        <f>IF($V27="","",IF(AND(ISNUMBER($G27),$G27&lt;=IF($S27=MesCiclo,InicioCiclo,$S27+MOD(2-WEEKDAY($S27),7))+27),1,IF(ISNUMBER($L27),$L27,$AA27)))</f>
        <v/>
      </c>
      <c r="AC27" s="62">
        <f>IF($V27="","",IF(AND(ISNUMBER($G27),$G27&lt;=IF($S27=MesCiclo,InicioCiclo,$S27+MOD(2-WEEKDAY($S27),7))+6),1,IF(N($W27)&gt;0,AVERAGEIFS($Y$5:$Y$1000,$U$5:$U$1000,ROW(),$V$5:$V$1000,"Sub"),$Y27)))</f>
        <v/>
      </c>
      <c r="AD27" s="62">
        <f>IF($V27="","",IF(AND(ISNUMBER($G27),$G27&lt;=IF($S27=MesCiclo,InicioCiclo,$S27+MOD(2-WEEKDAY($S27),7))+13),1,IF(N($W27)&gt;0,AVERAGEIFS($Z$5:$Z$1000,$U$5:$U$1000,ROW(),$V$5:$V$1000,"Sub"),$Z27)))</f>
        <v/>
      </c>
      <c r="AE27" s="62">
        <f>IF($V27="","",IF(AND(ISNUMBER($G27),$G27&lt;=IF($S27=MesCiclo,InicioCiclo,$S27+MOD(2-WEEKDAY($S27),7))+20),1,IF(N($W27)&gt;0,AVERAGEIFS($AA$5:$AA$1000,$U$5:$U$1000,ROW(),$V$5:$V$1000,"Sub"),$AA27)))</f>
        <v/>
      </c>
      <c r="AF27" s="62">
        <f>IF($V27="","",IF(AND(ISNUMBER($G27),$G27&lt;=IF($S27=MesCiclo,InicioCiclo,$S27+MOD(2-WEEKDAY($S27),7))+27),1,IF(N($W27)&gt;0,AVERAGEIFS($AB$5:$AB$1000,$U$5:$U$1000,ROW(),$V$5:$V$1000,"Sub"),$AB27)))</f>
        <v/>
      </c>
      <c r="AG27" s="62">
        <f>IF($V27&lt;&gt;"Macro","",IF(COUNTIFS($S$5:$S$1000,$S27,$V$5:$V$1000,"Macro",$H$5:$H$1000,"&gt;0")=0,1/COUNTIFS($S$5:$S$1000,$S27,$V$5:$V$1000,"Macro"),IF(AND(ISNUMBER($H27),N($H27)&gt;0),$H27,SUMIFS($H$5:$H$1000,$S$5:$S$1000,$S27,$V$5:$V$1000,"Macro")/COUNTIFS($S$5:$S$1000,$S27,$V$5:$V$1000,"Macro",$H$5:$H$1000,"&gt;0"))/(COUNTIFS($S$5:$S$1000,$S27,$V$5:$V$1000,"Macro")*SUMIFS($H$5:$H$1000,$S$5:$S$1000,$S27,$V$5:$V$1000,"Macro")/COUNTIFS($S$5:$S$1000,$S27,$V$5:$V$1000,"Macro",$H$5:$H$1000,"&gt;0"))))</f>
        <v/>
      </c>
      <c r="AH27" s="62" t="n"/>
      <c r="AI27" s="62" t="n"/>
      <c r="AJ27" s="62" t="n"/>
      <c r="AK27" s="62" t="n"/>
      <c r="AL27" s="62">
        <f>IF(LEFT($C27,11)="[Jefatura] ",IFERROR(MATCH("Riesgo Financiero|"&amp;MID($C27,12,500),rDname_ADM,0),0),"")</f>
        <v/>
      </c>
      <c r="AM27" s="62">
        <f>IF(N($AL27)&gt;0,INDEX(rIni_ADM,$AL27),IF(ISNUMBER($E27),$E27,""))</f>
        <v/>
      </c>
      <c r="AN27" s="62">
        <f>IF(N($AL27)&gt;0,INDEX(rLim_ADM,$AL27),IF(ISNUMBER($F27),$F27,""))</f>
        <v/>
      </c>
    </row>
    <row r="28">
      <c r="A28" s="56">
        <f>IF(NOT((COUNTA($B28:$D28)+COUNTA($G28:$L28)+COUNTA($Q28))&gt;0),"",IF($V28="Macro",COUNTIFS($V$5:$V28,"Macro",$S$5:$S28,$S28),IF(N($U28)=0,"?",COUNTIFS(INDEX($V$5:$V$1000,1):INDEX($V$5:$V$1000,$U28-4),"Macro",INDEX($S$5:$S$1000,1):INDEX($S$5:$S$1000,$U28-4),INDEX($S$5:$S$1000,$U28-4))&amp;"."&amp;COUNTIFS($U$5:$U28,$U28,$V$5:$V28,"Sub"))))</f>
        <v/>
      </c>
      <c r="B28" s="57" t="n"/>
      <c r="C28" s="58" t="n"/>
      <c r="D28" s="58" t="n"/>
      <c r="E28" s="59">
        <f>IF(N($AL28)&gt;0,INDEX(rIni_ADM,$AL28),"")</f>
        <v/>
      </c>
      <c r="F28" s="59">
        <f>IF(N($AL28)&gt;0,INDEX(rLim_ADM,$AL28),"")</f>
        <v/>
      </c>
      <c r="G28" s="59" t="n"/>
      <c r="H28" s="60" t="n"/>
      <c r="I28" s="60" t="n"/>
      <c r="J28" s="60" t="n"/>
      <c r="K28" s="60" t="n"/>
      <c r="L28" s="60" t="n"/>
      <c r="M28" s="61">
        <f>IF(NOT((COUNTA($B28:$D28)+COUNTA($G28:$L28)+COUNTA($Q28))&gt;0),"",IF(ISNUMBER($G28),1,IF(N($W28)&gt;0,AVERAGEIFS($X$5:$X$1000,$U$5:$U$1000,ROW(),$V$5:$V$1000,"Sub"),$X28)))</f>
        <v/>
      </c>
      <c r="N28" s="56">
        <f>IF($M28="","",IF($M28&gt;=1,"Completado",IF($M28&gt;0,"En curso","Pendiente")))</f>
        <v/>
      </c>
      <c r="O28" s="56">
        <f>IF(NOT((COUNTA($B28:$D28)+COUNTA($G28:$L28)+COUNTA($Q28))&gt;0),"",IF(ISNUMBER($G28),IF(AND(ISNUMBER($AN28),$G28&gt;$AN28),"Cumplida con "&amp;($G28-$AN28)&amp;IF($G28-$AN28=1," día"," días")&amp;" de retraso","Cumplida"),IF(N($M28)&gt;=1,"Cumplida",IF(NOT(ISNUMBER($AN28)),"Sin fecha límite",IF($AN28&lt;FechaRef,"Vencida hace "&amp;(FechaRef-$AN28)&amp;IF(FechaRef-$AN28=1," día"," días"),IF($AN28=FechaRef,"Vence hoy",IF($AN28-FechaRef&lt;=DiasAlerta,"Vence en "&amp;($AN28-FechaRef)&amp;IF($AN28-FechaRef=1," día"," días"),"En plazo")))))))</f>
        <v/>
      </c>
      <c r="P28" s="62" t="n"/>
      <c r="Q28" s="58" t="n"/>
      <c r="R28" s="63">
        <f>IF(NOT((COUNTA($B28:$D28)+COUNTA($G28:$L28)+COUNTA($Q28))&gt;0),"",IF((IF($C28="","Falta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",""))="","✔ OK","⚠ "&amp;LEFT(IF($C28="","Falta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",""),LEN(IF($C28="","Falta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",""))-3)))</f>
        <v/>
      </c>
      <c r="S28" s="64">
        <f>IF(NOT((COUNTA($B28:$D28)+COUNTA($G28:$L28)+COUNTA($Q28))&gt;0),"",IF(AND($V28="Sub",N($U28)&gt;0),IF(ISNUMBER(INDEX($AM$5:$AM$1000,$U28-4)),DATE(YEAR(INDEX($AM$5:$AM$1000,$U28-4)),MONTH(INDEX($AM$5:$AM$1000,$U28-4)),1),IF(ISNUMBER(INDEX($AN$5:$AN$1000,$U28-4)),DATE(YEAR(INDEX($AN$5:$AN$1000,$U28-4)),MONTH(INDEX($AN$5:$AN$1000,$U28-4)),1),MesCiclo)),IF(ISNUMBER($AM28),DATE(YEAR($AM28),MONTH($AM28),1),IF(ISNUMBER($AN28),DATE(YEAR($AN28),MONTH($AN28),1),MesCiclo))))</f>
        <v/>
      </c>
      <c r="T28" s="62">
        <f>IF(OR($S28="",$S28&lt;&gt;MesCiclo),"",COUNTIF($S$5:$S28,MesCiclo))</f>
        <v/>
      </c>
      <c r="U28" s="62">
        <f>IF($V28="","",IF($V28="Macro",ROW(),IFERROR(LOOKUP(2,1/($V$5:$V28="Macro"),ROW($V$5:$V28)),0)))</f>
        <v/>
      </c>
      <c r="V28" s="62">
        <f>IF(NOT((COUNTA($B28:$D28)+COUNTA($G28:$L28)+COUNTA($Q28))&gt;0),"",IF($B28="Subactividad","Sub","Macro"))</f>
        <v/>
      </c>
      <c r="W28" s="62">
        <f>IF($V28="Macro",COUNTIFS($U$5:$U$1000,ROW(),$V$5:$V$1000,"Sub"),"")</f>
        <v/>
      </c>
      <c r="X28" s="62">
        <f>IF($V28="","",IF(ISNUMBER($G28),1,IFERROR(LOOKUP(2,1/($I28:$L28&lt;&gt;""),$I28:$L28),0)))</f>
        <v/>
      </c>
      <c r="Y28" s="62">
        <f>IF($V28="","",IF(AND(ISNUMBER($G28),$G28&lt;=IF($S28=MesCiclo,InicioCiclo,$S28+MOD(2-WEEKDAY($S28),7))+6),1,IF(ISNUMBER($I28),$I28,0)))</f>
        <v/>
      </c>
      <c r="Z28" s="62">
        <f>IF($V28="","",IF(AND(ISNUMBER($G28),$G28&lt;=IF($S28=MesCiclo,InicioCiclo,$S28+MOD(2-WEEKDAY($S28),7))+13),1,IF(ISNUMBER($J28),$J28,$Y28)))</f>
        <v/>
      </c>
      <c r="AA28" s="62">
        <f>IF($V28="","",IF(AND(ISNUMBER($G28),$G28&lt;=IF($S28=MesCiclo,InicioCiclo,$S28+MOD(2-WEEKDAY($S28),7))+20),1,IF(ISNUMBER($K28),$K28,$Z28)))</f>
        <v/>
      </c>
      <c r="AB28" s="62">
        <f>IF($V28="","",IF(AND(ISNUMBER($G28),$G28&lt;=IF($S28=MesCiclo,InicioCiclo,$S28+MOD(2-WEEKDAY($S28),7))+27),1,IF(ISNUMBER($L28),$L28,$AA28)))</f>
        <v/>
      </c>
      <c r="AC28" s="62">
        <f>IF($V28="","",IF(AND(ISNUMBER($G28),$G28&lt;=IF($S28=MesCiclo,InicioCiclo,$S28+MOD(2-WEEKDAY($S28),7))+6),1,IF(N($W28)&gt;0,AVERAGEIFS($Y$5:$Y$1000,$U$5:$U$1000,ROW(),$V$5:$V$1000,"Sub"),$Y28)))</f>
        <v/>
      </c>
      <c r="AD28" s="62">
        <f>IF($V28="","",IF(AND(ISNUMBER($G28),$G28&lt;=IF($S28=MesCiclo,InicioCiclo,$S28+MOD(2-WEEKDAY($S28),7))+13),1,IF(N($W28)&gt;0,AVERAGEIFS($Z$5:$Z$1000,$U$5:$U$1000,ROW(),$V$5:$V$1000,"Sub"),$Z28)))</f>
        <v/>
      </c>
      <c r="AE28" s="62">
        <f>IF($V28="","",IF(AND(ISNUMBER($G28),$G28&lt;=IF($S28=MesCiclo,InicioCiclo,$S28+MOD(2-WEEKDAY($S28),7))+20),1,IF(N($W28)&gt;0,AVERAGEIFS($AA$5:$AA$1000,$U$5:$U$1000,ROW(),$V$5:$V$1000,"Sub"),$AA28)))</f>
        <v/>
      </c>
      <c r="AF28" s="62">
        <f>IF($V28="","",IF(AND(ISNUMBER($G28),$G28&lt;=IF($S28=MesCiclo,InicioCiclo,$S28+MOD(2-WEEKDAY($S28),7))+27),1,IF(N($W28)&gt;0,AVERAGEIFS($AB$5:$AB$1000,$U$5:$U$1000,ROW(),$V$5:$V$1000,"Sub"),$AB28)))</f>
        <v/>
      </c>
      <c r="AG28" s="62">
        <f>IF($V28&lt;&gt;"Macro","",IF(COUNTIFS($S$5:$S$1000,$S28,$V$5:$V$1000,"Macro",$H$5:$H$1000,"&gt;0")=0,1/COUNTIFS($S$5:$S$1000,$S28,$V$5:$V$1000,"Macro"),IF(AND(ISNUMBER($H28),N($H28)&gt;0),$H28,SUMIFS($H$5:$H$1000,$S$5:$S$1000,$S28,$V$5:$V$1000,"Macro")/COUNTIFS($S$5:$S$1000,$S28,$V$5:$V$1000,"Macro",$H$5:$H$1000,"&gt;0"))/(COUNTIFS($S$5:$S$1000,$S28,$V$5:$V$1000,"Macro")*SUMIFS($H$5:$H$1000,$S$5:$S$1000,$S28,$V$5:$V$1000,"Macro")/COUNTIFS($S$5:$S$1000,$S28,$V$5:$V$1000,"Macro",$H$5:$H$1000,"&gt;0"))))</f>
        <v/>
      </c>
      <c r="AH28" s="62" t="n"/>
      <c r="AI28" s="62" t="n"/>
      <c r="AJ28" s="62" t="n"/>
      <c r="AK28" s="62" t="n"/>
      <c r="AL28" s="62">
        <f>IF(LEFT($C28,11)="[Jefatura] ",IFERROR(MATCH("Riesgo Financiero|"&amp;MID($C28,12,500),rDname_ADM,0),0),"")</f>
        <v/>
      </c>
      <c r="AM28" s="62">
        <f>IF(N($AL28)&gt;0,INDEX(rIni_ADM,$AL28),IF(ISNUMBER($E28),$E28,""))</f>
        <v/>
      </c>
      <c r="AN28" s="62">
        <f>IF(N($AL28)&gt;0,INDEX(rLim_ADM,$AL28),IF(ISNUMBER($F28),$F28,""))</f>
        <v/>
      </c>
    </row>
    <row r="29">
      <c r="A29" s="56">
        <f>IF(NOT((COUNTA($B29:$D29)+COUNTA($G29:$L29)+COUNTA($Q29))&gt;0),"",IF($V29="Macro",COUNTIFS($V$5:$V29,"Macro",$S$5:$S29,$S29),IF(N($U29)=0,"?",COUNTIFS(INDEX($V$5:$V$1000,1):INDEX($V$5:$V$1000,$U29-4),"Macro",INDEX($S$5:$S$1000,1):INDEX($S$5:$S$1000,$U29-4),INDEX($S$5:$S$1000,$U29-4))&amp;"."&amp;COUNTIFS($U$5:$U29,$U29,$V$5:$V29,"Sub"))))</f>
        <v/>
      </c>
      <c r="B29" s="57" t="n"/>
      <c r="C29" s="58" t="n"/>
      <c r="D29" s="58" t="n"/>
      <c r="E29" s="59">
        <f>IF(N($AL29)&gt;0,INDEX(rIni_ADM,$AL29),"")</f>
        <v/>
      </c>
      <c r="F29" s="59">
        <f>IF(N($AL29)&gt;0,INDEX(rLim_ADM,$AL29),"")</f>
        <v/>
      </c>
      <c r="G29" s="59" t="n"/>
      <c r="H29" s="60" t="n"/>
      <c r="I29" s="60" t="n"/>
      <c r="J29" s="60" t="n"/>
      <c r="K29" s="60" t="n"/>
      <c r="L29" s="60" t="n"/>
      <c r="M29" s="61">
        <f>IF(NOT((COUNTA($B29:$D29)+COUNTA($G29:$L29)+COUNTA($Q29))&gt;0),"",IF(ISNUMBER($G29),1,IF(N($W29)&gt;0,AVERAGEIFS($X$5:$X$1000,$U$5:$U$1000,ROW(),$V$5:$V$1000,"Sub"),$X29)))</f>
        <v/>
      </c>
      <c r="N29" s="56">
        <f>IF($M29="","",IF($M29&gt;=1,"Completado",IF($M29&gt;0,"En curso","Pendiente")))</f>
        <v/>
      </c>
      <c r="O29" s="56">
        <f>IF(NOT((COUNTA($B29:$D29)+COUNTA($G29:$L29)+COUNTA($Q29))&gt;0),"",IF(ISNUMBER($G29),IF(AND(ISNUMBER($AN29),$G29&gt;$AN29),"Cumplida con "&amp;($G29-$AN29)&amp;IF($G29-$AN29=1," día"," días")&amp;" de retraso","Cumplida"),IF(N($M29)&gt;=1,"Cumplida",IF(NOT(ISNUMBER($AN29)),"Sin fecha límite",IF($AN29&lt;FechaRef,"Vencida hace "&amp;(FechaRef-$AN29)&amp;IF(FechaRef-$AN29=1," día"," días"),IF($AN29=FechaRef,"Vence hoy",IF($AN29-FechaRef&lt;=DiasAlerta,"Vence en "&amp;($AN29-FechaRef)&amp;IF($AN29-FechaRef=1," día"," días"),"En plazo")))))))</f>
        <v/>
      </c>
      <c r="P29" s="62" t="n"/>
      <c r="Q29" s="58" t="n"/>
      <c r="R29" s="63">
        <f>IF(NOT((COUNTA($B29:$D29)+COUNTA($G29:$L29)+COUNTA($Q29))&gt;0),"",IF((IF($C29="","Falta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",""))="","✔ OK","⚠ "&amp;LEFT(IF($C29="","Falta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",""),LEN(IF($C29="","Falta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",""))-3)))</f>
        <v/>
      </c>
      <c r="S29" s="64">
        <f>IF(NOT((COUNTA($B29:$D29)+COUNTA($G29:$L29)+COUNTA($Q29))&gt;0),"",IF(AND($V29="Sub",N($U29)&gt;0),IF(ISNUMBER(INDEX($AM$5:$AM$1000,$U29-4)),DATE(YEAR(INDEX($AM$5:$AM$1000,$U29-4)),MONTH(INDEX($AM$5:$AM$1000,$U29-4)),1),IF(ISNUMBER(INDEX($AN$5:$AN$1000,$U29-4)),DATE(YEAR(INDEX($AN$5:$AN$1000,$U29-4)),MONTH(INDEX($AN$5:$AN$1000,$U29-4)),1),MesCiclo)),IF(ISNUMBER($AM29),DATE(YEAR($AM29),MONTH($AM29),1),IF(ISNUMBER($AN29),DATE(YEAR($AN29),MONTH($AN29),1),MesCiclo))))</f>
        <v/>
      </c>
      <c r="T29" s="62">
        <f>IF(OR($S29="",$S29&lt;&gt;MesCiclo),"",COUNTIF($S$5:$S29,MesCiclo))</f>
        <v/>
      </c>
      <c r="U29" s="62">
        <f>IF($V29="","",IF($V29="Macro",ROW(),IFERROR(LOOKUP(2,1/($V$5:$V29="Macro"),ROW($V$5:$V29)),0)))</f>
        <v/>
      </c>
      <c r="V29" s="62">
        <f>IF(NOT((COUNTA($B29:$D29)+COUNTA($G29:$L29)+COUNTA($Q29))&gt;0),"",IF($B29="Subactividad","Sub","Macro"))</f>
        <v/>
      </c>
      <c r="W29" s="62">
        <f>IF($V29="Macro",COUNTIFS($U$5:$U$1000,ROW(),$V$5:$V$1000,"Sub"),"")</f>
        <v/>
      </c>
      <c r="X29" s="62">
        <f>IF($V29="","",IF(ISNUMBER($G29),1,IFERROR(LOOKUP(2,1/($I29:$L29&lt;&gt;""),$I29:$L29),0)))</f>
        <v/>
      </c>
      <c r="Y29" s="62">
        <f>IF($V29="","",IF(AND(ISNUMBER($G29),$G29&lt;=IF($S29=MesCiclo,InicioCiclo,$S29+MOD(2-WEEKDAY($S29),7))+6),1,IF(ISNUMBER($I29),$I29,0)))</f>
        <v/>
      </c>
      <c r="Z29" s="62">
        <f>IF($V29="","",IF(AND(ISNUMBER($G29),$G29&lt;=IF($S29=MesCiclo,InicioCiclo,$S29+MOD(2-WEEKDAY($S29),7))+13),1,IF(ISNUMBER($J29),$J29,$Y29)))</f>
        <v/>
      </c>
      <c r="AA29" s="62">
        <f>IF($V29="","",IF(AND(ISNUMBER($G29),$G29&lt;=IF($S29=MesCiclo,InicioCiclo,$S29+MOD(2-WEEKDAY($S29),7))+20),1,IF(ISNUMBER($K29),$K29,$Z29)))</f>
        <v/>
      </c>
      <c r="AB29" s="62">
        <f>IF($V29="","",IF(AND(ISNUMBER($G29),$G29&lt;=IF($S29=MesCiclo,InicioCiclo,$S29+MOD(2-WEEKDAY($S29),7))+27),1,IF(ISNUMBER($L29),$L29,$AA29)))</f>
        <v/>
      </c>
      <c r="AC29" s="62">
        <f>IF($V29="","",IF(AND(ISNUMBER($G29),$G29&lt;=IF($S29=MesCiclo,InicioCiclo,$S29+MOD(2-WEEKDAY($S29),7))+6),1,IF(N($W29)&gt;0,AVERAGEIFS($Y$5:$Y$1000,$U$5:$U$1000,ROW(),$V$5:$V$1000,"Sub"),$Y29)))</f>
        <v/>
      </c>
      <c r="AD29" s="62">
        <f>IF($V29="","",IF(AND(ISNUMBER($G29),$G29&lt;=IF($S29=MesCiclo,InicioCiclo,$S29+MOD(2-WEEKDAY($S29),7))+13),1,IF(N($W29)&gt;0,AVERAGEIFS($Z$5:$Z$1000,$U$5:$U$1000,ROW(),$V$5:$V$1000,"Sub"),$Z29)))</f>
        <v/>
      </c>
      <c r="AE29" s="62">
        <f>IF($V29="","",IF(AND(ISNUMBER($G29),$G29&lt;=IF($S29=MesCiclo,InicioCiclo,$S29+MOD(2-WEEKDAY($S29),7))+20),1,IF(N($W29)&gt;0,AVERAGEIFS($AA$5:$AA$1000,$U$5:$U$1000,ROW(),$V$5:$V$1000,"Sub"),$AA29)))</f>
        <v/>
      </c>
      <c r="AF29" s="62">
        <f>IF($V29="","",IF(AND(ISNUMBER($G29),$G29&lt;=IF($S29=MesCiclo,InicioCiclo,$S29+MOD(2-WEEKDAY($S29),7))+27),1,IF(N($W29)&gt;0,AVERAGEIFS($AB$5:$AB$1000,$U$5:$U$1000,ROW(),$V$5:$V$1000,"Sub"),$AB29)))</f>
        <v/>
      </c>
      <c r="AG29" s="62">
        <f>IF($V29&lt;&gt;"Macro","",IF(COUNTIFS($S$5:$S$1000,$S29,$V$5:$V$1000,"Macro",$H$5:$H$1000,"&gt;0")=0,1/COUNTIFS($S$5:$S$1000,$S29,$V$5:$V$1000,"Macro"),IF(AND(ISNUMBER($H29),N($H29)&gt;0),$H29,SUMIFS($H$5:$H$1000,$S$5:$S$1000,$S29,$V$5:$V$1000,"Macro")/COUNTIFS($S$5:$S$1000,$S29,$V$5:$V$1000,"Macro",$H$5:$H$1000,"&gt;0"))/(COUNTIFS($S$5:$S$1000,$S29,$V$5:$V$1000,"Macro")*SUMIFS($H$5:$H$1000,$S$5:$S$1000,$S29,$V$5:$V$1000,"Macro")/COUNTIFS($S$5:$S$1000,$S29,$V$5:$V$1000,"Macro",$H$5:$H$1000,"&gt;0"))))</f>
        <v/>
      </c>
      <c r="AH29" s="62" t="n"/>
      <c r="AI29" s="62" t="n"/>
      <c r="AJ29" s="62" t="n"/>
      <c r="AK29" s="62" t="n"/>
      <c r="AL29" s="62">
        <f>IF(LEFT($C29,11)="[Jefatura] ",IFERROR(MATCH("Riesgo Financiero|"&amp;MID($C29,12,500),rDname_ADM,0),0),"")</f>
        <v/>
      </c>
      <c r="AM29" s="62">
        <f>IF(N($AL29)&gt;0,INDEX(rIni_ADM,$AL29),IF(ISNUMBER($E29),$E29,""))</f>
        <v/>
      </c>
      <c r="AN29" s="62">
        <f>IF(N($AL29)&gt;0,INDEX(rLim_ADM,$AL29),IF(ISNUMBER($F29),$F29,""))</f>
        <v/>
      </c>
    </row>
    <row r="30">
      <c r="A30" s="56">
        <f>IF(NOT((COUNTA($B30:$D30)+COUNTA($G30:$L30)+COUNTA($Q30))&gt;0),"",IF($V30="Macro",COUNTIFS($V$5:$V30,"Macro",$S$5:$S30,$S30),IF(N($U30)=0,"?",COUNTIFS(INDEX($V$5:$V$1000,1):INDEX($V$5:$V$1000,$U30-4),"Macro",INDEX($S$5:$S$1000,1):INDEX($S$5:$S$1000,$U30-4),INDEX($S$5:$S$1000,$U30-4))&amp;"."&amp;COUNTIFS($U$5:$U30,$U30,$V$5:$V30,"Sub"))))</f>
        <v/>
      </c>
      <c r="B30" s="57" t="n"/>
      <c r="C30" s="58" t="n"/>
      <c r="D30" s="58" t="n"/>
      <c r="E30" s="59">
        <f>IF(N($AL30)&gt;0,INDEX(rIni_ADM,$AL30),"")</f>
        <v/>
      </c>
      <c r="F30" s="59">
        <f>IF(N($AL30)&gt;0,INDEX(rLim_ADM,$AL30),"")</f>
        <v/>
      </c>
      <c r="G30" s="59" t="n"/>
      <c r="H30" s="60" t="n"/>
      <c r="I30" s="60" t="n"/>
      <c r="J30" s="60" t="n"/>
      <c r="K30" s="60" t="n"/>
      <c r="L30" s="60" t="n"/>
      <c r="M30" s="61">
        <f>IF(NOT((COUNTA($B30:$D30)+COUNTA($G30:$L30)+COUNTA($Q30))&gt;0),"",IF(ISNUMBER($G30),1,IF(N($W30)&gt;0,AVERAGEIFS($X$5:$X$1000,$U$5:$U$1000,ROW(),$V$5:$V$1000,"Sub"),$X30)))</f>
        <v/>
      </c>
      <c r="N30" s="56">
        <f>IF($M30="","",IF($M30&gt;=1,"Completado",IF($M30&gt;0,"En curso","Pendiente")))</f>
        <v/>
      </c>
      <c r="O30" s="56">
        <f>IF(NOT((COUNTA($B30:$D30)+COUNTA($G30:$L30)+COUNTA($Q30))&gt;0),"",IF(ISNUMBER($G30),IF(AND(ISNUMBER($AN30),$G30&gt;$AN30),"Cumplida con "&amp;($G30-$AN30)&amp;IF($G30-$AN30=1," día"," días")&amp;" de retraso","Cumplida"),IF(N($M30)&gt;=1,"Cumplida",IF(NOT(ISNUMBER($AN30)),"Sin fecha límite",IF($AN30&lt;FechaRef,"Vencida hace "&amp;(FechaRef-$AN30)&amp;IF(FechaRef-$AN30=1," día"," días"),IF($AN30=FechaRef,"Vence hoy",IF($AN30-FechaRef&lt;=DiasAlerta,"Vence en "&amp;($AN30-FechaRef)&amp;IF($AN30-FechaRef=1," día"," días"),"En plazo")))))))</f>
        <v/>
      </c>
      <c r="P30" s="62" t="n"/>
      <c r="Q30" s="58" t="n"/>
      <c r="R30" s="63">
        <f>IF(NOT((COUNTA($B30:$D30)+COUNTA($G30:$L30)+COUNTA($Q30))&gt;0),"",IF((IF($C30="","Falta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",""))="","✔ OK","⚠ "&amp;LEFT(IF($C30="","Falta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",""),LEN(IF($C30="","Falta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",""))-3)))</f>
        <v/>
      </c>
      <c r="S30" s="64">
        <f>IF(NOT((COUNTA($B30:$D30)+COUNTA($G30:$L30)+COUNTA($Q30))&gt;0),"",IF(AND($V30="Sub",N($U30)&gt;0),IF(ISNUMBER(INDEX($AM$5:$AM$1000,$U30-4)),DATE(YEAR(INDEX($AM$5:$AM$1000,$U30-4)),MONTH(INDEX($AM$5:$AM$1000,$U30-4)),1),IF(ISNUMBER(INDEX($AN$5:$AN$1000,$U30-4)),DATE(YEAR(INDEX($AN$5:$AN$1000,$U30-4)),MONTH(INDEX($AN$5:$AN$1000,$U30-4)),1),MesCiclo)),IF(ISNUMBER($AM30),DATE(YEAR($AM30),MONTH($AM30),1),IF(ISNUMBER($AN30),DATE(YEAR($AN30),MONTH($AN30),1),MesCiclo))))</f>
        <v/>
      </c>
      <c r="T30" s="62">
        <f>IF(OR($S30="",$S30&lt;&gt;MesCiclo),"",COUNTIF($S$5:$S30,MesCiclo))</f>
        <v/>
      </c>
      <c r="U30" s="62">
        <f>IF($V30="","",IF($V30="Macro",ROW(),IFERROR(LOOKUP(2,1/($V$5:$V30="Macro"),ROW($V$5:$V30)),0)))</f>
        <v/>
      </c>
      <c r="V30" s="62">
        <f>IF(NOT((COUNTA($B30:$D30)+COUNTA($G30:$L30)+COUNTA($Q30))&gt;0),"",IF($B30="Subactividad","Sub","Macro"))</f>
        <v/>
      </c>
      <c r="W30" s="62">
        <f>IF($V30="Macro",COUNTIFS($U$5:$U$1000,ROW(),$V$5:$V$1000,"Sub"),"")</f>
        <v/>
      </c>
      <c r="X30" s="62">
        <f>IF($V30="","",IF(ISNUMBER($G30),1,IFERROR(LOOKUP(2,1/($I30:$L30&lt;&gt;""),$I30:$L30),0)))</f>
        <v/>
      </c>
      <c r="Y30" s="62">
        <f>IF($V30="","",IF(AND(ISNUMBER($G30),$G30&lt;=IF($S30=MesCiclo,InicioCiclo,$S30+MOD(2-WEEKDAY($S30),7))+6),1,IF(ISNUMBER($I30),$I30,0)))</f>
        <v/>
      </c>
      <c r="Z30" s="62">
        <f>IF($V30="","",IF(AND(ISNUMBER($G30),$G30&lt;=IF($S30=MesCiclo,InicioCiclo,$S30+MOD(2-WEEKDAY($S30),7))+13),1,IF(ISNUMBER($J30),$J30,$Y30)))</f>
        <v/>
      </c>
      <c r="AA30" s="62">
        <f>IF($V30="","",IF(AND(ISNUMBER($G30),$G30&lt;=IF($S30=MesCiclo,InicioCiclo,$S30+MOD(2-WEEKDAY($S30),7))+20),1,IF(ISNUMBER($K30),$K30,$Z30)))</f>
        <v/>
      </c>
      <c r="AB30" s="62">
        <f>IF($V30="","",IF(AND(ISNUMBER($G30),$G30&lt;=IF($S30=MesCiclo,InicioCiclo,$S30+MOD(2-WEEKDAY($S30),7))+27),1,IF(ISNUMBER($L30),$L30,$AA30)))</f>
        <v/>
      </c>
      <c r="AC30" s="62">
        <f>IF($V30="","",IF(AND(ISNUMBER($G30),$G30&lt;=IF($S30=MesCiclo,InicioCiclo,$S30+MOD(2-WEEKDAY($S30),7))+6),1,IF(N($W30)&gt;0,AVERAGEIFS($Y$5:$Y$1000,$U$5:$U$1000,ROW(),$V$5:$V$1000,"Sub"),$Y30)))</f>
        <v/>
      </c>
      <c r="AD30" s="62">
        <f>IF($V30="","",IF(AND(ISNUMBER($G30),$G30&lt;=IF($S30=MesCiclo,InicioCiclo,$S30+MOD(2-WEEKDAY($S30),7))+13),1,IF(N($W30)&gt;0,AVERAGEIFS($Z$5:$Z$1000,$U$5:$U$1000,ROW(),$V$5:$V$1000,"Sub"),$Z30)))</f>
        <v/>
      </c>
      <c r="AE30" s="62">
        <f>IF($V30="","",IF(AND(ISNUMBER($G30),$G30&lt;=IF($S30=MesCiclo,InicioCiclo,$S30+MOD(2-WEEKDAY($S30),7))+20),1,IF(N($W30)&gt;0,AVERAGEIFS($AA$5:$AA$1000,$U$5:$U$1000,ROW(),$V$5:$V$1000,"Sub"),$AA30)))</f>
        <v/>
      </c>
      <c r="AF30" s="62">
        <f>IF($V30="","",IF(AND(ISNUMBER($G30),$G30&lt;=IF($S30=MesCiclo,InicioCiclo,$S30+MOD(2-WEEKDAY($S30),7))+27),1,IF(N($W30)&gt;0,AVERAGEIFS($AB$5:$AB$1000,$U$5:$U$1000,ROW(),$V$5:$V$1000,"Sub"),$AB30)))</f>
        <v/>
      </c>
      <c r="AG30" s="62">
        <f>IF($V30&lt;&gt;"Macro","",IF(COUNTIFS($S$5:$S$1000,$S30,$V$5:$V$1000,"Macro",$H$5:$H$1000,"&gt;0")=0,1/COUNTIFS($S$5:$S$1000,$S30,$V$5:$V$1000,"Macro"),IF(AND(ISNUMBER($H30),N($H30)&gt;0),$H30,SUMIFS($H$5:$H$1000,$S$5:$S$1000,$S30,$V$5:$V$1000,"Macro")/COUNTIFS($S$5:$S$1000,$S30,$V$5:$V$1000,"Macro",$H$5:$H$1000,"&gt;0"))/(COUNTIFS($S$5:$S$1000,$S30,$V$5:$V$1000,"Macro")*SUMIFS($H$5:$H$1000,$S$5:$S$1000,$S30,$V$5:$V$1000,"Macro")/COUNTIFS($S$5:$S$1000,$S30,$V$5:$V$1000,"Macro",$H$5:$H$1000,"&gt;0"))))</f>
        <v/>
      </c>
      <c r="AH30" s="62" t="n"/>
      <c r="AI30" s="62" t="n"/>
      <c r="AJ30" s="62" t="n"/>
      <c r="AK30" s="62" t="n"/>
      <c r="AL30" s="62">
        <f>IF(LEFT($C30,11)="[Jefatura] ",IFERROR(MATCH("Riesgo Financiero|"&amp;MID($C30,12,500),rDname_ADM,0),0),"")</f>
        <v/>
      </c>
      <c r="AM30" s="62">
        <f>IF(N($AL30)&gt;0,INDEX(rIni_ADM,$AL30),IF(ISNUMBER($E30),$E30,""))</f>
        <v/>
      </c>
      <c r="AN30" s="62">
        <f>IF(N($AL30)&gt;0,INDEX(rLim_ADM,$AL30),IF(ISNUMBER($F30),$F30,""))</f>
        <v/>
      </c>
    </row>
    <row r="31">
      <c r="A31" s="56">
        <f>IF(NOT((COUNTA($B31:$D31)+COUNTA($G31:$L31)+COUNTA($Q31))&gt;0),"",IF($V31="Macro",COUNTIFS($V$5:$V31,"Macro",$S$5:$S31,$S31),IF(N($U31)=0,"?",COUNTIFS(INDEX($V$5:$V$1000,1):INDEX($V$5:$V$1000,$U31-4),"Macro",INDEX($S$5:$S$1000,1):INDEX($S$5:$S$1000,$U31-4),INDEX($S$5:$S$1000,$U31-4))&amp;"."&amp;COUNTIFS($U$5:$U31,$U31,$V$5:$V31,"Sub"))))</f>
        <v/>
      </c>
      <c r="B31" s="57" t="n"/>
      <c r="C31" s="58" t="n"/>
      <c r="D31" s="58" t="n"/>
      <c r="E31" s="59">
        <f>IF(N($AL31)&gt;0,INDEX(rIni_ADM,$AL31),"")</f>
        <v/>
      </c>
      <c r="F31" s="59">
        <f>IF(N($AL31)&gt;0,INDEX(rLim_ADM,$AL31),"")</f>
        <v/>
      </c>
      <c r="G31" s="59" t="n"/>
      <c r="H31" s="60" t="n"/>
      <c r="I31" s="60" t="n"/>
      <c r="J31" s="60" t="n"/>
      <c r="K31" s="60" t="n"/>
      <c r="L31" s="60" t="n"/>
      <c r="M31" s="61">
        <f>IF(NOT((COUNTA($B31:$D31)+COUNTA($G31:$L31)+COUNTA($Q31))&gt;0),"",IF(ISNUMBER($G31),1,IF(N($W31)&gt;0,AVERAGEIFS($X$5:$X$1000,$U$5:$U$1000,ROW(),$V$5:$V$1000,"Sub"),$X31)))</f>
        <v/>
      </c>
      <c r="N31" s="56">
        <f>IF($M31="","",IF($M31&gt;=1,"Completado",IF($M31&gt;0,"En curso","Pendiente")))</f>
        <v/>
      </c>
      <c r="O31" s="56">
        <f>IF(NOT((COUNTA($B31:$D31)+COUNTA($G31:$L31)+COUNTA($Q31))&gt;0),"",IF(ISNUMBER($G31),IF(AND(ISNUMBER($AN31),$G31&gt;$AN31),"Cumplida con "&amp;($G31-$AN31)&amp;IF($G31-$AN31=1," día"," días")&amp;" de retraso","Cumplida"),IF(N($M31)&gt;=1,"Cumplida",IF(NOT(ISNUMBER($AN31)),"Sin fecha límite",IF($AN31&lt;FechaRef,"Vencida hace "&amp;(FechaRef-$AN31)&amp;IF(FechaRef-$AN31=1," día"," días"),IF($AN31=FechaRef,"Vence hoy",IF($AN31-FechaRef&lt;=DiasAlerta,"Vence en "&amp;($AN31-FechaRef)&amp;IF($AN31-FechaRef=1," día"," días"),"En plazo")))))))</f>
        <v/>
      </c>
      <c r="P31" s="62" t="n"/>
      <c r="Q31" s="58" t="n"/>
      <c r="R31" s="63">
        <f>IF(NOT((COUNTA($B31:$D31)+COUNTA($G31:$L31)+COUNTA($Q31))&gt;0),"",IF((IF($C31="","Falta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",""))="","✔ OK","⚠ "&amp;LEFT(IF($C31="","Falta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",""),LEN(IF($C31="","Falta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",""))-3)))</f>
        <v/>
      </c>
      <c r="S31" s="64">
        <f>IF(NOT((COUNTA($B31:$D31)+COUNTA($G31:$L31)+COUNTA($Q31))&gt;0),"",IF(AND($V31="Sub",N($U31)&gt;0),IF(ISNUMBER(INDEX($AM$5:$AM$1000,$U31-4)),DATE(YEAR(INDEX($AM$5:$AM$1000,$U31-4)),MONTH(INDEX($AM$5:$AM$1000,$U31-4)),1),IF(ISNUMBER(INDEX($AN$5:$AN$1000,$U31-4)),DATE(YEAR(INDEX($AN$5:$AN$1000,$U31-4)),MONTH(INDEX($AN$5:$AN$1000,$U31-4)),1),MesCiclo)),IF(ISNUMBER($AM31),DATE(YEAR($AM31),MONTH($AM31),1),IF(ISNUMBER($AN31),DATE(YEAR($AN31),MONTH($AN31),1),MesCiclo))))</f>
        <v/>
      </c>
      <c r="T31" s="62">
        <f>IF(OR($S31="",$S31&lt;&gt;MesCiclo),"",COUNTIF($S$5:$S31,MesCiclo))</f>
        <v/>
      </c>
      <c r="U31" s="62">
        <f>IF($V31="","",IF($V31="Macro",ROW(),IFERROR(LOOKUP(2,1/($V$5:$V31="Macro"),ROW($V$5:$V31)),0)))</f>
        <v/>
      </c>
      <c r="V31" s="62">
        <f>IF(NOT((COUNTA($B31:$D31)+COUNTA($G31:$L31)+COUNTA($Q31))&gt;0),"",IF($B31="Subactividad","Sub","Macro"))</f>
        <v/>
      </c>
      <c r="W31" s="62">
        <f>IF($V31="Macro",COUNTIFS($U$5:$U$1000,ROW(),$V$5:$V$1000,"Sub"),"")</f>
        <v/>
      </c>
      <c r="X31" s="62">
        <f>IF($V31="","",IF(ISNUMBER($G31),1,IFERROR(LOOKUP(2,1/($I31:$L31&lt;&gt;""),$I31:$L31),0)))</f>
        <v/>
      </c>
      <c r="Y31" s="62">
        <f>IF($V31="","",IF(AND(ISNUMBER($G31),$G31&lt;=IF($S31=MesCiclo,InicioCiclo,$S31+MOD(2-WEEKDAY($S31),7))+6),1,IF(ISNUMBER($I31),$I31,0)))</f>
        <v/>
      </c>
      <c r="Z31" s="62">
        <f>IF($V31="","",IF(AND(ISNUMBER($G31),$G31&lt;=IF($S31=MesCiclo,InicioCiclo,$S31+MOD(2-WEEKDAY($S31),7))+13),1,IF(ISNUMBER($J31),$J31,$Y31)))</f>
        <v/>
      </c>
      <c r="AA31" s="62">
        <f>IF($V31="","",IF(AND(ISNUMBER($G31),$G31&lt;=IF($S31=MesCiclo,InicioCiclo,$S31+MOD(2-WEEKDAY($S31),7))+20),1,IF(ISNUMBER($K31),$K31,$Z31)))</f>
        <v/>
      </c>
      <c r="AB31" s="62">
        <f>IF($V31="","",IF(AND(ISNUMBER($G31),$G31&lt;=IF($S31=MesCiclo,InicioCiclo,$S31+MOD(2-WEEKDAY($S31),7))+27),1,IF(ISNUMBER($L31),$L31,$AA31)))</f>
        <v/>
      </c>
      <c r="AC31" s="62">
        <f>IF($V31="","",IF(AND(ISNUMBER($G31),$G31&lt;=IF($S31=MesCiclo,InicioCiclo,$S31+MOD(2-WEEKDAY($S31),7))+6),1,IF(N($W31)&gt;0,AVERAGEIFS($Y$5:$Y$1000,$U$5:$U$1000,ROW(),$V$5:$V$1000,"Sub"),$Y31)))</f>
        <v/>
      </c>
      <c r="AD31" s="62">
        <f>IF($V31="","",IF(AND(ISNUMBER($G31),$G31&lt;=IF($S31=MesCiclo,InicioCiclo,$S31+MOD(2-WEEKDAY($S31),7))+13),1,IF(N($W31)&gt;0,AVERAGEIFS($Z$5:$Z$1000,$U$5:$U$1000,ROW(),$V$5:$V$1000,"Sub"),$Z31)))</f>
        <v/>
      </c>
      <c r="AE31" s="62">
        <f>IF($V31="","",IF(AND(ISNUMBER($G31),$G31&lt;=IF($S31=MesCiclo,InicioCiclo,$S31+MOD(2-WEEKDAY($S31),7))+20),1,IF(N($W31)&gt;0,AVERAGEIFS($AA$5:$AA$1000,$U$5:$U$1000,ROW(),$V$5:$V$1000,"Sub"),$AA31)))</f>
        <v/>
      </c>
      <c r="AF31" s="62">
        <f>IF($V31="","",IF(AND(ISNUMBER($G31),$G31&lt;=IF($S31=MesCiclo,InicioCiclo,$S31+MOD(2-WEEKDAY($S31),7))+27),1,IF(N($W31)&gt;0,AVERAGEIFS($AB$5:$AB$1000,$U$5:$U$1000,ROW(),$V$5:$V$1000,"Sub"),$AB31)))</f>
        <v/>
      </c>
      <c r="AG31" s="62">
        <f>IF($V31&lt;&gt;"Macro","",IF(COUNTIFS($S$5:$S$1000,$S31,$V$5:$V$1000,"Macro",$H$5:$H$1000,"&gt;0")=0,1/COUNTIFS($S$5:$S$1000,$S31,$V$5:$V$1000,"Macro"),IF(AND(ISNUMBER($H31),N($H31)&gt;0),$H31,SUMIFS($H$5:$H$1000,$S$5:$S$1000,$S31,$V$5:$V$1000,"Macro")/COUNTIFS($S$5:$S$1000,$S31,$V$5:$V$1000,"Macro",$H$5:$H$1000,"&gt;0"))/(COUNTIFS($S$5:$S$1000,$S31,$V$5:$V$1000,"Macro")*SUMIFS($H$5:$H$1000,$S$5:$S$1000,$S31,$V$5:$V$1000,"Macro")/COUNTIFS($S$5:$S$1000,$S31,$V$5:$V$1000,"Macro",$H$5:$H$1000,"&gt;0"))))</f>
        <v/>
      </c>
      <c r="AH31" s="62" t="n"/>
      <c r="AI31" s="62" t="n"/>
      <c r="AJ31" s="62" t="n"/>
      <c r="AK31" s="62" t="n"/>
      <c r="AL31" s="62">
        <f>IF(LEFT($C31,11)="[Jefatura] ",IFERROR(MATCH("Riesgo Financiero|"&amp;MID($C31,12,500),rDname_ADM,0),0),"")</f>
        <v/>
      </c>
      <c r="AM31" s="62">
        <f>IF(N($AL31)&gt;0,INDEX(rIni_ADM,$AL31),IF(ISNUMBER($E31),$E31,""))</f>
        <v/>
      </c>
      <c r="AN31" s="62">
        <f>IF(N($AL31)&gt;0,INDEX(rLim_ADM,$AL31),IF(ISNUMBER($F31),$F31,""))</f>
        <v/>
      </c>
    </row>
    <row r="32">
      <c r="A32" s="56">
        <f>IF(NOT((COUNTA($B32:$D32)+COUNTA($G32:$L32)+COUNTA($Q32))&gt;0),"",IF($V32="Macro",COUNTIFS($V$5:$V32,"Macro",$S$5:$S32,$S32),IF(N($U32)=0,"?",COUNTIFS(INDEX($V$5:$V$1000,1):INDEX($V$5:$V$1000,$U32-4),"Macro",INDEX($S$5:$S$1000,1):INDEX($S$5:$S$1000,$U32-4),INDEX($S$5:$S$1000,$U32-4))&amp;"."&amp;COUNTIFS($U$5:$U32,$U32,$V$5:$V32,"Sub"))))</f>
        <v/>
      </c>
      <c r="B32" s="57" t="n"/>
      <c r="C32" s="58" t="n"/>
      <c r="D32" s="58" t="n"/>
      <c r="E32" s="59">
        <f>IF(N($AL32)&gt;0,INDEX(rIni_ADM,$AL32),"")</f>
        <v/>
      </c>
      <c r="F32" s="59">
        <f>IF(N($AL32)&gt;0,INDEX(rLim_ADM,$AL32),"")</f>
        <v/>
      </c>
      <c r="G32" s="59" t="n"/>
      <c r="H32" s="60" t="n"/>
      <c r="I32" s="60" t="n"/>
      <c r="J32" s="60" t="n"/>
      <c r="K32" s="60" t="n"/>
      <c r="L32" s="60" t="n"/>
      <c r="M32" s="61">
        <f>IF(NOT((COUNTA($B32:$D32)+COUNTA($G32:$L32)+COUNTA($Q32))&gt;0),"",IF(ISNUMBER($G32),1,IF(N($W32)&gt;0,AVERAGEIFS($X$5:$X$1000,$U$5:$U$1000,ROW(),$V$5:$V$1000,"Sub"),$X32)))</f>
        <v/>
      </c>
      <c r="N32" s="56">
        <f>IF($M32="","",IF($M32&gt;=1,"Completado",IF($M32&gt;0,"En curso","Pendiente")))</f>
        <v/>
      </c>
      <c r="O32" s="56">
        <f>IF(NOT((COUNTA($B32:$D32)+COUNTA($G32:$L32)+COUNTA($Q32))&gt;0),"",IF(ISNUMBER($G32),IF(AND(ISNUMBER($AN32),$G32&gt;$AN32),"Cumplida con "&amp;($G32-$AN32)&amp;IF($G32-$AN32=1," día"," días")&amp;" de retraso","Cumplida"),IF(N($M32)&gt;=1,"Cumplida",IF(NOT(ISNUMBER($AN32)),"Sin fecha límite",IF($AN32&lt;FechaRef,"Vencida hace "&amp;(FechaRef-$AN32)&amp;IF(FechaRef-$AN32=1," día"," días"),IF($AN32=FechaRef,"Vence hoy",IF($AN32-FechaRef&lt;=DiasAlerta,"Vence en "&amp;($AN32-FechaRef)&amp;IF($AN32-FechaRef=1," día"," días"),"En plazo")))))))</f>
        <v/>
      </c>
      <c r="P32" s="62" t="n"/>
      <c r="Q32" s="58" t="n"/>
      <c r="R32" s="63">
        <f>IF(NOT((COUNTA($B32:$D32)+COUNTA($G32:$L32)+COUNTA($Q32))&gt;0),"",IF((IF($C32="","Falta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",""))="","✔ OK","⚠ "&amp;LEFT(IF($C32="","Falta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",""),LEN(IF($C32="","Falta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",""))-3)))</f>
        <v/>
      </c>
      <c r="S32" s="64">
        <f>IF(NOT((COUNTA($B32:$D32)+COUNTA($G32:$L32)+COUNTA($Q32))&gt;0),"",IF(AND($V32="Sub",N($U32)&gt;0),IF(ISNUMBER(INDEX($AM$5:$AM$1000,$U32-4)),DATE(YEAR(INDEX($AM$5:$AM$1000,$U32-4)),MONTH(INDEX($AM$5:$AM$1000,$U32-4)),1),IF(ISNUMBER(INDEX($AN$5:$AN$1000,$U32-4)),DATE(YEAR(INDEX($AN$5:$AN$1000,$U32-4)),MONTH(INDEX($AN$5:$AN$1000,$U32-4)),1),MesCiclo)),IF(ISNUMBER($AM32),DATE(YEAR($AM32),MONTH($AM32),1),IF(ISNUMBER($AN32),DATE(YEAR($AN32),MONTH($AN32),1),MesCiclo))))</f>
        <v/>
      </c>
      <c r="T32" s="62">
        <f>IF(OR($S32="",$S32&lt;&gt;MesCiclo),"",COUNTIF($S$5:$S32,MesCiclo))</f>
        <v/>
      </c>
      <c r="U32" s="62">
        <f>IF($V32="","",IF($V32="Macro",ROW(),IFERROR(LOOKUP(2,1/($V$5:$V32="Macro"),ROW($V$5:$V32)),0)))</f>
        <v/>
      </c>
      <c r="V32" s="62">
        <f>IF(NOT((COUNTA($B32:$D32)+COUNTA($G32:$L32)+COUNTA($Q32))&gt;0),"",IF($B32="Subactividad","Sub","Macro"))</f>
        <v/>
      </c>
      <c r="W32" s="62">
        <f>IF($V32="Macro",COUNTIFS($U$5:$U$1000,ROW(),$V$5:$V$1000,"Sub"),"")</f>
        <v/>
      </c>
      <c r="X32" s="62">
        <f>IF($V32="","",IF(ISNUMBER($G32),1,IFERROR(LOOKUP(2,1/($I32:$L32&lt;&gt;""),$I32:$L32),0)))</f>
        <v/>
      </c>
      <c r="Y32" s="62">
        <f>IF($V32="","",IF(AND(ISNUMBER($G32),$G32&lt;=IF($S32=MesCiclo,InicioCiclo,$S32+MOD(2-WEEKDAY($S32),7))+6),1,IF(ISNUMBER($I32),$I32,0)))</f>
        <v/>
      </c>
      <c r="Z32" s="62">
        <f>IF($V32="","",IF(AND(ISNUMBER($G32),$G32&lt;=IF($S32=MesCiclo,InicioCiclo,$S32+MOD(2-WEEKDAY($S32),7))+13),1,IF(ISNUMBER($J32),$J32,$Y32)))</f>
        <v/>
      </c>
      <c r="AA32" s="62">
        <f>IF($V32="","",IF(AND(ISNUMBER($G32),$G32&lt;=IF($S32=MesCiclo,InicioCiclo,$S32+MOD(2-WEEKDAY($S32),7))+20),1,IF(ISNUMBER($K32),$K32,$Z32)))</f>
        <v/>
      </c>
      <c r="AB32" s="62">
        <f>IF($V32="","",IF(AND(ISNUMBER($G32),$G32&lt;=IF($S32=MesCiclo,InicioCiclo,$S32+MOD(2-WEEKDAY($S32),7))+27),1,IF(ISNUMBER($L32),$L32,$AA32)))</f>
        <v/>
      </c>
      <c r="AC32" s="62">
        <f>IF($V32="","",IF(AND(ISNUMBER($G32),$G32&lt;=IF($S32=MesCiclo,InicioCiclo,$S32+MOD(2-WEEKDAY($S32),7))+6),1,IF(N($W32)&gt;0,AVERAGEIFS($Y$5:$Y$1000,$U$5:$U$1000,ROW(),$V$5:$V$1000,"Sub"),$Y32)))</f>
        <v/>
      </c>
      <c r="AD32" s="62">
        <f>IF($V32="","",IF(AND(ISNUMBER($G32),$G32&lt;=IF($S32=MesCiclo,InicioCiclo,$S32+MOD(2-WEEKDAY($S32),7))+13),1,IF(N($W32)&gt;0,AVERAGEIFS($Z$5:$Z$1000,$U$5:$U$1000,ROW(),$V$5:$V$1000,"Sub"),$Z32)))</f>
        <v/>
      </c>
      <c r="AE32" s="62">
        <f>IF($V32="","",IF(AND(ISNUMBER($G32),$G32&lt;=IF($S32=MesCiclo,InicioCiclo,$S32+MOD(2-WEEKDAY($S32),7))+20),1,IF(N($W32)&gt;0,AVERAGEIFS($AA$5:$AA$1000,$U$5:$U$1000,ROW(),$V$5:$V$1000,"Sub"),$AA32)))</f>
        <v/>
      </c>
      <c r="AF32" s="62">
        <f>IF($V32="","",IF(AND(ISNUMBER($G32),$G32&lt;=IF($S32=MesCiclo,InicioCiclo,$S32+MOD(2-WEEKDAY($S32),7))+27),1,IF(N($W32)&gt;0,AVERAGEIFS($AB$5:$AB$1000,$U$5:$U$1000,ROW(),$V$5:$V$1000,"Sub"),$AB32)))</f>
        <v/>
      </c>
      <c r="AG32" s="62">
        <f>IF($V32&lt;&gt;"Macro","",IF(COUNTIFS($S$5:$S$1000,$S32,$V$5:$V$1000,"Macro",$H$5:$H$1000,"&gt;0")=0,1/COUNTIFS($S$5:$S$1000,$S32,$V$5:$V$1000,"Macro"),IF(AND(ISNUMBER($H32),N($H32)&gt;0),$H32,SUMIFS($H$5:$H$1000,$S$5:$S$1000,$S32,$V$5:$V$1000,"Macro")/COUNTIFS($S$5:$S$1000,$S32,$V$5:$V$1000,"Macro",$H$5:$H$1000,"&gt;0"))/(COUNTIFS($S$5:$S$1000,$S32,$V$5:$V$1000,"Macro")*SUMIFS($H$5:$H$1000,$S$5:$S$1000,$S32,$V$5:$V$1000,"Macro")/COUNTIFS($S$5:$S$1000,$S32,$V$5:$V$1000,"Macro",$H$5:$H$1000,"&gt;0"))))</f>
        <v/>
      </c>
      <c r="AH32" s="62" t="n"/>
      <c r="AI32" s="62" t="n"/>
      <c r="AJ32" s="62" t="n"/>
      <c r="AK32" s="62" t="n"/>
      <c r="AL32" s="62">
        <f>IF(LEFT($C32,11)="[Jefatura] ",IFERROR(MATCH("Riesgo Financiero|"&amp;MID($C32,12,500),rDname_ADM,0),0),"")</f>
        <v/>
      </c>
      <c r="AM32" s="62">
        <f>IF(N($AL32)&gt;0,INDEX(rIni_ADM,$AL32),IF(ISNUMBER($E32),$E32,""))</f>
        <v/>
      </c>
      <c r="AN32" s="62">
        <f>IF(N($AL32)&gt;0,INDEX(rLim_ADM,$AL32),IF(ISNUMBER($F32),$F32,""))</f>
        <v/>
      </c>
    </row>
    <row r="33">
      <c r="A33" s="56">
        <f>IF(NOT((COUNTA($B33:$D33)+COUNTA($G33:$L33)+COUNTA($Q33))&gt;0),"",IF($V33="Macro",COUNTIFS($V$5:$V33,"Macro",$S$5:$S33,$S33),IF(N($U33)=0,"?",COUNTIFS(INDEX($V$5:$V$1000,1):INDEX($V$5:$V$1000,$U33-4),"Macro",INDEX($S$5:$S$1000,1):INDEX($S$5:$S$1000,$U33-4),INDEX($S$5:$S$1000,$U33-4))&amp;"."&amp;COUNTIFS($U$5:$U33,$U33,$V$5:$V33,"Sub"))))</f>
        <v/>
      </c>
      <c r="B33" s="57" t="n"/>
      <c r="C33" s="58" t="n"/>
      <c r="D33" s="58" t="n"/>
      <c r="E33" s="59">
        <f>IF(N($AL33)&gt;0,INDEX(rIni_ADM,$AL33),"")</f>
        <v/>
      </c>
      <c r="F33" s="59">
        <f>IF(N($AL33)&gt;0,INDEX(rLim_ADM,$AL33),"")</f>
        <v/>
      </c>
      <c r="G33" s="59" t="n"/>
      <c r="H33" s="60" t="n"/>
      <c r="I33" s="60" t="n"/>
      <c r="J33" s="60" t="n"/>
      <c r="K33" s="60" t="n"/>
      <c r="L33" s="60" t="n"/>
      <c r="M33" s="61">
        <f>IF(NOT((COUNTA($B33:$D33)+COUNTA($G33:$L33)+COUNTA($Q33))&gt;0),"",IF(ISNUMBER($G33),1,IF(N($W33)&gt;0,AVERAGEIFS($X$5:$X$1000,$U$5:$U$1000,ROW(),$V$5:$V$1000,"Sub"),$X33)))</f>
        <v/>
      </c>
      <c r="N33" s="56">
        <f>IF($M33="","",IF($M33&gt;=1,"Completado",IF($M33&gt;0,"En curso","Pendiente")))</f>
        <v/>
      </c>
      <c r="O33" s="56">
        <f>IF(NOT((COUNTA($B33:$D33)+COUNTA($G33:$L33)+COUNTA($Q33))&gt;0),"",IF(ISNUMBER($G33),IF(AND(ISNUMBER($AN33),$G33&gt;$AN33),"Cumplida con "&amp;($G33-$AN33)&amp;IF($G33-$AN33=1," día"," días")&amp;" de retraso","Cumplida"),IF(N($M33)&gt;=1,"Cumplida",IF(NOT(ISNUMBER($AN33)),"Sin fecha límite",IF($AN33&lt;FechaRef,"Vencida hace "&amp;(FechaRef-$AN33)&amp;IF(FechaRef-$AN33=1," día"," días"),IF($AN33=FechaRef,"Vence hoy",IF($AN33-FechaRef&lt;=DiasAlerta,"Vence en "&amp;($AN33-FechaRef)&amp;IF($AN33-FechaRef=1," día"," días"),"En plazo")))))))</f>
        <v/>
      </c>
      <c r="P33" s="62" t="n"/>
      <c r="Q33" s="58" t="n"/>
      <c r="R33" s="63">
        <f>IF(NOT((COUNTA($B33:$D33)+COUNTA($G33:$L33)+COUNTA($Q33))&gt;0),"",IF((IF($C33="","Falta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",""))="","✔ OK","⚠ "&amp;LEFT(IF($C33="","Falta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",""),LEN(IF($C33="","Falta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",""))-3)))</f>
        <v/>
      </c>
      <c r="S33" s="64">
        <f>IF(NOT((COUNTA($B33:$D33)+COUNTA($G33:$L33)+COUNTA($Q33))&gt;0),"",IF(AND($V33="Sub",N($U33)&gt;0),IF(ISNUMBER(INDEX($AM$5:$AM$1000,$U33-4)),DATE(YEAR(INDEX($AM$5:$AM$1000,$U33-4)),MONTH(INDEX($AM$5:$AM$1000,$U33-4)),1),IF(ISNUMBER(INDEX($AN$5:$AN$1000,$U33-4)),DATE(YEAR(INDEX($AN$5:$AN$1000,$U33-4)),MONTH(INDEX($AN$5:$AN$1000,$U33-4)),1),MesCiclo)),IF(ISNUMBER($AM33),DATE(YEAR($AM33),MONTH($AM33),1),IF(ISNUMBER($AN33),DATE(YEAR($AN33),MONTH($AN33),1),MesCiclo))))</f>
        <v/>
      </c>
      <c r="T33" s="62">
        <f>IF(OR($S33="",$S33&lt;&gt;MesCiclo),"",COUNTIF($S$5:$S33,MesCiclo))</f>
        <v/>
      </c>
      <c r="U33" s="62">
        <f>IF($V33="","",IF($V33="Macro",ROW(),IFERROR(LOOKUP(2,1/($V$5:$V33="Macro"),ROW($V$5:$V33)),0)))</f>
        <v/>
      </c>
      <c r="V33" s="62">
        <f>IF(NOT((COUNTA($B33:$D33)+COUNTA($G33:$L33)+COUNTA($Q33))&gt;0),"",IF($B33="Subactividad","Sub","Macro"))</f>
        <v/>
      </c>
      <c r="W33" s="62">
        <f>IF($V33="Macro",COUNTIFS($U$5:$U$1000,ROW(),$V$5:$V$1000,"Sub"),"")</f>
        <v/>
      </c>
      <c r="X33" s="62">
        <f>IF($V33="","",IF(ISNUMBER($G33),1,IFERROR(LOOKUP(2,1/($I33:$L33&lt;&gt;""),$I33:$L33),0)))</f>
        <v/>
      </c>
      <c r="Y33" s="62">
        <f>IF($V33="","",IF(AND(ISNUMBER($G33),$G33&lt;=IF($S33=MesCiclo,InicioCiclo,$S33+MOD(2-WEEKDAY($S33),7))+6),1,IF(ISNUMBER($I33),$I33,0)))</f>
        <v/>
      </c>
      <c r="Z33" s="62">
        <f>IF($V33="","",IF(AND(ISNUMBER($G33),$G33&lt;=IF($S33=MesCiclo,InicioCiclo,$S33+MOD(2-WEEKDAY($S33),7))+13),1,IF(ISNUMBER($J33),$J33,$Y33)))</f>
        <v/>
      </c>
      <c r="AA33" s="62">
        <f>IF($V33="","",IF(AND(ISNUMBER($G33),$G33&lt;=IF($S33=MesCiclo,InicioCiclo,$S33+MOD(2-WEEKDAY($S33),7))+20),1,IF(ISNUMBER($K33),$K33,$Z33)))</f>
        <v/>
      </c>
      <c r="AB33" s="62">
        <f>IF($V33="","",IF(AND(ISNUMBER($G33),$G33&lt;=IF($S33=MesCiclo,InicioCiclo,$S33+MOD(2-WEEKDAY($S33),7))+27),1,IF(ISNUMBER($L33),$L33,$AA33)))</f>
        <v/>
      </c>
      <c r="AC33" s="62">
        <f>IF($V33="","",IF(AND(ISNUMBER($G33),$G33&lt;=IF($S33=MesCiclo,InicioCiclo,$S33+MOD(2-WEEKDAY($S33),7))+6),1,IF(N($W33)&gt;0,AVERAGEIFS($Y$5:$Y$1000,$U$5:$U$1000,ROW(),$V$5:$V$1000,"Sub"),$Y33)))</f>
        <v/>
      </c>
      <c r="AD33" s="62">
        <f>IF($V33="","",IF(AND(ISNUMBER($G33),$G33&lt;=IF($S33=MesCiclo,InicioCiclo,$S33+MOD(2-WEEKDAY($S33),7))+13),1,IF(N($W33)&gt;0,AVERAGEIFS($Z$5:$Z$1000,$U$5:$U$1000,ROW(),$V$5:$V$1000,"Sub"),$Z33)))</f>
        <v/>
      </c>
      <c r="AE33" s="62">
        <f>IF($V33="","",IF(AND(ISNUMBER($G33),$G33&lt;=IF($S33=MesCiclo,InicioCiclo,$S33+MOD(2-WEEKDAY($S33),7))+20),1,IF(N($W33)&gt;0,AVERAGEIFS($AA$5:$AA$1000,$U$5:$U$1000,ROW(),$V$5:$V$1000,"Sub"),$AA33)))</f>
        <v/>
      </c>
      <c r="AF33" s="62">
        <f>IF($V33="","",IF(AND(ISNUMBER($G33),$G33&lt;=IF($S33=MesCiclo,InicioCiclo,$S33+MOD(2-WEEKDAY($S33),7))+27),1,IF(N($W33)&gt;0,AVERAGEIFS($AB$5:$AB$1000,$U$5:$U$1000,ROW(),$V$5:$V$1000,"Sub"),$AB33)))</f>
        <v/>
      </c>
      <c r="AG33" s="62">
        <f>IF($V33&lt;&gt;"Macro","",IF(COUNTIFS($S$5:$S$1000,$S33,$V$5:$V$1000,"Macro",$H$5:$H$1000,"&gt;0")=0,1/COUNTIFS($S$5:$S$1000,$S33,$V$5:$V$1000,"Macro"),IF(AND(ISNUMBER($H33),N($H33)&gt;0),$H33,SUMIFS($H$5:$H$1000,$S$5:$S$1000,$S33,$V$5:$V$1000,"Macro")/COUNTIFS($S$5:$S$1000,$S33,$V$5:$V$1000,"Macro",$H$5:$H$1000,"&gt;0"))/(COUNTIFS($S$5:$S$1000,$S33,$V$5:$V$1000,"Macro")*SUMIFS($H$5:$H$1000,$S$5:$S$1000,$S33,$V$5:$V$1000,"Macro")/COUNTIFS($S$5:$S$1000,$S33,$V$5:$V$1000,"Macro",$H$5:$H$1000,"&gt;0"))))</f>
        <v/>
      </c>
      <c r="AH33" s="62" t="n"/>
      <c r="AI33" s="62" t="n"/>
      <c r="AJ33" s="62" t="n"/>
      <c r="AK33" s="62" t="n"/>
      <c r="AL33" s="62">
        <f>IF(LEFT($C33,11)="[Jefatura] ",IFERROR(MATCH("Riesgo Financiero|"&amp;MID($C33,12,500),rDname_ADM,0),0),"")</f>
        <v/>
      </c>
      <c r="AM33" s="62">
        <f>IF(N($AL33)&gt;0,INDEX(rIni_ADM,$AL33),IF(ISNUMBER($E33),$E33,""))</f>
        <v/>
      </c>
      <c r="AN33" s="62">
        <f>IF(N($AL33)&gt;0,INDEX(rLim_ADM,$AL33),IF(ISNUMBER($F33),$F33,""))</f>
        <v/>
      </c>
    </row>
    <row r="34">
      <c r="A34" s="56">
        <f>IF(NOT((COUNTA($B34:$D34)+COUNTA($G34:$L34)+COUNTA($Q34))&gt;0),"",IF($V34="Macro",COUNTIFS($V$5:$V34,"Macro",$S$5:$S34,$S34),IF(N($U34)=0,"?",COUNTIFS(INDEX($V$5:$V$1000,1):INDEX($V$5:$V$1000,$U34-4),"Macro",INDEX($S$5:$S$1000,1):INDEX($S$5:$S$1000,$U34-4),INDEX($S$5:$S$1000,$U34-4))&amp;"."&amp;COUNTIFS($U$5:$U34,$U34,$V$5:$V34,"Sub"))))</f>
        <v/>
      </c>
      <c r="B34" s="57" t="n"/>
      <c r="C34" s="58" t="n"/>
      <c r="D34" s="58" t="n"/>
      <c r="E34" s="59">
        <f>IF(N($AL34)&gt;0,INDEX(rIni_ADM,$AL34),"")</f>
        <v/>
      </c>
      <c r="F34" s="59">
        <f>IF(N($AL34)&gt;0,INDEX(rLim_ADM,$AL34),"")</f>
        <v/>
      </c>
      <c r="G34" s="59" t="n"/>
      <c r="H34" s="60" t="n"/>
      <c r="I34" s="60" t="n"/>
      <c r="J34" s="60" t="n"/>
      <c r="K34" s="60" t="n"/>
      <c r="L34" s="60" t="n"/>
      <c r="M34" s="61">
        <f>IF(NOT((COUNTA($B34:$D34)+COUNTA($G34:$L34)+COUNTA($Q34))&gt;0),"",IF(ISNUMBER($G34),1,IF(N($W34)&gt;0,AVERAGEIFS($X$5:$X$1000,$U$5:$U$1000,ROW(),$V$5:$V$1000,"Sub"),$X34)))</f>
        <v/>
      </c>
      <c r="N34" s="56">
        <f>IF($M34="","",IF($M34&gt;=1,"Completado",IF($M34&gt;0,"En curso","Pendiente")))</f>
        <v/>
      </c>
      <c r="O34" s="56">
        <f>IF(NOT((COUNTA($B34:$D34)+COUNTA($G34:$L34)+COUNTA($Q34))&gt;0),"",IF(ISNUMBER($G34),IF(AND(ISNUMBER($AN34),$G34&gt;$AN34),"Cumplida con "&amp;($G34-$AN34)&amp;IF($G34-$AN34=1," día"," días")&amp;" de retraso","Cumplida"),IF(N($M34)&gt;=1,"Cumplida",IF(NOT(ISNUMBER($AN34)),"Sin fecha límite",IF($AN34&lt;FechaRef,"Vencida hace "&amp;(FechaRef-$AN34)&amp;IF(FechaRef-$AN34=1," día"," días"),IF($AN34=FechaRef,"Vence hoy",IF($AN34-FechaRef&lt;=DiasAlerta,"Vence en "&amp;($AN34-FechaRef)&amp;IF($AN34-FechaRef=1," día"," días"),"En plazo")))))))</f>
        <v/>
      </c>
      <c r="P34" s="62" t="n"/>
      <c r="Q34" s="58" t="n"/>
      <c r="R34" s="63">
        <f>IF(NOT((COUNTA($B34:$D34)+COUNTA($G34:$L34)+COUNTA($Q34))&gt;0),"",IF((IF($C34="","Falta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",""))="","✔ OK","⚠ "&amp;LEFT(IF($C34="","Falta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",""),LEN(IF($C34="","Falta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",""))-3)))</f>
        <v/>
      </c>
      <c r="S34" s="64">
        <f>IF(NOT((COUNTA($B34:$D34)+COUNTA($G34:$L34)+COUNTA($Q34))&gt;0),"",IF(AND($V34="Sub",N($U34)&gt;0),IF(ISNUMBER(INDEX($AM$5:$AM$1000,$U34-4)),DATE(YEAR(INDEX($AM$5:$AM$1000,$U34-4)),MONTH(INDEX($AM$5:$AM$1000,$U34-4)),1),IF(ISNUMBER(INDEX($AN$5:$AN$1000,$U34-4)),DATE(YEAR(INDEX($AN$5:$AN$1000,$U34-4)),MONTH(INDEX($AN$5:$AN$1000,$U34-4)),1),MesCiclo)),IF(ISNUMBER($AM34),DATE(YEAR($AM34),MONTH($AM34),1),IF(ISNUMBER($AN34),DATE(YEAR($AN34),MONTH($AN34),1),MesCiclo))))</f>
        <v/>
      </c>
      <c r="T34" s="62">
        <f>IF(OR($S34="",$S34&lt;&gt;MesCiclo),"",COUNTIF($S$5:$S34,MesCiclo))</f>
        <v/>
      </c>
      <c r="U34" s="62">
        <f>IF($V34="","",IF($V34="Macro",ROW(),IFERROR(LOOKUP(2,1/($V$5:$V34="Macro"),ROW($V$5:$V34)),0)))</f>
        <v/>
      </c>
      <c r="V34" s="62">
        <f>IF(NOT((COUNTA($B34:$D34)+COUNTA($G34:$L34)+COUNTA($Q34))&gt;0),"",IF($B34="Subactividad","Sub","Macro"))</f>
        <v/>
      </c>
      <c r="W34" s="62">
        <f>IF($V34="Macro",COUNTIFS($U$5:$U$1000,ROW(),$V$5:$V$1000,"Sub"),"")</f>
        <v/>
      </c>
      <c r="X34" s="62">
        <f>IF($V34="","",IF(ISNUMBER($G34),1,IFERROR(LOOKUP(2,1/($I34:$L34&lt;&gt;""),$I34:$L34),0)))</f>
        <v/>
      </c>
      <c r="Y34" s="62">
        <f>IF($V34="","",IF(AND(ISNUMBER($G34),$G34&lt;=IF($S34=MesCiclo,InicioCiclo,$S34+MOD(2-WEEKDAY($S34),7))+6),1,IF(ISNUMBER($I34),$I34,0)))</f>
        <v/>
      </c>
      <c r="Z34" s="62">
        <f>IF($V34="","",IF(AND(ISNUMBER($G34),$G34&lt;=IF($S34=MesCiclo,InicioCiclo,$S34+MOD(2-WEEKDAY($S34),7))+13),1,IF(ISNUMBER($J34),$J34,$Y34)))</f>
        <v/>
      </c>
      <c r="AA34" s="62">
        <f>IF($V34="","",IF(AND(ISNUMBER($G34),$G34&lt;=IF($S34=MesCiclo,InicioCiclo,$S34+MOD(2-WEEKDAY($S34),7))+20),1,IF(ISNUMBER($K34),$K34,$Z34)))</f>
        <v/>
      </c>
      <c r="AB34" s="62">
        <f>IF($V34="","",IF(AND(ISNUMBER($G34),$G34&lt;=IF($S34=MesCiclo,InicioCiclo,$S34+MOD(2-WEEKDAY($S34),7))+27),1,IF(ISNUMBER($L34),$L34,$AA34)))</f>
        <v/>
      </c>
      <c r="AC34" s="62">
        <f>IF($V34="","",IF(AND(ISNUMBER($G34),$G34&lt;=IF($S34=MesCiclo,InicioCiclo,$S34+MOD(2-WEEKDAY($S34),7))+6),1,IF(N($W34)&gt;0,AVERAGEIFS($Y$5:$Y$1000,$U$5:$U$1000,ROW(),$V$5:$V$1000,"Sub"),$Y34)))</f>
        <v/>
      </c>
      <c r="AD34" s="62">
        <f>IF($V34="","",IF(AND(ISNUMBER($G34),$G34&lt;=IF($S34=MesCiclo,InicioCiclo,$S34+MOD(2-WEEKDAY($S34),7))+13),1,IF(N($W34)&gt;0,AVERAGEIFS($Z$5:$Z$1000,$U$5:$U$1000,ROW(),$V$5:$V$1000,"Sub"),$Z34)))</f>
        <v/>
      </c>
      <c r="AE34" s="62">
        <f>IF($V34="","",IF(AND(ISNUMBER($G34),$G34&lt;=IF($S34=MesCiclo,InicioCiclo,$S34+MOD(2-WEEKDAY($S34),7))+20),1,IF(N($W34)&gt;0,AVERAGEIFS($AA$5:$AA$1000,$U$5:$U$1000,ROW(),$V$5:$V$1000,"Sub"),$AA34)))</f>
        <v/>
      </c>
      <c r="AF34" s="62">
        <f>IF($V34="","",IF(AND(ISNUMBER($G34),$G34&lt;=IF($S34=MesCiclo,InicioCiclo,$S34+MOD(2-WEEKDAY($S34),7))+27),1,IF(N($W34)&gt;0,AVERAGEIFS($AB$5:$AB$1000,$U$5:$U$1000,ROW(),$V$5:$V$1000,"Sub"),$AB34)))</f>
        <v/>
      </c>
      <c r="AG34" s="62">
        <f>IF($V34&lt;&gt;"Macro","",IF(COUNTIFS($S$5:$S$1000,$S34,$V$5:$V$1000,"Macro",$H$5:$H$1000,"&gt;0")=0,1/COUNTIFS($S$5:$S$1000,$S34,$V$5:$V$1000,"Macro"),IF(AND(ISNUMBER($H34),N($H34)&gt;0),$H34,SUMIFS($H$5:$H$1000,$S$5:$S$1000,$S34,$V$5:$V$1000,"Macro")/COUNTIFS($S$5:$S$1000,$S34,$V$5:$V$1000,"Macro",$H$5:$H$1000,"&gt;0"))/(COUNTIFS($S$5:$S$1000,$S34,$V$5:$V$1000,"Macro")*SUMIFS($H$5:$H$1000,$S$5:$S$1000,$S34,$V$5:$V$1000,"Macro")/COUNTIFS($S$5:$S$1000,$S34,$V$5:$V$1000,"Macro",$H$5:$H$1000,"&gt;0"))))</f>
        <v/>
      </c>
      <c r="AH34" s="62" t="n"/>
      <c r="AI34" s="62" t="n"/>
      <c r="AJ34" s="62" t="n"/>
      <c r="AK34" s="62" t="n"/>
      <c r="AL34" s="62">
        <f>IF(LEFT($C34,11)="[Jefatura] ",IFERROR(MATCH("Riesgo Financiero|"&amp;MID($C34,12,500),rDname_ADM,0),0),"")</f>
        <v/>
      </c>
      <c r="AM34" s="62">
        <f>IF(N($AL34)&gt;0,INDEX(rIni_ADM,$AL34),IF(ISNUMBER($E34),$E34,""))</f>
        <v/>
      </c>
      <c r="AN34" s="62">
        <f>IF(N($AL34)&gt;0,INDEX(rLim_ADM,$AL34),IF(ISNUMBER($F34),$F34,""))</f>
        <v/>
      </c>
    </row>
    <row r="35">
      <c r="A35" s="56">
        <f>IF(NOT((COUNTA($B35:$D35)+COUNTA($G35:$L35)+COUNTA($Q35))&gt;0),"",IF($V35="Macro",COUNTIFS($V$5:$V35,"Macro",$S$5:$S35,$S35),IF(N($U35)=0,"?",COUNTIFS(INDEX($V$5:$V$1000,1):INDEX($V$5:$V$1000,$U35-4),"Macro",INDEX($S$5:$S$1000,1):INDEX($S$5:$S$1000,$U35-4),INDEX($S$5:$S$1000,$U35-4))&amp;"."&amp;COUNTIFS($U$5:$U35,$U35,$V$5:$V35,"Sub"))))</f>
        <v/>
      </c>
      <c r="B35" s="57" t="n"/>
      <c r="C35" s="58" t="n"/>
      <c r="D35" s="58" t="n"/>
      <c r="E35" s="59">
        <f>IF(N($AL35)&gt;0,INDEX(rIni_ADM,$AL35),"")</f>
        <v/>
      </c>
      <c r="F35" s="59">
        <f>IF(N($AL35)&gt;0,INDEX(rLim_ADM,$AL35),"")</f>
        <v/>
      </c>
      <c r="G35" s="59" t="n"/>
      <c r="H35" s="60" t="n"/>
      <c r="I35" s="60" t="n"/>
      <c r="J35" s="60" t="n"/>
      <c r="K35" s="60" t="n"/>
      <c r="L35" s="60" t="n"/>
      <c r="M35" s="61">
        <f>IF(NOT((COUNTA($B35:$D35)+COUNTA($G35:$L35)+COUNTA($Q35))&gt;0),"",IF(ISNUMBER($G35),1,IF(N($W35)&gt;0,AVERAGEIFS($X$5:$X$1000,$U$5:$U$1000,ROW(),$V$5:$V$1000,"Sub"),$X35)))</f>
        <v/>
      </c>
      <c r="N35" s="56">
        <f>IF($M35="","",IF($M35&gt;=1,"Completado",IF($M35&gt;0,"En curso","Pendiente")))</f>
        <v/>
      </c>
      <c r="O35" s="56">
        <f>IF(NOT((COUNTA($B35:$D35)+COUNTA($G35:$L35)+COUNTA($Q35))&gt;0),"",IF(ISNUMBER($G35),IF(AND(ISNUMBER($AN35),$G35&gt;$AN35),"Cumplida con "&amp;($G35-$AN35)&amp;IF($G35-$AN35=1," día"," días")&amp;" de retraso","Cumplida"),IF(N($M35)&gt;=1,"Cumplida",IF(NOT(ISNUMBER($AN35)),"Sin fecha límite",IF($AN35&lt;FechaRef,"Vencida hace "&amp;(FechaRef-$AN35)&amp;IF(FechaRef-$AN35=1," día"," días"),IF($AN35=FechaRef,"Vence hoy",IF($AN35-FechaRef&lt;=DiasAlerta,"Vence en "&amp;($AN35-FechaRef)&amp;IF($AN35-FechaRef=1," día"," días"),"En plazo")))))))</f>
        <v/>
      </c>
      <c r="P35" s="62" t="n"/>
      <c r="Q35" s="58" t="n"/>
      <c r="R35" s="63">
        <f>IF(NOT((COUNTA($B35:$D35)+COUNTA($G35:$L35)+COUNTA($Q35))&gt;0),"",IF((IF($C35="","Falta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",""))="","✔ OK","⚠ "&amp;LEFT(IF($C35="","Falta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",""),LEN(IF($C35="","Falta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",""))-3)))</f>
        <v/>
      </c>
      <c r="S35" s="64">
        <f>IF(NOT((COUNTA($B35:$D35)+COUNTA($G35:$L35)+COUNTA($Q35))&gt;0),"",IF(AND($V35="Sub",N($U35)&gt;0),IF(ISNUMBER(INDEX($AM$5:$AM$1000,$U35-4)),DATE(YEAR(INDEX($AM$5:$AM$1000,$U35-4)),MONTH(INDEX($AM$5:$AM$1000,$U35-4)),1),IF(ISNUMBER(INDEX($AN$5:$AN$1000,$U35-4)),DATE(YEAR(INDEX($AN$5:$AN$1000,$U35-4)),MONTH(INDEX($AN$5:$AN$1000,$U35-4)),1),MesCiclo)),IF(ISNUMBER($AM35),DATE(YEAR($AM35),MONTH($AM35),1),IF(ISNUMBER($AN35),DATE(YEAR($AN35),MONTH($AN35),1),MesCiclo))))</f>
        <v/>
      </c>
      <c r="T35" s="62">
        <f>IF(OR($S35="",$S35&lt;&gt;MesCiclo),"",COUNTIF($S$5:$S35,MesCiclo))</f>
        <v/>
      </c>
      <c r="U35" s="62">
        <f>IF($V35="","",IF($V35="Macro",ROW(),IFERROR(LOOKUP(2,1/($V$5:$V35="Macro"),ROW($V$5:$V35)),0)))</f>
        <v/>
      </c>
      <c r="V35" s="62">
        <f>IF(NOT((COUNTA($B35:$D35)+COUNTA($G35:$L35)+COUNTA($Q35))&gt;0),"",IF($B35="Subactividad","Sub","Macro"))</f>
        <v/>
      </c>
      <c r="W35" s="62">
        <f>IF($V35="Macro",COUNTIFS($U$5:$U$1000,ROW(),$V$5:$V$1000,"Sub"),"")</f>
        <v/>
      </c>
      <c r="X35" s="62">
        <f>IF($V35="","",IF(ISNUMBER($G35),1,IFERROR(LOOKUP(2,1/($I35:$L35&lt;&gt;""),$I35:$L35),0)))</f>
        <v/>
      </c>
      <c r="Y35" s="62">
        <f>IF($V35="","",IF(AND(ISNUMBER($G35),$G35&lt;=IF($S35=MesCiclo,InicioCiclo,$S35+MOD(2-WEEKDAY($S35),7))+6),1,IF(ISNUMBER($I35),$I35,0)))</f>
        <v/>
      </c>
      <c r="Z35" s="62">
        <f>IF($V35="","",IF(AND(ISNUMBER($G35),$G35&lt;=IF($S35=MesCiclo,InicioCiclo,$S35+MOD(2-WEEKDAY($S35),7))+13),1,IF(ISNUMBER($J35),$J35,$Y35)))</f>
        <v/>
      </c>
      <c r="AA35" s="62">
        <f>IF($V35="","",IF(AND(ISNUMBER($G35),$G35&lt;=IF($S35=MesCiclo,InicioCiclo,$S35+MOD(2-WEEKDAY($S35),7))+20),1,IF(ISNUMBER($K35),$K35,$Z35)))</f>
        <v/>
      </c>
      <c r="AB35" s="62">
        <f>IF($V35="","",IF(AND(ISNUMBER($G35),$G35&lt;=IF($S35=MesCiclo,InicioCiclo,$S35+MOD(2-WEEKDAY($S35),7))+27),1,IF(ISNUMBER($L35),$L35,$AA35)))</f>
        <v/>
      </c>
      <c r="AC35" s="62">
        <f>IF($V35="","",IF(AND(ISNUMBER($G35),$G35&lt;=IF($S35=MesCiclo,InicioCiclo,$S35+MOD(2-WEEKDAY($S35),7))+6),1,IF(N($W35)&gt;0,AVERAGEIFS($Y$5:$Y$1000,$U$5:$U$1000,ROW(),$V$5:$V$1000,"Sub"),$Y35)))</f>
        <v/>
      </c>
      <c r="AD35" s="62">
        <f>IF($V35="","",IF(AND(ISNUMBER($G35),$G35&lt;=IF($S35=MesCiclo,InicioCiclo,$S35+MOD(2-WEEKDAY($S35),7))+13),1,IF(N($W35)&gt;0,AVERAGEIFS($Z$5:$Z$1000,$U$5:$U$1000,ROW(),$V$5:$V$1000,"Sub"),$Z35)))</f>
        <v/>
      </c>
      <c r="AE35" s="62">
        <f>IF($V35="","",IF(AND(ISNUMBER($G35),$G35&lt;=IF($S35=MesCiclo,InicioCiclo,$S35+MOD(2-WEEKDAY($S35),7))+20),1,IF(N($W35)&gt;0,AVERAGEIFS($AA$5:$AA$1000,$U$5:$U$1000,ROW(),$V$5:$V$1000,"Sub"),$AA35)))</f>
        <v/>
      </c>
      <c r="AF35" s="62">
        <f>IF($V35="","",IF(AND(ISNUMBER($G35),$G35&lt;=IF($S35=MesCiclo,InicioCiclo,$S35+MOD(2-WEEKDAY($S35),7))+27),1,IF(N($W35)&gt;0,AVERAGEIFS($AB$5:$AB$1000,$U$5:$U$1000,ROW(),$V$5:$V$1000,"Sub"),$AB35)))</f>
        <v/>
      </c>
      <c r="AG35" s="62">
        <f>IF($V35&lt;&gt;"Macro","",IF(COUNTIFS($S$5:$S$1000,$S35,$V$5:$V$1000,"Macro",$H$5:$H$1000,"&gt;0")=0,1/COUNTIFS($S$5:$S$1000,$S35,$V$5:$V$1000,"Macro"),IF(AND(ISNUMBER($H35),N($H35)&gt;0),$H35,SUMIFS($H$5:$H$1000,$S$5:$S$1000,$S35,$V$5:$V$1000,"Macro")/COUNTIFS($S$5:$S$1000,$S35,$V$5:$V$1000,"Macro",$H$5:$H$1000,"&gt;0"))/(COUNTIFS($S$5:$S$1000,$S35,$V$5:$V$1000,"Macro")*SUMIFS($H$5:$H$1000,$S$5:$S$1000,$S35,$V$5:$V$1000,"Macro")/COUNTIFS($S$5:$S$1000,$S35,$V$5:$V$1000,"Macro",$H$5:$H$1000,"&gt;0"))))</f>
        <v/>
      </c>
      <c r="AH35" s="62" t="n"/>
      <c r="AI35" s="62" t="n"/>
      <c r="AJ35" s="62" t="n"/>
      <c r="AK35" s="62" t="n"/>
      <c r="AL35" s="62">
        <f>IF(LEFT($C35,11)="[Jefatura] ",IFERROR(MATCH("Riesgo Financiero|"&amp;MID($C35,12,500),rDname_ADM,0),0),"")</f>
        <v/>
      </c>
      <c r="AM35" s="62">
        <f>IF(N($AL35)&gt;0,INDEX(rIni_ADM,$AL35),IF(ISNUMBER($E35),$E35,""))</f>
        <v/>
      </c>
      <c r="AN35" s="62">
        <f>IF(N($AL35)&gt;0,INDEX(rLim_ADM,$AL35),IF(ISNUMBER($F35),$F35,""))</f>
        <v/>
      </c>
    </row>
    <row r="36">
      <c r="A36" s="56">
        <f>IF(NOT((COUNTA($B36:$D36)+COUNTA($G36:$L36)+COUNTA($Q36))&gt;0),"",IF($V36="Macro",COUNTIFS($V$5:$V36,"Macro",$S$5:$S36,$S36),IF(N($U36)=0,"?",COUNTIFS(INDEX($V$5:$V$1000,1):INDEX($V$5:$V$1000,$U36-4),"Macro",INDEX($S$5:$S$1000,1):INDEX($S$5:$S$1000,$U36-4),INDEX($S$5:$S$1000,$U36-4))&amp;"."&amp;COUNTIFS($U$5:$U36,$U36,$V$5:$V36,"Sub"))))</f>
        <v/>
      </c>
      <c r="B36" s="57" t="n"/>
      <c r="C36" s="58" t="n"/>
      <c r="D36" s="58" t="n"/>
      <c r="E36" s="59">
        <f>IF(N($AL36)&gt;0,INDEX(rIni_ADM,$AL36),"")</f>
        <v/>
      </c>
      <c r="F36" s="59">
        <f>IF(N($AL36)&gt;0,INDEX(rLim_ADM,$AL36),"")</f>
        <v/>
      </c>
      <c r="G36" s="59" t="n"/>
      <c r="H36" s="60" t="n"/>
      <c r="I36" s="60" t="n"/>
      <c r="J36" s="60" t="n"/>
      <c r="K36" s="60" t="n"/>
      <c r="L36" s="60" t="n"/>
      <c r="M36" s="61">
        <f>IF(NOT((COUNTA($B36:$D36)+COUNTA($G36:$L36)+COUNTA($Q36))&gt;0),"",IF(ISNUMBER($G36),1,IF(N($W36)&gt;0,AVERAGEIFS($X$5:$X$1000,$U$5:$U$1000,ROW(),$V$5:$V$1000,"Sub"),$X36)))</f>
        <v/>
      </c>
      <c r="N36" s="56">
        <f>IF($M36="","",IF($M36&gt;=1,"Completado",IF($M36&gt;0,"En curso","Pendiente")))</f>
        <v/>
      </c>
      <c r="O36" s="56">
        <f>IF(NOT((COUNTA($B36:$D36)+COUNTA($G36:$L36)+COUNTA($Q36))&gt;0),"",IF(ISNUMBER($G36),IF(AND(ISNUMBER($AN36),$G36&gt;$AN36),"Cumplida con "&amp;($G36-$AN36)&amp;IF($G36-$AN36=1," día"," días")&amp;" de retraso","Cumplida"),IF(N($M36)&gt;=1,"Cumplida",IF(NOT(ISNUMBER($AN36)),"Sin fecha límite",IF($AN36&lt;FechaRef,"Vencida hace "&amp;(FechaRef-$AN36)&amp;IF(FechaRef-$AN36=1," día"," días"),IF($AN36=FechaRef,"Vence hoy",IF($AN36-FechaRef&lt;=DiasAlerta,"Vence en "&amp;($AN36-FechaRef)&amp;IF($AN36-FechaRef=1," día"," días"),"En plazo")))))))</f>
        <v/>
      </c>
      <c r="P36" s="62" t="n"/>
      <c r="Q36" s="58" t="n"/>
      <c r="R36" s="63">
        <f>IF(NOT((COUNTA($B36:$D36)+COUNTA($G36:$L36)+COUNTA($Q36))&gt;0),"",IF((IF($C36="","Falta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",""))="","✔ OK","⚠ "&amp;LEFT(IF($C36="","Falta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",""),LEN(IF($C36="","Falta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",""))-3)))</f>
        <v/>
      </c>
      <c r="S36" s="64">
        <f>IF(NOT((COUNTA($B36:$D36)+COUNTA($G36:$L36)+COUNTA($Q36))&gt;0),"",IF(AND($V36="Sub",N($U36)&gt;0),IF(ISNUMBER(INDEX($AM$5:$AM$1000,$U36-4)),DATE(YEAR(INDEX($AM$5:$AM$1000,$U36-4)),MONTH(INDEX($AM$5:$AM$1000,$U36-4)),1),IF(ISNUMBER(INDEX($AN$5:$AN$1000,$U36-4)),DATE(YEAR(INDEX($AN$5:$AN$1000,$U36-4)),MONTH(INDEX($AN$5:$AN$1000,$U36-4)),1),MesCiclo)),IF(ISNUMBER($AM36),DATE(YEAR($AM36),MONTH($AM36),1),IF(ISNUMBER($AN36),DATE(YEAR($AN36),MONTH($AN36),1),MesCiclo))))</f>
        <v/>
      </c>
      <c r="T36" s="62">
        <f>IF(OR($S36="",$S36&lt;&gt;MesCiclo),"",COUNTIF($S$5:$S36,MesCiclo))</f>
        <v/>
      </c>
      <c r="U36" s="62">
        <f>IF($V36="","",IF($V36="Macro",ROW(),IFERROR(LOOKUP(2,1/($V$5:$V36="Macro"),ROW($V$5:$V36)),0)))</f>
        <v/>
      </c>
      <c r="V36" s="62">
        <f>IF(NOT((COUNTA($B36:$D36)+COUNTA($G36:$L36)+COUNTA($Q36))&gt;0),"",IF($B36="Subactividad","Sub","Macro"))</f>
        <v/>
      </c>
      <c r="W36" s="62">
        <f>IF($V36="Macro",COUNTIFS($U$5:$U$1000,ROW(),$V$5:$V$1000,"Sub"),"")</f>
        <v/>
      </c>
      <c r="X36" s="62">
        <f>IF($V36="","",IF(ISNUMBER($G36),1,IFERROR(LOOKUP(2,1/($I36:$L36&lt;&gt;""),$I36:$L36),0)))</f>
        <v/>
      </c>
      <c r="Y36" s="62">
        <f>IF($V36="","",IF(AND(ISNUMBER($G36),$G36&lt;=IF($S36=MesCiclo,InicioCiclo,$S36+MOD(2-WEEKDAY($S36),7))+6),1,IF(ISNUMBER($I36),$I36,0)))</f>
        <v/>
      </c>
      <c r="Z36" s="62">
        <f>IF($V36="","",IF(AND(ISNUMBER($G36),$G36&lt;=IF($S36=MesCiclo,InicioCiclo,$S36+MOD(2-WEEKDAY($S36),7))+13),1,IF(ISNUMBER($J36),$J36,$Y36)))</f>
        <v/>
      </c>
      <c r="AA36" s="62">
        <f>IF($V36="","",IF(AND(ISNUMBER($G36),$G36&lt;=IF($S36=MesCiclo,InicioCiclo,$S36+MOD(2-WEEKDAY($S36),7))+20),1,IF(ISNUMBER($K36),$K36,$Z36)))</f>
        <v/>
      </c>
      <c r="AB36" s="62">
        <f>IF($V36="","",IF(AND(ISNUMBER($G36),$G36&lt;=IF($S36=MesCiclo,InicioCiclo,$S36+MOD(2-WEEKDAY($S36),7))+27),1,IF(ISNUMBER($L36),$L36,$AA36)))</f>
        <v/>
      </c>
      <c r="AC36" s="62">
        <f>IF($V36="","",IF(AND(ISNUMBER($G36),$G36&lt;=IF($S36=MesCiclo,InicioCiclo,$S36+MOD(2-WEEKDAY($S36),7))+6),1,IF(N($W36)&gt;0,AVERAGEIFS($Y$5:$Y$1000,$U$5:$U$1000,ROW(),$V$5:$V$1000,"Sub"),$Y36)))</f>
        <v/>
      </c>
      <c r="AD36" s="62">
        <f>IF($V36="","",IF(AND(ISNUMBER($G36),$G36&lt;=IF($S36=MesCiclo,InicioCiclo,$S36+MOD(2-WEEKDAY($S36),7))+13),1,IF(N($W36)&gt;0,AVERAGEIFS($Z$5:$Z$1000,$U$5:$U$1000,ROW(),$V$5:$V$1000,"Sub"),$Z36)))</f>
        <v/>
      </c>
      <c r="AE36" s="62">
        <f>IF($V36="","",IF(AND(ISNUMBER($G36),$G36&lt;=IF($S36=MesCiclo,InicioCiclo,$S36+MOD(2-WEEKDAY($S36),7))+20),1,IF(N($W36)&gt;0,AVERAGEIFS($AA$5:$AA$1000,$U$5:$U$1000,ROW(),$V$5:$V$1000,"Sub"),$AA36)))</f>
        <v/>
      </c>
      <c r="AF36" s="62">
        <f>IF($V36="","",IF(AND(ISNUMBER($G36),$G36&lt;=IF($S36=MesCiclo,InicioCiclo,$S36+MOD(2-WEEKDAY($S36),7))+27),1,IF(N($W36)&gt;0,AVERAGEIFS($AB$5:$AB$1000,$U$5:$U$1000,ROW(),$V$5:$V$1000,"Sub"),$AB36)))</f>
        <v/>
      </c>
      <c r="AG36" s="62">
        <f>IF($V36&lt;&gt;"Macro","",IF(COUNTIFS($S$5:$S$1000,$S36,$V$5:$V$1000,"Macro",$H$5:$H$1000,"&gt;0")=0,1/COUNTIFS($S$5:$S$1000,$S36,$V$5:$V$1000,"Macro"),IF(AND(ISNUMBER($H36),N($H36)&gt;0),$H36,SUMIFS($H$5:$H$1000,$S$5:$S$1000,$S36,$V$5:$V$1000,"Macro")/COUNTIFS($S$5:$S$1000,$S36,$V$5:$V$1000,"Macro",$H$5:$H$1000,"&gt;0"))/(COUNTIFS($S$5:$S$1000,$S36,$V$5:$V$1000,"Macro")*SUMIFS($H$5:$H$1000,$S$5:$S$1000,$S36,$V$5:$V$1000,"Macro")/COUNTIFS($S$5:$S$1000,$S36,$V$5:$V$1000,"Macro",$H$5:$H$1000,"&gt;0"))))</f>
        <v/>
      </c>
      <c r="AH36" s="62" t="n"/>
      <c r="AI36" s="62" t="n"/>
      <c r="AJ36" s="62" t="n"/>
      <c r="AK36" s="62" t="n"/>
      <c r="AL36" s="62">
        <f>IF(LEFT($C36,11)="[Jefatura] ",IFERROR(MATCH("Riesgo Financiero|"&amp;MID($C36,12,500),rDname_ADM,0),0),"")</f>
        <v/>
      </c>
      <c r="AM36" s="62">
        <f>IF(N($AL36)&gt;0,INDEX(rIni_ADM,$AL36),IF(ISNUMBER($E36),$E36,""))</f>
        <v/>
      </c>
      <c r="AN36" s="62">
        <f>IF(N($AL36)&gt;0,INDEX(rLim_ADM,$AL36),IF(ISNUMBER($F36),$F36,""))</f>
        <v/>
      </c>
    </row>
    <row r="37">
      <c r="A37" s="56">
        <f>IF(NOT((COUNTA($B37:$D37)+COUNTA($G37:$L37)+COUNTA($Q37))&gt;0),"",IF($V37="Macro",COUNTIFS($V$5:$V37,"Macro",$S$5:$S37,$S37),IF(N($U37)=0,"?",COUNTIFS(INDEX($V$5:$V$1000,1):INDEX($V$5:$V$1000,$U37-4),"Macro",INDEX($S$5:$S$1000,1):INDEX($S$5:$S$1000,$U37-4),INDEX($S$5:$S$1000,$U37-4))&amp;"."&amp;COUNTIFS($U$5:$U37,$U37,$V$5:$V37,"Sub"))))</f>
        <v/>
      </c>
      <c r="B37" s="57" t="n"/>
      <c r="C37" s="58" t="n"/>
      <c r="D37" s="58" t="n"/>
      <c r="E37" s="59">
        <f>IF(N($AL37)&gt;0,INDEX(rIni_ADM,$AL37),"")</f>
        <v/>
      </c>
      <c r="F37" s="59">
        <f>IF(N($AL37)&gt;0,INDEX(rLim_ADM,$AL37),"")</f>
        <v/>
      </c>
      <c r="G37" s="59" t="n"/>
      <c r="H37" s="60" t="n"/>
      <c r="I37" s="60" t="n"/>
      <c r="J37" s="60" t="n"/>
      <c r="K37" s="60" t="n"/>
      <c r="L37" s="60" t="n"/>
      <c r="M37" s="61">
        <f>IF(NOT((COUNTA($B37:$D37)+COUNTA($G37:$L37)+COUNTA($Q37))&gt;0),"",IF(ISNUMBER($G37),1,IF(N($W37)&gt;0,AVERAGEIFS($X$5:$X$1000,$U$5:$U$1000,ROW(),$V$5:$V$1000,"Sub"),$X37)))</f>
        <v/>
      </c>
      <c r="N37" s="56">
        <f>IF($M37="","",IF($M37&gt;=1,"Completado",IF($M37&gt;0,"En curso","Pendiente")))</f>
        <v/>
      </c>
      <c r="O37" s="56">
        <f>IF(NOT((COUNTA($B37:$D37)+COUNTA($G37:$L37)+COUNTA($Q37))&gt;0),"",IF(ISNUMBER($G37),IF(AND(ISNUMBER($AN37),$G37&gt;$AN37),"Cumplida con "&amp;($G37-$AN37)&amp;IF($G37-$AN37=1," día"," días")&amp;" de retraso","Cumplida"),IF(N($M37)&gt;=1,"Cumplida",IF(NOT(ISNUMBER($AN37)),"Sin fecha límite",IF($AN37&lt;FechaRef,"Vencida hace "&amp;(FechaRef-$AN37)&amp;IF(FechaRef-$AN37=1," día"," días"),IF($AN37=FechaRef,"Vence hoy",IF($AN37-FechaRef&lt;=DiasAlerta,"Vence en "&amp;($AN37-FechaRef)&amp;IF($AN37-FechaRef=1," día"," días"),"En plazo")))))))</f>
        <v/>
      </c>
      <c r="P37" s="62" t="n"/>
      <c r="Q37" s="58" t="n"/>
      <c r="R37" s="63">
        <f>IF(NOT((COUNTA($B37:$D37)+COUNTA($G37:$L37)+COUNTA($Q37))&gt;0),"",IF((IF($C37="","Falta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",""))="","✔ OK","⚠ "&amp;LEFT(IF($C37="","Falta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",""),LEN(IF($C37="","Falta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",""))-3)))</f>
        <v/>
      </c>
      <c r="S37" s="64">
        <f>IF(NOT((COUNTA($B37:$D37)+COUNTA($G37:$L37)+COUNTA($Q37))&gt;0),"",IF(AND($V37="Sub",N($U37)&gt;0),IF(ISNUMBER(INDEX($AM$5:$AM$1000,$U37-4)),DATE(YEAR(INDEX($AM$5:$AM$1000,$U37-4)),MONTH(INDEX($AM$5:$AM$1000,$U37-4)),1),IF(ISNUMBER(INDEX($AN$5:$AN$1000,$U37-4)),DATE(YEAR(INDEX($AN$5:$AN$1000,$U37-4)),MONTH(INDEX($AN$5:$AN$1000,$U37-4)),1),MesCiclo)),IF(ISNUMBER($AM37),DATE(YEAR($AM37),MONTH($AM37),1),IF(ISNUMBER($AN37),DATE(YEAR($AN37),MONTH($AN37),1),MesCiclo))))</f>
        <v/>
      </c>
      <c r="T37" s="62">
        <f>IF(OR($S37="",$S37&lt;&gt;MesCiclo),"",COUNTIF($S$5:$S37,MesCiclo))</f>
        <v/>
      </c>
      <c r="U37" s="62">
        <f>IF($V37="","",IF($V37="Macro",ROW(),IFERROR(LOOKUP(2,1/($V$5:$V37="Macro"),ROW($V$5:$V37)),0)))</f>
        <v/>
      </c>
      <c r="V37" s="62">
        <f>IF(NOT((COUNTA($B37:$D37)+COUNTA($G37:$L37)+COUNTA($Q37))&gt;0),"",IF($B37="Subactividad","Sub","Macro"))</f>
        <v/>
      </c>
      <c r="W37" s="62">
        <f>IF($V37="Macro",COUNTIFS($U$5:$U$1000,ROW(),$V$5:$V$1000,"Sub"),"")</f>
        <v/>
      </c>
      <c r="X37" s="62">
        <f>IF($V37="","",IF(ISNUMBER($G37),1,IFERROR(LOOKUP(2,1/($I37:$L37&lt;&gt;""),$I37:$L37),0)))</f>
        <v/>
      </c>
      <c r="Y37" s="62">
        <f>IF($V37="","",IF(AND(ISNUMBER($G37),$G37&lt;=IF($S37=MesCiclo,InicioCiclo,$S37+MOD(2-WEEKDAY($S37),7))+6),1,IF(ISNUMBER($I37),$I37,0)))</f>
        <v/>
      </c>
      <c r="Z37" s="62">
        <f>IF($V37="","",IF(AND(ISNUMBER($G37),$G37&lt;=IF($S37=MesCiclo,InicioCiclo,$S37+MOD(2-WEEKDAY($S37),7))+13),1,IF(ISNUMBER($J37),$J37,$Y37)))</f>
        <v/>
      </c>
      <c r="AA37" s="62">
        <f>IF($V37="","",IF(AND(ISNUMBER($G37),$G37&lt;=IF($S37=MesCiclo,InicioCiclo,$S37+MOD(2-WEEKDAY($S37),7))+20),1,IF(ISNUMBER($K37),$K37,$Z37)))</f>
        <v/>
      </c>
      <c r="AB37" s="62">
        <f>IF($V37="","",IF(AND(ISNUMBER($G37),$G37&lt;=IF($S37=MesCiclo,InicioCiclo,$S37+MOD(2-WEEKDAY($S37),7))+27),1,IF(ISNUMBER($L37),$L37,$AA37)))</f>
        <v/>
      </c>
      <c r="AC37" s="62">
        <f>IF($V37="","",IF(AND(ISNUMBER($G37),$G37&lt;=IF($S37=MesCiclo,InicioCiclo,$S37+MOD(2-WEEKDAY($S37),7))+6),1,IF(N($W37)&gt;0,AVERAGEIFS($Y$5:$Y$1000,$U$5:$U$1000,ROW(),$V$5:$V$1000,"Sub"),$Y37)))</f>
        <v/>
      </c>
      <c r="AD37" s="62">
        <f>IF($V37="","",IF(AND(ISNUMBER($G37),$G37&lt;=IF($S37=MesCiclo,InicioCiclo,$S37+MOD(2-WEEKDAY($S37),7))+13),1,IF(N($W37)&gt;0,AVERAGEIFS($Z$5:$Z$1000,$U$5:$U$1000,ROW(),$V$5:$V$1000,"Sub"),$Z37)))</f>
        <v/>
      </c>
      <c r="AE37" s="62">
        <f>IF($V37="","",IF(AND(ISNUMBER($G37),$G37&lt;=IF($S37=MesCiclo,InicioCiclo,$S37+MOD(2-WEEKDAY($S37),7))+20),1,IF(N($W37)&gt;0,AVERAGEIFS($AA$5:$AA$1000,$U$5:$U$1000,ROW(),$V$5:$V$1000,"Sub"),$AA37)))</f>
        <v/>
      </c>
      <c r="AF37" s="62">
        <f>IF($V37="","",IF(AND(ISNUMBER($G37),$G37&lt;=IF($S37=MesCiclo,InicioCiclo,$S37+MOD(2-WEEKDAY($S37),7))+27),1,IF(N($W37)&gt;0,AVERAGEIFS($AB$5:$AB$1000,$U$5:$U$1000,ROW(),$V$5:$V$1000,"Sub"),$AB37)))</f>
        <v/>
      </c>
      <c r="AG37" s="62">
        <f>IF($V37&lt;&gt;"Macro","",IF(COUNTIFS($S$5:$S$1000,$S37,$V$5:$V$1000,"Macro",$H$5:$H$1000,"&gt;0")=0,1/COUNTIFS($S$5:$S$1000,$S37,$V$5:$V$1000,"Macro"),IF(AND(ISNUMBER($H37),N($H37)&gt;0),$H37,SUMIFS($H$5:$H$1000,$S$5:$S$1000,$S37,$V$5:$V$1000,"Macro")/COUNTIFS($S$5:$S$1000,$S37,$V$5:$V$1000,"Macro",$H$5:$H$1000,"&gt;0"))/(COUNTIFS($S$5:$S$1000,$S37,$V$5:$V$1000,"Macro")*SUMIFS($H$5:$H$1000,$S$5:$S$1000,$S37,$V$5:$V$1000,"Macro")/COUNTIFS($S$5:$S$1000,$S37,$V$5:$V$1000,"Macro",$H$5:$H$1000,"&gt;0"))))</f>
        <v/>
      </c>
      <c r="AH37" s="62" t="n"/>
      <c r="AI37" s="62" t="n"/>
      <c r="AJ37" s="62" t="n"/>
      <c r="AK37" s="62" t="n"/>
      <c r="AL37" s="62">
        <f>IF(LEFT($C37,11)="[Jefatura] ",IFERROR(MATCH("Riesgo Financiero|"&amp;MID($C37,12,500),rDname_ADM,0),0),"")</f>
        <v/>
      </c>
      <c r="AM37" s="62">
        <f>IF(N($AL37)&gt;0,INDEX(rIni_ADM,$AL37),IF(ISNUMBER($E37),$E37,""))</f>
        <v/>
      </c>
      <c r="AN37" s="62">
        <f>IF(N($AL37)&gt;0,INDEX(rLim_ADM,$AL37),IF(ISNUMBER($F37),$F37,""))</f>
        <v/>
      </c>
    </row>
    <row r="38">
      <c r="A38" s="56">
        <f>IF(NOT((COUNTA($B38:$D38)+COUNTA($G38:$L38)+COUNTA($Q38))&gt;0),"",IF($V38="Macro",COUNTIFS($V$5:$V38,"Macro",$S$5:$S38,$S38),IF(N($U38)=0,"?",COUNTIFS(INDEX($V$5:$V$1000,1):INDEX($V$5:$V$1000,$U38-4),"Macro",INDEX($S$5:$S$1000,1):INDEX($S$5:$S$1000,$U38-4),INDEX($S$5:$S$1000,$U38-4))&amp;"."&amp;COUNTIFS($U$5:$U38,$U38,$V$5:$V38,"Sub"))))</f>
        <v/>
      </c>
      <c r="B38" s="57" t="n"/>
      <c r="C38" s="58" t="n"/>
      <c r="D38" s="58" t="n"/>
      <c r="E38" s="59">
        <f>IF(N($AL38)&gt;0,INDEX(rIni_ADM,$AL38),"")</f>
        <v/>
      </c>
      <c r="F38" s="59">
        <f>IF(N($AL38)&gt;0,INDEX(rLim_ADM,$AL38),"")</f>
        <v/>
      </c>
      <c r="G38" s="59" t="n"/>
      <c r="H38" s="60" t="n"/>
      <c r="I38" s="60" t="n"/>
      <c r="J38" s="60" t="n"/>
      <c r="K38" s="60" t="n"/>
      <c r="L38" s="60" t="n"/>
      <c r="M38" s="61">
        <f>IF(NOT((COUNTA($B38:$D38)+COUNTA($G38:$L38)+COUNTA($Q38))&gt;0),"",IF(ISNUMBER($G38),1,IF(N($W38)&gt;0,AVERAGEIFS($X$5:$X$1000,$U$5:$U$1000,ROW(),$V$5:$V$1000,"Sub"),$X38)))</f>
        <v/>
      </c>
      <c r="N38" s="56">
        <f>IF($M38="","",IF($M38&gt;=1,"Completado",IF($M38&gt;0,"En curso","Pendiente")))</f>
        <v/>
      </c>
      <c r="O38" s="56">
        <f>IF(NOT((COUNTA($B38:$D38)+COUNTA($G38:$L38)+COUNTA($Q38))&gt;0),"",IF(ISNUMBER($G38),IF(AND(ISNUMBER($AN38),$G38&gt;$AN38),"Cumplida con "&amp;($G38-$AN38)&amp;IF($G38-$AN38=1," día"," días")&amp;" de retraso","Cumplida"),IF(N($M38)&gt;=1,"Cumplida",IF(NOT(ISNUMBER($AN38)),"Sin fecha límite",IF($AN38&lt;FechaRef,"Vencida hace "&amp;(FechaRef-$AN38)&amp;IF(FechaRef-$AN38=1," día"," días"),IF($AN38=FechaRef,"Vence hoy",IF($AN38-FechaRef&lt;=DiasAlerta,"Vence en "&amp;($AN38-FechaRef)&amp;IF($AN38-FechaRef=1," día"," días"),"En plazo")))))))</f>
        <v/>
      </c>
      <c r="P38" s="62" t="n"/>
      <c r="Q38" s="58" t="n"/>
      <c r="R38" s="63">
        <f>IF(NOT((COUNTA($B38:$D38)+COUNTA($G38:$L38)+COUNTA($Q38))&gt;0),"",IF((IF($C38="","Falta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",""))="","✔ OK","⚠ "&amp;LEFT(IF($C38="","Falta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",""),LEN(IF($C38="","Falta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",""))-3)))</f>
        <v/>
      </c>
      <c r="S38" s="64">
        <f>IF(NOT((COUNTA($B38:$D38)+COUNTA($G38:$L38)+COUNTA($Q38))&gt;0),"",IF(AND($V38="Sub",N($U38)&gt;0),IF(ISNUMBER(INDEX($AM$5:$AM$1000,$U38-4)),DATE(YEAR(INDEX($AM$5:$AM$1000,$U38-4)),MONTH(INDEX($AM$5:$AM$1000,$U38-4)),1),IF(ISNUMBER(INDEX($AN$5:$AN$1000,$U38-4)),DATE(YEAR(INDEX($AN$5:$AN$1000,$U38-4)),MONTH(INDEX($AN$5:$AN$1000,$U38-4)),1),MesCiclo)),IF(ISNUMBER($AM38),DATE(YEAR($AM38),MONTH($AM38),1),IF(ISNUMBER($AN38),DATE(YEAR($AN38),MONTH($AN38),1),MesCiclo))))</f>
        <v/>
      </c>
      <c r="T38" s="62">
        <f>IF(OR($S38="",$S38&lt;&gt;MesCiclo),"",COUNTIF($S$5:$S38,MesCiclo))</f>
        <v/>
      </c>
      <c r="U38" s="62">
        <f>IF($V38="","",IF($V38="Macro",ROW(),IFERROR(LOOKUP(2,1/($V$5:$V38="Macro"),ROW($V$5:$V38)),0)))</f>
        <v/>
      </c>
      <c r="V38" s="62">
        <f>IF(NOT((COUNTA($B38:$D38)+COUNTA($G38:$L38)+COUNTA($Q38))&gt;0),"",IF($B38="Subactividad","Sub","Macro"))</f>
        <v/>
      </c>
      <c r="W38" s="62">
        <f>IF($V38="Macro",COUNTIFS($U$5:$U$1000,ROW(),$V$5:$V$1000,"Sub"),"")</f>
        <v/>
      </c>
      <c r="X38" s="62">
        <f>IF($V38="","",IF(ISNUMBER($G38),1,IFERROR(LOOKUP(2,1/($I38:$L38&lt;&gt;""),$I38:$L38),0)))</f>
        <v/>
      </c>
      <c r="Y38" s="62">
        <f>IF($V38="","",IF(AND(ISNUMBER($G38),$G38&lt;=IF($S38=MesCiclo,InicioCiclo,$S38+MOD(2-WEEKDAY($S38),7))+6),1,IF(ISNUMBER($I38),$I38,0)))</f>
        <v/>
      </c>
      <c r="Z38" s="62">
        <f>IF($V38="","",IF(AND(ISNUMBER($G38),$G38&lt;=IF($S38=MesCiclo,InicioCiclo,$S38+MOD(2-WEEKDAY($S38),7))+13),1,IF(ISNUMBER($J38),$J38,$Y38)))</f>
        <v/>
      </c>
      <c r="AA38" s="62">
        <f>IF($V38="","",IF(AND(ISNUMBER($G38),$G38&lt;=IF($S38=MesCiclo,InicioCiclo,$S38+MOD(2-WEEKDAY($S38),7))+20),1,IF(ISNUMBER($K38),$K38,$Z38)))</f>
        <v/>
      </c>
      <c r="AB38" s="62">
        <f>IF($V38="","",IF(AND(ISNUMBER($G38),$G38&lt;=IF($S38=MesCiclo,InicioCiclo,$S38+MOD(2-WEEKDAY($S38),7))+27),1,IF(ISNUMBER($L38),$L38,$AA38)))</f>
        <v/>
      </c>
      <c r="AC38" s="62">
        <f>IF($V38="","",IF(AND(ISNUMBER($G38),$G38&lt;=IF($S38=MesCiclo,InicioCiclo,$S38+MOD(2-WEEKDAY($S38),7))+6),1,IF(N($W38)&gt;0,AVERAGEIFS($Y$5:$Y$1000,$U$5:$U$1000,ROW(),$V$5:$V$1000,"Sub"),$Y38)))</f>
        <v/>
      </c>
      <c r="AD38" s="62">
        <f>IF($V38="","",IF(AND(ISNUMBER($G38),$G38&lt;=IF($S38=MesCiclo,InicioCiclo,$S38+MOD(2-WEEKDAY($S38),7))+13),1,IF(N($W38)&gt;0,AVERAGEIFS($Z$5:$Z$1000,$U$5:$U$1000,ROW(),$V$5:$V$1000,"Sub"),$Z38)))</f>
        <v/>
      </c>
      <c r="AE38" s="62">
        <f>IF($V38="","",IF(AND(ISNUMBER($G38),$G38&lt;=IF($S38=MesCiclo,InicioCiclo,$S38+MOD(2-WEEKDAY($S38),7))+20),1,IF(N($W38)&gt;0,AVERAGEIFS($AA$5:$AA$1000,$U$5:$U$1000,ROW(),$V$5:$V$1000,"Sub"),$AA38)))</f>
        <v/>
      </c>
      <c r="AF38" s="62">
        <f>IF($V38="","",IF(AND(ISNUMBER($G38),$G38&lt;=IF($S38=MesCiclo,InicioCiclo,$S38+MOD(2-WEEKDAY($S38),7))+27),1,IF(N($W38)&gt;0,AVERAGEIFS($AB$5:$AB$1000,$U$5:$U$1000,ROW(),$V$5:$V$1000,"Sub"),$AB38)))</f>
        <v/>
      </c>
      <c r="AG38" s="62">
        <f>IF($V38&lt;&gt;"Macro","",IF(COUNTIFS($S$5:$S$1000,$S38,$V$5:$V$1000,"Macro",$H$5:$H$1000,"&gt;0")=0,1/COUNTIFS($S$5:$S$1000,$S38,$V$5:$V$1000,"Macro"),IF(AND(ISNUMBER($H38),N($H38)&gt;0),$H38,SUMIFS($H$5:$H$1000,$S$5:$S$1000,$S38,$V$5:$V$1000,"Macro")/COUNTIFS($S$5:$S$1000,$S38,$V$5:$V$1000,"Macro",$H$5:$H$1000,"&gt;0"))/(COUNTIFS($S$5:$S$1000,$S38,$V$5:$V$1000,"Macro")*SUMIFS($H$5:$H$1000,$S$5:$S$1000,$S38,$V$5:$V$1000,"Macro")/COUNTIFS($S$5:$S$1000,$S38,$V$5:$V$1000,"Macro",$H$5:$H$1000,"&gt;0"))))</f>
        <v/>
      </c>
      <c r="AH38" s="62" t="n"/>
      <c r="AI38" s="62" t="n"/>
      <c r="AJ38" s="62" t="n"/>
      <c r="AK38" s="62" t="n"/>
      <c r="AL38" s="62">
        <f>IF(LEFT($C38,11)="[Jefatura] ",IFERROR(MATCH("Riesgo Financiero|"&amp;MID($C38,12,500),rDname_ADM,0),0),"")</f>
        <v/>
      </c>
      <c r="AM38" s="62">
        <f>IF(N($AL38)&gt;0,INDEX(rIni_ADM,$AL38),IF(ISNUMBER($E38),$E38,""))</f>
        <v/>
      </c>
      <c r="AN38" s="62">
        <f>IF(N($AL38)&gt;0,INDEX(rLim_ADM,$AL38),IF(ISNUMBER($F38),$F38,""))</f>
        <v/>
      </c>
    </row>
    <row r="39">
      <c r="A39" s="56">
        <f>IF(NOT((COUNTA($B39:$D39)+COUNTA($G39:$L39)+COUNTA($Q39))&gt;0),"",IF($V39="Macro",COUNTIFS($V$5:$V39,"Macro",$S$5:$S39,$S39),IF(N($U39)=0,"?",COUNTIFS(INDEX($V$5:$V$1000,1):INDEX($V$5:$V$1000,$U39-4),"Macro",INDEX($S$5:$S$1000,1):INDEX($S$5:$S$1000,$U39-4),INDEX($S$5:$S$1000,$U39-4))&amp;"."&amp;COUNTIFS($U$5:$U39,$U39,$V$5:$V39,"Sub"))))</f>
        <v/>
      </c>
      <c r="B39" s="57" t="n"/>
      <c r="C39" s="58" t="n"/>
      <c r="D39" s="58" t="n"/>
      <c r="E39" s="59">
        <f>IF(N($AL39)&gt;0,INDEX(rIni_ADM,$AL39),"")</f>
        <v/>
      </c>
      <c r="F39" s="59">
        <f>IF(N($AL39)&gt;0,INDEX(rLim_ADM,$AL39),"")</f>
        <v/>
      </c>
      <c r="G39" s="59" t="n"/>
      <c r="H39" s="60" t="n"/>
      <c r="I39" s="60" t="n"/>
      <c r="J39" s="60" t="n"/>
      <c r="K39" s="60" t="n"/>
      <c r="L39" s="60" t="n"/>
      <c r="M39" s="61">
        <f>IF(NOT((COUNTA($B39:$D39)+COUNTA($G39:$L39)+COUNTA($Q39))&gt;0),"",IF(ISNUMBER($G39),1,IF(N($W39)&gt;0,AVERAGEIFS($X$5:$X$1000,$U$5:$U$1000,ROW(),$V$5:$V$1000,"Sub"),$X39)))</f>
        <v/>
      </c>
      <c r="N39" s="56">
        <f>IF($M39="","",IF($M39&gt;=1,"Completado",IF($M39&gt;0,"En curso","Pendiente")))</f>
        <v/>
      </c>
      <c r="O39" s="56">
        <f>IF(NOT((COUNTA($B39:$D39)+COUNTA($G39:$L39)+COUNTA($Q39))&gt;0),"",IF(ISNUMBER($G39),IF(AND(ISNUMBER($AN39),$G39&gt;$AN39),"Cumplida con "&amp;($G39-$AN39)&amp;IF($G39-$AN39=1," día"," días")&amp;" de retraso","Cumplida"),IF(N($M39)&gt;=1,"Cumplida",IF(NOT(ISNUMBER($AN39)),"Sin fecha límite",IF($AN39&lt;FechaRef,"Vencida hace "&amp;(FechaRef-$AN39)&amp;IF(FechaRef-$AN39=1," día"," días"),IF($AN39=FechaRef,"Vence hoy",IF($AN39-FechaRef&lt;=DiasAlerta,"Vence en "&amp;($AN39-FechaRef)&amp;IF($AN39-FechaRef=1," día"," días"),"En plazo")))))))</f>
        <v/>
      </c>
      <c r="P39" s="62" t="n"/>
      <c r="Q39" s="58" t="n"/>
      <c r="R39" s="63">
        <f>IF(NOT((COUNTA($B39:$D39)+COUNTA($G39:$L39)+COUNTA($Q39))&gt;0),"",IF((IF($C39="","Falta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",""))="","✔ OK","⚠ "&amp;LEFT(IF($C39="","Falta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",""),LEN(IF($C39="","Falta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",""))-3)))</f>
        <v/>
      </c>
      <c r="S39" s="64">
        <f>IF(NOT((COUNTA($B39:$D39)+COUNTA($G39:$L39)+COUNTA($Q39))&gt;0),"",IF(AND($V39="Sub",N($U39)&gt;0),IF(ISNUMBER(INDEX($AM$5:$AM$1000,$U39-4)),DATE(YEAR(INDEX($AM$5:$AM$1000,$U39-4)),MONTH(INDEX($AM$5:$AM$1000,$U39-4)),1),IF(ISNUMBER(INDEX($AN$5:$AN$1000,$U39-4)),DATE(YEAR(INDEX($AN$5:$AN$1000,$U39-4)),MONTH(INDEX($AN$5:$AN$1000,$U39-4)),1),MesCiclo)),IF(ISNUMBER($AM39),DATE(YEAR($AM39),MONTH($AM39),1),IF(ISNUMBER($AN39),DATE(YEAR($AN39),MONTH($AN39),1),MesCiclo))))</f>
        <v/>
      </c>
      <c r="T39" s="62">
        <f>IF(OR($S39="",$S39&lt;&gt;MesCiclo),"",COUNTIF($S$5:$S39,MesCiclo))</f>
        <v/>
      </c>
      <c r="U39" s="62">
        <f>IF($V39="","",IF($V39="Macro",ROW(),IFERROR(LOOKUP(2,1/($V$5:$V39="Macro"),ROW($V$5:$V39)),0)))</f>
        <v/>
      </c>
      <c r="V39" s="62">
        <f>IF(NOT((COUNTA($B39:$D39)+COUNTA($G39:$L39)+COUNTA($Q39))&gt;0),"",IF($B39="Subactividad","Sub","Macro"))</f>
        <v/>
      </c>
      <c r="W39" s="62">
        <f>IF($V39="Macro",COUNTIFS($U$5:$U$1000,ROW(),$V$5:$V$1000,"Sub"),"")</f>
        <v/>
      </c>
      <c r="X39" s="62">
        <f>IF($V39="","",IF(ISNUMBER($G39),1,IFERROR(LOOKUP(2,1/($I39:$L39&lt;&gt;""),$I39:$L39),0)))</f>
        <v/>
      </c>
      <c r="Y39" s="62">
        <f>IF($V39="","",IF(AND(ISNUMBER($G39),$G39&lt;=IF($S39=MesCiclo,InicioCiclo,$S39+MOD(2-WEEKDAY($S39),7))+6),1,IF(ISNUMBER($I39),$I39,0)))</f>
        <v/>
      </c>
      <c r="Z39" s="62">
        <f>IF($V39="","",IF(AND(ISNUMBER($G39),$G39&lt;=IF($S39=MesCiclo,InicioCiclo,$S39+MOD(2-WEEKDAY($S39),7))+13),1,IF(ISNUMBER($J39),$J39,$Y39)))</f>
        <v/>
      </c>
      <c r="AA39" s="62">
        <f>IF($V39="","",IF(AND(ISNUMBER($G39),$G39&lt;=IF($S39=MesCiclo,InicioCiclo,$S39+MOD(2-WEEKDAY($S39),7))+20),1,IF(ISNUMBER($K39),$K39,$Z39)))</f>
        <v/>
      </c>
      <c r="AB39" s="62">
        <f>IF($V39="","",IF(AND(ISNUMBER($G39),$G39&lt;=IF($S39=MesCiclo,InicioCiclo,$S39+MOD(2-WEEKDAY($S39),7))+27),1,IF(ISNUMBER($L39),$L39,$AA39)))</f>
        <v/>
      </c>
      <c r="AC39" s="62">
        <f>IF($V39="","",IF(AND(ISNUMBER($G39),$G39&lt;=IF($S39=MesCiclo,InicioCiclo,$S39+MOD(2-WEEKDAY($S39),7))+6),1,IF(N($W39)&gt;0,AVERAGEIFS($Y$5:$Y$1000,$U$5:$U$1000,ROW(),$V$5:$V$1000,"Sub"),$Y39)))</f>
        <v/>
      </c>
      <c r="AD39" s="62">
        <f>IF($V39="","",IF(AND(ISNUMBER($G39),$G39&lt;=IF($S39=MesCiclo,InicioCiclo,$S39+MOD(2-WEEKDAY($S39),7))+13),1,IF(N($W39)&gt;0,AVERAGEIFS($Z$5:$Z$1000,$U$5:$U$1000,ROW(),$V$5:$V$1000,"Sub"),$Z39)))</f>
        <v/>
      </c>
      <c r="AE39" s="62">
        <f>IF($V39="","",IF(AND(ISNUMBER($G39),$G39&lt;=IF($S39=MesCiclo,InicioCiclo,$S39+MOD(2-WEEKDAY($S39),7))+20),1,IF(N($W39)&gt;0,AVERAGEIFS($AA$5:$AA$1000,$U$5:$U$1000,ROW(),$V$5:$V$1000,"Sub"),$AA39)))</f>
        <v/>
      </c>
      <c r="AF39" s="62">
        <f>IF($V39="","",IF(AND(ISNUMBER($G39),$G39&lt;=IF($S39=MesCiclo,InicioCiclo,$S39+MOD(2-WEEKDAY($S39),7))+27),1,IF(N($W39)&gt;0,AVERAGEIFS($AB$5:$AB$1000,$U$5:$U$1000,ROW(),$V$5:$V$1000,"Sub"),$AB39)))</f>
        <v/>
      </c>
      <c r="AG39" s="62">
        <f>IF($V39&lt;&gt;"Macro","",IF(COUNTIFS($S$5:$S$1000,$S39,$V$5:$V$1000,"Macro",$H$5:$H$1000,"&gt;0")=0,1/COUNTIFS($S$5:$S$1000,$S39,$V$5:$V$1000,"Macro"),IF(AND(ISNUMBER($H39),N($H39)&gt;0),$H39,SUMIFS($H$5:$H$1000,$S$5:$S$1000,$S39,$V$5:$V$1000,"Macro")/COUNTIFS($S$5:$S$1000,$S39,$V$5:$V$1000,"Macro",$H$5:$H$1000,"&gt;0"))/(COUNTIFS($S$5:$S$1000,$S39,$V$5:$V$1000,"Macro")*SUMIFS($H$5:$H$1000,$S$5:$S$1000,$S39,$V$5:$V$1000,"Macro")/COUNTIFS($S$5:$S$1000,$S39,$V$5:$V$1000,"Macro",$H$5:$H$1000,"&gt;0"))))</f>
        <v/>
      </c>
      <c r="AH39" s="62" t="n"/>
      <c r="AI39" s="62" t="n"/>
      <c r="AJ39" s="62" t="n"/>
      <c r="AK39" s="62" t="n"/>
      <c r="AL39" s="62">
        <f>IF(LEFT($C39,11)="[Jefatura] ",IFERROR(MATCH("Riesgo Financiero|"&amp;MID($C39,12,500),rDname_ADM,0),0),"")</f>
        <v/>
      </c>
      <c r="AM39" s="62">
        <f>IF(N($AL39)&gt;0,INDEX(rIni_ADM,$AL39),IF(ISNUMBER($E39),$E39,""))</f>
        <v/>
      </c>
      <c r="AN39" s="62">
        <f>IF(N($AL39)&gt;0,INDEX(rLim_ADM,$AL39),IF(ISNUMBER($F39),$F39,""))</f>
        <v/>
      </c>
    </row>
    <row r="40">
      <c r="A40" s="56">
        <f>IF(NOT((COUNTA($B40:$D40)+COUNTA($G40:$L40)+COUNTA($Q40))&gt;0),"",IF($V40="Macro",COUNTIFS($V$5:$V40,"Macro",$S$5:$S40,$S40),IF(N($U40)=0,"?",COUNTIFS(INDEX($V$5:$V$1000,1):INDEX($V$5:$V$1000,$U40-4),"Macro",INDEX($S$5:$S$1000,1):INDEX($S$5:$S$1000,$U40-4),INDEX($S$5:$S$1000,$U40-4))&amp;"."&amp;COUNTIFS($U$5:$U40,$U40,$V$5:$V40,"Sub"))))</f>
        <v/>
      </c>
      <c r="B40" s="57" t="n"/>
      <c r="C40" s="58" t="n"/>
      <c r="D40" s="58" t="n"/>
      <c r="E40" s="59">
        <f>IF(N($AL40)&gt;0,INDEX(rIni_ADM,$AL40),"")</f>
        <v/>
      </c>
      <c r="F40" s="59">
        <f>IF(N($AL40)&gt;0,INDEX(rLim_ADM,$AL40),"")</f>
        <v/>
      </c>
      <c r="G40" s="59" t="n"/>
      <c r="H40" s="60" t="n"/>
      <c r="I40" s="60" t="n"/>
      <c r="J40" s="60" t="n"/>
      <c r="K40" s="60" t="n"/>
      <c r="L40" s="60" t="n"/>
      <c r="M40" s="61">
        <f>IF(NOT((COUNTA($B40:$D40)+COUNTA($G40:$L40)+COUNTA($Q40))&gt;0),"",IF(ISNUMBER($G40),1,IF(N($W40)&gt;0,AVERAGEIFS($X$5:$X$1000,$U$5:$U$1000,ROW(),$V$5:$V$1000,"Sub"),$X40)))</f>
        <v/>
      </c>
      <c r="N40" s="56">
        <f>IF($M40="","",IF($M40&gt;=1,"Completado",IF($M40&gt;0,"En curso","Pendiente")))</f>
        <v/>
      </c>
      <c r="O40" s="56">
        <f>IF(NOT((COUNTA($B40:$D40)+COUNTA($G40:$L40)+COUNTA($Q40))&gt;0),"",IF(ISNUMBER($G40),IF(AND(ISNUMBER($AN40),$G40&gt;$AN40),"Cumplida con "&amp;($G40-$AN40)&amp;IF($G40-$AN40=1," día"," días")&amp;" de retraso","Cumplida"),IF(N($M40)&gt;=1,"Cumplida",IF(NOT(ISNUMBER($AN40)),"Sin fecha límite",IF($AN40&lt;FechaRef,"Vencida hace "&amp;(FechaRef-$AN40)&amp;IF(FechaRef-$AN40=1," día"," días"),IF($AN40=FechaRef,"Vence hoy",IF($AN40-FechaRef&lt;=DiasAlerta,"Vence en "&amp;($AN40-FechaRef)&amp;IF($AN40-FechaRef=1," día"," días"),"En plazo")))))))</f>
        <v/>
      </c>
      <c r="P40" s="62" t="n"/>
      <c r="Q40" s="58" t="n"/>
      <c r="R40" s="63">
        <f>IF(NOT((COUNTA($B40:$D40)+COUNTA($G40:$L40)+COUNTA($Q40))&gt;0),"",IF((IF($C40="","Falta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",""))="","✔ OK","⚠ "&amp;LEFT(IF($C40="","Falta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",""),LEN(IF($C40="","Falta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",""))-3)))</f>
        <v/>
      </c>
      <c r="S40" s="64">
        <f>IF(NOT((COUNTA($B40:$D40)+COUNTA($G40:$L40)+COUNTA($Q40))&gt;0),"",IF(AND($V40="Sub",N($U40)&gt;0),IF(ISNUMBER(INDEX($AM$5:$AM$1000,$U40-4)),DATE(YEAR(INDEX($AM$5:$AM$1000,$U40-4)),MONTH(INDEX($AM$5:$AM$1000,$U40-4)),1),IF(ISNUMBER(INDEX($AN$5:$AN$1000,$U40-4)),DATE(YEAR(INDEX($AN$5:$AN$1000,$U40-4)),MONTH(INDEX($AN$5:$AN$1000,$U40-4)),1),MesCiclo)),IF(ISNUMBER($AM40),DATE(YEAR($AM40),MONTH($AM40),1),IF(ISNUMBER($AN40),DATE(YEAR($AN40),MONTH($AN40),1),MesCiclo))))</f>
        <v/>
      </c>
      <c r="T40" s="62">
        <f>IF(OR($S40="",$S40&lt;&gt;MesCiclo),"",COUNTIF($S$5:$S40,MesCiclo))</f>
        <v/>
      </c>
      <c r="U40" s="62">
        <f>IF($V40="","",IF($V40="Macro",ROW(),IFERROR(LOOKUP(2,1/($V$5:$V40="Macro"),ROW($V$5:$V40)),0)))</f>
        <v/>
      </c>
      <c r="V40" s="62">
        <f>IF(NOT((COUNTA($B40:$D40)+COUNTA($G40:$L40)+COUNTA($Q40))&gt;0),"",IF($B40="Subactividad","Sub","Macro"))</f>
        <v/>
      </c>
      <c r="W40" s="62">
        <f>IF($V40="Macro",COUNTIFS($U$5:$U$1000,ROW(),$V$5:$V$1000,"Sub"),"")</f>
        <v/>
      </c>
      <c r="X40" s="62">
        <f>IF($V40="","",IF(ISNUMBER($G40),1,IFERROR(LOOKUP(2,1/($I40:$L40&lt;&gt;""),$I40:$L40),0)))</f>
        <v/>
      </c>
      <c r="Y40" s="62">
        <f>IF($V40="","",IF(AND(ISNUMBER($G40),$G40&lt;=IF($S40=MesCiclo,InicioCiclo,$S40+MOD(2-WEEKDAY($S40),7))+6),1,IF(ISNUMBER($I40),$I40,0)))</f>
        <v/>
      </c>
      <c r="Z40" s="62">
        <f>IF($V40="","",IF(AND(ISNUMBER($G40),$G40&lt;=IF($S40=MesCiclo,InicioCiclo,$S40+MOD(2-WEEKDAY($S40),7))+13),1,IF(ISNUMBER($J40),$J40,$Y40)))</f>
        <v/>
      </c>
      <c r="AA40" s="62">
        <f>IF($V40="","",IF(AND(ISNUMBER($G40),$G40&lt;=IF($S40=MesCiclo,InicioCiclo,$S40+MOD(2-WEEKDAY($S40),7))+20),1,IF(ISNUMBER($K40),$K40,$Z40)))</f>
        <v/>
      </c>
      <c r="AB40" s="62">
        <f>IF($V40="","",IF(AND(ISNUMBER($G40),$G40&lt;=IF($S40=MesCiclo,InicioCiclo,$S40+MOD(2-WEEKDAY($S40),7))+27),1,IF(ISNUMBER($L40),$L40,$AA40)))</f>
        <v/>
      </c>
      <c r="AC40" s="62">
        <f>IF($V40="","",IF(AND(ISNUMBER($G40),$G40&lt;=IF($S40=MesCiclo,InicioCiclo,$S40+MOD(2-WEEKDAY($S40),7))+6),1,IF(N($W40)&gt;0,AVERAGEIFS($Y$5:$Y$1000,$U$5:$U$1000,ROW(),$V$5:$V$1000,"Sub"),$Y40)))</f>
        <v/>
      </c>
      <c r="AD40" s="62">
        <f>IF($V40="","",IF(AND(ISNUMBER($G40),$G40&lt;=IF($S40=MesCiclo,InicioCiclo,$S40+MOD(2-WEEKDAY($S40),7))+13),1,IF(N($W40)&gt;0,AVERAGEIFS($Z$5:$Z$1000,$U$5:$U$1000,ROW(),$V$5:$V$1000,"Sub"),$Z40)))</f>
        <v/>
      </c>
      <c r="AE40" s="62">
        <f>IF($V40="","",IF(AND(ISNUMBER($G40),$G40&lt;=IF($S40=MesCiclo,InicioCiclo,$S40+MOD(2-WEEKDAY($S40),7))+20),1,IF(N($W40)&gt;0,AVERAGEIFS($AA$5:$AA$1000,$U$5:$U$1000,ROW(),$V$5:$V$1000,"Sub"),$AA40)))</f>
        <v/>
      </c>
      <c r="AF40" s="62">
        <f>IF($V40="","",IF(AND(ISNUMBER($G40),$G40&lt;=IF($S40=MesCiclo,InicioCiclo,$S40+MOD(2-WEEKDAY($S40),7))+27),1,IF(N($W40)&gt;0,AVERAGEIFS($AB$5:$AB$1000,$U$5:$U$1000,ROW(),$V$5:$V$1000,"Sub"),$AB40)))</f>
        <v/>
      </c>
      <c r="AG40" s="62">
        <f>IF($V40&lt;&gt;"Macro","",IF(COUNTIFS($S$5:$S$1000,$S40,$V$5:$V$1000,"Macro",$H$5:$H$1000,"&gt;0")=0,1/COUNTIFS($S$5:$S$1000,$S40,$V$5:$V$1000,"Macro"),IF(AND(ISNUMBER($H40),N($H40)&gt;0),$H40,SUMIFS($H$5:$H$1000,$S$5:$S$1000,$S40,$V$5:$V$1000,"Macro")/COUNTIFS($S$5:$S$1000,$S40,$V$5:$V$1000,"Macro",$H$5:$H$1000,"&gt;0"))/(COUNTIFS($S$5:$S$1000,$S40,$V$5:$V$1000,"Macro")*SUMIFS($H$5:$H$1000,$S$5:$S$1000,$S40,$V$5:$V$1000,"Macro")/COUNTIFS($S$5:$S$1000,$S40,$V$5:$V$1000,"Macro",$H$5:$H$1000,"&gt;0"))))</f>
        <v/>
      </c>
      <c r="AH40" s="62" t="n"/>
      <c r="AI40" s="62" t="n"/>
      <c r="AJ40" s="62" t="n"/>
      <c r="AK40" s="62" t="n"/>
      <c r="AL40" s="62">
        <f>IF(LEFT($C40,11)="[Jefatura] ",IFERROR(MATCH("Riesgo Financiero|"&amp;MID($C40,12,500),rDname_ADM,0),0),"")</f>
        <v/>
      </c>
      <c r="AM40" s="62">
        <f>IF(N($AL40)&gt;0,INDEX(rIni_ADM,$AL40),IF(ISNUMBER($E40),$E40,""))</f>
        <v/>
      </c>
      <c r="AN40" s="62">
        <f>IF(N($AL40)&gt;0,INDEX(rLim_ADM,$AL40),IF(ISNUMBER($F40),$F40,""))</f>
        <v/>
      </c>
    </row>
    <row r="41">
      <c r="A41" s="56">
        <f>IF(NOT((COUNTA($B41:$D41)+COUNTA($G41:$L41)+COUNTA($Q41))&gt;0),"",IF($V41="Macro",COUNTIFS($V$5:$V41,"Macro",$S$5:$S41,$S41),IF(N($U41)=0,"?",COUNTIFS(INDEX($V$5:$V$1000,1):INDEX($V$5:$V$1000,$U41-4),"Macro",INDEX($S$5:$S$1000,1):INDEX($S$5:$S$1000,$U41-4),INDEX($S$5:$S$1000,$U41-4))&amp;"."&amp;COUNTIFS($U$5:$U41,$U41,$V$5:$V41,"Sub"))))</f>
        <v/>
      </c>
      <c r="B41" s="57" t="n"/>
      <c r="C41" s="58" t="n"/>
      <c r="D41" s="58" t="n"/>
      <c r="E41" s="59">
        <f>IF(N($AL41)&gt;0,INDEX(rIni_ADM,$AL41),"")</f>
        <v/>
      </c>
      <c r="F41" s="59">
        <f>IF(N($AL41)&gt;0,INDEX(rLim_ADM,$AL41),"")</f>
        <v/>
      </c>
      <c r="G41" s="59" t="n"/>
      <c r="H41" s="60" t="n"/>
      <c r="I41" s="60" t="n"/>
      <c r="J41" s="60" t="n"/>
      <c r="K41" s="60" t="n"/>
      <c r="L41" s="60" t="n"/>
      <c r="M41" s="61">
        <f>IF(NOT((COUNTA($B41:$D41)+COUNTA($G41:$L41)+COUNTA($Q41))&gt;0),"",IF(ISNUMBER($G41),1,IF(N($W41)&gt;0,AVERAGEIFS($X$5:$X$1000,$U$5:$U$1000,ROW(),$V$5:$V$1000,"Sub"),$X41)))</f>
        <v/>
      </c>
      <c r="N41" s="56">
        <f>IF($M41="","",IF($M41&gt;=1,"Completado",IF($M41&gt;0,"En curso","Pendiente")))</f>
        <v/>
      </c>
      <c r="O41" s="56">
        <f>IF(NOT((COUNTA($B41:$D41)+COUNTA($G41:$L41)+COUNTA($Q41))&gt;0),"",IF(ISNUMBER($G41),IF(AND(ISNUMBER($AN41),$G41&gt;$AN41),"Cumplida con "&amp;($G41-$AN41)&amp;IF($G41-$AN41=1," día"," días")&amp;" de retraso","Cumplida"),IF(N($M41)&gt;=1,"Cumplida",IF(NOT(ISNUMBER($AN41)),"Sin fecha límite",IF($AN41&lt;FechaRef,"Vencida hace "&amp;(FechaRef-$AN41)&amp;IF(FechaRef-$AN41=1," día"," días"),IF($AN41=FechaRef,"Vence hoy",IF($AN41-FechaRef&lt;=DiasAlerta,"Vence en "&amp;($AN41-FechaRef)&amp;IF($AN41-FechaRef=1," día"," días"),"En plazo")))))))</f>
        <v/>
      </c>
      <c r="P41" s="62" t="n"/>
      <c r="Q41" s="58" t="n"/>
      <c r="R41" s="63">
        <f>IF(NOT((COUNTA($B41:$D41)+COUNTA($G41:$L41)+COUNTA($Q41))&gt;0),"",IF((IF($C41="","Falta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",""))="","✔ OK","⚠ "&amp;LEFT(IF($C41="","Falta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",""),LEN(IF($C41="","Falta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",""))-3)))</f>
        <v/>
      </c>
      <c r="S41" s="64">
        <f>IF(NOT((COUNTA($B41:$D41)+COUNTA($G41:$L41)+COUNTA($Q41))&gt;0),"",IF(AND($V41="Sub",N($U41)&gt;0),IF(ISNUMBER(INDEX($AM$5:$AM$1000,$U41-4)),DATE(YEAR(INDEX($AM$5:$AM$1000,$U41-4)),MONTH(INDEX($AM$5:$AM$1000,$U41-4)),1),IF(ISNUMBER(INDEX($AN$5:$AN$1000,$U41-4)),DATE(YEAR(INDEX($AN$5:$AN$1000,$U41-4)),MONTH(INDEX($AN$5:$AN$1000,$U41-4)),1),MesCiclo)),IF(ISNUMBER($AM41),DATE(YEAR($AM41),MONTH($AM41),1),IF(ISNUMBER($AN41),DATE(YEAR($AN41),MONTH($AN41),1),MesCiclo))))</f>
        <v/>
      </c>
      <c r="T41" s="62">
        <f>IF(OR($S41="",$S41&lt;&gt;MesCiclo),"",COUNTIF($S$5:$S41,MesCiclo))</f>
        <v/>
      </c>
      <c r="U41" s="62">
        <f>IF($V41="","",IF($V41="Macro",ROW(),IFERROR(LOOKUP(2,1/($V$5:$V41="Macro"),ROW($V$5:$V41)),0)))</f>
        <v/>
      </c>
      <c r="V41" s="62">
        <f>IF(NOT((COUNTA($B41:$D41)+COUNTA($G41:$L41)+COUNTA($Q41))&gt;0),"",IF($B41="Subactividad","Sub","Macro"))</f>
        <v/>
      </c>
      <c r="W41" s="62">
        <f>IF($V41="Macro",COUNTIFS($U$5:$U$1000,ROW(),$V$5:$V$1000,"Sub"),"")</f>
        <v/>
      </c>
      <c r="X41" s="62">
        <f>IF($V41="","",IF(ISNUMBER($G41),1,IFERROR(LOOKUP(2,1/($I41:$L41&lt;&gt;""),$I41:$L41),0)))</f>
        <v/>
      </c>
      <c r="Y41" s="62">
        <f>IF($V41="","",IF(AND(ISNUMBER($G41),$G41&lt;=IF($S41=MesCiclo,InicioCiclo,$S41+MOD(2-WEEKDAY($S41),7))+6),1,IF(ISNUMBER($I41),$I41,0)))</f>
        <v/>
      </c>
      <c r="Z41" s="62">
        <f>IF($V41="","",IF(AND(ISNUMBER($G41),$G41&lt;=IF($S41=MesCiclo,InicioCiclo,$S41+MOD(2-WEEKDAY($S41),7))+13),1,IF(ISNUMBER($J41),$J41,$Y41)))</f>
        <v/>
      </c>
      <c r="AA41" s="62">
        <f>IF($V41="","",IF(AND(ISNUMBER($G41),$G41&lt;=IF($S41=MesCiclo,InicioCiclo,$S41+MOD(2-WEEKDAY($S41),7))+20),1,IF(ISNUMBER($K41),$K41,$Z41)))</f>
        <v/>
      </c>
      <c r="AB41" s="62">
        <f>IF($V41="","",IF(AND(ISNUMBER($G41),$G41&lt;=IF($S41=MesCiclo,InicioCiclo,$S41+MOD(2-WEEKDAY($S41),7))+27),1,IF(ISNUMBER($L41),$L41,$AA41)))</f>
        <v/>
      </c>
      <c r="AC41" s="62">
        <f>IF($V41="","",IF(AND(ISNUMBER($G41),$G41&lt;=IF($S41=MesCiclo,InicioCiclo,$S41+MOD(2-WEEKDAY($S41),7))+6),1,IF(N($W41)&gt;0,AVERAGEIFS($Y$5:$Y$1000,$U$5:$U$1000,ROW(),$V$5:$V$1000,"Sub"),$Y41)))</f>
        <v/>
      </c>
      <c r="AD41" s="62">
        <f>IF($V41="","",IF(AND(ISNUMBER($G41),$G41&lt;=IF($S41=MesCiclo,InicioCiclo,$S41+MOD(2-WEEKDAY($S41),7))+13),1,IF(N($W41)&gt;0,AVERAGEIFS($Z$5:$Z$1000,$U$5:$U$1000,ROW(),$V$5:$V$1000,"Sub"),$Z41)))</f>
        <v/>
      </c>
      <c r="AE41" s="62">
        <f>IF($V41="","",IF(AND(ISNUMBER($G41),$G41&lt;=IF($S41=MesCiclo,InicioCiclo,$S41+MOD(2-WEEKDAY($S41),7))+20),1,IF(N($W41)&gt;0,AVERAGEIFS($AA$5:$AA$1000,$U$5:$U$1000,ROW(),$V$5:$V$1000,"Sub"),$AA41)))</f>
        <v/>
      </c>
      <c r="AF41" s="62">
        <f>IF($V41="","",IF(AND(ISNUMBER($G41),$G41&lt;=IF($S41=MesCiclo,InicioCiclo,$S41+MOD(2-WEEKDAY($S41),7))+27),1,IF(N($W41)&gt;0,AVERAGEIFS($AB$5:$AB$1000,$U$5:$U$1000,ROW(),$V$5:$V$1000,"Sub"),$AB41)))</f>
        <v/>
      </c>
      <c r="AG41" s="62">
        <f>IF($V41&lt;&gt;"Macro","",IF(COUNTIFS($S$5:$S$1000,$S41,$V$5:$V$1000,"Macro",$H$5:$H$1000,"&gt;0")=0,1/COUNTIFS($S$5:$S$1000,$S41,$V$5:$V$1000,"Macro"),IF(AND(ISNUMBER($H41),N($H41)&gt;0),$H41,SUMIFS($H$5:$H$1000,$S$5:$S$1000,$S41,$V$5:$V$1000,"Macro")/COUNTIFS($S$5:$S$1000,$S41,$V$5:$V$1000,"Macro",$H$5:$H$1000,"&gt;0"))/(COUNTIFS($S$5:$S$1000,$S41,$V$5:$V$1000,"Macro")*SUMIFS($H$5:$H$1000,$S$5:$S$1000,$S41,$V$5:$V$1000,"Macro")/COUNTIFS($S$5:$S$1000,$S41,$V$5:$V$1000,"Macro",$H$5:$H$1000,"&gt;0"))))</f>
        <v/>
      </c>
      <c r="AH41" s="62" t="n"/>
      <c r="AI41" s="62" t="n"/>
      <c r="AJ41" s="62" t="n"/>
      <c r="AK41" s="62" t="n"/>
      <c r="AL41" s="62">
        <f>IF(LEFT($C41,11)="[Jefatura] ",IFERROR(MATCH("Riesgo Financiero|"&amp;MID($C41,12,500),rDname_ADM,0),0),"")</f>
        <v/>
      </c>
      <c r="AM41" s="62">
        <f>IF(N($AL41)&gt;0,INDEX(rIni_ADM,$AL41),IF(ISNUMBER($E41),$E41,""))</f>
        <v/>
      </c>
      <c r="AN41" s="62">
        <f>IF(N($AL41)&gt;0,INDEX(rLim_ADM,$AL41),IF(ISNUMBER($F41),$F41,""))</f>
        <v/>
      </c>
    </row>
    <row r="42">
      <c r="A42" s="56">
        <f>IF(NOT((COUNTA($B42:$D42)+COUNTA($G42:$L42)+COUNTA($Q42))&gt;0),"",IF($V42="Macro",COUNTIFS($V$5:$V42,"Macro",$S$5:$S42,$S42),IF(N($U42)=0,"?",COUNTIFS(INDEX($V$5:$V$1000,1):INDEX($V$5:$V$1000,$U42-4),"Macro",INDEX($S$5:$S$1000,1):INDEX($S$5:$S$1000,$U42-4),INDEX($S$5:$S$1000,$U42-4))&amp;"."&amp;COUNTIFS($U$5:$U42,$U42,$V$5:$V42,"Sub"))))</f>
        <v/>
      </c>
      <c r="B42" s="57" t="n"/>
      <c r="C42" s="58" t="n"/>
      <c r="D42" s="58" t="n"/>
      <c r="E42" s="59">
        <f>IF(N($AL42)&gt;0,INDEX(rIni_ADM,$AL42),"")</f>
        <v/>
      </c>
      <c r="F42" s="59">
        <f>IF(N($AL42)&gt;0,INDEX(rLim_ADM,$AL42),"")</f>
        <v/>
      </c>
      <c r="G42" s="59" t="n"/>
      <c r="H42" s="60" t="n"/>
      <c r="I42" s="60" t="n"/>
      <c r="J42" s="60" t="n"/>
      <c r="K42" s="60" t="n"/>
      <c r="L42" s="60" t="n"/>
      <c r="M42" s="61">
        <f>IF(NOT((COUNTA($B42:$D42)+COUNTA($G42:$L42)+COUNTA($Q42))&gt;0),"",IF(ISNUMBER($G42),1,IF(N($W42)&gt;0,AVERAGEIFS($X$5:$X$1000,$U$5:$U$1000,ROW(),$V$5:$V$1000,"Sub"),$X42)))</f>
        <v/>
      </c>
      <c r="N42" s="56">
        <f>IF($M42="","",IF($M42&gt;=1,"Completado",IF($M42&gt;0,"En curso","Pendiente")))</f>
        <v/>
      </c>
      <c r="O42" s="56">
        <f>IF(NOT((COUNTA($B42:$D42)+COUNTA($G42:$L42)+COUNTA($Q42))&gt;0),"",IF(ISNUMBER($G42),IF(AND(ISNUMBER($AN42),$G42&gt;$AN42),"Cumplida con "&amp;($G42-$AN42)&amp;IF($G42-$AN42=1," día"," días")&amp;" de retraso","Cumplida"),IF(N($M42)&gt;=1,"Cumplida",IF(NOT(ISNUMBER($AN42)),"Sin fecha límite",IF($AN42&lt;FechaRef,"Vencida hace "&amp;(FechaRef-$AN42)&amp;IF(FechaRef-$AN42=1," día"," días"),IF($AN42=FechaRef,"Vence hoy",IF($AN42-FechaRef&lt;=DiasAlerta,"Vence en "&amp;($AN42-FechaRef)&amp;IF($AN42-FechaRef=1," día"," días"),"En plazo")))))))</f>
        <v/>
      </c>
      <c r="P42" s="62" t="n"/>
      <c r="Q42" s="58" t="n"/>
      <c r="R42" s="63">
        <f>IF(NOT((COUNTA($B42:$D42)+COUNTA($G42:$L42)+COUNTA($Q42))&gt;0),"",IF((IF($C42="","Falta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",""))="","✔ OK","⚠ "&amp;LEFT(IF($C42="","Falta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",""),LEN(IF($C42="","Falta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",""))-3)))</f>
        <v/>
      </c>
      <c r="S42" s="64">
        <f>IF(NOT((COUNTA($B42:$D42)+COUNTA($G42:$L42)+COUNTA($Q42))&gt;0),"",IF(AND($V42="Sub",N($U42)&gt;0),IF(ISNUMBER(INDEX($AM$5:$AM$1000,$U42-4)),DATE(YEAR(INDEX($AM$5:$AM$1000,$U42-4)),MONTH(INDEX($AM$5:$AM$1000,$U42-4)),1),IF(ISNUMBER(INDEX($AN$5:$AN$1000,$U42-4)),DATE(YEAR(INDEX($AN$5:$AN$1000,$U42-4)),MONTH(INDEX($AN$5:$AN$1000,$U42-4)),1),MesCiclo)),IF(ISNUMBER($AM42),DATE(YEAR($AM42),MONTH($AM42),1),IF(ISNUMBER($AN42),DATE(YEAR($AN42),MONTH($AN42),1),MesCiclo))))</f>
        <v/>
      </c>
      <c r="T42" s="62">
        <f>IF(OR($S42="",$S42&lt;&gt;MesCiclo),"",COUNTIF($S$5:$S42,MesCiclo))</f>
        <v/>
      </c>
      <c r="U42" s="62">
        <f>IF($V42="","",IF($V42="Macro",ROW(),IFERROR(LOOKUP(2,1/($V$5:$V42="Macro"),ROW($V$5:$V42)),0)))</f>
        <v/>
      </c>
      <c r="V42" s="62">
        <f>IF(NOT((COUNTA($B42:$D42)+COUNTA($G42:$L42)+COUNTA($Q42))&gt;0),"",IF($B42="Subactividad","Sub","Macro"))</f>
        <v/>
      </c>
      <c r="W42" s="62">
        <f>IF($V42="Macro",COUNTIFS($U$5:$U$1000,ROW(),$V$5:$V$1000,"Sub"),"")</f>
        <v/>
      </c>
      <c r="X42" s="62">
        <f>IF($V42="","",IF(ISNUMBER($G42),1,IFERROR(LOOKUP(2,1/($I42:$L42&lt;&gt;""),$I42:$L42),0)))</f>
        <v/>
      </c>
      <c r="Y42" s="62">
        <f>IF($V42="","",IF(AND(ISNUMBER($G42),$G42&lt;=IF($S42=MesCiclo,InicioCiclo,$S42+MOD(2-WEEKDAY($S42),7))+6),1,IF(ISNUMBER($I42),$I42,0)))</f>
        <v/>
      </c>
      <c r="Z42" s="62">
        <f>IF($V42="","",IF(AND(ISNUMBER($G42),$G42&lt;=IF($S42=MesCiclo,InicioCiclo,$S42+MOD(2-WEEKDAY($S42),7))+13),1,IF(ISNUMBER($J42),$J42,$Y42)))</f>
        <v/>
      </c>
      <c r="AA42" s="62">
        <f>IF($V42="","",IF(AND(ISNUMBER($G42),$G42&lt;=IF($S42=MesCiclo,InicioCiclo,$S42+MOD(2-WEEKDAY($S42),7))+20),1,IF(ISNUMBER($K42),$K42,$Z42)))</f>
        <v/>
      </c>
      <c r="AB42" s="62">
        <f>IF($V42="","",IF(AND(ISNUMBER($G42),$G42&lt;=IF($S42=MesCiclo,InicioCiclo,$S42+MOD(2-WEEKDAY($S42),7))+27),1,IF(ISNUMBER($L42),$L42,$AA42)))</f>
        <v/>
      </c>
      <c r="AC42" s="62">
        <f>IF($V42="","",IF(AND(ISNUMBER($G42),$G42&lt;=IF($S42=MesCiclo,InicioCiclo,$S42+MOD(2-WEEKDAY($S42),7))+6),1,IF(N($W42)&gt;0,AVERAGEIFS($Y$5:$Y$1000,$U$5:$U$1000,ROW(),$V$5:$V$1000,"Sub"),$Y42)))</f>
        <v/>
      </c>
      <c r="AD42" s="62">
        <f>IF($V42="","",IF(AND(ISNUMBER($G42),$G42&lt;=IF($S42=MesCiclo,InicioCiclo,$S42+MOD(2-WEEKDAY($S42),7))+13),1,IF(N($W42)&gt;0,AVERAGEIFS($Z$5:$Z$1000,$U$5:$U$1000,ROW(),$V$5:$V$1000,"Sub"),$Z42)))</f>
        <v/>
      </c>
      <c r="AE42" s="62">
        <f>IF($V42="","",IF(AND(ISNUMBER($G42),$G42&lt;=IF($S42=MesCiclo,InicioCiclo,$S42+MOD(2-WEEKDAY($S42),7))+20),1,IF(N($W42)&gt;0,AVERAGEIFS($AA$5:$AA$1000,$U$5:$U$1000,ROW(),$V$5:$V$1000,"Sub"),$AA42)))</f>
        <v/>
      </c>
      <c r="AF42" s="62">
        <f>IF($V42="","",IF(AND(ISNUMBER($G42),$G42&lt;=IF($S42=MesCiclo,InicioCiclo,$S42+MOD(2-WEEKDAY($S42),7))+27),1,IF(N($W42)&gt;0,AVERAGEIFS($AB$5:$AB$1000,$U$5:$U$1000,ROW(),$V$5:$V$1000,"Sub"),$AB42)))</f>
        <v/>
      </c>
      <c r="AG42" s="62">
        <f>IF($V42&lt;&gt;"Macro","",IF(COUNTIFS($S$5:$S$1000,$S42,$V$5:$V$1000,"Macro",$H$5:$H$1000,"&gt;0")=0,1/COUNTIFS($S$5:$S$1000,$S42,$V$5:$V$1000,"Macro"),IF(AND(ISNUMBER($H42),N($H42)&gt;0),$H42,SUMIFS($H$5:$H$1000,$S$5:$S$1000,$S42,$V$5:$V$1000,"Macro")/COUNTIFS($S$5:$S$1000,$S42,$V$5:$V$1000,"Macro",$H$5:$H$1000,"&gt;0"))/(COUNTIFS($S$5:$S$1000,$S42,$V$5:$V$1000,"Macro")*SUMIFS($H$5:$H$1000,$S$5:$S$1000,$S42,$V$5:$V$1000,"Macro")/COUNTIFS($S$5:$S$1000,$S42,$V$5:$V$1000,"Macro",$H$5:$H$1000,"&gt;0"))))</f>
        <v/>
      </c>
      <c r="AH42" s="62" t="n"/>
      <c r="AI42" s="62" t="n"/>
      <c r="AJ42" s="62" t="n"/>
      <c r="AK42" s="62" t="n"/>
      <c r="AL42" s="62">
        <f>IF(LEFT($C42,11)="[Jefatura] ",IFERROR(MATCH("Riesgo Financiero|"&amp;MID($C42,12,500),rDname_ADM,0),0),"")</f>
        <v/>
      </c>
      <c r="AM42" s="62">
        <f>IF(N($AL42)&gt;0,INDEX(rIni_ADM,$AL42),IF(ISNUMBER($E42),$E42,""))</f>
        <v/>
      </c>
      <c r="AN42" s="62">
        <f>IF(N($AL42)&gt;0,INDEX(rLim_ADM,$AL42),IF(ISNUMBER($F42),$F42,""))</f>
        <v/>
      </c>
    </row>
    <row r="43">
      <c r="A43" s="56">
        <f>IF(NOT((COUNTA($B43:$D43)+COUNTA($G43:$L43)+COUNTA($Q43))&gt;0),"",IF($V43="Macro",COUNTIFS($V$5:$V43,"Macro",$S$5:$S43,$S43),IF(N($U43)=0,"?",COUNTIFS(INDEX($V$5:$V$1000,1):INDEX($V$5:$V$1000,$U43-4),"Macro",INDEX($S$5:$S$1000,1):INDEX($S$5:$S$1000,$U43-4),INDEX($S$5:$S$1000,$U43-4))&amp;"."&amp;COUNTIFS($U$5:$U43,$U43,$V$5:$V43,"Sub"))))</f>
        <v/>
      </c>
      <c r="B43" s="57" t="n"/>
      <c r="C43" s="58" t="n"/>
      <c r="D43" s="58" t="n"/>
      <c r="E43" s="59">
        <f>IF(N($AL43)&gt;0,INDEX(rIni_ADM,$AL43),"")</f>
        <v/>
      </c>
      <c r="F43" s="59">
        <f>IF(N($AL43)&gt;0,INDEX(rLim_ADM,$AL43),"")</f>
        <v/>
      </c>
      <c r="G43" s="59" t="n"/>
      <c r="H43" s="60" t="n"/>
      <c r="I43" s="60" t="n"/>
      <c r="J43" s="60" t="n"/>
      <c r="K43" s="60" t="n"/>
      <c r="L43" s="60" t="n"/>
      <c r="M43" s="61">
        <f>IF(NOT((COUNTA($B43:$D43)+COUNTA($G43:$L43)+COUNTA($Q43))&gt;0),"",IF(ISNUMBER($G43),1,IF(N($W43)&gt;0,AVERAGEIFS($X$5:$X$1000,$U$5:$U$1000,ROW(),$V$5:$V$1000,"Sub"),$X43)))</f>
        <v/>
      </c>
      <c r="N43" s="56">
        <f>IF($M43="","",IF($M43&gt;=1,"Completado",IF($M43&gt;0,"En curso","Pendiente")))</f>
        <v/>
      </c>
      <c r="O43" s="56">
        <f>IF(NOT((COUNTA($B43:$D43)+COUNTA($G43:$L43)+COUNTA($Q43))&gt;0),"",IF(ISNUMBER($G43),IF(AND(ISNUMBER($AN43),$G43&gt;$AN43),"Cumplida con "&amp;($G43-$AN43)&amp;IF($G43-$AN43=1," día"," días")&amp;" de retraso","Cumplida"),IF(N($M43)&gt;=1,"Cumplida",IF(NOT(ISNUMBER($AN43)),"Sin fecha límite",IF($AN43&lt;FechaRef,"Vencida hace "&amp;(FechaRef-$AN43)&amp;IF(FechaRef-$AN43=1," día"," días"),IF($AN43=FechaRef,"Vence hoy",IF($AN43-FechaRef&lt;=DiasAlerta,"Vence en "&amp;($AN43-FechaRef)&amp;IF($AN43-FechaRef=1," día"," días"),"En plazo")))))))</f>
        <v/>
      </c>
      <c r="P43" s="62" t="n"/>
      <c r="Q43" s="58" t="n"/>
      <c r="R43" s="63">
        <f>IF(NOT((COUNTA($B43:$D43)+COUNTA($G43:$L43)+COUNTA($Q43))&gt;0),"",IF((IF($C43="","Falta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",""))="","✔ OK","⚠ "&amp;LEFT(IF($C43="","Falta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",""),LEN(IF($C43="","Falta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",""))-3)))</f>
        <v/>
      </c>
      <c r="S43" s="64">
        <f>IF(NOT((COUNTA($B43:$D43)+COUNTA($G43:$L43)+COUNTA($Q43))&gt;0),"",IF(AND($V43="Sub",N($U43)&gt;0),IF(ISNUMBER(INDEX($AM$5:$AM$1000,$U43-4)),DATE(YEAR(INDEX($AM$5:$AM$1000,$U43-4)),MONTH(INDEX($AM$5:$AM$1000,$U43-4)),1),IF(ISNUMBER(INDEX($AN$5:$AN$1000,$U43-4)),DATE(YEAR(INDEX($AN$5:$AN$1000,$U43-4)),MONTH(INDEX($AN$5:$AN$1000,$U43-4)),1),MesCiclo)),IF(ISNUMBER($AM43),DATE(YEAR($AM43),MONTH($AM43),1),IF(ISNUMBER($AN43),DATE(YEAR($AN43),MONTH($AN43),1),MesCiclo))))</f>
        <v/>
      </c>
      <c r="T43" s="62">
        <f>IF(OR($S43="",$S43&lt;&gt;MesCiclo),"",COUNTIF($S$5:$S43,MesCiclo))</f>
        <v/>
      </c>
      <c r="U43" s="62">
        <f>IF($V43="","",IF($V43="Macro",ROW(),IFERROR(LOOKUP(2,1/($V$5:$V43="Macro"),ROW($V$5:$V43)),0)))</f>
        <v/>
      </c>
      <c r="V43" s="62">
        <f>IF(NOT((COUNTA($B43:$D43)+COUNTA($G43:$L43)+COUNTA($Q43))&gt;0),"",IF($B43="Subactividad","Sub","Macro"))</f>
        <v/>
      </c>
      <c r="W43" s="62">
        <f>IF($V43="Macro",COUNTIFS($U$5:$U$1000,ROW(),$V$5:$V$1000,"Sub"),"")</f>
        <v/>
      </c>
      <c r="X43" s="62">
        <f>IF($V43="","",IF(ISNUMBER($G43),1,IFERROR(LOOKUP(2,1/($I43:$L43&lt;&gt;""),$I43:$L43),0)))</f>
        <v/>
      </c>
      <c r="Y43" s="62">
        <f>IF($V43="","",IF(AND(ISNUMBER($G43),$G43&lt;=IF($S43=MesCiclo,InicioCiclo,$S43+MOD(2-WEEKDAY($S43),7))+6),1,IF(ISNUMBER($I43),$I43,0)))</f>
        <v/>
      </c>
      <c r="Z43" s="62">
        <f>IF($V43="","",IF(AND(ISNUMBER($G43),$G43&lt;=IF($S43=MesCiclo,InicioCiclo,$S43+MOD(2-WEEKDAY($S43),7))+13),1,IF(ISNUMBER($J43),$J43,$Y43)))</f>
        <v/>
      </c>
      <c r="AA43" s="62">
        <f>IF($V43="","",IF(AND(ISNUMBER($G43),$G43&lt;=IF($S43=MesCiclo,InicioCiclo,$S43+MOD(2-WEEKDAY($S43),7))+20),1,IF(ISNUMBER($K43),$K43,$Z43)))</f>
        <v/>
      </c>
      <c r="AB43" s="62">
        <f>IF($V43="","",IF(AND(ISNUMBER($G43),$G43&lt;=IF($S43=MesCiclo,InicioCiclo,$S43+MOD(2-WEEKDAY($S43),7))+27),1,IF(ISNUMBER($L43),$L43,$AA43)))</f>
        <v/>
      </c>
      <c r="AC43" s="62">
        <f>IF($V43="","",IF(AND(ISNUMBER($G43),$G43&lt;=IF($S43=MesCiclo,InicioCiclo,$S43+MOD(2-WEEKDAY($S43),7))+6),1,IF(N($W43)&gt;0,AVERAGEIFS($Y$5:$Y$1000,$U$5:$U$1000,ROW(),$V$5:$V$1000,"Sub"),$Y43)))</f>
        <v/>
      </c>
      <c r="AD43" s="62">
        <f>IF($V43="","",IF(AND(ISNUMBER($G43),$G43&lt;=IF($S43=MesCiclo,InicioCiclo,$S43+MOD(2-WEEKDAY($S43),7))+13),1,IF(N($W43)&gt;0,AVERAGEIFS($Z$5:$Z$1000,$U$5:$U$1000,ROW(),$V$5:$V$1000,"Sub"),$Z43)))</f>
        <v/>
      </c>
      <c r="AE43" s="62">
        <f>IF($V43="","",IF(AND(ISNUMBER($G43),$G43&lt;=IF($S43=MesCiclo,InicioCiclo,$S43+MOD(2-WEEKDAY($S43),7))+20),1,IF(N($W43)&gt;0,AVERAGEIFS($AA$5:$AA$1000,$U$5:$U$1000,ROW(),$V$5:$V$1000,"Sub"),$AA43)))</f>
        <v/>
      </c>
      <c r="AF43" s="62">
        <f>IF($V43="","",IF(AND(ISNUMBER($G43),$G43&lt;=IF($S43=MesCiclo,InicioCiclo,$S43+MOD(2-WEEKDAY($S43),7))+27),1,IF(N($W43)&gt;0,AVERAGEIFS($AB$5:$AB$1000,$U$5:$U$1000,ROW(),$V$5:$V$1000,"Sub"),$AB43)))</f>
        <v/>
      </c>
      <c r="AG43" s="62">
        <f>IF($V43&lt;&gt;"Macro","",IF(COUNTIFS($S$5:$S$1000,$S43,$V$5:$V$1000,"Macro",$H$5:$H$1000,"&gt;0")=0,1/COUNTIFS($S$5:$S$1000,$S43,$V$5:$V$1000,"Macro"),IF(AND(ISNUMBER($H43),N($H43)&gt;0),$H43,SUMIFS($H$5:$H$1000,$S$5:$S$1000,$S43,$V$5:$V$1000,"Macro")/COUNTIFS($S$5:$S$1000,$S43,$V$5:$V$1000,"Macro",$H$5:$H$1000,"&gt;0"))/(COUNTIFS($S$5:$S$1000,$S43,$V$5:$V$1000,"Macro")*SUMIFS($H$5:$H$1000,$S$5:$S$1000,$S43,$V$5:$V$1000,"Macro")/COUNTIFS($S$5:$S$1000,$S43,$V$5:$V$1000,"Macro",$H$5:$H$1000,"&gt;0"))))</f>
        <v/>
      </c>
      <c r="AH43" s="62" t="n"/>
      <c r="AI43" s="62" t="n"/>
      <c r="AJ43" s="62" t="n"/>
      <c r="AK43" s="62" t="n"/>
      <c r="AL43" s="62">
        <f>IF(LEFT($C43,11)="[Jefatura] ",IFERROR(MATCH("Riesgo Financiero|"&amp;MID($C43,12,500),rDname_ADM,0),0),"")</f>
        <v/>
      </c>
      <c r="AM43" s="62">
        <f>IF(N($AL43)&gt;0,INDEX(rIni_ADM,$AL43),IF(ISNUMBER($E43),$E43,""))</f>
        <v/>
      </c>
      <c r="AN43" s="62">
        <f>IF(N($AL43)&gt;0,INDEX(rLim_ADM,$AL43),IF(ISNUMBER($F43),$F43,""))</f>
        <v/>
      </c>
    </row>
    <row r="44">
      <c r="A44" s="56">
        <f>IF(NOT((COUNTA($B44:$D44)+COUNTA($G44:$L44)+COUNTA($Q44))&gt;0),"",IF($V44="Macro",COUNTIFS($V$5:$V44,"Macro",$S$5:$S44,$S44),IF(N($U44)=0,"?",COUNTIFS(INDEX($V$5:$V$1000,1):INDEX($V$5:$V$1000,$U44-4),"Macro",INDEX($S$5:$S$1000,1):INDEX($S$5:$S$1000,$U44-4),INDEX($S$5:$S$1000,$U44-4))&amp;"."&amp;COUNTIFS($U$5:$U44,$U44,$V$5:$V44,"Sub"))))</f>
        <v/>
      </c>
      <c r="B44" s="57" t="n"/>
      <c r="C44" s="58" t="n"/>
      <c r="D44" s="58" t="n"/>
      <c r="E44" s="59">
        <f>IF(N($AL44)&gt;0,INDEX(rIni_ADM,$AL44),"")</f>
        <v/>
      </c>
      <c r="F44" s="59">
        <f>IF(N($AL44)&gt;0,INDEX(rLim_ADM,$AL44),"")</f>
        <v/>
      </c>
      <c r="G44" s="59" t="n"/>
      <c r="H44" s="60" t="n"/>
      <c r="I44" s="60" t="n"/>
      <c r="J44" s="60" t="n"/>
      <c r="K44" s="60" t="n"/>
      <c r="L44" s="60" t="n"/>
      <c r="M44" s="61">
        <f>IF(NOT((COUNTA($B44:$D44)+COUNTA($G44:$L44)+COUNTA($Q44))&gt;0),"",IF(ISNUMBER($G44),1,IF(N($W44)&gt;0,AVERAGEIFS($X$5:$X$1000,$U$5:$U$1000,ROW(),$V$5:$V$1000,"Sub"),$X44)))</f>
        <v/>
      </c>
      <c r="N44" s="56">
        <f>IF($M44="","",IF($M44&gt;=1,"Completado",IF($M44&gt;0,"En curso","Pendiente")))</f>
        <v/>
      </c>
      <c r="O44" s="56">
        <f>IF(NOT((COUNTA($B44:$D44)+COUNTA($G44:$L44)+COUNTA($Q44))&gt;0),"",IF(ISNUMBER($G44),IF(AND(ISNUMBER($AN44),$G44&gt;$AN44),"Cumplida con "&amp;($G44-$AN44)&amp;IF($G44-$AN44=1," día"," días")&amp;" de retraso","Cumplida"),IF(N($M44)&gt;=1,"Cumplida",IF(NOT(ISNUMBER($AN44)),"Sin fecha límite",IF($AN44&lt;FechaRef,"Vencida hace "&amp;(FechaRef-$AN44)&amp;IF(FechaRef-$AN44=1," día"," días"),IF($AN44=FechaRef,"Vence hoy",IF($AN44-FechaRef&lt;=DiasAlerta,"Vence en "&amp;($AN44-FechaRef)&amp;IF($AN44-FechaRef=1," día"," días"),"En plazo")))))))</f>
        <v/>
      </c>
      <c r="P44" s="62" t="n"/>
      <c r="Q44" s="58" t="n"/>
      <c r="R44" s="63">
        <f>IF(NOT((COUNTA($B44:$D44)+COUNTA($G44:$L44)+COUNTA($Q44))&gt;0),"",IF((IF($C44="","Falta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",""))="","✔ OK","⚠ "&amp;LEFT(IF($C44="","Falta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",""),LEN(IF($C44="","Falta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",""))-3)))</f>
        <v/>
      </c>
      <c r="S44" s="64">
        <f>IF(NOT((COUNTA($B44:$D44)+COUNTA($G44:$L44)+COUNTA($Q44))&gt;0),"",IF(AND($V44="Sub",N($U44)&gt;0),IF(ISNUMBER(INDEX($AM$5:$AM$1000,$U44-4)),DATE(YEAR(INDEX($AM$5:$AM$1000,$U44-4)),MONTH(INDEX($AM$5:$AM$1000,$U44-4)),1),IF(ISNUMBER(INDEX($AN$5:$AN$1000,$U44-4)),DATE(YEAR(INDEX($AN$5:$AN$1000,$U44-4)),MONTH(INDEX($AN$5:$AN$1000,$U44-4)),1),MesCiclo)),IF(ISNUMBER($AM44),DATE(YEAR($AM44),MONTH($AM44),1),IF(ISNUMBER($AN44),DATE(YEAR($AN44),MONTH($AN44),1),MesCiclo))))</f>
        <v/>
      </c>
      <c r="T44" s="62">
        <f>IF(OR($S44="",$S44&lt;&gt;MesCiclo),"",COUNTIF($S$5:$S44,MesCiclo))</f>
        <v/>
      </c>
      <c r="U44" s="62">
        <f>IF($V44="","",IF($V44="Macro",ROW(),IFERROR(LOOKUP(2,1/($V$5:$V44="Macro"),ROW($V$5:$V44)),0)))</f>
        <v/>
      </c>
      <c r="V44" s="62">
        <f>IF(NOT((COUNTA($B44:$D44)+COUNTA($G44:$L44)+COUNTA($Q44))&gt;0),"",IF($B44="Subactividad","Sub","Macro"))</f>
        <v/>
      </c>
      <c r="W44" s="62">
        <f>IF($V44="Macro",COUNTIFS($U$5:$U$1000,ROW(),$V$5:$V$1000,"Sub"),"")</f>
        <v/>
      </c>
      <c r="X44" s="62">
        <f>IF($V44="","",IF(ISNUMBER($G44),1,IFERROR(LOOKUP(2,1/($I44:$L44&lt;&gt;""),$I44:$L44),0)))</f>
        <v/>
      </c>
      <c r="Y44" s="62">
        <f>IF($V44="","",IF(AND(ISNUMBER($G44),$G44&lt;=IF($S44=MesCiclo,InicioCiclo,$S44+MOD(2-WEEKDAY($S44),7))+6),1,IF(ISNUMBER($I44),$I44,0)))</f>
        <v/>
      </c>
      <c r="Z44" s="62">
        <f>IF($V44="","",IF(AND(ISNUMBER($G44),$G44&lt;=IF($S44=MesCiclo,InicioCiclo,$S44+MOD(2-WEEKDAY($S44),7))+13),1,IF(ISNUMBER($J44),$J44,$Y44)))</f>
        <v/>
      </c>
      <c r="AA44" s="62">
        <f>IF($V44="","",IF(AND(ISNUMBER($G44),$G44&lt;=IF($S44=MesCiclo,InicioCiclo,$S44+MOD(2-WEEKDAY($S44),7))+20),1,IF(ISNUMBER($K44),$K44,$Z44)))</f>
        <v/>
      </c>
      <c r="AB44" s="62">
        <f>IF($V44="","",IF(AND(ISNUMBER($G44),$G44&lt;=IF($S44=MesCiclo,InicioCiclo,$S44+MOD(2-WEEKDAY($S44),7))+27),1,IF(ISNUMBER($L44),$L44,$AA44)))</f>
        <v/>
      </c>
      <c r="AC44" s="62">
        <f>IF($V44="","",IF(AND(ISNUMBER($G44),$G44&lt;=IF($S44=MesCiclo,InicioCiclo,$S44+MOD(2-WEEKDAY($S44),7))+6),1,IF(N($W44)&gt;0,AVERAGEIFS($Y$5:$Y$1000,$U$5:$U$1000,ROW(),$V$5:$V$1000,"Sub"),$Y44)))</f>
        <v/>
      </c>
      <c r="AD44" s="62">
        <f>IF($V44="","",IF(AND(ISNUMBER($G44),$G44&lt;=IF($S44=MesCiclo,InicioCiclo,$S44+MOD(2-WEEKDAY($S44),7))+13),1,IF(N($W44)&gt;0,AVERAGEIFS($Z$5:$Z$1000,$U$5:$U$1000,ROW(),$V$5:$V$1000,"Sub"),$Z44)))</f>
        <v/>
      </c>
      <c r="AE44" s="62">
        <f>IF($V44="","",IF(AND(ISNUMBER($G44),$G44&lt;=IF($S44=MesCiclo,InicioCiclo,$S44+MOD(2-WEEKDAY($S44),7))+20),1,IF(N($W44)&gt;0,AVERAGEIFS($AA$5:$AA$1000,$U$5:$U$1000,ROW(),$V$5:$V$1000,"Sub"),$AA44)))</f>
        <v/>
      </c>
      <c r="AF44" s="62">
        <f>IF($V44="","",IF(AND(ISNUMBER($G44),$G44&lt;=IF($S44=MesCiclo,InicioCiclo,$S44+MOD(2-WEEKDAY($S44),7))+27),1,IF(N($W44)&gt;0,AVERAGEIFS($AB$5:$AB$1000,$U$5:$U$1000,ROW(),$V$5:$V$1000,"Sub"),$AB44)))</f>
        <v/>
      </c>
      <c r="AG44" s="62">
        <f>IF($V44&lt;&gt;"Macro","",IF(COUNTIFS($S$5:$S$1000,$S44,$V$5:$V$1000,"Macro",$H$5:$H$1000,"&gt;0")=0,1/COUNTIFS($S$5:$S$1000,$S44,$V$5:$V$1000,"Macro"),IF(AND(ISNUMBER($H44),N($H44)&gt;0),$H44,SUMIFS($H$5:$H$1000,$S$5:$S$1000,$S44,$V$5:$V$1000,"Macro")/COUNTIFS($S$5:$S$1000,$S44,$V$5:$V$1000,"Macro",$H$5:$H$1000,"&gt;0"))/(COUNTIFS($S$5:$S$1000,$S44,$V$5:$V$1000,"Macro")*SUMIFS($H$5:$H$1000,$S$5:$S$1000,$S44,$V$5:$V$1000,"Macro")/COUNTIFS($S$5:$S$1000,$S44,$V$5:$V$1000,"Macro",$H$5:$H$1000,"&gt;0"))))</f>
        <v/>
      </c>
      <c r="AH44" s="62" t="n"/>
      <c r="AI44" s="62" t="n"/>
      <c r="AJ44" s="62" t="n"/>
      <c r="AK44" s="62" t="n"/>
      <c r="AL44" s="62">
        <f>IF(LEFT($C44,11)="[Jefatura] ",IFERROR(MATCH("Riesgo Financiero|"&amp;MID($C44,12,500),rDname_ADM,0),0),"")</f>
        <v/>
      </c>
      <c r="AM44" s="62">
        <f>IF(N($AL44)&gt;0,INDEX(rIni_ADM,$AL44),IF(ISNUMBER($E44),$E44,""))</f>
        <v/>
      </c>
      <c r="AN44" s="62">
        <f>IF(N($AL44)&gt;0,INDEX(rLim_ADM,$AL44),IF(ISNUMBER($F44),$F44,""))</f>
        <v/>
      </c>
    </row>
    <row r="45">
      <c r="A45" s="56">
        <f>IF(NOT((COUNTA($B45:$D45)+COUNTA($G45:$L45)+COUNTA($Q45))&gt;0),"",IF($V45="Macro",COUNTIFS($V$5:$V45,"Macro",$S$5:$S45,$S45),IF(N($U45)=0,"?",COUNTIFS(INDEX($V$5:$V$1000,1):INDEX($V$5:$V$1000,$U45-4),"Macro",INDEX($S$5:$S$1000,1):INDEX($S$5:$S$1000,$U45-4),INDEX($S$5:$S$1000,$U45-4))&amp;"."&amp;COUNTIFS($U$5:$U45,$U45,$V$5:$V45,"Sub"))))</f>
        <v/>
      </c>
      <c r="B45" s="57" t="n"/>
      <c r="C45" s="58" t="n"/>
      <c r="D45" s="58" t="n"/>
      <c r="E45" s="59">
        <f>IF(N($AL45)&gt;0,INDEX(rIni_ADM,$AL45),"")</f>
        <v/>
      </c>
      <c r="F45" s="59">
        <f>IF(N($AL45)&gt;0,INDEX(rLim_ADM,$AL45),"")</f>
        <v/>
      </c>
      <c r="G45" s="59" t="n"/>
      <c r="H45" s="60" t="n"/>
      <c r="I45" s="60" t="n"/>
      <c r="J45" s="60" t="n"/>
      <c r="K45" s="60" t="n"/>
      <c r="L45" s="60" t="n"/>
      <c r="M45" s="61">
        <f>IF(NOT((COUNTA($B45:$D45)+COUNTA($G45:$L45)+COUNTA($Q45))&gt;0),"",IF(ISNUMBER($G45),1,IF(N($W45)&gt;0,AVERAGEIFS($X$5:$X$1000,$U$5:$U$1000,ROW(),$V$5:$V$1000,"Sub"),$X45)))</f>
        <v/>
      </c>
      <c r="N45" s="56">
        <f>IF($M45="","",IF($M45&gt;=1,"Completado",IF($M45&gt;0,"En curso","Pendiente")))</f>
        <v/>
      </c>
      <c r="O45" s="56">
        <f>IF(NOT((COUNTA($B45:$D45)+COUNTA($G45:$L45)+COUNTA($Q45))&gt;0),"",IF(ISNUMBER($G45),IF(AND(ISNUMBER($AN45),$G45&gt;$AN45),"Cumplida con "&amp;($G45-$AN45)&amp;IF($G45-$AN45=1," día"," días")&amp;" de retraso","Cumplida"),IF(N($M45)&gt;=1,"Cumplida",IF(NOT(ISNUMBER($AN45)),"Sin fecha límite",IF($AN45&lt;FechaRef,"Vencida hace "&amp;(FechaRef-$AN45)&amp;IF(FechaRef-$AN45=1," día"," días"),IF($AN45=FechaRef,"Vence hoy",IF($AN45-FechaRef&lt;=DiasAlerta,"Vence en "&amp;($AN45-FechaRef)&amp;IF($AN45-FechaRef=1," día"," días"),"En plazo")))))))</f>
        <v/>
      </c>
      <c r="P45" s="62" t="n"/>
      <c r="Q45" s="58" t="n"/>
      <c r="R45" s="63">
        <f>IF(NOT((COUNTA($B45:$D45)+COUNTA($G45:$L45)+COUNTA($Q45))&gt;0),"",IF((IF($C45="","Falta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",""))="","✔ OK","⚠ "&amp;LEFT(IF($C45="","Falta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",""),LEN(IF($C45="","Falta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",""))-3)))</f>
        <v/>
      </c>
      <c r="S45" s="64">
        <f>IF(NOT((COUNTA($B45:$D45)+COUNTA($G45:$L45)+COUNTA($Q45))&gt;0),"",IF(AND($V45="Sub",N($U45)&gt;0),IF(ISNUMBER(INDEX($AM$5:$AM$1000,$U45-4)),DATE(YEAR(INDEX($AM$5:$AM$1000,$U45-4)),MONTH(INDEX($AM$5:$AM$1000,$U45-4)),1),IF(ISNUMBER(INDEX($AN$5:$AN$1000,$U45-4)),DATE(YEAR(INDEX($AN$5:$AN$1000,$U45-4)),MONTH(INDEX($AN$5:$AN$1000,$U45-4)),1),MesCiclo)),IF(ISNUMBER($AM45),DATE(YEAR($AM45),MONTH($AM45),1),IF(ISNUMBER($AN45),DATE(YEAR($AN45),MONTH($AN45),1),MesCiclo))))</f>
        <v/>
      </c>
      <c r="T45" s="62">
        <f>IF(OR($S45="",$S45&lt;&gt;MesCiclo),"",COUNTIF($S$5:$S45,MesCiclo))</f>
        <v/>
      </c>
      <c r="U45" s="62">
        <f>IF($V45="","",IF($V45="Macro",ROW(),IFERROR(LOOKUP(2,1/($V$5:$V45="Macro"),ROW($V$5:$V45)),0)))</f>
        <v/>
      </c>
      <c r="V45" s="62">
        <f>IF(NOT((COUNTA($B45:$D45)+COUNTA($G45:$L45)+COUNTA($Q45))&gt;0),"",IF($B45="Subactividad","Sub","Macro"))</f>
        <v/>
      </c>
      <c r="W45" s="62">
        <f>IF($V45="Macro",COUNTIFS($U$5:$U$1000,ROW(),$V$5:$V$1000,"Sub"),"")</f>
        <v/>
      </c>
      <c r="X45" s="62">
        <f>IF($V45="","",IF(ISNUMBER($G45),1,IFERROR(LOOKUP(2,1/($I45:$L45&lt;&gt;""),$I45:$L45),0)))</f>
        <v/>
      </c>
      <c r="Y45" s="62">
        <f>IF($V45="","",IF(AND(ISNUMBER($G45),$G45&lt;=IF($S45=MesCiclo,InicioCiclo,$S45+MOD(2-WEEKDAY($S45),7))+6),1,IF(ISNUMBER($I45),$I45,0)))</f>
        <v/>
      </c>
      <c r="Z45" s="62">
        <f>IF($V45="","",IF(AND(ISNUMBER($G45),$G45&lt;=IF($S45=MesCiclo,InicioCiclo,$S45+MOD(2-WEEKDAY($S45),7))+13),1,IF(ISNUMBER($J45),$J45,$Y45)))</f>
        <v/>
      </c>
      <c r="AA45" s="62">
        <f>IF($V45="","",IF(AND(ISNUMBER($G45),$G45&lt;=IF($S45=MesCiclo,InicioCiclo,$S45+MOD(2-WEEKDAY($S45),7))+20),1,IF(ISNUMBER($K45),$K45,$Z45)))</f>
        <v/>
      </c>
      <c r="AB45" s="62">
        <f>IF($V45="","",IF(AND(ISNUMBER($G45),$G45&lt;=IF($S45=MesCiclo,InicioCiclo,$S45+MOD(2-WEEKDAY($S45),7))+27),1,IF(ISNUMBER($L45),$L45,$AA45)))</f>
        <v/>
      </c>
      <c r="AC45" s="62">
        <f>IF($V45="","",IF(AND(ISNUMBER($G45),$G45&lt;=IF($S45=MesCiclo,InicioCiclo,$S45+MOD(2-WEEKDAY($S45),7))+6),1,IF(N($W45)&gt;0,AVERAGEIFS($Y$5:$Y$1000,$U$5:$U$1000,ROW(),$V$5:$V$1000,"Sub"),$Y45)))</f>
        <v/>
      </c>
      <c r="AD45" s="62">
        <f>IF($V45="","",IF(AND(ISNUMBER($G45),$G45&lt;=IF($S45=MesCiclo,InicioCiclo,$S45+MOD(2-WEEKDAY($S45),7))+13),1,IF(N($W45)&gt;0,AVERAGEIFS($Z$5:$Z$1000,$U$5:$U$1000,ROW(),$V$5:$V$1000,"Sub"),$Z45)))</f>
        <v/>
      </c>
      <c r="AE45" s="62">
        <f>IF($V45="","",IF(AND(ISNUMBER($G45),$G45&lt;=IF($S45=MesCiclo,InicioCiclo,$S45+MOD(2-WEEKDAY($S45),7))+20),1,IF(N($W45)&gt;0,AVERAGEIFS($AA$5:$AA$1000,$U$5:$U$1000,ROW(),$V$5:$V$1000,"Sub"),$AA45)))</f>
        <v/>
      </c>
      <c r="AF45" s="62">
        <f>IF($V45="","",IF(AND(ISNUMBER($G45),$G45&lt;=IF($S45=MesCiclo,InicioCiclo,$S45+MOD(2-WEEKDAY($S45),7))+27),1,IF(N($W45)&gt;0,AVERAGEIFS($AB$5:$AB$1000,$U$5:$U$1000,ROW(),$V$5:$V$1000,"Sub"),$AB45)))</f>
        <v/>
      </c>
      <c r="AG45" s="62">
        <f>IF($V45&lt;&gt;"Macro","",IF(COUNTIFS($S$5:$S$1000,$S45,$V$5:$V$1000,"Macro",$H$5:$H$1000,"&gt;0")=0,1/COUNTIFS($S$5:$S$1000,$S45,$V$5:$V$1000,"Macro"),IF(AND(ISNUMBER($H45),N($H45)&gt;0),$H45,SUMIFS($H$5:$H$1000,$S$5:$S$1000,$S45,$V$5:$V$1000,"Macro")/COUNTIFS($S$5:$S$1000,$S45,$V$5:$V$1000,"Macro",$H$5:$H$1000,"&gt;0"))/(COUNTIFS($S$5:$S$1000,$S45,$V$5:$V$1000,"Macro")*SUMIFS($H$5:$H$1000,$S$5:$S$1000,$S45,$V$5:$V$1000,"Macro")/COUNTIFS($S$5:$S$1000,$S45,$V$5:$V$1000,"Macro",$H$5:$H$1000,"&gt;0"))))</f>
        <v/>
      </c>
      <c r="AH45" s="62" t="n"/>
      <c r="AI45" s="62" t="n"/>
      <c r="AJ45" s="62" t="n"/>
      <c r="AK45" s="62" t="n"/>
      <c r="AL45" s="62">
        <f>IF(LEFT($C45,11)="[Jefatura] ",IFERROR(MATCH("Riesgo Financiero|"&amp;MID($C45,12,500),rDname_ADM,0),0),"")</f>
        <v/>
      </c>
      <c r="AM45" s="62">
        <f>IF(N($AL45)&gt;0,INDEX(rIni_ADM,$AL45),IF(ISNUMBER($E45),$E45,""))</f>
        <v/>
      </c>
      <c r="AN45" s="62">
        <f>IF(N($AL45)&gt;0,INDEX(rLim_ADM,$AL45),IF(ISNUMBER($F45),$F45,""))</f>
        <v/>
      </c>
    </row>
    <row r="46">
      <c r="A46" s="56">
        <f>IF(NOT((COUNTA($B46:$D46)+COUNTA($G46:$L46)+COUNTA($Q46))&gt;0),"",IF($V46="Macro",COUNTIFS($V$5:$V46,"Macro",$S$5:$S46,$S46),IF(N($U46)=0,"?",COUNTIFS(INDEX($V$5:$V$1000,1):INDEX($V$5:$V$1000,$U46-4),"Macro",INDEX($S$5:$S$1000,1):INDEX($S$5:$S$1000,$U46-4),INDEX($S$5:$S$1000,$U46-4))&amp;"."&amp;COUNTIFS($U$5:$U46,$U46,$V$5:$V46,"Sub"))))</f>
        <v/>
      </c>
      <c r="B46" s="57" t="n"/>
      <c r="C46" s="58" t="n"/>
      <c r="D46" s="58" t="n"/>
      <c r="E46" s="59">
        <f>IF(N($AL46)&gt;0,INDEX(rIni_ADM,$AL46),"")</f>
        <v/>
      </c>
      <c r="F46" s="59">
        <f>IF(N($AL46)&gt;0,INDEX(rLim_ADM,$AL46),"")</f>
        <v/>
      </c>
      <c r="G46" s="59" t="n"/>
      <c r="H46" s="60" t="n"/>
      <c r="I46" s="60" t="n"/>
      <c r="J46" s="60" t="n"/>
      <c r="K46" s="60" t="n"/>
      <c r="L46" s="60" t="n"/>
      <c r="M46" s="61">
        <f>IF(NOT((COUNTA($B46:$D46)+COUNTA($G46:$L46)+COUNTA($Q46))&gt;0),"",IF(ISNUMBER($G46),1,IF(N($W46)&gt;0,AVERAGEIFS($X$5:$X$1000,$U$5:$U$1000,ROW(),$V$5:$V$1000,"Sub"),$X46)))</f>
        <v/>
      </c>
      <c r="N46" s="56">
        <f>IF($M46="","",IF($M46&gt;=1,"Completado",IF($M46&gt;0,"En curso","Pendiente")))</f>
        <v/>
      </c>
      <c r="O46" s="56">
        <f>IF(NOT((COUNTA($B46:$D46)+COUNTA($G46:$L46)+COUNTA($Q46))&gt;0),"",IF(ISNUMBER($G46),IF(AND(ISNUMBER($AN46),$G46&gt;$AN46),"Cumplida con "&amp;($G46-$AN46)&amp;IF($G46-$AN46=1," día"," días")&amp;" de retraso","Cumplida"),IF(N($M46)&gt;=1,"Cumplida",IF(NOT(ISNUMBER($AN46)),"Sin fecha límite",IF($AN46&lt;FechaRef,"Vencida hace "&amp;(FechaRef-$AN46)&amp;IF(FechaRef-$AN46=1," día"," días"),IF($AN46=FechaRef,"Vence hoy",IF($AN46-FechaRef&lt;=DiasAlerta,"Vence en "&amp;($AN46-FechaRef)&amp;IF($AN46-FechaRef=1," día"," días"),"En plazo")))))))</f>
        <v/>
      </c>
      <c r="P46" s="62" t="n"/>
      <c r="Q46" s="58" t="n"/>
      <c r="R46" s="63">
        <f>IF(NOT((COUNTA($B46:$D46)+COUNTA($G46:$L46)+COUNTA($Q46))&gt;0),"",IF((IF($C46="","Falta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",""))="","✔ OK","⚠ "&amp;LEFT(IF($C46="","Falta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",""),LEN(IF($C46="","Falta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",""))-3)))</f>
        <v/>
      </c>
      <c r="S46" s="64">
        <f>IF(NOT((COUNTA($B46:$D46)+COUNTA($G46:$L46)+COUNTA($Q46))&gt;0),"",IF(AND($V46="Sub",N($U46)&gt;0),IF(ISNUMBER(INDEX($AM$5:$AM$1000,$U46-4)),DATE(YEAR(INDEX($AM$5:$AM$1000,$U46-4)),MONTH(INDEX($AM$5:$AM$1000,$U46-4)),1),IF(ISNUMBER(INDEX($AN$5:$AN$1000,$U46-4)),DATE(YEAR(INDEX($AN$5:$AN$1000,$U46-4)),MONTH(INDEX($AN$5:$AN$1000,$U46-4)),1),MesCiclo)),IF(ISNUMBER($AM46),DATE(YEAR($AM46),MONTH($AM46),1),IF(ISNUMBER($AN46),DATE(YEAR($AN46),MONTH($AN46),1),MesCiclo))))</f>
        <v/>
      </c>
      <c r="T46" s="62">
        <f>IF(OR($S46="",$S46&lt;&gt;MesCiclo),"",COUNTIF($S$5:$S46,MesCiclo))</f>
        <v/>
      </c>
      <c r="U46" s="62">
        <f>IF($V46="","",IF($V46="Macro",ROW(),IFERROR(LOOKUP(2,1/($V$5:$V46="Macro"),ROW($V$5:$V46)),0)))</f>
        <v/>
      </c>
      <c r="V46" s="62">
        <f>IF(NOT((COUNTA($B46:$D46)+COUNTA($G46:$L46)+COUNTA($Q46))&gt;0),"",IF($B46="Subactividad","Sub","Macro"))</f>
        <v/>
      </c>
      <c r="W46" s="62">
        <f>IF($V46="Macro",COUNTIFS($U$5:$U$1000,ROW(),$V$5:$V$1000,"Sub"),"")</f>
        <v/>
      </c>
      <c r="X46" s="62">
        <f>IF($V46="","",IF(ISNUMBER($G46),1,IFERROR(LOOKUP(2,1/($I46:$L46&lt;&gt;""),$I46:$L46),0)))</f>
        <v/>
      </c>
      <c r="Y46" s="62">
        <f>IF($V46="","",IF(AND(ISNUMBER($G46),$G46&lt;=IF($S46=MesCiclo,InicioCiclo,$S46+MOD(2-WEEKDAY($S46),7))+6),1,IF(ISNUMBER($I46),$I46,0)))</f>
        <v/>
      </c>
      <c r="Z46" s="62">
        <f>IF($V46="","",IF(AND(ISNUMBER($G46),$G46&lt;=IF($S46=MesCiclo,InicioCiclo,$S46+MOD(2-WEEKDAY($S46),7))+13),1,IF(ISNUMBER($J46),$J46,$Y46)))</f>
        <v/>
      </c>
      <c r="AA46" s="62">
        <f>IF($V46="","",IF(AND(ISNUMBER($G46),$G46&lt;=IF($S46=MesCiclo,InicioCiclo,$S46+MOD(2-WEEKDAY($S46),7))+20),1,IF(ISNUMBER($K46),$K46,$Z46)))</f>
        <v/>
      </c>
      <c r="AB46" s="62">
        <f>IF($V46="","",IF(AND(ISNUMBER($G46),$G46&lt;=IF($S46=MesCiclo,InicioCiclo,$S46+MOD(2-WEEKDAY($S46),7))+27),1,IF(ISNUMBER($L46),$L46,$AA46)))</f>
        <v/>
      </c>
      <c r="AC46" s="62">
        <f>IF($V46="","",IF(AND(ISNUMBER($G46),$G46&lt;=IF($S46=MesCiclo,InicioCiclo,$S46+MOD(2-WEEKDAY($S46),7))+6),1,IF(N($W46)&gt;0,AVERAGEIFS($Y$5:$Y$1000,$U$5:$U$1000,ROW(),$V$5:$V$1000,"Sub"),$Y46)))</f>
        <v/>
      </c>
      <c r="AD46" s="62">
        <f>IF($V46="","",IF(AND(ISNUMBER($G46),$G46&lt;=IF($S46=MesCiclo,InicioCiclo,$S46+MOD(2-WEEKDAY($S46),7))+13),1,IF(N($W46)&gt;0,AVERAGEIFS($Z$5:$Z$1000,$U$5:$U$1000,ROW(),$V$5:$V$1000,"Sub"),$Z46)))</f>
        <v/>
      </c>
      <c r="AE46" s="62">
        <f>IF($V46="","",IF(AND(ISNUMBER($G46),$G46&lt;=IF($S46=MesCiclo,InicioCiclo,$S46+MOD(2-WEEKDAY($S46),7))+20),1,IF(N($W46)&gt;0,AVERAGEIFS($AA$5:$AA$1000,$U$5:$U$1000,ROW(),$V$5:$V$1000,"Sub"),$AA46)))</f>
        <v/>
      </c>
      <c r="AF46" s="62">
        <f>IF($V46="","",IF(AND(ISNUMBER($G46),$G46&lt;=IF($S46=MesCiclo,InicioCiclo,$S46+MOD(2-WEEKDAY($S46),7))+27),1,IF(N($W46)&gt;0,AVERAGEIFS($AB$5:$AB$1000,$U$5:$U$1000,ROW(),$V$5:$V$1000,"Sub"),$AB46)))</f>
        <v/>
      </c>
      <c r="AG46" s="62">
        <f>IF($V46&lt;&gt;"Macro","",IF(COUNTIFS($S$5:$S$1000,$S46,$V$5:$V$1000,"Macro",$H$5:$H$1000,"&gt;0")=0,1/COUNTIFS($S$5:$S$1000,$S46,$V$5:$V$1000,"Macro"),IF(AND(ISNUMBER($H46),N($H46)&gt;0),$H46,SUMIFS($H$5:$H$1000,$S$5:$S$1000,$S46,$V$5:$V$1000,"Macro")/COUNTIFS($S$5:$S$1000,$S46,$V$5:$V$1000,"Macro",$H$5:$H$1000,"&gt;0"))/(COUNTIFS($S$5:$S$1000,$S46,$V$5:$V$1000,"Macro")*SUMIFS($H$5:$H$1000,$S$5:$S$1000,$S46,$V$5:$V$1000,"Macro")/COUNTIFS($S$5:$S$1000,$S46,$V$5:$V$1000,"Macro",$H$5:$H$1000,"&gt;0"))))</f>
        <v/>
      </c>
      <c r="AH46" s="62" t="n"/>
      <c r="AI46" s="62" t="n"/>
      <c r="AJ46" s="62" t="n"/>
      <c r="AK46" s="62" t="n"/>
      <c r="AL46" s="62">
        <f>IF(LEFT($C46,11)="[Jefatura] ",IFERROR(MATCH("Riesgo Financiero|"&amp;MID($C46,12,500),rDname_ADM,0),0),"")</f>
        <v/>
      </c>
      <c r="AM46" s="62">
        <f>IF(N($AL46)&gt;0,INDEX(rIni_ADM,$AL46),IF(ISNUMBER($E46),$E46,""))</f>
        <v/>
      </c>
      <c r="AN46" s="62">
        <f>IF(N($AL46)&gt;0,INDEX(rLim_ADM,$AL46),IF(ISNUMBER($F46),$F46,""))</f>
        <v/>
      </c>
    </row>
    <row r="47">
      <c r="A47" s="56">
        <f>IF(NOT((COUNTA($B47:$D47)+COUNTA($G47:$L47)+COUNTA($Q47))&gt;0),"",IF($V47="Macro",COUNTIFS($V$5:$V47,"Macro",$S$5:$S47,$S47),IF(N($U47)=0,"?",COUNTIFS(INDEX($V$5:$V$1000,1):INDEX($V$5:$V$1000,$U47-4),"Macro",INDEX($S$5:$S$1000,1):INDEX($S$5:$S$1000,$U47-4),INDEX($S$5:$S$1000,$U47-4))&amp;"."&amp;COUNTIFS($U$5:$U47,$U47,$V$5:$V47,"Sub"))))</f>
        <v/>
      </c>
      <c r="B47" s="57" t="n"/>
      <c r="C47" s="58" t="n"/>
      <c r="D47" s="58" t="n"/>
      <c r="E47" s="59">
        <f>IF(N($AL47)&gt;0,INDEX(rIni_ADM,$AL47),"")</f>
        <v/>
      </c>
      <c r="F47" s="59">
        <f>IF(N($AL47)&gt;0,INDEX(rLim_ADM,$AL47),"")</f>
        <v/>
      </c>
      <c r="G47" s="59" t="n"/>
      <c r="H47" s="60" t="n"/>
      <c r="I47" s="60" t="n"/>
      <c r="J47" s="60" t="n"/>
      <c r="K47" s="60" t="n"/>
      <c r="L47" s="60" t="n"/>
      <c r="M47" s="61">
        <f>IF(NOT((COUNTA($B47:$D47)+COUNTA($G47:$L47)+COUNTA($Q47))&gt;0),"",IF(ISNUMBER($G47),1,IF(N($W47)&gt;0,AVERAGEIFS($X$5:$X$1000,$U$5:$U$1000,ROW(),$V$5:$V$1000,"Sub"),$X47)))</f>
        <v/>
      </c>
      <c r="N47" s="56">
        <f>IF($M47="","",IF($M47&gt;=1,"Completado",IF($M47&gt;0,"En curso","Pendiente")))</f>
        <v/>
      </c>
      <c r="O47" s="56">
        <f>IF(NOT((COUNTA($B47:$D47)+COUNTA($G47:$L47)+COUNTA($Q47))&gt;0),"",IF(ISNUMBER($G47),IF(AND(ISNUMBER($AN47),$G47&gt;$AN47),"Cumplida con "&amp;($G47-$AN47)&amp;IF($G47-$AN47=1," día"," días")&amp;" de retraso","Cumplida"),IF(N($M47)&gt;=1,"Cumplida",IF(NOT(ISNUMBER($AN47)),"Sin fecha límite",IF($AN47&lt;FechaRef,"Vencida hace "&amp;(FechaRef-$AN47)&amp;IF(FechaRef-$AN47=1," día"," días"),IF($AN47=FechaRef,"Vence hoy",IF($AN47-FechaRef&lt;=DiasAlerta,"Vence en "&amp;($AN47-FechaRef)&amp;IF($AN47-FechaRef=1," día"," días"),"En plazo")))))))</f>
        <v/>
      </c>
      <c r="P47" s="62" t="n"/>
      <c r="Q47" s="58" t="n"/>
      <c r="R47" s="63">
        <f>IF(NOT((COUNTA($B47:$D47)+COUNTA($G47:$L47)+COUNTA($Q47))&gt;0),"",IF((IF($C47="","Falta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",""))="","✔ OK","⚠ "&amp;LEFT(IF($C47="","Falta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",""),LEN(IF($C47="","Falta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",""))-3)))</f>
        <v/>
      </c>
      <c r="S47" s="64">
        <f>IF(NOT((COUNTA($B47:$D47)+COUNTA($G47:$L47)+COUNTA($Q47))&gt;0),"",IF(AND($V47="Sub",N($U47)&gt;0),IF(ISNUMBER(INDEX($AM$5:$AM$1000,$U47-4)),DATE(YEAR(INDEX($AM$5:$AM$1000,$U47-4)),MONTH(INDEX($AM$5:$AM$1000,$U47-4)),1),IF(ISNUMBER(INDEX($AN$5:$AN$1000,$U47-4)),DATE(YEAR(INDEX($AN$5:$AN$1000,$U47-4)),MONTH(INDEX($AN$5:$AN$1000,$U47-4)),1),MesCiclo)),IF(ISNUMBER($AM47),DATE(YEAR($AM47),MONTH($AM47),1),IF(ISNUMBER($AN47),DATE(YEAR($AN47),MONTH($AN47),1),MesCiclo))))</f>
        <v/>
      </c>
      <c r="T47" s="62">
        <f>IF(OR($S47="",$S47&lt;&gt;MesCiclo),"",COUNTIF($S$5:$S47,MesCiclo))</f>
        <v/>
      </c>
      <c r="U47" s="62">
        <f>IF($V47="","",IF($V47="Macro",ROW(),IFERROR(LOOKUP(2,1/($V$5:$V47="Macro"),ROW($V$5:$V47)),0)))</f>
        <v/>
      </c>
      <c r="V47" s="62">
        <f>IF(NOT((COUNTA($B47:$D47)+COUNTA($G47:$L47)+COUNTA($Q47))&gt;0),"",IF($B47="Subactividad","Sub","Macro"))</f>
        <v/>
      </c>
      <c r="W47" s="62">
        <f>IF($V47="Macro",COUNTIFS($U$5:$U$1000,ROW(),$V$5:$V$1000,"Sub"),"")</f>
        <v/>
      </c>
      <c r="X47" s="62">
        <f>IF($V47="","",IF(ISNUMBER($G47),1,IFERROR(LOOKUP(2,1/($I47:$L47&lt;&gt;""),$I47:$L47),0)))</f>
        <v/>
      </c>
      <c r="Y47" s="62">
        <f>IF($V47="","",IF(AND(ISNUMBER($G47),$G47&lt;=IF($S47=MesCiclo,InicioCiclo,$S47+MOD(2-WEEKDAY($S47),7))+6),1,IF(ISNUMBER($I47),$I47,0)))</f>
        <v/>
      </c>
      <c r="Z47" s="62">
        <f>IF($V47="","",IF(AND(ISNUMBER($G47),$G47&lt;=IF($S47=MesCiclo,InicioCiclo,$S47+MOD(2-WEEKDAY($S47),7))+13),1,IF(ISNUMBER($J47),$J47,$Y47)))</f>
        <v/>
      </c>
      <c r="AA47" s="62">
        <f>IF($V47="","",IF(AND(ISNUMBER($G47),$G47&lt;=IF($S47=MesCiclo,InicioCiclo,$S47+MOD(2-WEEKDAY($S47),7))+20),1,IF(ISNUMBER($K47),$K47,$Z47)))</f>
        <v/>
      </c>
      <c r="AB47" s="62">
        <f>IF($V47="","",IF(AND(ISNUMBER($G47),$G47&lt;=IF($S47=MesCiclo,InicioCiclo,$S47+MOD(2-WEEKDAY($S47),7))+27),1,IF(ISNUMBER($L47),$L47,$AA47)))</f>
        <v/>
      </c>
      <c r="AC47" s="62">
        <f>IF($V47="","",IF(AND(ISNUMBER($G47),$G47&lt;=IF($S47=MesCiclo,InicioCiclo,$S47+MOD(2-WEEKDAY($S47),7))+6),1,IF(N($W47)&gt;0,AVERAGEIFS($Y$5:$Y$1000,$U$5:$U$1000,ROW(),$V$5:$V$1000,"Sub"),$Y47)))</f>
        <v/>
      </c>
      <c r="AD47" s="62">
        <f>IF($V47="","",IF(AND(ISNUMBER($G47),$G47&lt;=IF($S47=MesCiclo,InicioCiclo,$S47+MOD(2-WEEKDAY($S47),7))+13),1,IF(N($W47)&gt;0,AVERAGEIFS($Z$5:$Z$1000,$U$5:$U$1000,ROW(),$V$5:$V$1000,"Sub"),$Z47)))</f>
        <v/>
      </c>
      <c r="AE47" s="62">
        <f>IF($V47="","",IF(AND(ISNUMBER($G47),$G47&lt;=IF($S47=MesCiclo,InicioCiclo,$S47+MOD(2-WEEKDAY($S47),7))+20),1,IF(N($W47)&gt;0,AVERAGEIFS($AA$5:$AA$1000,$U$5:$U$1000,ROW(),$V$5:$V$1000,"Sub"),$AA47)))</f>
        <v/>
      </c>
      <c r="AF47" s="62">
        <f>IF($V47="","",IF(AND(ISNUMBER($G47),$G47&lt;=IF($S47=MesCiclo,InicioCiclo,$S47+MOD(2-WEEKDAY($S47),7))+27),1,IF(N($W47)&gt;0,AVERAGEIFS($AB$5:$AB$1000,$U$5:$U$1000,ROW(),$V$5:$V$1000,"Sub"),$AB47)))</f>
        <v/>
      </c>
      <c r="AG47" s="62">
        <f>IF($V47&lt;&gt;"Macro","",IF(COUNTIFS($S$5:$S$1000,$S47,$V$5:$V$1000,"Macro",$H$5:$H$1000,"&gt;0")=0,1/COUNTIFS($S$5:$S$1000,$S47,$V$5:$V$1000,"Macro"),IF(AND(ISNUMBER($H47),N($H47)&gt;0),$H47,SUMIFS($H$5:$H$1000,$S$5:$S$1000,$S47,$V$5:$V$1000,"Macro")/COUNTIFS($S$5:$S$1000,$S47,$V$5:$V$1000,"Macro",$H$5:$H$1000,"&gt;0"))/(COUNTIFS($S$5:$S$1000,$S47,$V$5:$V$1000,"Macro")*SUMIFS($H$5:$H$1000,$S$5:$S$1000,$S47,$V$5:$V$1000,"Macro")/COUNTIFS($S$5:$S$1000,$S47,$V$5:$V$1000,"Macro",$H$5:$H$1000,"&gt;0"))))</f>
        <v/>
      </c>
      <c r="AH47" s="62" t="n"/>
      <c r="AI47" s="62" t="n"/>
      <c r="AJ47" s="62" t="n"/>
      <c r="AK47" s="62" t="n"/>
      <c r="AL47" s="62">
        <f>IF(LEFT($C47,11)="[Jefatura] ",IFERROR(MATCH("Riesgo Financiero|"&amp;MID($C47,12,500),rDname_ADM,0),0),"")</f>
        <v/>
      </c>
      <c r="AM47" s="62">
        <f>IF(N($AL47)&gt;0,INDEX(rIni_ADM,$AL47),IF(ISNUMBER($E47),$E47,""))</f>
        <v/>
      </c>
      <c r="AN47" s="62">
        <f>IF(N($AL47)&gt;0,INDEX(rLim_ADM,$AL47),IF(ISNUMBER($F47),$F47,""))</f>
        <v/>
      </c>
    </row>
    <row r="48">
      <c r="A48" s="56">
        <f>IF(NOT((COUNTA($B48:$D48)+COUNTA($G48:$L48)+COUNTA($Q48))&gt;0),"",IF($V48="Macro",COUNTIFS($V$5:$V48,"Macro",$S$5:$S48,$S48),IF(N($U48)=0,"?",COUNTIFS(INDEX($V$5:$V$1000,1):INDEX($V$5:$V$1000,$U48-4),"Macro",INDEX($S$5:$S$1000,1):INDEX($S$5:$S$1000,$U48-4),INDEX($S$5:$S$1000,$U48-4))&amp;"."&amp;COUNTIFS($U$5:$U48,$U48,$V$5:$V48,"Sub"))))</f>
        <v/>
      </c>
      <c r="B48" s="57" t="n"/>
      <c r="C48" s="58" t="n"/>
      <c r="D48" s="58" t="n"/>
      <c r="E48" s="59">
        <f>IF(N($AL48)&gt;0,INDEX(rIni_ADM,$AL48),"")</f>
        <v/>
      </c>
      <c r="F48" s="59">
        <f>IF(N($AL48)&gt;0,INDEX(rLim_ADM,$AL48),"")</f>
        <v/>
      </c>
      <c r="G48" s="59" t="n"/>
      <c r="H48" s="60" t="n"/>
      <c r="I48" s="60" t="n"/>
      <c r="J48" s="60" t="n"/>
      <c r="K48" s="60" t="n"/>
      <c r="L48" s="60" t="n"/>
      <c r="M48" s="61">
        <f>IF(NOT((COUNTA($B48:$D48)+COUNTA($G48:$L48)+COUNTA($Q48))&gt;0),"",IF(ISNUMBER($G48),1,IF(N($W48)&gt;0,AVERAGEIFS($X$5:$X$1000,$U$5:$U$1000,ROW(),$V$5:$V$1000,"Sub"),$X48)))</f>
        <v/>
      </c>
      <c r="N48" s="56">
        <f>IF($M48="","",IF($M48&gt;=1,"Completado",IF($M48&gt;0,"En curso","Pendiente")))</f>
        <v/>
      </c>
      <c r="O48" s="56">
        <f>IF(NOT((COUNTA($B48:$D48)+COUNTA($G48:$L48)+COUNTA($Q48))&gt;0),"",IF(ISNUMBER($G48),IF(AND(ISNUMBER($AN48),$G48&gt;$AN48),"Cumplida con "&amp;($G48-$AN48)&amp;IF($G48-$AN48=1," día"," días")&amp;" de retraso","Cumplida"),IF(N($M48)&gt;=1,"Cumplida",IF(NOT(ISNUMBER($AN48)),"Sin fecha límite",IF($AN48&lt;FechaRef,"Vencida hace "&amp;(FechaRef-$AN48)&amp;IF(FechaRef-$AN48=1," día"," días"),IF($AN48=FechaRef,"Vence hoy",IF($AN48-FechaRef&lt;=DiasAlerta,"Vence en "&amp;($AN48-FechaRef)&amp;IF($AN48-FechaRef=1," día"," días"),"En plazo")))))))</f>
        <v/>
      </c>
      <c r="P48" s="62" t="n"/>
      <c r="Q48" s="58" t="n"/>
      <c r="R48" s="63">
        <f>IF(NOT((COUNTA($B48:$D48)+COUNTA($G48:$L48)+COUNTA($Q48))&gt;0),"",IF((IF($C48="","Falta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",""))="","✔ OK","⚠ "&amp;LEFT(IF($C48="","Falta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",""),LEN(IF($C48="","Falta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",""))-3)))</f>
        <v/>
      </c>
      <c r="S48" s="64">
        <f>IF(NOT((COUNTA($B48:$D48)+COUNTA($G48:$L48)+COUNTA($Q48))&gt;0),"",IF(AND($V48="Sub",N($U48)&gt;0),IF(ISNUMBER(INDEX($AM$5:$AM$1000,$U48-4)),DATE(YEAR(INDEX($AM$5:$AM$1000,$U48-4)),MONTH(INDEX($AM$5:$AM$1000,$U48-4)),1),IF(ISNUMBER(INDEX($AN$5:$AN$1000,$U48-4)),DATE(YEAR(INDEX($AN$5:$AN$1000,$U48-4)),MONTH(INDEX($AN$5:$AN$1000,$U48-4)),1),MesCiclo)),IF(ISNUMBER($AM48),DATE(YEAR($AM48),MONTH($AM48),1),IF(ISNUMBER($AN48),DATE(YEAR($AN48),MONTH($AN48),1),MesCiclo))))</f>
        <v/>
      </c>
      <c r="T48" s="62">
        <f>IF(OR($S48="",$S48&lt;&gt;MesCiclo),"",COUNTIF($S$5:$S48,MesCiclo))</f>
        <v/>
      </c>
      <c r="U48" s="62">
        <f>IF($V48="","",IF($V48="Macro",ROW(),IFERROR(LOOKUP(2,1/($V$5:$V48="Macro"),ROW($V$5:$V48)),0)))</f>
        <v/>
      </c>
      <c r="V48" s="62">
        <f>IF(NOT((COUNTA($B48:$D48)+COUNTA($G48:$L48)+COUNTA($Q48))&gt;0),"",IF($B48="Subactividad","Sub","Macro"))</f>
        <v/>
      </c>
      <c r="W48" s="62">
        <f>IF($V48="Macro",COUNTIFS($U$5:$U$1000,ROW(),$V$5:$V$1000,"Sub"),"")</f>
        <v/>
      </c>
      <c r="X48" s="62">
        <f>IF($V48="","",IF(ISNUMBER($G48),1,IFERROR(LOOKUP(2,1/($I48:$L48&lt;&gt;""),$I48:$L48),0)))</f>
        <v/>
      </c>
      <c r="Y48" s="62">
        <f>IF($V48="","",IF(AND(ISNUMBER($G48),$G48&lt;=IF($S48=MesCiclo,InicioCiclo,$S48+MOD(2-WEEKDAY($S48),7))+6),1,IF(ISNUMBER($I48),$I48,0)))</f>
        <v/>
      </c>
      <c r="Z48" s="62">
        <f>IF($V48="","",IF(AND(ISNUMBER($G48),$G48&lt;=IF($S48=MesCiclo,InicioCiclo,$S48+MOD(2-WEEKDAY($S48),7))+13),1,IF(ISNUMBER($J48),$J48,$Y48)))</f>
        <v/>
      </c>
      <c r="AA48" s="62">
        <f>IF($V48="","",IF(AND(ISNUMBER($G48),$G48&lt;=IF($S48=MesCiclo,InicioCiclo,$S48+MOD(2-WEEKDAY($S48),7))+20),1,IF(ISNUMBER($K48),$K48,$Z48)))</f>
        <v/>
      </c>
      <c r="AB48" s="62">
        <f>IF($V48="","",IF(AND(ISNUMBER($G48),$G48&lt;=IF($S48=MesCiclo,InicioCiclo,$S48+MOD(2-WEEKDAY($S48),7))+27),1,IF(ISNUMBER($L48),$L48,$AA48)))</f>
        <v/>
      </c>
      <c r="AC48" s="62">
        <f>IF($V48="","",IF(AND(ISNUMBER($G48),$G48&lt;=IF($S48=MesCiclo,InicioCiclo,$S48+MOD(2-WEEKDAY($S48),7))+6),1,IF(N($W48)&gt;0,AVERAGEIFS($Y$5:$Y$1000,$U$5:$U$1000,ROW(),$V$5:$V$1000,"Sub"),$Y48)))</f>
        <v/>
      </c>
      <c r="AD48" s="62">
        <f>IF($V48="","",IF(AND(ISNUMBER($G48),$G48&lt;=IF($S48=MesCiclo,InicioCiclo,$S48+MOD(2-WEEKDAY($S48),7))+13),1,IF(N($W48)&gt;0,AVERAGEIFS($Z$5:$Z$1000,$U$5:$U$1000,ROW(),$V$5:$V$1000,"Sub"),$Z48)))</f>
        <v/>
      </c>
      <c r="AE48" s="62">
        <f>IF($V48="","",IF(AND(ISNUMBER($G48),$G48&lt;=IF($S48=MesCiclo,InicioCiclo,$S48+MOD(2-WEEKDAY($S48),7))+20),1,IF(N($W48)&gt;0,AVERAGEIFS($AA$5:$AA$1000,$U$5:$U$1000,ROW(),$V$5:$V$1000,"Sub"),$AA48)))</f>
        <v/>
      </c>
      <c r="AF48" s="62">
        <f>IF($V48="","",IF(AND(ISNUMBER($G48),$G48&lt;=IF($S48=MesCiclo,InicioCiclo,$S48+MOD(2-WEEKDAY($S48),7))+27),1,IF(N($W48)&gt;0,AVERAGEIFS($AB$5:$AB$1000,$U$5:$U$1000,ROW(),$V$5:$V$1000,"Sub"),$AB48)))</f>
        <v/>
      </c>
      <c r="AG48" s="62">
        <f>IF($V48&lt;&gt;"Macro","",IF(COUNTIFS($S$5:$S$1000,$S48,$V$5:$V$1000,"Macro",$H$5:$H$1000,"&gt;0")=0,1/COUNTIFS($S$5:$S$1000,$S48,$V$5:$V$1000,"Macro"),IF(AND(ISNUMBER($H48),N($H48)&gt;0),$H48,SUMIFS($H$5:$H$1000,$S$5:$S$1000,$S48,$V$5:$V$1000,"Macro")/COUNTIFS($S$5:$S$1000,$S48,$V$5:$V$1000,"Macro",$H$5:$H$1000,"&gt;0"))/(COUNTIFS($S$5:$S$1000,$S48,$V$5:$V$1000,"Macro")*SUMIFS($H$5:$H$1000,$S$5:$S$1000,$S48,$V$5:$V$1000,"Macro")/COUNTIFS($S$5:$S$1000,$S48,$V$5:$V$1000,"Macro",$H$5:$H$1000,"&gt;0"))))</f>
        <v/>
      </c>
      <c r="AH48" s="62" t="n"/>
      <c r="AI48" s="62" t="n"/>
      <c r="AJ48" s="62" t="n"/>
      <c r="AK48" s="62" t="n"/>
      <c r="AL48" s="62">
        <f>IF(LEFT($C48,11)="[Jefatura] ",IFERROR(MATCH("Riesgo Financiero|"&amp;MID($C48,12,500),rDname_ADM,0),0),"")</f>
        <v/>
      </c>
      <c r="AM48" s="62">
        <f>IF(N($AL48)&gt;0,INDEX(rIni_ADM,$AL48),IF(ISNUMBER($E48),$E48,""))</f>
        <v/>
      </c>
      <c r="AN48" s="62">
        <f>IF(N($AL48)&gt;0,INDEX(rLim_ADM,$AL48),IF(ISNUMBER($F48),$F48,""))</f>
        <v/>
      </c>
    </row>
    <row r="49">
      <c r="A49" s="56">
        <f>IF(NOT((COUNTA($B49:$D49)+COUNTA($G49:$L49)+COUNTA($Q49))&gt;0),"",IF($V49="Macro",COUNTIFS($V$5:$V49,"Macro",$S$5:$S49,$S49),IF(N($U49)=0,"?",COUNTIFS(INDEX($V$5:$V$1000,1):INDEX($V$5:$V$1000,$U49-4),"Macro",INDEX($S$5:$S$1000,1):INDEX($S$5:$S$1000,$U49-4),INDEX($S$5:$S$1000,$U49-4))&amp;"."&amp;COUNTIFS($U$5:$U49,$U49,$V$5:$V49,"Sub"))))</f>
        <v/>
      </c>
      <c r="B49" s="57" t="n"/>
      <c r="C49" s="58" t="n"/>
      <c r="D49" s="58" t="n"/>
      <c r="E49" s="59">
        <f>IF(N($AL49)&gt;0,INDEX(rIni_ADM,$AL49),"")</f>
        <v/>
      </c>
      <c r="F49" s="59">
        <f>IF(N($AL49)&gt;0,INDEX(rLim_ADM,$AL49),"")</f>
        <v/>
      </c>
      <c r="G49" s="59" t="n"/>
      <c r="H49" s="60" t="n"/>
      <c r="I49" s="60" t="n"/>
      <c r="J49" s="60" t="n"/>
      <c r="K49" s="60" t="n"/>
      <c r="L49" s="60" t="n"/>
      <c r="M49" s="61">
        <f>IF(NOT((COUNTA($B49:$D49)+COUNTA($G49:$L49)+COUNTA($Q49))&gt;0),"",IF(ISNUMBER($G49),1,IF(N($W49)&gt;0,AVERAGEIFS($X$5:$X$1000,$U$5:$U$1000,ROW(),$V$5:$V$1000,"Sub"),$X49)))</f>
        <v/>
      </c>
      <c r="N49" s="56">
        <f>IF($M49="","",IF($M49&gt;=1,"Completado",IF($M49&gt;0,"En curso","Pendiente")))</f>
        <v/>
      </c>
      <c r="O49" s="56">
        <f>IF(NOT((COUNTA($B49:$D49)+COUNTA($G49:$L49)+COUNTA($Q49))&gt;0),"",IF(ISNUMBER($G49),IF(AND(ISNUMBER($AN49),$G49&gt;$AN49),"Cumplida con "&amp;($G49-$AN49)&amp;IF($G49-$AN49=1," día"," días")&amp;" de retraso","Cumplida"),IF(N($M49)&gt;=1,"Cumplida",IF(NOT(ISNUMBER($AN49)),"Sin fecha límite",IF($AN49&lt;FechaRef,"Vencida hace "&amp;(FechaRef-$AN49)&amp;IF(FechaRef-$AN49=1," día"," días"),IF($AN49=FechaRef,"Vence hoy",IF($AN49-FechaRef&lt;=DiasAlerta,"Vence en "&amp;($AN49-FechaRef)&amp;IF($AN49-FechaRef=1," día"," días"),"En plazo")))))))</f>
        <v/>
      </c>
      <c r="P49" s="62" t="n"/>
      <c r="Q49" s="58" t="n"/>
      <c r="R49" s="63">
        <f>IF(NOT((COUNTA($B49:$D49)+COUNTA($G49:$L49)+COUNTA($Q49))&gt;0),"",IF((IF($C49="","Falta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",""))="","✔ OK","⚠ "&amp;LEFT(IF($C49="","Falta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",""),LEN(IF($C49="","Falta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",""))-3)))</f>
        <v/>
      </c>
      <c r="S49" s="64">
        <f>IF(NOT((COUNTA($B49:$D49)+COUNTA($G49:$L49)+COUNTA($Q49))&gt;0),"",IF(AND($V49="Sub",N($U49)&gt;0),IF(ISNUMBER(INDEX($AM$5:$AM$1000,$U49-4)),DATE(YEAR(INDEX($AM$5:$AM$1000,$U49-4)),MONTH(INDEX($AM$5:$AM$1000,$U49-4)),1),IF(ISNUMBER(INDEX($AN$5:$AN$1000,$U49-4)),DATE(YEAR(INDEX($AN$5:$AN$1000,$U49-4)),MONTH(INDEX($AN$5:$AN$1000,$U49-4)),1),MesCiclo)),IF(ISNUMBER($AM49),DATE(YEAR($AM49),MONTH($AM49),1),IF(ISNUMBER($AN49),DATE(YEAR($AN49),MONTH($AN49),1),MesCiclo))))</f>
        <v/>
      </c>
      <c r="T49" s="62">
        <f>IF(OR($S49="",$S49&lt;&gt;MesCiclo),"",COUNTIF($S$5:$S49,MesCiclo))</f>
        <v/>
      </c>
      <c r="U49" s="62">
        <f>IF($V49="","",IF($V49="Macro",ROW(),IFERROR(LOOKUP(2,1/($V$5:$V49="Macro"),ROW($V$5:$V49)),0)))</f>
        <v/>
      </c>
      <c r="V49" s="62">
        <f>IF(NOT((COUNTA($B49:$D49)+COUNTA($G49:$L49)+COUNTA($Q49))&gt;0),"",IF($B49="Subactividad","Sub","Macro"))</f>
        <v/>
      </c>
      <c r="W49" s="62">
        <f>IF($V49="Macro",COUNTIFS($U$5:$U$1000,ROW(),$V$5:$V$1000,"Sub"),"")</f>
        <v/>
      </c>
      <c r="X49" s="62">
        <f>IF($V49="","",IF(ISNUMBER($G49),1,IFERROR(LOOKUP(2,1/($I49:$L49&lt;&gt;""),$I49:$L49),0)))</f>
        <v/>
      </c>
      <c r="Y49" s="62">
        <f>IF($V49="","",IF(AND(ISNUMBER($G49),$G49&lt;=IF($S49=MesCiclo,InicioCiclo,$S49+MOD(2-WEEKDAY($S49),7))+6),1,IF(ISNUMBER($I49),$I49,0)))</f>
        <v/>
      </c>
      <c r="Z49" s="62">
        <f>IF($V49="","",IF(AND(ISNUMBER($G49),$G49&lt;=IF($S49=MesCiclo,InicioCiclo,$S49+MOD(2-WEEKDAY($S49),7))+13),1,IF(ISNUMBER($J49),$J49,$Y49)))</f>
        <v/>
      </c>
      <c r="AA49" s="62">
        <f>IF($V49="","",IF(AND(ISNUMBER($G49),$G49&lt;=IF($S49=MesCiclo,InicioCiclo,$S49+MOD(2-WEEKDAY($S49),7))+20),1,IF(ISNUMBER($K49),$K49,$Z49)))</f>
        <v/>
      </c>
      <c r="AB49" s="62">
        <f>IF($V49="","",IF(AND(ISNUMBER($G49),$G49&lt;=IF($S49=MesCiclo,InicioCiclo,$S49+MOD(2-WEEKDAY($S49),7))+27),1,IF(ISNUMBER($L49),$L49,$AA49)))</f>
        <v/>
      </c>
      <c r="AC49" s="62">
        <f>IF($V49="","",IF(AND(ISNUMBER($G49),$G49&lt;=IF($S49=MesCiclo,InicioCiclo,$S49+MOD(2-WEEKDAY($S49),7))+6),1,IF(N($W49)&gt;0,AVERAGEIFS($Y$5:$Y$1000,$U$5:$U$1000,ROW(),$V$5:$V$1000,"Sub"),$Y49)))</f>
        <v/>
      </c>
      <c r="AD49" s="62">
        <f>IF($V49="","",IF(AND(ISNUMBER($G49),$G49&lt;=IF($S49=MesCiclo,InicioCiclo,$S49+MOD(2-WEEKDAY($S49),7))+13),1,IF(N($W49)&gt;0,AVERAGEIFS($Z$5:$Z$1000,$U$5:$U$1000,ROW(),$V$5:$V$1000,"Sub"),$Z49)))</f>
        <v/>
      </c>
      <c r="AE49" s="62">
        <f>IF($V49="","",IF(AND(ISNUMBER($G49),$G49&lt;=IF($S49=MesCiclo,InicioCiclo,$S49+MOD(2-WEEKDAY($S49),7))+20),1,IF(N($W49)&gt;0,AVERAGEIFS($AA$5:$AA$1000,$U$5:$U$1000,ROW(),$V$5:$V$1000,"Sub"),$AA49)))</f>
        <v/>
      </c>
      <c r="AF49" s="62">
        <f>IF($V49="","",IF(AND(ISNUMBER($G49),$G49&lt;=IF($S49=MesCiclo,InicioCiclo,$S49+MOD(2-WEEKDAY($S49),7))+27),1,IF(N($W49)&gt;0,AVERAGEIFS($AB$5:$AB$1000,$U$5:$U$1000,ROW(),$V$5:$V$1000,"Sub"),$AB49)))</f>
        <v/>
      </c>
      <c r="AG49" s="62">
        <f>IF($V49&lt;&gt;"Macro","",IF(COUNTIFS($S$5:$S$1000,$S49,$V$5:$V$1000,"Macro",$H$5:$H$1000,"&gt;0")=0,1/COUNTIFS($S$5:$S$1000,$S49,$V$5:$V$1000,"Macro"),IF(AND(ISNUMBER($H49),N($H49)&gt;0),$H49,SUMIFS($H$5:$H$1000,$S$5:$S$1000,$S49,$V$5:$V$1000,"Macro")/COUNTIFS($S$5:$S$1000,$S49,$V$5:$V$1000,"Macro",$H$5:$H$1000,"&gt;0"))/(COUNTIFS($S$5:$S$1000,$S49,$V$5:$V$1000,"Macro")*SUMIFS($H$5:$H$1000,$S$5:$S$1000,$S49,$V$5:$V$1000,"Macro")/COUNTIFS($S$5:$S$1000,$S49,$V$5:$V$1000,"Macro",$H$5:$H$1000,"&gt;0"))))</f>
        <v/>
      </c>
      <c r="AH49" s="62" t="n"/>
      <c r="AI49" s="62" t="n"/>
      <c r="AJ49" s="62" t="n"/>
      <c r="AK49" s="62" t="n"/>
      <c r="AL49" s="62">
        <f>IF(LEFT($C49,11)="[Jefatura] ",IFERROR(MATCH("Riesgo Financiero|"&amp;MID($C49,12,500),rDname_ADM,0),0),"")</f>
        <v/>
      </c>
      <c r="AM49" s="62">
        <f>IF(N($AL49)&gt;0,INDEX(rIni_ADM,$AL49),IF(ISNUMBER($E49),$E49,""))</f>
        <v/>
      </c>
      <c r="AN49" s="62">
        <f>IF(N($AL49)&gt;0,INDEX(rLim_ADM,$AL49),IF(ISNUMBER($F49),$F49,""))</f>
        <v/>
      </c>
    </row>
    <row r="50">
      <c r="A50" s="56">
        <f>IF(NOT((COUNTA($B50:$D50)+COUNTA($G50:$L50)+COUNTA($Q50))&gt;0),"",IF($V50="Macro",COUNTIFS($V$5:$V50,"Macro",$S$5:$S50,$S50),IF(N($U50)=0,"?",COUNTIFS(INDEX($V$5:$V$1000,1):INDEX($V$5:$V$1000,$U50-4),"Macro",INDEX($S$5:$S$1000,1):INDEX($S$5:$S$1000,$U50-4),INDEX($S$5:$S$1000,$U50-4))&amp;"."&amp;COUNTIFS($U$5:$U50,$U50,$V$5:$V50,"Sub"))))</f>
        <v/>
      </c>
      <c r="B50" s="57" t="n"/>
      <c r="C50" s="58" t="n"/>
      <c r="D50" s="58" t="n"/>
      <c r="E50" s="59">
        <f>IF(N($AL50)&gt;0,INDEX(rIni_ADM,$AL50),"")</f>
        <v/>
      </c>
      <c r="F50" s="59">
        <f>IF(N($AL50)&gt;0,INDEX(rLim_ADM,$AL50),"")</f>
        <v/>
      </c>
      <c r="G50" s="59" t="n"/>
      <c r="H50" s="60" t="n"/>
      <c r="I50" s="60" t="n"/>
      <c r="J50" s="60" t="n"/>
      <c r="K50" s="60" t="n"/>
      <c r="L50" s="60" t="n"/>
      <c r="M50" s="61">
        <f>IF(NOT((COUNTA($B50:$D50)+COUNTA($G50:$L50)+COUNTA($Q50))&gt;0),"",IF(ISNUMBER($G50),1,IF(N($W50)&gt;0,AVERAGEIFS($X$5:$X$1000,$U$5:$U$1000,ROW(),$V$5:$V$1000,"Sub"),$X50)))</f>
        <v/>
      </c>
      <c r="N50" s="56">
        <f>IF($M50="","",IF($M50&gt;=1,"Completado",IF($M50&gt;0,"En curso","Pendiente")))</f>
        <v/>
      </c>
      <c r="O50" s="56">
        <f>IF(NOT((COUNTA($B50:$D50)+COUNTA($G50:$L50)+COUNTA($Q50))&gt;0),"",IF(ISNUMBER($G50),IF(AND(ISNUMBER($AN50),$G50&gt;$AN50),"Cumplida con "&amp;($G50-$AN50)&amp;IF($G50-$AN50=1," día"," días")&amp;" de retraso","Cumplida"),IF(N($M50)&gt;=1,"Cumplida",IF(NOT(ISNUMBER($AN50)),"Sin fecha límite",IF($AN50&lt;FechaRef,"Vencida hace "&amp;(FechaRef-$AN50)&amp;IF(FechaRef-$AN50=1," día"," días"),IF($AN50=FechaRef,"Vence hoy",IF($AN50-FechaRef&lt;=DiasAlerta,"Vence en "&amp;($AN50-FechaRef)&amp;IF($AN50-FechaRef=1," día"," días"),"En plazo")))))))</f>
        <v/>
      </c>
      <c r="P50" s="62" t="n"/>
      <c r="Q50" s="58" t="n"/>
      <c r="R50" s="63">
        <f>IF(NOT((COUNTA($B50:$D50)+COUNTA($G50:$L50)+COUNTA($Q50))&gt;0),"",IF((IF($C50="","Falta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",""))="","✔ OK","⚠ "&amp;LEFT(IF($C50="","Falta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",""),LEN(IF($C50="","Falta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",""))-3)))</f>
        <v/>
      </c>
      <c r="S50" s="64">
        <f>IF(NOT((COUNTA($B50:$D50)+COUNTA($G50:$L50)+COUNTA($Q50))&gt;0),"",IF(AND($V50="Sub",N($U50)&gt;0),IF(ISNUMBER(INDEX($AM$5:$AM$1000,$U50-4)),DATE(YEAR(INDEX($AM$5:$AM$1000,$U50-4)),MONTH(INDEX($AM$5:$AM$1000,$U50-4)),1),IF(ISNUMBER(INDEX($AN$5:$AN$1000,$U50-4)),DATE(YEAR(INDEX($AN$5:$AN$1000,$U50-4)),MONTH(INDEX($AN$5:$AN$1000,$U50-4)),1),MesCiclo)),IF(ISNUMBER($AM50),DATE(YEAR($AM50),MONTH($AM50),1),IF(ISNUMBER($AN50),DATE(YEAR($AN50),MONTH($AN50),1),MesCiclo))))</f>
        <v/>
      </c>
      <c r="T50" s="62">
        <f>IF(OR($S50="",$S50&lt;&gt;MesCiclo),"",COUNTIF($S$5:$S50,MesCiclo))</f>
        <v/>
      </c>
      <c r="U50" s="62">
        <f>IF($V50="","",IF($V50="Macro",ROW(),IFERROR(LOOKUP(2,1/($V$5:$V50="Macro"),ROW($V$5:$V50)),0)))</f>
        <v/>
      </c>
      <c r="V50" s="62">
        <f>IF(NOT((COUNTA($B50:$D50)+COUNTA($G50:$L50)+COUNTA($Q50))&gt;0),"",IF($B50="Subactividad","Sub","Macro"))</f>
        <v/>
      </c>
      <c r="W50" s="62">
        <f>IF($V50="Macro",COUNTIFS($U$5:$U$1000,ROW(),$V$5:$V$1000,"Sub"),"")</f>
        <v/>
      </c>
      <c r="X50" s="62">
        <f>IF($V50="","",IF(ISNUMBER($G50),1,IFERROR(LOOKUP(2,1/($I50:$L50&lt;&gt;""),$I50:$L50),0)))</f>
        <v/>
      </c>
      <c r="Y50" s="62">
        <f>IF($V50="","",IF(AND(ISNUMBER($G50),$G50&lt;=IF($S50=MesCiclo,InicioCiclo,$S50+MOD(2-WEEKDAY($S50),7))+6),1,IF(ISNUMBER($I50),$I50,0)))</f>
        <v/>
      </c>
      <c r="Z50" s="62">
        <f>IF($V50="","",IF(AND(ISNUMBER($G50),$G50&lt;=IF($S50=MesCiclo,InicioCiclo,$S50+MOD(2-WEEKDAY($S50),7))+13),1,IF(ISNUMBER($J50),$J50,$Y50)))</f>
        <v/>
      </c>
      <c r="AA50" s="62">
        <f>IF($V50="","",IF(AND(ISNUMBER($G50),$G50&lt;=IF($S50=MesCiclo,InicioCiclo,$S50+MOD(2-WEEKDAY($S50),7))+20),1,IF(ISNUMBER($K50),$K50,$Z50)))</f>
        <v/>
      </c>
      <c r="AB50" s="62">
        <f>IF($V50="","",IF(AND(ISNUMBER($G50),$G50&lt;=IF($S50=MesCiclo,InicioCiclo,$S50+MOD(2-WEEKDAY($S50),7))+27),1,IF(ISNUMBER($L50),$L50,$AA50)))</f>
        <v/>
      </c>
      <c r="AC50" s="62">
        <f>IF($V50="","",IF(AND(ISNUMBER($G50),$G50&lt;=IF($S50=MesCiclo,InicioCiclo,$S50+MOD(2-WEEKDAY($S50),7))+6),1,IF(N($W50)&gt;0,AVERAGEIFS($Y$5:$Y$1000,$U$5:$U$1000,ROW(),$V$5:$V$1000,"Sub"),$Y50)))</f>
        <v/>
      </c>
      <c r="AD50" s="62">
        <f>IF($V50="","",IF(AND(ISNUMBER($G50),$G50&lt;=IF($S50=MesCiclo,InicioCiclo,$S50+MOD(2-WEEKDAY($S50),7))+13),1,IF(N($W50)&gt;0,AVERAGEIFS($Z$5:$Z$1000,$U$5:$U$1000,ROW(),$V$5:$V$1000,"Sub"),$Z50)))</f>
        <v/>
      </c>
      <c r="AE50" s="62">
        <f>IF($V50="","",IF(AND(ISNUMBER($G50),$G50&lt;=IF($S50=MesCiclo,InicioCiclo,$S50+MOD(2-WEEKDAY($S50),7))+20),1,IF(N($W50)&gt;0,AVERAGEIFS($AA$5:$AA$1000,$U$5:$U$1000,ROW(),$V$5:$V$1000,"Sub"),$AA50)))</f>
        <v/>
      </c>
      <c r="AF50" s="62">
        <f>IF($V50="","",IF(AND(ISNUMBER($G50),$G50&lt;=IF($S50=MesCiclo,InicioCiclo,$S50+MOD(2-WEEKDAY($S50),7))+27),1,IF(N($W50)&gt;0,AVERAGEIFS($AB$5:$AB$1000,$U$5:$U$1000,ROW(),$V$5:$V$1000,"Sub"),$AB50)))</f>
        <v/>
      </c>
      <c r="AG50" s="62">
        <f>IF($V50&lt;&gt;"Macro","",IF(COUNTIFS($S$5:$S$1000,$S50,$V$5:$V$1000,"Macro",$H$5:$H$1000,"&gt;0")=0,1/COUNTIFS($S$5:$S$1000,$S50,$V$5:$V$1000,"Macro"),IF(AND(ISNUMBER($H50),N($H50)&gt;0),$H50,SUMIFS($H$5:$H$1000,$S$5:$S$1000,$S50,$V$5:$V$1000,"Macro")/COUNTIFS($S$5:$S$1000,$S50,$V$5:$V$1000,"Macro",$H$5:$H$1000,"&gt;0"))/(COUNTIFS($S$5:$S$1000,$S50,$V$5:$V$1000,"Macro")*SUMIFS($H$5:$H$1000,$S$5:$S$1000,$S50,$V$5:$V$1000,"Macro")/COUNTIFS($S$5:$S$1000,$S50,$V$5:$V$1000,"Macro",$H$5:$H$1000,"&gt;0"))))</f>
        <v/>
      </c>
      <c r="AH50" s="62" t="n"/>
      <c r="AI50" s="62" t="n"/>
      <c r="AJ50" s="62" t="n"/>
      <c r="AK50" s="62" t="n"/>
      <c r="AL50" s="62">
        <f>IF(LEFT($C50,11)="[Jefatura] ",IFERROR(MATCH("Riesgo Financiero|"&amp;MID($C50,12,500),rDname_ADM,0),0),"")</f>
        <v/>
      </c>
      <c r="AM50" s="62">
        <f>IF(N($AL50)&gt;0,INDEX(rIni_ADM,$AL50),IF(ISNUMBER($E50),$E50,""))</f>
        <v/>
      </c>
      <c r="AN50" s="62">
        <f>IF(N($AL50)&gt;0,INDEX(rLim_ADM,$AL50),IF(ISNUMBER($F50),$F50,""))</f>
        <v/>
      </c>
    </row>
    <row r="51">
      <c r="A51" s="56">
        <f>IF(NOT((COUNTA($B51:$D51)+COUNTA($G51:$L51)+COUNTA($Q51))&gt;0),"",IF($V51="Macro",COUNTIFS($V$5:$V51,"Macro",$S$5:$S51,$S51),IF(N($U51)=0,"?",COUNTIFS(INDEX($V$5:$V$1000,1):INDEX($V$5:$V$1000,$U51-4),"Macro",INDEX($S$5:$S$1000,1):INDEX($S$5:$S$1000,$U51-4),INDEX($S$5:$S$1000,$U51-4))&amp;"."&amp;COUNTIFS($U$5:$U51,$U51,$V$5:$V51,"Sub"))))</f>
        <v/>
      </c>
      <c r="B51" s="57" t="n"/>
      <c r="C51" s="58" t="n"/>
      <c r="D51" s="58" t="n"/>
      <c r="E51" s="59">
        <f>IF(N($AL51)&gt;0,INDEX(rIni_ADM,$AL51),"")</f>
        <v/>
      </c>
      <c r="F51" s="59">
        <f>IF(N($AL51)&gt;0,INDEX(rLim_ADM,$AL51),"")</f>
        <v/>
      </c>
      <c r="G51" s="59" t="n"/>
      <c r="H51" s="60" t="n"/>
      <c r="I51" s="60" t="n"/>
      <c r="J51" s="60" t="n"/>
      <c r="K51" s="60" t="n"/>
      <c r="L51" s="60" t="n"/>
      <c r="M51" s="61">
        <f>IF(NOT((COUNTA($B51:$D51)+COUNTA($G51:$L51)+COUNTA($Q51))&gt;0),"",IF(ISNUMBER($G51),1,IF(N($W51)&gt;0,AVERAGEIFS($X$5:$X$1000,$U$5:$U$1000,ROW(),$V$5:$V$1000,"Sub"),$X51)))</f>
        <v/>
      </c>
      <c r="N51" s="56">
        <f>IF($M51="","",IF($M51&gt;=1,"Completado",IF($M51&gt;0,"En curso","Pendiente")))</f>
        <v/>
      </c>
      <c r="O51" s="56">
        <f>IF(NOT((COUNTA($B51:$D51)+COUNTA($G51:$L51)+COUNTA($Q51))&gt;0),"",IF(ISNUMBER($G51),IF(AND(ISNUMBER($AN51),$G51&gt;$AN51),"Cumplida con "&amp;($G51-$AN51)&amp;IF($G51-$AN51=1," día"," días")&amp;" de retraso","Cumplida"),IF(N($M51)&gt;=1,"Cumplida",IF(NOT(ISNUMBER($AN51)),"Sin fecha límite",IF($AN51&lt;FechaRef,"Vencida hace "&amp;(FechaRef-$AN51)&amp;IF(FechaRef-$AN51=1," día"," días"),IF($AN51=FechaRef,"Vence hoy",IF($AN51-FechaRef&lt;=DiasAlerta,"Vence en "&amp;($AN51-FechaRef)&amp;IF($AN51-FechaRef=1," día"," días"),"En plazo")))))))</f>
        <v/>
      </c>
      <c r="P51" s="62" t="n"/>
      <c r="Q51" s="58" t="n"/>
      <c r="R51" s="63">
        <f>IF(NOT((COUNTA($B51:$D51)+COUNTA($G51:$L51)+COUNTA($Q51))&gt;0),"",IF((IF($C51="","Falta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",""))="","✔ OK","⚠ "&amp;LEFT(IF($C51="","Falta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",""),LEN(IF($C51="","Falta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",""))-3)))</f>
        <v/>
      </c>
      <c r="S51" s="64">
        <f>IF(NOT((COUNTA($B51:$D51)+COUNTA($G51:$L51)+COUNTA($Q51))&gt;0),"",IF(AND($V51="Sub",N($U51)&gt;0),IF(ISNUMBER(INDEX($AM$5:$AM$1000,$U51-4)),DATE(YEAR(INDEX($AM$5:$AM$1000,$U51-4)),MONTH(INDEX($AM$5:$AM$1000,$U51-4)),1),IF(ISNUMBER(INDEX($AN$5:$AN$1000,$U51-4)),DATE(YEAR(INDEX($AN$5:$AN$1000,$U51-4)),MONTH(INDEX($AN$5:$AN$1000,$U51-4)),1),MesCiclo)),IF(ISNUMBER($AM51),DATE(YEAR($AM51),MONTH($AM51),1),IF(ISNUMBER($AN51),DATE(YEAR($AN51),MONTH($AN51),1),MesCiclo))))</f>
        <v/>
      </c>
      <c r="T51" s="62">
        <f>IF(OR($S51="",$S51&lt;&gt;MesCiclo),"",COUNTIF($S$5:$S51,MesCiclo))</f>
        <v/>
      </c>
      <c r="U51" s="62">
        <f>IF($V51="","",IF($V51="Macro",ROW(),IFERROR(LOOKUP(2,1/($V$5:$V51="Macro"),ROW($V$5:$V51)),0)))</f>
        <v/>
      </c>
      <c r="V51" s="62">
        <f>IF(NOT((COUNTA($B51:$D51)+COUNTA($G51:$L51)+COUNTA($Q51))&gt;0),"",IF($B51="Subactividad","Sub","Macro"))</f>
        <v/>
      </c>
      <c r="W51" s="62">
        <f>IF($V51="Macro",COUNTIFS($U$5:$U$1000,ROW(),$V$5:$V$1000,"Sub"),"")</f>
        <v/>
      </c>
      <c r="X51" s="62">
        <f>IF($V51="","",IF(ISNUMBER($G51),1,IFERROR(LOOKUP(2,1/($I51:$L51&lt;&gt;""),$I51:$L51),0)))</f>
        <v/>
      </c>
      <c r="Y51" s="62">
        <f>IF($V51="","",IF(AND(ISNUMBER($G51),$G51&lt;=IF($S51=MesCiclo,InicioCiclo,$S51+MOD(2-WEEKDAY($S51),7))+6),1,IF(ISNUMBER($I51),$I51,0)))</f>
        <v/>
      </c>
      <c r="Z51" s="62">
        <f>IF($V51="","",IF(AND(ISNUMBER($G51),$G51&lt;=IF($S51=MesCiclo,InicioCiclo,$S51+MOD(2-WEEKDAY($S51),7))+13),1,IF(ISNUMBER($J51),$J51,$Y51)))</f>
        <v/>
      </c>
      <c r="AA51" s="62">
        <f>IF($V51="","",IF(AND(ISNUMBER($G51),$G51&lt;=IF($S51=MesCiclo,InicioCiclo,$S51+MOD(2-WEEKDAY($S51),7))+20),1,IF(ISNUMBER($K51),$K51,$Z51)))</f>
        <v/>
      </c>
      <c r="AB51" s="62">
        <f>IF($V51="","",IF(AND(ISNUMBER($G51),$G51&lt;=IF($S51=MesCiclo,InicioCiclo,$S51+MOD(2-WEEKDAY($S51),7))+27),1,IF(ISNUMBER($L51),$L51,$AA51)))</f>
        <v/>
      </c>
      <c r="AC51" s="62">
        <f>IF($V51="","",IF(AND(ISNUMBER($G51),$G51&lt;=IF($S51=MesCiclo,InicioCiclo,$S51+MOD(2-WEEKDAY($S51),7))+6),1,IF(N($W51)&gt;0,AVERAGEIFS($Y$5:$Y$1000,$U$5:$U$1000,ROW(),$V$5:$V$1000,"Sub"),$Y51)))</f>
        <v/>
      </c>
      <c r="AD51" s="62">
        <f>IF($V51="","",IF(AND(ISNUMBER($G51),$G51&lt;=IF($S51=MesCiclo,InicioCiclo,$S51+MOD(2-WEEKDAY($S51),7))+13),1,IF(N($W51)&gt;0,AVERAGEIFS($Z$5:$Z$1000,$U$5:$U$1000,ROW(),$V$5:$V$1000,"Sub"),$Z51)))</f>
        <v/>
      </c>
      <c r="AE51" s="62">
        <f>IF($V51="","",IF(AND(ISNUMBER($G51),$G51&lt;=IF($S51=MesCiclo,InicioCiclo,$S51+MOD(2-WEEKDAY($S51),7))+20),1,IF(N($W51)&gt;0,AVERAGEIFS($AA$5:$AA$1000,$U$5:$U$1000,ROW(),$V$5:$V$1000,"Sub"),$AA51)))</f>
        <v/>
      </c>
      <c r="AF51" s="62">
        <f>IF($V51="","",IF(AND(ISNUMBER($G51),$G51&lt;=IF($S51=MesCiclo,InicioCiclo,$S51+MOD(2-WEEKDAY($S51),7))+27),1,IF(N($W51)&gt;0,AVERAGEIFS($AB$5:$AB$1000,$U$5:$U$1000,ROW(),$V$5:$V$1000,"Sub"),$AB51)))</f>
        <v/>
      </c>
      <c r="AG51" s="62">
        <f>IF($V51&lt;&gt;"Macro","",IF(COUNTIFS($S$5:$S$1000,$S51,$V$5:$V$1000,"Macro",$H$5:$H$1000,"&gt;0")=0,1/COUNTIFS($S$5:$S$1000,$S51,$V$5:$V$1000,"Macro"),IF(AND(ISNUMBER($H51),N($H51)&gt;0),$H51,SUMIFS($H$5:$H$1000,$S$5:$S$1000,$S51,$V$5:$V$1000,"Macro")/COUNTIFS($S$5:$S$1000,$S51,$V$5:$V$1000,"Macro",$H$5:$H$1000,"&gt;0"))/(COUNTIFS($S$5:$S$1000,$S51,$V$5:$V$1000,"Macro")*SUMIFS($H$5:$H$1000,$S$5:$S$1000,$S51,$V$5:$V$1000,"Macro")/COUNTIFS($S$5:$S$1000,$S51,$V$5:$V$1000,"Macro",$H$5:$H$1000,"&gt;0"))))</f>
        <v/>
      </c>
      <c r="AH51" s="62" t="n"/>
      <c r="AI51" s="62" t="n"/>
      <c r="AJ51" s="62" t="n"/>
      <c r="AK51" s="62" t="n"/>
      <c r="AL51" s="62">
        <f>IF(LEFT($C51,11)="[Jefatura] ",IFERROR(MATCH("Riesgo Financiero|"&amp;MID($C51,12,500),rDname_ADM,0),0),"")</f>
        <v/>
      </c>
      <c r="AM51" s="62">
        <f>IF(N($AL51)&gt;0,INDEX(rIni_ADM,$AL51),IF(ISNUMBER($E51),$E51,""))</f>
        <v/>
      </c>
      <c r="AN51" s="62">
        <f>IF(N($AL51)&gt;0,INDEX(rLim_ADM,$AL51),IF(ISNUMBER($F51),$F51,""))</f>
        <v/>
      </c>
    </row>
    <row r="52">
      <c r="A52" s="56">
        <f>IF(NOT((COUNTA($B52:$D52)+COUNTA($G52:$L52)+COUNTA($Q52))&gt;0),"",IF($V52="Macro",COUNTIFS($V$5:$V52,"Macro",$S$5:$S52,$S52),IF(N($U52)=0,"?",COUNTIFS(INDEX($V$5:$V$1000,1):INDEX($V$5:$V$1000,$U52-4),"Macro",INDEX($S$5:$S$1000,1):INDEX($S$5:$S$1000,$U52-4),INDEX($S$5:$S$1000,$U52-4))&amp;"."&amp;COUNTIFS($U$5:$U52,$U52,$V$5:$V52,"Sub"))))</f>
        <v/>
      </c>
      <c r="B52" s="57" t="n"/>
      <c r="C52" s="58" t="n"/>
      <c r="D52" s="58" t="n"/>
      <c r="E52" s="59">
        <f>IF(N($AL52)&gt;0,INDEX(rIni_ADM,$AL52),"")</f>
        <v/>
      </c>
      <c r="F52" s="59">
        <f>IF(N($AL52)&gt;0,INDEX(rLim_ADM,$AL52),"")</f>
        <v/>
      </c>
      <c r="G52" s="59" t="n"/>
      <c r="H52" s="60" t="n"/>
      <c r="I52" s="60" t="n"/>
      <c r="J52" s="60" t="n"/>
      <c r="K52" s="60" t="n"/>
      <c r="L52" s="60" t="n"/>
      <c r="M52" s="61">
        <f>IF(NOT((COUNTA($B52:$D52)+COUNTA($G52:$L52)+COUNTA($Q52))&gt;0),"",IF(ISNUMBER($G52),1,IF(N($W52)&gt;0,AVERAGEIFS($X$5:$X$1000,$U$5:$U$1000,ROW(),$V$5:$V$1000,"Sub"),$X52)))</f>
        <v/>
      </c>
      <c r="N52" s="56">
        <f>IF($M52="","",IF($M52&gt;=1,"Completado",IF($M52&gt;0,"En curso","Pendiente")))</f>
        <v/>
      </c>
      <c r="O52" s="56">
        <f>IF(NOT((COUNTA($B52:$D52)+COUNTA($G52:$L52)+COUNTA($Q52))&gt;0),"",IF(ISNUMBER($G52),IF(AND(ISNUMBER($AN52),$G52&gt;$AN52),"Cumplida con "&amp;($G52-$AN52)&amp;IF($G52-$AN52=1," día"," días")&amp;" de retraso","Cumplida"),IF(N($M52)&gt;=1,"Cumplida",IF(NOT(ISNUMBER($AN52)),"Sin fecha límite",IF($AN52&lt;FechaRef,"Vencida hace "&amp;(FechaRef-$AN52)&amp;IF(FechaRef-$AN52=1," día"," días"),IF($AN52=FechaRef,"Vence hoy",IF($AN52-FechaRef&lt;=DiasAlerta,"Vence en "&amp;($AN52-FechaRef)&amp;IF($AN52-FechaRef=1," día"," días"),"En plazo")))))))</f>
        <v/>
      </c>
      <c r="P52" s="62" t="n"/>
      <c r="Q52" s="58" t="n"/>
      <c r="R52" s="63">
        <f>IF(NOT((COUNTA($B52:$D52)+COUNTA($G52:$L52)+COUNTA($Q52))&gt;0),"",IF((IF($C52="","Falta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",""))="","✔ OK","⚠ "&amp;LEFT(IF($C52="","Falta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",""),LEN(IF($C52="","Falta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",""))-3)))</f>
        <v/>
      </c>
      <c r="S52" s="64">
        <f>IF(NOT((COUNTA($B52:$D52)+COUNTA($G52:$L52)+COUNTA($Q52))&gt;0),"",IF(AND($V52="Sub",N($U52)&gt;0),IF(ISNUMBER(INDEX($AM$5:$AM$1000,$U52-4)),DATE(YEAR(INDEX($AM$5:$AM$1000,$U52-4)),MONTH(INDEX($AM$5:$AM$1000,$U52-4)),1),IF(ISNUMBER(INDEX($AN$5:$AN$1000,$U52-4)),DATE(YEAR(INDEX($AN$5:$AN$1000,$U52-4)),MONTH(INDEX($AN$5:$AN$1000,$U52-4)),1),MesCiclo)),IF(ISNUMBER($AM52),DATE(YEAR($AM52),MONTH($AM52),1),IF(ISNUMBER($AN52),DATE(YEAR($AN52),MONTH($AN52),1),MesCiclo))))</f>
        <v/>
      </c>
      <c r="T52" s="62">
        <f>IF(OR($S52="",$S52&lt;&gt;MesCiclo),"",COUNTIF($S$5:$S52,MesCiclo))</f>
        <v/>
      </c>
      <c r="U52" s="62">
        <f>IF($V52="","",IF($V52="Macro",ROW(),IFERROR(LOOKUP(2,1/($V$5:$V52="Macro"),ROW($V$5:$V52)),0)))</f>
        <v/>
      </c>
      <c r="V52" s="62">
        <f>IF(NOT((COUNTA($B52:$D52)+COUNTA($G52:$L52)+COUNTA($Q52))&gt;0),"",IF($B52="Subactividad","Sub","Macro"))</f>
        <v/>
      </c>
      <c r="W52" s="62">
        <f>IF($V52="Macro",COUNTIFS($U$5:$U$1000,ROW(),$V$5:$V$1000,"Sub"),"")</f>
        <v/>
      </c>
      <c r="X52" s="62">
        <f>IF($V52="","",IF(ISNUMBER($G52),1,IFERROR(LOOKUP(2,1/($I52:$L52&lt;&gt;""),$I52:$L52),0)))</f>
        <v/>
      </c>
      <c r="Y52" s="62">
        <f>IF($V52="","",IF(AND(ISNUMBER($G52),$G52&lt;=IF($S52=MesCiclo,InicioCiclo,$S52+MOD(2-WEEKDAY($S52),7))+6),1,IF(ISNUMBER($I52),$I52,0)))</f>
        <v/>
      </c>
      <c r="Z52" s="62">
        <f>IF($V52="","",IF(AND(ISNUMBER($G52),$G52&lt;=IF($S52=MesCiclo,InicioCiclo,$S52+MOD(2-WEEKDAY($S52),7))+13),1,IF(ISNUMBER($J52),$J52,$Y52)))</f>
        <v/>
      </c>
      <c r="AA52" s="62">
        <f>IF($V52="","",IF(AND(ISNUMBER($G52),$G52&lt;=IF($S52=MesCiclo,InicioCiclo,$S52+MOD(2-WEEKDAY($S52),7))+20),1,IF(ISNUMBER($K52),$K52,$Z52)))</f>
        <v/>
      </c>
      <c r="AB52" s="62">
        <f>IF($V52="","",IF(AND(ISNUMBER($G52),$G52&lt;=IF($S52=MesCiclo,InicioCiclo,$S52+MOD(2-WEEKDAY($S52),7))+27),1,IF(ISNUMBER($L52),$L52,$AA52)))</f>
        <v/>
      </c>
      <c r="AC52" s="62">
        <f>IF($V52="","",IF(AND(ISNUMBER($G52),$G52&lt;=IF($S52=MesCiclo,InicioCiclo,$S52+MOD(2-WEEKDAY($S52),7))+6),1,IF(N($W52)&gt;0,AVERAGEIFS($Y$5:$Y$1000,$U$5:$U$1000,ROW(),$V$5:$V$1000,"Sub"),$Y52)))</f>
        <v/>
      </c>
      <c r="AD52" s="62">
        <f>IF($V52="","",IF(AND(ISNUMBER($G52),$G52&lt;=IF($S52=MesCiclo,InicioCiclo,$S52+MOD(2-WEEKDAY($S52),7))+13),1,IF(N($W52)&gt;0,AVERAGEIFS($Z$5:$Z$1000,$U$5:$U$1000,ROW(),$V$5:$V$1000,"Sub"),$Z52)))</f>
        <v/>
      </c>
      <c r="AE52" s="62">
        <f>IF($V52="","",IF(AND(ISNUMBER($G52),$G52&lt;=IF($S52=MesCiclo,InicioCiclo,$S52+MOD(2-WEEKDAY($S52),7))+20),1,IF(N($W52)&gt;0,AVERAGEIFS($AA$5:$AA$1000,$U$5:$U$1000,ROW(),$V$5:$V$1000,"Sub"),$AA52)))</f>
        <v/>
      </c>
      <c r="AF52" s="62">
        <f>IF($V52="","",IF(AND(ISNUMBER($G52),$G52&lt;=IF($S52=MesCiclo,InicioCiclo,$S52+MOD(2-WEEKDAY($S52),7))+27),1,IF(N($W52)&gt;0,AVERAGEIFS($AB$5:$AB$1000,$U$5:$U$1000,ROW(),$V$5:$V$1000,"Sub"),$AB52)))</f>
        <v/>
      </c>
      <c r="AG52" s="62">
        <f>IF($V52&lt;&gt;"Macro","",IF(COUNTIFS($S$5:$S$1000,$S52,$V$5:$V$1000,"Macro",$H$5:$H$1000,"&gt;0")=0,1/COUNTIFS($S$5:$S$1000,$S52,$V$5:$V$1000,"Macro"),IF(AND(ISNUMBER($H52),N($H52)&gt;0),$H52,SUMIFS($H$5:$H$1000,$S$5:$S$1000,$S52,$V$5:$V$1000,"Macro")/COUNTIFS($S$5:$S$1000,$S52,$V$5:$V$1000,"Macro",$H$5:$H$1000,"&gt;0"))/(COUNTIFS($S$5:$S$1000,$S52,$V$5:$V$1000,"Macro")*SUMIFS($H$5:$H$1000,$S$5:$S$1000,$S52,$V$5:$V$1000,"Macro")/COUNTIFS($S$5:$S$1000,$S52,$V$5:$V$1000,"Macro",$H$5:$H$1000,"&gt;0"))))</f>
        <v/>
      </c>
      <c r="AH52" s="62" t="n"/>
      <c r="AI52" s="62" t="n"/>
      <c r="AJ52" s="62" t="n"/>
      <c r="AK52" s="62" t="n"/>
      <c r="AL52" s="62">
        <f>IF(LEFT($C52,11)="[Jefatura] ",IFERROR(MATCH("Riesgo Financiero|"&amp;MID($C52,12,500),rDname_ADM,0),0),"")</f>
        <v/>
      </c>
      <c r="AM52" s="62">
        <f>IF(N($AL52)&gt;0,INDEX(rIni_ADM,$AL52),IF(ISNUMBER($E52),$E52,""))</f>
        <v/>
      </c>
      <c r="AN52" s="62">
        <f>IF(N($AL52)&gt;0,INDEX(rLim_ADM,$AL52),IF(ISNUMBER($F52),$F52,""))</f>
        <v/>
      </c>
    </row>
    <row r="53">
      <c r="A53" s="56">
        <f>IF(NOT((COUNTA($B53:$D53)+COUNTA($G53:$L53)+COUNTA($Q53))&gt;0),"",IF($V53="Macro",COUNTIFS($V$5:$V53,"Macro",$S$5:$S53,$S53),IF(N($U53)=0,"?",COUNTIFS(INDEX($V$5:$V$1000,1):INDEX($V$5:$V$1000,$U53-4),"Macro",INDEX($S$5:$S$1000,1):INDEX($S$5:$S$1000,$U53-4),INDEX($S$5:$S$1000,$U53-4))&amp;"."&amp;COUNTIFS($U$5:$U53,$U53,$V$5:$V53,"Sub"))))</f>
        <v/>
      </c>
      <c r="B53" s="57" t="n"/>
      <c r="C53" s="58" t="n"/>
      <c r="D53" s="58" t="n"/>
      <c r="E53" s="59">
        <f>IF(N($AL53)&gt;0,INDEX(rIni_ADM,$AL53),"")</f>
        <v/>
      </c>
      <c r="F53" s="59">
        <f>IF(N($AL53)&gt;0,INDEX(rLim_ADM,$AL53),"")</f>
        <v/>
      </c>
      <c r="G53" s="59" t="n"/>
      <c r="H53" s="60" t="n"/>
      <c r="I53" s="60" t="n"/>
      <c r="J53" s="60" t="n"/>
      <c r="K53" s="60" t="n"/>
      <c r="L53" s="60" t="n"/>
      <c r="M53" s="61">
        <f>IF(NOT((COUNTA($B53:$D53)+COUNTA($G53:$L53)+COUNTA($Q53))&gt;0),"",IF(ISNUMBER($G53),1,IF(N($W53)&gt;0,AVERAGEIFS($X$5:$X$1000,$U$5:$U$1000,ROW(),$V$5:$V$1000,"Sub"),$X53)))</f>
        <v/>
      </c>
      <c r="N53" s="56">
        <f>IF($M53="","",IF($M53&gt;=1,"Completado",IF($M53&gt;0,"En curso","Pendiente")))</f>
        <v/>
      </c>
      <c r="O53" s="56">
        <f>IF(NOT((COUNTA($B53:$D53)+COUNTA($G53:$L53)+COUNTA($Q53))&gt;0),"",IF(ISNUMBER($G53),IF(AND(ISNUMBER($AN53),$G53&gt;$AN53),"Cumplida con "&amp;($G53-$AN53)&amp;IF($G53-$AN53=1," día"," días")&amp;" de retraso","Cumplida"),IF(N($M53)&gt;=1,"Cumplida",IF(NOT(ISNUMBER($AN53)),"Sin fecha límite",IF($AN53&lt;FechaRef,"Vencida hace "&amp;(FechaRef-$AN53)&amp;IF(FechaRef-$AN53=1," día"," días"),IF($AN53=FechaRef,"Vence hoy",IF($AN53-FechaRef&lt;=DiasAlerta,"Vence en "&amp;($AN53-FechaRef)&amp;IF($AN53-FechaRef=1," día"," días"),"En plazo")))))))</f>
        <v/>
      </c>
      <c r="P53" s="62" t="n"/>
      <c r="Q53" s="58" t="n"/>
      <c r="R53" s="63">
        <f>IF(NOT((COUNTA($B53:$D53)+COUNTA($G53:$L53)+COUNTA($Q53))&gt;0),"",IF((IF($C53="","Falta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",""))="","✔ OK","⚠ "&amp;LEFT(IF($C53="","Falta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",""),LEN(IF($C53="","Falta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",""))-3)))</f>
        <v/>
      </c>
      <c r="S53" s="64">
        <f>IF(NOT((COUNTA($B53:$D53)+COUNTA($G53:$L53)+COUNTA($Q53))&gt;0),"",IF(AND($V53="Sub",N($U53)&gt;0),IF(ISNUMBER(INDEX($AM$5:$AM$1000,$U53-4)),DATE(YEAR(INDEX($AM$5:$AM$1000,$U53-4)),MONTH(INDEX($AM$5:$AM$1000,$U53-4)),1),IF(ISNUMBER(INDEX($AN$5:$AN$1000,$U53-4)),DATE(YEAR(INDEX($AN$5:$AN$1000,$U53-4)),MONTH(INDEX($AN$5:$AN$1000,$U53-4)),1),MesCiclo)),IF(ISNUMBER($AM53),DATE(YEAR($AM53),MONTH($AM53),1),IF(ISNUMBER($AN53),DATE(YEAR($AN53),MONTH($AN53),1),MesCiclo))))</f>
        <v/>
      </c>
      <c r="T53" s="62">
        <f>IF(OR($S53="",$S53&lt;&gt;MesCiclo),"",COUNTIF($S$5:$S53,MesCiclo))</f>
        <v/>
      </c>
      <c r="U53" s="62">
        <f>IF($V53="","",IF($V53="Macro",ROW(),IFERROR(LOOKUP(2,1/($V$5:$V53="Macro"),ROW($V$5:$V53)),0)))</f>
        <v/>
      </c>
      <c r="V53" s="62">
        <f>IF(NOT((COUNTA($B53:$D53)+COUNTA($G53:$L53)+COUNTA($Q53))&gt;0),"",IF($B53="Subactividad","Sub","Macro"))</f>
        <v/>
      </c>
      <c r="W53" s="62">
        <f>IF($V53="Macro",COUNTIFS($U$5:$U$1000,ROW(),$V$5:$V$1000,"Sub"),"")</f>
        <v/>
      </c>
      <c r="X53" s="62">
        <f>IF($V53="","",IF(ISNUMBER($G53),1,IFERROR(LOOKUP(2,1/($I53:$L53&lt;&gt;""),$I53:$L53),0)))</f>
        <v/>
      </c>
      <c r="Y53" s="62">
        <f>IF($V53="","",IF(AND(ISNUMBER($G53),$G53&lt;=IF($S53=MesCiclo,InicioCiclo,$S53+MOD(2-WEEKDAY($S53),7))+6),1,IF(ISNUMBER($I53),$I53,0)))</f>
        <v/>
      </c>
      <c r="Z53" s="62">
        <f>IF($V53="","",IF(AND(ISNUMBER($G53),$G53&lt;=IF($S53=MesCiclo,InicioCiclo,$S53+MOD(2-WEEKDAY($S53),7))+13),1,IF(ISNUMBER($J53),$J53,$Y53)))</f>
        <v/>
      </c>
      <c r="AA53" s="62">
        <f>IF($V53="","",IF(AND(ISNUMBER($G53),$G53&lt;=IF($S53=MesCiclo,InicioCiclo,$S53+MOD(2-WEEKDAY($S53),7))+20),1,IF(ISNUMBER($K53),$K53,$Z53)))</f>
        <v/>
      </c>
      <c r="AB53" s="62">
        <f>IF($V53="","",IF(AND(ISNUMBER($G53),$G53&lt;=IF($S53=MesCiclo,InicioCiclo,$S53+MOD(2-WEEKDAY($S53),7))+27),1,IF(ISNUMBER($L53),$L53,$AA53)))</f>
        <v/>
      </c>
      <c r="AC53" s="62">
        <f>IF($V53="","",IF(AND(ISNUMBER($G53),$G53&lt;=IF($S53=MesCiclo,InicioCiclo,$S53+MOD(2-WEEKDAY($S53),7))+6),1,IF(N($W53)&gt;0,AVERAGEIFS($Y$5:$Y$1000,$U$5:$U$1000,ROW(),$V$5:$V$1000,"Sub"),$Y53)))</f>
        <v/>
      </c>
      <c r="AD53" s="62">
        <f>IF($V53="","",IF(AND(ISNUMBER($G53),$G53&lt;=IF($S53=MesCiclo,InicioCiclo,$S53+MOD(2-WEEKDAY($S53),7))+13),1,IF(N($W53)&gt;0,AVERAGEIFS($Z$5:$Z$1000,$U$5:$U$1000,ROW(),$V$5:$V$1000,"Sub"),$Z53)))</f>
        <v/>
      </c>
      <c r="AE53" s="62">
        <f>IF($V53="","",IF(AND(ISNUMBER($G53),$G53&lt;=IF($S53=MesCiclo,InicioCiclo,$S53+MOD(2-WEEKDAY($S53),7))+20),1,IF(N($W53)&gt;0,AVERAGEIFS($AA$5:$AA$1000,$U$5:$U$1000,ROW(),$V$5:$V$1000,"Sub"),$AA53)))</f>
        <v/>
      </c>
      <c r="AF53" s="62">
        <f>IF($V53="","",IF(AND(ISNUMBER($G53),$G53&lt;=IF($S53=MesCiclo,InicioCiclo,$S53+MOD(2-WEEKDAY($S53),7))+27),1,IF(N($W53)&gt;0,AVERAGEIFS($AB$5:$AB$1000,$U$5:$U$1000,ROW(),$V$5:$V$1000,"Sub"),$AB53)))</f>
        <v/>
      </c>
      <c r="AG53" s="62">
        <f>IF($V53&lt;&gt;"Macro","",IF(COUNTIFS($S$5:$S$1000,$S53,$V$5:$V$1000,"Macro",$H$5:$H$1000,"&gt;0")=0,1/COUNTIFS($S$5:$S$1000,$S53,$V$5:$V$1000,"Macro"),IF(AND(ISNUMBER($H53),N($H53)&gt;0),$H53,SUMIFS($H$5:$H$1000,$S$5:$S$1000,$S53,$V$5:$V$1000,"Macro")/COUNTIFS($S$5:$S$1000,$S53,$V$5:$V$1000,"Macro",$H$5:$H$1000,"&gt;0"))/(COUNTIFS($S$5:$S$1000,$S53,$V$5:$V$1000,"Macro")*SUMIFS($H$5:$H$1000,$S$5:$S$1000,$S53,$V$5:$V$1000,"Macro")/COUNTIFS($S$5:$S$1000,$S53,$V$5:$V$1000,"Macro",$H$5:$H$1000,"&gt;0"))))</f>
        <v/>
      </c>
      <c r="AH53" s="62" t="n"/>
      <c r="AI53" s="62" t="n"/>
      <c r="AJ53" s="62" t="n"/>
      <c r="AK53" s="62" t="n"/>
      <c r="AL53" s="62">
        <f>IF(LEFT($C53,11)="[Jefatura] ",IFERROR(MATCH("Riesgo Financiero|"&amp;MID($C53,12,500),rDname_ADM,0),0),"")</f>
        <v/>
      </c>
      <c r="AM53" s="62">
        <f>IF(N($AL53)&gt;0,INDEX(rIni_ADM,$AL53),IF(ISNUMBER($E53),$E53,""))</f>
        <v/>
      </c>
      <c r="AN53" s="62">
        <f>IF(N($AL53)&gt;0,INDEX(rLim_ADM,$AL53),IF(ISNUMBER($F53),$F53,""))</f>
        <v/>
      </c>
    </row>
    <row r="54">
      <c r="A54" s="56">
        <f>IF(NOT((COUNTA($B54:$D54)+COUNTA($G54:$L54)+COUNTA($Q54))&gt;0),"",IF($V54="Macro",COUNTIFS($V$5:$V54,"Macro",$S$5:$S54,$S54),IF(N($U54)=0,"?",COUNTIFS(INDEX($V$5:$V$1000,1):INDEX($V$5:$V$1000,$U54-4),"Macro",INDEX($S$5:$S$1000,1):INDEX($S$5:$S$1000,$U54-4),INDEX($S$5:$S$1000,$U54-4))&amp;"."&amp;COUNTIFS($U$5:$U54,$U54,$V$5:$V54,"Sub"))))</f>
        <v/>
      </c>
      <c r="B54" s="57" t="n"/>
      <c r="C54" s="58" t="n"/>
      <c r="D54" s="58" t="n"/>
      <c r="E54" s="59">
        <f>IF(N($AL54)&gt;0,INDEX(rIni_ADM,$AL54),"")</f>
        <v/>
      </c>
      <c r="F54" s="59">
        <f>IF(N($AL54)&gt;0,INDEX(rLim_ADM,$AL54),"")</f>
        <v/>
      </c>
      <c r="G54" s="59" t="n"/>
      <c r="H54" s="60" t="n"/>
      <c r="I54" s="60" t="n"/>
      <c r="J54" s="60" t="n"/>
      <c r="K54" s="60" t="n"/>
      <c r="L54" s="60" t="n"/>
      <c r="M54" s="61">
        <f>IF(NOT((COUNTA($B54:$D54)+COUNTA($G54:$L54)+COUNTA($Q54))&gt;0),"",IF(ISNUMBER($G54),1,IF(N($W54)&gt;0,AVERAGEIFS($X$5:$X$1000,$U$5:$U$1000,ROW(),$V$5:$V$1000,"Sub"),$X54)))</f>
        <v/>
      </c>
      <c r="N54" s="56">
        <f>IF($M54="","",IF($M54&gt;=1,"Completado",IF($M54&gt;0,"En curso","Pendiente")))</f>
        <v/>
      </c>
      <c r="O54" s="56">
        <f>IF(NOT((COUNTA($B54:$D54)+COUNTA($G54:$L54)+COUNTA($Q54))&gt;0),"",IF(ISNUMBER($G54),IF(AND(ISNUMBER($AN54),$G54&gt;$AN54),"Cumplida con "&amp;($G54-$AN54)&amp;IF($G54-$AN54=1," día"," días")&amp;" de retraso","Cumplida"),IF(N($M54)&gt;=1,"Cumplida",IF(NOT(ISNUMBER($AN54)),"Sin fecha límite",IF($AN54&lt;FechaRef,"Vencida hace "&amp;(FechaRef-$AN54)&amp;IF(FechaRef-$AN54=1," día"," días"),IF($AN54=FechaRef,"Vence hoy",IF($AN54-FechaRef&lt;=DiasAlerta,"Vence en "&amp;($AN54-FechaRef)&amp;IF($AN54-FechaRef=1," día"," días"),"En plazo")))))))</f>
        <v/>
      </c>
      <c r="P54" s="62" t="n"/>
      <c r="Q54" s="58" t="n"/>
      <c r="R54" s="63">
        <f>IF(NOT((COUNTA($B54:$D54)+COUNTA($G54:$L54)+COUNTA($Q54))&gt;0),"",IF((IF($C54="","Falta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",""))="","✔ OK","⚠ "&amp;LEFT(IF($C54="","Falta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",""),LEN(IF($C54="","Falta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",""))-3)))</f>
        <v/>
      </c>
      <c r="S54" s="64">
        <f>IF(NOT((COUNTA($B54:$D54)+COUNTA($G54:$L54)+COUNTA($Q54))&gt;0),"",IF(AND($V54="Sub",N($U54)&gt;0),IF(ISNUMBER(INDEX($AM$5:$AM$1000,$U54-4)),DATE(YEAR(INDEX($AM$5:$AM$1000,$U54-4)),MONTH(INDEX($AM$5:$AM$1000,$U54-4)),1),IF(ISNUMBER(INDEX($AN$5:$AN$1000,$U54-4)),DATE(YEAR(INDEX($AN$5:$AN$1000,$U54-4)),MONTH(INDEX($AN$5:$AN$1000,$U54-4)),1),MesCiclo)),IF(ISNUMBER($AM54),DATE(YEAR($AM54),MONTH($AM54),1),IF(ISNUMBER($AN54),DATE(YEAR($AN54),MONTH($AN54),1),MesCiclo))))</f>
        <v/>
      </c>
      <c r="T54" s="62">
        <f>IF(OR($S54="",$S54&lt;&gt;MesCiclo),"",COUNTIF($S$5:$S54,MesCiclo))</f>
        <v/>
      </c>
      <c r="U54" s="62">
        <f>IF($V54="","",IF($V54="Macro",ROW(),IFERROR(LOOKUP(2,1/($V$5:$V54="Macro"),ROW($V$5:$V54)),0)))</f>
        <v/>
      </c>
      <c r="V54" s="62">
        <f>IF(NOT((COUNTA($B54:$D54)+COUNTA($G54:$L54)+COUNTA($Q54))&gt;0),"",IF($B54="Subactividad","Sub","Macro"))</f>
        <v/>
      </c>
      <c r="W54" s="62">
        <f>IF($V54="Macro",COUNTIFS($U$5:$U$1000,ROW(),$V$5:$V$1000,"Sub"),"")</f>
        <v/>
      </c>
      <c r="X54" s="62">
        <f>IF($V54="","",IF(ISNUMBER($G54),1,IFERROR(LOOKUP(2,1/($I54:$L54&lt;&gt;""),$I54:$L54),0)))</f>
        <v/>
      </c>
      <c r="Y54" s="62">
        <f>IF($V54="","",IF(AND(ISNUMBER($G54),$G54&lt;=IF($S54=MesCiclo,InicioCiclo,$S54+MOD(2-WEEKDAY($S54),7))+6),1,IF(ISNUMBER($I54),$I54,0)))</f>
        <v/>
      </c>
      <c r="Z54" s="62">
        <f>IF($V54="","",IF(AND(ISNUMBER($G54),$G54&lt;=IF($S54=MesCiclo,InicioCiclo,$S54+MOD(2-WEEKDAY($S54),7))+13),1,IF(ISNUMBER($J54),$J54,$Y54)))</f>
        <v/>
      </c>
      <c r="AA54" s="62">
        <f>IF($V54="","",IF(AND(ISNUMBER($G54),$G54&lt;=IF($S54=MesCiclo,InicioCiclo,$S54+MOD(2-WEEKDAY($S54),7))+20),1,IF(ISNUMBER($K54),$K54,$Z54)))</f>
        <v/>
      </c>
      <c r="AB54" s="62">
        <f>IF($V54="","",IF(AND(ISNUMBER($G54),$G54&lt;=IF($S54=MesCiclo,InicioCiclo,$S54+MOD(2-WEEKDAY($S54),7))+27),1,IF(ISNUMBER($L54),$L54,$AA54)))</f>
        <v/>
      </c>
      <c r="AC54" s="62">
        <f>IF($V54="","",IF(AND(ISNUMBER($G54),$G54&lt;=IF($S54=MesCiclo,InicioCiclo,$S54+MOD(2-WEEKDAY($S54),7))+6),1,IF(N($W54)&gt;0,AVERAGEIFS($Y$5:$Y$1000,$U$5:$U$1000,ROW(),$V$5:$V$1000,"Sub"),$Y54)))</f>
        <v/>
      </c>
      <c r="AD54" s="62">
        <f>IF($V54="","",IF(AND(ISNUMBER($G54),$G54&lt;=IF($S54=MesCiclo,InicioCiclo,$S54+MOD(2-WEEKDAY($S54),7))+13),1,IF(N($W54)&gt;0,AVERAGEIFS($Z$5:$Z$1000,$U$5:$U$1000,ROW(),$V$5:$V$1000,"Sub"),$Z54)))</f>
        <v/>
      </c>
      <c r="AE54" s="62">
        <f>IF($V54="","",IF(AND(ISNUMBER($G54),$G54&lt;=IF($S54=MesCiclo,InicioCiclo,$S54+MOD(2-WEEKDAY($S54),7))+20),1,IF(N($W54)&gt;0,AVERAGEIFS($AA$5:$AA$1000,$U$5:$U$1000,ROW(),$V$5:$V$1000,"Sub"),$AA54)))</f>
        <v/>
      </c>
      <c r="AF54" s="62">
        <f>IF($V54="","",IF(AND(ISNUMBER($G54),$G54&lt;=IF($S54=MesCiclo,InicioCiclo,$S54+MOD(2-WEEKDAY($S54),7))+27),1,IF(N($W54)&gt;0,AVERAGEIFS($AB$5:$AB$1000,$U$5:$U$1000,ROW(),$V$5:$V$1000,"Sub"),$AB54)))</f>
        <v/>
      </c>
      <c r="AG54" s="62">
        <f>IF($V54&lt;&gt;"Macro","",IF(COUNTIFS($S$5:$S$1000,$S54,$V$5:$V$1000,"Macro",$H$5:$H$1000,"&gt;0")=0,1/COUNTIFS($S$5:$S$1000,$S54,$V$5:$V$1000,"Macro"),IF(AND(ISNUMBER($H54),N($H54)&gt;0),$H54,SUMIFS($H$5:$H$1000,$S$5:$S$1000,$S54,$V$5:$V$1000,"Macro")/COUNTIFS($S$5:$S$1000,$S54,$V$5:$V$1000,"Macro",$H$5:$H$1000,"&gt;0"))/(COUNTIFS($S$5:$S$1000,$S54,$V$5:$V$1000,"Macro")*SUMIFS($H$5:$H$1000,$S$5:$S$1000,$S54,$V$5:$V$1000,"Macro")/COUNTIFS($S$5:$S$1000,$S54,$V$5:$V$1000,"Macro",$H$5:$H$1000,"&gt;0"))))</f>
        <v/>
      </c>
      <c r="AH54" s="62" t="n"/>
      <c r="AI54" s="62" t="n"/>
      <c r="AJ54" s="62" t="n"/>
      <c r="AK54" s="62" t="n"/>
      <c r="AL54" s="62">
        <f>IF(LEFT($C54,11)="[Jefatura] ",IFERROR(MATCH("Riesgo Financiero|"&amp;MID($C54,12,500),rDname_ADM,0),0),"")</f>
        <v/>
      </c>
      <c r="AM54" s="62">
        <f>IF(N($AL54)&gt;0,INDEX(rIni_ADM,$AL54),IF(ISNUMBER($E54),$E54,""))</f>
        <v/>
      </c>
      <c r="AN54" s="62">
        <f>IF(N($AL54)&gt;0,INDEX(rLim_ADM,$AL54),IF(ISNUMBER($F54),$F54,""))</f>
        <v/>
      </c>
    </row>
    <row r="55">
      <c r="A55" s="56">
        <f>IF(NOT((COUNTA($B55:$D55)+COUNTA($G55:$L55)+COUNTA($Q55))&gt;0),"",IF($V55="Macro",COUNTIFS($V$5:$V55,"Macro",$S$5:$S55,$S55),IF(N($U55)=0,"?",COUNTIFS(INDEX($V$5:$V$1000,1):INDEX($V$5:$V$1000,$U55-4),"Macro",INDEX($S$5:$S$1000,1):INDEX($S$5:$S$1000,$U55-4),INDEX($S$5:$S$1000,$U55-4))&amp;"."&amp;COUNTIFS($U$5:$U55,$U55,$V$5:$V55,"Sub"))))</f>
        <v/>
      </c>
      <c r="B55" s="57" t="n"/>
      <c r="C55" s="58" t="n"/>
      <c r="D55" s="58" t="n"/>
      <c r="E55" s="59">
        <f>IF(N($AL55)&gt;0,INDEX(rIni_ADM,$AL55),"")</f>
        <v/>
      </c>
      <c r="F55" s="59">
        <f>IF(N($AL55)&gt;0,INDEX(rLim_ADM,$AL55),"")</f>
        <v/>
      </c>
      <c r="G55" s="59" t="n"/>
      <c r="H55" s="60" t="n"/>
      <c r="I55" s="60" t="n"/>
      <c r="J55" s="60" t="n"/>
      <c r="K55" s="60" t="n"/>
      <c r="L55" s="60" t="n"/>
      <c r="M55" s="61">
        <f>IF(NOT((COUNTA($B55:$D55)+COUNTA($G55:$L55)+COUNTA($Q55))&gt;0),"",IF(ISNUMBER($G55),1,IF(N($W55)&gt;0,AVERAGEIFS($X$5:$X$1000,$U$5:$U$1000,ROW(),$V$5:$V$1000,"Sub"),$X55)))</f>
        <v/>
      </c>
      <c r="N55" s="56">
        <f>IF($M55="","",IF($M55&gt;=1,"Completado",IF($M55&gt;0,"En curso","Pendiente")))</f>
        <v/>
      </c>
      <c r="O55" s="56">
        <f>IF(NOT((COUNTA($B55:$D55)+COUNTA($G55:$L55)+COUNTA($Q55))&gt;0),"",IF(ISNUMBER($G55),IF(AND(ISNUMBER($AN55),$G55&gt;$AN55),"Cumplida con "&amp;($G55-$AN55)&amp;IF($G55-$AN55=1," día"," días")&amp;" de retraso","Cumplida"),IF(N($M55)&gt;=1,"Cumplida",IF(NOT(ISNUMBER($AN55)),"Sin fecha límite",IF($AN55&lt;FechaRef,"Vencida hace "&amp;(FechaRef-$AN55)&amp;IF(FechaRef-$AN55=1," día"," días"),IF($AN55=FechaRef,"Vence hoy",IF($AN55-FechaRef&lt;=DiasAlerta,"Vence en "&amp;($AN55-FechaRef)&amp;IF($AN55-FechaRef=1," día"," días"),"En plazo")))))))</f>
        <v/>
      </c>
      <c r="P55" s="62" t="n"/>
      <c r="Q55" s="58" t="n"/>
      <c r="R55" s="63">
        <f>IF(NOT((COUNTA($B55:$D55)+COUNTA($G55:$L55)+COUNTA($Q55))&gt;0),"",IF((IF($C55="","Falta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",""))="","✔ OK","⚠ "&amp;LEFT(IF($C55="","Falta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",""),LEN(IF($C55="","Falta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",""))-3)))</f>
        <v/>
      </c>
      <c r="S55" s="64">
        <f>IF(NOT((COUNTA($B55:$D55)+COUNTA($G55:$L55)+COUNTA($Q55))&gt;0),"",IF(AND($V55="Sub",N($U55)&gt;0),IF(ISNUMBER(INDEX($AM$5:$AM$1000,$U55-4)),DATE(YEAR(INDEX($AM$5:$AM$1000,$U55-4)),MONTH(INDEX($AM$5:$AM$1000,$U55-4)),1),IF(ISNUMBER(INDEX($AN$5:$AN$1000,$U55-4)),DATE(YEAR(INDEX($AN$5:$AN$1000,$U55-4)),MONTH(INDEX($AN$5:$AN$1000,$U55-4)),1),MesCiclo)),IF(ISNUMBER($AM55),DATE(YEAR($AM55),MONTH($AM55),1),IF(ISNUMBER($AN55),DATE(YEAR($AN55),MONTH($AN55),1),MesCiclo))))</f>
        <v/>
      </c>
      <c r="T55" s="62">
        <f>IF(OR($S55="",$S55&lt;&gt;MesCiclo),"",COUNTIF($S$5:$S55,MesCiclo))</f>
        <v/>
      </c>
      <c r="U55" s="62">
        <f>IF($V55="","",IF($V55="Macro",ROW(),IFERROR(LOOKUP(2,1/($V$5:$V55="Macro"),ROW($V$5:$V55)),0)))</f>
        <v/>
      </c>
      <c r="V55" s="62">
        <f>IF(NOT((COUNTA($B55:$D55)+COUNTA($G55:$L55)+COUNTA($Q55))&gt;0),"",IF($B55="Subactividad","Sub","Macro"))</f>
        <v/>
      </c>
      <c r="W55" s="62">
        <f>IF($V55="Macro",COUNTIFS($U$5:$U$1000,ROW(),$V$5:$V$1000,"Sub"),"")</f>
        <v/>
      </c>
      <c r="X55" s="62">
        <f>IF($V55="","",IF(ISNUMBER($G55),1,IFERROR(LOOKUP(2,1/($I55:$L55&lt;&gt;""),$I55:$L55),0)))</f>
        <v/>
      </c>
      <c r="Y55" s="62">
        <f>IF($V55="","",IF(AND(ISNUMBER($G55),$G55&lt;=IF($S55=MesCiclo,InicioCiclo,$S55+MOD(2-WEEKDAY($S55),7))+6),1,IF(ISNUMBER($I55),$I55,0)))</f>
        <v/>
      </c>
      <c r="Z55" s="62">
        <f>IF($V55="","",IF(AND(ISNUMBER($G55),$G55&lt;=IF($S55=MesCiclo,InicioCiclo,$S55+MOD(2-WEEKDAY($S55),7))+13),1,IF(ISNUMBER($J55),$J55,$Y55)))</f>
        <v/>
      </c>
      <c r="AA55" s="62">
        <f>IF($V55="","",IF(AND(ISNUMBER($G55),$G55&lt;=IF($S55=MesCiclo,InicioCiclo,$S55+MOD(2-WEEKDAY($S55),7))+20),1,IF(ISNUMBER($K55),$K55,$Z55)))</f>
        <v/>
      </c>
      <c r="AB55" s="62">
        <f>IF($V55="","",IF(AND(ISNUMBER($G55),$G55&lt;=IF($S55=MesCiclo,InicioCiclo,$S55+MOD(2-WEEKDAY($S55),7))+27),1,IF(ISNUMBER($L55),$L55,$AA55)))</f>
        <v/>
      </c>
      <c r="AC55" s="62">
        <f>IF($V55="","",IF(AND(ISNUMBER($G55),$G55&lt;=IF($S55=MesCiclo,InicioCiclo,$S55+MOD(2-WEEKDAY($S55),7))+6),1,IF(N($W55)&gt;0,AVERAGEIFS($Y$5:$Y$1000,$U$5:$U$1000,ROW(),$V$5:$V$1000,"Sub"),$Y55)))</f>
        <v/>
      </c>
      <c r="AD55" s="62">
        <f>IF($V55="","",IF(AND(ISNUMBER($G55),$G55&lt;=IF($S55=MesCiclo,InicioCiclo,$S55+MOD(2-WEEKDAY($S55),7))+13),1,IF(N($W55)&gt;0,AVERAGEIFS($Z$5:$Z$1000,$U$5:$U$1000,ROW(),$V$5:$V$1000,"Sub"),$Z55)))</f>
        <v/>
      </c>
      <c r="AE55" s="62">
        <f>IF($V55="","",IF(AND(ISNUMBER($G55),$G55&lt;=IF($S55=MesCiclo,InicioCiclo,$S55+MOD(2-WEEKDAY($S55),7))+20),1,IF(N($W55)&gt;0,AVERAGEIFS($AA$5:$AA$1000,$U$5:$U$1000,ROW(),$V$5:$V$1000,"Sub"),$AA55)))</f>
        <v/>
      </c>
      <c r="AF55" s="62">
        <f>IF($V55="","",IF(AND(ISNUMBER($G55),$G55&lt;=IF($S55=MesCiclo,InicioCiclo,$S55+MOD(2-WEEKDAY($S55),7))+27),1,IF(N($W55)&gt;0,AVERAGEIFS($AB$5:$AB$1000,$U$5:$U$1000,ROW(),$V$5:$V$1000,"Sub"),$AB55)))</f>
        <v/>
      </c>
      <c r="AG55" s="62">
        <f>IF($V55&lt;&gt;"Macro","",IF(COUNTIFS($S$5:$S$1000,$S55,$V$5:$V$1000,"Macro",$H$5:$H$1000,"&gt;0")=0,1/COUNTIFS($S$5:$S$1000,$S55,$V$5:$V$1000,"Macro"),IF(AND(ISNUMBER($H55),N($H55)&gt;0),$H55,SUMIFS($H$5:$H$1000,$S$5:$S$1000,$S55,$V$5:$V$1000,"Macro")/COUNTIFS($S$5:$S$1000,$S55,$V$5:$V$1000,"Macro",$H$5:$H$1000,"&gt;0"))/(COUNTIFS($S$5:$S$1000,$S55,$V$5:$V$1000,"Macro")*SUMIFS($H$5:$H$1000,$S$5:$S$1000,$S55,$V$5:$V$1000,"Macro")/COUNTIFS($S$5:$S$1000,$S55,$V$5:$V$1000,"Macro",$H$5:$H$1000,"&gt;0"))))</f>
        <v/>
      </c>
      <c r="AH55" s="62" t="n"/>
      <c r="AI55" s="62" t="n"/>
      <c r="AJ55" s="62" t="n"/>
      <c r="AK55" s="62" t="n"/>
      <c r="AL55" s="62">
        <f>IF(LEFT($C55,11)="[Jefatura] ",IFERROR(MATCH("Riesgo Financiero|"&amp;MID($C55,12,500),rDname_ADM,0),0),"")</f>
        <v/>
      </c>
      <c r="AM55" s="62">
        <f>IF(N($AL55)&gt;0,INDEX(rIni_ADM,$AL55),IF(ISNUMBER($E55),$E55,""))</f>
        <v/>
      </c>
      <c r="AN55" s="62">
        <f>IF(N($AL55)&gt;0,INDEX(rLim_ADM,$AL55),IF(ISNUMBER($F55),$F55,""))</f>
        <v/>
      </c>
    </row>
    <row r="56">
      <c r="A56" s="56">
        <f>IF(NOT((COUNTA($B56:$D56)+COUNTA($G56:$L56)+COUNTA($Q56))&gt;0),"",IF($V56="Macro",COUNTIFS($V$5:$V56,"Macro",$S$5:$S56,$S56),IF(N($U56)=0,"?",COUNTIFS(INDEX($V$5:$V$1000,1):INDEX($V$5:$V$1000,$U56-4),"Macro",INDEX($S$5:$S$1000,1):INDEX($S$5:$S$1000,$U56-4),INDEX($S$5:$S$1000,$U56-4))&amp;"."&amp;COUNTIFS($U$5:$U56,$U56,$V$5:$V56,"Sub"))))</f>
        <v/>
      </c>
      <c r="B56" s="57" t="n"/>
      <c r="C56" s="58" t="n"/>
      <c r="D56" s="58" t="n"/>
      <c r="E56" s="59">
        <f>IF(N($AL56)&gt;0,INDEX(rIni_ADM,$AL56),"")</f>
        <v/>
      </c>
      <c r="F56" s="59">
        <f>IF(N($AL56)&gt;0,INDEX(rLim_ADM,$AL56),"")</f>
        <v/>
      </c>
      <c r="G56" s="59" t="n"/>
      <c r="H56" s="60" t="n"/>
      <c r="I56" s="60" t="n"/>
      <c r="J56" s="60" t="n"/>
      <c r="K56" s="60" t="n"/>
      <c r="L56" s="60" t="n"/>
      <c r="M56" s="61">
        <f>IF(NOT((COUNTA($B56:$D56)+COUNTA($G56:$L56)+COUNTA($Q56))&gt;0),"",IF(ISNUMBER($G56),1,IF(N($W56)&gt;0,AVERAGEIFS($X$5:$X$1000,$U$5:$U$1000,ROW(),$V$5:$V$1000,"Sub"),$X56)))</f>
        <v/>
      </c>
      <c r="N56" s="56">
        <f>IF($M56="","",IF($M56&gt;=1,"Completado",IF($M56&gt;0,"En curso","Pendiente")))</f>
        <v/>
      </c>
      <c r="O56" s="56">
        <f>IF(NOT((COUNTA($B56:$D56)+COUNTA($G56:$L56)+COUNTA($Q56))&gt;0),"",IF(ISNUMBER($G56),IF(AND(ISNUMBER($AN56),$G56&gt;$AN56),"Cumplida con "&amp;($G56-$AN56)&amp;IF($G56-$AN56=1," día"," días")&amp;" de retraso","Cumplida"),IF(N($M56)&gt;=1,"Cumplida",IF(NOT(ISNUMBER($AN56)),"Sin fecha límite",IF($AN56&lt;FechaRef,"Vencida hace "&amp;(FechaRef-$AN56)&amp;IF(FechaRef-$AN56=1," día"," días"),IF($AN56=FechaRef,"Vence hoy",IF($AN56-FechaRef&lt;=DiasAlerta,"Vence en "&amp;($AN56-FechaRef)&amp;IF($AN56-FechaRef=1," día"," días"),"En plazo")))))))</f>
        <v/>
      </c>
      <c r="P56" s="62" t="n"/>
      <c r="Q56" s="58" t="n"/>
      <c r="R56" s="63">
        <f>IF(NOT((COUNTA($B56:$D56)+COUNTA($G56:$L56)+COUNTA($Q56))&gt;0),"",IF((IF($C56="","Falta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",""))="","✔ OK","⚠ "&amp;LEFT(IF($C56="","Falta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",""),LEN(IF($C56="","Falta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",""))-3)))</f>
        <v/>
      </c>
      <c r="S56" s="64">
        <f>IF(NOT((COUNTA($B56:$D56)+COUNTA($G56:$L56)+COUNTA($Q56))&gt;0),"",IF(AND($V56="Sub",N($U56)&gt;0),IF(ISNUMBER(INDEX($AM$5:$AM$1000,$U56-4)),DATE(YEAR(INDEX($AM$5:$AM$1000,$U56-4)),MONTH(INDEX($AM$5:$AM$1000,$U56-4)),1),IF(ISNUMBER(INDEX($AN$5:$AN$1000,$U56-4)),DATE(YEAR(INDEX($AN$5:$AN$1000,$U56-4)),MONTH(INDEX($AN$5:$AN$1000,$U56-4)),1),MesCiclo)),IF(ISNUMBER($AM56),DATE(YEAR($AM56),MONTH($AM56),1),IF(ISNUMBER($AN56),DATE(YEAR($AN56),MONTH($AN56),1),MesCiclo))))</f>
        <v/>
      </c>
      <c r="T56" s="62">
        <f>IF(OR($S56="",$S56&lt;&gt;MesCiclo),"",COUNTIF($S$5:$S56,MesCiclo))</f>
        <v/>
      </c>
      <c r="U56" s="62">
        <f>IF($V56="","",IF($V56="Macro",ROW(),IFERROR(LOOKUP(2,1/($V$5:$V56="Macro"),ROW($V$5:$V56)),0)))</f>
        <v/>
      </c>
      <c r="V56" s="62">
        <f>IF(NOT((COUNTA($B56:$D56)+COUNTA($G56:$L56)+COUNTA($Q56))&gt;0),"",IF($B56="Subactividad","Sub","Macro"))</f>
        <v/>
      </c>
      <c r="W56" s="62">
        <f>IF($V56="Macro",COUNTIFS($U$5:$U$1000,ROW(),$V$5:$V$1000,"Sub"),"")</f>
        <v/>
      </c>
      <c r="X56" s="62">
        <f>IF($V56="","",IF(ISNUMBER($G56),1,IFERROR(LOOKUP(2,1/($I56:$L56&lt;&gt;""),$I56:$L56),0)))</f>
        <v/>
      </c>
      <c r="Y56" s="62">
        <f>IF($V56="","",IF(AND(ISNUMBER($G56),$G56&lt;=IF($S56=MesCiclo,InicioCiclo,$S56+MOD(2-WEEKDAY($S56),7))+6),1,IF(ISNUMBER($I56),$I56,0)))</f>
        <v/>
      </c>
      <c r="Z56" s="62">
        <f>IF($V56="","",IF(AND(ISNUMBER($G56),$G56&lt;=IF($S56=MesCiclo,InicioCiclo,$S56+MOD(2-WEEKDAY($S56),7))+13),1,IF(ISNUMBER($J56),$J56,$Y56)))</f>
        <v/>
      </c>
      <c r="AA56" s="62">
        <f>IF($V56="","",IF(AND(ISNUMBER($G56),$G56&lt;=IF($S56=MesCiclo,InicioCiclo,$S56+MOD(2-WEEKDAY($S56),7))+20),1,IF(ISNUMBER($K56),$K56,$Z56)))</f>
        <v/>
      </c>
      <c r="AB56" s="62">
        <f>IF($V56="","",IF(AND(ISNUMBER($G56),$G56&lt;=IF($S56=MesCiclo,InicioCiclo,$S56+MOD(2-WEEKDAY($S56),7))+27),1,IF(ISNUMBER($L56),$L56,$AA56)))</f>
        <v/>
      </c>
      <c r="AC56" s="62">
        <f>IF($V56="","",IF(AND(ISNUMBER($G56),$G56&lt;=IF($S56=MesCiclo,InicioCiclo,$S56+MOD(2-WEEKDAY($S56),7))+6),1,IF(N($W56)&gt;0,AVERAGEIFS($Y$5:$Y$1000,$U$5:$U$1000,ROW(),$V$5:$V$1000,"Sub"),$Y56)))</f>
        <v/>
      </c>
      <c r="AD56" s="62">
        <f>IF($V56="","",IF(AND(ISNUMBER($G56),$G56&lt;=IF($S56=MesCiclo,InicioCiclo,$S56+MOD(2-WEEKDAY($S56),7))+13),1,IF(N($W56)&gt;0,AVERAGEIFS($Z$5:$Z$1000,$U$5:$U$1000,ROW(),$V$5:$V$1000,"Sub"),$Z56)))</f>
        <v/>
      </c>
      <c r="AE56" s="62">
        <f>IF($V56="","",IF(AND(ISNUMBER($G56),$G56&lt;=IF($S56=MesCiclo,InicioCiclo,$S56+MOD(2-WEEKDAY($S56),7))+20),1,IF(N($W56)&gt;0,AVERAGEIFS($AA$5:$AA$1000,$U$5:$U$1000,ROW(),$V$5:$V$1000,"Sub"),$AA56)))</f>
        <v/>
      </c>
      <c r="AF56" s="62">
        <f>IF($V56="","",IF(AND(ISNUMBER($G56),$G56&lt;=IF($S56=MesCiclo,InicioCiclo,$S56+MOD(2-WEEKDAY($S56),7))+27),1,IF(N($W56)&gt;0,AVERAGEIFS($AB$5:$AB$1000,$U$5:$U$1000,ROW(),$V$5:$V$1000,"Sub"),$AB56)))</f>
        <v/>
      </c>
      <c r="AG56" s="62">
        <f>IF($V56&lt;&gt;"Macro","",IF(COUNTIFS($S$5:$S$1000,$S56,$V$5:$V$1000,"Macro",$H$5:$H$1000,"&gt;0")=0,1/COUNTIFS($S$5:$S$1000,$S56,$V$5:$V$1000,"Macro"),IF(AND(ISNUMBER($H56),N($H56)&gt;0),$H56,SUMIFS($H$5:$H$1000,$S$5:$S$1000,$S56,$V$5:$V$1000,"Macro")/COUNTIFS($S$5:$S$1000,$S56,$V$5:$V$1000,"Macro",$H$5:$H$1000,"&gt;0"))/(COUNTIFS($S$5:$S$1000,$S56,$V$5:$V$1000,"Macro")*SUMIFS($H$5:$H$1000,$S$5:$S$1000,$S56,$V$5:$V$1000,"Macro")/COUNTIFS($S$5:$S$1000,$S56,$V$5:$V$1000,"Macro",$H$5:$H$1000,"&gt;0"))))</f>
        <v/>
      </c>
      <c r="AH56" s="62" t="n"/>
      <c r="AI56" s="62" t="n"/>
      <c r="AJ56" s="62" t="n"/>
      <c r="AK56" s="62" t="n"/>
      <c r="AL56" s="62">
        <f>IF(LEFT($C56,11)="[Jefatura] ",IFERROR(MATCH("Riesgo Financiero|"&amp;MID($C56,12,500),rDname_ADM,0),0),"")</f>
        <v/>
      </c>
      <c r="AM56" s="62">
        <f>IF(N($AL56)&gt;0,INDEX(rIni_ADM,$AL56),IF(ISNUMBER($E56),$E56,""))</f>
        <v/>
      </c>
      <c r="AN56" s="62">
        <f>IF(N($AL56)&gt;0,INDEX(rLim_ADM,$AL56),IF(ISNUMBER($F56),$F56,""))</f>
        <v/>
      </c>
    </row>
    <row r="57">
      <c r="A57" s="56">
        <f>IF(NOT((COUNTA($B57:$D57)+COUNTA($G57:$L57)+COUNTA($Q57))&gt;0),"",IF($V57="Macro",COUNTIFS($V$5:$V57,"Macro",$S$5:$S57,$S57),IF(N($U57)=0,"?",COUNTIFS(INDEX($V$5:$V$1000,1):INDEX($V$5:$V$1000,$U57-4),"Macro",INDEX($S$5:$S$1000,1):INDEX($S$5:$S$1000,$U57-4),INDEX($S$5:$S$1000,$U57-4))&amp;"."&amp;COUNTIFS($U$5:$U57,$U57,$V$5:$V57,"Sub"))))</f>
        <v/>
      </c>
      <c r="B57" s="57" t="n"/>
      <c r="C57" s="58" t="n"/>
      <c r="D57" s="58" t="n"/>
      <c r="E57" s="59">
        <f>IF(N($AL57)&gt;0,INDEX(rIni_ADM,$AL57),"")</f>
        <v/>
      </c>
      <c r="F57" s="59">
        <f>IF(N($AL57)&gt;0,INDEX(rLim_ADM,$AL57),"")</f>
        <v/>
      </c>
      <c r="G57" s="59" t="n"/>
      <c r="H57" s="60" t="n"/>
      <c r="I57" s="60" t="n"/>
      <c r="J57" s="60" t="n"/>
      <c r="K57" s="60" t="n"/>
      <c r="L57" s="60" t="n"/>
      <c r="M57" s="61">
        <f>IF(NOT((COUNTA($B57:$D57)+COUNTA($G57:$L57)+COUNTA($Q57))&gt;0),"",IF(ISNUMBER($G57),1,IF(N($W57)&gt;0,AVERAGEIFS($X$5:$X$1000,$U$5:$U$1000,ROW(),$V$5:$V$1000,"Sub"),$X57)))</f>
        <v/>
      </c>
      <c r="N57" s="56">
        <f>IF($M57="","",IF($M57&gt;=1,"Completado",IF($M57&gt;0,"En curso","Pendiente")))</f>
        <v/>
      </c>
      <c r="O57" s="56">
        <f>IF(NOT((COUNTA($B57:$D57)+COUNTA($G57:$L57)+COUNTA($Q57))&gt;0),"",IF(ISNUMBER($G57),IF(AND(ISNUMBER($AN57),$G57&gt;$AN57),"Cumplida con "&amp;($G57-$AN57)&amp;IF($G57-$AN57=1," día"," días")&amp;" de retraso","Cumplida"),IF(N($M57)&gt;=1,"Cumplida",IF(NOT(ISNUMBER($AN57)),"Sin fecha límite",IF($AN57&lt;FechaRef,"Vencida hace "&amp;(FechaRef-$AN57)&amp;IF(FechaRef-$AN57=1," día"," días"),IF($AN57=FechaRef,"Vence hoy",IF($AN57-FechaRef&lt;=DiasAlerta,"Vence en "&amp;($AN57-FechaRef)&amp;IF($AN57-FechaRef=1," día"," días"),"En plazo")))))))</f>
        <v/>
      </c>
      <c r="P57" s="62" t="n"/>
      <c r="Q57" s="58" t="n"/>
      <c r="R57" s="63">
        <f>IF(NOT((COUNTA($B57:$D57)+COUNTA($G57:$L57)+COUNTA($Q57))&gt;0),"",IF((IF($C57="","Falta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",""))="","✔ OK","⚠ "&amp;LEFT(IF($C57="","Falta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",""),LEN(IF($C57="","Falta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",""))-3)))</f>
        <v/>
      </c>
      <c r="S57" s="64">
        <f>IF(NOT((COUNTA($B57:$D57)+COUNTA($G57:$L57)+COUNTA($Q57))&gt;0),"",IF(AND($V57="Sub",N($U57)&gt;0),IF(ISNUMBER(INDEX($AM$5:$AM$1000,$U57-4)),DATE(YEAR(INDEX($AM$5:$AM$1000,$U57-4)),MONTH(INDEX($AM$5:$AM$1000,$U57-4)),1),IF(ISNUMBER(INDEX($AN$5:$AN$1000,$U57-4)),DATE(YEAR(INDEX($AN$5:$AN$1000,$U57-4)),MONTH(INDEX($AN$5:$AN$1000,$U57-4)),1),MesCiclo)),IF(ISNUMBER($AM57),DATE(YEAR($AM57),MONTH($AM57),1),IF(ISNUMBER($AN57),DATE(YEAR($AN57),MONTH($AN57),1),MesCiclo))))</f>
        <v/>
      </c>
      <c r="T57" s="62">
        <f>IF(OR($S57="",$S57&lt;&gt;MesCiclo),"",COUNTIF($S$5:$S57,MesCiclo))</f>
        <v/>
      </c>
      <c r="U57" s="62">
        <f>IF($V57="","",IF($V57="Macro",ROW(),IFERROR(LOOKUP(2,1/($V$5:$V57="Macro"),ROW($V$5:$V57)),0)))</f>
        <v/>
      </c>
      <c r="V57" s="62">
        <f>IF(NOT((COUNTA($B57:$D57)+COUNTA($G57:$L57)+COUNTA($Q57))&gt;0),"",IF($B57="Subactividad","Sub","Macro"))</f>
        <v/>
      </c>
      <c r="W57" s="62">
        <f>IF($V57="Macro",COUNTIFS($U$5:$U$1000,ROW(),$V$5:$V$1000,"Sub"),"")</f>
        <v/>
      </c>
      <c r="X57" s="62">
        <f>IF($V57="","",IF(ISNUMBER($G57),1,IFERROR(LOOKUP(2,1/($I57:$L57&lt;&gt;""),$I57:$L57),0)))</f>
        <v/>
      </c>
      <c r="Y57" s="62">
        <f>IF($V57="","",IF(AND(ISNUMBER($G57),$G57&lt;=IF($S57=MesCiclo,InicioCiclo,$S57+MOD(2-WEEKDAY($S57),7))+6),1,IF(ISNUMBER($I57),$I57,0)))</f>
        <v/>
      </c>
      <c r="Z57" s="62">
        <f>IF($V57="","",IF(AND(ISNUMBER($G57),$G57&lt;=IF($S57=MesCiclo,InicioCiclo,$S57+MOD(2-WEEKDAY($S57),7))+13),1,IF(ISNUMBER($J57),$J57,$Y57)))</f>
        <v/>
      </c>
      <c r="AA57" s="62">
        <f>IF($V57="","",IF(AND(ISNUMBER($G57),$G57&lt;=IF($S57=MesCiclo,InicioCiclo,$S57+MOD(2-WEEKDAY($S57),7))+20),1,IF(ISNUMBER($K57),$K57,$Z57)))</f>
        <v/>
      </c>
      <c r="AB57" s="62">
        <f>IF($V57="","",IF(AND(ISNUMBER($G57),$G57&lt;=IF($S57=MesCiclo,InicioCiclo,$S57+MOD(2-WEEKDAY($S57),7))+27),1,IF(ISNUMBER($L57),$L57,$AA57)))</f>
        <v/>
      </c>
      <c r="AC57" s="62">
        <f>IF($V57="","",IF(AND(ISNUMBER($G57),$G57&lt;=IF($S57=MesCiclo,InicioCiclo,$S57+MOD(2-WEEKDAY($S57),7))+6),1,IF(N($W57)&gt;0,AVERAGEIFS($Y$5:$Y$1000,$U$5:$U$1000,ROW(),$V$5:$V$1000,"Sub"),$Y57)))</f>
        <v/>
      </c>
      <c r="AD57" s="62">
        <f>IF($V57="","",IF(AND(ISNUMBER($G57),$G57&lt;=IF($S57=MesCiclo,InicioCiclo,$S57+MOD(2-WEEKDAY($S57),7))+13),1,IF(N($W57)&gt;0,AVERAGEIFS($Z$5:$Z$1000,$U$5:$U$1000,ROW(),$V$5:$V$1000,"Sub"),$Z57)))</f>
        <v/>
      </c>
      <c r="AE57" s="62">
        <f>IF($V57="","",IF(AND(ISNUMBER($G57),$G57&lt;=IF($S57=MesCiclo,InicioCiclo,$S57+MOD(2-WEEKDAY($S57),7))+20),1,IF(N($W57)&gt;0,AVERAGEIFS($AA$5:$AA$1000,$U$5:$U$1000,ROW(),$V$5:$V$1000,"Sub"),$AA57)))</f>
        <v/>
      </c>
      <c r="AF57" s="62">
        <f>IF($V57="","",IF(AND(ISNUMBER($G57),$G57&lt;=IF($S57=MesCiclo,InicioCiclo,$S57+MOD(2-WEEKDAY($S57),7))+27),1,IF(N($W57)&gt;0,AVERAGEIFS($AB$5:$AB$1000,$U$5:$U$1000,ROW(),$V$5:$V$1000,"Sub"),$AB57)))</f>
        <v/>
      </c>
      <c r="AG57" s="62">
        <f>IF($V57&lt;&gt;"Macro","",IF(COUNTIFS($S$5:$S$1000,$S57,$V$5:$V$1000,"Macro",$H$5:$H$1000,"&gt;0")=0,1/COUNTIFS($S$5:$S$1000,$S57,$V$5:$V$1000,"Macro"),IF(AND(ISNUMBER($H57),N($H57)&gt;0),$H57,SUMIFS($H$5:$H$1000,$S$5:$S$1000,$S57,$V$5:$V$1000,"Macro")/COUNTIFS($S$5:$S$1000,$S57,$V$5:$V$1000,"Macro",$H$5:$H$1000,"&gt;0"))/(COUNTIFS($S$5:$S$1000,$S57,$V$5:$V$1000,"Macro")*SUMIFS($H$5:$H$1000,$S$5:$S$1000,$S57,$V$5:$V$1000,"Macro")/COUNTIFS($S$5:$S$1000,$S57,$V$5:$V$1000,"Macro",$H$5:$H$1000,"&gt;0"))))</f>
        <v/>
      </c>
      <c r="AH57" s="62" t="n"/>
      <c r="AI57" s="62" t="n"/>
      <c r="AJ57" s="62" t="n"/>
      <c r="AK57" s="62" t="n"/>
      <c r="AL57" s="62">
        <f>IF(LEFT($C57,11)="[Jefatura] ",IFERROR(MATCH("Riesgo Financiero|"&amp;MID($C57,12,500),rDname_ADM,0),0),"")</f>
        <v/>
      </c>
      <c r="AM57" s="62">
        <f>IF(N($AL57)&gt;0,INDEX(rIni_ADM,$AL57),IF(ISNUMBER($E57),$E57,""))</f>
        <v/>
      </c>
      <c r="AN57" s="62">
        <f>IF(N($AL57)&gt;0,INDEX(rLim_ADM,$AL57),IF(ISNUMBER($F57),$F57,""))</f>
        <v/>
      </c>
    </row>
    <row r="58">
      <c r="A58" s="56">
        <f>IF(NOT((COUNTA($B58:$D58)+COUNTA($G58:$L58)+COUNTA($Q58))&gt;0),"",IF($V58="Macro",COUNTIFS($V$5:$V58,"Macro",$S$5:$S58,$S58),IF(N($U58)=0,"?",COUNTIFS(INDEX($V$5:$V$1000,1):INDEX($V$5:$V$1000,$U58-4),"Macro",INDEX($S$5:$S$1000,1):INDEX($S$5:$S$1000,$U58-4),INDEX($S$5:$S$1000,$U58-4))&amp;"."&amp;COUNTIFS($U$5:$U58,$U58,$V$5:$V58,"Sub"))))</f>
        <v/>
      </c>
      <c r="B58" s="57" t="n"/>
      <c r="C58" s="58" t="n"/>
      <c r="D58" s="58" t="n"/>
      <c r="E58" s="59">
        <f>IF(N($AL58)&gt;0,INDEX(rIni_ADM,$AL58),"")</f>
        <v/>
      </c>
      <c r="F58" s="59">
        <f>IF(N($AL58)&gt;0,INDEX(rLim_ADM,$AL58),"")</f>
        <v/>
      </c>
      <c r="G58" s="59" t="n"/>
      <c r="H58" s="60" t="n"/>
      <c r="I58" s="60" t="n"/>
      <c r="J58" s="60" t="n"/>
      <c r="K58" s="60" t="n"/>
      <c r="L58" s="60" t="n"/>
      <c r="M58" s="61">
        <f>IF(NOT((COUNTA($B58:$D58)+COUNTA($G58:$L58)+COUNTA($Q58))&gt;0),"",IF(ISNUMBER($G58),1,IF(N($W58)&gt;0,AVERAGEIFS($X$5:$X$1000,$U$5:$U$1000,ROW(),$V$5:$V$1000,"Sub"),$X58)))</f>
        <v/>
      </c>
      <c r="N58" s="56">
        <f>IF($M58="","",IF($M58&gt;=1,"Completado",IF($M58&gt;0,"En curso","Pendiente")))</f>
        <v/>
      </c>
      <c r="O58" s="56">
        <f>IF(NOT((COUNTA($B58:$D58)+COUNTA($G58:$L58)+COUNTA($Q58))&gt;0),"",IF(ISNUMBER($G58),IF(AND(ISNUMBER($AN58),$G58&gt;$AN58),"Cumplida con "&amp;($G58-$AN58)&amp;IF($G58-$AN58=1," día"," días")&amp;" de retraso","Cumplida"),IF(N($M58)&gt;=1,"Cumplida",IF(NOT(ISNUMBER($AN58)),"Sin fecha límite",IF($AN58&lt;FechaRef,"Vencida hace "&amp;(FechaRef-$AN58)&amp;IF(FechaRef-$AN58=1," día"," días"),IF($AN58=FechaRef,"Vence hoy",IF($AN58-FechaRef&lt;=DiasAlerta,"Vence en "&amp;($AN58-FechaRef)&amp;IF($AN58-FechaRef=1," día"," días"),"En plazo")))))))</f>
        <v/>
      </c>
      <c r="P58" s="62" t="n"/>
      <c r="Q58" s="58" t="n"/>
      <c r="R58" s="63">
        <f>IF(NOT((COUNTA($B58:$D58)+COUNTA($G58:$L58)+COUNTA($Q58))&gt;0),"",IF((IF($C58="","Falta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",""))="","✔ OK","⚠ "&amp;LEFT(IF($C58="","Falta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",""),LEN(IF($C58="","Falta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",""))-3)))</f>
        <v/>
      </c>
      <c r="S58" s="64">
        <f>IF(NOT((COUNTA($B58:$D58)+COUNTA($G58:$L58)+COUNTA($Q58))&gt;0),"",IF(AND($V58="Sub",N($U58)&gt;0),IF(ISNUMBER(INDEX($AM$5:$AM$1000,$U58-4)),DATE(YEAR(INDEX($AM$5:$AM$1000,$U58-4)),MONTH(INDEX($AM$5:$AM$1000,$U58-4)),1),IF(ISNUMBER(INDEX($AN$5:$AN$1000,$U58-4)),DATE(YEAR(INDEX($AN$5:$AN$1000,$U58-4)),MONTH(INDEX($AN$5:$AN$1000,$U58-4)),1),MesCiclo)),IF(ISNUMBER($AM58),DATE(YEAR($AM58),MONTH($AM58),1),IF(ISNUMBER($AN58),DATE(YEAR($AN58),MONTH($AN58),1),MesCiclo))))</f>
        <v/>
      </c>
      <c r="T58" s="62">
        <f>IF(OR($S58="",$S58&lt;&gt;MesCiclo),"",COUNTIF($S$5:$S58,MesCiclo))</f>
        <v/>
      </c>
      <c r="U58" s="62">
        <f>IF($V58="","",IF($V58="Macro",ROW(),IFERROR(LOOKUP(2,1/($V$5:$V58="Macro"),ROW($V$5:$V58)),0)))</f>
        <v/>
      </c>
      <c r="V58" s="62">
        <f>IF(NOT((COUNTA($B58:$D58)+COUNTA($G58:$L58)+COUNTA($Q58))&gt;0),"",IF($B58="Subactividad","Sub","Macro"))</f>
        <v/>
      </c>
      <c r="W58" s="62">
        <f>IF($V58="Macro",COUNTIFS($U$5:$U$1000,ROW(),$V$5:$V$1000,"Sub"),"")</f>
        <v/>
      </c>
      <c r="X58" s="62">
        <f>IF($V58="","",IF(ISNUMBER($G58),1,IFERROR(LOOKUP(2,1/($I58:$L58&lt;&gt;""),$I58:$L58),0)))</f>
        <v/>
      </c>
      <c r="Y58" s="62">
        <f>IF($V58="","",IF(AND(ISNUMBER($G58),$G58&lt;=IF($S58=MesCiclo,InicioCiclo,$S58+MOD(2-WEEKDAY($S58),7))+6),1,IF(ISNUMBER($I58),$I58,0)))</f>
        <v/>
      </c>
      <c r="Z58" s="62">
        <f>IF($V58="","",IF(AND(ISNUMBER($G58),$G58&lt;=IF($S58=MesCiclo,InicioCiclo,$S58+MOD(2-WEEKDAY($S58),7))+13),1,IF(ISNUMBER($J58),$J58,$Y58)))</f>
        <v/>
      </c>
      <c r="AA58" s="62">
        <f>IF($V58="","",IF(AND(ISNUMBER($G58),$G58&lt;=IF($S58=MesCiclo,InicioCiclo,$S58+MOD(2-WEEKDAY($S58),7))+20),1,IF(ISNUMBER($K58),$K58,$Z58)))</f>
        <v/>
      </c>
      <c r="AB58" s="62">
        <f>IF($V58="","",IF(AND(ISNUMBER($G58),$G58&lt;=IF($S58=MesCiclo,InicioCiclo,$S58+MOD(2-WEEKDAY($S58),7))+27),1,IF(ISNUMBER($L58),$L58,$AA58)))</f>
        <v/>
      </c>
      <c r="AC58" s="62">
        <f>IF($V58="","",IF(AND(ISNUMBER($G58),$G58&lt;=IF($S58=MesCiclo,InicioCiclo,$S58+MOD(2-WEEKDAY($S58),7))+6),1,IF(N($W58)&gt;0,AVERAGEIFS($Y$5:$Y$1000,$U$5:$U$1000,ROW(),$V$5:$V$1000,"Sub"),$Y58)))</f>
        <v/>
      </c>
      <c r="AD58" s="62">
        <f>IF($V58="","",IF(AND(ISNUMBER($G58),$G58&lt;=IF($S58=MesCiclo,InicioCiclo,$S58+MOD(2-WEEKDAY($S58),7))+13),1,IF(N($W58)&gt;0,AVERAGEIFS($Z$5:$Z$1000,$U$5:$U$1000,ROW(),$V$5:$V$1000,"Sub"),$Z58)))</f>
        <v/>
      </c>
      <c r="AE58" s="62">
        <f>IF($V58="","",IF(AND(ISNUMBER($G58),$G58&lt;=IF($S58=MesCiclo,InicioCiclo,$S58+MOD(2-WEEKDAY($S58),7))+20),1,IF(N($W58)&gt;0,AVERAGEIFS($AA$5:$AA$1000,$U$5:$U$1000,ROW(),$V$5:$V$1000,"Sub"),$AA58)))</f>
        <v/>
      </c>
      <c r="AF58" s="62">
        <f>IF($V58="","",IF(AND(ISNUMBER($G58),$G58&lt;=IF($S58=MesCiclo,InicioCiclo,$S58+MOD(2-WEEKDAY($S58),7))+27),1,IF(N($W58)&gt;0,AVERAGEIFS($AB$5:$AB$1000,$U$5:$U$1000,ROW(),$V$5:$V$1000,"Sub"),$AB58)))</f>
        <v/>
      </c>
      <c r="AG58" s="62">
        <f>IF($V58&lt;&gt;"Macro","",IF(COUNTIFS($S$5:$S$1000,$S58,$V$5:$V$1000,"Macro",$H$5:$H$1000,"&gt;0")=0,1/COUNTIFS($S$5:$S$1000,$S58,$V$5:$V$1000,"Macro"),IF(AND(ISNUMBER($H58),N($H58)&gt;0),$H58,SUMIFS($H$5:$H$1000,$S$5:$S$1000,$S58,$V$5:$V$1000,"Macro")/COUNTIFS($S$5:$S$1000,$S58,$V$5:$V$1000,"Macro",$H$5:$H$1000,"&gt;0"))/(COUNTIFS($S$5:$S$1000,$S58,$V$5:$V$1000,"Macro")*SUMIFS($H$5:$H$1000,$S$5:$S$1000,$S58,$V$5:$V$1000,"Macro")/COUNTIFS($S$5:$S$1000,$S58,$V$5:$V$1000,"Macro",$H$5:$H$1000,"&gt;0"))))</f>
        <v/>
      </c>
      <c r="AH58" s="62" t="n"/>
      <c r="AI58" s="62" t="n"/>
      <c r="AJ58" s="62" t="n"/>
      <c r="AK58" s="62" t="n"/>
      <c r="AL58" s="62">
        <f>IF(LEFT($C58,11)="[Jefatura] ",IFERROR(MATCH("Riesgo Financiero|"&amp;MID($C58,12,500),rDname_ADM,0),0),"")</f>
        <v/>
      </c>
      <c r="AM58" s="62">
        <f>IF(N($AL58)&gt;0,INDEX(rIni_ADM,$AL58),IF(ISNUMBER($E58),$E58,""))</f>
        <v/>
      </c>
      <c r="AN58" s="62">
        <f>IF(N($AL58)&gt;0,INDEX(rLim_ADM,$AL58),IF(ISNUMBER($F58),$F58,""))</f>
        <v/>
      </c>
    </row>
    <row r="59">
      <c r="A59" s="56">
        <f>IF(NOT((COUNTA($B59:$D59)+COUNTA($G59:$L59)+COUNTA($Q59))&gt;0),"",IF($V59="Macro",COUNTIFS($V$5:$V59,"Macro",$S$5:$S59,$S59),IF(N($U59)=0,"?",COUNTIFS(INDEX($V$5:$V$1000,1):INDEX($V$5:$V$1000,$U59-4),"Macro",INDEX($S$5:$S$1000,1):INDEX($S$5:$S$1000,$U59-4),INDEX($S$5:$S$1000,$U59-4))&amp;"."&amp;COUNTIFS($U$5:$U59,$U59,$V$5:$V59,"Sub"))))</f>
        <v/>
      </c>
      <c r="B59" s="57" t="n"/>
      <c r="C59" s="58" t="n"/>
      <c r="D59" s="58" t="n"/>
      <c r="E59" s="59">
        <f>IF(N($AL59)&gt;0,INDEX(rIni_ADM,$AL59),"")</f>
        <v/>
      </c>
      <c r="F59" s="59">
        <f>IF(N($AL59)&gt;0,INDEX(rLim_ADM,$AL59),"")</f>
        <v/>
      </c>
      <c r="G59" s="59" t="n"/>
      <c r="H59" s="60" t="n"/>
      <c r="I59" s="60" t="n"/>
      <c r="J59" s="60" t="n"/>
      <c r="K59" s="60" t="n"/>
      <c r="L59" s="60" t="n"/>
      <c r="M59" s="61">
        <f>IF(NOT((COUNTA($B59:$D59)+COUNTA($G59:$L59)+COUNTA($Q59))&gt;0),"",IF(ISNUMBER($G59),1,IF(N($W59)&gt;0,AVERAGEIFS($X$5:$X$1000,$U$5:$U$1000,ROW(),$V$5:$V$1000,"Sub"),$X59)))</f>
        <v/>
      </c>
      <c r="N59" s="56">
        <f>IF($M59="","",IF($M59&gt;=1,"Completado",IF($M59&gt;0,"En curso","Pendiente")))</f>
        <v/>
      </c>
      <c r="O59" s="56">
        <f>IF(NOT((COUNTA($B59:$D59)+COUNTA($G59:$L59)+COUNTA($Q59))&gt;0),"",IF(ISNUMBER($G59),IF(AND(ISNUMBER($AN59),$G59&gt;$AN59),"Cumplida con "&amp;($G59-$AN59)&amp;IF($G59-$AN59=1," día"," días")&amp;" de retraso","Cumplida"),IF(N($M59)&gt;=1,"Cumplida",IF(NOT(ISNUMBER($AN59)),"Sin fecha límite",IF($AN59&lt;FechaRef,"Vencida hace "&amp;(FechaRef-$AN59)&amp;IF(FechaRef-$AN59=1," día"," días"),IF($AN59=FechaRef,"Vence hoy",IF($AN59-FechaRef&lt;=DiasAlerta,"Vence en "&amp;($AN59-FechaRef)&amp;IF($AN59-FechaRef=1," día"," días"),"En plazo")))))))</f>
        <v/>
      </c>
      <c r="P59" s="62" t="n"/>
      <c r="Q59" s="58" t="n"/>
      <c r="R59" s="63">
        <f>IF(NOT((COUNTA($B59:$D59)+COUNTA($G59:$L59)+COUNTA($Q59))&gt;0),"",IF((IF($C59="","Falta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",""))="","✔ OK","⚠ "&amp;LEFT(IF($C59="","Falta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",""),LEN(IF($C59="","Falta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",""))-3)))</f>
        <v/>
      </c>
      <c r="S59" s="64">
        <f>IF(NOT((COUNTA($B59:$D59)+COUNTA($G59:$L59)+COUNTA($Q59))&gt;0),"",IF(AND($V59="Sub",N($U59)&gt;0),IF(ISNUMBER(INDEX($AM$5:$AM$1000,$U59-4)),DATE(YEAR(INDEX($AM$5:$AM$1000,$U59-4)),MONTH(INDEX($AM$5:$AM$1000,$U59-4)),1),IF(ISNUMBER(INDEX($AN$5:$AN$1000,$U59-4)),DATE(YEAR(INDEX($AN$5:$AN$1000,$U59-4)),MONTH(INDEX($AN$5:$AN$1000,$U59-4)),1),MesCiclo)),IF(ISNUMBER($AM59),DATE(YEAR($AM59),MONTH($AM59),1),IF(ISNUMBER($AN59),DATE(YEAR($AN59),MONTH($AN59),1),MesCiclo))))</f>
        <v/>
      </c>
      <c r="T59" s="62">
        <f>IF(OR($S59="",$S59&lt;&gt;MesCiclo),"",COUNTIF($S$5:$S59,MesCiclo))</f>
        <v/>
      </c>
      <c r="U59" s="62">
        <f>IF($V59="","",IF($V59="Macro",ROW(),IFERROR(LOOKUP(2,1/($V$5:$V59="Macro"),ROW($V$5:$V59)),0)))</f>
        <v/>
      </c>
      <c r="V59" s="62">
        <f>IF(NOT((COUNTA($B59:$D59)+COUNTA($G59:$L59)+COUNTA($Q59))&gt;0),"",IF($B59="Subactividad","Sub","Macro"))</f>
        <v/>
      </c>
      <c r="W59" s="62">
        <f>IF($V59="Macro",COUNTIFS($U$5:$U$1000,ROW(),$V$5:$V$1000,"Sub"),"")</f>
        <v/>
      </c>
      <c r="X59" s="62">
        <f>IF($V59="","",IF(ISNUMBER($G59),1,IFERROR(LOOKUP(2,1/($I59:$L59&lt;&gt;""),$I59:$L59),0)))</f>
        <v/>
      </c>
      <c r="Y59" s="62">
        <f>IF($V59="","",IF(AND(ISNUMBER($G59),$G59&lt;=IF($S59=MesCiclo,InicioCiclo,$S59+MOD(2-WEEKDAY($S59),7))+6),1,IF(ISNUMBER($I59),$I59,0)))</f>
        <v/>
      </c>
      <c r="Z59" s="62">
        <f>IF($V59="","",IF(AND(ISNUMBER($G59),$G59&lt;=IF($S59=MesCiclo,InicioCiclo,$S59+MOD(2-WEEKDAY($S59),7))+13),1,IF(ISNUMBER($J59),$J59,$Y59)))</f>
        <v/>
      </c>
      <c r="AA59" s="62">
        <f>IF($V59="","",IF(AND(ISNUMBER($G59),$G59&lt;=IF($S59=MesCiclo,InicioCiclo,$S59+MOD(2-WEEKDAY($S59),7))+20),1,IF(ISNUMBER($K59),$K59,$Z59)))</f>
        <v/>
      </c>
      <c r="AB59" s="62">
        <f>IF($V59="","",IF(AND(ISNUMBER($G59),$G59&lt;=IF($S59=MesCiclo,InicioCiclo,$S59+MOD(2-WEEKDAY($S59),7))+27),1,IF(ISNUMBER($L59),$L59,$AA59)))</f>
        <v/>
      </c>
      <c r="AC59" s="62">
        <f>IF($V59="","",IF(AND(ISNUMBER($G59),$G59&lt;=IF($S59=MesCiclo,InicioCiclo,$S59+MOD(2-WEEKDAY($S59),7))+6),1,IF(N($W59)&gt;0,AVERAGEIFS($Y$5:$Y$1000,$U$5:$U$1000,ROW(),$V$5:$V$1000,"Sub"),$Y59)))</f>
        <v/>
      </c>
      <c r="AD59" s="62">
        <f>IF($V59="","",IF(AND(ISNUMBER($G59),$G59&lt;=IF($S59=MesCiclo,InicioCiclo,$S59+MOD(2-WEEKDAY($S59),7))+13),1,IF(N($W59)&gt;0,AVERAGEIFS($Z$5:$Z$1000,$U$5:$U$1000,ROW(),$V$5:$V$1000,"Sub"),$Z59)))</f>
        <v/>
      </c>
      <c r="AE59" s="62">
        <f>IF($V59="","",IF(AND(ISNUMBER($G59),$G59&lt;=IF($S59=MesCiclo,InicioCiclo,$S59+MOD(2-WEEKDAY($S59),7))+20),1,IF(N($W59)&gt;0,AVERAGEIFS($AA$5:$AA$1000,$U$5:$U$1000,ROW(),$V$5:$V$1000,"Sub"),$AA59)))</f>
        <v/>
      </c>
      <c r="AF59" s="62">
        <f>IF($V59="","",IF(AND(ISNUMBER($G59),$G59&lt;=IF($S59=MesCiclo,InicioCiclo,$S59+MOD(2-WEEKDAY($S59),7))+27),1,IF(N($W59)&gt;0,AVERAGEIFS($AB$5:$AB$1000,$U$5:$U$1000,ROW(),$V$5:$V$1000,"Sub"),$AB59)))</f>
        <v/>
      </c>
      <c r="AG59" s="62">
        <f>IF($V59&lt;&gt;"Macro","",IF(COUNTIFS($S$5:$S$1000,$S59,$V$5:$V$1000,"Macro",$H$5:$H$1000,"&gt;0")=0,1/COUNTIFS($S$5:$S$1000,$S59,$V$5:$V$1000,"Macro"),IF(AND(ISNUMBER($H59),N($H59)&gt;0),$H59,SUMIFS($H$5:$H$1000,$S$5:$S$1000,$S59,$V$5:$V$1000,"Macro")/COUNTIFS($S$5:$S$1000,$S59,$V$5:$V$1000,"Macro",$H$5:$H$1000,"&gt;0"))/(COUNTIFS($S$5:$S$1000,$S59,$V$5:$V$1000,"Macro")*SUMIFS($H$5:$H$1000,$S$5:$S$1000,$S59,$V$5:$V$1000,"Macro")/COUNTIFS($S$5:$S$1000,$S59,$V$5:$V$1000,"Macro",$H$5:$H$1000,"&gt;0"))))</f>
        <v/>
      </c>
      <c r="AH59" s="62" t="n"/>
      <c r="AI59" s="62" t="n"/>
      <c r="AJ59" s="62" t="n"/>
      <c r="AK59" s="62" t="n"/>
      <c r="AL59" s="62">
        <f>IF(LEFT($C59,11)="[Jefatura] ",IFERROR(MATCH("Riesgo Financiero|"&amp;MID($C59,12,500),rDname_ADM,0),0),"")</f>
        <v/>
      </c>
      <c r="AM59" s="62">
        <f>IF(N($AL59)&gt;0,INDEX(rIni_ADM,$AL59),IF(ISNUMBER($E59),$E59,""))</f>
        <v/>
      </c>
      <c r="AN59" s="62">
        <f>IF(N($AL59)&gt;0,INDEX(rLim_ADM,$AL59),IF(ISNUMBER($F59),$F59,""))</f>
        <v/>
      </c>
    </row>
    <row r="60">
      <c r="A60" s="56">
        <f>IF(NOT((COUNTA($B60:$D60)+COUNTA($G60:$L60)+COUNTA($Q60))&gt;0),"",IF($V60="Macro",COUNTIFS($V$5:$V60,"Macro",$S$5:$S60,$S60),IF(N($U60)=0,"?",COUNTIFS(INDEX($V$5:$V$1000,1):INDEX($V$5:$V$1000,$U60-4),"Macro",INDEX($S$5:$S$1000,1):INDEX($S$5:$S$1000,$U60-4),INDEX($S$5:$S$1000,$U60-4))&amp;"."&amp;COUNTIFS($U$5:$U60,$U60,$V$5:$V60,"Sub"))))</f>
        <v/>
      </c>
      <c r="B60" s="57" t="n"/>
      <c r="C60" s="58" t="n"/>
      <c r="D60" s="58" t="n"/>
      <c r="E60" s="59">
        <f>IF(N($AL60)&gt;0,INDEX(rIni_ADM,$AL60),"")</f>
        <v/>
      </c>
      <c r="F60" s="59">
        <f>IF(N($AL60)&gt;0,INDEX(rLim_ADM,$AL60),"")</f>
        <v/>
      </c>
      <c r="G60" s="59" t="n"/>
      <c r="H60" s="60" t="n"/>
      <c r="I60" s="60" t="n"/>
      <c r="J60" s="60" t="n"/>
      <c r="K60" s="60" t="n"/>
      <c r="L60" s="60" t="n"/>
      <c r="M60" s="61">
        <f>IF(NOT((COUNTA($B60:$D60)+COUNTA($G60:$L60)+COUNTA($Q60))&gt;0),"",IF(ISNUMBER($G60),1,IF(N($W60)&gt;0,AVERAGEIFS($X$5:$X$1000,$U$5:$U$1000,ROW(),$V$5:$V$1000,"Sub"),$X60)))</f>
        <v/>
      </c>
      <c r="N60" s="56">
        <f>IF($M60="","",IF($M60&gt;=1,"Completado",IF($M60&gt;0,"En curso","Pendiente")))</f>
        <v/>
      </c>
      <c r="O60" s="56">
        <f>IF(NOT((COUNTA($B60:$D60)+COUNTA($G60:$L60)+COUNTA($Q60))&gt;0),"",IF(ISNUMBER($G60),IF(AND(ISNUMBER($AN60),$G60&gt;$AN60),"Cumplida con "&amp;($G60-$AN60)&amp;IF($G60-$AN60=1," día"," días")&amp;" de retraso","Cumplida"),IF(N($M60)&gt;=1,"Cumplida",IF(NOT(ISNUMBER($AN60)),"Sin fecha límite",IF($AN60&lt;FechaRef,"Vencida hace "&amp;(FechaRef-$AN60)&amp;IF(FechaRef-$AN60=1," día"," días"),IF($AN60=FechaRef,"Vence hoy",IF($AN60-FechaRef&lt;=DiasAlerta,"Vence en "&amp;($AN60-FechaRef)&amp;IF($AN60-FechaRef=1," día"," días"),"En plazo")))))))</f>
        <v/>
      </c>
      <c r="P60" s="62" t="n"/>
      <c r="Q60" s="58" t="n"/>
      <c r="R60" s="63">
        <f>IF(NOT((COUNTA($B60:$D60)+COUNTA($G60:$L60)+COUNTA($Q60))&gt;0),"",IF((IF($C60="","Falta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",""))="","✔ OK","⚠ "&amp;LEFT(IF($C60="","Falta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",""),LEN(IF($C60="","Falta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",""))-3)))</f>
        <v/>
      </c>
      <c r="S60" s="64">
        <f>IF(NOT((COUNTA($B60:$D60)+COUNTA($G60:$L60)+COUNTA($Q60))&gt;0),"",IF(AND($V60="Sub",N($U60)&gt;0),IF(ISNUMBER(INDEX($AM$5:$AM$1000,$U60-4)),DATE(YEAR(INDEX($AM$5:$AM$1000,$U60-4)),MONTH(INDEX($AM$5:$AM$1000,$U60-4)),1),IF(ISNUMBER(INDEX($AN$5:$AN$1000,$U60-4)),DATE(YEAR(INDEX($AN$5:$AN$1000,$U60-4)),MONTH(INDEX($AN$5:$AN$1000,$U60-4)),1),MesCiclo)),IF(ISNUMBER($AM60),DATE(YEAR($AM60),MONTH($AM60),1),IF(ISNUMBER($AN60),DATE(YEAR($AN60),MONTH($AN60),1),MesCiclo))))</f>
        <v/>
      </c>
      <c r="T60" s="62">
        <f>IF(OR($S60="",$S60&lt;&gt;MesCiclo),"",COUNTIF($S$5:$S60,MesCiclo))</f>
        <v/>
      </c>
      <c r="U60" s="62">
        <f>IF($V60="","",IF($V60="Macro",ROW(),IFERROR(LOOKUP(2,1/($V$5:$V60="Macro"),ROW($V$5:$V60)),0)))</f>
        <v/>
      </c>
      <c r="V60" s="62">
        <f>IF(NOT((COUNTA($B60:$D60)+COUNTA($G60:$L60)+COUNTA($Q60))&gt;0),"",IF($B60="Subactividad","Sub","Macro"))</f>
        <v/>
      </c>
      <c r="W60" s="62">
        <f>IF($V60="Macro",COUNTIFS($U$5:$U$1000,ROW(),$V$5:$V$1000,"Sub"),"")</f>
        <v/>
      </c>
      <c r="X60" s="62">
        <f>IF($V60="","",IF(ISNUMBER($G60),1,IFERROR(LOOKUP(2,1/($I60:$L60&lt;&gt;""),$I60:$L60),0)))</f>
        <v/>
      </c>
      <c r="Y60" s="62">
        <f>IF($V60="","",IF(AND(ISNUMBER($G60),$G60&lt;=IF($S60=MesCiclo,InicioCiclo,$S60+MOD(2-WEEKDAY($S60),7))+6),1,IF(ISNUMBER($I60),$I60,0)))</f>
        <v/>
      </c>
      <c r="Z60" s="62">
        <f>IF($V60="","",IF(AND(ISNUMBER($G60),$G60&lt;=IF($S60=MesCiclo,InicioCiclo,$S60+MOD(2-WEEKDAY($S60),7))+13),1,IF(ISNUMBER($J60),$J60,$Y60)))</f>
        <v/>
      </c>
      <c r="AA60" s="62">
        <f>IF($V60="","",IF(AND(ISNUMBER($G60),$G60&lt;=IF($S60=MesCiclo,InicioCiclo,$S60+MOD(2-WEEKDAY($S60),7))+20),1,IF(ISNUMBER($K60),$K60,$Z60)))</f>
        <v/>
      </c>
      <c r="AB60" s="62">
        <f>IF($V60="","",IF(AND(ISNUMBER($G60),$G60&lt;=IF($S60=MesCiclo,InicioCiclo,$S60+MOD(2-WEEKDAY($S60),7))+27),1,IF(ISNUMBER($L60),$L60,$AA60)))</f>
        <v/>
      </c>
      <c r="AC60" s="62">
        <f>IF($V60="","",IF(AND(ISNUMBER($G60),$G60&lt;=IF($S60=MesCiclo,InicioCiclo,$S60+MOD(2-WEEKDAY($S60),7))+6),1,IF(N($W60)&gt;0,AVERAGEIFS($Y$5:$Y$1000,$U$5:$U$1000,ROW(),$V$5:$V$1000,"Sub"),$Y60)))</f>
        <v/>
      </c>
      <c r="AD60" s="62">
        <f>IF($V60="","",IF(AND(ISNUMBER($G60),$G60&lt;=IF($S60=MesCiclo,InicioCiclo,$S60+MOD(2-WEEKDAY($S60),7))+13),1,IF(N($W60)&gt;0,AVERAGEIFS($Z$5:$Z$1000,$U$5:$U$1000,ROW(),$V$5:$V$1000,"Sub"),$Z60)))</f>
        <v/>
      </c>
      <c r="AE60" s="62">
        <f>IF($V60="","",IF(AND(ISNUMBER($G60),$G60&lt;=IF($S60=MesCiclo,InicioCiclo,$S60+MOD(2-WEEKDAY($S60),7))+20),1,IF(N($W60)&gt;0,AVERAGEIFS($AA$5:$AA$1000,$U$5:$U$1000,ROW(),$V$5:$V$1000,"Sub"),$AA60)))</f>
        <v/>
      </c>
      <c r="AF60" s="62">
        <f>IF($V60="","",IF(AND(ISNUMBER($G60),$G60&lt;=IF($S60=MesCiclo,InicioCiclo,$S60+MOD(2-WEEKDAY($S60),7))+27),1,IF(N($W60)&gt;0,AVERAGEIFS($AB$5:$AB$1000,$U$5:$U$1000,ROW(),$V$5:$V$1000,"Sub"),$AB60)))</f>
        <v/>
      </c>
      <c r="AG60" s="62">
        <f>IF($V60&lt;&gt;"Macro","",IF(COUNTIFS($S$5:$S$1000,$S60,$V$5:$V$1000,"Macro",$H$5:$H$1000,"&gt;0")=0,1/COUNTIFS($S$5:$S$1000,$S60,$V$5:$V$1000,"Macro"),IF(AND(ISNUMBER($H60),N($H60)&gt;0),$H60,SUMIFS($H$5:$H$1000,$S$5:$S$1000,$S60,$V$5:$V$1000,"Macro")/COUNTIFS($S$5:$S$1000,$S60,$V$5:$V$1000,"Macro",$H$5:$H$1000,"&gt;0"))/(COUNTIFS($S$5:$S$1000,$S60,$V$5:$V$1000,"Macro")*SUMIFS($H$5:$H$1000,$S$5:$S$1000,$S60,$V$5:$V$1000,"Macro")/COUNTIFS($S$5:$S$1000,$S60,$V$5:$V$1000,"Macro",$H$5:$H$1000,"&gt;0"))))</f>
        <v/>
      </c>
      <c r="AH60" s="62" t="n"/>
      <c r="AI60" s="62" t="n"/>
      <c r="AJ60" s="62" t="n"/>
      <c r="AK60" s="62" t="n"/>
      <c r="AL60" s="62">
        <f>IF(LEFT($C60,11)="[Jefatura] ",IFERROR(MATCH("Riesgo Financiero|"&amp;MID($C60,12,500),rDname_ADM,0),0),"")</f>
        <v/>
      </c>
      <c r="AM60" s="62">
        <f>IF(N($AL60)&gt;0,INDEX(rIni_ADM,$AL60),IF(ISNUMBER($E60),$E60,""))</f>
        <v/>
      </c>
      <c r="AN60" s="62">
        <f>IF(N($AL60)&gt;0,INDEX(rLim_ADM,$AL60),IF(ISNUMBER($F60),$F60,""))</f>
        <v/>
      </c>
    </row>
    <row r="61">
      <c r="A61" s="56">
        <f>IF(NOT((COUNTA($B61:$D61)+COUNTA($G61:$L61)+COUNTA($Q61))&gt;0),"",IF($V61="Macro",COUNTIFS($V$5:$V61,"Macro",$S$5:$S61,$S61),IF(N($U61)=0,"?",COUNTIFS(INDEX($V$5:$V$1000,1):INDEX($V$5:$V$1000,$U61-4),"Macro",INDEX($S$5:$S$1000,1):INDEX($S$5:$S$1000,$U61-4),INDEX($S$5:$S$1000,$U61-4))&amp;"."&amp;COUNTIFS($U$5:$U61,$U61,$V$5:$V61,"Sub"))))</f>
        <v/>
      </c>
      <c r="B61" s="57" t="n"/>
      <c r="C61" s="58" t="n"/>
      <c r="D61" s="58" t="n"/>
      <c r="E61" s="59">
        <f>IF(N($AL61)&gt;0,INDEX(rIni_ADM,$AL61),"")</f>
        <v/>
      </c>
      <c r="F61" s="59">
        <f>IF(N($AL61)&gt;0,INDEX(rLim_ADM,$AL61),"")</f>
        <v/>
      </c>
      <c r="G61" s="59" t="n"/>
      <c r="H61" s="60" t="n"/>
      <c r="I61" s="60" t="n"/>
      <c r="J61" s="60" t="n"/>
      <c r="K61" s="60" t="n"/>
      <c r="L61" s="60" t="n"/>
      <c r="M61" s="61">
        <f>IF(NOT((COUNTA($B61:$D61)+COUNTA($G61:$L61)+COUNTA($Q61))&gt;0),"",IF(ISNUMBER($G61),1,IF(N($W61)&gt;0,AVERAGEIFS($X$5:$X$1000,$U$5:$U$1000,ROW(),$V$5:$V$1000,"Sub"),$X61)))</f>
        <v/>
      </c>
      <c r="N61" s="56">
        <f>IF($M61="","",IF($M61&gt;=1,"Completado",IF($M61&gt;0,"En curso","Pendiente")))</f>
        <v/>
      </c>
      <c r="O61" s="56">
        <f>IF(NOT((COUNTA($B61:$D61)+COUNTA($G61:$L61)+COUNTA($Q61))&gt;0),"",IF(ISNUMBER($G61),IF(AND(ISNUMBER($AN61),$G61&gt;$AN61),"Cumplida con "&amp;($G61-$AN61)&amp;IF($G61-$AN61=1," día"," días")&amp;" de retraso","Cumplida"),IF(N($M61)&gt;=1,"Cumplida",IF(NOT(ISNUMBER($AN61)),"Sin fecha límite",IF($AN61&lt;FechaRef,"Vencida hace "&amp;(FechaRef-$AN61)&amp;IF(FechaRef-$AN61=1," día"," días"),IF($AN61=FechaRef,"Vence hoy",IF($AN61-FechaRef&lt;=DiasAlerta,"Vence en "&amp;($AN61-FechaRef)&amp;IF($AN61-FechaRef=1," día"," días"),"En plazo")))))))</f>
        <v/>
      </c>
      <c r="P61" s="62" t="n"/>
      <c r="Q61" s="58" t="n"/>
      <c r="R61" s="63">
        <f>IF(NOT((COUNTA($B61:$D61)+COUNTA($G61:$L61)+COUNTA($Q61))&gt;0),"",IF((IF($C61="","Falta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",""))="","✔ OK","⚠ "&amp;LEFT(IF($C61="","Falta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",""),LEN(IF($C61="","Falta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",""))-3)))</f>
        <v/>
      </c>
      <c r="S61" s="64">
        <f>IF(NOT((COUNTA($B61:$D61)+COUNTA($G61:$L61)+COUNTA($Q61))&gt;0),"",IF(AND($V61="Sub",N($U61)&gt;0),IF(ISNUMBER(INDEX($AM$5:$AM$1000,$U61-4)),DATE(YEAR(INDEX($AM$5:$AM$1000,$U61-4)),MONTH(INDEX($AM$5:$AM$1000,$U61-4)),1),IF(ISNUMBER(INDEX($AN$5:$AN$1000,$U61-4)),DATE(YEAR(INDEX($AN$5:$AN$1000,$U61-4)),MONTH(INDEX($AN$5:$AN$1000,$U61-4)),1),MesCiclo)),IF(ISNUMBER($AM61),DATE(YEAR($AM61),MONTH($AM61),1),IF(ISNUMBER($AN61),DATE(YEAR($AN61),MONTH($AN61),1),MesCiclo))))</f>
        <v/>
      </c>
      <c r="T61" s="62">
        <f>IF(OR($S61="",$S61&lt;&gt;MesCiclo),"",COUNTIF($S$5:$S61,MesCiclo))</f>
        <v/>
      </c>
      <c r="U61" s="62">
        <f>IF($V61="","",IF($V61="Macro",ROW(),IFERROR(LOOKUP(2,1/($V$5:$V61="Macro"),ROW($V$5:$V61)),0)))</f>
        <v/>
      </c>
      <c r="V61" s="62">
        <f>IF(NOT((COUNTA($B61:$D61)+COUNTA($G61:$L61)+COUNTA($Q61))&gt;0),"",IF($B61="Subactividad","Sub","Macro"))</f>
        <v/>
      </c>
      <c r="W61" s="62">
        <f>IF($V61="Macro",COUNTIFS($U$5:$U$1000,ROW(),$V$5:$V$1000,"Sub"),"")</f>
        <v/>
      </c>
      <c r="X61" s="62">
        <f>IF($V61="","",IF(ISNUMBER($G61),1,IFERROR(LOOKUP(2,1/($I61:$L61&lt;&gt;""),$I61:$L61),0)))</f>
        <v/>
      </c>
      <c r="Y61" s="62">
        <f>IF($V61="","",IF(AND(ISNUMBER($G61),$G61&lt;=IF($S61=MesCiclo,InicioCiclo,$S61+MOD(2-WEEKDAY($S61),7))+6),1,IF(ISNUMBER($I61),$I61,0)))</f>
        <v/>
      </c>
      <c r="Z61" s="62">
        <f>IF($V61="","",IF(AND(ISNUMBER($G61),$G61&lt;=IF($S61=MesCiclo,InicioCiclo,$S61+MOD(2-WEEKDAY($S61),7))+13),1,IF(ISNUMBER($J61),$J61,$Y61)))</f>
        <v/>
      </c>
      <c r="AA61" s="62">
        <f>IF($V61="","",IF(AND(ISNUMBER($G61),$G61&lt;=IF($S61=MesCiclo,InicioCiclo,$S61+MOD(2-WEEKDAY($S61),7))+20),1,IF(ISNUMBER($K61),$K61,$Z61)))</f>
        <v/>
      </c>
      <c r="AB61" s="62">
        <f>IF($V61="","",IF(AND(ISNUMBER($G61),$G61&lt;=IF($S61=MesCiclo,InicioCiclo,$S61+MOD(2-WEEKDAY($S61),7))+27),1,IF(ISNUMBER($L61),$L61,$AA61)))</f>
        <v/>
      </c>
      <c r="AC61" s="62">
        <f>IF($V61="","",IF(AND(ISNUMBER($G61),$G61&lt;=IF($S61=MesCiclo,InicioCiclo,$S61+MOD(2-WEEKDAY($S61),7))+6),1,IF(N($W61)&gt;0,AVERAGEIFS($Y$5:$Y$1000,$U$5:$U$1000,ROW(),$V$5:$V$1000,"Sub"),$Y61)))</f>
        <v/>
      </c>
      <c r="AD61" s="62">
        <f>IF($V61="","",IF(AND(ISNUMBER($G61),$G61&lt;=IF($S61=MesCiclo,InicioCiclo,$S61+MOD(2-WEEKDAY($S61),7))+13),1,IF(N($W61)&gt;0,AVERAGEIFS($Z$5:$Z$1000,$U$5:$U$1000,ROW(),$V$5:$V$1000,"Sub"),$Z61)))</f>
        <v/>
      </c>
      <c r="AE61" s="62">
        <f>IF($V61="","",IF(AND(ISNUMBER($G61),$G61&lt;=IF($S61=MesCiclo,InicioCiclo,$S61+MOD(2-WEEKDAY($S61),7))+20),1,IF(N($W61)&gt;0,AVERAGEIFS($AA$5:$AA$1000,$U$5:$U$1000,ROW(),$V$5:$V$1000,"Sub"),$AA61)))</f>
        <v/>
      </c>
      <c r="AF61" s="62">
        <f>IF($V61="","",IF(AND(ISNUMBER($G61),$G61&lt;=IF($S61=MesCiclo,InicioCiclo,$S61+MOD(2-WEEKDAY($S61),7))+27),1,IF(N($W61)&gt;0,AVERAGEIFS($AB$5:$AB$1000,$U$5:$U$1000,ROW(),$V$5:$V$1000,"Sub"),$AB61)))</f>
        <v/>
      </c>
      <c r="AG61" s="62">
        <f>IF($V61&lt;&gt;"Macro","",IF(COUNTIFS($S$5:$S$1000,$S61,$V$5:$V$1000,"Macro",$H$5:$H$1000,"&gt;0")=0,1/COUNTIFS($S$5:$S$1000,$S61,$V$5:$V$1000,"Macro"),IF(AND(ISNUMBER($H61),N($H61)&gt;0),$H61,SUMIFS($H$5:$H$1000,$S$5:$S$1000,$S61,$V$5:$V$1000,"Macro")/COUNTIFS($S$5:$S$1000,$S61,$V$5:$V$1000,"Macro",$H$5:$H$1000,"&gt;0"))/(COUNTIFS($S$5:$S$1000,$S61,$V$5:$V$1000,"Macro")*SUMIFS($H$5:$H$1000,$S$5:$S$1000,$S61,$V$5:$V$1000,"Macro")/COUNTIFS($S$5:$S$1000,$S61,$V$5:$V$1000,"Macro",$H$5:$H$1000,"&gt;0"))))</f>
        <v/>
      </c>
      <c r="AH61" s="62" t="n"/>
      <c r="AI61" s="62" t="n"/>
      <c r="AJ61" s="62" t="n"/>
      <c r="AK61" s="62" t="n"/>
      <c r="AL61" s="62">
        <f>IF(LEFT($C61,11)="[Jefatura] ",IFERROR(MATCH("Riesgo Financiero|"&amp;MID($C61,12,500),rDname_ADM,0),0),"")</f>
        <v/>
      </c>
      <c r="AM61" s="62">
        <f>IF(N($AL61)&gt;0,INDEX(rIni_ADM,$AL61),IF(ISNUMBER($E61),$E61,""))</f>
        <v/>
      </c>
      <c r="AN61" s="62">
        <f>IF(N($AL61)&gt;0,INDEX(rLim_ADM,$AL61),IF(ISNUMBER($F61),$F61,""))</f>
        <v/>
      </c>
    </row>
    <row r="62">
      <c r="A62" s="56">
        <f>IF(NOT((COUNTA($B62:$D62)+COUNTA($G62:$L62)+COUNTA($Q62))&gt;0),"",IF($V62="Macro",COUNTIFS($V$5:$V62,"Macro",$S$5:$S62,$S62),IF(N($U62)=0,"?",COUNTIFS(INDEX($V$5:$V$1000,1):INDEX($V$5:$V$1000,$U62-4),"Macro",INDEX($S$5:$S$1000,1):INDEX($S$5:$S$1000,$U62-4),INDEX($S$5:$S$1000,$U62-4))&amp;"."&amp;COUNTIFS($U$5:$U62,$U62,$V$5:$V62,"Sub"))))</f>
        <v/>
      </c>
      <c r="B62" s="57" t="n"/>
      <c r="C62" s="58" t="n"/>
      <c r="D62" s="58" t="n"/>
      <c r="E62" s="59">
        <f>IF(N($AL62)&gt;0,INDEX(rIni_ADM,$AL62),"")</f>
        <v/>
      </c>
      <c r="F62" s="59">
        <f>IF(N($AL62)&gt;0,INDEX(rLim_ADM,$AL62),"")</f>
        <v/>
      </c>
      <c r="G62" s="59" t="n"/>
      <c r="H62" s="60" t="n"/>
      <c r="I62" s="60" t="n"/>
      <c r="J62" s="60" t="n"/>
      <c r="K62" s="60" t="n"/>
      <c r="L62" s="60" t="n"/>
      <c r="M62" s="61">
        <f>IF(NOT((COUNTA($B62:$D62)+COUNTA($G62:$L62)+COUNTA($Q62))&gt;0),"",IF(ISNUMBER($G62),1,IF(N($W62)&gt;0,AVERAGEIFS($X$5:$X$1000,$U$5:$U$1000,ROW(),$V$5:$V$1000,"Sub"),$X62)))</f>
        <v/>
      </c>
      <c r="N62" s="56">
        <f>IF($M62="","",IF($M62&gt;=1,"Completado",IF($M62&gt;0,"En curso","Pendiente")))</f>
        <v/>
      </c>
      <c r="O62" s="56">
        <f>IF(NOT((COUNTA($B62:$D62)+COUNTA($G62:$L62)+COUNTA($Q62))&gt;0),"",IF(ISNUMBER($G62),IF(AND(ISNUMBER($AN62),$G62&gt;$AN62),"Cumplida con "&amp;($G62-$AN62)&amp;IF($G62-$AN62=1," día"," días")&amp;" de retraso","Cumplida"),IF(N($M62)&gt;=1,"Cumplida",IF(NOT(ISNUMBER($AN62)),"Sin fecha límite",IF($AN62&lt;FechaRef,"Vencida hace "&amp;(FechaRef-$AN62)&amp;IF(FechaRef-$AN62=1," día"," días"),IF($AN62=FechaRef,"Vence hoy",IF($AN62-FechaRef&lt;=DiasAlerta,"Vence en "&amp;($AN62-FechaRef)&amp;IF($AN62-FechaRef=1," día"," días"),"En plazo")))))))</f>
        <v/>
      </c>
      <c r="P62" s="62" t="n"/>
      <c r="Q62" s="58" t="n"/>
      <c r="R62" s="63">
        <f>IF(NOT((COUNTA($B62:$D62)+COUNTA($G62:$L62)+COUNTA($Q62))&gt;0),"",IF((IF($C62="","Falta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",""))="","✔ OK","⚠ "&amp;LEFT(IF($C62="","Falta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",""),LEN(IF($C62="","Falta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",""))-3)))</f>
        <v/>
      </c>
      <c r="S62" s="64">
        <f>IF(NOT((COUNTA($B62:$D62)+COUNTA($G62:$L62)+COUNTA($Q62))&gt;0),"",IF(AND($V62="Sub",N($U62)&gt;0),IF(ISNUMBER(INDEX($AM$5:$AM$1000,$U62-4)),DATE(YEAR(INDEX($AM$5:$AM$1000,$U62-4)),MONTH(INDEX($AM$5:$AM$1000,$U62-4)),1),IF(ISNUMBER(INDEX($AN$5:$AN$1000,$U62-4)),DATE(YEAR(INDEX($AN$5:$AN$1000,$U62-4)),MONTH(INDEX($AN$5:$AN$1000,$U62-4)),1),MesCiclo)),IF(ISNUMBER($AM62),DATE(YEAR($AM62),MONTH($AM62),1),IF(ISNUMBER($AN62),DATE(YEAR($AN62),MONTH($AN62),1),MesCiclo))))</f>
        <v/>
      </c>
      <c r="T62" s="62">
        <f>IF(OR($S62="",$S62&lt;&gt;MesCiclo),"",COUNTIF($S$5:$S62,MesCiclo))</f>
        <v/>
      </c>
      <c r="U62" s="62">
        <f>IF($V62="","",IF($V62="Macro",ROW(),IFERROR(LOOKUP(2,1/($V$5:$V62="Macro"),ROW($V$5:$V62)),0)))</f>
        <v/>
      </c>
      <c r="V62" s="62">
        <f>IF(NOT((COUNTA($B62:$D62)+COUNTA($G62:$L62)+COUNTA($Q62))&gt;0),"",IF($B62="Subactividad","Sub","Macro"))</f>
        <v/>
      </c>
      <c r="W62" s="62">
        <f>IF($V62="Macro",COUNTIFS($U$5:$U$1000,ROW(),$V$5:$V$1000,"Sub"),"")</f>
        <v/>
      </c>
      <c r="X62" s="62">
        <f>IF($V62="","",IF(ISNUMBER($G62),1,IFERROR(LOOKUP(2,1/($I62:$L62&lt;&gt;""),$I62:$L62),0)))</f>
        <v/>
      </c>
      <c r="Y62" s="62">
        <f>IF($V62="","",IF(AND(ISNUMBER($G62),$G62&lt;=IF($S62=MesCiclo,InicioCiclo,$S62+MOD(2-WEEKDAY($S62),7))+6),1,IF(ISNUMBER($I62),$I62,0)))</f>
        <v/>
      </c>
      <c r="Z62" s="62">
        <f>IF($V62="","",IF(AND(ISNUMBER($G62),$G62&lt;=IF($S62=MesCiclo,InicioCiclo,$S62+MOD(2-WEEKDAY($S62),7))+13),1,IF(ISNUMBER($J62),$J62,$Y62)))</f>
        <v/>
      </c>
      <c r="AA62" s="62">
        <f>IF($V62="","",IF(AND(ISNUMBER($G62),$G62&lt;=IF($S62=MesCiclo,InicioCiclo,$S62+MOD(2-WEEKDAY($S62),7))+20),1,IF(ISNUMBER($K62),$K62,$Z62)))</f>
        <v/>
      </c>
      <c r="AB62" s="62">
        <f>IF($V62="","",IF(AND(ISNUMBER($G62),$G62&lt;=IF($S62=MesCiclo,InicioCiclo,$S62+MOD(2-WEEKDAY($S62),7))+27),1,IF(ISNUMBER($L62),$L62,$AA62)))</f>
        <v/>
      </c>
      <c r="AC62" s="62">
        <f>IF($V62="","",IF(AND(ISNUMBER($G62),$G62&lt;=IF($S62=MesCiclo,InicioCiclo,$S62+MOD(2-WEEKDAY($S62),7))+6),1,IF(N($W62)&gt;0,AVERAGEIFS($Y$5:$Y$1000,$U$5:$U$1000,ROW(),$V$5:$V$1000,"Sub"),$Y62)))</f>
        <v/>
      </c>
      <c r="AD62" s="62">
        <f>IF($V62="","",IF(AND(ISNUMBER($G62),$G62&lt;=IF($S62=MesCiclo,InicioCiclo,$S62+MOD(2-WEEKDAY($S62),7))+13),1,IF(N($W62)&gt;0,AVERAGEIFS($Z$5:$Z$1000,$U$5:$U$1000,ROW(),$V$5:$V$1000,"Sub"),$Z62)))</f>
        <v/>
      </c>
      <c r="AE62" s="62">
        <f>IF($V62="","",IF(AND(ISNUMBER($G62),$G62&lt;=IF($S62=MesCiclo,InicioCiclo,$S62+MOD(2-WEEKDAY($S62),7))+20),1,IF(N($W62)&gt;0,AVERAGEIFS($AA$5:$AA$1000,$U$5:$U$1000,ROW(),$V$5:$V$1000,"Sub"),$AA62)))</f>
        <v/>
      </c>
      <c r="AF62" s="62">
        <f>IF($V62="","",IF(AND(ISNUMBER($G62),$G62&lt;=IF($S62=MesCiclo,InicioCiclo,$S62+MOD(2-WEEKDAY($S62),7))+27),1,IF(N($W62)&gt;0,AVERAGEIFS($AB$5:$AB$1000,$U$5:$U$1000,ROW(),$V$5:$V$1000,"Sub"),$AB62)))</f>
        <v/>
      </c>
      <c r="AG62" s="62">
        <f>IF($V62&lt;&gt;"Macro","",IF(COUNTIFS($S$5:$S$1000,$S62,$V$5:$V$1000,"Macro",$H$5:$H$1000,"&gt;0")=0,1/COUNTIFS($S$5:$S$1000,$S62,$V$5:$V$1000,"Macro"),IF(AND(ISNUMBER($H62),N($H62)&gt;0),$H62,SUMIFS($H$5:$H$1000,$S$5:$S$1000,$S62,$V$5:$V$1000,"Macro")/COUNTIFS($S$5:$S$1000,$S62,$V$5:$V$1000,"Macro",$H$5:$H$1000,"&gt;0"))/(COUNTIFS($S$5:$S$1000,$S62,$V$5:$V$1000,"Macro")*SUMIFS($H$5:$H$1000,$S$5:$S$1000,$S62,$V$5:$V$1000,"Macro")/COUNTIFS($S$5:$S$1000,$S62,$V$5:$V$1000,"Macro",$H$5:$H$1000,"&gt;0"))))</f>
        <v/>
      </c>
      <c r="AH62" s="62" t="n"/>
      <c r="AI62" s="62" t="n"/>
      <c r="AJ62" s="62" t="n"/>
      <c r="AK62" s="62" t="n"/>
      <c r="AL62" s="62">
        <f>IF(LEFT($C62,11)="[Jefatura] ",IFERROR(MATCH("Riesgo Financiero|"&amp;MID($C62,12,500),rDname_ADM,0),0),"")</f>
        <v/>
      </c>
      <c r="AM62" s="62">
        <f>IF(N($AL62)&gt;0,INDEX(rIni_ADM,$AL62),IF(ISNUMBER($E62),$E62,""))</f>
        <v/>
      </c>
      <c r="AN62" s="62">
        <f>IF(N($AL62)&gt;0,INDEX(rLim_ADM,$AL62),IF(ISNUMBER($F62),$F62,""))</f>
        <v/>
      </c>
    </row>
    <row r="63">
      <c r="A63" s="56">
        <f>IF(NOT((COUNTA($B63:$D63)+COUNTA($G63:$L63)+COUNTA($Q63))&gt;0),"",IF($V63="Macro",COUNTIFS($V$5:$V63,"Macro",$S$5:$S63,$S63),IF(N($U63)=0,"?",COUNTIFS(INDEX($V$5:$V$1000,1):INDEX($V$5:$V$1000,$U63-4),"Macro",INDEX($S$5:$S$1000,1):INDEX($S$5:$S$1000,$U63-4),INDEX($S$5:$S$1000,$U63-4))&amp;"."&amp;COUNTIFS($U$5:$U63,$U63,$V$5:$V63,"Sub"))))</f>
        <v/>
      </c>
      <c r="B63" s="57" t="n"/>
      <c r="C63" s="58" t="n"/>
      <c r="D63" s="58" t="n"/>
      <c r="E63" s="59">
        <f>IF(N($AL63)&gt;0,INDEX(rIni_ADM,$AL63),"")</f>
        <v/>
      </c>
      <c r="F63" s="59">
        <f>IF(N($AL63)&gt;0,INDEX(rLim_ADM,$AL63),"")</f>
        <v/>
      </c>
      <c r="G63" s="59" t="n"/>
      <c r="H63" s="60" t="n"/>
      <c r="I63" s="60" t="n"/>
      <c r="J63" s="60" t="n"/>
      <c r="K63" s="60" t="n"/>
      <c r="L63" s="60" t="n"/>
      <c r="M63" s="61">
        <f>IF(NOT((COUNTA($B63:$D63)+COUNTA($G63:$L63)+COUNTA($Q63))&gt;0),"",IF(ISNUMBER($G63),1,IF(N($W63)&gt;0,AVERAGEIFS($X$5:$X$1000,$U$5:$U$1000,ROW(),$V$5:$V$1000,"Sub"),$X63)))</f>
        <v/>
      </c>
      <c r="N63" s="56">
        <f>IF($M63="","",IF($M63&gt;=1,"Completado",IF($M63&gt;0,"En curso","Pendiente")))</f>
        <v/>
      </c>
      <c r="O63" s="56">
        <f>IF(NOT((COUNTA($B63:$D63)+COUNTA($G63:$L63)+COUNTA($Q63))&gt;0),"",IF(ISNUMBER($G63),IF(AND(ISNUMBER($AN63),$G63&gt;$AN63),"Cumplida con "&amp;($G63-$AN63)&amp;IF($G63-$AN63=1," día"," días")&amp;" de retraso","Cumplida"),IF(N($M63)&gt;=1,"Cumplida",IF(NOT(ISNUMBER($AN63)),"Sin fecha límite",IF($AN63&lt;FechaRef,"Vencida hace "&amp;(FechaRef-$AN63)&amp;IF(FechaRef-$AN63=1," día"," días"),IF($AN63=FechaRef,"Vence hoy",IF($AN63-FechaRef&lt;=DiasAlerta,"Vence en "&amp;($AN63-FechaRef)&amp;IF($AN63-FechaRef=1," día"," días"),"En plazo")))))))</f>
        <v/>
      </c>
      <c r="P63" s="62" t="n"/>
      <c r="Q63" s="58" t="n"/>
      <c r="R63" s="63">
        <f>IF(NOT((COUNTA($B63:$D63)+COUNTA($G63:$L63)+COUNTA($Q63))&gt;0),"",IF((IF($C63="","Falta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",""))="","✔ OK","⚠ "&amp;LEFT(IF($C63="","Falta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",""),LEN(IF($C63="","Falta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",""))-3)))</f>
        <v/>
      </c>
      <c r="S63" s="64">
        <f>IF(NOT((COUNTA($B63:$D63)+COUNTA($G63:$L63)+COUNTA($Q63))&gt;0),"",IF(AND($V63="Sub",N($U63)&gt;0),IF(ISNUMBER(INDEX($AM$5:$AM$1000,$U63-4)),DATE(YEAR(INDEX($AM$5:$AM$1000,$U63-4)),MONTH(INDEX($AM$5:$AM$1000,$U63-4)),1),IF(ISNUMBER(INDEX($AN$5:$AN$1000,$U63-4)),DATE(YEAR(INDEX($AN$5:$AN$1000,$U63-4)),MONTH(INDEX($AN$5:$AN$1000,$U63-4)),1),MesCiclo)),IF(ISNUMBER($AM63),DATE(YEAR($AM63),MONTH($AM63),1),IF(ISNUMBER($AN63),DATE(YEAR($AN63),MONTH($AN63),1),MesCiclo))))</f>
        <v/>
      </c>
      <c r="T63" s="62">
        <f>IF(OR($S63="",$S63&lt;&gt;MesCiclo),"",COUNTIF($S$5:$S63,MesCiclo))</f>
        <v/>
      </c>
      <c r="U63" s="62">
        <f>IF($V63="","",IF($V63="Macro",ROW(),IFERROR(LOOKUP(2,1/($V$5:$V63="Macro"),ROW($V$5:$V63)),0)))</f>
        <v/>
      </c>
      <c r="V63" s="62">
        <f>IF(NOT((COUNTA($B63:$D63)+COUNTA($G63:$L63)+COUNTA($Q63))&gt;0),"",IF($B63="Subactividad","Sub","Macro"))</f>
        <v/>
      </c>
      <c r="W63" s="62">
        <f>IF($V63="Macro",COUNTIFS($U$5:$U$1000,ROW(),$V$5:$V$1000,"Sub"),"")</f>
        <v/>
      </c>
      <c r="X63" s="62">
        <f>IF($V63="","",IF(ISNUMBER($G63),1,IFERROR(LOOKUP(2,1/($I63:$L63&lt;&gt;""),$I63:$L63),0)))</f>
        <v/>
      </c>
      <c r="Y63" s="62">
        <f>IF($V63="","",IF(AND(ISNUMBER($G63),$G63&lt;=IF($S63=MesCiclo,InicioCiclo,$S63+MOD(2-WEEKDAY($S63),7))+6),1,IF(ISNUMBER($I63),$I63,0)))</f>
        <v/>
      </c>
      <c r="Z63" s="62">
        <f>IF($V63="","",IF(AND(ISNUMBER($G63),$G63&lt;=IF($S63=MesCiclo,InicioCiclo,$S63+MOD(2-WEEKDAY($S63),7))+13),1,IF(ISNUMBER($J63),$J63,$Y63)))</f>
        <v/>
      </c>
      <c r="AA63" s="62">
        <f>IF($V63="","",IF(AND(ISNUMBER($G63),$G63&lt;=IF($S63=MesCiclo,InicioCiclo,$S63+MOD(2-WEEKDAY($S63),7))+20),1,IF(ISNUMBER($K63),$K63,$Z63)))</f>
        <v/>
      </c>
      <c r="AB63" s="62">
        <f>IF($V63="","",IF(AND(ISNUMBER($G63),$G63&lt;=IF($S63=MesCiclo,InicioCiclo,$S63+MOD(2-WEEKDAY($S63),7))+27),1,IF(ISNUMBER($L63),$L63,$AA63)))</f>
        <v/>
      </c>
      <c r="AC63" s="62">
        <f>IF($V63="","",IF(AND(ISNUMBER($G63),$G63&lt;=IF($S63=MesCiclo,InicioCiclo,$S63+MOD(2-WEEKDAY($S63),7))+6),1,IF(N($W63)&gt;0,AVERAGEIFS($Y$5:$Y$1000,$U$5:$U$1000,ROW(),$V$5:$V$1000,"Sub"),$Y63)))</f>
        <v/>
      </c>
      <c r="AD63" s="62">
        <f>IF($V63="","",IF(AND(ISNUMBER($G63),$G63&lt;=IF($S63=MesCiclo,InicioCiclo,$S63+MOD(2-WEEKDAY($S63),7))+13),1,IF(N($W63)&gt;0,AVERAGEIFS($Z$5:$Z$1000,$U$5:$U$1000,ROW(),$V$5:$V$1000,"Sub"),$Z63)))</f>
        <v/>
      </c>
      <c r="AE63" s="62">
        <f>IF($V63="","",IF(AND(ISNUMBER($G63),$G63&lt;=IF($S63=MesCiclo,InicioCiclo,$S63+MOD(2-WEEKDAY($S63),7))+20),1,IF(N($W63)&gt;0,AVERAGEIFS($AA$5:$AA$1000,$U$5:$U$1000,ROW(),$V$5:$V$1000,"Sub"),$AA63)))</f>
        <v/>
      </c>
      <c r="AF63" s="62">
        <f>IF($V63="","",IF(AND(ISNUMBER($G63),$G63&lt;=IF($S63=MesCiclo,InicioCiclo,$S63+MOD(2-WEEKDAY($S63),7))+27),1,IF(N($W63)&gt;0,AVERAGEIFS($AB$5:$AB$1000,$U$5:$U$1000,ROW(),$V$5:$V$1000,"Sub"),$AB63)))</f>
        <v/>
      </c>
      <c r="AG63" s="62">
        <f>IF($V63&lt;&gt;"Macro","",IF(COUNTIFS($S$5:$S$1000,$S63,$V$5:$V$1000,"Macro",$H$5:$H$1000,"&gt;0")=0,1/COUNTIFS($S$5:$S$1000,$S63,$V$5:$V$1000,"Macro"),IF(AND(ISNUMBER($H63),N($H63)&gt;0),$H63,SUMIFS($H$5:$H$1000,$S$5:$S$1000,$S63,$V$5:$V$1000,"Macro")/COUNTIFS($S$5:$S$1000,$S63,$V$5:$V$1000,"Macro",$H$5:$H$1000,"&gt;0"))/(COUNTIFS($S$5:$S$1000,$S63,$V$5:$V$1000,"Macro")*SUMIFS($H$5:$H$1000,$S$5:$S$1000,$S63,$V$5:$V$1000,"Macro")/COUNTIFS($S$5:$S$1000,$S63,$V$5:$V$1000,"Macro",$H$5:$H$1000,"&gt;0"))))</f>
        <v/>
      </c>
      <c r="AH63" s="62" t="n"/>
      <c r="AI63" s="62" t="n"/>
      <c r="AJ63" s="62" t="n"/>
      <c r="AK63" s="62" t="n"/>
      <c r="AL63" s="62">
        <f>IF(LEFT($C63,11)="[Jefatura] ",IFERROR(MATCH("Riesgo Financiero|"&amp;MID($C63,12,500),rDname_ADM,0),0),"")</f>
        <v/>
      </c>
      <c r="AM63" s="62">
        <f>IF(N($AL63)&gt;0,INDEX(rIni_ADM,$AL63),IF(ISNUMBER($E63),$E63,""))</f>
        <v/>
      </c>
      <c r="AN63" s="62">
        <f>IF(N($AL63)&gt;0,INDEX(rLim_ADM,$AL63),IF(ISNUMBER($F63),$F63,""))</f>
        <v/>
      </c>
    </row>
    <row r="64">
      <c r="A64" s="56">
        <f>IF(NOT((COUNTA($B64:$D64)+COUNTA($G64:$L64)+COUNTA($Q64))&gt;0),"",IF($V64="Macro",COUNTIFS($V$5:$V64,"Macro",$S$5:$S64,$S64),IF(N($U64)=0,"?",COUNTIFS(INDEX($V$5:$V$1000,1):INDEX($V$5:$V$1000,$U64-4),"Macro",INDEX($S$5:$S$1000,1):INDEX($S$5:$S$1000,$U64-4),INDEX($S$5:$S$1000,$U64-4))&amp;"."&amp;COUNTIFS($U$5:$U64,$U64,$V$5:$V64,"Sub"))))</f>
        <v/>
      </c>
      <c r="B64" s="57" t="n"/>
      <c r="C64" s="58" t="n"/>
      <c r="D64" s="58" t="n"/>
      <c r="E64" s="59">
        <f>IF(N($AL64)&gt;0,INDEX(rIni_ADM,$AL64),"")</f>
        <v/>
      </c>
      <c r="F64" s="59">
        <f>IF(N($AL64)&gt;0,INDEX(rLim_ADM,$AL64),"")</f>
        <v/>
      </c>
      <c r="G64" s="59" t="n"/>
      <c r="H64" s="60" t="n"/>
      <c r="I64" s="60" t="n"/>
      <c r="J64" s="60" t="n"/>
      <c r="K64" s="60" t="n"/>
      <c r="L64" s="60" t="n"/>
      <c r="M64" s="61">
        <f>IF(NOT((COUNTA($B64:$D64)+COUNTA($G64:$L64)+COUNTA($Q64))&gt;0),"",IF(ISNUMBER($G64),1,IF(N($W64)&gt;0,AVERAGEIFS($X$5:$X$1000,$U$5:$U$1000,ROW(),$V$5:$V$1000,"Sub"),$X64)))</f>
        <v/>
      </c>
      <c r="N64" s="56">
        <f>IF($M64="","",IF($M64&gt;=1,"Completado",IF($M64&gt;0,"En curso","Pendiente")))</f>
        <v/>
      </c>
      <c r="O64" s="56">
        <f>IF(NOT((COUNTA($B64:$D64)+COUNTA($G64:$L64)+COUNTA($Q64))&gt;0),"",IF(ISNUMBER($G64),IF(AND(ISNUMBER($AN64),$G64&gt;$AN64),"Cumplida con "&amp;($G64-$AN64)&amp;IF($G64-$AN64=1," día"," días")&amp;" de retraso","Cumplida"),IF(N($M64)&gt;=1,"Cumplida",IF(NOT(ISNUMBER($AN64)),"Sin fecha límite",IF($AN64&lt;FechaRef,"Vencida hace "&amp;(FechaRef-$AN64)&amp;IF(FechaRef-$AN64=1," día"," días"),IF($AN64=FechaRef,"Vence hoy",IF($AN64-FechaRef&lt;=DiasAlerta,"Vence en "&amp;($AN64-FechaRef)&amp;IF($AN64-FechaRef=1," día"," días"),"En plazo")))))))</f>
        <v/>
      </c>
      <c r="P64" s="62" t="n"/>
      <c r="Q64" s="58" t="n"/>
      <c r="R64" s="63">
        <f>IF(NOT((COUNTA($B64:$D64)+COUNTA($G64:$L64)+COUNTA($Q64))&gt;0),"",IF((IF($C64="","Falta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",""))="","✔ OK","⚠ "&amp;LEFT(IF($C64="","Falta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",""),LEN(IF($C64="","Falta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",""))-3)))</f>
        <v/>
      </c>
      <c r="S64" s="64">
        <f>IF(NOT((COUNTA($B64:$D64)+COUNTA($G64:$L64)+COUNTA($Q64))&gt;0),"",IF(AND($V64="Sub",N($U64)&gt;0),IF(ISNUMBER(INDEX($AM$5:$AM$1000,$U64-4)),DATE(YEAR(INDEX($AM$5:$AM$1000,$U64-4)),MONTH(INDEX($AM$5:$AM$1000,$U64-4)),1),IF(ISNUMBER(INDEX($AN$5:$AN$1000,$U64-4)),DATE(YEAR(INDEX($AN$5:$AN$1000,$U64-4)),MONTH(INDEX($AN$5:$AN$1000,$U64-4)),1),MesCiclo)),IF(ISNUMBER($AM64),DATE(YEAR($AM64),MONTH($AM64),1),IF(ISNUMBER($AN64),DATE(YEAR($AN64),MONTH($AN64),1),MesCiclo))))</f>
        <v/>
      </c>
      <c r="T64" s="62">
        <f>IF(OR($S64="",$S64&lt;&gt;MesCiclo),"",COUNTIF($S$5:$S64,MesCiclo))</f>
        <v/>
      </c>
      <c r="U64" s="62">
        <f>IF($V64="","",IF($V64="Macro",ROW(),IFERROR(LOOKUP(2,1/($V$5:$V64="Macro"),ROW($V$5:$V64)),0)))</f>
        <v/>
      </c>
      <c r="V64" s="62">
        <f>IF(NOT((COUNTA($B64:$D64)+COUNTA($G64:$L64)+COUNTA($Q64))&gt;0),"",IF($B64="Subactividad","Sub","Macro"))</f>
        <v/>
      </c>
      <c r="W64" s="62">
        <f>IF($V64="Macro",COUNTIFS($U$5:$U$1000,ROW(),$V$5:$V$1000,"Sub"),"")</f>
        <v/>
      </c>
      <c r="X64" s="62">
        <f>IF($V64="","",IF(ISNUMBER($G64),1,IFERROR(LOOKUP(2,1/($I64:$L64&lt;&gt;""),$I64:$L64),0)))</f>
        <v/>
      </c>
      <c r="Y64" s="62">
        <f>IF($V64="","",IF(AND(ISNUMBER($G64),$G64&lt;=IF($S64=MesCiclo,InicioCiclo,$S64+MOD(2-WEEKDAY($S64),7))+6),1,IF(ISNUMBER($I64),$I64,0)))</f>
        <v/>
      </c>
      <c r="Z64" s="62">
        <f>IF($V64="","",IF(AND(ISNUMBER($G64),$G64&lt;=IF($S64=MesCiclo,InicioCiclo,$S64+MOD(2-WEEKDAY($S64),7))+13),1,IF(ISNUMBER($J64),$J64,$Y64)))</f>
        <v/>
      </c>
      <c r="AA64" s="62">
        <f>IF($V64="","",IF(AND(ISNUMBER($G64),$G64&lt;=IF($S64=MesCiclo,InicioCiclo,$S64+MOD(2-WEEKDAY($S64),7))+20),1,IF(ISNUMBER($K64),$K64,$Z64)))</f>
        <v/>
      </c>
      <c r="AB64" s="62">
        <f>IF($V64="","",IF(AND(ISNUMBER($G64),$G64&lt;=IF($S64=MesCiclo,InicioCiclo,$S64+MOD(2-WEEKDAY($S64),7))+27),1,IF(ISNUMBER($L64),$L64,$AA64)))</f>
        <v/>
      </c>
      <c r="AC64" s="62">
        <f>IF($V64="","",IF(AND(ISNUMBER($G64),$G64&lt;=IF($S64=MesCiclo,InicioCiclo,$S64+MOD(2-WEEKDAY($S64),7))+6),1,IF(N($W64)&gt;0,AVERAGEIFS($Y$5:$Y$1000,$U$5:$U$1000,ROW(),$V$5:$V$1000,"Sub"),$Y64)))</f>
        <v/>
      </c>
      <c r="AD64" s="62">
        <f>IF($V64="","",IF(AND(ISNUMBER($G64),$G64&lt;=IF($S64=MesCiclo,InicioCiclo,$S64+MOD(2-WEEKDAY($S64),7))+13),1,IF(N($W64)&gt;0,AVERAGEIFS($Z$5:$Z$1000,$U$5:$U$1000,ROW(),$V$5:$V$1000,"Sub"),$Z64)))</f>
        <v/>
      </c>
      <c r="AE64" s="62">
        <f>IF($V64="","",IF(AND(ISNUMBER($G64),$G64&lt;=IF($S64=MesCiclo,InicioCiclo,$S64+MOD(2-WEEKDAY($S64),7))+20),1,IF(N($W64)&gt;0,AVERAGEIFS($AA$5:$AA$1000,$U$5:$U$1000,ROW(),$V$5:$V$1000,"Sub"),$AA64)))</f>
        <v/>
      </c>
      <c r="AF64" s="62">
        <f>IF($V64="","",IF(AND(ISNUMBER($G64),$G64&lt;=IF($S64=MesCiclo,InicioCiclo,$S64+MOD(2-WEEKDAY($S64),7))+27),1,IF(N($W64)&gt;0,AVERAGEIFS($AB$5:$AB$1000,$U$5:$U$1000,ROW(),$V$5:$V$1000,"Sub"),$AB64)))</f>
        <v/>
      </c>
      <c r="AG64" s="62">
        <f>IF($V64&lt;&gt;"Macro","",IF(COUNTIFS($S$5:$S$1000,$S64,$V$5:$V$1000,"Macro",$H$5:$H$1000,"&gt;0")=0,1/COUNTIFS($S$5:$S$1000,$S64,$V$5:$V$1000,"Macro"),IF(AND(ISNUMBER($H64),N($H64)&gt;0),$H64,SUMIFS($H$5:$H$1000,$S$5:$S$1000,$S64,$V$5:$V$1000,"Macro")/COUNTIFS($S$5:$S$1000,$S64,$V$5:$V$1000,"Macro",$H$5:$H$1000,"&gt;0"))/(COUNTIFS($S$5:$S$1000,$S64,$V$5:$V$1000,"Macro")*SUMIFS($H$5:$H$1000,$S$5:$S$1000,$S64,$V$5:$V$1000,"Macro")/COUNTIFS($S$5:$S$1000,$S64,$V$5:$V$1000,"Macro",$H$5:$H$1000,"&gt;0"))))</f>
        <v/>
      </c>
      <c r="AH64" s="62" t="n"/>
      <c r="AI64" s="62" t="n"/>
      <c r="AJ64" s="62" t="n"/>
      <c r="AK64" s="62" t="n"/>
      <c r="AL64" s="62">
        <f>IF(LEFT($C64,11)="[Jefatura] ",IFERROR(MATCH("Riesgo Financiero|"&amp;MID($C64,12,500),rDname_ADM,0),0),"")</f>
        <v/>
      </c>
      <c r="AM64" s="62">
        <f>IF(N($AL64)&gt;0,INDEX(rIni_ADM,$AL64),IF(ISNUMBER($E64),$E64,""))</f>
        <v/>
      </c>
      <c r="AN64" s="62">
        <f>IF(N($AL64)&gt;0,INDEX(rLim_ADM,$AL64),IF(ISNUMBER($F64),$F64,""))</f>
        <v/>
      </c>
    </row>
    <row r="65">
      <c r="A65" s="56">
        <f>IF(NOT((COUNTA($B65:$D65)+COUNTA($G65:$L65)+COUNTA($Q65))&gt;0),"",IF($V65="Macro",COUNTIFS($V$5:$V65,"Macro",$S$5:$S65,$S65),IF(N($U65)=0,"?",COUNTIFS(INDEX($V$5:$V$1000,1):INDEX($V$5:$V$1000,$U65-4),"Macro",INDEX($S$5:$S$1000,1):INDEX($S$5:$S$1000,$U65-4),INDEX($S$5:$S$1000,$U65-4))&amp;"."&amp;COUNTIFS($U$5:$U65,$U65,$V$5:$V65,"Sub"))))</f>
        <v/>
      </c>
      <c r="B65" s="57" t="n"/>
      <c r="C65" s="58" t="n"/>
      <c r="D65" s="58" t="n"/>
      <c r="E65" s="59">
        <f>IF(N($AL65)&gt;0,INDEX(rIni_ADM,$AL65),"")</f>
        <v/>
      </c>
      <c r="F65" s="59">
        <f>IF(N($AL65)&gt;0,INDEX(rLim_ADM,$AL65),"")</f>
        <v/>
      </c>
      <c r="G65" s="59" t="n"/>
      <c r="H65" s="60" t="n"/>
      <c r="I65" s="60" t="n"/>
      <c r="J65" s="60" t="n"/>
      <c r="K65" s="60" t="n"/>
      <c r="L65" s="60" t="n"/>
      <c r="M65" s="61">
        <f>IF(NOT((COUNTA($B65:$D65)+COUNTA($G65:$L65)+COUNTA($Q65))&gt;0),"",IF(ISNUMBER($G65),1,IF(N($W65)&gt;0,AVERAGEIFS($X$5:$X$1000,$U$5:$U$1000,ROW(),$V$5:$V$1000,"Sub"),$X65)))</f>
        <v/>
      </c>
      <c r="N65" s="56">
        <f>IF($M65="","",IF($M65&gt;=1,"Completado",IF($M65&gt;0,"En curso","Pendiente")))</f>
        <v/>
      </c>
      <c r="O65" s="56">
        <f>IF(NOT((COUNTA($B65:$D65)+COUNTA($G65:$L65)+COUNTA($Q65))&gt;0),"",IF(ISNUMBER($G65),IF(AND(ISNUMBER($AN65),$G65&gt;$AN65),"Cumplida con "&amp;($G65-$AN65)&amp;IF($G65-$AN65=1," día"," días")&amp;" de retraso","Cumplida"),IF(N($M65)&gt;=1,"Cumplida",IF(NOT(ISNUMBER($AN65)),"Sin fecha límite",IF($AN65&lt;FechaRef,"Vencida hace "&amp;(FechaRef-$AN65)&amp;IF(FechaRef-$AN65=1," día"," días"),IF($AN65=FechaRef,"Vence hoy",IF($AN65-FechaRef&lt;=DiasAlerta,"Vence en "&amp;($AN65-FechaRef)&amp;IF($AN65-FechaRef=1," día"," días"),"En plazo")))))))</f>
        <v/>
      </c>
      <c r="P65" s="62" t="n"/>
      <c r="Q65" s="58" t="n"/>
      <c r="R65" s="63">
        <f>IF(NOT((COUNTA($B65:$D65)+COUNTA($G65:$L65)+COUNTA($Q65))&gt;0),"",IF((IF($C65="","Falta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",""))="","✔ OK","⚠ "&amp;LEFT(IF($C65="","Falta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",""),LEN(IF($C65="","Falta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",""))-3)))</f>
        <v/>
      </c>
      <c r="S65" s="64">
        <f>IF(NOT((COUNTA($B65:$D65)+COUNTA($G65:$L65)+COUNTA($Q65))&gt;0),"",IF(AND($V65="Sub",N($U65)&gt;0),IF(ISNUMBER(INDEX($AM$5:$AM$1000,$U65-4)),DATE(YEAR(INDEX($AM$5:$AM$1000,$U65-4)),MONTH(INDEX($AM$5:$AM$1000,$U65-4)),1),IF(ISNUMBER(INDEX($AN$5:$AN$1000,$U65-4)),DATE(YEAR(INDEX($AN$5:$AN$1000,$U65-4)),MONTH(INDEX($AN$5:$AN$1000,$U65-4)),1),MesCiclo)),IF(ISNUMBER($AM65),DATE(YEAR($AM65),MONTH($AM65),1),IF(ISNUMBER($AN65),DATE(YEAR($AN65),MONTH($AN65),1),MesCiclo))))</f>
        <v/>
      </c>
      <c r="T65" s="62">
        <f>IF(OR($S65="",$S65&lt;&gt;MesCiclo),"",COUNTIF($S$5:$S65,MesCiclo))</f>
        <v/>
      </c>
      <c r="U65" s="62">
        <f>IF($V65="","",IF($V65="Macro",ROW(),IFERROR(LOOKUP(2,1/($V$5:$V65="Macro"),ROW($V$5:$V65)),0)))</f>
        <v/>
      </c>
      <c r="V65" s="62">
        <f>IF(NOT((COUNTA($B65:$D65)+COUNTA($G65:$L65)+COUNTA($Q65))&gt;0),"",IF($B65="Subactividad","Sub","Macro"))</f>
        <v/>
      </c>
      <c r="W65" s="62">
        <f>IF($V65="Macro",COUNTIFS($U$5:$U$1000,ROW(),$V$5:$V$1000,"Sub"),"")</f>
        <v/>
      </c>
      <c r="X65" s="62">
        <f>IF($V65="","",IF(ISNUMBER($G65),1,IFERROR(LOOKUP(2,1/($I65:$L65&lt;&gt;""),$I65:$L65),0)))</f>
        <v/>
      </c>
      <c r="Y65" s="62">
        <f>IF($V65="","",IF(AND(ISNUMBER($G65),$G65&lt;=IF($S65=MesCiclo,InicioCiclo,$S65+MOD(2-WEEKDAY($S65),7))+6),1,IF(ISNUMBER($I65),$I65,0)))</f>
        <v/>
      </c>
      <c r="Z65" s="62">
        <f>IF($V65="","",IF(AND(ISNUMBER($G65),$G65&lt;=IF($S65=MesCiclo,InicioCiclo,$S65+MOD(2-WEEKDAY($S65),7))+13),1,IF(ISNUMBER($J65),$J65,$Y65)))</f>
        <v/>
      </c>
      <c r="AA65" s="62">
        <f>IF($V65="","",IF(AND(ISNUMBER($G65),$G65&lt;=IF($S65=MesCiclo,InicioCiclo,$S65+MOD(2-WEEKDAY($S65),7))+20),1,IF(ISNUMBER($K65),$K65,$Z65)))</f>
        <v/>
      </c>
      <c r="AB65" s="62">
        <f>IF($V65="","",IF(AND(ISNUMBER($G65),$G65&lt;=IF($S65=MesCiclo,InicioCiclo,$S65+MOD(2-WEEKDAY($S65),7))+27),1,IF(ISNUMBER($L65),$L65,$AA65)))</f>
        <v/>
      </c>
      <c r="AC65" s="62">
        <f>IF($V65="","",IF(AND(ISNUMBER($G65),$G65&lt;=IF($S65=MesCiclo,InicioCiclo,$S65+MOD(2-WEEKDAY($S65),7))+6),1,IF(N($W65)&gt;0,AVERAGEIFS($Y$5:$Y$1000,$U$5:$U$1000,ROW(),$V$5:$V$1000,"Sub"),$Y65)))</f>
        <v/>
      </c>
      <c r="AD65" s="62">
        <f>IF($V65="","",IF(AND(ISNUMBER($G65),$G65&lt;=IF($S65=MesCiclo,InicioCiclo,$S65+MOD(2-WEEKDAY($S65),7))+13),1,IF(N($W65)&gt;0,AVERAGEIFS($Z$5:$Z$1000,$U$5:$U$1000,ROW(),$V$5:$V$1000,"Sub"),$Z65)))</f>
        <v/>
      </c>
      <c r="AE65" s="62">
        <f>IF($V65="","",IF(AND(ISNUMBER($G65),$G65&lt;=IF($S65=MesCiclo,InicioCiclo,$S65+MOD(2-WEEKDAY($S65),7))+20),1,IF(N($W65)&gt;0,AVERAGEIFS($AA$5:$AA$1000,$U$5:$U$1000,ROW(),$V$5:$V$1000,"Sub"),$AA65)))</f>
        <v/>
      </c>
      <c r="AF65" s="62">
        <f>IF($V65="","",IF(AND(ISNUMBER($G65),$G65&lt;=IF($S65=MesCiclo,InicioCiclo,$S65+MOD(2-WEEKDAY($S65),7))+27),1,IF(N($W65)&gt;0,AVERAGEIFS($AB$5:$AB$1000,$U$5:$U$1000,ROW(),$V$5:$V$1000,"Sub"),$AB65)))</f>
        <v/>
      </c>
      <c r="AG65" s="62">
        <f>IF($V65&lt;&gt;"Macro","",IF(COUNTIFS($S$5:$S$1000,$S65,$V$5:$V$1000,"Macro",$H$5:$H$1000,"&gt;0")=0,1/COUNTIFS($S$5:$S$1000,$S65,$V$5:$V$1000,"Macro"),IF(AND(ISNUMBER($H65),N($H65)&gt;0),$H65,SUMIFS($H$5:$H$1000,$S$5:$S$1000,$S65,$V$5:$V$1000,"Macro")/COUNTIFS($S$5:$S$1000,$S65,$V$5:$V$1000,"Macro",$H$5:$H$1000,"&gt;0"))/(COUNTIFS($S$5:$S$1000,$S65,$V$5:$V$1000,"Macro")*SUMIFS($H$5:$H$1000,$S$5:$S$1000,$S65,$V$5:$V$1000,"Macro")/COUNTIFS($S$5:$S$1000,$S65,$V$5:$V$1000,"Macro",$H$5:$H$1000,"&gt;0"))))</f>
        <v/>
      </c>
      <c r="AH65" s="62" t="n"/>
      <c r="AI65" s="62" t="n"/>
      <c r="AJ65" s="62" t="n"/>
      <c r="AK65" s="62" t="n"/>
      <c r="AL65" s="62">
        <f>IF(LEFT($C65,11)="[Jefatura] ",IFERROR(MATCH("Riesgo Financiero|"&amp;MID($C65,12,500),rDname_ADM,0),0),"")</f>
        <v/>
      </c>
      <c r="AM65" s="62">
        <f>IF(N($AL65)&gt;0,INDEX(rIni_ADM,$AL65),IF(ISNUMBER($E65),$E65,""))</f>
        <v/>
      </c>
      <c r="AN65" s="62">
        <f>IF(N($AL65)&gt;0,INDEX(rLim_ADM,$AL65),IF(ISNUMBER($F65),$F65,""))</f>
        <v/>
      </c>
    </row>
    <row r="66">
      <c r="A66" s="56">
        <f>IF(NOT((COUNTA($B66:$D66)+COUNTA($G66:$L66)+COUNTA($Q66))&gt;0),"",IF($V66="Macro",COUNTIFS($V$5:$V66,"Macro",$S$5:$S66,$S66),IF(N($U66)=0,"?",COUNTIFS(INDEX($V$5:$V$1000,1):INDEX($V$5:$V$1000,$U66-4),"Macro",INDEX($S$5:$S$1000,1):INDEX($S$5:$S$1000,$U66-4),INDEX($S$5:$S$1000,$U66-4))&amp;"."&amp;COUNTIFS($U$5:$U66,$U66,$V$5:$V66,"Sub"))))</f>
        <v/>
      </c>
      <c r="B66" s="57" t="n"/>
      <c r="C66" s="58" t="n"/>
      <c r="D66" s="58" t="n"/>
      <c r="E66" s="59">
        <f>IF(N($AL66)&gt;0,INDEX(rIni_ADM,$AL66),"")</f>
        <v/>
      </c>
      <c r="F66" s="59">
        <f>IF(N($AL66)&gt;0,INDEX(rLim_ADM,$AL66),"")</f>
        <v/>
      </c>
      <c r="G66" s="59" t="n"/>
      <c r="H66" s="60" t="n"/>
      <c r="I66" s="60" t="n"/>
      <c r="J66" s="60" t="n"/>
      <c r="K66" s="60" t="n"/>
      <c r="L66" s="60" t="n"/>
      <c r="M66" s="61">
        <f>IF(NOT((COUNTA($B66:$D66)+COUNTA($G66:$L66)+COUNTA($Q66))&gt;0),"",IF(ISNUMBER($G66),1,IF(N($W66)&gt;0,AVERAGEIFS($X$5:$X$1000,$U$5:$U$1000,ROW(),$V$5:$V$1000,"Sub"),$X66)))</f>
        <v/>
      </c>
      <c r="N66" s="56">
        <f>IF($M66="","",IF($M66&gt;=1,"Completado",IF($M66&gt;0,"En curso","Pendiente")))</f>
        <v/>
      </c>
      <c r="O66" s="56">
        <f>IF(NOT((COUNTA($B66:$D66)+COUNTA($G66:$L66)+COUNTA($Q66))&gt;0),"",IF(ISNUMBER($G66),IF(AND(ISNUMBER($AN66),$G66&gt;$AN66),"Cumplida con "&amp;($G66-$AN66)&amp;IF($G66-$AN66=1," día"," días")&amp;" de retraso","Cumplida"),IF(N($M66)&gt;=1,"Cumplida",IF(NOT(ISNUMBER($AN66)),"Sin fecha límite",IF($AN66&lt;FechaRef,"Vencida hace "&amp;(FechaRef-$AN66)&amp;IF(FechaRef-$AN66=1," día"," días"),IF($AN66=FechaRef,"Vence hoy",IF($AN66-FechaRef&lt;=DiasAlerta,"Vence en "&amp;($AN66-FechaRef)&amp;IF($AN66-FechaRef=1," día"," días"),"En plazo")))))))</f>
        <v/>
      </c>
      <c r="P66" s="62" t="n"/>
      <c r="Q66" s="58" t="n"/>
      <c r="R66" s="63">
        <f>IF(NOT((COUNTA($B66:$D66)+COUNTA($G66:$L66)+COUNTA($Q66))&gt;0),"",IF((IF($C66="","Falta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",""))="","✔ OK","⚠ "&amp;LEFT(IF($C66="","Falta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",""),LEN(IF($C66="","Falta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",""))-3)))</f>
        <v/>
      </c>
      <c r="S66" s="64">
        <f>IF(NOT((COUNTA($B66:$D66)+COUNTA($G66:$L66)+COUNTA($Q66))&gt;0),"",IF(AND($V66="Sub",N($U66)&gt;0),IF(ISNUMBER(INDEX($AM$5:$AM$1000,$U66-4)),DATE(YEAR(INDEX($AM$5:$AM$1000,$U66-4)),MONTH(INDEX($AM$5:$AM$1000,$U66-4)),1),IF(ISNUMBER(INDEX($AN$5:$AN$1000,$U66-4)),DATE(YEAR(INDEX($AN$5:$AN$1000,$U66-4)),MONTH(INDEX($AN$5:$AN$1000,$U66-4)),1),MesCiclo)),IF(ISNUMBER($AM66),DATE(YEAR($AM66),MONTH($AM66),1),IF(ISNUMBER($AN66),DATE(YEAR($AN66),MONTH($AN66),1),MesCiclo))))</f>
        <v/>
      </c>
      <c r="T66" s="62">
        <f>IF(OR($S66="",$S66&lt;&gt;MesCiclo),"",COUNTIF($S$5:$S66,MesCiclo))</f>
        <v/>
      </c>
      <c r="U66" s="62">
        <f>IF($V66="","",IF($V66="Macro",ROW(),IFERROR(LOOKUP(2,1/($V$5:$V66="Macro"),ROW($V$5:$V66)),0)))</f>
        <v/>
      </c>
      <c r="V66" s="62">
        <f>IF(NOT((COUNTA($B66:$D66)+COUNTA($G66:$L66)+COUNTA($Q66))&gt;0),"",IF($B66="Subactividad","Sub","Macro"))</f>
        <v/>
      </c>
      <c r="W66" s="62">
        <f>IF($V66="Macro",COUNTIFS($U$5:$U$1000,ROW(),$V$5:$V$1000,"Sub"),"")</f>
        <v/>
      </c>
      <c r="X66" s="62">
        <f>IF($V66="","",IF(ISNUMBER($G66),1,IFERROR(LOOKUP(2,1/($I66:$L66&lt;&gt;""),$I66:$L66),0)))</f>
        <v/>
      </c>
      <c r="Y66" s="62">
        <f>IF($V66="","",IF(AND(ISNUMBER($G66),$G66&lt;=IF($S66=MesCiclo,InicioCiclo,$S66+MOD(2-WEEKDAY($S66),7))+6),1,IF(ISNUMBER($I66),$I66,0)))</f>
        <v/>
      </c>
      <c r="Z66" s="62">
        <f>IF($V66="","",IF(AND(ISNUMBER($G66),$G66&lt;=IF($S66=MesCiclo,InicioCiclo,$S66+MOD(2-WEEKDAY($S66),7))+13),1,IF(ISNUMBER($J66),$J66,$Y66)))</f>
        <v/>
      </c>
      <c r="AA66" s="62">
        <f>IF($V66="","",IF(AND(ISNUMBER($G66),$G66&lt;=IF($S66=MesCiclo,InicioCiclo,$S66+MOD(2-WEEKDAY($S66),7))+20),1,IF(ISNUMBER($K66),$K66,$Z66)))</f>
        <v/>
      </c>
      <c r="AB66" s="62">
        <f>IF($V66="","",IF(AND(ISNUMBER($G66),$G66&lt;=IF($S66=MesCiclo,InicioCiclo,$S66+MOD(2-WEEKDAY($S66),7))+27),1,IF(ISNUMBER($L66),$L66,$AA66)))</f>
        <v/>
      </c>
      <c r="AC66" s="62">
        <f>IF($V66="","",IF(AND(ISNUMBER($G66),$G66&lt;=IF($S66=MesCiclo,InicioCiclo,$S66+MOD(2-WEEKDAY($S66),7))+6),1,IF(N($W66)&gt;0,AVERAGEIFS($Y$5:$Y$1000,$U$5:$U$1000,ROW(),$V$5:$V$1000,"Sub"),$Y66)))</f>
        <v/>
      </c>
      <c r="AD66" s="62">
        <f>IF($V66="","",IF(AND(ISNUMBER($G66),$G66&lt;=IF($S66=MesCiclo,InicioCiclo,$S66+MOD(2-WEEKDAY($S66),7))+13),1,IF(N($W66)&gt;0,AVERAGEIFS($Z$5:$Z$1000,$U$5:$U$1000,ROW(),$V$5:$V$1000,"Sub"),$Z66)))</f>
        <v/>
      </c>
      <c r="AE66" s="62">
        <f>IF($V66="","",IF(AND(ISNUMBER($G66),$G66&lt;=IF($S66=MesCiclo,InicioCiclo,$S66+MOD(2-WEEKDAY($S66),7))+20),1,IF(N($W66)&gt;0,AVERAGEIFS($AA$5:$AA$1000,$U$5:$U$1000,ROW(),$V$5:$V$1000,"Sub"),$AA66)))</f>
        <v/>
      </c>
      <c r="AF66" s="62">
        <f>IF($V66="","",IF(AND(ISNUMBER($G66),$G66&lt;=IF($S66=MesCiclo,InicioCiclo,$S66+MOD(2-WEEKDAY($S66),7))+27),1,IF(N($W66)&gt;0,AVERAGEIFS($AB$5:$AB$1000,$U$5:$U$1000,ROW(),$V$5:$V$1000,"Sub"),$AB66)))</f>
        <v/>
      </c>
      <c r="AG66" s="62">
        <f>IF($V66&lt;&gt;"Macro","",IF(COUNTIFS($S$5:$S$1000,$S66,$V$5:$V$1000,"Macro",$H$5:$H$1000,"&gt;0")=0,1/COUNTIFS($S$5:$S$1000,$S66,$V$5:$V$1000,"Macro"),IF(AND(ISNUMBER($H66),N($H66)&gt;0),$H66,SUMIFS($H$5:$H$1000,$S$5:$S$1000,$S66,$V$5:$V$1000,"Macro")/COUNTIFS($S$5:$S$1000,$S66,$V$5:$V$1000,"Macro",$H$5:$H$1000,"&gt;0"))/(COUNTIFS($S$5:$S$1000,$S66,$V$5:$V$1000,"Macro")*SUMIFS($H$5:$H$1000,$S$5:$S$1000,$S66,$V$5:$V$1000,"Macro")/COUNTIFS($S$5:$S$1000,$S66,$V$5:$V$1000,"Macro",$H$5:$H$1000,"&gt;0"))))</f>
        <v/>
      </c>
      <c r="AH66" s="62" t="n"/>
      <c r="AI66" s="62" t="n"/>
      <c r="AJ66" s="62" t="n"/>
      <c r="AK66" s="62" t="n"/>
      <c r="AL66" s="62">
        <f>IF(LEFT($C66,11)="[Jefatura] ",IFERROR(MATCH("Riesgo Financiero|"&amp;MID($C66,12,500),rDname_ADM,0),0),"")</f>
        <v/>
      </c>
      <c r="AM66" s="62">
        <f>IF(N($AL66)&gt;0,INDEX(rIni_ADM,$AL66),IF(ISNUMBER($E66),$E66,""))</f>
        <v/>
      </c>
      <c r="AN66" s="62">
        <f>IF(N($AL66)&gt;0,INDEX(rLim_ADM,$AL66),IF(ISNUMBER($F66),$F66,""))</f>
        <v/>
      </c>
    </row>
    <row r="67">
      <c r="A67" s="56">
        <f>IF(NOT((COUNTA($B67:$D67)+COUNTA($G67:$L67)+COUNTA($Q67))&gt;0),"",IF($V67="Macro",COUNTIFS($V$5:$V67,"Macro",$S$5:$S67,$S67),IF(N($U67)=0,"?",COUNTIFS(INDEX($V$5:$V$1000,1):INDEX($V$5:$V$1000,$U67-4),"Macro",INDEX($S$5:$S$1000,1):INDEX($S$5:$S$1000,$U67-4),INDEX($S$5:$S$1000,$U67-4))&amp;"."&amp;COUNTIFS($U$5:$U67,$U67,$V$5:$V67,"Sub"))))</f>
        <v/>
      </c>
      <c r="B67" s="57" t="n"/>
      <c r="C67" s="58" t="n"/>
      <c r="D67" s="58" t="n"/>
      <c r="E67" s="59">
        <f>IF(N($AL67)&gt;0,INDEX(rIni_ADM,$AL67),"")</f>
        <v/>
      </c>
      <c r="F67" s="59">
        <f>IF(N($AL67)&gt;0,INDEX(rLim_ADM,$AL67),"")</f>
        <v/>
      </c>
      <c r="G67" s="59" t="n"/>
      <c r="H67" s="60" t="n"/>
      <c r="I67" s="60" t="n"/>
      <c r="J67" s="60" t="n"/>
      <c r="K67" s="60" t="n"/>
      <c r="L67" s="60" t="n"/>
      <c r="M67" s="61">
        <f>IF(NOT((COUNTA($B67:$D67)+COUNTA($G67:$L67)+COUNTA($Q67))&gt;0),"",IF(ISNUMBER($G67),1,IF(N($W67)&gt;0,AVERAGEIFS($X$5:$X$1000,$U$5:$U$1000,ROW(),$V$5:$V$1000,"Sub"),$X67)))</f>
        <v/>
      </c>
      <c r="N67" s="56">
        <f>IF($M67="","",IF($M67&gt;=1,"Completado",IF($M67&gt;0,"En curso","Pendiente")))</f>
        <v/>
      </c>
      <c r="O67" s="56">
        <f>IF(NOT((COUNTA($B67:$D67)+COUNTA($G67:$L67)+COUNTA($Q67))&gt;0),"",IF(ISNUMBER($G67),IF(AND(ISNUMBER($AN67),$G67&gt;$AN67),"Cumplida con "&amp;($G67-$AN67)&amp;IF($G67-$AN67=1," día"," días")&amp;" de retraso","Cumplida"),IF(N($M67)&gt;=1,"Cumplida",IF(NOT(ISNUMBER($AN67)),"Sin fecha límite",IF($AN67&lt;FechaRef,"Vencida hace "&amp;(FechaRef-$AN67)&amp;IF(FechaRef-$AN67=1," día"," días"),IF($AN67=FechaRef,"Vence hoy",IF($AN67-FechaRef&lt;=DiasAlerta,"Vence en "&amp;($AN67-FechaRef)&amp;IF($AN67-FechaRef=1," día"," días"),"En plazo")))))))</f>
        <v/>
      </c>
      <c r="P67" s="62" t="n"/>
      <c r="Q67" s="58" t="n"/>
      <c r="R67" s="63">
        <f>IF(NOT((COUNTA($B67:$D67)+COUNTA($G67:$L67)+COUNTA($Q67))&gt;0),"",IF((IF($C67="","Falta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",""))="","✔ OK","⚠ "&amp;LEFT(IF($C67="","Falta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",""),LEN(IF($C67="","Falta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",""))-3)))</f>
        <v/>
      </c>
      <c r="S67" s="64">
        <f>IF(NOT((COUNTA($B67:$D67)+COUNTA($G67:$L67)+COUNTA($Q67))&gt;0),"",IF(AND($V67="Sub",N($U67)&gt;0),IF(ISNUMBER(INDEX($AM$5:$AM$1000,$U67-4)),DATE(YEAR(INDEX($AM$5:$AM$1000,$U67-4)),MONTH(INDEX($AM$5:$AM$1000,$U67-4)),1),IF(ISNUMBER(INDEX($AN$5:$AN$1000,$U67-4)),DATE(YEAR(INDEX($AN$5:$AN$1000,$U67-4)),MONTH(INDEX($AN$5:$AN$1000,$U67-4)),1),MesCiclo)),IF(ISNUMBER($AM67),DATE(YEAR($AM67),MONTH($AM67),1),IF(ISNUMBER($AN67),DATE(YEAR($AN67),MONTH($AN67),1),MesCiclo))))</f>
        <v/>
      </c>
      <c r="T67" s="62">
        <f>IF(OR($S67="",$S67&lt;&gt;MesCiclo),"",COUNTIF($S$5:$S67,MesCiclo))</f>
        <v/>
      </c>
      <c r="U67" s="62">
        <f>IF($V67="","",IF($V67="Macro",ROW(),IFERROR(LOOKUP(2,1/($V$5:$V67="Macro"),ROW($V$5:$V67)),0)))</f>
        <v/>
      </c>
      <c r="V67" s="62">
        <f>IF(NOT((COUNTA($B67:$D67)+COUNTA($G67:$L67)+COUNTA($Q67))&gt;0),"",IF($B67="Subactividad","Sub","Macro"))</f>
        <v/>
      </c>
      <c r="W67" s="62">
        <f>IF($V67="Macro",COUNTIFS($U$5:$U$1000,ROW(),$V$5:$V$1000,"Sub"),"")</f>
        <v/>
      </c>
      <c r="X67" s="62">
        <f>IF($V67="","",IF(ISNUMBER($G67),1,IFERROR(LOOKUP(2,1/($I67:$L67&lt;&gt;""),$I67:$L67),0)))</f>
        <v/>
      </c>
      <c r="Y67" s="62">
        <f>IF($V67="","",IF(AND(ISNUMBER($G67),$G67&lt;=IF($S67=MesCiclo,InicioCiclo,$S67+MOD(2-WEEKDAY($S67),7))+6),1,IF(ISNUMBER($I67),$I67,0)))</f>
        <v/>
      </c>
      <c r="Z67" s="62">
        <f>IF($V67="","",IF(AND(ISNUMBER($G67),$G67&lt;=IF($S67=MesCiclo,InicioCiclo,$S67+MOD(2-WEEKDAY($S67),7))+13),1,IF(ISNUMBER($J67),$J67,$Y67)))</f>
        <v/>
      </c>
      <c r="AA67" s="62">
        <f>IF($V67="","",IF(AND(ISNUMBER($G67),$G67&lt;=IF($S67=MesCiclo,InicioCiclo,$S67+MOD(2-WEEKDAY($S67),7))+20),1,IF(ISNUMBER($K67),$K67,$Z67)))</f>
        <v/>
      </c>
      <c r="AB67" s="62">
        <f>IF($V67="","",IF(AND(ISNUMBER($G67),$G67&lt;=IF($S67=MesCiclo,InicioCiclo,$S67+MOD(2-WEEKDAY($S67),7))+27),1,IF(ISNUMBER($L67),$L67,$AA67)))</f>
        <v/>
      </c>
      <c r="AC67" s="62">
        <f>IF($V67="","",IF(AND(ISNUMBER($G67),$G67&lt;=IF($S67=MesCiclo,InicioCiclo,$S67+MOD(2-WEEKDAY($S67),7))+6),1,IF(N($W67)&gt;0,AVERAGEIFS($Y$5:$Y$1000,$U$5:$U$1000,ROW(),$V$5:$V$1000,"Sub"),$Y67)))</f>
        <v/>
      </c>
      <c r="AD67" s="62">
        <f>IF($V67="","",IF(AND(ISNUMBER($G67),$G67&lt;=IF($S67=MesCiclo,InicioCiclo,$S67+MOD(2-WEEKDAY($S67),7))+13),1,IF(N($W67)&gt;0,AVERAGEIFS($Z$5:$Z$1000,$U$5:$U$1000,ROW(),$V$5:$V$1000,"Sub"),$Z67)))</f>
        <v/>
      </c>
      <c r="AE67" s="62">
        <f>IF($V67="","",IF(AND(ISNUMBER($G67),$G67&lt;=IF($S67=MesCiclo,InicioCiclo,$S67+MOD(2-WEEKDAY($S67),7))+20),1,IF(N($W67)&gt;0,AVERAGEIFS($AA$5:$AA$1000,$U$5:$U$1000,ROW(),$V$5:$V$1000,"Sub"),$AA67)))</f>
        <v/>
      </c>
      <c r="AF67" s="62">
        <f>IF($V67="","",IF(AND(ISNUMBER($G67),$G67&lt;=IF($S67=MesCiclo,InicioCiclo,$S67+MOD(2-WEEKDAY($S67),7))+27),1,IF(N($W67)&gt;0,AVERAGEIFS($AB$5:$AB$1000,$U$5:$U$1000,ROW(),$V$5:$V$1000,"Sub"),$AB67)))</f>
        <v/>
      </c>
      <c r="AG67" s="62">
        <f>IF($V67&lt;&gt;"Macro","",IF(COUNTIFS($S$5:$S$1000,$S67,$V$5:$V$1000,"Macro",$H$5:$H$1000,"&gt;0")=0,1/COUNTIFS($S$5:$S$1000,$S67,$V$5:$V$1000,"Macro"),IF(AND(ISNUMBER($H67),N($H67)&gt;0),$H67,SUMIFS($H$5:$H$1000,$S$5:$S$1000,$S67,$V$5:$V$1000,"Macro")/COUNTIFS($S$5:$S$1000,$S67,$V$5:$V$1000,"Macro",$H$5:$H$1000,"&gt;0"))/(COUNTIFS($S$5:$S$1000,$S67,$V$5:$V$1000,"Macro")*SUMIFS($H$5:$H$1000,$S$5:$S$1000,$S67,$V$5:$V$1000,"Macro")/COUNTIFS($S$5:$S$1000,$S67,$V$5:$V$1000,"Macro",$H$5:$H$1000,"&gt;0"))))</f>
        <v/>
      </c>
      <c r="AH67" s="62" t="n"/>
      <c r="AI67" s="62" t="n"/>
      <c r="AJ67" s="62" t="n"/>
      <c r="AK67" s="62" t="n"/>
      <c r="AL67" s="62">
        <f>IF(LEFT($C67,11)="[Jefatura] ",IFERROR(MATCH("Riesgo Financiero|"&amp;MID($C67,12,500),rDname_ADM,0),0),"")</f>
        <v/>
      </c>
      <c r="AM67" s="62">
        <f>IF(N($AL67)&gt;0,INDEX(rIni_ADM,$AL67),IF(ISNUMBER($E67),$E67,""))</f>
        <v/>
      </c>
      <c r="AN67" s="62">
        <f>IF(N($AL67)&gt;0,INDEX(rLim_ADM,$AL67),IF(ISNUMBER($F67),$F67,""))</f>
        <v/>
      </c>
    </row>
    <row r="68">
      <c r="A68" s="56">
        <f>IF(NOT((COUNTA($B68:$D68)+COUNTA($G68:$L68)+COUNTA($Q68))&gt;0),"",IF($V68="Macro",COUNTIFS($V$5:$V68,"Macro",$S$5:$S68,$S68),IF(N($U68)=0,"?",COUNTIFS(INDEX($V$5:$V$1000,1):INDEX($V$5:$V$1000,$U68-4),"Macro",INDEX($S$5:$S$1000,1):INDEX($S$5:$S$1000,$U68-4),INDEX($S$5:$S$1000,$U68-4))&amp;"."&amp;COUNTIFS($U$5:$U68,$U68,$V$5:$V68,"Sub"))))</f>
        <v/>
      </c>
      <c r="B68" s="57" t="n"/>
      <c r="C68" s="58" t="n"/>
      <c r="D68" s="58" t="n"/>
      <c r="E68" s="59">
        <f>IF(N($AL68)&gt;0,INDEX(rIni_ADM,$AL68),"")</f>
        <v/>
      </c>
      <c r="F68" s="59">
        <f>IF(N($AL68)&gt;0,INDEX(rLim_ADM,$AL68),"")</f>
        <v/>
      </c>
      <c r="G68" s="59" t="n"/>
      <c r="H68" s="60" t="n"/>
      <c r="I68" s="60" t="n"/>
      <c r="J68" s="60" t="n"/>
      <c r="K68" s="60" t="n"/>
      <c r="L68" s="60" t="n"/>
      <c r="M68" s="61">
        <f>IF(NOT((COUNTA($B68:$D68)+COUNTA($G68:$L68)+COUNTA($Q68))&gt;0),"",IF(ISNUMBER($G68),1,IF(N($W68)&gt;0,AVERAGEIFS($X$5:$X$1000,$U$5:$U$1000,ROW(),$V$5:$V$1000,"Sub"),$X68)))</f>
        <v/>
      </c>
      <c r="N68" s="56">
        <f>IF($M68="","",IF($M68&gt;=1,"Completado",IF($M68&gt;0,"En curso","Pendiente")))</f>
        <v/>
      </c>
      <c r="O68" s="56">
        <f>IF(NOT((COUNTA($B68:$D68)+COUNTA($G68:$L68)+COUNTA($Q68))&gt;0),"",IF(ISNUMBER($G68),IF(AND(ISNUMBER($AN68),$G68&gt;$AN68),"Cumplida con "&amp;($G68-$AN68)&amp;IF($G68-$AN68=1," día"," días")&amp;" de retraso","Cumplida"),IF(N($M68)&gt;=1,"Cumplida",IF(NOT(ISNUMBER($AN68)),"Sin fecha límite",IF($AN68&lt;FechaRef,"Vencida hace "&amp;(FechaRef-$AN68)&amp;IF(FechaRef-$AN68=1," día"," días"),IF($AN68=FechaRef,"Vence hoy",IF($AN68-FechaRef&lt;=DiasAlerta,"Vence en "&amp;($AN68-FechaRef)&amp;IF($AN68-FechaRef=1," día"," días"),"En plazo")))))))</f>
        <v/>
      </c>
      <c r="P68" s="62" t="n"/>
      <c r="Q68" s="58" t="n"/>
      <c r="R68" s="63">
        <f>IF(NOT((COUNTA($B68:$D68)+COUNTA($G68:$L68)+COUNTA($Q68))&gt;0),"",IF((IF($C68="","Falta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",""))="","✔ OK","⚠ "&amp;LEFT(IF($C68="","Falta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",""),LEN(IF($C68="","Falta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",""))-3)))</f>
        <v/>
      </c>
      <c r="S68" s="64">
        <f>IF(NOT((COUNTA($B68:$D68)+COUNTA($G68:$L68)+COUNTA($Q68))&gt;0),"",IF(AND($V68="Sub",N($U68)&gt;0),IF(ISNUMBER(INDEX($AM$5:$AM$1000,$U68-4)),DATE(YEAR(INDEX($AM$5:$AM$1000,$U68-4)),MONTH(INDEX($AM$5:$AM$1000,$U68-4)),1),IF(ISNUMBER(INDEX($AN$5:$AN$1000,$U68-4)),DATE(YEAR(INDEX($AN$5:$AN$1000,$U68-4)),MONTH(INDEX($AN$5:$AN$1000,$U68-4)),1),MesCiclo)),IF(ISNUMBER($AM68),DATE(YEAR($AM68),MONTH($AM68),1),IF(ISNUMBER($AN68),DATE(YEAR($AN68),MONTH($AN68),1),MesCiclo))))</f>
        <v/>
      </c>
      <c r="T68" s="62">
        <f>IF(OR($S68="",$S68&lt;&gt;MesCiclo),"",COUNTIF($S$5:$S68,MesCiclo))</f>
        <v/>
      </c>
      <c r="U68" s="62">
        <f>IF($V68="","",IF($V68="Macro",ROW(),IFERROR(LOOKUP(2,1/($V$5:$V68="Macro"),ROW($V$5:$V68)),0)))</f>
        <v/>
      </c>
      <c r="V68" s="62">
        <f>IF(NOT((COUNTA($B68:$D68)+COUNTA($G68:$L68)+COUNTA($Q68))&gt;0),"",IF($B68="Subactividad","Sub","Macro"))</f>
        <v/>
      </c>
      <c r="W68" s="62">
        <f>IF($V68="Macro",COUNTIFS($U$5:$U$1000,ROW(),$V$5:$V$1000,"Sub"),"")</f>
        <v/>
      </c>
      <c r="X68" s="62">
        <f>IF($V68="","",IF(ISNUMBER($G68),1,IFERROR(LOOKUP(2,1/($I68:$L68&lt;&gt;""),$I68:$L68),0)))</f>
        <v/>
      </c>
      <c r="Y68" s="62">
        <f>IF($V68="","",IF(AND(ISNUMBER($G68),$G68&lt;=IF($S68=MesCiclo,InicioCiclo,$S68+MOD(2-WEEKDAY($S68),7))+6),1,IF(ISNUMBER($I68),$I68,0)))</f>
        <v/>
      </c>
      <c r="Z68" s="62">
        <f>IF($V68="","",IF(AND(ISNUMBER($G68),$G68&lt;=IF($S68=MesCiclo,InicioCiclo,$S68+MOD(2-WEEKDAY($S68),7))+13),1,IF(ISNUMBER($J68),$J68,$Y68)))</f>
        <v/>
      </c>
      <c r="AA68" s="62">
        <f>IF($V68="","",IF(AND(ISNUMBER($G68),$G68&lt;=IF($S68=MesCiclo,InicioCiclo,$S68+MOD(2-WEEKDAY($S68),7))+20),1,IF(ISNUMBER($K68),$K68,$Z68)))</f>
        <v/>
      </c>
      <c r="AB68" s="62">
        <f>IF($V68="","",IF(AND(ISNUMBER($G68),$G68&lt;=IF($S68=MesCiclo,InicioCiclo,$S68+MOD(2-WEEKDAY($S68),7))+27),1,IF(ISNUMBER($L68),$L68,$AA68)))</f>
        <v/>
      </c>
      <c r="AC68" s="62">
        <f>IF($V68="","",IF(AND(ISNUMBER($G68),$G68&lt;=IF($S68=MesCiclo,InicioCiclo,$S68+MOD(2-WEEKDAY($S68),7))+6),1,IF(N($W68)&gt;0,AVERAGEIFS($Y$5:$Y$1000,$U$5:$U$1000,ROW(),$V$5:$V$1000,"Sub"),$Y68)))</f>
        <v/>
      </c>
      <c r="AD68" s="62">
        <f>IF($V68="","",IF(AND(ISNUMBER($G68),$G68&lt;=IF($S68=MesCiclo,InicioCiclo,$S68+MOD(2-WEEKDAY($S68),7))+13),1,IF(N($W68)&gt;0,AVERAGEIFS($Z$5:$Z$1000,$U$5:$U$1000,ROW(),$V$5:$V$1000,"Sub"),$Z68)))</f>
        <v/>
      </c>
      <c r="AE68" s="62">
        <f>IF($V68="","",IF(AND(ISNUMBER($G68),$G68&lt;=IF($S68=MesCiclo,InicioCiclo,$S68+MOD(2-WEEKDAY($S68),7))+20),1,IF(N($W68)&gt;0,AVERAGEIFS($AA$5:$AA$1000,$U$5:$U$1000,ROW(),$V$5:$V$1000,"Sub"),$AA68)))</f>
        <v/>
      </c>
      <c r="AF68" s="62">
        <f>IF($V68="","",IF(AND(ISNUMBER($G68),$G68&lt;=IF($S68=MesCiclo,InicioCiclo,$S68+MOD(2-WEEKDAY($S68),7))+27),1,IF(N($W68)&gt;0,AVERAGEIFS($AB$5:$AB$1000,$U$5:$U$1000,ROW(),$V$5:$V$1000,"Sub"),$AB68)))</f>
        <v/>
      </c>
      <c r="AG68" s="62">
        <f>IF($V68&lt;&gt;"Macro","",IF(COUNTIFS($S$5:$S$1000,$S68,$V$5:$V$1000,"Macro",$H$5:$H$1000,"&gt;0")=0,1/COUNTIFS($S$5:$S$1000,$S68,$V$5:$V$1000,"Macro"),IF(AND(ISNUMBER($H68),N($H68)&gt;0),$H68,SUMIFS($H$5:$H$1000,$S$5:$S$1000,$S68,$V$5:$V$1000,"Macro")/COUNTIFS($S$5:$S$1000,$S68,$V$5:$V$1000,"Macro",$H$5:$H$1000,"&gt;0"))/(COUNTIFS($S$5:$S$1000,$S68,$V$5:$V$1000,"Macro")*SUMIFS($H$5:$H$1000,$S$5:$S$1000,$S68,$V$5:$V$1000,"Macro")/COUNTIFS($S$5:$S$1000,$S68,$V$5:$V$1000,"Macro",$H$5:$H$1000,"&gt;0"))))</f>
        <v/>
      </c>
      <c r="AH68" s="62" t="n"/>
      <c r="AI68" s="62" t="n"/>
      <c r="AJ68" s="62" t="n"/>
      <c r="AK68" s="62" t="n"/>
      <c r="AL68" s="62">
        <f>IF(LEFT($C68,11)="[Jefatura] ",IFERROR(MATCH("Riesgo Financiero|"&amp;MID($C68,12,500),rDname_ADM,0),0),"")</f>
        <v/>
      </c>
      <c r="AM68" s="62">
        <f>IF(N($AL68)&gt;0,INDEX(rIni_ADM,$AL68),IF(ISNUMBER($E68),$E68,""))</f>
        <v/>
      </c>
      <c r="AN68" s="62">
        <f>IF(N($AL68)&gt;0,INDEX(rLim_ADM,$AL68),IF(ISNUMBER($F68),$F68,""))</f>
        <v/>
      </c>
    </row>
    <row r="69">
      <c r="A69" s="56">
        <f>IF(NOT((COUNTA($B69:$D69)+COUNTA($G69:$L69)+COUNTA($Q69))&gt;0),"",IF($V69="Macro",COUNTIFS($V$5:$V69,"Macro",$S$5:$S69,$S69),IF(N($U69)=0,"?",COUNTIFS(INDEX($V$5:$V$1000,1):INDEX($V$5:$V$1000,$U69-4),"Macro",INDEX($S$5:$S$1000,1):INDEX($S$5:$S$1000,$U69-4),INDEX($S$5:$S$1000,$U69-4))&amp;"."&amp;COUNTIFS($U$5:$U69,$U69,$V$5:$V69,"Sub"))))</f>
        <v/>
      </c>
      <c r="B69" s="57" t="n"/>
      <c r="C69" s="58" t="n"/>
      <c r="D69" s="58" t="n"/>
      <c r="E69" s="59">
        <f>IF(N($AL69)&gt;0,INDEX(rIni_ADM,$AL69),"")</f>
        <v/>
      </c>
      <c r="F69" s="59">
        <f>IF(N($AL69)&gt;0,INDEX(rLim_ADM,$AL69),"")</f>
        <v/>
      </c>
      <c r="G69" s="59" t="n"/>
      <c r="H69" s="60" t="n"/>
      <c r="I69" s="60" t="n"/>
      <c r="J69" s="60" t="n"/>
      <c r="K69" s="60" t="n"/>
      <c r="L69" s="60" t="n"/>
      <c r="M69" s="61">
        <f>IF(NOT((COUNTA($B69:$D69)+COUNTA($G69:$L69)+COUNTA($Q69))&gt;0),"",IF(ISNUMBER($G69),1,IF(N($W69)&gt;0,AVERAGEIFS($X$5:$X$1000,$U$5:$U$1000,ROW(),$V$5:$V$1000,"Sub"),$X69)))</f>
        <v/>
      </c>
      <c r="N69" s="56">
        <f>IF($M69="","",IF($M69&gt;=1,"Completado",IF($M69&gt;0,"En curso","Pendiente")))</f>
        <v/>
      </c>
      <c r="O69" s="56">
        <f>IF(NOT((COUNTA($B69:$D69)+COUNTA($G69:$L69)+COUNTA($Q69))&gt;0),"",IF(ISNUMBER($G69),IF(AND(ISNUMBER($AN69),$G69&gt;$AN69),"Cumplida con "&amp;($G69-$AN69)&amp;IF($G69-$AN69=1," día"," días")&amp;" de retraso","Cumplida"),IF(N($M69)&gt;=1,"Cumplida",IF(NOT(ISNUMBER($AN69)),"Sin fecha límite",IF($AN69&lt;FechaRef,"Vencida hace "&amp;(FechaRef-$AN69)&amp;IF(FechaRef-$AN69=1," día"," días"),IF($AN69=FechaRef,"Vence hoy",IF($AN69-FechaRef&lt;=DiasAlerta,"Vence en "&amp;($AN69-FechaRef)&amp;IF($AN69-FechaRef=1," día"," días"),"En plazo")))))))</f>
        <v/>
      </c>
      <c r="P69" s="62" t="n"/>
      <c r="Q69" s="58" t="n"/>
      <c r="R69" s="63">
        <f>IF(NOT((COUNTA($B69:$D69)+COUNTA($G69:$L69)+COUNTA($Q69))&gt;0),"",IF((IF($C69="","Falta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",""))="","✔ OK","⚠ "&amp;LEFT(IF($C69="","Falta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",""),LEN(IF($C69="","Falta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",""))-3)))</f>
        <v/>
      </c>
      <c r="S69" s="64">
        <f>IF(NOT((COUNTA($B69:$D69)+COUNTA($G69:$L69)+COUNTA($Q69))&gt;0),"",IF(AND($V69="Sub",N($U69)&gt;0),IF(ISNUMBER(INDEX($AM$5:$AM$1000,$U69-4)),DATE(YEAR(INDEX($AM$5:$AM$1000,$U69-4)),MONTH(INDEX($AM$5:$AM$1000,$U69-4)),1),IF(ISNUMBER(INDEX($AN$5:$AN$1000,$U69-4)),DATE(YEAR(INDEX($AN$5:$AN$1000,$U69-4)),MONTH(INDEX($AN$5:$AN$1000,$U69-4)),1),MesCiclo)),IF(ISNUMBER($AM69),DATE(YEAR($AM69),MONTH($AM69),1),IF(ISNUMBER($AN69),DATE(YEAR($AN69),MONTH($AN69),1),MesCiclo))))</f>
        <v/>
      </c>
      <c r="T69" s="62">
        <f>IF(OR($S69="",$S69&lt;&gt;MesCiclo),"",COUNTIF($S$5:$S69,MesCiclo))</f>
        <v/>
      </c>
      <c r="U69" s="62">
        <f>IF($V69="","",IF($V69="Macro",ROW(),IFERROR(LOOKUP(2,1/($V$5:$V69="Macro"),ROW($V$5:$V69)),0)))</f>
        <v/>
      </c>
      <c r="V69" s="62">
        <f>IF(NOT((COUNTA($B69:$D69)+COUNTA($G69:$L69)+COUNTA($Q69))&gt;0),"",IF($B69="Subactividad","Sub","Macro"))</f>
        <v/>
      </c>
      <c r="W69" s="62">
        <f>IF($V69="Macro",COUNTIFS($U$5:$U$1000,ROW(),$V$5:$V$1000,"Sub"),"")</f>
        <v/>
      </c>
      <c r="X69" s="62">
        <f>IF($V69="","",IF(ISNUMBER($G69),1,IFERROR(LOOKUP(2,1/($I69:$L69&lt;&gt;""),$I69:$L69),0)))</f>
        <v/>
      </c>
      <c r="Y69" s="62">
        <f>IF($V69="","",IF(AND(ISNUMBER($G69),$G69&lt;=IF($S69=MesCiclo,InicioCiclo,$S69+MOD(2-WEEKDAY($S69),7))+6),1,IF(ISNUMBER($I69),$I69,0)))</f>
        <v/>
      </c>
      <c r="Z69" s="62">
        <f>IF($V69="","",IF(AND(ISNUMBER($G69),$G69&lt;=IF($S69=MesCiclo,InicioCiclo,$S69+MOD(2-WEEKDAY($S69),7))+13),1,IF(ISNUMBER($J69),$J69,$Y69)))</f>
        <v/>
      </c>
      <c r="AA69" s="62">
        <f>IF($V69="","",IF(AND(ISNUMBER($G69),$G69&lt;=IF($S69=MesCiclo,InicioCiclo,$S69+MOD(2-WEEKDAY($S69),7))+20),1,IF(ISNUMBER($K69),$K69,$Z69)))</f>
        <v/>
      </c>
      <c r="AB69" s="62">
        <f>IF($V69="","",IF(AND(ISNUMBER($G69),$G69&lt;=IF($S69=MesCiclo,InicioCiclo,$S69+MOD(2-WEEKDAY($S69),7))+27),1,IF(ISNUMBER($L69),$L69,$AA69)))</f>
        <v/>
      </c>
      <c r="AC69" s="62">
        <f>IF($V69="","",IF(AND(ISNUMBER($G69),$G69&lt;=IF($S69=MesCiclo,InicioCiclo,$S69+MOD(2-WEEKDAY($S69),7))+6),1,IF(N($W69)&gt;0,AVERAGEIFS($Y$5:$Y$1000,$U$5:$U$1000,ROW(),$V$5:$V$1000,"Sub"),$Y69)))</f>
        <v/>
      </c>
      <c r="AD69" s="62">
        <f>IF($V69="","",IF(AND(ISNUMBER($G69),$G69&lt;=IF($S69=MesCiclo,InicioCiclo,$S69+MOD(2-WEEKDAY($S69),7))+13),1,IF(N($W69)&gt;0,AVERAGEIFS($Z$5:$Z$1000,$U$5:$U$1000,ROW(),$V$5:$V$1000,"Sub"),$Z69)))</f>
        <v/>
      </c>
      <c r="AE69" s="62">
        <f>IF($V69="","",IF(AND(ISNUMBER($G69),$G69&lt;=IF($S69=MesCiclo,InicioCiclo,$S69+MOD(2-WEEKDAY($S69),7))+20),1,IF(N($W69)&gt;0,AVERAGEIFS($AA$5:$AA$1000,$U$5:$U$1000,ROW(),$V$5:$V$1000,"Sub"),$AA69)))</f>
        <v/>
      </c>
      <c r="AF69" s="62">
        <f>IF($V69="","",IF(AND(ISNUMBER($G69),$G69&lt;=IF($S69=MesCiclo,InicioCiclo,$S69+MOD(2-WEEKDAY($S69),7))+27),1,IF(N($W69)&gt;0,AVERAGEIFS($AB$5:$AB$1000,$U$5:$U$1000,ROW(),$V$5:$V$1000,"Sub"),$AB69)))</f>
        <v/>
      </c>
      <c r="AG69" s="62">
        <f>IF($V69&lt;&gt;"Macro","",IF(COUNTIFS($S$5:$S$1000,$S69,$V$5:$V$1000,"Macro",$H$5:$H$1000,"&gt;0")=0,1/COUNTIFS($S$5:$S$1000,$S69,$V$5:$V$1000,"Macro"),IF(AND(ISNUMBER($H69),N($H69)&gt;0),$H69,SUMIFS($H$5:$H$1000,$S$5:$S$1000,$S69,$V$5:$V$1000,"Macro")/COUNTIFS($S$5:$S$1000,$S69,$V$5:$V$1000,"Macro",$H$5:$H$1000,"&gt;0"))/(COUNTIFS($S$5:$S$1000,$S69,$V$5:$V$1000,"Macro")*SUMIFS($H$5:$H$1000,$S$5:$S$1000,$S69,$V$5:$V$1000,"Macro")/COUNTIFS($S$5:$S$1000,$S69,$V$5:$V$1000,"Macro",$H$5:$H$1000,"&gt;0"))))</f>
        <v/>
      </c>
      <c r="AH69" s="62" t="n"/>
      <c r="AI69" s="62" t="n"/>
      <c r="AJ69" s="62" t="n"/>
      <c r="AK69" s="62" t="n"/>
      <c r="AL69" s="62">
        <f>IF(LEFT($C69,11)="[Jefatura] ",IFERROR(MATCH("Riesgo Financiero|"&amp;MID($C69,12,500),rDname_ADM,0),0),"")</f>
        <v/>
      </c>
      <c r="AM69" s="62">
        <f>IF(N($AL69)&gt;0,INDEX(rIni_ADM,$AL69),IF(ISNUMBER($E69),$E69,""))</f>
        <v/>
      </c>
      <c r="AN69" s="62">
        <f>IF(N($AL69)&gt;0,INDEX(rLim_ADM,$AL69),IF(ISNUMBER($F69),$F69,""))</f>
        <v/>
      </c>
    </row>
    <row r="70">
      <c r="A70" s="56">
        <f>IF(NOT((COUNTA($B70:$D70)+COUNTA($G70:$L70)+COUNTA($Q70))&gt;0),"",IF($V70="Macro",COUNTIFS($V$5:$V70,"Macro",$S$5:$S70,$S70),IF(N($U70)=0,"?",COUNTIFS(INDEX($V$5:$V$1000,1):INDEX($V$5:$V$1000,$U70-4),"Macro",INDEX($S$5:$S$1000,1):INDEX($S$5:$S$1000,$U70-4),INDEX($S$5:$S$1000,$U70-4))&amp;"."&amp;COUNTIFS($U$5:$U70,$U70,$V$5:$V70,"Sub"))))</f>
        <v/>
      </c>
      <c r="B70" s="57" t="n"/>
      <c r="C70" s="58" t="n"/>
      <c r="D70" s="58" t="n"/>
      <c r="E70" s="59">
        <f>IF(N($AL70)&gt;0,INDEX(rIni_ADM,$AL70),"")</f>
        <v/>
      </c>
      <c r="F70" s="59">
        <f>IF(N($AL70)&gt;0,INDEX(rLim_ADM,$AL70),"")</f>
        <v/>
      </c>
      <c r="G70" s="59" t="n"/>
      <c r="H70" s="60" t="n"/>
      <c r="I70" s="60" t="n"/>
      <c r="J70" s="60" t="n"/>
      <c r="K70" s="60" t="n"/>
      <c r="L70" s="60" t="n"/>
      <c r="M70" s="61">
        <f>IF(NOT((COUNTA($B70:$D70)+COUNTA($G70:$L70)+COUNTA($Q70))&gt;0),"",IF(ISNUMBER($G70),1,IF(N($W70)&gt;0,AVERAGEIFS($X$5:$X$1000,$U$5:$U$1000,ROW(),$V$5:$V$1000,"Sub"),$X70)))</f>
        <v/>
      </c>
      <c r="N70" s="56">
        <f>IF($M70="","",IF($M70&gt;=1,"Completado",IF($M70&gt;0,"En curso","Pendiente")))</f>
        <v/>
      </c>
      <c r="O70" s="56">
        <f>IF(NOT((COUNTA($B70:$D70)+COUNTA($G70:$L70)+COUNTA($Q70))&gt;0),"",IF(ISNUMBER($G70),IF(AND(ISNUMBER($AN70),$G70&gt;$AN70),"Cumplida con "&amp;($G70-$AN70)&amp;IF($G70-$AN70=1," día"," días")&amp;" de retraso","Cumplida"),IF(N($M70)&gt;=1,"Cumplida",IF(NOT(ISNUMBER($AN70)),"Sin fecha límite",IF($AN70&lt;FechaRef,"Vencida hace "&amp;(FechaRef-$AN70)&amp;IF(FechaRef-$AN70=1," día"," días"),IF($AN70=FechaRef,"Vence hoy",IF($AN70-FechaRef&lt;=DiasAlerta,"Vence en "&amp;($AN70-FechaRef)&amp;IF($AN70-FechaRef=1," día"," días"),"En plazo")))))))</f>
        <v/>
      </c>
      <c r="P70" s="62" t="n"/>
      <c r="Q70" s="58" t="n"/>
      <c r="R70" s="63">
        <f>IF(NOT((COUNTA($B70:$D70)+COUNTA($G70:$L70)+COUNTA($Q70))&gt;0),"",IF((IF($C70="","Falta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",""))="","✔ OK","⚠ "&amp;LEFT(IF($C70="","Falta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",""),LEN(IF($C70="","Falta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",""))-3)))</f>
        <v/>
      </c>
      <c r="S70" s="64">
        <f>IF(NOT((COUNTA($B70:$D70)+COUNTA($G70:$L70)+COUNTA($Q70))&gt;0),"",IF(AND($V70="Sub",N($U70)&gt;0),IF(ISNUMBER(INDEX($AM$5:$AM$1000,$U70-4)),DATE(YEAR(INDEX($AM$5:$AM$1000,$U70-4)),MONTH(INDEX($AM$5:$AM$1000,$U70-4)),1),IF(ISNUMBER(INDEX($AN$5:$AN$1000,$U70-4)),DATE(YEAR(INDEX($AN$5:$AN$1000,$U70-4)),MONTH(INDEX($AN$5:$AN$1000,$U70-4)),1),MesCiclo)),IF(ISNUMBER($AM70),DATE(YEAR($AM70),MONTH($AM70),1),IF(ISNUMBER($AN70),DATE(YEAR($AN70),MONTH($AN70),1),MesCiclo))))</f>
        <v/>
      </c>
      <c r="T70" s="62">
        <f>IF(OR($S70="",$S70&lt;&gt;MesCiclo),"",COUNTIF($S$5:$S70,MesCiclo))</f>
        <v/>
      </c>
      <c r="U70" s="62">
        <f>IF($V70="","",IF($V70="Macro",ROW(),IFERROR(LOOKUP(2,1/($V$5:$V70="Macro"),ROW($V$5:$V70)),0)))</f>
        <v/>
      </c>
      <c r="V70" s="62">
        <f>IF(NOT((COUNTA($B70:$D70)+COUNTA($G70:$L70)+COUNTA($Q70))&gt;0),"",IF($B70="Subactividad","Sub","Macro"))</f>
        <v/>
      </c>
      <c r="W70" s="62">
        <f>IF($V70="Macro",COUNTIFS($U$5:$U$1000,ROW(),$V$5:$V$1000,"Sub"),"")</f>
        <v/>
      </c>
      <c r="X70" s="62">
        <f>IF($V70="","",IF(ISNUMBER($G70),1,IFERROR(LOOKUP(2,1/($I70:$L70&lt;&gt;""),$I70:$L70),0)))</f>
        <v/>
      </c>
      <c r="Y70" s="62">
        <f>IF($V70="","",IF(AND(ISNUMBER($G70),$G70&lt;=IF($S70=MesCiclo,InicioCiclo,$S70+MOD(2-WEEKDAY($S70),7))+6),1,IF(ISNUMBER($I70),$I70,0)))</f>
        <v/>
      </c>
      <c r="Z70" s="62">
        <f>IF($V70="","",IF(AND(ISNUMBER($G70),$G70&lt;=IF($S70=MesCiclo,InicioCiclo,$S70+MOD(2-WEEKDAY($S70),7))+13),1,IF(ISNUMBER($J70),$J70,$Y70)))</f>
        <v/>
      </c>
      <c r="AA70" s="62">
        <f>IF($V70="","",IF(AND(ISNUMBER($G70),$G70&lt;=IF($S70=MesCiclo,InicioCiclo,$S70+MOD(2-WEEKDAY($S70),7))+20),1,IF(ISNUMBER($K70),$K70,$Z70)))</f>
        <v/>
      </c>
      <c r="AB70" s="62">
        <f>IF($V70="","",IF(AND(ISNUMBER($G70),$G70&lt;=IF($S70=MesCiclo,InicioCiclo,$S70+MOD(2-WEEKDAY($S70),7))+27),1,IF(ISNUMBER($L70),$L70,$AA70)))</f>
        <v/>
      </c>
      <c r="AC70" s="62">
        <f>IF($V70="","",IF(AND(ISNUMBER($G70),$G70&lt;=IF($S70=MesCiclo,InicioCiclo,$S70+MOD(2-WEEKDAY($S70),7))+6),1,IF(N($W70)&gt;0,AVERAGEIFS($Y$5:$Y$1000,$U$5:$U$1000,ROW(),$V$5:$V$1000,"Sub"),$Y70)))</f>
        <v/>
      </c>
      <c r="AD70" s="62">
        <f>IF($V70="","",IF(AND(ISNUMBER($G70),$G70&lt;=IF($S70=MesCiclo,InicioCiclo,$S70+MOD(2-WEEKDAY($S70),7))+13),1,IF(N($W70)&gt;0,AVERAGEIFS($Z$5:$Z$1000,$U$5:$U$1000,ROW(),$V$5:$V$1000,"Sub"),$Z70)))</f>
        <v/>
      </c>
      <c r="AE70" s="62">
        <f>IF($V70="","",IF(AND(ISNUMBER($G70),$G70&lt;=IF($S70=MesCiclo,InicioCiclo,$S70+MOD(2-WEEKDAY($S70),7))+20),1,IF(N($W70)&gt;0,AVERAGEIFS($AA$5:$AA$1000,$U$5:$U$1000,ROW(),$V$5:$V$1000,"Sub"),$AA70)))</f>
        <v/>
      </c>
      <c r="AF70" s="62">
        <f>IF($V70="","",IF(AND(ISNUMBER($G70),$G70&lt;=IF($S70=MesCiclo,InicioCiclo,$S70+MOD(2-WEEKDAY($S70),7))+27),1,IF(N($W70)&gt;0,AVERAGEIFS($AB$5:$AB$1000,$U$5:$U$1000,ROW(),$V$5:$V$1000,"Sub"),$AB70)))</f>
        <v/>
      </c>
      <c r="AG70" s="62">
        <f>IF($V70&lt;&gt;"Macro","",IF(COUNTIFS($S$5:$S$1000,$S70,$V$5:$V$1000,"Macro",$H$5:$H$1000,"&gt;0")=0,1/COUNTIFS($S$5:$S$1000,$S70,$V$5:$V$1000,"Macro"),IF(AND(ISNUMBER($H70),N($H70)&gt;0),$H70,SUMIFS($H$5:$H$1000,$S$5:$S$1000,$S70,$V$5:$V$1000,"Macro")/COUNTIFS($S$5:$S$1000,$S70,$V$5:$V$1000,"Macro",$H$5:$H$1000,"&gt;0"))/(COUNTIFS($S$5:$S$1000,$S70,$V$5:$V$1000,"Macro")*SUMIFS($H$5:$H$1000,$S$5:$S$1000,$S70,$V$5:$V$1000,"Macro")/COUNTIFS($S$5:$S$1000,$S70,$V$5:$V$1000,"Macro",$H$5:$H$1000,"&gt;0"))))</f>
        <v/>
      </c>
      <c r="AH70" s="62" t="n"/>
      <c r="AI70" s="62" t="n"/>
      <c r="AJ70" s="62" t="n"/>
      <c r="AK70" s="62" t="n"/>
      <c r="AL70" s="62">
        <f>IF(LEFT($C70,11)="[Jefatura] ",IFERROR(MATCH("Riesgo Financiero|"&amp;MID($C70,12,500),rDname_ADM,0),0),"")</f>
        <v/>
      </c>
      <c r="AM70" s="62">
        <f>IF(N($AL70)&gt;0,INDEX(rIni_ADM,$AL70),IF(ISNUMBER($E70),$E70,""))</f>
        <v/>
      </c>
      <c r="AN70" s="62">
        <f>IF(N($AL70)&gt;0,INDEX(rLim_ADM,$AL70),IF(ISNUMBER($F70),$F70,""))</f>
        <v/>
      </c>
    </row>
    <row r="71">
      <c r="A71" s="56">
        <f>IF(NOT((COUNTA($B71:$D71)+COUNTA($G71:$L71)+COUNTA($Q71))&gt;0),"",IF($V71="Macro",COUNTIFS($V$5:$V71,"Macro",$S$5:$S71,$S71),IF(N($U71)=0,"?",COUNTIFS(INDEX($V$5:$V$1000,1):INDEX($V$5:$V$1000,$U71-4),"Macro",INDEX($S$5:$S$1000,1):INDEX($S$5:$S$1000,$U71-4),INDEX($S$5:$S$1000,$U71-4))&amp;"."&amp;COUNTIFS($U$5:$U71,$U71,$V$5:$V71,"Sub"))))</f>
        <v/>
      </c>
      <c r="B71" s="57" t="n"/>
      <c r="C71" s="58" t="n"/>
      <c r="D71" s="58" t="n"/>
      <c r="E71" s="59">
        <f>IF(N($AL71)&gt;0,INDEX(rIni_ADM,$AL71),"")</f>
        <v/>
      </c>
      <c r="F71" s="59">
        <f>IF(N($AL71)&gt;0,INDEX(rLim_ADM,$AL71),"")</f>
        <v/>
      </c>
      <c r="G71" s="59" t="n"/>
      <c r="H71" s="60" t="n"/>
      <c r="I71" s="60" t="n"/>
      <c r="J71" s="60" t="n"/>
      <c r="K71" s="60" t="n"/>
      <c r="L71" s="60" t="n"/>
      <c r="M71" s="61">
        <f>IF(NOT((COUNTA($B71:$D71)+COUNTA($G71:$L71)+COUNTA($Q71))&gt;0),"",IF(ISNUMBER($G71),1,IF(N($W71)&gt;0,AVERAGEIFS($X$5:$X$1000,$U$5:$U$1000,ROW(),$V$5:$V$1000,"Sub"),$X71)))</f>
        <v/>
      </c>
      <c r="N71" s="56">
        <f>IF($M71="","",IF($M71&gt;=1,"Completado",IF($M71&gt;0,"En curso","Pendiente")))</f>
        <v/>
      </c>
      <c r="O71" s="56">
        <f>IF(NOT((COUNTA($B71:$D71)+COUNTA($G71:$L71)+COUNTA($Q71))&gt;0),"",IF(ISNUMBER($G71),IF(AND(ISNUMBER($AN71),$G71&gt;$AN71),"Cumplida con "&amp;($G71-$AN71)&amp;IF($G71-$AN71=1," día"," días")&amp;" de retraso","Cumplida"),IF(N($M71)&gt;=1,"Cumplida",IF(NOT(ISNUMBER($AN71)),"Sin fecha límite",IF($AN71&lt;FechaRef,"Vencida hace "&amp;(FechaRef-$AN71)&amp;IF(FechaRef-$AN71=1," día"," días"),IF($AN71=FechaRef,"Vence hoy",IF($AN71-FechaRef&lt;=DiasAlerta,"Vence en "&amp;($AN71-FechaRef)&amp;IF($AN71-FechaRef=1," día"," días"),"En plazo")))))))</f>
        <v/>
      </c>
      <c r="P71" s="62" t="n"/>
      <c r="Q71" s="58" t="n"/>
      <c r="R71" s="63">
        <f>IF(NOT((COUNTA($B71:$D71)+COUNTA($G71:$L71)+COUNTA($Q71))&gt;0),"",IF((IF($C71="","Falta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",""))="","✔ OK","⚠ "&amp;LEFT(IF($C71="","Falta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",""),LEN(IF($C71="","Falta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",""))-3)))</f>
        <v/>
      </c>
      <c r="S71" s="64">
        <f>IF(NOT((COUNTA($B71:$D71)+COUNTA($G71:$L71)+COUNTA($Q71))&gt;0),"",IF(AND($V71="Sub",N($U71)&gt;0),IF(ISNUMBER(INDEX($AM$5:$AM$1000,$U71-4)),DATE(YEAR(INDEX($AM$5:$AM$1000,$U71-4)),MONTH(INDEX($AM$5:$AM$1000,$U71-4)),1),IF(ISNUMBER(INDEX($AN$5:$AN$1000,$U71-4)),DATE(YEAR(INDEX($AN$5:$AN$1000,$U71-4)),MONTH(INDEX($AN$5:$AN$1000,$U71-4)),1),MesCiclo)),IF(ISNUMBER($AM71),DATE(YEAR($AM71),MONTH($AM71),1),IF(ISNUMBER($AN71),DATE(YEAR($AN71),MONTH($AN71),1),MesCiclo))))</f>
        <v/>
      </c>
      <c r="T71" s="62">
        <f>IF(OR($S71="",$S71&lt;&gt;MesCiclo),"",COUNTIF($S$5:$S71,MesCiclo))</f>
        <v/>
      </c>
      <c r="U71" s="62">
        <f>IF($V71="","",IF($V71="Macro",ROW(),IFERROR(LOOKUP(2,1/($V$5:$V71="Macro"),ROW($V$5:$V71)),0)))</f>
        <v/>
      </c>
      <c r="V71" s="62">
        <f>IF(NOT((COUNTA($B71:$D71)+COUNTA($G71:$L71)+COUNTA($Q71))&gt;0),"",IF($B71="Subactividad","Sub","Macro"))</f>
        <v/>
      </c>
      <c r="W71" s="62">
        <f>IF($V71="Macro",COUNTIFS($U$5:$U$1000,ROW(),$V$5:$V$1000,"Sub"),"")</f>
        <v/>
      </c>
      <c r="X71" s="62">
        <f>IF($V71="","",IF(ISNUMBER($G71),1,IFERROR(LOOKUP(2,1/($I71:$L71&lt;&gt;""),$I71:$L71),0)))</f>
        <v/>
      </c>
      <c r="Y71" s="62">
        <f>IF($V71="","",IF(AND(ISNUMBER($G71),$G71&lt;=IF($S71=MesCiclo,InicioCiclo,$S71+MOD(2-WEEKDAY($S71),7))+6),1,IF(ISNUMBER($I71),$I71,0)))</f>
        <v/>
      </c>
      <c r="Z71" s="62">
        <f>IF($V71="","",IF(AND(ISNUMBER($G71),$G71&lt;=IF($S71=MesCiclo,InicioCiclo,$S71+MOD(2-WEEKDAY($S71),7))+13),1,IF(ISNUMBER($J71),$J71,$Y71)))</f>
        <v/>
      </c>
      <c r="AA71" s="62">
        <f>IF($V71="","",IF(AND(ISNUMBER($G71),$G71&lt;=IF($S71=MesCiclo,InicioCiclo,$S71+MOD(2-WEEKDAY($S71),7))+20),1,IF(ISNUMBER($K71),$K71,$Z71)))</f>
        <v/>
      </c>
      <c r="AB71" s="62">
        <f>IF($V71="","",IF(AND(ISNUMBER($G71),$G71&lt;=IF($S71=MesCiclo,InicioCiclo,$S71+MOD(2-WEEKDAY($S71),7))+27),1,IF(ISNUMBER($L71),$L71,$AA71)))</f>
        <v/>
      </c>
      <c r="AC71" s="62">
        <f>IF($V71="","",IF(AND(ISNUMBER($G71),$G71&lt;=IF($S71=MesCiclo,InicioCiclo,$S71+MOD(2-WEEKDAY($S71),7))+6),1,IF(N($W71)&gt;0,AVERAGEIFS($Y$5:$Y$1000,$U$5:$U$1000,ROW(),$V$5:$V$1000,"Sub"),$Y71)))</f>
        <v/>
      </c>
      <c r="AD71" s="62">
        <f>IF($V71="","",IF(AND(ISNUMBER($G71),$G71&lt;=IF($S71=MesCiclo,InicioCiclo,$S71+MOD(2-WEEKDAY($S71),7))+13),1,IF(N($W71)&gt;0,AVERAGEIFS($Z$5:$Z$1000,$U$5:$U$1000,ROW(),$V$5:$V$1000,"Sub"),$Z71)))</f>
        <v/>
      </c>
      <c r="AE71" s="62">
        <f>IF($V71="","",IF(AND(ISNUMBER($G71),$G71&lt;=IF($S71=MesCiclo,InicioCiclo,$S71+MOD(2-WEEKDAY($S71),7))+20),1,IF(N($W71)&gt;0,AVERAGEIFS($AA$5:$AA$1000,$U$5:$U$1000,ROW(),$V$5:$V$1000,"Sub"),$AA71)))</f>
        <v/>
      </c>
      <c r="AF71" s="62">
        <f>IF($V71="","",IF(AND(ISNUMBER($G71),$G71&lt;=IF($S71=MesCiclo,InicioCiclo,$S71+MOD(2-WEEKDAY($S71),7))+27),1,IF(N($W71)&gt;0,AVERAGEIFS($AB$5:$AB$1000,$U$5:$U$1000,ROW(),$V$5:$V$1000,"Sub"),$AB71)))</f>
        <v/>
      </c>
      <c r="AG71" s="62">
        <f>IF($V71&lt;&gt;"Macro","",IF(COUNTIFS($S$5:$S$1000,$S71,$V$5:$V$1000,"Macro",$H$5:$H$1000,"&gt;0")=0,1/COUNTIFS($S$5:$S$1000,$S71,$V$5:$V$1000,"Macro"),IF(AND(ISNUMBER($H71),N($H71)&gt;0),$H71,SUMIFS($H$5:$H$1000,$S$5:$S$1000,$S71,$V$5:$V$1000,"Macro")/COUNTIFS($S$5:$S$1000,$S71,$V$5:$V$1000,"Macro",$H$5:$H$1000,"&gt;0"))/(COUNTIFS($S$5:$S$1000,$S71,$V$5:$V$1000,"Macro")*SUMIFS($H$5:$H$1000,$S$5:$S$1000,$S71,$V$5:$V$1000,"Macro")/COUNTIFS($S$5:$S$1000,$S71,$V$5:$V$1000,"Macro",$H$5:$H$1000,"&gt;0"))))</f>
        <v/>
      </c>
      <c r="AH71" s="62" t="n"/>
      <c r="AI71" s="62" t="n"/>
      <c r="AJ71" s="62" t="n"/>
      <c r="AK71" s="62" t="n"/>
      <c r="AL71" s="62">
        <f>IF(LEFT($C71,11)="[Jefatura] ",IFERROR(MATCH("Riesgo Financiero|"&amp;MID($C71,12,500),rDname_ADM,0),0),"")</f>
        <v/>
      </c>
      <c r="AM71" s="62">
        <f>IF(N($AL71)&gt;0,INDEX(rIni_ADM,$AL71),IF(ISNUMBER($E71),$E71,""))</f>
        <v/>
      </c>
      <c r="AN71" s="62">
        <f>IF(N($AL71)&gt;0,INDEX(rLim_ADM,$AL71),IF(ISNUMBER($F71),$F71,""))</f>
        <v/>
      </c>
    </row>
    <row r="72">
      <c r="A72" s="56">
        <f>IF(NOT((COUNTA($B72:$D72)+COUNTA($G72:$L72)+COUNTA($Q72))&gt;0),"",IF($V72="Macro",COUNTIFS($V$5:$V72,"Macro",$S$5:$S72,$S72),IF(N($U72)=0,"?",COUNTIFS(INDEX($V$5:$V$1000,1):INDEX($V$5:$V$1000,$U72-4),"Macro",INDEX($S$5:$S$1000,1):INDEX($S$5:$S$1000,$U72-4),INDEX($S$5:$S$1000,$U72-4))&amp;"."&amp;COUNTIFS($U$5:$U72,$U72,$V$5:$V72,"Sub"))))</f>
        <v/>
      </c>
      <c r="B72" s="57" t="n"/>
      <c r="C72" s="58" t="n"/>
      <c r="D72" s="58" t="n"/>
      <c r="E72" s="59">
        <f>IF(N($AL72)&gt;0,INDEX(rIni_ADM,$AL72),"")</f>
        <v/>
      </c>
      <c r="F72" s="59">
        <f>IF(N($AL72)&gt;0,INDEX(rLim_ADM,$AL72),"")</f>
        <v/>
      </c>
      <c r="G72" s="59" t="n"/>
      <c r="H72" s="60" t="n"/>
      <c r="I72" s="60" t="n"/>
      <c r="J72" s="60" t="n"/>
      <c r="K72" s="60" t="n"/>
      <c r="L72" s="60" t="n"/>
      <c r="M72" s="61">
        <f>IF(NOT((COUNTA($B72:$D72)+COUNTA($G72:$L72)+COUNTA($Q72))&gt;0),"",IF(ISNUMBER($G72),1,IF(N($W72)&gt;0,AVERAGEIFS($X$5:$X$1000,$U$5:$U$1000,ROW(),$V$5:$V$1000,"Sub"),$X72)))</f>
        <v/>
      </c>
      <c r="N72" s="56">
        <f>IF($M72="","",IF($M72&gt;=1,"Completado",IF($M72&gt;0,"En curso","Pendiente")))</f>
        <v/>
      </c>
      <c r="O72" s="56">
        <f>IF(NOT((COUNTA($B72:$D72)+COUNTA($G72:$L72)+COUNTA($Q72))&gt;0),"",IF(ISNUMBER($G72),IF(AND(ISNUMBER($AN72),$G72&gt;$AN72),"Cumplida con "&amp;($G72-$AN72)&amp;IF($G72-$AN72=1," día"," días")&amp;" de retraso","Cumplida"),IF(N($M72)&gt;=1,"Cumplida",IF(NOT(ISNUMBER($AN72)),"Sin fecha límite",IF($AN72&lt;FechaRef,"Vencida hace "&amp;(FechaRef-$AN72)&amp;IF(FechaRef-$AN72=1," día"," días"),IF($AN72=FechaRef,"Vence hoy",IF($AN72-FechaRef&lt;=DiasAlerta,"Vence en "&amp;($AN72-FechaRef)&amp;IF($AN72-FechaRef=1," día"," días"),"En plazo")))))))</f>
        <v/>
      </c>
      <c r="P72" s="62" t="n"/>
      <c r="Q72" s="58" t="n"/>
      <c r="R72" s="63">
        <f>IF(NOT((COUNTA($B72:$D72)+COUNTA($G72:$L72)+COUNTA($Q72))&gt;0),"",IF((IF($C72="","Falta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",""))="","✔ OK","⚠ "&amp;LEFT(IF($C72="","Falta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",""),LEN(IF($C72="","Falta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",""))-3)))</f>
        <v/>
      </c>
      <c r="S72" s="64">
        <f>IF(NOT((COUNTA($B72:$D72)+COUNTA($G72:$L72)+COUNTA($Q72))&gt;0),"",IF(AND($V72="Sub",N($U72)&gt;0),IF(ISNUMBER(INDEX($AM$5:$AM$1000,$U72-4)),DATE(YEAR(INDEX($AM$5:$AM$1000,$U72-4)),MONTH(INDEX($AM$5:$AM$1000,$U72-4)),1),IF(ISNUMBER(INDEX($AN$5:$AN$1000,$U72-4)),DATE(YEAR(INDEX($AN$5:$AN$1000,$U72-4)),MONTH(INDEX($AN$5:$AN$1000,$U72-4)),1),MesCiclo)),IF(ISNUMBER($AM72),DATE(YEAR($AM72),MONTH($AM72),1),IF(ISNUMBER($AN72),DATE(YEAR($AN72),MONTH($AN72),1),MesCiclo))))</f>
        <v/>
      </c>
      <c r="T72" s="62">
        <f>IF(OR($S72="",$S72&lt;&gt;MesCiclo),"",COUNTIF($S$5:$S72,MesCiclo))</f>
        <v/>
      </c>
      <c r="U72" s="62">
        <f>IF($V72="","",IF($V72="Macro",ROW(),IFERROR(LOOKUP(2,1/($V$5:$V72="Macro"),ROW($V$5:$V72)),0)))</f>
        <v/>
      </c>
      <c r="V72" s="62">
        <f>IF(NOT((COUNTA($B72:$D72)+COUNTA($G72:$L72)+COUNTA($Q72))&gt;0),"",IF($B72="Subactividad","Sub","Macro"))</f>
        <v/>
      </c>
      <c r="W72" s="62">
        <f>IF($V72="Macro",COUNTIFS($U$5:$U$1000,ROW(),$V$5:$V$1000,"Sub"),"")</f>
        <v/>
      </c>
      <c r="X72" s="62">
        <f>IF($V72="","",IF(ISNUMBER($G72),1,IFERROR(LOOKUP(2,1/($I72:$L72&lt;&gt;""),$I72:$L72),0)))</f>
        <v/>
      </c>
      <c r="Y72" s="62">
        <f>IF($V72="","",IF(AND(ISNUMBER($G72),$G72&lt;=IF($S72=MesCiclo,InicioCiclo,$S72+MOD(2-WEEKDAY($S72),7))+6),1,IF(ISNUMBER($I72),$I72,0)))</f>
        <v/>
      </c>
      <c r="Z72" s="62">
        <f>IF($V72="","",IF(AND(ISNUMBER($G72),$G72&lt;=IF($S72=MesCiclo,InicioCiclo,$S72+MOD(2-WEEKDAY($S72),7))+13),1,IF(ISNUMBER($J72),$J72,$Y72)))</f>
        <v/>
      </c>
      <c r="AA72" s="62">
        <f>IF($V72="","",IF(AND(ISNUMBER($G72),$G72&lt;=IF($S72=MesCiclo,InicioCiclo,$S72+MOD(2-WEEKDAY($S72),7))+20),1,IF(ISNUMBER($K72),$K72,$Z72)))</f>
        <v/>
      </c>
      <c r="AB72" s="62">
        <f>IF($V72="","",IF(AND(ISNUMBER($G72),$G72&lt;=IF($S72=MesCiclo,InicioCiclo,$S72+MOD(2-WEEKDAY($S72),7))+27),1,IF(ISNUMBER($L72),$L72,$AA72)))</f>
        <v/>
      </c>
      <c r="AC72" s="62">
        <f>IF($V72="","",IF(AND(ISNUMBER($G72),$G72&lt;=IF($S72=MesCiclo,InicioCiclo,$S72+MOD(2-WEEKDAY($S72),7))+6),1,IF(N($W72)&gt;0,AVERAGEIFS($Y$5:$Y$1000,$U$5:$U$1000,ROW(),$V$5:$V$1000,"Sub"),$Y72)))</f>
        <v/>
      </c>
      <c r="AD72" s="62">
        <f>IF($V72="","",IF(AND(ISNUMBER($G72),$G72&lt;=IF($S72=MesCiclo,InicioCiclo,$S72+MOD(2-WEEKDAY($S72),7))+13),1,IF(N($W72)&gt;0,AVERAGEIFS($Z$5:$Z$1000,$U$5:$U$1000,ROW(),$V$5:$V$1000,"Sub"),$Z72)))</f>
        <v/>
      </c>
      <c r="AE72" s="62">
        <f>IF($V72="","",IF(AND(ISNUMBER($G72),$G72&lt;=IF($S72=MesCiclo,InicioCiclo,$S72+MOD(2-WEEKDAY($S72),7))+20),1,IF(N($W72)&gt;0,AVERAGEIFS($AA$5:$AA$1000,$U$5:$U$1000,ROW(),$V$5:$V$1000,"Sub"),$AA72)))</f>
        <v/>
      </c>
      <c r="AF72" s="62">
        <f>IF($V72="","",IF(AND(ISNUMBER($G72),$G72&lt;=IF($S72=MesCiclo,InicioCiclo,$S72+MOD(2-WEEKDAY($S72),7))+27),1,IF(N($W72)&gt;0,AVERAGEIFS($AB$5:$AB$1000,$U$5:$U$1000,ROW(),$V$5:$V$1000,"Sub"),$AB72)))</f>
        <v/>
      </c>
      <c r="AG72" s="62">
        <f>IF($V72&lt;&gt;"Macro","",IF(COUNTIFS($S$5:$S$1000,$S72,$V$5:$V$1000,"Macro",$H$5:$H$1000,"&gt;0")=0,1/COUNTIFS($S$5:$S$1000,$S72,$V$5:$V$1000,"Macro"),IF(AND(ISNUMBER($H72),N($H72)&gt;0),$H72,SUMIFS($H$5:$H$1000,$S$5:$S$1000,$S72,$V$5:$V$1000,"Macro")/COUNTIFS($S$5:$S$1000,$S72,$V$5:$V$1000,"Macro",$H$5:$H$1000,"&gt;0"))/(COUNTIFS($S$5:$S$1000,$S72,$V$5:$V$1000,"Macro")*SUMIFS($H$5:$H$1000,$S$5:$S$1000,$S72,$V$5:$V$1000,"Macro")/COUNTIFS($S$5:$S$1000,$S72,$V$5:$V$1000,"Macro",$H$5:$H$1000,"&gt;0"))))</f>
        <v/>
      </c>
      <c r="AH72" s="62" t="n"/>
      <c r="AI72" s="62" t="n"/>
      <c r="AJ72" s="62" t="n"/>
      <c r="AK72" s="62" t="n"/>
      <c r="AL72" s="62">
        <f>IF(LEFT($C72,11)="[Jefatura] ",IFERROR(MATCH("Riesgo Financiero|"&amp;MID($C72,12,500),rDname_ADM,0),0),"")</f>
        <v/>
      </c>
      <c r="AM72" s="62">
        <f>IF(N($AL72)&gt;0,INDEX(rIni_ADM,$AL72),IF(ISNUMBER($E72),$E72,""))</f>
        <v/>
      </c>
      <c r="AN72" s="62">
        <f>IF(N($AL72)&gt;0,INDEX(rLim_ADM,$AL72),IF(ISNUMBER($F72),$F72,""))</f>
        <v/>
      </c>
    </row>
    <row r="73">
      <c r="A73" s="56">
        <f>IF(NOT((COUNTA($B73:$D73)+COUNTA($G73:$L73)+COUNTA($Q73))&gt;0),"",IF($V73="Macro",COUNTIFS($V$5:$V73,"Macro",$S$5:$S73,$S73),IF(N($U73)=0,"?",COUNTIFS(INDEX($V$5:$V$1000,1):INDEX($V$5:$V$1000,$U73-4),"Macro",INDEX($S$5:$S$1000,1):INDEX($S$5:$S$1000,$U73-4),INDEX($S$5:$S$1000,$U73-4))&amp;"."&amp;COUNTIFS($U$5:$U73,$U73,$V$5:$V73,"Sub"))))</f>
        <v/>
      </c>
      <c r="B73" s="57" t="n"/>
      <c r="C73" s="58" t="n"/>
      <c r="D73" s="58" t="n"/>
      <c r="E73" s="59">
        <f>IF(N($AL73)&gt;0,INDEX(rIni_ADM,$AL73),"")</f>
        <v/>
      </c>
      <c r="F73" s="59">
        <f>IF(N($AL73)&gt;0,INDEX(rLim_ADM,$AL73),"")</f>
        <v/>
      </c>
      <c r="G73" s="59" t="n"/>
      <c r="H73" s="60" t="n"/>
      <c r="I73" s="60" t="n"/>
      <c r="J73" s="60" t="n"/>
      <c r="K73" s="60" t="n"/>
      <c r="L73" s="60" t="n"/>
      <c r="M73" s="61">
        <f>IF(NOT((COUNTA($B73:$D73)+COUNTA($G73:$L73)+COUNTA($Q73))&gt;0),"",IF(ISNUMBER($G73),1,IF(N($W73)&gt;0,AVERAGEIFS($X$5:$X$1000,$U$5:$U$1000,ROW(),$V$5:$V$1000,"Sub"),$X73)))</f>
        <v/>
      </c>
      <c r="N73" s="56">
        <f>IF($M73="","",IF($M73&gt;=1,"Completado",IF($M73&gt;0,"En curso","Pendiente")))</f>
        <v/>
      </c>
      <c r="O73" s="56">
        <f>IF(NOT((COUNTA($B73:$D73)+COUNTA($G73:$L73)+COUNTA($Q73))&gt;0),"",IF(ISNUMBER($G73),IF(AND(ISNUMBER($AN73),$G73&gt;$AN73),"Cumplida con "&amp;($G73-$AN73)&amp;IF($G73-$AN73=1," día"," días")&amp;" de retraso","Cumplida"),IF(N($M73)&gt;=1,"Cumplida",IF(NOT(ISNUMBER($AN73)),"Sin fecha límite",IF($AN73&lt;FechaRef,"Vencida hace "&amp;(FechaRef-$AN73)&amp;IF(FechaRef-$AN73=1," día"," días"),IF($AN73=FechaRef,"Vence hoy",IF($AN73-FechaRef&lt;=DiasAlerta,"Vence en "&amp;($AN73-FechaRef)&amp;IF($AN73-FechaRef=1," día"," días"),"En plazo")))))))</f>
        <v/>
      </c>
      <c r="P73" s="62" t="n"/>
      <c r="Q73" s="58" t="n"/>
      <c r="R73" s="63">
        <f>IF(NOT((COUNTA($B73:$D73)+COUNTA($G73:$L73)+COUNTA($Q73))&gt;0),"",IF((IF($C73="","Falta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",""))="","✔ OK","⚠ "&amp;LEFT(IF($C73="","Falta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",""),LEN(IF($C73="","Falta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",""))-3)))</f>
        <v/>
      </c>
      <c r="S73" s="64">
        <f>IF(NOT((COUNTA($B73:$D73)+COUNTA($G73:$L73)+COUNTA($Q73))&gt;0),"",IF(AND($V73="Sub",N($U73)&gt;0),IF(ISNUMBER(INDEX($AM$5:$AM$1000,$U73-4)),DATE(YEAR(INDEX($AM$5:$AM$1000,$U73-4)),MONTH(INDEX($AM$5:$AM$1000,$U73-4)),1),IF(ISNUMBER(INDEX($AN$5:$AN$1000,$U73-4)),DATE(YEAR(INDEX($AN$5:$AN$1000,$U73-4)),MONTH(INDEX($AN$5:$AN$1000,$U73-4)),1),MesCiclo)),IF(ISNUMBER($AM73),DATE(YEAR($AM73),MONTH($AM73),1),IF(ISNUMBER($AN73),DATE(YEAR($AN73),MONTH($AN73),1),MesCiclo))))</f>
        <v/>
      </c>
      <c r="T73" s="62">
        <f>IF(OR($S73="",$S73&lt;&gt;MesCiclo),"",COUNTIF($S$5:$S73,MesCiclo))</f>
        <v/>
      </c>
      <c r="U73" s="62">
        <f>IF($V73="","",IF($V73="Macro",ROW(),IFERROR(LOOKUP(2,1/($V$5:$V73="Macro"),ROW($V$5:$V73)),0)))</f>
        <v/>
      </c>
      <c r="V73" s="62">
        <f>IF(NOT((COUNTA($B73:$D73)+COUNTA($G73:$L73)+COUNTA($Q73))&gt;0),"",IF($B73="Subactividad","Sub","Macro"))</f>
        <v/>
      </c>
      <c r="W73" s="62">
        <f>IF($V73="Macro",COUNTIFS($U$5:$U$1000,ROW(),$V$5:$V$1000,"Sub"),"")</f>
        <v/>
      </c>
      <c r="X73" s="62">
        <f>IF($V73="","",IF(ISNUMBER($G73),1,IFERROR(LOOKUP(2,1/($I73:$L73&lt;&gt;""),$I73:$L73),0)))</f>
        <v/>
      </c>
      <c r="Y73" s="62">
        <f>IF($V73="","",IF(AND(ISNUMBER($G73),$G73&lt;=IF($S73=MesCiclo,InicioCiclo,$S73+MOD(2-WEEKDAY($S73),7))+6),1,IF(ISNUMBER($I73),$I73,0)))</f>
        <v/>
      </c>
      <c r="Z73" s="62">
        <f>IF($V73="","",IF(AND(ISNUMBER($G73),$G73&lt;=IF($S73=MesCiclo,InicioCiclo,$S73+MOD(2-WEEKDAY($S73),7))+13),1,IF(ISNUMBER($J73),$J73,$Y73)))</f>
        <v/>
      </c>
      <c r="AA73" s="62">
        <f>IF($V73="","",IF(AND(ISNUMBER($G73),$G73&lt;=IF($S73=MesCiclo,InicioCiclo,$S73+MOD(2-WEEKDAY($S73),7))+20),1,IF(ISNUMBER($K73),$K73,$Z73)))</f>
        <v/>
      </c>
      <c r="AB73" s="62">
        <f>IF($V73="","",IF(AND(ISNUMBER($G73),$G73&lt;=IF($S73=MesCiclo,InicioCiclo,$S73+MOD(2-WEEKDAY($S73),7))+27),1,IF(ISNUMBER($L73),$L73,$AA73)))</f>
        <v/>
      </c>
      <c r="AC73" s="62">
        <f>IF($V73="","",IF(AND(ISNUMBER($G73),$G73&lt;=IF($S73=MesCiclo,InicioCiclo,$S73+MOD(2-WEEKDAY($S73),7))+6),1,IF(N($W73)&gt;0,AVERAGEIFS($Y$5:$Y$1000,$U$5:$U$1000,ROW(),$V$5:$V$1000,"Sub"),$Y73)))</f>
        <v/>
      </c>
      <c r="AD73" s="62">
        <f>IF($V73="","",IF(AND(ISNUMBER($G73),$G73&lt;=IF($S73=MesCiclo,InicioCiclo,$S73+MOD(2-WEEKDAY($S73),7))+13),1,IF(N($W73)&gt;0,AVERAGEIFS($Z$5:$Z$1000,$U$5:$U$1000,ROW(),$V$5:$V$1000,"Sub"),$Z73)))</f>
        <v/>
      </c>
      <c r="AE73" s="62">
        <f>IF($V73="","",IF(AND(ISNUMBER($G73),$G73&lt;=IF($S73=MesCiclo,InicioCiclo,$S73+MOD(2-WEEKDAY($S73),7))+20),1,IF(N($W73)&gt;0,AVERAGEIFS($AA$5:$AA$1000,$U$5:$U$1000,ROW(),$V$5:$V$1000,"Sub"),$AA73)))</f>
        <v/>
      </c>
      <c r="AF73" s="62">
        <f>IF($V73="","",IF(AND(ISNUMBER($G73),$G73&lt;=IF($S73=MesCiclo,InicioCiclo,$S73+MOD(2-WEEKDAY($S73),7))+27),1,IF(N($W73)&gt;0,AVERAGEIFS($AB$5:$AB$1000,$U$5:$U$1000,ROW(),$V$5:$V$1000,"Sub"),$AB73)))</f>
        <v/>
      </c>
      <c r="AG73" s="62">
        <f>IF($V73&lt;&gt;"Macro","",IF(COUNTIFS($S$5:$S$1000,$S73,$V$5:$V$1000,"Macro",$H$5:$H$1000,"&gt;0")=0,1/COUNTIFS($S$5:$S$1000,$S73,$V$5:$V$1000,"Macro"),IF(AND(ISNUMBER($H73),N($H73)&gt;0),$H73,SUMIFS($H$5:$H$1000,$S$5:$S$1000,$S73,$V$5:$V$1000,"Macro")/COUNTIFS($S$5:$S$1000,$S73,$V$5:$V$1000,"Macro",$H$5:$H$1000,"&gt;0"))/(COUNTIFS($S$5:$S$1000,$S73,$V$5:$V$1000,"Macro")*SUMIFS($H$5:$H$1000,$S$5:$S$1000,$S73,$V$5:$V$1000,"Macro")/COUNTIFS($S$5:$S$1000,$S73,$V$5:$V$1000,"Macro",$H$5:$H$1000,"&gt;0"))))</f>
        <v/>
      </c>
      <c r="AH73" s="62" t="n"/>
      <c r="AI73" s="62" t="n"/>
      <c r="AJ73" s="62" t="n"/>
      <c r="AK73" s="62" t="n"/>
      <c r="AL73" s="62">
        <f>IF(LEFT($C73,11)="[Jefatura] ",IFERROR(MATCH("Riesgo Financiero|"&amp;MID($C73,12,500),rDname_ADM,0),0),"")</f>
        <v/>
      </c>
      <c r="AM73" s="62">
        <f>IF(N($AL73)&gt;0,INDEX(rIni_ADM,$AL73),IF(ISNUMBER($E73),$E73,""))</f>
        <v/>
      </c>
      <c r="AN73" s="62">
        <f>IF(N($AL73)&gt;0,INDEX(rLim_ADM,$AL73),IF(ISNUMBER($F73),$F73,""))</f>
        <v/>
      </c>
    </row>
    <row r="74">
      <c r="A74" s="56">
        <f>IF(NOT((COUNTA($B74:$D74)+COUNTA($G74:$L74)+COUNTA($Q74))&gt;0),"",IF($V74="Macro",COUNTIFS($V$5:$V74,"Macro",$S$5:$S74,$S74),IF(N($U74)=0,"?",COUNTIFS(INDEX($V$5:$V$1000,1):INDEX($V$5:$V$1000,$U74-4),"Macro",INDEX($S$5:$S$1000,1):INDEX($S$5:$S$1000,$U74-4),INDEX($S$5:$S$1000,$U74-4))&amp;"."&amp;COUNTIFS($U$5:$U74,$U74,$V$5:$V74,"Sub"))))</f>
        <v/>
      </c>
      <c r="B74" s="57" t="n"/>
      <c r="C74" s="58" t="n"/>
      <c r="D74" s="58" t="n"/>
      <c r="E74" s="59">
        <f>IF(N($AL74)&gt;0,INDEX(rIni_ADM,$AL74),"")</f>
        <v/>
      </c>
      <c r="F74" s="59">
        <f>IF(N($AL74)&gt;0,INDEX(rLim_ADM,$AL74),"")</f>
        <v/>
      </c>
      <c r="G74" s="59" t="n"/>
      <c r="H74" s="60" t="n"/>
      <c r="I74" s="60" t="n"/>
      <c r="J74" s="60" t="n"/>
      <c r="K74" s="60" t="n"/>
      <c r="L74" s="60" t="n"/>
      <c r="M74" s="61">
        <f>IF(NOT((COUNTA($B74:$D74)+COUNTA($G74:$L74)+COUNTA($Q74))&gt;0),"",IF(ISNUMBER($G74),1,IF(N($W74)&gt;0,AVERAGEIFS($X$5:$X$1000,$U$5:$U$1000,ROW(),$V$5:$V$1000,"Sub"),$X74)))</f>
        <v/>
      </c>
      <c r="N74" s="56">
        <f>IF($M74="","",IF($M74&gt;=1,"Completado",IF($M74&gt;0,"En curso","Pendiente")))</f>
        <v/>
      </c>
      <c r="O74" s="56">
        <f>IF(NOT((COUNTA($B74:$D74)+COUNTA($G74:$L74)+COUNTA($Q74))&gt;0),"",IF(ISNUMBER($G74),IF(AND(ISNUMBER($AN74),$G74&gt;$AN74),"Cumplida con "&amp;($G74-$AN74)&amp;IF($G74-$AN74=1," día"," días")&amp;" de retraso","Cumplida"),IF(N($M74)&gt;=1,"Cumplida",IF(NOT(ISNUMBER($AN74)),"Sin fecha límite",IF($AN74&lt;FechaRef,"Vencida hace "&amp;(FechaRef-$AN74)&amp;IF(FechaRef-$AN74=1," día"," días"),IF($AN74=FechaRef,"Vence hoy",IF($AN74-FechaRef&lt;=DiasAlerta,"Vence en "&amp;($AN74-FechaRef)&amp;IF($AN74-FechaRef=1," día"," días"),"En plazo")))))))</f>
        <v/>
      </c>
      <c r="P74" s="62" t="n"/>
      <c r="Q74" s="58" t="n"/>
      <c r="R74" s="63">
        <f>IF(NOT((COUNTA($B74:$D74)+COUNTA($G74:$L74)+COUNTA($Q74))&gt;0),"",IF((IF($C74="","Falta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",""))="","✔ OK","⚠ "&amp;LEFT(IF($C74="","Falta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",""),LEN(IF($C74="","Falta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",""))-3)))</f>
        <v/>
      </c>
      <c r="S74" s="64">
        <f>IF(NOT((COUNTA($B74:$D74)+COUNTA($G74:$L74)+COUNTA($Q74))&gt;0),"",IF(AND($V74="Sub",N($U74)&gt;0),IF(ISNUMBER(INDEX($AM$5:$AM$1000,$U74-4)),DATE(YEAR(INDEX($AM$5:$AM$1000,$U74-4)),MONTH(INDEX($AM$5:$AM$1000,$U74-4)),1),IF(ISNUMBER(INDEX($AN$5:$AN$1000,$U74-4)),DATE(YEAR(INDEX($AN$5:$AN$1000,$U74-4)),MONTH(INDEX($AN$5:$AN$1000,$U74-4)),1),MesCiclo)),IF(ISNUMBER($AM74),DATE(YEAR($AM74),MONTH($AM74),1),IF(ISNUMBER($AN74),DATE(YEAR($AN74),MONTH($AN74),1),MesCiclo))))</f>
        <v/>
      </c>
      <c r="T74" s="62">
        <f>IF(OR($S74="",$S74&lt;&gt;MesCiclo),"",COUNTIF($S$5:$S74,MesCiclo))</f>
        <v/>
      </c>
      <c r="U74" s="62">
        <f>IF($V74="","",IF($V74="Macro",ROW(),IFERROR(LOOKUP(2,1/($V$5:$V74="Macro"),ROW($V$5:$V74)),0)))</f>
        <v/>
      </c>
      <c r="V74" s="62">
        <f>IF(NOT((COUNTA($B74:$D74)+COUNTA($G74:$L74)+COUNTA($Q74))&gt;0),"",IF($B74="Subactividad","Sub","Macro"))</f>
        <v/>
      </c>
      <c r="W74" s="62">
        <f>IF($V74="Macro",COUNTIFS($U$5:$U$1000,ROW(),$V$5:$V$1000,"Sub"),"")</f>
        <v/>
      </c>
      <c r="X74" s="62">
        <f>IF($V74="","",IF(ISNUMBER($G74),1,IFERROR(LOOKUP(2,1/($I74:$L74&lt;&gt;""),$I74:$L74),0)))</f>
        <v/>
      </c>
      <c r="Y74" s="62">
        <f>IF($V74="","",IF(AND(ISNUMBER($G74),$G74&lt;=IF($S74=MesCiclo,InicioCiclo,$S74+MOD(2-WEEKDAY($S74),7))+6),1,IF(ISNUMBER($I74),$I74,0)))</f>
        <v/>
      </c>
      <c r="Z74" s="62">
        <f>IF($V74="","",IF(AND(ISNUMBER($G74),$G74&lt;=IF($S74=MesCiclo,InicioCiclo,$S74+MOD(2-WEEKDAY($S74),7))+13),1,IF(ISNUMBER($J74),$J74,$Y74)))</f>
        <v/>
      </c>
      <c r="AA74" s="62">
        <f>IF($V74="","",IF(AND(ISNUMBER($G74),$G74&lt;=IF($S74=MesCiclo,InicioCiclo,$S74+MOD(2-WEEKDAY($S74),7))+20),1,IF(ISNUMBER($K74),$K74,$Z74)))</f>
        <v/>
      </c>
      <c r="AB74" s="62">
        <f>IF($V74="","",IF(AND(ISNUMBER($G74),$G74&lt;=IF($S74=MesCiclo,InicioCiclo,$S74+MOD(2-WEEKDAY($S74),7))+27),1,IF(ISNUMBER($L74),$L74,$AA74)))</f>
        <v/>
      </c>
      <c r="AC74" s="62">
        <f>IF($V74="","",IF(AND(ISNUMBER($G74),$G74&lt;=IF($S74=MesCiclo,InicioCiclo,$S74+MOD(2-WEEKDAY($S74),7))+6),1,IF(N($W74)&gt;0,AVERAGEIFS($Y$5:$Y$1000,$U$5:$U$1000,ROW(),$V$5:$V$1000,"Sub"),$Y74)))</f>
        <v/>
      </c>
      <c r="AD74" s="62">
        <f>IF($V74="","",IF(AND(ISNUMBER($G74),$G74&lt;=IF($S74=MesCiclo,InicioCiclo,$S74+MOD(2-WEEKDAY($S74),7))+13),1,IF(N($W74)&gt;0,AVERAGEIFS($Z$5:$Z$1000,$U$5:$U$1000,ROW(),$V$5:$V$1000,"Sub"),$Z74)))</f>
        <v/>
      </c>
      <c r="AE74" s="62">
        <f>IF($V74="","",IF(AND(ISNUMBER($G74),$G74&lt;=IF($S74=MesCiclo,InicioCiclo,$S74+MOD(2-WEEKDAY($S74),7))+20),1,IF(N($W74)&gt;0,AVERAGEIFS($AA$5:$AA$1000,$U$5:$U$1000,ROW(),$V$5:$V$1000,"Sub"),$AA74)))</f>
        <v/>
      </c>
      <c r="AF74" s="62">
        <f>IF($V74="","",IF(AND(ISNUMBER($G74),$G74&lt;=IF($S74=MesCiclo,InicioCiclo,$S74+MOD(2-WEEKDAY($S74),7))+27),1,IF(N($W74)&gt;0,AVERAGEIFS($AB$5:$AB$1000,$U$5:$U$1000,ROW(),$V$5:$V$1000,"Sub"),$AB74)))</f>
        <v/>
      </c>
      <c r="AG74" s="62">
        <f>IF($V74&lt;&gt;"Macro","",IF(COUNTIFS($S$5:$S$1000,$S74,$V$5:$V$1000,"Macro",$H$5:$H$1000,"&gt;0")=0,1/COUNTIFS($S$5:$S$1000,$S74,$V$5:$V$1000,"Macro"),IF(AND(ISNUMBER($H74),N($H74)&gt;0),$H74,SUMIFS($H$5:$H$1000,$S$5:$S$1000,$S74,$V$5:$V$1000,"Macro")/COUNTIFS($S$5:$S$1000,$S74,$V$5:$V$1000,"Macro",$H$5:$H$1000,"&gt;0"))/(COUNTIFS($S$5:$S$1000,$S74,$V$5:$V$1000,"Macro")*SUMIFS($H$5:$H$1000,$S$5:$S$1000,$S74,$V$5:$V$1000,"Macro")/COUNTIFS($S$5:$S$1000,$S74,$V$5:$V$1000,"Macro",$H$5:$H$1000,"&gt;0"))))</f>
        <v/>
      </c>
      <c r="AH74" s="62" t="n"/>
      <c r="AI74" s="62" t="n"/>
      <c r="AJ74" s="62" t="n"/>
      <c r="AK74" s="62" t="n"/>
      <c r="AL74" s="62">
        <f>IF(LEFT($C74,11)="[Jefatura] ",IFERROR(MATCH("Riesgo Financiero|"&amp;MID($C74,12,500),rDname_ADM,0),0),"")</f>
        <v/>
      </c>
      <c r="AM74" s="62">
        <f>IF(N($AL74)&gt;0,INDEX(rIni_ADM,$AL74),IF(ISNUMBER($E74),$E74,""))</f>
        <v/>
      </c>
      <c r="AN74" s="62">
        <f>IF(N($AL74)&gt;0,INDEX(rLim_ADM,$AL74),IF(ISNUMBER($F74),$F74,""))</f>
        <v/>
      </c>
    </row>
    <row r="75">
      <c r="A75" s="56">
        <f>IF(NOT((COUNTA($B75:$D75)+COUNTA($G75:$L75)+COUNTA($Q75))&gt;0),"",IF($V75="Macro",COUNTIFS($V$5:$V75,"Macro",$S$5:$S75,$S75),IF(N($U75)=0,"?",COUNTIFS(INDEX($V$5:$V$1000,1):INDEX($V$5:$V$1000,$U75-4),"Macro",INDEX($S$5:$S$1000,1):INDEX($S$5:$S$1000,$U75-4),INDEX($S$5:$S$1000,$U75-4))&amp;"."&amp;COUNTIFS($U$5:$U75,$U75,$V$5:$V75,"Sub"))))</f>
        <v/>
      </c>
      <c r="B75" s="57" t="n"/>
      <c r="C75" s="58" t="n"/>
      <c r="D75" s="58" t="n"/>
      <c r="E75" s="59">
        <f>IF(N($AL75)&gt;0,INDEX(rIni_ADM,$AL75),"")</f>
        <v/>
      </c>
      <c r="F75" s="59">
        <f>IF(N($AL75)&gt;0,INDEX(rLim_ADM,$AL75),"")</f>
        <v/>
      </c>
      <c r="G75" s="59" t="n"/>
      <c r="H75" s="60" t="n"/>
      <c r="I75" s="60" t="n"/>
      <c r="J75" s="60" t="n"/>
      <c r="K75" s="60" t="n"/>
      <c r="L75" s="60" t="n"/>
      <c r="M75" s="61">
        <f>IF(NOT((COUNTA($B75:$D75)+COUNTA($G75:$L75)+COUNTA($Q75))&gt;0),"",IF(ISNUMBER($G75),1,IF(N($W75)&gt;0,AVERAGEIFS($X$5:$X$1000,$U$5:$U$1000,ROW(),$V$5:$V$1000,"Sub"),$X75)))</f>
        <v/>
      </c>
      <c r="N75" s="56">
        <f>IF($M75="","",IF($M75&gt;=1,"Completado",IF($M75&gt;0,"En curso","Pendiente")))</f>
        <v/>
      </c>
      <c r="O75" s="56">
        <f>IF(NOT((COUNTA($B75:$D75)+COUNTA($G75:$L75)+COUNTA($Q75))&gt;0),"",IF(ISNUMBER($G75),IF(AND(ISNUMBER($AN75),$G75&gt;$AN75),"Cumplida con "&amp;($G75-$AN75)&amp;IF($G75-$AN75=1," día"," días")&amp;" de retraso","Cumplida"),IF(N($M75)&gt;=1,"Cumplida",IF(NOT(ISNUMBER($AN75)),"Sin fecha límite",IF($AN75&lt;FechaRef,"Vencida hace "&amp;(FechaRef-$AN75)&amp;IF(FechaRef-$AN75=1," día"," días"),IF($AN75=FechaRef,"Vence hoy",IF($AN75-FechaRef&lt;=DiasAlerta,"Vence en "&amp;($AN75-FechaRef)&amp;IF($AN75-FechaRef=1," día"," días"),"En plazo")))))))</f>
        <v/>
      </c>
      <c r="P75" s="62" t="n"/>
      <c r="Q75" s="58" t="n"/>
      <c r="R75" s="63">
        <f>IF(NOT((COUNTA($B75:$D75)+COUNTA($G75:$L75)+COUNTA($Q75))&gt;0),"",IF((IF($C75="","Falta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",""))="","✔ OK","⚠ "&amp;LEFT(IF($C75="","Falta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",""),LEN(IF($C75="","Falta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",""))-3)))</f>
        <v/>
      </c>
      <c r="S75" s="64">
        <f>IF(NOT((COUNTA($B75:$D75)+COUNTA($G75:$L75)+COUNTA($Q75))&gt;0),"",IF(AND($V75="Sub",N($U75)&gt;0),IF(ISNUMBER(INDEX($AM$5:$AM$1000,$U75-4)),DATE(YEAR(INDEX($AM$5:$AM$1000,$U75-4)),MONTH(INDEX($AM$5:$AM$1000,$U75-4)),1),IF(ISNUMBER(INDEX($AN$5:$AN$1000,$U75-4)),DATE(YEAR(INDEX($AN$5:$AN$1000,$U75-4)),MONTH(INDEX($AN$5:$AN$1000,$U75-4)),1),MesCiclo)),IF(ISNUMBER($AM75),DATE(YEAR($AM75),MONTH($AM75),1),IF(ISNUMBER($AN75),DATE(YEAR($AN75),MONTH($AN75),1),MesCiclo))))</f>
        <v/>
      </c>
      <c r="T75" s="62">
        <f>IF(OR($S75="",$S75&lt;&gt;MesCiclo),"",COUNTIF($S$5:$S75,MesCiclo))</f>
        <v/>
      </c>
      <c r="U75" s="62">
        <f>IF($V75="","",IF($V75="Macro",ROW(),IFERROR(LOOKUP(2,1/($V$5:$V75="Macro"),ROW($V$5:$V75)),0)))</f>
        <v/>
      </c>
      <c r="V75" s="62">
        <f>IF(NOT((COUNTA($B75:$D75)+COUNTA($G75:$L75)+COUNTA($Q75))&gt;0),"",IF($B75="Subactividad","Sub","Macro"))</f>
        <v/>
      </c>
      <c r="W75" s="62">
        <f>IF($V75="Macro",COUNTIFS($U$5:$U$1000,ROW(),$V$5:$V$1000,"Sub"),"")</f>
        <v/>
      </c>
      <c r="X75" s="62">
        <f>IF($V75="","",IF(ISNUMBER($G75),1,IFERROR(LOOKUP(2,1/($I75:$L75&lt;&gt;""),$I75:$L75),0)))</f>
        <v/>
      </c>
      <c r="Y75" s="62">
        <f>IF($V75="","",IF(AND(ISNUMBER($G75),$G75&lt;=IF($S75=MesCiclo,InicioCiclo,$S75+MOD(2-WEEKDAY($S75),7))+6),1,IF(ISNUMBER($I75),$I75,0)))</f>
        <v/>
      </c>
      <c r="Z75" s="62">
        <f>IF($V75="","",IF(AND(ISNUMBER($G75),$G75&lt;=IF($S75=MesCiclo,InicioCiclo,$S75+MOD(2-WEEKDAY($S75),7))+13),1,IF(ISNUMBER($J75),$J75,$Y75)))</f>
        <v/>
      </c>
      <c r="AA75" s="62">
        <f>IF($V75="","",IF(AND(ISNUMBER($G75),$G75&lt;=IF($S75=MesCiclo,InicioCiclo,$S75+MOD(2-WEEKDAY($S75),7))+20),1,IF(ISNUMBER($K75),$K75,$Z75)))</f>
        <v/>
      </c>
      <c r="AB75" s="62">
        <f>IF($V75="","",IF(AND(ISNUMBER($G75),$G75&lt;=IF($S75=MesCiclo,InicioCiclo,$S75+MOD(2-WEEKDAY($S75),7))+27),1,IF(ISNUMBER($L75),$L75,$AA75)))</f>
        <v/>
      </c>
      <c r="AC75" s="62">
        <f>IF($V75="","",IF(AND(ISNUMBER($G75),$G75&lt;=IF($S75=MesCiclo,InicioCiclo,$S75+MOD(2-WEEKDAY($S75),7))+6),1,IF(N($W75)&gt;0,AVERAGEIFS($Y$5:$Y$1000,$U$5:$U$1000,ROW(),$V$5:$V$1000,"Sub"),$Y75)))</f>
        <v/>
      </c>
      <c r="AD75" s="62">
        <f>IF($V75="","",IF(AND(ISNUMBER($G75),$G75&lt;=IF($S75=MesCiclo,InicioCiclo,$S75+MOD(2-WEEKDAY($S75),7))+13),1,IF(N($W75)&gt;0,AVERAGEIFS($Z$5:$Z$1000,$U$5:$U$1000,ROW(),$V$5:$V$1000,"Sub"),$Z75)))</f>
        <v/>
      </c>
      <c r="AE75" s="62">
        <f>IF($V75="","",IF(AND(ISNUMBER($G75),$G75&lt;=IF($S75=MesCiclo,InicioCiclo,$S75+MOD(2-WEEKDAY($S75),7))+20),1,IF(N($W75)&gt;0,AVERAGEIFS($AA$5:$AA$1000,$U$5:$U$1000,ROW(),$V$5:$V$1000,"Sub"),$AA75)))</f>
        <v/>
      </c>
      <c r="AF75" s="62">
        <f>IF($V75="","",IF(AND(ISNUMBER($G75),$G75&lt;=IF($S75=MesCiclo,InicioCiclo,$S75+MOD(2-WEEKDAY($S75),7))+27),1,IF(N($W75)&gt;0,AVERAGEIFS($AB$5:$AB$1000,$U$5:$U$1000,ROW(),$V$5:$V$1000,"Sub"),$AB75)))</f>
        <v/>
      </c>
      <c r="AG75" s="62">
        <f>IF($V75&lt;&gt;"Macro","",IF(COUNTIFS($S$5:$S$1000,$S75,$V$5:$V$1000,"Macro",$H$5:$H$1000,"&gt;0")=0,1/COUNTIFS($S$5:$S$1000,$S75,$V$5:$V$1000,"Macro"),IF(AND(ISNUMBER($H75),N($H75)&gt;0),$H75,SUMIFS($H$5:$H$1000,$S$5:$S$1000,$S75,$V$5:$V$1000,"Macro")/COUNTIFS($S$5:$S$1000,$S75,$V$5:$V$1000,"Macro",$H$5:$H$1000,"&gt;0"))/(COUNTIFS($S$5:$S$1000,$S75,$V$5:$V$1000,"Macro")*SUMIFS($H$5:$H$1000,$S$5:$S$1000,$S75,$V$5:$V$1000,"Macro")/COUNTIFS($S$5:$S$1000,$S75,$V$5:$V$1000,"Macro",$H$5:$H$1000,"&gt;0"))))</f>
        <v/>
      </c>
      <c r="AH75" s="62" t="n"/>
      <c r="AI75" s="62" t="n"/>
      <c r="AJ75" s="62" t="n"/>
      <c r="AK75" s="62" t="n"/>
      <c r="AL75" s="62">
        <f>IF(LEFT($C75,11)="[Jefatura] ",IFERROR(MATCH("Riesgo Financiero|"&amp;MID($C75,12,500),rDname_ADM,0),0),"")</f>
        <v/>
      </c>
      <c r="AM75" s="62">
        <f>IF(N($AL75)&gt;0,INDEX(rIni_ADM,$AL75),IF(ISNUMBER($E75),$E75,""))</f>
        <v/>
      </c>
      <c r="AN75" s="62">
        <f>IF(N($AL75)&gt;0,INDEX(rLim_ADM,$AL75),IF(ISNUMBER($F75),$F75,""))</f>
        <v/>
      </c>
    </row>
    <row r="76">
      <c r="A76" s="56">
        <f>IF(NOT((COUNTA($B76:$D76)+COUNTA($G76:$L76)+COUNTA($Q76))&gt;0),"",IF($V76="Macro",COUNTIFS($V$5:$V76,"Macro",$S$5:$S76,$S76),IF(N($U76)=0,"?",COUNTIFS(INDEX($V$5:$V$1000,1):INDEX($V$5:$V$1000,$U76-4),"Macro",INDEX($S$5:$S$1000,1):INDEX($S$5:$S$1000,$U76-4),INDEX($S$5:$S$1000,$U76-4))&amp;"."&amp;COUNTIFS($U$5:$U76,$U76,$V$5:$V76,"Sub"))))</f>
        <v/>
      </c>
      <c r="B76" s="57" t="n"/>
      <c r="C76" s="58" t="n"/>
      <c r="D76" s="58" t="n"/>
      <c r="E76" s="59">
        <f>IF(N($AL76)&gt;0,INDEX(rIni_ADM,$AL76),"")</f>
        <v/>
      </c>
      <c r="F76" s="59">
        <f>IF(N($AL76)&gt;0,INDEX(rLim_ADM,$AL76),"")</f>
        <v/>
      </c>
      <c r="G76" s="59" t="n"/>
      <c r="H76" s="60" t="n"/>
      <c r="I76" s="60" t="n"/>
      <c r="J76" s="60" t="n"/>
      <c r="K76" s="60" t="n"/>
      <c r="L76" s="60" t="n"/>
      <c r="M76" s="61">
        <f>IF(NOT((COUNTA($B76:$D76)+COUNTA($G76:$L76)+COUNTA($Q76))&gt;0),"",IF(ISNUMBER($G76),1,IF(N($W76)&gt;0,AVERAGEIFS($X$5:$X$1000,$U$5:$U$1000,ROW(),$V$5:$V$1000,"Sub"),$X76)))</f>
        <v/>
      </c>
      <c r="N76" s="56">
        <f>IF($M76="","",IF($M76&gt;=1,"Completado",IF($M76&gt;0,"En curso","Pendiente")))</f>
        <v/>
      </c>
      <c r="O76" s="56">
        <f>IF(NOT((COUNTA($B76:$D76)+COUNTA($G76:$L76)+COUNTA($Q76))&gt;0),"",IF(ISNUMBER($G76),IF(AND(ISNUMBER($AN76),$G76&gt;$AN76),"Cumplida con "&amp;($G76-$AN76)&amp;IF($G76-$AN76=1," día"," días")&amp;" de retraso","Cumplida"),IF(N($M76)&gt;=1,"Cumplida",IF(NOT(ISNUMBER($AN76)),"Sin fecha límite",IF($AN76&lt;FechaRef,"Vencida hace "&amp;(FechaRef-$AN76)&amp;IF(FechaRef-$AN76=1," día"," días"),IF($AN76=FechaRef,"Vence hoy",IF($AN76-FechaRef&lt;=DiasAlerta,"Vence en "&amp;($AN76-FechaRef)&amp;IF($AN76-FechaRef=1," día"," días"),"En plazo")))))))</f>
        <v/>
      </c>
      <c r="P76" s="62" t="n"/>
      <c r="Q76" s="58" t="n"/>
      <c r="R76" s="63">
        <f>IF(NOT((COUNTA($B76:$D76)+COUNTA($G76:$L76)+COUNTA($Q76))&gt;0),"",IF((IF($C76="","Falta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",""))="","✔ OK","⚠ "&amp;LEFT(IF($C76="","Falta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",""),LEN(IF($C76="","Falta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",""))-3)))</f>
        <v/>
      </c>
      <c r="S76" s="64">
        <f>IF(NOT((COUNTA($B76:$D76)+COUNTA($G76:$L76)+COUNTA($Q76))&gt;0),"",IF(AND($V76="Sub",N($U76)&gt;0),IF(ISNUMBER(INDEX($AM$5:$AM$1000,$U76-4)),DATE(YEAR(INDEX($AM$5:$AM$1000,$U76-4)),MONTH(INDEX($AM$5:$AM$1000,$U76-4)),1),IF(ISNUMBER(INDEX($AN$5:$AN$1000,$U76-4)),DATE(YEAR(INDEX($AN$5:$AN$1000,$U76-4)),MONTH(INDEX($AN$5:$AN$1000,$U76-4)),1),MesCiclo)),IF(ISNUMBER($AM76),DATE(YEAR($AM76),MONTH($AM76),1),IF(ISNUMBER($AN76),DATE(YEAR($AN76),MONTH($AN76),1),MesCiclo))))</f>
        <v/>
      </c>
      <c r="T76" s="62">
        <f>IF(OR($S76="",$S76&lt;&gt;MesCiclo),"",COUNTIF($S$5:$S76,MesCiclo))</f>
        <v/>
      </c>
      <c r="U76" s="62">
        <f>IF($V76="","",IF($V76="Macro",ROW(),IFERROR(LOOKUP(2,1/($V$5:$V76="Macro"),ROW($V$5:$V76)),0)))</f>
        <v/>
      </c>
      <c r="V76" s="62">
        <f>IF(NOT((COUNTA($B76:$D76)+COUNTA($G76:$L76)+COUNTA($Q76))&gt;0),"",IF($B76="Subactividad","Sub","Macro"))</f>
        <v/>
      </c>
      <c r="W76" s="62">
        <f>IF($V76="Macro",COUNTIFS($U$5:$U$1000,ROW(),$V$5:$V$1000,"Sub"),"")</f>
        <v/>
      </c>
      <c r="X76" s="62">
        <f>IF($V76="","",IF(ISNUMBER($G76),1,IFERROR(LOOKUP(2,1/($I76:$L76&lt;&gt;""),$I76:$L76),0)))</f>
        <v/>
      </c>
      <c r="Y76" s="62">
        <f>IF($V76="","",IF(AND(ISNUMBER($G76),$G76&lt;=IF($S76=MesCiclo,InicioCiclo,$S76+MOD(2-WEEKDAY($S76),7))+6),1,IF(ISNUMBER($I76),$I76,0)))</f>
        <v/>
      </c>
      <c r="Z76" s="62">
        <f>IF($V76="","",IF(AND(ISNUMBER($G76),$G76&lt;=IF($S76=MesCiclo,InicioCiclo,$S76+MOD(2-WEEKDAY($S76),7))+13),1,IF(ISNUMBER($J76),$J76,$Y76)))</f>
        <v/>
      </c>
      <c r="AA76" s="62">
        <f>IF($V76="","",IF(AND(ISNUMBER($G76),$G76&lt;=IF($S76=MesCiclo,InicioCiclo,$S76+MOD(2-WEEKDAY($S76),7))+20),1,IF(ISNUMBER($K76),$K76,$Z76)))</f>
        <v/>
      </c>
      <c r="AB76" s="62">
        <f>IF($V76="","",IF(AND(ISNUMBER($G76),$G76&lt;=IF($S76=MesCiclo,InicioCiclo,$S76+MOD(2-WEEKDAY($S76),7))+27),1,IF(ISNUMBER($L76),$L76,$AA76)))</f>
        <v/>
      </c>
      <c r="AC76" s="62">
        <f>IF($V76="","",IF(AND(ISNUMBER($G76),$G76&lt;=IF($S76=MesCiclo,InicioCiclo,$S76+MOD(2-WEEKDAY($S76),7))+6),1,IF(N($W76)&gt;0,AVERAGEIFS($Y$5:$Y$1000,$U$5:$U$1000,ROW(),$V$5:$V$1000,"Sub"),$Y76)))</f>
        <v/>
      </c>
      <c r="AD76" s="62">
        <f>IF($V76="","",IF(AND(ISNUMBER($G76),$G76&lt;=IF($S76=MesCiclo,InicioCiclo,$S76+MOD(2-WEEKDAY($S76),7))+13),1,IF(N($W76)&gt;0,AVERAGEIFS($Z$5:$Z$1000,$U$5:$U$1000,ROW(),$V$5:$V$1000,"Sub"),$Z76)))</f>
        <v/>
      </c>
      <c r="AE76" s="62">
        <f>IF($V76="","",IF(AND(ISNUMBER($G76),$G76&lt;=IF($S76=MesCiclo,InicioCiclo,$S76+MOD(2-WEEKDAY($S76),7))+20),1,IF(N($W76)&gt;0,AVERAGEIFS($AA$5:$AA$1000,$U$5:$U$1000,ROW(),$V$5:$V$1000,"Sub"),$AA76)))</f>
        <v/>
      </c>
      <c r="AF76" s="62">
        <f>IF($V76="","",IF(AND(ISNUMBER($G76),$G76&lt;=IF($S76=MesCiclo,InicioCiclo,$S76+MOD(2-WEEKDAY($S76),7))+27),1,IF(N($W76)&gt;0,AVERAGEIFS($AB$5:$AB$1000,$U$5:$U$1000,ROW(),$V$5:$V$1000,"Sub"),$AB76)))</f>
        <v/>
      </c>
      <c r="AG76" s="62">
        <f>IF($V76&lt;&gt;"Macro","",IF(COUNTIFS($S$5:$S$1000,$S76,$V$5:$V$1000,"Macro",$H$5:$H$1000,"&gt;0")=0,1/COUNTIFS($S$5:$S$1000,$S76,$V$5:$V$1000,"Macro"),IF(AND(ISNUMBER($H76),N($H76)&gt;0),$H76,SUMIFS($H$5:$H$1000,$S$5:$S$1000,$S76,$V$5:$V$1000,"Macro")/COUNTIFS($S$5:$S$1000,$S76,$V$5:$V$1000,"Macro",$H$5:$H$1000,"&gt;0"))/(COUNTIFS($S$5:$S$1000,$S76,$V$5:$V$1000,"Macro")*SUMIFS($H$5:$H$1000,$S$5:$S$1000,$S76,$V$5:$V$1000,"Macro")/COUNTIFS($S$5:$S$1000,$S76,$V$5:$V$1000,"Macro",$H$5:$H$1000,"&gt;0"))))</f>
        <v/>
      </c>
      <c r="AH76" s="62" t="n"/>
      <c r="AI76" s="62" t="n"/>
      <c r="AJ76" s="62" t="n"/>
      <c r="AK76" s="62" t="n"/>
      <c r="AL76" s="62">
        <f>IF(LEFT($C76,11)="[Jefatura] ",IFERROR(MATCH("Riesgo Financiero|"&amp;MID($C76,12,500),rDname_ADM,0),0),"")</f>
        <v/>
      </c>
      <c r="AM76" s="62">
        <f>IF(N($AL76)&gt;0,INDEX(rIni_ADM,$AL76),IF(ISNUMBER($E76),$E76,""))</f>
        <v/>
      </c>
      <c r="AN76" s="62">
        <f>IF(N($AL76)&gt;0,INDEX(rLim_ADM,$AL76),IF(ISNUMBER($F76),$F76,""))</f>
        <v/>
      </c>
    </row>
    <row r="77">
      <c r="A77" s="56">
        <f>IF(NOT((COUNTA($B77:$D77)+COUNTA($G77:$L77)+COUNTA($Q77))&gt;0),"",IF($V77="Macro",COUNTIFS($V$5:$V77,"Macro",$S$5:$S77,$S77),IF(N($U77)=0,"?",COUNTIFS(INDEX($V$5:$V$1000,1):INDEX($V$5:$V$1000,$U77-4),"Macro",INDEX($S$5:$S$1000,1):INDEX($S$5:$S$1000,$U77-4),INDEX($S$5:$S$1000,$U77-4))&amp;"."&amp;COUNTIFS($U$5:$U77,$U77,$V$5:$V77,"Sub"))))</f>
        <v/>
      </c>
      <c r="B77" s="57" t="n"/>
      <c r="C77" s="58" t="n"/>
      <c r="D77" s="58" t="n"/>
      <c r="E77" s="59">
        <f>IF(N($AL77)&gt;0,INDEX(rIni_ADM,$AL77),"")</f>
        <v/>
      </c>
      <c r="F77" s="59">
        <f>IF(N($AL77)&gt;0,INDEX(rLim_ADM,$AL77),"")</f>
        <v/>
      </c>
      <c r="G77" s="59" t="n"/>
      <c r="H77" s="60" t="n"/>
      <c r="I77" s="60" t="n"/>
      <c r="J77" s="60" t="n"/>
      <c r="K77" s="60" t="n"/>
      <c r="L77" s="60" t="n"/>
      <c r="M77" s="61">
        <f>IF(NOT((COUNTA($B77:$D77)+COUNTA($G77:$L77)+COUNTA($Q77))&gt;0),"",IF(ISNUMBER($G77),1,IF(N($W77)&gt;0,AVERAGEIFS($X$5:$X$1000,$U$5:$U$1000,ROW(),$V$5:$V$1000,"Sub"),$X77)))</f>
        <v/>
      </c>
      <c r="N77" s="56">
        <f>IF($M77="","",IF($M77&gt;=1,"Completado",IF($M77&gt;0,"En curso","Pendiente")))</f>
        <v/>
      </c>
      <c r="O77" s="56">
        <f>IF(NOT((COUNTA($B77:$D77)+COUNTA($G77:$L77)+COUNTA($Q77))&gt;0),"",IF(ISNUMBER($G77),IF(AND(ISNUMBER($AN77),$G77&gt;$AN77),"Cumplida con "&amp;($G77-$AN77)&amp;IF($G77-$AN77=1," día"," días")&amp;" de retraso","Cumplida"),IF(N($M77)&gt;=1,"Cumplida",IF(NOT(ISNUMBER($AN77)),"Sin fecha límite",IF($AN77&lt;FechaRef,"Vencida hace "&amp;(FechaRef-$AN77)&amp;IF(FechaRef-$AN77=1," día"," días"),IF($AN77=FechaRef,"Vence hoy",IF($AN77-FechaRef&lt;=DiasAlerta,"Vence en "&amp;($AN77-FechaRef)&amp;IF($AN77-FechaRef=1," día"," días"),"En plazo")))))))</f>
        <v/>
      </c>
      <c r="P77" s="62" t="n"/>
      <c r="Q77" s="58" t="n"/>
      <c r="R77" s="63">
        <f>IF(NOT((COUNTA($B77:$D77)+COUNTA($G77:$L77)+COUNTA($Q77))&gt;0),"",IF((IF($C77="","Falta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",""))="","✔ OK","⚠ "&amp;LEFT(IF($C77="","Falta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",""),LEN(IF($C77="","Falta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",""))-3)))</f>
        <v/>
      </c>
      <c r="S77" s="64">
        <f>IF(NOT((COUNTA($B77:$D77)+COUNTA($G77:$L77)+COUNTA($Q77))&gt;0),"",IF(AND($V77="Sub",N($U77)&gt;0),IF(ISNUMBER(INDEX($AM$5:$AM$1000,$U77-4)),DATE(YEAR(INDEX($AM$5:$AM$1000,$U77-4)),MONTH(INDEX($AM$5:$AM$1000,$U77-4)),1),IF(ISNUMBER(INDEX($AN$5:$AN$1000,$U77-4)),DATE(YEAR(INDEX($AN$5:$AN$1000,$U77-4)),MONTH(INDEX($AN$5:$AN$1000,$U77-4)),1),MesCiclo)),IF(ISNUMBER($AM77),DATE(YEAR($AM77),MONTH($AM77),1),IF(ISNUMBER($AN77),DATE(YEAR($AN77),MONTH($AN77),1),MesCiclo))))</f>
        <v/>
      </c>
      <c r="T77" s="62">
        <f>IF(OR($S77="",$S77&lt;&gt;MesCiclo),"",COUNTIF($S$5:$S77,MesCiclo))</f>
        <v/>
      </c>
      <c r="U77" s="62">
        <f>IF($V77="","",IF($V77="Macro",ROW(),IFERROR(LOOKUP(2,1/($V$5:$V77="Macro"),ROW($V$5:$V77)),0)))</f>
        <v/>
      </c>
      <c r="V77" s="62">
        <f>IF(NOT((COUNTA($B77:$D77)+COUNTA($G77:$L77)+COUNTA($Q77))&gt;0),"",IF($B77="Subactividad","Sub","Macro"))</f>
        <v/>
      </c>
      <c r="W77" s="62">
        <f>IF($V77="Macro",COUNTIFS($U$5:$U$1000,ROW(),$V$5:$V$1000,"Sub"),"")</f>
        <v/>
      </c>
      <c r="X77" s="62">
        <f>IF($V77="","",IF(ISNUMBER($G77),1,IFERROR(LOOKUP(2,1/($I77:$L77&lt;&gt;""),$I77:$L77),0)))</f>
        <v/>
      </c>
      <c r="Y77" s="62">
        <f>IF($V77="","",IF(AND(ISNUMBER($G77),$G77&lt;=IF($S77=MesCiclo,InicioCiclo,$S77+MOD(2-WEEKDAY($S77),7))+6),1,IF(ISNUMBER($I77),$I77,0)))</f>
        <v/>
      </c>
      <c r="Z77" s="62">
        <f>IF($V77="","",IF(AND(ISNUMBER($G77),$G77&lt;=IF($S77=MesCiclo,InicioCiclo,$S77+MOD(2-WEEKDAY($S77),7))+13),1,IF(ISNUMBER($J77),$J77,$Y77)))</f>
        <v/>
      </c>
      <c r="AA77" s="62">
        <f>IF($V77="","",IF(AND(ISNUMBER($G77),$G77&lt;=IF($S77=MesCiclo,InicioCiclo,$S77+MOD(2-WEEKDAY($S77),7))+20),1,IF(ISNUMBER($K77),$K77,$Z77)))</f>
        <v/>
      </c>
      <c r="AB77" s="62">
        <f>IF($V77="","",IF(AND(ISNUMBER($G77),$G77&lt;=IF($S77=MesCiclo,InicioCiclo,$S77+MOD(2-WEEKDAY($S77),7))+27),1,IF(ISNUMBER($L77),$L77,$AA77)))</f>
        <v/>
      </c>
      <c r="AC77" s="62">
        <f>IF($V77="","",IF(AND(ISNUMBER($G77),$G77&lt;=IF($S77=MesCiclo,InicioCiclo,$S77+MOD(2-WEEKDAY($S77),7))+6),1,IF(N($W77)&gt;0,AVERAGEIFS($Y$5:$Y$1000,$U$5:$U$1000,ROW(),$V$5:$V$1000,"Sub"),$Y77)))</f>
        <v/>
      </c>
      <c r="AD77" s="62">
        <f>IF($V77="","",IF(AND(ISNUMBER($G77),$G77&lt;=IF($S77=MesCiclo,InicioCiclo,$S77+MOD(2-WEEKDAY($S77),7))+13),1,IF(N($W77)&gt;0,AVERAGEIFS($Z$5:$Z$1000,$U$5:$U$1000,ROW(),$V$5:$V$1000,"Sub"),$Z77)))</f>
        <v/>
      </c>
      <c r="AE77" s="62">
        <f>IF($V77="","",IF(AND(ISNUMBER($G77),$G77&lt;=IF($S77=MesCiclo,InicioCiclo,$S77+MOD(2-WEEKDAY($S77),7))+20),1,IF(N($W77)&gt;0,AVERAGEIFS($AA$5:$AA$1000,$U$5:$U$1000,ROW(),$V$5:$V$1000,"Sub"),$AA77)))</f>
        <v/>
      </c>
      <c r="AF77" s="62">
        <f>IF($V77="","",IF(AND(ISNUMBER($G77),$G77&lt;=IF($S77=MesCiclo,InicioCiclo,$S77+MOD(2-WEEKDAY($S77),7))+27),1,IF(N($W77)&gt;0,AVERAGEIFS($AB$5:$AB$1000,$U$5:$U$1000,ROW(),$V$5:$V$1000,"Sub"),$AB77)))</f>
        <v/>
      </c>
      <c r="AG77" s="62">
        <f>IF($V77&lt;&gt;"Macro","",IF(COUNTIFS($S$5:$S$1000,$S77,$V$5:$V$1000,"Macro",$H$5:$H$1000,"&gt;0")=0,1/COUNTIFS($S$5:$S$1000,$S77,$V$5:$V$1000,"Macro"),IF(AND(ISNUMBER($H77),N($H77)&gt;0),$H77,SUMIFS($H$5:$H$1000,$S$5:$S$1000,$S77,$V$5:$V$1000,"Macro")/COUNTIFS($S$5:$S$1000,$S77,$V$5:$V$1000,"Macro",$H$5:$H$1000,"&gt;0"))/(COUNTIFS($S$5:$S$1000,$S77,$V$5:$V$1000,"Macro")*SUMIFS($H$5:$H$1000,$S$5:$S$1000,$S77,$V$5:$V$1000,"Macro")/COUNTIFS($S$5:$S$1000,$S77,$V$5:$V$1000,"Macro",$H$5:$H$1000,"&gt;0"))))</f>
        <v/>
      </c>
      <c r="AH77" s="62" t="n"/>
      <c r="AI77" s="62" t="n"/>
      <c r="AJ77" s="62" t="n"/>
      <c r="AK77" s="62" t="n"/>
      <c r="AL77" s="62">
        <f>IF(LEFT($C77,11)="[Jefatura] ",IFERROR(MATCH("Riesgo Financiero|"&amp;MID($C77,12,500),rDname_ADM,0),0),"")</f>
        <v/>
      </c>
      <c r="AM77" s="62">
        <f>IF(N($AL77)&gt;0,INDEX(rIni_ADM,$AL77),IF(ISNUMBER($E77),$E77,""))</f>
        <v/>
      </c>
      <c r="AN77" s="62">
        <f>IF(N($AL77)&gt;0,INDEX(rLim_ADM,$AL77),IF(ISNUMBER($F77),$F77,""))</f>
        <v/>
      </c>
    </row>
    <row r="78">
      <c r="A78" s="56">
        <f>IF(NOT((COUNTA($B78:$D78)+COUNTA($G78:$L78)+COUNTA($Q78))&gt;0),"",IF($V78="Macro",COUNTIFS($V$5:$V78,"Macro",$S$5:$S78,$S78),IF(N($U78)=0,"?",COUNTIFS(INDEX($V$5:$V$1000,1):INDEX($V$5:$V$1000,$U78-4),"Macro",INDEX($S$5:$S$1000,1):INDEX($S$5:$S$1000,$U78-4),INDEX($S$5:$S$1000,$U78-4))&amp;"."&amp;COUNTIFS($U$5:$U78,$U78,$V$5:$V78,"Sub"))))</f>
        <v/>
      </c>
      <c r="B78" s="57" t="n"/>
      <c r="C78" s="58" t="n"/>
      <c r="D78" s="58" t="n"/>
      <c r="E78" s="59">
        <f>IF(N($AL78)&gt;0,INDEX(rIni_ADM,$AL78),"")</f>
        <v/>
      </c>
      <c r="F78" s="59">
        <f>IF(N($AL78)&gt;0,INDEX(rLim_ADM,$AL78),"")</f>
        <v/>
      </c>
      <c r="G78" s="59" t="n"/>
      <c r="H78" s="60" t="n"/>
      <c r="I78" s="60" t="n"/>
      <c r="J78" s="60" t="n"/>
      <c r="K78" s="60" t="n"/>
      <c r="L78" s="60" t="n"/>
      <c r="M78" s="61">
        <f>IF(NOT((COUNTA($B78:$D78)+COUNTA($G78:$L78)+COUNTA($Q78))&gt;0),"",IF(ISNUMBER($G78),1,IF(N($W78)&gt;0,AVERAGEIFS($X$5:$X$1000,$U$5:$U$1000,ROW(),$V$5:$V$1000,"Sub"),$X78)))</f>
        <v/>
      </c>
      <c r="N78" s="56">
        <f>IF($M78="","",IF($M78&gt;=1,"Completado",IF($M78&gt;0,"En curso","Pendiente")))</f>
        <v/>
      </c>
      <c r="O78" s="56">
        <f>IF(NOT((COUNTA($B78:$D78)+COUNTA($G78:$L78)+COUNTA($Q78))&gt;0),"",IF(ISNUMBER($G78),IF(AND(ISNUMBER($AN78),$G78&gt;$AN78),"Cumplida con "&amp;($G78-$AN78)&amp;IF($G78-$AN78=1," día"," días")&amp;" de retraso","Cumplida"),IF(N($M78)&gt;=1,"Cumplida",IF(NOT(ISNUMBER($AN78)),"Sin fecha límite",IF($AN78&lt;FechaRef,"Vencida hace "&amp;(FechaRef-$AN78)&amp;IF(FechaRef-$AN78=1," día"," días"),IF($AN78=FechaRef,"Vence hoy",IF($AN78-FechaRef&lt;=DiasAlerta,"Vence en "&amp;($AN78-FechaRef)&amp;IF($AN78-FechaRef=1," día"," días"),"En plazo")))))))</f>
        <v/>
      </c>
      <c r="P78" s="62" t="n"/>
      <c r="Q78" s="58" t="n"/>
      <c r="R78" s="63">
        <f>IF(NOT((COUNTA($B78:$D78)+COUNTA($G78:$L78)+COUNTA($Q78))&gt;0),"",IF((IF($C78="","Falta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",""))="","✔ OK","⚠ "&amp;LEFT(IF($C78="","Falta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",""),LEN(IF($C78="","Falta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",""))-3)))</f>
        <v/>
      </c>
      <c r="S78" s="64">
        <f>IF(NOT((COUNTA($B78:$D78)+COUNTA($G78:$L78)+COUNTA($Q78))&gt;0),"",IF(AND($V78="Sub",N($U78)&gt;0),IF(ISNUMBER(INDEX($AM$5:$AM$1000,$U78-4)),DATE(YEAR(INDEX($AM$5:$AM$1000,$U78-4)),MONTH(INDEX($AM$5:$AM$1000,$U78-4)),1),IF(ISNUMBER(INDEX($AN$5:$AN$1000,$U78-4)),DATE(YEAR(INDEX($AN$5:$AN$1000,$U78-4)),MONTH(INDEX($AN$5:$AN$1000,$U78-4)),1),MesCiclo)),IF(ISNUMBER($AM78),DATE(YEAR($AM78),MONTH($AM78),1),IF(ISNUMBER($AN78),DATE(YEAR($AN78),MONTH($AN78),1),MesCiclo))))</f>
        <v/>
      </c>
      <c r="T78" s="62">
        <f>IF(OR($S78="",$S78&lt;&gt;MesCiclo),"",COUNTIF($S$5:$S78,MesCiclo))</f>
        <v/>
      </c>
      <c r="U78" s="62">
        <f>IF($V78="","",IF($V78="Macro",ROW(),IFERROR(LOOKUP(2,1/($V$5:$V78="Macro"),ROW($V$5:$V78)),0)))</f>
        <v/>
      </c>
      <c r="V78" s="62">
        <f>IF(NOT((COUNTA($B78:$D78)+COUNTA($G78:$L78)+COUNTA($Q78))&gt;0),"",IF($B78="Subactividad","Sub","Macro"))</f>
        <v/>
      </c>
      <c r="W78" s="62">
        <f>IF($V78="Macro",COUNTIFS($U$5:$U$1000,ROW(),$V$5:$V$1000,"Sub"),"")</f>
        <v/>
      </c>
      <c r="X78" s="62">
        <f>IF($V78="","",IF(ISNUMBER($G78),1,IFERROR(LOOKUP(2,1/($I78:$L78&lt;&gt;""),$I78:$L78),0)))</f>
        <v/>
      </c>
      <c r="Y78" s="62">
        <f>IF($V78="","",IF(AND(ISNUMBER($G78),$G78&lt;=IF($S78=MesCiclo,InicioCiclo,$S78+MOD(2-WEEKDAY($S78),7))+6),1,IF(ISNUMBER($I78),$I78,0)))</f>
        <v/>
      </c>
      <c r="Z78" s="62">
        <f>IF($V78="","",IF(AND(ISNUMBER($G78),$G78&lt;=IF($S78=MesCiclo,InicioCiclo,$S78+MOD(2-WEEKDAY($S78),7))+13),1,IF(ISNUMBER($J78),$J78,$Y78)))</f>
        <v/>
      </c>
      <c r="AA78" s="62">
        <f>IF($V78="","",IF(AND(ISNUMBER($G78),$G78&lt;=IF($S78=MesCiclo,InicioCiclo,$S78+MOD(2-WEEKDAY($S78),7))+20),1,IF(ISNUMBER($K78),$K78,$Z78)))</f>
        <v/>
      </c>
      <c r="AB78" s="62">
        <f>IF($V78="","",IF(AND(ISNUMBER($G78),$G78&lt;=IF($S78=MesCiclo,InicioCiclo,$S78+MOD(2-WEEKDAY($S78),7))+27),1,IF(ISNUMBER($L78),$L78,$AA78)))</f>
        <v/>
      </c>
      <c r="AC78" s="62">
        <f>IF($V78="","",IF(AND(ISNUMBER($G78),$G78&lt;=IF($S78=MesCiclo,InicioCiclo,$S78+MOD(2-WEEKDAY($S78),7))+6),1,IF(N($W78)&gt;0,AVERAGEIFS($Y$5:$Y$1000,$U$5:$U$1000,ROW(),$V$5:$V$1000,"Sub"),$Y78)))</f>
        <v/>
      </c>
      <c r="AD78" s="62">
        <f>IF($V78="","",IF(AND(ISNUMBER($G78),$G78&lt;=IF($S78=MesCiclo,InicioCiclo,$S78+MOD(2-WEEKDAY($S78),7))+13),1,IF(N($W78)&gt;0,AVERAGEIFS($Z$5:$Z$1000,$U$5:$U$1000,ROW(),$V$5:$V$1000,"Sub"),$Z78)))</f>
        <v/>
      </c>
      <c r="AE78" s="62">
        <f>IF($V78="","",IF(AND(ISNUMBER($G78),$G78&lt;=IF($S78=MesCiclo,InicioCiclo,$S78+MOD(2-WEEKDAY($S78),7))+20),1,IF(N($W78)&gt;0,AVERAGEIFS($AA$5:$AA$1000,$U$5:$U$1000,ROW(),$V$5:$V$1000,"Sub"),$AA78)))</f>
        <v/>
      </c>
      <c r="AF78" s="62">
        <f>IF($V78="","",IF(AND(ISNUMBER($G78),$G78&lt;=IF($S78=MesCiclo,InicioCiclo,$S78+MOD(2-WEEKDAY($S78),7))+27),1,IF(N($W78)&gt;0,AVERAGEIFS($AB$5:$AB$1000,$U$5:$U$1000,ROW(),$V$5:$V$1000,"Sub"),$AB78)))</f>
        <v/>
      </c>
      <c r="AG78" s="62">
        <f>IF($V78&lt;&gt;"Macro","",IF(COUNTIFS($S$5:$S$1000,$S78,$V$5:$V$1000,"Macro",$H$5:$H$1000,"&gt;0")=0,1/COUNTIFS($S$5:$S$1000,$S78,$V$5:$V$1000,"Macro"),IF(AND(ISNUMBER($H78),N($H78)&gt;0),$H78,SUMIFS($H$5:$H$1000,$S$5:$S$1000,$S78,$V$5:$V$1000,"Macro")/COUNTIFS($S$5:$S$1000,$S78,$V$5:$V$1000,"Macro",$H$5:$H$1000,"&gt;0"))/(COUNTIFS($S$5:$S$1000,$S78,$V$5:$V$1000,"Macro")*SUMIFS($H$5:$H$1000,$S$5:$S$1000,$S78,$V$5:$V$1000,"Macro")/COUNTIFS($S$5:$S$1000,$S78,$V$5:$V$1000,"Macro",$H$5:$H$1000,"&gt;0"))))</f>
        <v/>
      </c>
      <c r="AH78" s="62" t="n"/>
      <c r="AI78" s="62" t="n"/>
      <c r="AJ78" s="62" t="n"/>
      <c r="AK78" s="62" t="n"/>
      <c r="AL78" s="62">
        <f>IF(LEFT($C78,11)="[Jefatura] ",IFERROR(MATCH("Riesgo Financiero|"&amp;MID($C78,12,500),rDname_ADM,0),0),"")</f>
        <v/>
      </c>
      <c r="AM78" s="62">
        <f>IF(N($AL78)&gt;0,INDEX(rIni_ADM,$AL78),IF(ISNUMBER($E78),$E78,""))</f>
        <v/>
      </c>
      <c r="AN78" s="62">
        <f>IF(N($AL78)&gt;0,INDEX(rLim_ADM,$AL78),IF(ISNUMBER($F78),$F78,""))</f>
        <v/>
      </c>
    </row>
    <row r="79">
      <c r="A79" s="56">
        <f>IF(NOT((COUNTA($B79:$D79)+COUNTA($G79:$L79)+COUNTA($Q79))&gt;0),"",IF($V79="Macro",COUNTIFS($V$5:$V79,"Macro",$S$5:$S79,$S79),IF(N($U79)=0,"?",COUNTIFS(INDEX($V$5:$V$1000,1):INDEX($V$5:$V$1000,$U79-4),"Macro",INDEX($S$5:$S$1000,1):INDEX($S$5:$S$1000,$U79-4),INDEX($S$5:$S$1000,$U79-4))&amp;"."&amp;COUNTIFS($U$5:$U79,$U79,$V$5:$V79,"Sub"))))</f>
        <v/>
      </c>
      <c r="B79" s="57" t="n"/>
      <c r="C79" s="58" t="n"/>
      <c r="D79" s="58" t="n"/>
      <c r="E79" s="59">
        <f>IF(N($AL79)&gt;0,INDEX(rIni_ADM,$AL79),"")</f>
        <v/>
      </c>
      <c r="F79" s="59">
        <f>IF(N($AL79)&gt;0,INDEX(rLim_ADM,$AL79),"")</f>
        <v/>
      </c>
      <c r="G79" s="59" t="n"/>
      <c r="H79" s="60" t="n"/>
      <c r="I79" s="60" t="n"/>
      <c r="J79" s="60" t="n"/>
      <c r="K79" s="60" t="n"/>
      <c r="L79" s="60" t="n"/>
      <c r="M79" s="61">
        <f>IF(NOT((COUNTA($B79:$D79)+COUNTA($G79:$L79)+COUNTA($Q79))&gt;0),"",IF(ISNUMBER($G79),1,IF(N($W79)&gt;0,AVERAGEIFS($X$5:$X$1000,$U$5:$U$1000,ROW(),$V$5:$V$1000,"Sub"),$X79)))</f>
        <v/>
      </c>
      <c r="N79" s="56">
        <f>IF($M79="","",IF($M79&gt;=1,"Completado",IF($M79&gt;0,"En curso","Pendiente")))</f>
        <v/>
      </c>
      <c r="O79" s="56">
        <f>IF(NOT((COUNTA($B79:$D79)+COUNTA($G79:$L79)+COUNTA($Q79))&gt;0),"",IF(ISNUMBER($G79),IF(AND(ISNUMBER($AN79),$G79&gt;$AN79),"Cumplida con "&amp;($G79-$AN79)&amp;IF($G79-$AN79=1," día"," días")&amp;" de retraso","Cumplida"),IF(N($M79)&gt;=1,"Cumplida",IF(NOT(ISNUMBER($AN79)),"Sin fecha límite",IF($AN79&lt;FechaRef,"Vencida hace "&amp;(FechaRef-$AN79)&amp;IF(FechaRef-$AN79=1," día"," días"),IF($AN79=FechaRef,"Vence hoy",IF($AN79-FechaRef&lt;=DiasAlerta,"Vence en "&amp;($AN79-FechaRef)&amp;IF($AN79-FechaRef=1," día"," días"),"En plazo")))))))</f>
        <v/>
      </c>
      <c r="P79" s="62" t="n"/>
      <c r="Q79" s="58" t="n"/>
      <c r="R79" s="63">
        <f>IF(NOT((COUNTA($B79:$D79)+COUNTA($G79:$L79)+COUNTA($Q79))&gt;0),"",IF((IF($C79="","Falta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",""))="","✔ OK","⚠ "&amp;LEFT(IF($C79="","Falta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",""),LEN(IF($C79="","Falta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",""))-3)))</f>
        <v/>
      </c>
      <c r="S79" s="64">
        <f>IF(NOT((COUNTA($B79:$D79)+COUNTA($G79:$L79)+COUNTA($Q79))&gt;0),"",IF(AND($V79="Sub",N($U79)&gt;0),IF(ISNUMBER(INDEX($AM$5:$AM$1000,$U79-4)),DATE(YEAR(INDEX($AM$5:$AM$1000,$U79-4)),MONTH(INDEX($AM$5:$AM$1000,$U79-4)),1),IF(ISNUMBER(INDEX($AN$5:$AN$1000,$U79-4)),DATE(YEAR(INDEX($AN$5:$AN$1000,$U79-4)),MONTH(INDEX($AN$5:$AN$1000,$U79-4)),1),MesCiclo)),IF(ISNUMBER($AM79),DATE(YEAR($AM79),MONTH($AM79),1),IF(ISNUMBER($AN79),DATE(YEAR($AN79),MONTH($AN79),1),MesCiclo))))</f>
        <v/>
      </c>
      <c r="T79" s="62">
        <f>IF(OR($S79="",$S79&lt;&gt;MesCiclo),"",COUNTIF($S$5:$S79,MesCiclo))</f>
        <v/>
      </c>
      <c r="U79" s="62">
        <f>IF($V79="","",IF($V79="Macro",ROW(),IFERROR(LOOKUP(2,1/($V$5:$V79="Macro"),ROW($V$5:$V79)),0)))</f>
        <v/>
      </c>
      <c r="V79" s="62">
        <f>IF(NOT((COUNTA($B79:$D79)+COUNTA($G79:$L79)+COUNTA($Q79))&gt;0),"",IF($B79="Subactividad","Sub","Macro"))</f>
        <v/>
      </c>
      <c r="W79" s="62">
        <f>IF($V79="Macro",COUNTIFS($U$5:$U$1000,ROW(),$V$5:$V$1000,"Sub"),"")</f>
        <v/>
      </c>
      <c r="X79" s="62">
        <f>IF($V79="","",IF(ISNUMBER($G79),1,IFERROR(LOOKUP(2,1/($I79:$L79&lt;&gt;""),$I79:$L79),0)))</f>
        <v/>
      </c>
      <c r="Y79" s="62">
        <f>IF($V79="","",IF(AND(ISNUMBER($G79),$G79&lt;=IF($S79=MesCiclo,InicioCiclo,$S79+MOD(2-WEEKDAY($S79),7))+6),1,IF(ISNUMBER($I79),$I79,0)))</f>
        <v/>
      </c>
      <c r="Z79" s="62">
        <f>IF($V79="","",IF(AND(ISNUMBER($G79),$G79&lt;=IF($S79=MesCiclo,InicioCiclo,$S79+MOD(2-WEEKDAY($S79),7))+13),1,IF(ISNUMBER($J79),$J79,$Y79)))</f>
        <v/>
      </c>
      <c r="AA79" s="62">
        <f>IF($V79="","",IF(AND(ISNUMBER($G79),$G79&lt;=IF($S79=MesCiclo,InicioCiclo,$S79+MOD(2-WEEKDAY($S79),7))+20),1,IF(ISNUMBER($K79),$K79,$Z79)))</f>
        <v/>
      </c>
      <c r="AB79" s="62">
        <f>IF($V79="","",IF(AND(ISNUMBER($G79),$G79&lt;=IF($S79=MesCiclo,InicioCiclo,$S79+MOD(2-WEEKDAY($S79),7))+27),1,IF(ISNUMBER($L79),$L79,$AA79)))</f>
        <v/>
      </c>
      <c r="AC79" s="62">
        <f>IF($V79="","",IF(AND(ISNUMBER($G79),$G79&lt;=IF($S79=MesCiclo,InicioCiclo,$S79+MOD(2-WEEKDAY($S79),7))+6),1,IF(N($W79)&gt;0,AVERAGEIFS($Y$5:$Y$1000,$U$5:$U$1000,ROW(),$V$5:$V$1000,"Sub"),$Y79)))</f>
        <v/>
      </c>
      <c r="AD79" s="62">
        <f>IF($V79="","",IF(AND(ISNUMBER($G79),$G79&lt;=IF($S79=MesCiclo,InicioCiclo,$S79+MOD(2-WEEKDAY($S79),7))+13),1,IF(N($W79)&gt;0,AVERAGEIFS($Z$5:$Z$1000,$U$5:$U$1000,ROW(),$V$5:$V$1000,"Sub"),$Z79)))</f>
        <v/>
      </c>
      <c r="AE79" s="62">
        <f>IF($V79="","",IF(AND(ISNUMBER($G79),$G79&lt;=IF($S79=MesCiclo,InicioCiclo,$S79+MOD(2-WEEKDAY($S79),7))+20),1,IF(N($W79)&gt;0,AVERAGEIFS($AA$5:$AA$1000,$U$5:$U$1000,ROW(),$V$5:$V$1000,"Sub"),$AA79)))</f>
        <v/>
      </c>
      <c r="AF79" s="62">
        <f>IF($V79="","",IF(AND(ISNUMBER($G79),$G79&lt;=IF($S79=MesCiclo,InicioCiclo,$S79+MOD(2-WEEKDAY($S79),7))+27),1,IF(N($W79)&gt;0,AVERAGEIFS($AB$5:$AB$1000,$U$5:$U$1000,ROW(),$V$5:$V$1000,"Sub"),$AB79)))</f>
        <v/>
      </c>
      <c r="AG79" s="62">
        <f>IF($V79&lt;&gt;"Macro","",IF(COUNTIFS($S$5:$S$1000,$S79,$V$5:$V$1000,"Macro",$H$5:$H$1000,"&gt;0")=0,1/COUNTIFS($S$5:$S$1000,$S79,$V$5:$V$1000,"Macro"),IF(AND(ISNUMBER($H79),N($H79)&gt;0),$H79,SUMIFS($H$5:$H$1000,$S$5:$S$1000,$S79,$V$5:$V$1000,"Macro")/COUNTIFS($S$5:$S$1000,$S79,$V$5:$V$1000,"Macro",$H$5:$H$1000,"&gt;0"))/(COUNTIFS($S$5:$S$1000,$S79,$V$5:$V$1000,"Macro")*SUMIFS($H$5:$H$1000,$S$5:$S$1000,$S79,$V$5:$V$1000,"Macro")/COUNTIFS($S$5:$S$1000,$S79,$V$5:$V$1000,"Macro",$H$5:$H$1000,"&gt;0"))))</f>
        <v/>
      </c>
      <c r="AH79" s="62" t="n"/>
      <c r="AI79" s="62" t="n"/>
      <c r="AJ79" s="62" t="n"/>
      <c r="AK79" s="62" t="n"/>
      <c r="AL79" s="62">
        <f>IF(LEFT($C79,11)="[Jefatura] ",IFERROR(MATCH("Riesgo Financiero|"&amp;MID($C79,12,500),rDname_ADM,0),0),"")</f>
        <v/>
      </c>
      <c r="AM79" s="62">
        <f>IF(N($AL79)&gt;0,INDEX(rIni_ADM,$AL79),IF(ISNUMBER($E79),$E79,""))</f>
        <v/>
      </c>
      <c r="AN79" s="62">
        <f>IF(N($AL79)&gt;0,INDEX(rLim_ADM,$AL79),IF(ISNUMBER($F79),$F79,""))</f>
        <v/>
      </c>
    </row>
    <row r="80">
      <c r="A80" s="56">
        <f>IF(NOT((COUNTA($B80:$D80)+COUNTA($G80:$L80)+COUNTA($Q80))&gt;0),"",IF($V80="Macro",COUNTIFS($V$5:$V80,"Macro",$S$5:$S80,$S80),IF(N($U80)=0,"?",COUNTIFS(INDEX($V$5:$V$1000,1):INDEX($V$5:$V$1000,$U80-4),"Macro",INDEX($S$5:$S$1000,1):INDEX($S$5:$S$1000,$U80-4),INDEX($S$5:$S$1000,$U80-4))&amp;"."&amp;COUNTIFS($U$5:$U80,$U80,$V$5:$V80,"Sub"))))</f>
        <v/>
      </c>
      <c r="B80" s="57" t="n"/>
      <c r="C80" s="58" t="n"/>
      <c r="D80" s="58" t="n"/>
      <c r="E80" s="59">
        <f>IF(N($AL80)&gt;0,INDEX(rIni_ADM,$AL80),"")</f>
        <v/>
      </c>
      <c r="F80" s="59">
        <f>IF(N($AL80)&gt;0,INDEX(rLim_ADM,$AL80),"")</f>
        <v/>
      </c>
      <c r="G80" s="59" t="n"/>
      <c r="H80" s="60" t="n"/>
      <c r="I80" s="60" t="n"/>
      <c r="J80" s="60" t="n"/>
      <c r="K80" s="60" t="n"/>
      <c r="L80" s="60" t="n"/>
      <c r="M80" s="61">
        <f>IF(NOT((COUNTA($B80:$D80)+COUNTA($G80:$L80)+COUNTA($Q80))&gt;0),"",IF(ISNUMBER($G80),1,IF(N($W80)&gt;0,AVERAGEIFS($X$5:$X$1000,$U$5:$U$1000,ROW(),$V$5:$V$1000,"Sub"),$X80)))</f>
        <v/>
      </c>
      <c r="N80" s="56">
        <f>IF($M80="","",IF($M80&gt;=1,"Completado",IF($M80&gt;0,"En curso","Pendiente")))</f>
        <v/>
      </c>
      <c r="O80" s="56">
        <f>IF(NOT((COUNTA($B80:$D80)+COUNTA($G80:$L80)+COUNTA($Q80))&gt;0),"",IF(ISNUMBER($G80),IF(AND(ISNUMBER($AN80),$G80&gt;$AN80),"Cumplida con "&amp;($G80-$AN80)&amp;IF($G80-$AN80=1," día"," días")&amp;" de retraso","Cumplida"),IF(N($M80)&gt;=1,"Cumplida",IF(NOT(ISNUMBER($AN80)),"Sin fecha límite",IF($AN80&lt;FechaRef,"Vencida hace "&amp;(FechaRef-$AN80)&amp;IF(FechaRef-$AN80=1," día"," días"),IF($AN80=FechaRef,"Vence hoy",IF($AN80-FechaRef&lt;=DiasAlerta,"Vence en "&amp;($AN80-FechaRef)&amp;IF($AN80-FechaRef=1," día"," días"),"En plazo")))))))</f>
        <v/>
      </c>
      <c r="P80" s="62" t="n"/>
      <c r="Q80" s="58" t="n"/>
      <c r="R80" s="63">
        <f>IF(NOT((COUNTA($B80:$D80)+COUNTA($G80:$L80)+COUNTA($Q80))&gt;0),"",IF((IF($C80="","Falta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",""))="","✔ OK","⚠ "&amp;LEFT(IF($C80="","Falta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",""),LEN(IF($C80="","Falta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",""))-3)))</f>
        <v/>
      </c>
      <c r="S80" s="64">
        <f>IF(NOT((COUNTA($B80:$D80)+COUNTA($G80:$L80)+COUNTA($Q80))&gt;0),"",IF(AND($V80="Sub",N($U80)&gt;0),IF(ISNUMBER(INDEX($AM$5:$AM$1000,$U80-4)),DATE(YEAR(INDEX($AM$5:$AM$1000,$U80-4)),MONTH(INDEX($AM$5:$AM$1000,$U80-4)),1),IF(ISNUMBER(INDEX($AN$5:$AN$1000,$U80-4)),DATE(YEAR(INDEX($AN$5:$AN$1000,$U80-4)),MONTH(INDEX($AN$5:$AN$1000,$U80-4)),1),MesCiclo)),IF(ISNUMBER($AM80),DATE(YEAR($AM80),MONTH($AM80),1),IF(ISNUMBER($AN80),DATE(YEAR($AN80),MONTH($AN80),1),MesCiclo))))</f>
        <v/>
      </c>
      <c r="T80" s="62">
        <f>IF(OR($S80="",$S80&lt;&gt;MesCiclo),"",COUNTIF($S$5:$S80,MesCiclo))</f>
        <v/>
      </c>
      <c r="U80" s="62">
        <f>IF($V80="","",IF($V80="Macro",ROW(),IFERROR(LOOKUP(2,1/($V$5:$V80="Macro"),ROW($V$5:$V80)),0)))</f>
        <v/>
      </c>
      <c r="V80" s="62">
        <f>IF(NOT((COUNTA($B80:$D80)+COUNTA($G80:$L80)+COUNTA($Q80))&gt;0),"",IF($B80="Subactividad","Sub","Macro"))</f>
        <v/>
      </c>
      <c r="W80" s="62">
        <f>IF($V80="Macro",COUNTIFS($U$5:$U$1000,ROW(),$V$5:$V$1000,"Sub"),"")</f>
        <v/>
      </c>
      <c r="X80" s="62">
        <f>IF($V80="","",IF(ISNUMBER($G80),1,IFERROR(LOOKUP(2,1/($I80:$L80&lt;&gt;""),$I80:$L80),0)))</f>
        <v/>
      </c>
      <c r="Y80" s="62">
        <f>IF($V80="","",IF(AND(ISNUMBER($G80),$G80&lt;=IF($S80=MesCiclo,InicioCiclo,$S80+MOD(2-WEEKDAY($S80),7))+6),1,IF(ISNUMBER($I80),$I80,0)))</f>
        <v/>
      </c>
      <c r="Z80" s="62">
        <f>IF($V80="","",IF(AND(ISNUMBER($G80),$G80&lt;=IF($S80=MesCiclo,InicioCiclo,$S80+MOD(2-WEEKDAY($S80),7))+13),1,IF(ISNUMBER($J80),$J80,$Y80)))</f>
        <v/>
      </c>
      <c r="AA80" s="62">
        <f>IF($V80="","",IF(AND(ISNUMBER($G80),$G80&lt;=IF($S80=MesCiclo,InicioCiclo,$S80+MOD(2-WEEKDAY($S80),7))+20),1,IF(ISNUMBER($K80),$K80,$Z80)))</f>
        <v/>
      </c>
      <c r="AB80" s="62">
        <f>IF($V80="","",IF(AND(ISNUMBER($G80),$G80&lt;=IF($S80=MesCiclo,InicioCiclo,$S80+MOD(2-WEEKDAY($S80),7))+27),1,IF(ISNUMBER($L80),$L80,$AA80)))</f>
        <v/>
      </c>
      <c r="AC80" s="62">
        <f>IF($V80="","",IF(AND(ISNUMBER($G80),$G80&lt;=IF($S80=MesCiclo,InicioCiclo,$S80+MOD(2-WEEKDAY($S80),7))+6),1,IF(N($W80)&gt;0,AVERAGEIFS($Y$5:$Y$1000,$U$5:$U$1000,ROW(),$V$5:$V$1000,"Sub"),$Y80)))</f>
        <v/>
      </c>
      <c r="AD80" s="62">
        <f>IF($V80="","",IF(AND(ISNUMBER($G80),$G80&lt;=IF($S80=MesCiclo,InicioCiclo,$S80+MOD(2-WEEKDAY($S80),7))+13),1,IF(N($W80)&gt;0,AVERAGEIFS($Z$5:$Z$1000,$U$5:$U$1000,ROW(),$V$5:$V$1000,"Sub"),$Z80)))</f>
        <v/>
      </c>
      <c r="AE80" s="62">
        <f>IF($V80="","",IF(AND(ISNUMBER($G80),$G80&lt;=IF($S80=MesCiclo,InicioCiclo,$S80+MOD(2-WEEKDAY($S80),7))+20),1,IF(N($W80)&gt;0,AVERAGEIFS($AA$5:$AA$1000,$U$5:$U$1000,ROW(),$V$5:$V$1000,"Sub"),$AA80)))</f>
        <v/>
      </c>
      <c r="AF80" s="62">
        <f>IF($V80="","",IF(AND(ISNUMBER($G80),$G80&lt;=IF($S80=MesCiclo,InicioCiclo,$S80+MOD(2-WEEKDAY($S80),7))+27),1,IF(N($W80)&gt;0,AVERAGEIFS($AB$5:$AB$1000,$U$5:$U$1000,ROW(),$V$5:$V$1000,"Sub"),$AB80)))</f>
        <v/>
      </c>
      <c r="AG80" s="62">
        <f>IF($V80&lt;&gt;"Macro","",IF(COUNTIFS($S$5:$S$1000,$S80,$V$5:$V$1000,"Macro",$H$5:$H$1000,"&gt;0")=0,1/COUNTIFS($S$5:$S$1000,$S80,$V$5:$V$1000,"Macro"),IF(AND(ISNUMBER($H80),N($H80)&gt;0),$H80,SUMIFS($H$5:$H$1000,$S$5:$S$1000,$S80,$V$5:$V$1000,"Macro")/COUNTIFS($S$5:$S$1000,$S80,$V$5:$V$1000,"Macro",$H$5:$H$1000,"&gt;0"))/(COUNTIFS($S$5:$S$1000,$S80,$V$5:$V$1000,"Macro")*SUMIFS($H$5:$H$1000,$S$5:$S$1000,$S80,$V$5:$V$1000,"Macro")/COUNTIFS($S$5:$S$1000,$S80,$V$5:$V$1000,"Macro",$H$5:$H$1000,"&gt;0"))))</f>
        <v/>
      </c>
      <c r="AH80" s="62" t="n"/>
      <c r="AI80" s="62" t="n"/>
      <c r="AJ80" s="62" t="n"/>
      <c r="AK80" s="62" t="n"/>
      <c r="AL80" s="62">
        <f>IF(LEFT($C80,11)="[Jefatura] ",IFERROR(MATCH("Riesgo Financiero|"&amp;MID($C80,12,500),rDname_ADM,0),0),"")</f>
        <v/>
      </c>
      <c r="AM80" s="62">
        <f>IF(N($AL80)&gt;0,INDEX(rIni_ADM,$AL80),IF(ISNUMBER($E80),$E80,""))</f>
        <v/>
      </c>
      <c r="AN80" s="62">
        <f>IF(N($AL80)&gt;0,INDEX(rLim_ADM,$AL80),IF(ISNUMBER($F80),$F80,""))</f>
        <v/>
      </c>
    </row>
    <row r="81">
      <c r="A81" s="56">
        <f>IF(NOT((COUNTA($B81:$D81)+COUNTA($G81:$L81)+COUNTA($Q81))&gt;0),"",IF($V81="Macro",COUNTIFS($V$5:$V81,"Macro",$S$5:$S81,$S81),IF(N($U81)=0,"?",COUNTIFS(INDEX($V$5:$V$1000,1):INDEX($V$5:$V$1000,$U81-4),"Macro",INDEX($S$5:$S$1000,1):INDEX($S$5:$S$1000,$U81-4),INDEX($S$5:$S$1000,$U81-4))&amp;"."&amp;COUNTIFS($U$5:$U81,$U81,$V$5:$V81,"Sub"))))</f>
        <v/>
      </c>
      <c r="B81" s="57" t="n"/>
      <c r="C81" s="58" t="n"/>
      <c r="D81" s="58" t="n"/>
      <c r="E81" s="59">
        <f>IF(N($AL81)&gt;0,INDEX(rIni_ADM,$AL81),"")</f>
        <v/>
      </c>
      <c r="F81" s="59">
        <f>IF(N($AL81)&gt;0,INDEX(rLim_ADM,$AL81),"")</f>
        <v/>
      </c>
      <c r="G81" s="59" t="n"/>
      <c r="H81" s="60" t="n"/>
      <c r="I81" s="60" t="n"/>
      <c r="J81" s="60" t="n"/>
      <c r="K81" s="60" t="n"/>
      <c r="L81" s="60" t="n"/>
      <c r="M81" s="61">
        <f>IF(NOT((COUNTA($B81:$D81)+COUNTA($G81:$L81)+COUNTA($Q81))&gt;0),"",IF(ISNUMBER($G81),1,IF(N($W81)&gt;0,AVERAGEIFS($X$5:$X$1000,$U$5:$U$1000,ROW(),$V$5:$V$1000,"Sub"),$X81)))</f>
        <v/>
      </c>
      <c r="N81" s="56">
        <f>IF($M81="","",IF($M81&gt;=1,"Completado",IF($M81&gt;0,"En curso","Pendiente")))</f>
        <v/>
      </c>
      <c r="O81" s="56">
        <f>IF(NOT((COUNTA($B81:$D81)+COUNTA($G81:$L81)+COUNTA($Q81))&gt;0),"",IF(ISNUMBER($G81),IF(AND(ISNUMBER($AN81),$G81&gt;$AN81),"Cumplida con "&amp;($G81-$AN81)&amp;IF($G81-$AN81=1," día"," días")&amp;" de retraso","Cumplida"),IF(N($M81)&gt;=1,"Cumplida",IF(NOT(ISNUMBER($AN81)),"Sin fecha límite",IF($AN81&lt;FechaRef,"Vencida hace "&amp;(FechaRef-$AN81)&amp;IF(FechaRef-$AN81=1," día"," días"),IF($AN81=FechaRef,"Vence hoy",IF($AN81-FechaRef&lt;=DiasAlerta,"Vence en "&amp;($AN81-FechaRef)&amp;IF($AN81-FechaRef=1," día"," días"),"En plazo")))))))</f>
        <v/>
      </c>
      <c r="P81" s="62" t="n"/>
      <c r="Q81" s="58" t="n"/>
      <c r="R81" s="63">
        <f>IF(NOT((COUNTA($B81:$D81)+COUNTA($G81:$L81)+COUNTA($Q81))&gt;0),"",IF((IF($C81="","Falta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",""))="","✔ OK","⚠ "&amp;LEFT(IF($C81="","Falta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",""),LEN(IF($C81="","Falta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",""))-3)))</f>
        <v/>
      </c>
      <c r="S81" s="64">
        <f>IF(NOT((COUNTA($B81:$D81)+COUNTA($G81:$L81)+COUNTA($Q81))&gt;0),"",IF(AND($V81="Sub",N($U81)&gt;0),IF(ISNUMBER(INDEX($AM$5:$AM$1000,$U81-4)),DATE(YEAR(INDEX($AM$5:$AM$1000,$U81-4)),MONTH(INDEX($AM$5:$AM$1000,$U81-4)),1),IF(ISNUMBER(INDEX($AN$5:$AN$1000,$U81-4)),DATE(YEAR(INDEX($AN$5:$AN$1000,$U81-4)),MONTH(INDEX($AN$5:$AN$1000,$U81-4)),1),MesCiclo)),IF(ISNUMBER($AM81),DATE(YEAR($AM81),MONTH($AM81),1),IF(ISNUMBER($AN81),DATE(YEAR($AN81),MONTH($AN81),1),MesCiclo))))</f>
        <v/>
      </c>
      <c r="T81" s="62">
        <f>IF(OR($S81="",$S81&lt;&gt;MesCiclo),"",COUNTIF($S$5:$S81,MesCiclo))</f>
        <v/>
      </c>
      <c r="U81" s="62">
        <f>IF($V81="","",IF($V81="Macro",ROW(),IFERROR(LOOKUP(2,1/($V$5:$V81="Macro"),ROW($V$5:$V81)),0)))</f>
        <v/>
      </c>
      <c r="V81" s="62">
        <f>IF(NOT((COUNTA($B81:$D81)+COUNTA($G81:$L81)+COUNTA($Q81))&gt;0),"",IF($B81="Subactividad","Sub","Macro"))</f>
        <v/>
      </c>
      <c r="W81" s="62">
        <f>IF($V81="Macro",COUNTIFS($U$5:$U$1000,ROW(),$V$5:$V$1000,"Sub"),"")</f>
        <v/>
      </c>
      <c r="X81" s="62">
        <f>IF($V81="","",IF(ISNUMBER($G81),1,IFERROR(LOOKUP(2,1/($I81:$L81&lt;&gt;""),$I81:$L81),0)))</f>
        <v/>
      </c>
      <c r="Y81" s="62">
        <f>IF($V81="","",IF(AND(ISNUMBER($G81),$G81&lt;=IF($S81=MesCiclo,InicioCiclo,$S81+MOD(2-WEEKDAY($S81),7))+6),1,IF(ISNUMBER($I81),$I81,0)))</f>
        <v/>
      </c>
      <c r="Z81" s="62">
        <f>IF($V81="","",IF(AND(ISNUMBER($G81),$G81&lt;=IF($S81=MesCiclo,InicioCiclo,$S81+MOD(2-WEEKDAY($S81),7))+13),1,IF(ISNUMBER($J81),$J81,$Y81)))</f>
        <v/>
      </c>
      <c r="AA81" s="62">
        <f>IF($V81="","",IF(AND(ISNUMBER($G81),$G81&lt;=IF($S81=MesCiclo,InicioCiclo,$S81+MOD(2-WEEKDAY($S81),7))+20),1,IF(ISNUMBER($K81),$K81,$Z81)))</f>
        <v/>
      </c>
      <c r="AB81" s="62">
        <f>IF($V81="","",IF(AND(ISNUMBER($G81),$G81&lt;=IF($S81=MesCiclo,InicioCiclo,$S81+MOD(2-WEEKDAY($S81),7))+27),1,IF(ISNUMBER($L81),$L81,$AA81)))</f>
        <v/>
      </c>
      <c r="AC81" s="62">
        <f>IF($V81="","",IF(AND(ISNUMBER($G81),$G81&lt;=IF($S81=MesCiclo,InicioCiclo,$S81+MOD(2-WEEKDAY($S81),7))+6),1,IF(N($W81)&gt;0,AVERAGEIFS($Y$5:$Y$1000,$U$5:$U$1000,ROW(),$V$5:$V$1000,"Sub"),$Y81)))</f>
        <v/>
      </c>
      <c r="AD81" s="62">
        <f>IF($V81="","",IF(AND(ISNUMBER($G81),$G81&lt;=IF($S81=MesCiclo,InicioCiclo,$S81+MOD(2-WEEKDAY($S81),7))+13),1,IF(N($W81)&gt;0,AVERAGEIFS($Z$5:$Z$1000,$U$5:$U$1000,ROW(),$V$5:$V$1000,"Sub"),$Z81)))</f>
        <v/>
      </c>
      <c r="AE81" s="62">
        <f>IF($V81="","",IF(AND(ISNUMBER($G81),$G81&lt;=IF($S81=MesCiclo,InicioCiclo,$S81+MOD(2-WEEKDAY($S81),7))+20),1,IF(N($W81)&gt;0,AVERAGEIFS($AA$5:$AA$1000,$U$5:$U$1000,ROW(),$V$5:$V$1000,"Sub"),$AA81)))</f>
        <v/>
      </c>
      <c r="AF81" s="62">
        <f>IF($V81="","",IF(AND(ISNUMBER($G81),$G81&lt;=IF($S81=MesCiclo,InicioCiclo,$S81+MOD(2-WEEKDAY($S81),7))+27),1,IF(N($W81)&gt;0,AVERAGEIFS($AB$5:$AB$1000,$U$5:$U$1000,ROW(),$V$5:$V$1000,"Sub"),$AB81)))</f>
        <v/>
      </c>
      <c r="AG81" s="62">
        <f>IF($V81&lt;&gt;"Macro","",IF(COUNTIFS($S$5:$S$1000,$S81,$V$5:$V$1000,"Macro",$H$5:$H$1000,"&gt;0")=0,1/COUNTIFS($S$5:$S$1000,$S81,$V$5:$V$1000,"Macro"),IF(AND(ISNUMBER($H81),N($H81)&gt;0),$H81,SUMIFS($H$5:$H$1000,$S$5:$S$1000,$S81,$V$5:$V$1000,"Macro")/COUNTIFS($S$5:$S$1000,$S81,$V$5:$V$1000,"Macro",$H$5:$H$1000,"&gt;0"))/(COUNTIFS($S$5:$S$1000,$S81,$V$5:$V$1000,"Macro")*SUMIFS($H$5:$H$1000,$S$5:$S$1000,$S81,$V$5:$V$1000,"Macro")/COUNTIFS($S$5:$S$1000,$S81,$V$5:$V$1000,"Macro",$H$5:$H$1000,"&gt;0"))))</f>
        <v/>
      </c>
      <c r="AH81" s="62" t="n"/>
      <c r="AI81" s="62" t="n"/>
      <c r="AJ81" s="62" t="n"/>
      <c r="AK81" s="62" t="n"/>
      <c r="AL81" s="62">
        <f>IF(LEFT($C81,11)="[Jefatura] ",IFERROR(MATCH("Riesgo Financiero|"&amp;MID($C81,12,500),rDname_ADM,0),0),"")</f>
        <v/>
      </c>
      <c r="AM81" s="62">
        <f>IF(N($AL81)&gt;0,INDEX(rIni_ADM,$AL81),IF(ISNUMBER($E81),$E81,""))</f>
        <v/>
      </c>
      <c r="AN81" s="62">
        <f>IF(N($AL81)&gt;0,INDEX(rLim_ADM,$AL81),IF(ISNUMBER($F81),$F81,""))</f>
        <v/>
      </c>
    </row>
    <row r="82">
      <c r="A82" s="56">
        <f>IF(NOT((COUNTA($B82:$D82)+COUNTA($G82:$L82)+COUNTA($Q82))&gt;0),"",IF($V82="Macro",COUNTIFS($V$5:$V82,"Macro",$S$5:$S82,$S82),IF(N($U82)=0,"?",COUNTIFS(INDEX($V$5:$V$1000,1):INDEX($V$5:$V$1000,$U82-4),"Macro",INDEX($S$5:$S$1000,1):INDEX($S$5:$S$1000,$U82-4),INDEX($S$5:$S$1000,$U82-4))&amp;"."&amp;COUNTIFS($U$5:$U82,$U82,$V$5:$V82,"Sub"))))</f>
        <v/>
      </c>
      <c r="B82" s="57" t="n"/>
      <c r="C82" s="58" t="n"/>
      <c r="D82" s="58" t="n"/>
      <c r="E82" s="59">
        <f>IF(N($AL82)&gt;0,INDEX(rIni_ADM,$AL82),"")</f>
        <v/>
      </c>
      <c r="F82" s="59">
        <f>IF(N($AL82)&gt;0,INDEX(rLim_ADM,$AL82),"")</f>
        <v/>
      </c>
      <c r="G82" s="59" t="n"/>
      <c r="H82" s="60" t="n"/>
      <c r="I82" s="60" t="n"/>
      <c r="J82" s="60" t="n"/>
      <c r="K82" s="60" t="n"/>
      <c r="L82" s="60" t="n"/>
      <c r="M82" s="61">
        <f>IF(NOT((COUNTA($B82:$D82)+COUNTA($G82:$L82)+COUNTA($Q82))&gt;0),"",IF(ISNUMBER($G82),1,IF(N($W82)&gt;0,AVERAGEIFS($X$5:$X$1000,$U$5:$U$1000,ROW(),$V$5:$V$1000,"Sub"),$X82)))</f>
        <v/>
      </c>
      <c r="N82" s="56">
        <f>IF($M82="","",IF($M82&gt;=1,"Completado",IF($M82&gt;0,"En curso","Pendiente")))</f>
        <v/>
      </c>
      <c r="O82" s="56">
        <f>IF(NOT((COUNTA($B82:$D82)+COUNTA($G82:$L82)+COUNTA($Q82))&gt;0),"",IF(ISNUMBER($G82),IF(AND(ISNUMBER($AN82),$G82&gt;$AN82),"Cumplida con "&amp;($G82-$AN82)&amp;IF($G82-$AN82=1," día"," días")&amp;" de retraso","Cumplida"),IF(N($M82)&gt;=1,"Cumplida",IF(NOT(ISNUMBER($AN82)),"Sin fecha límite",IF($AN82&lt;FechaRef,"Vencida hace "&amp;(FechaRef-$AN82)&amp;IF(FechaRef-$AN82=1," día"," días"),IF($AN82=FechaRef,"Vence hoy",IF($AN82-FechaRef&lt;=DiasAlerta,"Vence en "&amp;($AN82-FechaRef)&amp;IF($AN82-FechaRef=1," día"," días"),"En plazo")))))))</f>
        <v/>
      </c>
      <c r="P82" s="62" t="n"/>
      <c r="Q82" s="58" t="n"/>
      <c r="R82" s="63">
        <f>IF(NOT((COUNTA($B82:$D82)+COUNTA($G82:$L82)+COUNTA($Q82))&gt;0),"",IF((IF($C82="","Falta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",""))="","✔ OK","⚠ "&amp;LEFT(IF($C82="","Falta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",""),LEN(IF($C82="","Falta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",""))-3)))</f>
        <v/>
      </c>
      <c r="S82" s="64">
        <f>IF(NOT((COUNTA($B82:$D82)+COUNTA($G82:$L82)+COUNTA($Q82))&gt;0),"",IF(AND($V82="Sub",N($U82)&gt;0),IF(ISNUMBER(INDEX($AM$5:$AM$1000,$U82-4)),DATE(YEAR(INDEX($AM$5:$AM$1000,$U82-4)),MONTH(INDEX($AM$5:$AM$1000,$U82-4)),1),IF(ISNUMBER(INDEX($AN$5:$AN$1000,$U82-4)),DATE(YEAR(INDEX($AN$5:$AN$1000,$U82-4)),MONTH(INDEX($AN$5:$AN$1000,$U82-4)),1),MesCiclo)),IF(ISNUMBER($AM82),DATE(YEAR($AM82),MONTH($AM82),1),IF(ISNUMBER($AN82),DATE(YEAR($AN82),MONTH($AN82),1),MesCiclo))))</f>
        <v/>
      </c>
      <c r="T82" s="62">
        <f>IF(OR($S82="",$S82&lt;&gt;MesCiclo),"",COUNTIF($S$5:$S82,MesCiclo))</f>
        <v/>
      </c>
      <c r="U82" s="62">
        <f>IF($V82="","",IF($V82="Macro",ROW(),IFERROR(LOOKUP(2,1/($V$5:$V82="Macro"),ROW($V$5:$V82)),0)))</f>
        <v/>
      </c>
      <c r="V82" s="62">
        <f>IF(NOT((COUNTA($B82:$D82)+COUNTA($G82:$L82)+COUNTA($Q82))&gt;0),"",IF($B82="Subactividad","Sub","Macro"))</f>
        <v/>
      </c>
      <c r="W82" s="62">
        <f>IF($V82="Macro",COUNTIFS($U$5:$U$1000,ROW(),$V$5:$V$1000,"Sub"),"")</f>
        <v/>
      </c>
      <c r="X82" s="62">
        <f>IF($V82="","",IF(ISNUMBER($G82),1,IFERROR(LOOKUP(2,1/($I82:$L82&lt;&gt;""),$I82:$L82),0)))</f>
        <v/>
      </c>
      <c r="Y82" s="62">
        <f>IF($V82="","",IF(AND(ISNUMBER($G82),$G82&lt;=IF($S82=MesCiclo,InicioCiclo,$S82+MOD(2-WEEKDAY($S82),7))+6),1,IF(ISNUMBER($I82),$I82,0)))</f>
        <v/>
      </c>
      <c r="Z82" s="62">
        <f>IF($V82="","",IF(AND(ISNUMBER($G82),$G82&lt;=IF($S82=MesCiclo,InicioCiclo,$S82+MOD(2-WEEKDAY($S82),7))+13),1,IF(ISNUMBER($J82),$J82,$Y82)))</f>
        <v/>
      </c>
      <c r="AA82" s="62">
        <f>IF($V82="","",IF(AND(ISNUMBER($G82),$G82&lt;=IF($S82=MesCiclo,InicioCiclo,$S82+MOD(2-WEEKDAY($S82),7))+20),1,IF(ISNUMBER($K82),$K82,$Z82)))</f>
        <v/>
      </c>
      <c r="AB82" s="62">
        <f>IF($V82="","",IF(AND(ISNUMBER($G82),$G82&lt;=IF($S82=MesCiclo,InicioCiclo,$S82+MOD(2-WEEKDAY($S82),7))+27),1,IF(ISNUMBER($L82),$L82,$AA82)))</f>
        <v/>
      </c>
      <c r="AC82" s="62">
        <f>IF($V82="","",IF(AND(ISNUMBER($G82),$G82&lt;=IF($S82=MesCiclo,InicioCiclo,$S82+MOD(2-WEEKDAY($S82),7))+6),1,IF(N($W82)&gt;0,AVERAGEIFS($Y$5:$Y$1000,$U$5:$U$1000,ROW(),$V$5:$V$1000,"Sub"),$Y82)))</f>
        <v/>
      </c>
      <c r="AD82" s="62">
        <f>IF($V82="","",IF(AND(ISNUMBER($G82),$G82&lt;=IF($S82=MesCiclo,InicioCiclo,$S82+MOD(2-WEEKDAY($S82),7))+13),1,IF(N($W82)&gt;0,AVERAGEIFS($Z$5:$Z$1000,$U$5:$U$1000,ROW(),$V$5:$V$1000,"Sub"),$Z82)))</f>
        <v/>
      </c>
      <c r="AE82" s="62">
        <f>IF($V82="","",IF(AND(ISNUMBER($G82),$G82&lt;=IF($S82=MesCiclo,InicioCiclo,$S82+MOD(2-WEEKDAY($S82),7))+20),1,IF(N($W82)&gt;0,AVERAGEIFS($AA$5:$AA$1000,$U$5:$U$1000,ROW(),$V$5:$V$1000,"Sub"),$AA82)))</f>
        <v/>
      </c>
      <c r="AF82" s="62">
        <f>IF($V82="","",IF(AND(ISNUMBER($G82),$G82&lt;=IF($S82=MesCiclo,InicioCiclo,$S82+MOD(2-WEEKDAY($S82),7))+27),1,IF(N($W82)&gt;0,AVERAGEIFS($AB$5:$AB$1000,$U$5:$U$1000,ROW(),$V$5:$V$1000,"Sub"),$AB82)))</f>
        <v/>
      </c>
      <c r="AG82" s="62">
        <f>IF($V82&lt;&gt;"Macro","",IF(COUNTIFS($S$5:$S$1000,$S82,$V$5:$V$1000,"Macro",$H$5:$H$1000,"&gt;0")=0,1/COUNTIFS($S$5:$S$1000,$S82,$V$5:$V$1000,"Macro"),IF(AND(ISNUMBER($H82),N($H82)&gt;0),$H82,SUMIFS($H$5:$H$1000,$S$5:$S$1000,$S82,$V$5:$V$1000,"Macro")/COUNTIFS($S$5:$S$1000,$S82,$V$5:$V$1000,"Macro",$H$5:$H$1000,"&gt;0"))/(COUNTIFS($S$5:$S$1000,$S82,$V$5:$V$1000,"Macro")*SUMIFS($H$5:$H$1000,$S$5:$S$1000,$S82,$V$5:$V$1000,"Macro")/COUNTIFS($S$5:$S$1000,$S82,$V$5:$V$1000,"Macro",$H$5:$H$1000,"&gt;0"))))</f>
        <v/>
      </c>
      <c r="AH82" s="62" t="n"/>
      <c r="AI82" s="62" t="n"/>
      <c r="AJ82" s="62" t="n"/>
      <c r="AK82" s="62" t="n"/>
      <c r="AL82" s="62">
        <f>IF(LEFT($C82,11)="[Jefatura] ",IFERROR(MATCH("Riesgo Financiero|"&amp;MID($C82,12,500),rDname_ADM,0),0),"")</f>
        <v/>
      </c>
      <c r="AM82" s="62">
        <f>IF(N($AL82)&gt;0,INDEX(rIni_ADM,$AL82),IF(ISNUMBER($E82),$E82,""))</f>
        <v/>
      </c>
      <c r="AN82" s="62">
        <f>IF(N($AL82)&gt;0,INDEX(rLim_ADM,$AL82),IF(ISNUMBER($F82),$F82,""))</f>
        <v/>
      </c>
    </row>
    <row r="83">
      <c r="A83" s="56">
        <f>IF(NOT((COUNTA($B83:$D83)+COUNTA($G83:$L83)+COUNTA($Q83))&gt;0),"",IF($V83="Macro",COUNTIFS($V$5:$V83,"Macro",$S$5:$S83,$S83),IF(N($U83)=0,"?",COUNTIFS(INDEX($V$5:$V$1000,1):INDEX($V$5:$V$1000,$U83-4),"Macro",INDEX($S$5:$S$1000,1):INDEX($S$5:$S$1000,$U83-4),INDEX($S$5:$S$1000,$U83-4))&amp;"."&amp;COUNTIFS($U$5:$U83,$U83,$V$5:$V83,"Sub"))))</f>
        <v/>
      </c>
      <c r="B83" s="57" t="n"/>
      <c r="C83" s="58" t="n"/>
      <c r="D83" s="58" t="n"/>
      <c r="E83" s="59">
        <f>IF(N($AL83)&gt;0,INDEX(rIni_ADM,$AL83),"")</f>
        <v/>
      </c>
      <c r="F83" s="59">
        <f>IF(N($AL83)&gt;0,INDEX(rLim_ADM,$AL83),"")</f>
        <v/>
      </c>
      <c r="G83" s="59" t="n"/>
      <c r="H83" s="60" t="n"/>
      <c r="I83" s="60" t="n"/>
      <c r="J83" s="60" t="n"/>
      <c r="K83" s="60" t="n"/>
      <c r="L83" s="60" t="n"/>
      <c r="M83" s="61">
        <f>IF(NOT((COUNTA($B83:$D83)+COUNTA($G83:$L83)+COUNTA($Q83))&gt;0),"",IF(ISNUMBER($G83),1,IF(N($W83)&gt;0,AVERAGEIFS($X$5:$X$1000,$U$5:$U$1000,ROW(),$V$5:$V$1000,"Sub"),$X83)))</f>
        <v/>
      </c>
      <c r="N83" s="56">
        <f>IF($M83="","",IF($M83&gt;=1,"Completado",IF($M83&gt;0,"En curso","Pendiente")))</f>
        <v/>
      </c>
      <c r="O83" s="56">
        <f>IF(NOT((COUNTA($B83:$D83)+COUNTA($G83:$L83)+COUNTA($Q83))&gt;0),"",IF(ISNUMBER($G83),IF(AND(ISNUMBER($AN83),$G83&gt;$AN83),"Cumplida con "&amp;($G83-$AN83)&amp;IF($G83-$AN83=1," día"," días")&amp;" de retraso","Cumplida"),IF(N($M83)&gt;=1,"Cumplida",IF(NOT(ISNUMBER($AN83)),"Sin fecha límite",IF($AN83&lt;FechaRef,"Vencida hace "&amp;(FechaRef-$AN83)&amp;IF(FechaRef-$AN83=1," día"," días"),IF($AN83=FechaRef,"Vence hoy",IF($AN83-FechaRef&lt;=DiasAlerta,"Vence en "&amp;($AN83-FechaRef)&amp;IF($AN83-FechaRef=1," día"," días"),"En plazo")))))))</f>
        <v/>
      </c>
      <c r="P83" s="62" t="n"/>
      <c r="Q83" s="58" t="n"/>
      <c r="R83" s="63">
        <f>IF(NOT((COUNTA($B83:$D83)+COUNTA($G83:$L83)+COUNTA($Q83))&gt;0),"",IF((IF($C83="","Falta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",""))="","✔ OK","⚠ "&amp;LEFT(IF($C83="","Falta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",""),LEN(IF($C83="","Falta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",""))-3)))</f>
        <v/>
      </c>
      <c r="S83" s="64">
        <f>IF(NOT((COUNTA($B83:$D83)+COUNTA($G83:$L83)+COUNTA($Q83))&gt;0),"",IF(AND($V83="Sub",N($U83)&gt;0),IF(ISNUMBER(INDEX($AM$5:$AM$1000,$U83-4)),DATE(YEAR(INDEX($AM$5:$AM$1000,$U83-4)),MONTH(INDEX($AM$5:$AM$1000,$U83-4)),1),IF(ISNUMBER(INDEX($AN$5:$AN$1000,$U83-4)),DATE(YEAR(INDEX($AN$5:$AN$1000,$U83-4)),MONTH(INDEX($AN$5:$AN$1000,$U83-4)),1),MesCiclo)),IF(ISNUMBER($AM83),DATE(YEAR($AM83),MONTH($AM83),1),IF(ISNUMBER($AN83),DATE(YEAR($AN83),MONTH($AN83),1),MesCiclo))))</f>
        <v/>
      </c>
      <c r="T83" s="62">
        <f>IF(OR($S83="",$S83&lt;&gt;MesCiclo),"",COUNTIF($S$5:$S83,MesCiclo))</f>
        <v/>
      </c>
      <c r="U83" s="62">
        <f>IF($V83="","",IF($V83="Macro",ROW(),IFERROR(LOOKUP(2,1/($V$5:$V83="Macro"),ROW($V$5:$V83)),0)))</f>
        <v/>
      </c>
      <c r="V83" s="62">
        <f>IF(NOT((COUNTA($B83:$D83)+COUNTA($G83:$L83)+COUNTA($Q83))&gt;0),"",IF($B83="Subactividad","Sub","Macro"))</f>
        <v/>
      </c>
      <c r="W83" s="62">
        <f>IF($V83="Macro",COUNTIFS($U$5:$U$1000,ROW(),$V$5:$V$1000,"Sub"),"")</f>
        <v/>
      </c>
      <c r="X83" s="62">
        <f>IF($V83="","",IF(ISNUMBER($G83),1,IFERROR(LOOKUP(2,1/($I83:$L83&lt;&gt;""),$I83:$L83),0)))</f>
        <v/>
      </c>
      <c r="Y83" s="62">
        <f>IF($V83="","",IF(AND(ISNUMBER($G83),$G83&lt;=IF($S83=MesCiclo,InicioCiclo,$S83+MOD(2-WEEKDAY($S83),7))+6),1,IF(ISNUMBER($I83),$I83,0)))</f>
        <v/>
      </c>
      <c r="Z83" s="62">
        <f>IF($V83="","",IF(AND(ISNUMBER($G83),$G83&lt;=IF($S83=MesCiclo,InicioCiclo,$S83+MOD(2-WEEKDAY($S83),7))+13),1,IF(ISNUMBER($J83),$J83,$Y83)))</f>
        <v/>
      </c>
      <c r="AA83" s="62">
        <f>IF($V83="","",IF(AND(ISNUMBER($G83),$G83&lt;=IF($S83=MesCiclo,InicioCiclo,$S83+MOD(2-WEEKDAY($S83),7))+20),1,IF(ISNUMBER($K83),$K83,$Z83)))</f>
        <v/>
      </c>
      <c r="AB83" s="62">
        <f>IF($V83="","",IF(AND(ISNUMBER($G83),$G83&lt;=IF($S83=MesCiclo,InicioCiclo,$S83+MOD(2-WEEKDAY($S83),7))+27),1,IF(ISNUMBER($L83),$L83,$AA83)))</f>
        <v/>
      </c>
      <c r="AC83" s="62">
        <f>IF($V83="","",IF(AND(ISNUMBER($G83),$G83&lt;=IF($S83=MesCiclo,InicioCiclo,$S83+MOD(2-WEEKDAY($S83),7))+6),1,IF(N($W83)&gt;0,AVERAGEIFS($Y$5:$Y$1000,$U$5:$U$1000,ROW(),$V$5:$V$1000,"Sub"),$Y83)))</f>
        <v/>
      </c>
      <c r="AD83" s="62">
        <f>IF($V83="","",IF(AND(ISNUMBER($G83),$G83&lt;=IF($S83=MesCiclo,InicioCiclo,$S83+MOD(2-WEEKDAY($S83),7))+13),1,IF(N($W83)&gt;0,AVERAGEIFS($Z$5:$Z$1000,$U$5:$U$1000,ROW(),$V$5:$V$1000,"Sub"),$Z83)))</f>
        <v/>
      </c>
      <c r="AE83" s="62">
        <f>IF($V83="","",IF(AND(ISNUMBER($G83),$G83&lt;=IF($S83=MesCiclo,InicioCiclo,$S83+MOD(2-WEEKDAY($S83),7))+20),1,IF(N($W83)&gt;0,AVERAGEIFS($AA$5:$AA$1000,$U$5:$U$1000,ROW(),$V$5:$V$1000,"Sub"),$AA83)))</f>
        <v/>
      </c>
      <c r="AF83" s="62">
        <f>IF($V83="","",IF(AND(ISNUMBER($G83),$G83&lt;=IF($S83=MesCiclo,InicioCiclo,$S83+MOD(2-WEEKDAY($S83),7))+27),1,IF(N($W83)&gt;0,AVERAGEIFS($AB$5:$AB$1000,$U$5:$U$1000,ROW(),$V$5:$V$1000,"Sub"),$AB83)))</f>
        <v/>
      </c>
      <c r="AG83" s="62">
        <f>IF($V83&lt;&gt;"Macro","",IF(COUNTIFS($S$5:$S$1000,$S83,$V$5:$V$1000,"Macro",$H$5:$H$1000,"&gt;0")=0,1/COUNTIFS($S$5:$S$1000,$S83,$V$5:$V$1000,"Macro"),IF(AND(ISNUMBER($H83),N($H83)&gt;0),$H83,SUMIFS($H$5:$H$1000,$S$5:$S$1000,$S83,$V$5:$V$1000,"Macro")/COUNTIFS($S$5:$S$1000,$S83,$V$5:$V$1000,"Macro",$H$5:$H$1000,"&gt;0"))/(COUNTIFS($S$5:$S$1000,$S83,$V$5:$V$1000,"Macro")*SUMIFS($H$5:$H$1000,$S$5:$S$1000,$S83,$V$5:$V$1000,"Macro")/COUNTIFS($S$5:$S$1000,$S83,$V$5:$V$1000,"Macro",$H$5:$H$1000,"&gt;0"))))</f>
        <v/>
      </c>
      <c r="AH83" s="62" t="n"/>
      <c r="AI83" s="62" t="n"/>
      <c r="AJ83" s="62" t="n"/>
      <c r="AK83" s="62" t="n"/>
      <c r="AL83" s="62">
        <f>IF(LEFT($C83,11)="[Jefatura] ",IFERROR(MATCH("Riesgo Financiero|"&amp;MID($C83,12,500),rDname_ADM,0),0),"")</f>
        <v/>
      </c>
      <c r="AM83" s="62">
        <f>IF(N($AL83)&gt;0,INDEX(rIni_ADM,$AL83),IF(ISNUMBER($E83),$E83,""))</f>
        <v/>
      </c>
      <c r="AN83" s="62">
        <f>IF(N($AL83)&gt;0,INDEX(rLim_ADM,$AL83),IF(ISNUMBER($F83),$F83,""))</f>
        <v/>
      </c>
    </row>
    <row r="84">
      <c r="A84" s="56">
        <f>IF(NOT((COUNTA($B84:$D84)+COUNTA($G84:$L84)+COUNTA($Q84))&gt;0),"",IF($V84="Macro",COUNTIFS($V$5:$V84,"Macro",$S$5:$S84,$S84),IF(N($U84)=0,"?",COUNTIFS(INDEX($V$5:$V$1000,1):INDEX($V$5:$V$1000,$U84-4),"Macro",INDEX($S$5:$S$1000,1):INDEX($S$5:$S$1000,$U84-4),INDEX($S$5:$S$1000,$U84-4))&amp;"."&amp;COUNTIFS($U$5:$U84,$U84,$V$5:$V84,"Sub"))))</f>
        <v/>
      </c>
      <c r="B84" s="57" t="n"/>
      <c r="C84" s="58" t="n"/>
      <c r="D84" s="58" t="n"/>
      <c r="E84" s="59">
        <f>IF(N($AL84)&gt;0,INDEX(rIni_ADM,$AL84),"")</f>
        <v/>
      </c>
      <c r="F84" s="59">
        <f>IF(N($AL84)&gt;0,INDEX(rLim_ADM,$AL84),"")</f>
        <v/>
      </c>
      <c r="G84" s="59" t="n"/>
      <c r="H84" s="60" t="n"/>
      <c r="I84" s="60" t="n"/>
      <c r="J84" s="60" t="n"/>
      <c r="K84" s="60" t="n"/>
      <c r="L84" s="60" t="n"/>
      <c r="M84" s="61">
        <f>IF(NOT((COUNTA($B84:$D84)+COUNTA($G84:$L84)+COUNTA($Q84))&gt;0),"",IF(ISNUMBER($G84),1,IF(N($W84)&gt;0,AVERAGEIFS($X$5:$X$1000,$U$5:$U$1000,ROW(),$V$5:$V$1000,"Sub"),$X84)))</f>
        <v/>
      </c>
      <c r="N84" s="56">
        <f>IF($M84="","",IF($M84&gt;=1,"Completado",IF($M84&gt;0,"En curso","Pendiente")))</f>
        <v/>
      </c>
      <c r="O84" s="56">
        <f>IF(NOT((COUNTA($B84:$D84)+COUNTA($G84:$L84)+COUNTA($Q84))&gt;0),"",IF(ISNUMBER($G84),IF(AND(ISNUMBER($AN84),$G84&gt;$AN84),"Cumplida con "&amp;($G84-$AN84)&amp;IF($G84-$AN84=1," día"," días")&amp;" de retraso","Cumplida"),IF(N($M84)&gt;=1,"Cumplida",IF(NOT(ISNUMBER($AN84)),"Sin fecha límite",IF($AN84&lt;FechaRef,"Vencida hace "&amp;(FechaRef-$AN84)&amp;IF(FechaRef-$AN84=1," día"," días"),IF($AN84=FechaRef,"Vence hoy",IF($AN84-FechaRef&lt;=DiasAlerta,"Vence en "&amp;($AN84-FechaRef)&amp;IF($AN84-FechaRef=1," día"," días"),"En plazo")))))))</f>
        <v/>
      </c>
      <c r="P84" s="62" t="n"/>
      <c r="Q84" s="58" t="n"/>
      <c r="R84" s="63">
        <f>IF(NOT((COUNTA($B84:$D84)+COUNTA($G84:$L84)+COUNTA($Q84))&gt;0),"",IF((IF($C84="","Falta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",""))="","✔ OK","⚠ "&amp;LEFT(IF($C84="","Falta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",""),LEN(IF($C84="","Falta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",""))-3)))</f>
        <v/>
      </c>
      <c r="S84" s="64">
        <f>IF(NOT((COUNTA($B84:$D84)+COUNTA($G84:$L84)+COUNTA($Q84))&gt;0),"",IF(AND($V84="Sub",N($U84)&gt;0),IF(ISNUMBER(INDEX($AM$5:$AM$1000,$U84-4)),DATE(YEAR(INDEX($AM$5:$AM$1000,$U84-4)),MONTH(INDEX($AM$5:$AM$1000,$U84-4)),1),IF(ISNUMBER(INDEX($AN$5:$AN$1000,$U84-4)),DATE(YEAR(INDEX($AN$5:$AN$1000,$U84-4)),MONTH(INDEX($AN$5:$AN$1000,$U84-4)),1),MesCiclo)),IF(ISNUMBER($AM84),DATE(YEAR($AM84),MONTH($AM84),1),IF(ISNUMBER($AN84),DATE(YEAR($AN84),MONTH($AN84),1),MesCiclo))))</f>
        <v/>
      </c>
      <c r="T84" s="62">
        <f>IF(OR($S84="",$S84&lt;&gt;MesCiclo),"",COUNTIF($S$5:$S84,MesCiclo))</f>
        <v/>
      </c>
      <c r="U84" s="62">
        <f>IF($V84="","",IF($V84="Macro",ROW(),IFERROR(LOOKUP(2,1/($V$5:$V84="Macro"),ROW($V$5:$V84)),0)))</f>
        <v/>
      </c>
      <c r="V84" s="62">
        <f>IF(NOT((COUNTA($B84:$D84)+COUNTA($G84:$L84)+COUNTA($Q84))&gt;0),"",IF($B84="Subactividad","Sub","Macro"))</f>
        <v/>
      </c>
      <c r="W84" s="62">
        <f>IF($V84="Macro",COUNTIFS($U$5:$U$1000,ROW(),$V$5:$V$1000,"Sub"),"")</f>
        <v/>
      </c>
      <c r="X84" s="62">
        <f>IF($V84="","",IF(ISNUMBER($G84),1,IFERROR(LOOKUP(2,1/($I84:$L84&lt;&gt;""),$I84:$L84),0)))</f>
        <v/>
      </c>
      <c r="Y84" s="62">
        <f>IF($V84="","",IF(AND(ISNUMBER($G84),$G84&lt;=IF($S84=MesCiclo,InicioCiclo,$S84+MOD(2-WEEKDAY($S84),7))+6),1,IF(ISNUMBER($I84),$I84,0)))</f>
        <v/>
      </c>
      <c r="Z84" s="62">
        <f>IF($V84="","",IF(AND(ISNUMBER($G84),$G84&lt;=IF($S84=MesCiclo,InicioCiclo,$S84+MOD(2-WEEKDAY($S84),7))+13),1,IF(ISNUMBER($J84),$J84,$Y84)))</f>
        <v/>
      </c>
      <c r="AA84" s="62">
        <f>IF($V84="","",IF(AND(ISNUMBER($G84),$G84&lt;=IF($S84=MesCiclo,InicioCiclo,$S84+MOD(2-WEEKDAY($S84),7))+20),1,IF(ISNUMBER($K84),$K84,$Z84)))</f>
        <v/>
      </c>
      <c r="AB84" s="62">
        <f>IF($V84="","",IF(AND(ISNUMBER($G84),$G84&lt;=IF($S84=MesCiclo,InicioCiclo,$S84+MOD(2-WEEKDAY($S84),7))+27),1,IF(ISNUMBER($L84),$L84,$AA84)))</f>
        <v/>
      </c>
      <c r="AC84" s="62">
        <f>IF($V84="","",IF(AND(ISNUMBER($G84),$G84&lt;=IF($S84=MesCiclo,InicioCiclo,$S84+MOD(2-WEEKDAY($S84),7))+6),1,IF(N($W84)&gt;0,AVERAGEIFS($Y$5:$Y$1000,$U$5:$U$1000,ROW(),$V$5:$V$1000,"Sub"),$Y84)))</f>
        <v/>
      </c>
      <c r="AD84" s="62">
        <f>IF($V84="","",IF(AND(ISNUMBER($G84),$G84&lt;=IF($S84=MesCiclo,InicioCiclo,$S84+MOD(2-WEEKDAY($S84),7))+13),1,IF(N($W84)&gt;0,AVERAGEIFS($Z$5:$Z$1000,$U$5:$U$1000,ROW(),$V$5:$V$1000,"Sub"),$Z84)))</f>
        <v/>
      </c>
      <c r="AE84" s="62">
        <f>IF($V84="","",IF(AND(ISNUMBER($G84),$G84&lt;=IF($S84=MesCiclo,InicioCiclo,$S84+MOD(2-WEEKDAY($S84),7))+20),1,IF(N($W84)&gt;0,AVERAGEIFS($AA$5:$AA$1000,$U$5:$U$1000,ROW(),$V$5:$V$1000,"Sub"),$AA84)))</f>
        <v/>
      </c>
      <c r="AF84" s="62">
        <f>IF($V84="","",IF(AND(ISNUMBER($G84),$G84&lt;=IF($S84=MesCiclo,InicioCiclo,$S84+MOD(2-WEEKDAY($S84),7))+27),1,IF(N($W84)&gt;0,AVERAGEIFS($AB$5:$AB$1000,$U$5:$U$1000,ROW(),$V$5:$V$1000,"Sub"),$AB84)))</f>
        <v/>
      </c>
      <c r="AG84" s="62">
        <f>IF($V84&lt;&gt;"Macro","",IF(COUNTIFS($S$5:$S$1000,$S84,$V$5:$V$1000,"Macro",$H$5:$H$1000,"&gt;0")=0,1/COUNTIFS($S$5:$S$1000,$S84,$V$5:$V$1000,"Macro"),IF(AND(ISNUMBER($H84),N($H84)&gt;0),$H84,SUMIFS($H$5:$H$1000,$S$5:$S$1000,$S84,$V$5:$V$1000,"Macro")/COUNTIFS($S$5:$S$1000,$S84,$V$5:$V$1000,"Macro",$H$5:$H$1000,"&gt;0"))/(COUNTIFS($S$5:$S$1000,$S84,$V$5:$V$1000,"Macro")*SUMIFS($H$5:$H$1000,$S$5:$S$1000,$S84,$V$5:$V$1000,"Macro")/COUNTIFS($S$5:$S$1000,$S84,$V$5:$V$1000,"Macro",$H$5:$H$1000,"&gt;0"))))</f>
        <v/>
      </c>
      <c r="AH84" s="62" t="n"/>
      <c r="AI84" s="62" t="n"/>
      <c r="AJ84" s="62" t="n"/>
      <c r="AK84" s="62" t="n"/>
      <c r="AL84" s="62">
        <f>IF(LEFT($C84,11)="[Jefatura] ",IFERROR(MATCH("Riesgo Financiero|"&amp;MID($C84,12,500),rDname_ADM,0),0),"")</f>
        <v/>
      </c>
      <c r="AM84" s="62">
        <f>IF(N($AL84)&gt;0,INDEX(rIni_ADM,$AL84),IF(ISNUMBER($E84),$E84,""))</f>
        <v/>
      </c>
      <c r="AN84" s="62">
        <f>IF(N($AL84)&gt;0,INDEX(rLim_ADM,$AL84),IF(ISNUMBER($F84),$F84,""))</f>
        <v/>
      </c>
    </row>
    <row r="85">
      <c r="A85" s="56">
        <f>IF(NOT((COUNTA($B85:$D85)+COUNTA($G85:$L85)+COUNTA($Q85))&gt;0),"",IF($V85="Macro",COUNTIFS($V$5:$V85,"Macro",$S$5:$S85,$S85),IF(N($U85)=0,"?",COUNTIFS(INDEX($V$5:$V$1000,1):INDEX($V$5:$V$1000,$U85-4),"Macro",INDEX($S$5:$S$1000,1):INDEX($S$5:$S$1000,$U85-4),INDEX($S$5:$S$1000,$U85-4))&amp;"."&amp;COUNTIFS($U$5:$U85,$U85,$V$5:$V85,"Sub"))))</f>
        <v/>
      </c>
      <c r="B85" s="57" t="n"/>
      <c r="C85" s="58" t="n"/>
      <c r="D85" s="58" t="n"/>
      <c r="E85" s="59">
        <f>IF(N($AL85)&gt;0,INDEX(rIni_ADM,$AL85),"")</f>
        <v/>
      </c>
      <c r="F85" s="59">
        <f>IF(N($AL85)&gt;0,INDEX(rLim_ADM,$AL85),"")</f>
        <v/>
      </c>
      <c r="G85" s="59" t="n"/>
      <c r="H85" s="60" t="n"/>
      <c r="I85" s="60" t="n"/>
      <c r="J85" s="60" t="n"/>
      <c r="K85" s="60" t="n"/>
      <c r="L85" s="60" t="n"/>
      <c r="M85" s="61">
        <f>IF(NOT((COUNTA($B85:$D85)+COUNTA($G85:$L85)+COUNTA($Q85))&gt;0),"",IF(ISNUMBER($G85),1,IF(N($W85)&gt;0,AVERAGEIFS($X$5:$X$1000,$U$5:$U$1000,ROW(),$V$5:$V$1000,"Sub"),$X85)))</f>
        <v/>
      </c>
      <c r="N85" s="56">
        <f>IF($M85="","",IF($M85&gt;=1,"Completado",IF($M85&gt;0,"En curso","Pendiente")))</f>
        <v/>
      </c>
      <c r="O85" s="56">
        <f>IF(NOT((COUNTA($B85:$D85)+COUNTA($G85:$L85)+COUNTA($Q85))&gt;0),"",IF(ISNUMBER($G85),IF(AND(ISNUMBER($AN85),$G85&gt;$AN85),"Cumplida con "&amp;($G85-$AN85)&amp;IF($G85-$AN85=1," día"," días")&amp;" de retraso","Cumplida"),IF(N($M85)&gt;=1,"Cumplida",IF(NOT(ISNUMBER($AN85)),"Sin fecha límite",IF($AN85&lt;FechaRef,"Vencida hace "&amp;(FechaRef-$AN85)&amp;IF(FechaRef-$AN85=1," día"," días"),IF($AN85=FechaRef,"Vence hoy",IF($AN85-FechaRef&lt;=DiasAlerta,"Vence en "&amp;($AN85-FechaRef)&amp;IF($AN85-FechaRef=1," día"," días"),"En plazo")))))))</f>
        <v/>
      </c>
      <c r="P85" s="62" t="n"/>
      <c r="Q85" s="58" t="n"/>
      <c r="R85" s="63">
        <f>IF(NOT((COUNTA($B85:$D85)+COUNTA($G85:$L85)+COUNTA($Q85))&gt;0),"",IF((IF($C85="","Falta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",""))="","✔ OK","⚠ "&amp;LEFT(IF($C85="","Falta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",""),LEN(IF($C85="","Falta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",""))-3)))</f>
        <v/>
      </c>
      <c r="S85" s="64">
        <f>IF(NOT((COUNTA($B85:$D85)+COUNTA($G85:$L85)+COUNTA($Q85))&gt;0),"",IF(AND($V85="Sub",N($U85)&gt;0),IF(ISNUMBER(INDEX($AM$5:$AM$1000,$U85-4)),DATE(YEAR(INDEX($AM$5:$AM$1000,$U85-4)),MONTH(INDEX($AM$5:$AM$1000,$U85-4)),1),IF(ISNUMBER(INDEX($AN$5:$AN$1000,$U85-4)),DATE(YEAR(INDEX($AN$5:$AN$1000,$U85-4)),MONTH(INDEX($AN$5:$AN$1000,$U85-4)),1),MesCiclo)),IF(ISNUMBER($AM85),DATE(YEAR($AM85),MONTH($AM85),1),IF(ISNUMBER($AN85),DATE(YEAR($AN85),MONTH($AN85),1),MesCiclo))))</f>
        <v/>
      </c>
      <c r="T85" s="62">
        <f>IF(OR($S85="",$S85&lt;&gt;MesCiclo),"",COUNTIF($S$5:$S85,MesCiclo))</f>
        <v/>
      </c>
      <c r="U85" s="62">
        <f>IF($V85="","",IF($V85="Macro",ROW(),IFERROR(LOOKUP(2,1/($V$5:$V85="Macro"),ROW($V$5:$V85)),0)))</f>
        <v/>
      </c>
      <c r="V85" s="62">
        <f>IF(NOT((COUNTA($B85:$D85)+COUNTA($G85:$L85)+COUNTA($Q85))&gt;0),"",IF($B85="Subactividad","Sub","Macro"))</f>
        <v/>
      </c>
      <c r="W85" s="62">
        <f>IF($V85="Macro",COUNTIFS($U$5:$U$1000,ROW(),$V$5:$V$1000,"Sub"),"")</f>
        <v/>
      </c>
      <c r="X85" s="62">
        <f>IF($V85="","",IF(ISNUMBER($G85),1,IFERROR(LOOKUP(2,1/($I85:$L85&lt;&gt;""),$I85:$L85),0)))</f>
        <v/>
      </c>
      <c r="Y85" s="62">
        <f>IF($V85="","",IF(AND(ISNUMBER($G85),$G85&lt;=IF($S85=MesCiclo,InicioCiclo,$S85+MOD(2-WEEKDAY($S85),7))+6),1,IF(ISNUMBER($I85),$I85,0)))</f>
        <v/>
      </c>
      <c r="Z85" s="62">
        <f>IF($V85="","",IF(AND(ISNUMBER($G85),$G85&lt;=IF($S85=MesCiclo,InicioCiclo,$S85+MOD(2-WEEKDAY($S85),7))+13),1,IF(ISNUMBER($J85),$J85,$Y85)))</f>
        <v/>
      </c>
      <c r="AA85" s="62">
        <f>IF($V85="","",IF(AND(ISNUMBER($G85),$G85&lt;=IF($S85=MesCiclo,InicioCiclo,$S85+MOD(2-WEEKDAY($S85),7))+20),1,IF(ISNUMBER($K85),$K85,$Z85)))</f>
        <v/>
      </c>
      <c r="AB85" s="62">
        <f>IF($V85="","",IF(AND(ISNUMBER($G85),$G85&lt;=IF($S85=MesCiclo,InicioCiclo,$S85+MOD(2-WEEKDAY($S85),7))+27),1,IF(ISNUMBER($L85),$L85,$AA85)))</f>
        <v/>
      </c>
      <c r="AC85" s="62">
        <f>IF($V85="","",IF(AND(ISNUMBER($G85),$G85&lt;=IF($S85=MesCiclo,InicioCiclo,$S85+MOD(2-WEEKDAY($S85),7))+6),1,IF(N($W85)&gt;0,AVERAGEIFS($Y$5:$Y$1000,$U$5:$U$1000,ROW(),$V$5:$V$1000,"Sub"),$Y85)))</f>
        <v/>
      </c>
      <c r="AD85" s="62">
        <f>IF($V85="","",IF(AND(ISNUMBER($G85),$G85&lt;=IF($S85=MesCiclo,InicioCiclo,$S85+MOD(2-WEEKDAY($S85),7))+13),1,IF(N($W85)&gt;0,AVERAGEIFS($Z$5:$Z$1000,$U$5:$U$1000,ROW(),$V$5:$V$1000,"Sub"),$Z85)))</f>
        <v/>
      </c>
      <c r="AE85" s="62">
        <f>IF($V85="","",IF(AND(ISNUMBER($G85),$G85&lt;=IF($S85=MesCiclo,InicioCiclo,$S85+MOD(2-WEEKDAY($S85),7))+20),1,IF(N($W85)&gt;0,AVERAGEIFS($AA$5:$AA$1000,$U$5:$U$1000,ROW(),$V$5:$V$1000,"Sub"),$AA85)))</f>
        <v/>
      </c>
      <c r="AF85" s="62">
        <f>IF($V85="","",IF(AND(ISNUMBER($G85),$G85&lt;=IF($S85=MesCiclo,InicioCiclo,$S85+MOD(2-WEEKDAY($S85),7))+27),1,IF(N($W85)&gt;0,AVERAGEIFS($AB$5:$AB$1000,$U$5:$U$1000,ROW(),$V$5:$V$1000,"Sub"),$AB85)))</f>
        <v/>
      </c>
      <c r="AG85" s="62">
        <f>IF($V85&lt;&gt;"Macro","",IF(COUNTIFS($S$5:$S$1000,$S85,$V$5:$V$1000,"Macro",$H$5:$H$1000,"&gt;0")=0,1/COUNTIFS($S$5:$S$1000,$S85,$V$5:$V$1000,"Macro"),IF(AND(ISNUMBER($H85),N($H85)&gt;0),$H85,SUMIFS($H$5:$H$1000,$S$5:$S$1000,$S85,$V$5:$V$1000,"Macro")/COUNTIFS($S$5:$S$1000,$S85,$V$5:$V$1000,"Macro",$H$5:$H$1000,"&gt;0"))/(COUNTIFS($S$5:$S$1000,$S85,$V$5:$V$1000,"Macro")*SUMIFS($H$5:$H$1000,$S$5:$S$1000,$S85,$V$5:$V$1000,"Macro")/COUNTIFS($S$5:$S$1000,$S85,$V$5:$V$1000,"Macro",$H$5:$H$1000,"&gt;0"))))</f>
        <v/>
      </c>
      <c r="AH85" s="62" t="n"/>
      <c r="AI85" s="62" t="n"/>
      <c r="AJ85" s="62" t="n"/>
      <c r="AK85" s="62" t="n"/>
      <c r="AL85" s="62">
        <f>IF(LEFT($C85,11)="[Jefatura] ",IFERROR(MATCH("Riesgo Financiero|"&amp;MID($C85,12,500),rDname_ADM,0),0),"")</f>
        <v/>
      </c>
      <c r="AM85" s="62">
        <f>IF(N($AL85)&gt;0,INDEX(rIni_ADM,$AL85),IF(ISNUMBER($E85),$E85,""))</f>
        <v/>
      </c>
      <c r="AN85" s="62">
        <f>IF(N($AL85)&gt;0,INDEX(rLim_ADM,$AL85),IF(ISNUMBER($F85),$F85,""))</f>
        <v/>
      </c>
    </row>
    <row r="86">
      <c r="A86" s="56">
        <f>IF(NOT((COUNTA($B86:$D86)+COUNTA($G86:$L86)+COUNTA($Q86))&gt;0),"",IF($V86="Macro",COUNTIFS($V$5:$V86,"Macro",$S$5:$S86,$S86),IF(N($U86)=0,"?",COUNTIFS(INDEX($V$5:$V$1000,1):INDEX($V$5:$V$1000,$U86-4),"Macro",INDEX($S$5:$S$1000,1):INDEX($S$5:$S$1000,$U86-4),INDEX($S$5:$S$1000,$U86-4))&amp;"."&amp;COUNTIFS($U$5:$U86,$U86,$V$5:$V86,"Sub"))))</f>
        <v/>
      </c>
      <c r="B86" s="57" t="n"/>
      <c r="C86" s="58" t="n"/>
      <c r="D86" s="58" t="n"/>
      <c r="E86" s="59">
        <f>IF(N($AL86)&gt;0,INDEX(rIni_ADM,$AL86),"")</f>
        <v/>
      </c>
      <c r="F86" s="59">
        <f>IF(N($AL86)&gt;0,INDEX(rLim_ADM,$AL86),"")</f>
        <v/>
      </c>
      <c r="G86" s="59" t="n"/>
      <c r="H86" s="60" t="n"/>
      <c r="I86" s="60" t="n"/>
      <c r="J86" s="60" t="n"/>
      <c r="K86" s="60" t="n"/>
      <c r="L86" s="60" t="n"/>
      <c r="M86" s="61">
        <f>IF(NOT((COUNTA($B86:$D86)+COUNTA($G86:$L86)+COUNTA($Q86))&gt;0),"",IF(ISNUMBER($G86),1,IF(N($W86)&gt;0,AVERAGEIFS($X$5:$X$1000,$U$5:$U$1000,ROW(),$V$5:$V$1000,"Sub"),$X86)))</f>
        <v/>
      </c>
      <c r="N86" s="56">
        <f>IF($M86="","",IF($M86&gt;=1,"Completado",IF($M86&gt;0,"En curso","Pendiente")))</f>
        <v/>
      </c>
      <c r="O86" s="56">
        <f>IF(NOT((COUNTA($B86:$D86)+COUNTA($G86:$L86)+COUNTA($Q86))&gt;0),"",IF(ISNUMBER($G86),IF(AND(ISNUMBER($AN86),$G86&gt;$AN86),"Cumplida con "&amp;($G86-$AN86)&amp;IF($G86-$AN86=1," día"," días")&amp;" de retraso","Cumplida"),IF(N($M86)&gt;=1,"Cumplida",IF(NOT(ISNUMBER($AN86)),"Sin fecha límite",IF($AN86&lt;FechaRef,"Vencida hace "&amp;(FechaRef-$AN86)&amp;IF(FechaRef-$AN86=1," día"," días"),IF($AN86=FechaRef,"Vence hoy",IF($AN86-FechaRef&lt;=DiasAlerta,"Vence en "&amp;($AN86-FechaRef)&amp;IF($AN86-FechaRef=1," día"," días"),"En plazo")))))))</f>
        <v/>
      </c>
      <c r="P86" s="62" t="n"/>
      <c r="Q86" s="58" t="n"/>
      <c r="R86" s="63">
        <f>IF(NOT((COUNTA($B86:$D86)+COUNTA($G86:$L86)+COUNTA($Q86))&gt;0),"",IF((IF($C86="","Falta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",""))="","✔ OK","⚠ "&amp;LEFT(IF($C86="","Falta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",""),LEN(IF($C86="","Falta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",""))-3)))</f>
        <v/>
      </c>
      <c r="S86" s="64">
        <f>IF(NOT((COUNTA($B86:$D86)+COUNTA($G86:$L86)+COUNTA($Q86))&gt;0),"",IF(AND($V86="Sub",N($U86)&gt;0),IF(ISNUMBER(INDEX($AM$5:$AM$1000,$U86-4)),DATE(YEAR(INDEX($AM$5:$AM$1000,$U86-4)),MONTH(INDEX($AM$5:$AM$1000,$U86-4)),1),IF(ISNUMBER(INDEX($AN$5:$AN$1000,$U86-4)),DATE(YEAR(INDEX($AN$5:$AN$1000,$U86-4)),MONTH(INDEX($AN$5:$AN$1000,$U86-4)),1),MesCiclo)),IF(ISNUMBER($AM86),DATE(YEAR($AM86),MONTH($AM86),1),IF(ISNUMBER($AN86),DATE(YEAR($AN86),MONTH($AN86),1),MesCiclo))))</f>
        <v/>
      </c>
      <c r="T86" s="62">
        <f>IF(OR($S86="",$S86&lt;&gt;MesCiclo),"",COUNTIF($S$5:$S86,MesCiclo))</f>
        <v/>
      </c>
      <c r="U86" s="62">
        <f>IF($V86="","",IF($V86="Macro",ROW(),IFERROR(LOOKUP(2,1/($V$5:$V86="Macro"),ROW($V$5:$V86)),0)))</f>
        <v/>
      </c>
      <c r="V86" s="62">
        <f>IF(NOT((COUNTA($B86:$D86)+COUNTA($G86:$L86)+COUNTA($Q86))&gt;0),"",IF($B86="Subactividad","Sub","Macro"))</f>
        <v/>
      </c>
      <c r="W86" s="62">
        <f>IF($V86="Macro",COUNTIFS($U$5:$U$1000,ROW(),$V$5:$V$1000,"Sub"),"")</f>
        <v/>
      </c>
      <c r="X86" s="62">
        <f>IF($V86="","",IF(ISNUMBER($G86),1,IFERROR(LOOKUP(2,1/($I86:$L86&lt;&gt;""),$I86:$L86),0)))</f>
        <v/>
      </c>
      <c r="Y86" s="62">
        <f>IF($V86="","",IF(AND(ISNUMBER($G86),$G86&lt;=IF($S86=MesCiclo,InicioCiclo,$S86+MOD(2-WEEKDAY($S86),7))+6),1,IF(ISNUMBER($I86),$I86,0)))</f>
        <v/>
      </c>
      <c r="Z86" s="62">
        <f>IF($V86="","",IF(AND(ISNUMBER($G86),$G86&lt;=IF($S86=MesCiclo,InicioCiclo,$S86+MOD(2-WEEKDAY($S86),7))+13),1,IF(ISNUMBER($J86),$J86,$Y86)))</f>
        <v/>
      </c>
      <c r="AA86" s="62">
        <f>IF($V86="","",IF(AND(ISNUMBER($G86),$G86&lt;=IF($S86=MesCiclo,InicioCiclo,$S86+MOD(2-WEEKDAY($S86),7))+20),1,IF(ISNUMBER($K86),$K86,$Z86)))</f>
        <v/>
      </c>
      <c r="AB86" s="62">
        <f>IF($V86="","",IF(AND(ISNUMBER($G86),$G86&lt;=IF($S86=MesCiclo,InicioCiclo,$S86+MOD(2-WEEKDAY($S86),7))+27),1,IF(ISNUMBER($L86),$L86,$AA86)))</f>
        <v/>
      </c>
      <c r="AC86" s="62">
        <f>IF($V86="","",IF(AND(ISNUMBER($G86),$G86&lt;=IF($S86=MesCiclo,InicioCiclo,$S86+MOD(2-WEEKDAY($S86),7))+6),1,IF(N($W86)&gt;0,AVERAGEIFS($Y$5:$Y$1000,$U$5:$U$1000,ROW(),$V$5:$V$1000,"Sub"),$Y86)))</f>
        <v/>
      </c>
      <c r="AD86" s="62">
        <f>IF($V86="","",IF(AND(ISNUMBER($G86),$G86&lt;=IF($S86=MesCiclo,InicioCiclo,$S86+MOD(2-WEEKDAY($S86),7))+13),1,IF(N($W86)&gt;0,AVERAGEIFS($Z$5:$Z$1000,$U$5:$U$1000,ROW(),$V$5:$V$1000,"Sub"),$Z86)))</f>
        <v/>
      </c>
      <c r="AE86" s="62">
        <f>IF($V86="","",IF(AND(ISNUMBER($G86),$G86&lt;=IF($S86=MesCiclo,InicioCiclo,$S86+MOD(2-WEEKDAY($S86),7))+20),1,IF(N($W86)&gt;0,AVERAGEIFS($AA$5:$AA$1000,$U$5:$U$1000,ROW(),$V$5:$V$1000,"Sub"),$AA86)))</f>
        <v/>
      </c>
      <c r="AF86" s="62">
        <f>IF($V86="","",IF(AND(ISNUMBER($G86),$G86&lt;=IF($S86=MesCiclo,InicioCiclo,$S86+MOD(2-WEEKDAY($S86),7))+27),1,IF(N($W86)&gt;0,AVERAGEIFS($AB$5:$AB$1000,$U$5:$U$1000,ROW(),$V$5:$V$1000,"Sub"),$AB86)))</f>
        <v/>
      </c>
      <c r="AG86" s="62">
        <f>IF($V86&lt;&gt;"Macro","",IF(COUNTIFS($S$5:$S$1000,$S86,$V$5:$V$1000,"Macro",$H$5:$H$1000,"&gt;0")=0,1/COUNTIFS($S$5:$S$1000,$S86,$V$5:$V$1000,"Macro"),IF(AND(ISNUMBER($H86),N($H86)&gt;0),$H86,SUMIFS($H$5:$H$1000,$S$5:$S$1000,$S86,$V$5:$V$1000,"Macro")/COUNTIFS($S$5:$S$1000,$S86,$V$5:$V$1000,"Macro",$H$5:$H$1000,"&gt;0"))/(COUNTIFS($S$5:$S$1000,$S86,$V$5:$V$1000,"Macro")*SUMIFS($H$5:$H$1000,$S$5:$S$1000,$S86,$V$5:$V$1000,"Macro")/COUNTIFS($S$5:$S$1000,$S86,$V$5:$V$1000,"Macro",$H$5:$H$1000,"&gt;0"))))</f>
        <v/>
      </c>
      <c r="AH86" s="62" t="n"/>
      <c r="AI86" s="62" t="n"/>
      <c r="AJ86" s="62" t="n"/>
      <c r="AK86" s="62" t="n"/>
      <c r="AL86" s="62">
        <f>IF(LEFT($C86,11)="[Jefatura] ",IFERROR(MATCH("Riesgo Financiero|"&amp;MID($C86,12,500),rDname_ADM,0),0),"")</f>
        <v/>
      </c>
      <c r="AM86" s="62">
        <f>IF(N($AL86)&gt;0,INDEX(rIni_ADM,$AL86),IF(ISNUMBER($E86),$E86,""))</f>
        <v/>
      </c>
      <c r="AN86" s="62">
        <f>IF(N($AL86)&gt;0,INDEX(rLim_ADM,$AL86),IF(ISNUMBER($F86),$F86,""))</f>
        <v/>
      </c>
    </row>
    <row r="87">
      <c r="A87" s="56">
        <f>IF(NOT((COUNTA($B87:$D87)+COUNTA($G87:$L87)+COUNTA($Q87))&gt;0),"",IF($V87="Macro",COUNTIFS($V$5:$V87,"Macro",$S$5:$S87,$S87),IF(N($U87)=0,"?",COUNTIFS(INDEX($V$5:$V$1000,1):INDEX($V$5:$V$1000,$U87-4),"Macro",INDEX($S$5:$S$1000,1):INDEX($S$5:$S$1000,$U87-4),INDEX($S$5:$S$1000,$U87-4))&amp;"."&amp;COUNTIFS($U$5:$U87,$U87,$V$5:$V87,"Sub"))))</f>
        <v/>
      </c>
      <c r="B87" s="57" t="n"/>
      <c r="C87" s="58" t="n"/>
      <c r="D87" s="58" t="n"/>
      <c r="E87" s="59">
        <f>IF(N($AL87)&gt;0,INDEX(rIni_ADM,$AL87),"")</f>
        <v/>
      </c>
      <c r="F87" s="59">
        <f>IF(N($AL87)&gt;0,INDEX(rLim_ADM,$AL87),"")</f>
        <v/>
      </c>
      <c r="G87" s="59" t="n"/>
      <c r="H87" s="60" t="n"/>
      <c r="I87" s="60" t="n"/>
      <c r="J87" s="60" t="n"/>
      <c r="K87" s="60" t="n"/>
      <c r="L87" s="60" t="n"/>
      <c r="M87" s="61">
        <f>IF(NOT((COUNTA($B87:$D87)+COUNTA($G87:$L87)+COUNTA($Q87))&gt;0),"",IF(ISNUMBER($G87),1,IF(N($W87)&gt;0,AVERAGEIFS($X$5:$X$1000,$U$5:$U$1000,ROW(),$V$5:$V$1000,"Sub"),$X87)))</f>
        <v/>
      </c>
      <c r="N87" s="56">
        <f>IF($M87="","",IF($M87&gt;=1,"Completado",IF($M87&gt;0,"En curso","Pendiente")))</f>
        <v/>
      </c>
      <c r="O87" s="56">
        <f>IF(NOT((COUNTA($B87:$D87)+COUNTA($G87:$L87)+COUNTA($Q87))&gt;0),"",IF(ISNUMBER($G87),IF(AND(ISNUMBER($AN87),$G87&gt;$AN87),"Cumplida con "&amp;($G87-$AN87)&amp;IF($G87-$AN87=1," día"," días")&amp;" de retraso","Cumplida"),IF(N($M87)&gt;=1,"Cumplida",IF(NOT(ISNUMBER($AN87)),"Sin fecha límite",IF($AN87&lt;FechaRef,"Vencida hace "&amp;(FechaRef-$AN87)&amp;IF(FechaRef-$AN87=1," día"," días"),IF($AN87=FechaRef,"Vence hoy",IF($AN87-FechaRef&lt;=DiasAlerta,"Vence en "&amp;($AN87-FechaRef)&amp;IF($AN87-FechaRef=1," día"," días"),"En plazo")))))))</f>
        <v/>
      </c>
      <c r="P87" s="62" t="n"/>
      <c r="Q87" s="58" t="n"/>
      <c r="R87" s="63">
        <f>IF(NOT((COUNTA($B87:$D87)+COUNTA($G87:$L87)+COUNTA($Q87))&gt;0),"",IF((IF($C87="","Falta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",""))="","✔ OK","⚠ "&amp;LEFT(IF($C87="","Falta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",""),LEN(IF($C87="","Falta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",""))-3)))</f>
        <v/>
      </c>
      <c r="S87" s="64">
        <f>IF(NOT((COUNTA($B87:$D87)+COUNTA($G87:$L87)+COUNTA($Q87))&gt;0),"",IF(AND($V87="Sub",N($U87)&gt;0),IF(ISNUMBER(INDEX($AM$5:$AM$1000,$U87-4)),DATE(YEAR(INDEX($AM$5:$AM$1000,$U87-4)),MONTH(INDEX($AM$5:$AM$1000,$U87-4)),1),IF(ISNUMBER(INDEX($AN$5:$AN$1000,$U87-4)),DATE(YEAR(INDEX($AN$5:$AN$1000,$U87-4)),MONTH(INDEX($AN$5:$AN$1000,$U87-4)),1),MesCiclo)),IF(ISNUMBER($AM87),DATE(YEAR($AM87),MONTH($AM87),1),IF(ISNUMBER($AN87),DATE(YEAR($AN87),MONTH($AN87),1),MesCiclo))))</f>
        <v/>
      </c>
      <c r="T87" s="62">
        <f>IF(OR($S87="",$S87&lt;&gt;MesCiclo),"",COUNTIF($S$5:$S87,MesCiclo))</f>
        <v/>
      </c>
      <c r="U87" s="62">
        <f>IF($V87="","",IF($V87="Macro",ROW(),IFERROR(LOOKUP(2,1/($V$5:$V87="Macro"),ROW($V$5:$V87)),0)))</f>
        <v/>
      </c>
      <c r="V87" s="62">
        <f>IF(NOT((COUNTA($B87:$D87)+COUNTA($G87:$L87)+COUNTA($Q87))&gt;0),"",IF($B87="Subactividad","Sub","Macro"))</f>
        <v/>
      </c>
      <c r="W87" s="62">
        <f>IF($V87="Macro",COUNTIFS($U$5:$U$1000,ROW(),$V$5:$V$1000,"Sub"),"")</f>
        <v/>
      </c>
      <c r="X87" s="62">
        <f>IF($V87="","",IF(ISNUMBER($G87),1,IFERROR(LOOKUP(2,1/($I87:$L87&lt;&gt;""),$I87:$L87),0)))</f>
        <v/>
      </c>
      <c r="Y87" s="62">
        <f>IF($V87="","",IF(AND(ISNUMBER($G87),$G87&lt;=IF($S87=MesCiclo,InicioCiclo,$S87+MOD(2-WEEKDAY($S87),7))+6),1,IF(ISNUMBER($I87),$I87,0)))</f>
        <v/>
      </c>
      <c r="Z87" s="62">
        <f>IF($V87="","",IF(AND(ISNUMBER($G87),$G87&lt;=IF($S87=MesCiclo,InicioCiclo,$S87+MOD(2-WEEKDAY($S87),7))+13),1,IF(ISNUMBER($J87),$J87,$Y87)))</f>
        <v/>
      </c>
      <c r="AA87" s="62">
        <f>IF($V87="","",IF(AND(ISNUMBER($G87),$G87&lt;=IF($S87=MesCiclo,InicioCiclo,$S87+MOD(2-WEEKDAY($S87),7))+20),1,IF(ISNUMBER($K87),$K87,$Z87)))</f>
        <v/>
      </c>
      <c r="AB87" s="62">
        <f>IF($V87="","",IF(AND(ISNUMBER($G87),$G87&lt;=IF($S87=MesCiclo,InicioCiclo,$S87+MOD(2-WEEKDAY($S87),7))+27),1,IF(ISNUMBER($L87),$L87,$AA87)))</f>
        <v/>
      </c>
      <c r="AC87" s="62">
        <f>IF($V87="","",IF(AND(ISNUMBER($G87),$G87&lt;=IF($S87=MesCiclo,InicioCiclo,$S87+MOD(2-WEEKDAY($S87),7))+6),1,IF(N($W87)&gt;0,AVERAGEIFS($Y$5:$Y$1000,$U$5:$U$1000,ROW(),$V$5:$V$1000,"Sub"),$Y87)))</f>
        <v/>
      </c>
      <c r="AD87" s="62">
        <f>IF($V87="","",IF(AND(ISNUMBER($G87),$G87&lt;=IF($S87=MesCiclo,InicioCiclo,$S87+MOD(2-WEEKDAY($S87),7))+13),1,IF(N($W87)&gt;0,AVERAGEIFS($Z$5:$Z$1000,$U$5:$U$1000,ROW(),$V$5:$V$1000,"Sub"),$Z87)))</f>
        <v/>
      </c>
      <c r="AE87" s="62">
        <f>IF($V87="","",IF(AND(ISNUMBER($G87),$G87&lt;=IF($S87=MesCiclo,InicioCiclo,$S87+MOD(2-WEEKDAY($S87),7))+20),1,IF(N($W87)&gt;0,AVERAGEIFS($AA$5:$AA$1000,$U$5:$U$1000,ROW(),$V$5:$V$1000,"Sub"),$AA87)))</f>
        <v/>
      </c>
      <c r="AF87" s="62">
        <f>IF($V87="","",IF(AND(ISNUMBER($G87),$G87&lt;=IF($S87=MesCiclo,InicioCiclo,$S87+MOD(2-WEEKDAY($S87),7))+27),1,IF(N($W87)&gt;0,AVERAGEIFS($AB$5:$AB$1000,$U$5:$U$1000,ROW(),$V$5:$V$1000,"Sub"),$AB87)))</f>
        <v/>
      </c>
      <c r="AG87" s="62">
        <f>IF($V87&lt;&gt;"Macro","",IF(COUNTIFS($S$5:$S$1000,$S87,$V$5:$V$1000,"Macro",$H$5:$H$1000,"&gt;0")=0,1/COUNTIFS($S$5:$S$1000,$S87,$V$5:$V$1000,"Macro"),IF(AND(ISNUMBER($H87),N($H87)&gt;0),$H87,SUMIFS($H$5:$H$1000,$S$5:$S$1000,$S87,$V$5:$V$1000,"Macro")/COUNTIFS($S$5:$S$1000,$S87,$V$5:$V$1000,"Macro",$H$5:$H$1000,"&gt;0"))/(COUNTIFS($S$5:$S$1000,$S87,$V$5:$V$1000,"Macro")*SUMIFS($H$5:$H$1000,$S$5:$S$1000,$S87,$V$5:$V$1000,"Macro")/COUNTIFS($S$5:$S$1000,$S87,$V$5:$V$1000,"Macro",$H$5:$H$1000,"&gt;0"))))</f>
        <v/>
      </c>
      <c r="AH87" s="62" t="n"/>
      <c r="AI87" s="62" t="n"/>
      <c r="AJ87" s="62" t="n"/>
      <c r="AK87" s="62" t="n"/>
      <c r="AL87" s="62">
        <f>IF(LEFT($C87,11)="[Jefatura] ",IFERROR(MATCH("Riesgo Financiero|"&amp;MID($C87,12,500),rDname_ADM,0),0),"")</f>
        <v/>
      </c>
      <c r="AM87" s="62">
        <f>IF(N($AL87)&gt;0,INDEX(rIni_ADM,$AL87),IF(ISNUMBER($E87),$E87,""))</f>
        <v/>
      </c>
      <c r="AN87" s="62">
        <f>IF(N($AL87)&gt;0,INDEX(rLim_ADM,$AL87),IF(ISNUMBER($F87),$F87,""))</f>
        <v/>
      </c>
    </row>
    <row r="88">
      <c r="A88" s="56">
        <f>IF(NOT((COUNTA($B88:$D88)+COUNTA($G88:$L88)+COUNTA($Q88))&gt;0),"",IF($V88="Macro",COUNTIFS($V$5:$V88,"Macro",$S$5:$S88,$S88),IF(N($U88)=0,"?",COUNTIFS(INDEX($V$5:$V$1000,1):INDEX($V$5:$V$1000,$U88-4),"Macro",INDEX($S$5:$S$1000,1):INDEX($S$5:$S$1000,$U88-4),INDEX($S$5:$S$1000,$U88-4))&amp;"."&amp;COUNTIFS($U$5:$U88,$U88,$V$5:$V88,"Sub"))))</f>
        <v/>
      </c>
      <c r="B88" s="57" t="n"/>
      <c r="C88" s="58" t="n"/>
      <c r="D88" s="58" t="n"/>
      <c r="E88" s="59">
        <f>IF(N($AL88)&gt;0,INDEX(rIni_ADM,$AL88),"")</f>
        <v/>
      </c>
      <c r="F88" s="59">
        <f>IF(N($AL88)&gt;0,INDEX(rLim_ADM,$AL88),"")</f>
        <v/>
      </c>
      <c r="G88" s="59" t="n"/>
      <c r="H88" s="60" t="n"/>
      <c r="I88" s="60" t="n"/>
      <c r="J88" s="60" t="n"/>
      <c r="K88" s="60" t="n"/>
      <c r="L88" s="60" t="n"/>
      <c r="M88" s="61">
        <f>IF(NOT((COUNTA($B88:$D88)+COUNTA($G88:$L88)+COUNTA($Q88))&gt;0),"",IF(ISNUMBER($G88),1,IF(N($W88)&gt;0,AVERAGEIFS($X$5:$X$1000,$U$5:$U$1000,ROW(),$V$5:$V$1000,"Sub"),$X88)))</f>
        <v/>
      </c>
      <c r="N88" s="56">
        <f>IF($M88="","",IF($M88&gt;=1,"Completado",IF($M88&gt;0,"En curso","Pendiente")))</f>
        <v/>
      </c>
      <c r="O88" s="56">
        <f>IF(NOT((COUNTA($B88:$D88)+COUNTA($G88:$L88)+COUNTA($Q88))&gt;0),"",IF(ISNUMBER($G88),IF(AND(ISNUMBER($AN88),$G88&gt;$AN88),"Cumplida con "&amp;($G88-$AN88)&amp;IF($G88-$AN88=1," día"," días")&amp;" de retraso","Cumplida"),IF(N($M88)&gt;=1,"Cumplida",IF(NOT(ISNUMBER($AN88)),"Sin fecha límite",IF($AN88&lt;FechaRef,"Vencida hace "&amp;(FechaRef-$AN88)&amp;IF(FechaRef-$AN88=1," día"," días"),IF($AN88=FechaRef,"Vence hoy",IF($AN88-FechaRef&lt;=DiasAlerta,"Vence en "&amp;($AN88-FechaRef)&amp;IF($AN88-FechaRef=1," día"," días"),"En plazo")))))))</f>
        <v/>
      </c>
      <c r="P88" s="62" t="n"/>
      <c r="Q88" s="58" t="n"/>
      <c r="R88" s="63">
        <f>IF(NOT((COUNTA($B88:$D88)+COUNTA($G88:$L88)+COUNTA($Q88))&gt;0),"",IF((IF($C88="","Falta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",""))="","✔ OK","⚠ "&amp;LEFT(IF($C88="","Falta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",""),LEN(IF($C88="","Falta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",""))-3)))</f>
        <v/>
      </c>
      <c r="S88" s="64">
        <f>IF(NOT((COUNTA($B88:$D88)+COUNTA($G88:$L88)+COUNTA($Q88))&gt;0),"",IF(AND($V88="Sub",N($U88)&gt;0),IF(ISNUMBER(INDEX($AM$5:$AM$1000,$U88-4)),DATE(YEAR(INDEX($AM$5:$AM$1000,$U88-4)),MONTH(INDEX($AM$5:$AM$1000,$U88-4)),1),IF(ISNUMBER(INDEX($AN$5:$AN$1000,$U88-4)),DATE(YEAR(INDEX($AN$5:$AN$1000,$U88-4)),MONTH(INDEX($AN$5:$AN$1000,$U88-4)),1),MesCiclo)),IF(ISNUMBER($AM88),DATE(YEAR($AM88),MONTH($AM88),1),IF(ISNUMBER($AN88),DATE(YEAR($AN88),MONTH($AN88),1),MesCiclo))))</f>
        <v/>
      </c>
      <c r="T88" s="62">
        <f>IF(OR($S88="",$S88&lt;&gt;MesCiclo),"",COUNTIF($S$5:$S88,MesCiclo))</f>
        <v/>
      </c>
      <c r="U88" s="62">
        <f>IF($V88="","",IF($V88="Macro",ROW(),IFERROR(LOOKUP(2,1/($V$5:$V88="Macro"),ROW($V$5:$V88)),0)))</f>
        <v/>
      </c>
      <c r="V88" s="62">
        <f>IF(NOT((COUNTA($B88:$D88)+COUNTA($G88:$L88)+COUNTA($Q88))&gt;0),"",IF($B88="Subactividad","Sub","Macro"))</f>
        <v/>
      </c>
      <c r="W88" s="62">
        <f>IF($V88="Macro",COUNTIFS($U$5:$U$1000,ROW(),$V$5:$V$1000,"Sub"),"")</f>
        <v/>
      </c>
      <c r="X88" s="62">
        <f>IF($V88="","",IF(ISNUMBER($G88),1,IFERROR(LOOKUP(2,1/($I88:$L88&lt;&gt;""),$I88:$L88),0)))</f>
        <v/>
      </c>
      <c r="Y88" s="62">
        <f>IF($V88="","",IF(AND(ISNUMBER($G88),$G88&lt;=IF($S88=MesCiclo,InicioCiclo,$S88+MOD(2-WEEKDAY($S88),7))+6),1,IF(ISNUMBER($I88),$I88,0)))</f>
        <v/>
      </c>
      <c r="Z88" s="62">
        <f>IF($V88="","",IF(AND(ISNUMBER($G88),$G88&lt;=IF($S88=MesCiclo,InicioCiclo,$S88+MOD(2-WEEKDAY($S88),7))+13),1,IF(ISNUMBER($J88),$J88,$Y88)))</f>
        <v/>
      </c>
      <c r="AA88" s="62">
        <f>IF($V88="","",IF(AND(ISNUMBER($G88),$G88&lt;=IF($S88=MesCiclo,InicioCiclo,$S88+MOD(2-WEEKDAY($S88),7))+20),1,IF(ISNUMBER($K88),$K88,$Z88)))</f>
        <v/>
      </c>
      <c r="AB88" s="62">
        <f>IF($V88="","",IF(AND(ISNUMBER($G88),$G88&lt;=IF($S88=MesCiclo,InicioCiclo,$S88+MOD(2-WEEKDAY($S88),7))+27),1,IF(ISNUMBER($L88),$L88,$AA88)))</f>
        <v/>
      </c>
      <c r="AC88" s="62">
        <f>IF($V88="","",IF(AND(ISNUMBER($G88),$G88&lt;=IF($S88=MesCiclo,InicioCiclo,$S88+MOD(2-WEEKDAY($S88),7))+6),1,IF(N($W88)&gt;0,AVERAGEIFS($Y$5:$Y$1000,$U$5:$U$1000,ROW(),$V$5:$V$1000,"Sub"),$Y88)))</f>
        <v/>
      </c>
      <c r="AD88" s="62">
        <f>IF($V88="","",IF(AND(ISNUMBER($G88),$G88&lt;=IF($S88=MesCiclo,InicioCiclo,$S88+MOD(2-WEEKDAY($S88),7))+13),1,IF(N($W88)&gt;0,AVERAGEIFS($Z$5:$Z$1000,$U$5:$U$1000,ROW(),$V$5:$V$1000,"Sub"),$Z88)))</f>
        <v/>
      </c>
      <c r="AE88" s="62">
        <f>IF($V88="","",IF(AND(ISNUMBER($G88),$G88&lt;=IF($S88=MesCiclo,InicioCiclo,$S88+MOD(2-WEEKDAY($S88),7))+20),1,IF(N($W88)&gt;0,AVERAGEIFS($AA$5:$AA$1000,$U$5:$U$1000,ROW(),$V$5:$V$1000,"Sub"),$AA88)))</f>
        <v/>
      </c>
      <c r="AF88" s="62">
        <f>IF($V88="","",IF(AND(ISNUMBER($G88),$G88&lt;=IF($S88=MesCiclo,InicioCiclo,$S88+MOD(2-WEEKDAY($S88),7))+27),1,IF(N($W88)&gt;0,AVERAGEIFS($AB$5:$AB$1000,$U$5:$U$1000,ROW(),$V$5:$V$1000,"Sub"),$AB88)))</f>
        <v/>
      </c>
      <c r="AG88" s="62">
        <f>IF($V88&lt;&gt;"Macro","",IF(COUNTIFS($S$5:$S$1000,$S88,$V$5:$V$1000,"Macro",$H$5:$H$1000,"&gt;0")=0,1/COUNTIFS($S$5:$S$1000,$S88,$V$5:$V$1000,"Macro"),IF(AND(ISNUMBER($H88),N($H88)&gt;0),$H88,SUMIFS($H$5:$H$1000,$S$5:$S$1000,$S88,$V$5:$V$1000,"Macro")/COUNTIFS($S$5:$S$1000,$S88,$V$5:$V$1000,"Macro",$H$5:$H$1000,"&gt;0"))/(COUNTIFS($S$5:$S$1000,$S88,$V$5:$V$1000,"Macro")*SUMIFS($H$5:$H$1000,$S$5:$S$1000,$S88,$V$5:$V$1000,"Macro")/COUNTIFS($S$5:$S$1000,$S88,$V$5:$V$1000,"Macro",$H$5:$H$1000,"&gt;0"))))</f>
        <v/>
      </c>
      <c r="AH88" s="62" t="n"/>
      <c r="AI88" s="62" t="n"/>
      <c r="AJ88" s="62" t="n"/>
      <c r="AK88" s="62" t="n"/>
      <c r="AL88" s="62">
        <f>IF(LEFT($C88,11)="[Jefatura] ",IFERROR(MATCH("Riesgo Financiero|"&amp;MID($C88,12,500),rDname_ADM,0),0),"")</f>
        <v/>
      </c>
      <c r="AM88" s="62">
        <f>IF(N($AL88)&gt;0,INDEX(rIni_ADM,$AL88),IF(ISNUMBER($E88),$E88,""))</f>
        <v/>
      </c>
      <c r="AN88" s="62">
        <f>IF(N($AL88)&gt;0,INDEX(rLim_ADM,$AL88),IF(ISNUMBER($F88),$F88,""))</f>
        <v/>
      </c>
    </row>
    <row r="89">
      <c r="A89" s="56">
        <f>IF(NOT((COUNTA($B89:$D89)+COUNTA($G89:$L89)+COUNTA($Q89))&gt;0),"",IF($V89="Macro",COUNTIFS($V$5:$V89,"Macro",$S$5:$S89,$S89),IF(N($U89)=0,"?",COUNTIFS(INDEX($V$5:$V$1000,1):INDEX($V$5:$V$1000,$U89-4),"Macro",INDEX($S$5:$S$1000,1):INDEX($S$5:$S$1000,$U89-4),INDEX($S$5:$S$1000,$U89-4))&amp;"."&amp;COUNTIFS($U$5:$U89,$U89,$V$5:$V89,"Sub"))))</f>
        <v/>
      </c>
      <c r="B89" s="57" t="n"/>
      <c r="C89" s="58" t="n"/>
      <c r="D89" s="58" t="n"/>
      <c r="E89" s="59">
        <f>IF(N($AL89)&gt;0,INDEX(rIni_ADM,$AL89),"")</f>
        <v/>
      </c>
      <c r="F89" s="59">
        <f>IF(N($AL89)&gt;0,INDEX(rLim_ADM,$AL89),"")</f>
        <v/>
      </c>
      <c r="G89" s="59" t="n"/>
      <c r="H89" s="60" t="n"/>
      <c r="I89" s="60" t="n"/>
      <c r="J89" s="60" t="n"/>
      <c r="K89" s="60" t="n"/>
      <c r="L89" s="60" t="n"/>
      <c r="M89" s="61">
        <f>IF(NOT((COUNTA($B89:$D89)+COUNTA($G89:$L89)+COUNTA($Q89))&gt;0),"",IF(ISNUMBER($G89),1,IF(N($W89)&gt;0,AVERAGEIFS($X$5:$X$1000,$U$5:$U$1000,ROW(),$V$5:$V$1000,"Sub"),$X89)))</f>
        <v/>
      </c>
      <c r="N89" s="56">
        <f>IF($M89="","",IF($M89&gt;=1,"Completado",IF($M89&gt;0,"En curso","Pendiente")))</f>
        <v/>
      </c>
      <c r="O89" s="56">
        <f>IF(NOT((COUNTA($B89:$D89)+COUNTA($G89:$L89)+COUNTA($Q89))&gt;0),"",IF(ISNUMBER($G89),IF(AND(ISNUMBER($AN89),$G89&gt;$AN89),"Cumplida con "&amp;($G89-$AN89)&amp;IF($G89-$AN89=1," día"," días")&amp;" de retraso","Cumplida"),IF(N($M89)&gt;=1,"Cumplida",IF(NOT(ISNUMBER($AN89)),"Sin fecha límite",IF($AN89&lt;FechaRef,"Vencida hace "&amp;(FechaRef-$AN89)&amp;IF(FechaRef-$AN89=1," día"," días"),IF($AN89=FechaRef,"Vence hoy",IF($AN89-FechaRef&lt;=DiasAlerta,"Vence en "&amp;($AN89-FechaRef)&amp;IF($AN89-FechaRef=1," día"," días"),"En plazo")))))))</f>
        <v/>
      </c>
      <c r="P89" s="62" t="n"/>
      <c r="Q89" s="58" t="n"/>
      <c r="R89" s="63">
        <f>IF(NOT((COUNTA($B89:$D89)+COUNTA($G89:$L89)+COUNTA($Q89))&gt;0),"",IF((IF($C89="","Falta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",""))="","✔ OK","⚠ "&amp;LEFT(IF($C89="","Falta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",""),LEN(IF($C89="","Falta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",""))-3)))</f>
        <v/>
      </c>
      <c r="S89" s="64">
        <f>IF(NOT((COUNTA($B89:$D89)+COUNTA($G89:$L89)+COUNTA($Q89))&gt;0),"",IF(AND($V89="Sub",N($U89)&gt;0),IF(ISNUMBER(INDEX($AM$5:$AM$1000,$U89-4)),DATE(YEAR(INDEX($AM$5:$AM$1000,$U89-4)),MONTH(INDEX($AM$5:$AM$1000,$U89-4)),1),IF(ISNUMBER(INDEX($AN$5:$AN$1000,$U89-4)),DATE(YEAR(INDEX($AN$5:$AN$1000,$U89-4)),MONTH(INDEX($AN$5:$AN$1000,$U89-4)),1),MesCiclo)),IF(ISNUMBER($AM89),DATE(YEAR($AM89),MONTH($AM89),1),IF(ISNUMBER($AN89),DATE(YEAR($AN89),MONTH($AN89),1),MesCiclo))))</f>
        <v/>
      </c>
      <c r="T89" s="62">
        <f>IF(OR($S89="",$S89&lt;&gt;MesCiclo),"",COUNTIF($S$5:$S89,MesCiclo))</f>
        <v/>
      </c>
      <c r="U89" s="62">
        <f>IF($V89="","",IF($V89="Macro",ROW(),IFERROR(LOOKUP(2,1/($V$5:$V89="Macro"),ROW($V$5:$V89)),0)))</f>
        <v/>
      </c>
      <c r="V89" s="62">
        <f>IF(NOT((COUNTA($B89:$D89)+COUNTA($G89:$L89)+COUNTA($Q89))&gt;0),"",IF($B89="Subactividad","Sub","Macro"))</f>
        <v/>
      </c>
      <c r="W89" s="62">
        <f>IF($V89="Macro",COUNTIFS($U$5:$U$1000,ROW(),$V$5:$V$1000,"Sub"),"")</f>
        <v/>
      </c>
      <c r="X89" s="62">
        <f>IF($V89="","",IF(ISNUMBER($G89),1,IFERROR(LOOKUP(2,1/($I89:$L89&lt;&gt;""),$I89:$L89),0)))</f>
        <v/>
      </c>
      <c r="Y89" s="62">
        <f>IF($V89="","",IF(AND(ISNUMBER($G89),$G89&lt;=IF($S89=MesCiclo,InicioCiclo,$S89+MOD(2-WEEKDAY($S89),7))+6),1,IF(ISNUMBER($I89),$I89,0)))</f>
        <v/>
      </c>
      <c r="Z89" s="62">
        <f>IF($V89="","",IF(AND(ISNUMBER($G89),$G89&lt;=IF($S89=MesCiclo,InicioCiclo,$S89+MOD(2-WEEKDAY($S89),7))+13),1,IF(ISNUMBER($J89),$J89,$Y89)))</f>
        <v/>
      </c>
      <c r="AA89" s="62">
        <f>IF($V89="","",IF(AND(ISNUMBER($G89),$G89&lt;=IF($S89=MesCiclo,InicioCiclo,$S89+MOD(2-WEEKDAY($S89),7))+20),1,IF(ISNUMBER($K89),$K89,$Z89)))</f>
        <v/>
      </c>
      <c r="AB89" s="62">
        <f>IF($V89="","",IF(AND(ISNUMBER($G89),$G89&lt;=IF($S89=MesCiclo,InicioCiclo,$S89+MOD(2-WEEKDAY($S89),7))+27),1,IF(ISNUMBER($L89),$L89,$AA89)))</f>
        <v/>
      </c>
      <c r="AC89" s="62">
        <f>IF($V89="","",IF(AND(ISNUMBER($G89),$G89&lt;=IF($S89=MesCiclo,InicioCiclo,$S89+MOD(2-WEEKDAY($S89),7))+6),1,IF(N($W89)&gt;0,AVERAGEIFS($Y$5:$Y$1000,$U$5:$U$1000,ROW(),$V$5:$V$1000,"Sub"),$Y89)))</f>
        <v/>
      </c>
      <c r="AD89" s="62">
        <f>IF($V89="","",IF(AND(ISNUMBER($G89),$G89&lt;=IF($S89=MesCiclo,InicioCiclo,$S89+MOD(2-WEEKDAY($S89),7))+13),1,IF(N($W89)&gt;0,AVERAGEIFS($Z$5:$Z$1000,$U$5:$U$1000,ROW(),$V$5:$V$1000,"Sub"),$Z89)))</f>
        <v/>
      </c>
      <c r="AE89" s="62">
        <f>IF($V89="","",IF(AND(ISNUMBER($G89),$G89&lt;=IF($S89=MesCiclo,InicioCiclo,$S89+MOD(2-WEEKDAY($S89),7))+20),1,IF(N($W89)&gt;0,AVERAGEIFS($AA$5:$AA$1000,$U$5:$U$1000,ROW(),$V$5:$V$1000,"Sub"),$AA89)))</f>
        <v/>
      </c>
      <c r="AF89" s="62">
        <f>IF($V89="","",IF(AND(ISNUMBER($G89),$G89&lt;=IF($S89=MesCiclo,InicioCiclo,$S89+MOD(2-WEEKDAY($S89),7))+27),1,IF(N($W89)&gt;0,AVERAGEIFS($AB$5:$AB$1000,$U$5:$U$1000,ROW(),$V$5:$V$1000,"Sub"),$AB89)))</f>
        <v/>
      </c>
      <c r="AG89" s="62">
        <f>IF($V89&lt;&gt;"Macro","",IF(COUNTIFS($S$5:$S$1000,$S89,$V$5:$V$1000,"Macro",$H$5:$H$1000,"&gt;0")=0,1/COUNTIFS($S$5:$S$1000,$S89,$V$5:$V$1000,"Macro"),IF(AND(ISNUMBER($H89),N($H89)&gt;0),$H89,SUMIFS($H$5:$H$1000,$S$5:$S$1000,$S89,$V$5:$V$1000,"Macro")/COUNTIFS($S$5:$S$1000,$S89,$V$5:$V$1000,"Macro",$H$5:$H$1000,"&gt;0"))/(COUNTIFS($S$5:$S$1000,$S89,$V$5:$V$1000,"Macro")*SUMIFS($H$5:$H$1000,$S$5:$S$1000,$S89,$V$5:$V$1000,"Macro")/COUNTIFS($S$5:$S$1000,$S89,$V$5:$V$1000,"Macro",$H$5:$H$1000,"&gt;0"))))</f>
        <v/>
      </c>
      <c r="AH89" s="62" t="n"/>
      <c r="AI89" s="62" t="n"/>
      <c r="AJ89" s="62" t="n"/>
      <c r="AK89" s="62" t="n"/>
      <c r="AL89" s="62">
        <f>IF(LEFT($C89,11)="[Jefatura] ",IFERROR(MATCH("Riesgo Financiero|"&amp;MID($C89,12,500),rDname_ADM,0),0),"")</f>
        <v/>
      </c>
      <c r="AM89" s="62">
        <f>IF(N($AL89)&gt;0,INDEX(rIni_ADM,$AL89),IF(ISNUMBER($E89),$E89,""))</f>
        <v/>
      </c>
      <c r="AN89" s="62">
        <f>IF(N($AL89)&gt;0,INDEX(rLim_ADM,$AL89),IF(ISNUMBER($F89),$F89,""))</f>
        <v/>
      </c>
    </row>
    <row r="90">
      <c r="A90" s="56">
        <f>IF(NOT((COUNTA($B90:$D90)+COUNTA($G90:$L90)+COUNTA($Q90))&gt;0),"",IF($V90="Macro",COUNTIFS($V$5:$V90,"Macro",$S$5:$S90,$S90),IF(N($U90)=0,"?",COUNTIFS(INDEX($V$5:$V$1000,1):INDEX($V$5:$V$1000,$U90-4),"Macro",INDEX($S$5:$S$1000,1):INDEX($S$5:$S$1000,$U90-4),INDEX($S$5:$S$1000,$U90-4))&amp;"."&amp;COUNTIFS($U$5:$U90,$U90,$V$5:$V90,"Sub"))))</f>
        <v/>
      </c>
      <c r="B90" s="57" t="n"/>
      <c r="C90" s="58" t="n"/>
      <c r="D90" s="58" t="n"/>
      <c r="E90" s="59">
        <f>IF(N($AL90)&gt;0,INDEX(rIni_ADM,$AL90),"")</f>
        <v/>
      </c>
      <c r="F90" s="59">
        <f>IF(N($AL90)&gt;0,INDEX(rLim_ADM,$AL90),"")</f>
        <v/>
      </c>
      <c r="G90" s="59" t="n"/>
      <c r="H90" s="60" t="n"/>
      <c r="I90" s="60" t="n"/>
      <c r="J90" s="60" t="n"/>
      <c r="K90" s="60" t="n"/>
      <c r="L90" s="60" t="n"/>
      <c r="M90" s="61">
        <f>IF(NOT((COUNTA($B90:$D90)+COUNTA($G90:$L90)+COUNTA($Q90))&gt;0),"",IF(ISNUMBER($G90),1,IF(N($W90)&gt;0,AVERAGEIFS($X$5:$X$1000,$U$5:$U$1000,ROW(),$V$5:$V$1000,"Sub"),$X90)))</f>
        <v/>
      </c>
      <c r="N90" s="56">
        <f>IF($M90="","",IF($M90&gt;=1,"Completado",IF($M90&gt;0,"En curso","Pendiente")))</f>
        <v/>
      </c>
      <c r="O90" s="56">
        <f>IF(NOT((COUNTA($B90:$D90)+COUNTA($G90:$L90)+COUNTA($Q90))&gt;0),"",IF(ISNUMBER($G90),IF(AND(ISNUMBER($AN90),$G90&gt;$AN90),"Cumplida con "&amp;($G90-$AN90)&amp;IF($G90-$AN90=1," día"," días")&amp;" de retraso","Cumplida"),IF(N($M90)&gt;=1,"Cumplida",IF(NOT(ISNUMBER($AN90)),"Sin fecha límite",IF($AN90&lt;FechaRef,"Vencida hace "&amp;(FechaRef-$AN90)&amp;IF(FechaRef-$AN90=1," día"," días"),IF($AN90=FechaRef,"Vence hoy",IF($AN90-FechaRef&lt;=DiasAlerta,"Vence en "&amp;($AN90-FechaRef)&amp;IF($AN90-FechaRef=1," día"," días"),"En plazo")))))))</f>
        <v/>
      </c>
      <c r="P90" s="62" t="n"/>
      <c r="Q90" s="58" t="n"/>
      <c r="R90" s="63">
        <f>IF(NOT((COUNTA($B90:$D90)+COUNTA($G90:$L90)+COUNTA($Q90))&gt;0),"",IF((IF($C90="","Falta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",""))="","✔ OK","⚠ "&amp;LEFT(IF($C90="","Falta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",""),LEN(IF($C90="","Falta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",""))-3)))</f>
        <v/>
      </c>
      <c r="S90" s="64">
        <f>IF(NOT((COUNTA($B90:$D90)+COUNTA($G90:$L90)+COUNTA($Q90))&gt;0),"",IF(AND($V90="Sub",N($U90)&gt;0),IF(ISNUMBER(INDEX($AM$5:$AM$1000,$U90-4)),DATE(YEAR(INDEX($AM$5:$AM$1000,$U90-4)),MONTH(INDEX($AM$5:$AM$1000,$U90-4)),1),IF(ISNUMBER(INDEX($AN$5:$AN$1000,$U90-4)),DATE(YEAR(INDEX($AN$5:$AN$1000,$U90-4)),MONTH(INDEX($AN$5:$AN$1000,$U90-4)),1),MesCiclo)),IF(ISNUMBER($AM90),DATE(YEAR($AM90),MONTH($AM90),1),IF(ISNUMBER($AN90),DATE(YEAR($AN90),MONTH($AN90),1),MesCiclo))))</f>
        <v/>
      </c>
      <c r="T90" s="62">
        <f>IF(OR($S90="",$S90&lt;&gt;MesCiclo),"",COUNTIF($S$5:$S90,MesCiclo))</f>
        <v/>
      </c>
      <c r="U90" s="62">
        <f>IF($V90="","",IF($V90="Macro",ROW(),IFERROR(LOOKUP(2,1/($V$5:$V90="Macro"),ROW($V$5:$V90)),0)))</f>
        <v/>
      </c>
      <c r="V90" s="62">
        <f>IF(NOT((COUNTA($B90:$D90)+COUNTA($G90:$L90)+COUNTA($Q90))&gt;0),"",IF($B90="Subactividad","Sub","Macro"))</f>
        <v/>
      </c>
      <c r="W90" s="62">
        <f>IF($V90="Macro",COUNTIFS($U$5:$U$1000,ROW(),$V$5:$V$1000,"Sub"),"")</f>
        <v/>
      </c>
      <c r="X90" s="62">
        <f>IF($V90="","",IF(ISNUMBER($G90),1,IFERROR(LOOKUP(2,1/($I90:$L90&lt;&gt;""),$I90:$L90),0)))</f>
        <v/>
      </c>
      <c r="Y90" s="62">
        <f>IF($V90="","",IF(AND(ISNUMBER($G90),$G90&lt;=IF($S90=MesCiclo,InicioCiclo,$S90+MOD(2-WEEKDAY($S90),7))+6),1,IF(ISNUMBER($I90),$I90,0)))</f>
        <v/>
      </c>
      <c r="Z90" s="62">
        <f>IF($V90="","",IF(AND(ISNUMBER($G90),$G90&lt;=IF($S90=MesCiclo,InicioCiclo,$S90+MOD(2-WEEKDAY($S90),7))+13),1,IF(ISNUMBER($J90),$J90,$Y90)))</f>
        <v/>
      </c>
      <c r="AA90" s="62">
        <f>IF($V90="","",IF(AND(ISNUMBER($G90),$G90&lt;=IF($S90=MesCiclo,InicioCiclo,$S90+MOD(2-WEEKDAY($S90),7))+20),1,IF(ISNUMBER($K90),$K90,$Z90)))</f>
        <v/>
      </c>
      <c r="AB90" s="62">
        <f>IF($V90="","",IF(AND(ISNUMBER($G90),$G90&lt;=IF($S90=MesCiclo,InicioCiclo,$S90+MOD(2-WEEKDAY($S90),7))+27),1,IF(ISNUMBER($L90),$L90,$AA90)))</f>
        <v/>
      </c>
      <c r="AC90" s="62">
        <f>IF($V90="","",IF(AND(ISNUMBER($G90),$G90&lt;=IF($S90=MesCiclo,InicioCiclo,$S90+MOD(2-WEEKDAY($S90),7))+6),1,IF(N($W90)&gt;0,AVERAGEIFS($Y$5:$Y$1000,$U$5:$U$1000,ROW(),$V$5:$V$1000,"Sub"),$Y90)))</f>
        <v/>
      </c>
      <c r="AD90" s="62">
        <f>IF($V90="","",IF(AND(ISNUMBER($G90),$G90&lt;=IF($S90=MesCiclo,InicioCiclo,$S90+MOD(2-WEEKDAY($S90),7))+13),1,IF(N($W90)&gt;0,AVERAGEIFS($Z$5:$Z$1000,$U$5:$U$1000,ROW(),$V$5:$V$1000,"Sub"),$Z90)))</f>
        <v/>
      </c>
      <c r="AE90" s="62">
        <f>IF($V90="","",IF(AND(ISNUMBER($G90),$G90&lt;=IF($S90=MesCiclo,InicioCiclo,$S90+MOD(2-WEEKDAY($S90),7))+20),1,IF(N($W90)&gt;0,AVERAGEIFS($AA$5:$AA$1000,$U$5:$U$1000,ROW(),$V$5:$V$1000,"Sub"),$AA90)))</f>
        <v/>
      </c>
      <c r="AF90" s="62">
        <f>IF($V90="","",IF(AND(ISNUMBER($G90),$G90&lt;=IF($S90=MesCiclo,InicioCiclo,$S90+MOD(2-WEEKDAY($S90),7))+27),1,IF(N($W90)&gt;0,AVERAGEIFS($AB$5:$AB$1000,$U$5:$U$1000,ROW(),$V$5:$V$1000,"Sub"),$AB90)))</f>
        <v/>
      </c>
      <c r="AG90" s="62">
        <f>IF($V90&lt;&gt;"Macro","",IF(COUNTIFS($S$5:$S$1000,$S90,$V$5:$V$1000,"Macro",$H$5:$H$1000,"&gt;0")=0,1/COUNTIFS($S$5:$S$1000,$S90,$V$5:$V$1000,"Macro"),IF(AND(ISNUMBER($H90),N($H90)&gt;0),$H90,SUMIFS($H$5:$H$1000,$S$5:$S$1000,$S90,$V$5:$V$1000,"Macro")/COUNTIFS($S$5:$S$1000,$S90,$V$5:$V$1000,"Macro",$H$5:$H$1000,"&gt;0"))/(COUNTIFS($S$5:$S$1000,$S90,$V$5:$V$1000,"Macro")*SUMIFS($H$5:$H$1000,$S$5:$S$1000,$S90,$V$5:$V$1000,"Macro")/COUNTIFS($S$5:$S$1000,$S90,$V$5:$V$1000,"Macro",$H$5:$H$1000,"&gt;0"))))</f>
        <v/>
      </c>
      <c r="AH90" s="62" t="n"/>
      <c r="AI90" s="62" t="n"/>
      <c r="AJ90" s="62" t="n"/>
      <c r="AK90" s="62" t="n"/>
      <c r="AL90" s="62">
        <f>IF(LEFT($C90,11)="[Jefatura] ",IFERROR(MATCH("Riesgo Financiero|"&amp;MID($C90,12,500),rDname_ADM,0),0),"")</f>
        <v/>
      </c>
      <c r="AM90" s="62">
        <f>IF(N($AL90)&gt;0,INDEX(rIni_ADM,$AL90),IF(ISNUMBER($E90),$E90,""))</f>
        <v/>
      </c>
      <c r="AN90" s="62">
        <f>IF(N($AL90)&gt;0,INDEX(rLim_ADM,$AL90),IF(ISNUMBER($F90),$F90,""))</f>
        <v/>
      </c>
    </row>
    <row r="91">
      <c r="A91" s="56">
        <f>IF(NOT((COUNTA($B91:$D91)+COUNTA($G91:$L91)+COUNTA($Q91))&gt;0),"",IF($V91="Macro",COUNTIFS($V$5:$V91,"Macro",$S$5:$S91,$S91),IF(N($U91)=0,"?",COUNTIFS(INDEX($V$5:$V$1000,1):INDEX($V$5:$V$1000,$U91-4),"Macro",INDEX($S$5:$S$1000,1):INDEX($S$5:$S$1000,$U91-4),INDEX($S$5:$S$1000,$U91-4))&amp;"."&amp;COUNTIFS($U$5:$U91,$U91,$V$5:$V91,"Sub"))))</f>
        <v/>
      </c>
      <c r="B91" s="57" t="n"/>
      <c r="C91" s="58" t="n"/>
      <c r="D91" s="58" t="n"/>
      <c r="E91" s="59">
        <f>IF(N($AL91)&gt;0,INDEX(rIni_ADM,$AL91),"")</f>
        <v/>
      </c>
      <c r="F91" s="59">
        <f>IF(N($AL91)&gt;0,INDEX(rLim_ADM,$AL91),"")</f>
        <v/>
      </c>
      <c r="G91" s="59" t="n"/>
      <c r="H91" s="60" t="n"/>
      <c r="I91" s="60" t="n"/>
      <c r="J91" s="60" t="n"/>
      <c r="K91" s="60" t="n"/>
      <c r="L91" s="60" t="n"/>
      <c r="M91" s="61">
        <f>IF(NOT((COUNTA($B91:$D91)+COUNTA($G91:$L91)+COUNTA($Q91))&gt;0),"",IF(ISNUMBER($G91),1,IF(N($W91)&gt;0,AVERAGEIFS($X$5:$X$1000,$U$5:$U$1000,ROW(),$V$5:$V$1000,"Sub"),$X91)))</f>
        <v/>
      </c>
      <c r="N91" s="56">
        <f>IF($M91="","",IF($M91&gt;=1,"Completado",IF($M91&gt;0,"En curso","Pendiente")))</f>
        <v/>
      </c>
      <c r="O91" s="56">
        <f>IF(NOT((COUNTA($B91:$D91)+COUNTA($G91:$L91)+COUNTA($Q91))&gt;0),"",IF(ISNUMBER($G91),IF(AND(ISNUMBER($AN91),$G91&gt;$AN91),"Cumplida con "&amp;($G91-$AN91)&amp;IF($G91-$AN91=1," día"," días")&amp;" de retraso","Cumplida"),IF(N($M91)&gt;=1,"Cumplida",IF(NOT(ISNUMBER($AN91)),"Sin fecha límite",IF($AN91&lt;FechaRef,"Vencida hace "&amp;(FechaRef-$AN91)&amp;IF(FechaRef-$AN91=1," día"," días"),IF($AN91=FechaRef,"Vence hoy",IF($AN91-FechaRef&lt;=DiasAlerta,"Vence en "&amp;($AN91-FechaRef)&amp;IF($AN91-FechaRef=1," día"," días"),"En plazo")))))))</f>
        <v/>
      </c>
      <c r="P91" s="62" t="n"/>
      <c r="Q91" s="58" t="n"/>
      <c r="R91" s="63">
        <f>IF(NOT((COUNTA($B91:$D91)+COUNTA($G91:$L91)+COUNTA($Q91))&gt;0),"",IF((IF($C91="","Falta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",""))="","✔ OK","⚠ "&amp;LEFT(IF($C91="","Falta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",""),LEN(IF($C91="","Falta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",""))-3)))</f>
        <v/>
      </c>
      <c r="S91" s="64">
        <f>IF(NOT((COUNTA($B91:$D91)+COUNTA($G91:$L91)+COUNTA($Q91))&gt;0),"",IF(AND($V91="Sub",N($U91)&gt;0),IF(ISNUMBER(INDEX($AM$5:$AM$1000,$U91-4)),DATE(YEAR(INDEX($AM$5:$AM$1000,$U91-4)),MONTH(INDEX($AM$5:$AM$1000,$U91-4)),1),IF(ISNUMBER(INDEX($AN$5:$AN$1000,$U91-4)),DATE(YEAR(INDEX($AN$5:$AN$1000,$U91-4)),MONTH(INDEX($AN$5:$AN$1000,$U91-4)),1),MesCiclo)),IF(ISNUMBER($AM91),DATE(YEAR($AM91),MONTH($AM91),1),IF(ISNUMBER($AN91),DATE(YEAR($AN91),MONTH($AN91),1),MesCiclo))))</f>
        <v/>
      </c>
      <c r="T91" s="62">
        <f>IF(OR($S91="",$S91&lt;&gt;MesCiclo),"",COUNTIF($S$5:$S91,MesCiclo))</f>
        <v/>
      </c>
      <c r="U91" s="62">
        <f>IF($V91="","",IF($V91="Macro",ROW(),IFERROR(LOOKUP(2,1/($V$5:$V91="Macro"),ROW($V$5:$V91)),0)))</f>
        <v/>
      </c>
      <c r="V91" s="62">
        <f>IF(NOT((COUNTA($B91:$D91)+COUNTA($G91:$L91)+COUNTA($Q91))&gt;0),"",IF($B91="Subactividad","Sub","Macro"))</f>
        <v/>
      </c>
      <c r="W91" s="62">
        <f>IF($V91="Macro",COUNTIFS($U$5:$U$1000,ROW(),$V$5:$V$1000,"Sub"),"")</f>
        <v/>
      </c>
      <c r="X91" s="62">
        <f>IF($V91="","",IF(ISNUMBER($G91),1,IFERROR(LOOKUP(2,1/($I91:$L91&lt;&gt;""),$I91:$L91),0)))</f>
        <v/>
      </c>
      <c r="Y91" s="62">
        <f>IF($V91="","",IF(AND(ISNUMBER($G91),$G91&lt;=IF($S91=MesCiclo,InicioCiclo,$S91+MOD(2-WEEKDAY($S91),7))+6),1,IF(ISNUMBER($I91),$I91,0)))</f>
        <v/>
      </c>
      <c r="Z91" s="62">
        <f>IF($V91="","",IF(AND(ISNUMBER($G91),$G91&lt;=IF($S91=MesCiclo,InicioCiclo,$S91+MOD(2-WEEKDAY($S91),7))+13),1,IF(ISNUMBER($J91),$J91,$Y91)))</f>
        <v/>
      </c>
      <c r="AA91" s="62">
        <f>IF($V91="","",IF(AND(ISNUMBER($G91),$G91&lt;=IF($S91=MesCiclo,InicioCiclo,$S91+MOD(2-WEEKDAY($S91),7))+20),1,IF(ISNUMBER($K91),$K91,$Z91)))</f>
        <v/>
      </c>
      <c r="AB91" s="62">
        <f>IF($V91="","",IF(AND(ISNUMBER($G91),$G91&lt;=IF($S91=MesCiclo,InicioCiclo,$S91+MOD(2-WEEKDAY($S91),7))+27),1,IF(ISNUMBER($L91),$L91,$AA91)))</f>
        <v/>
      </c>
      <c r="AC91" s="62">
        <f>IF($V91="","",IF(AND(ISNUMBER($G91),$G91&lt;=IF($S91=MesCiclo,InicioCiclo,$S91+MOD(2-WEEKDAY($S91),7))+6),1,IF(N($W91)&gt;0,AVERAGEIFS($Y$5:$Y$1000,$U$5:$U$1000,ROW(),$V$5:$V$1000,"Sub"),$Y91)))</f>
        <v/>
      </c>
      <c r="AD91" s="62">
        <f>IF($V91="","",IF(AND(ISNUMBER($G91),$G91&lt;=IF($S91=MesCiclo,InicioCiclo,$S91+MOD(2-WEEKDAY($S91),7))+13),1,IF(N($W91)&gt;0,AVERAGEIFS($Z$5:$Z$1000,$U$5:$U$1000,ROW(),$V$5:$V$1000,"Sub"),$Z91)))</f>
        <v/>
      </c>
      <c r="AE91" s="62">
        <f>IF($V91="","",IF(AND(ISNUMBER($G91),$G91&lt;=IF($S91=MesCiclo,InicioCiclo,$S91+MOD(2-WEEKDAY($S91),7))+20),1,IF(N($W91)&gt;0,AVERAGEIFS($AA$5:$AA$1000,$U$5:$U$1000,ROW(),$V$5:$V$1000,"Sub"),$AA91)))</f>
        <v/>
      </c>
      <c r="AF91" s="62">
        <f>IF($V91="","",IF(AND(ISNUMBER($G91),$G91&lt;=IF($S91=MesCiclo,InicioCiclo,$S91+MOD(2-WEEKDAY($S91),7))+27),1,IF(N($W91)&gt;0,AVERAGEIFS($AB$5:$AB$1000,$U$5:$U$1000,ROW(),$V$5:$V$1000,"Sub"),$AB91)))</f>
        <v/>
      </c>
      <c r="AG91" s="62">
        <f>IF($V91&lt;&gt;"Macro","",IF(COUNTIFS($S$5:$S$1000,$S91,$V$5:$V$1000,"Macro",$H$5:$H$1000,"&gt;0")=0,1/COUNTIFS($S$5:$S$1000,$S91,$V$5:$V$1000,"Macro"),IF(AND(ISNUMBER($H91),N($H91)&gt;0),$H91,SUMIFS($H$5:$H$1000,$S$5:$S$1000,$S91,$V$5:$V$1000,"Macro")/COUNTIFS($S$5:$S$1000,$S91,$V$5:$V$1000,"Macro",$H$5:$H$1000,"&gt;0"))/(COUNTIFS($S$5:$S$1000,$S91,$V$5:$V$1000,"Macro")*SUMIFS($H$5:$H$1000,$S$5:$S$1000,$S91,$V$5:$V$1000,"Macro")/COUNTIFS($S$5:$S$1000,$S91,$V$5:$V$1000,"Macro",$H$5:$H$1000,"&gt;0"))))</f>
        <v/>
      </c>
      <c r="AH91" s="62" t="n"/>
      <c r="AI91" s="62" t="n"/>
      <c r="AJ91" s="62" t="n"/>
      <c r="AK91" s="62" t="n"/>
      <c r="AL91" s="62">
        <f>IF(LEFT($C91,11)="[Jefatura] ",IFERROR(MATCH("Riesgo Financiero|"&amp;MID($C91,12,500),rDname_ADM,0),0),"")</f>
        <v/>
      </c>
      <c r="AM91" s="62">
        <f>IF(N($AL91)&gt;0,INDEX(rIni_ADM,$AL91),IF(ISNUMBER($E91),$E91,""))</f>
        <v/>
      </c>
      <c r="AN91" s="62">
        <f>IF(N($AL91)&gt;0,INDEX(rLim_ADM,$AL91),IF(ISNUMBER($F91),$F91,""))</f>
        <v/>
      </c>
    </row>
    <row r="92">
      <c r="A92" s="56">
        <f>IF(NOT((COUNTA($B92:$D92)+COUNTA($G92:$L92)+COUNTA($Q92))&gt;0),"",IF($V92="Macro",COUNTIFS($V$5:$V92,"Macro",$S$5:$S92,$S92),IF(N($U92)=0,"?",COUNTIFS(INDEX($V$5:$V$1000,1):INDEX($V$5:$V$1000,$U92-4),"Macro",INDEX($S$5:$S$1000,1):INDEX($S$5:$S$1000,$U92-4),INDEX($S$5:$S$1000,$U92-4))&amp;"."&amp;COUNTIFS($U$5:$U92,$U92,$V$5:$V92,"Sub"))))</f>
        <v/>
      </c>
      <c r="B92" s="57" t="n"/>
      <c r="C92" s="58" t="n"/>
      <c r="D92" s="58" t="n"/>
      <c r="E92" s="59">
        <f>IF(N($AL92)&gt;0,INDEX(rIni_ADM,$AL92),"")</f>
        <v/>
      </c>
      <c r="F92" s="59">
        <f>IF(N($AL92)&gt;0,INDEX(rLim_ADM,$AL92),"")</f>
        <v/>
      </c>
      <c r="G92" s="59" t="n"/>
      <c r="H92" s="60" t="n"/>
      <c r="I92" s="60" t="n"/>
      <c r="J92" s="60" t="n"/>
      <c r="K92" s="60" t="n"/>
      <c r="L92" s="60" t="n"/>
      <c r="M92" s="61">
        <f>IF(NOT((COUNTA($B92:$D92)+COUNTA($G92:$L92)+COUNTA($Q92))&gt;0),"",IF(ISNUMBER($G92),1,IF(N($W92)&gt;0,AVERAGEIFS($X$5:$X$1000,$U$5:$U$1000,ROW(),$V$5:$V$1000,"Sub"),$X92)))</f>
        <v/>
      </c>
      <c r="N92" s="56">
        <f>IF($M92="","",IF($M92&gt;=1,"Completado",IF($M92&gt;0,"En curso","Pendiente")))</f>
        <v/>
      </c>
      <c r="O92" s="56">
        <f>IF(NOT((COUNTA($B92:$D92)+COUNTA($G92:$L92)+COUNTA($Q92))&gt;0),"",IF(ISNUMBER($G92),IF(AND(ISNUMBER($AN92),$G92&gt;$AN92),"Cumplida con "&amp;($G92-$AN92)&amp;IF($G92-$AN92=1," día"," días")&amp;" de retraso","Cumplida"),IF(N($M92)&gt;=1,"Cumplida",IF(NOT(ISNUMBER($AN92)),"Sin fecha límite",IF($AN92&lt;FechaRef,"Vencida hace "&amp;(FechaRef-$AN92)&amp;IF(FechaRef-$AN92=1," día"," días"),IF($AN92=FechaRef,"Vence hoy",IF($AN92-FechaRef&lt;=DiasAlerta,"Vence en "&amp;($AN92-FechaRef)&amp;IF($AN92-FechaRef=1," día"," días"),"En plazo")))))))</f>
        <v/>
      </c>
      <c r="P92" s="62" t="n"/>
      <c r="Q92" s="58" t="n"/>
      <c r="R92" s="63">
        <f>IF(NOT((COUNTA($B92:$D92)+COUNTA($G92:$L92)+COUNTA($Q92))&gt;0),"",IF((IF($C92="","Falta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",""))="","✔ OK","⚠ "&amp;LEFT(IF($C92="","Falta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",""),LEN(IF($C92="","Falta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",""))-3)))</f>
        <v/>
      </c>
      <c r="S92" s="64">
        <f>IF(NOT((COUNTA($B92:$D92)+COUNTA($G92:$L92)+COUNTA($Q92))&gt;0),"",IF(AND($V92="Sub",N($U92)&gt;0),IF(ISNUMBER(INDEX($AM$5:$AM$1000,$U92-4)),DATE(YEAR(INDEX($AM$5:$AM$1000,$U92-4)),MONTH(INDEX($AM$5:$AM$1000,$U92-4)),1),IF(ISNUMBER(INDEX($AN$5:$AN$1000,$U92-4)),DATE(YEAR(INDEX($AN$5:$AN$1000,$U92-4)),MONTH(INDEX($AN$5:$AN$1000,$U92-4)),1),MesCiclo)),IF(ISNUMBER($AM92),DATE(YEAR($AM92),MONTH($AM92),1),IF(ISNUMBER($AN92),DATE(YEAR($AN92),MONTH($AN92),1),MesCiclo))))</f>
        <v/>
      </c>
      <c r="T92" s="62">
        <f>IF(OR($S92="",$S92&lt;&gt;MesCiclo),"",COUNTIF($S$5:$S92,MesCiclo))</f>
        <v/>
      </c>
      <c r="U92" s="62">
        <f>IF($V92="","",IF($V92="Macro",ROW(),IFERROR(LOOKUP(2,1/($V$5:$V92="Macro"),ROW($V$5:$V92)),0)))</f>
        <v/>
      </c>
      <c r="V92" s="62">
        <f>IF(NOT((COUNTA($B92:$D92)+COUNTA($G92:$L92)+COUNTA($Q92))&gt;0),"",IF($B92="Subactividad","Sub","Macro"))</f>
        <v/>
      </c>
      <c r="W92" s="62">
        <f>IF($V92="Macro",COUNTIFS($U$5:$U$1000,ROW(),$V$5:$V$1000,"Sub"),"")</f>
        <v/>
      </c>
      <c r="X92" s="62">
        <f>IF($V92="","",IF(ISNUMBER($G92),1,IFERROR(LOOKUP(2,1/($I92:$L92&lt;&gt;""),$I92:$L92),0)))</f>
        <v/>
      </c>
      <c r="Y92" s="62">
        <f>IF($V92="","",IF(AND(ISNUMBER($G92),$G92&lt;=IF($S92=MesCiclo,InicioCiclo,$S92+MOD(2-WEEKDAY($S92),7))+6),1,IF(ISNUMBER($I92),$I92,0)))</f>
        <v/>
      </c>
      <c r="Z92" s="62">
        <f>IF($V92="","",IF(AND(ISNUMBER($G92),$G92&lt;=IF($S92=MesCiclo,InicioCiclo,$S92+MOD(2-WEEKDAY($S92),7))+13),1,IF(ISNUMBER($J92),$J92,$Y92)))</f>
        <v/>
      </c>
      <c r="AA92" s="62">
        <f>IF($V92="","",IF(AND(ISNUMBER($G92),$G92&lt;=IF($S92=MesCiclo,InicioCiclo,$S92+MOD(2-WEEKDAY($S92),7))+20),1,IF(ISNUMBER($K92),$K92,$Z92)))</f>
        <v/>
      </c>
      <c r="AB92" s="62">
        <f>IF($V92="","",IF(AND(ISNUMBER($G92),$G92&lt;=IF($S92=MesCiclo,InicioCiclo,$S92+MOD(2-WEEKDAY($S92),7))+27),1,IF(ISNUMBER($L92),$L92,$AA92)))</f>
        <v/>
      </c>
      <c r="AC92" s="62">
        <f>IF($V92="","",IF(AND(ISNUMBER($G92),$G92&lt;=IF($S92=MesCiclo,InicioCiclo,$S92+MOD(2-WEEKDAY($S92),7))+6),1,IF(N($W92)&gt;0,AVERAGEIFS($Y$5:$Y$1000,$U$5:$U$1000,ROW(),$V$5:$V$1000,"Sub"),$Y92)))</f>
        <v/>
      </c>
      <c r="AD92" s="62">
        <f>IF($V92="","",IF(AND(ISNUMBER($G92),$G92&lt;=IF($S92=MesCiclo,InicioCiclo,$S92+MOD(2-WEEKDAY($S92),7))+13),1,IF(N($W92)&gt;0,AVERAGEIFS($Z$5:$Z$1000,$U$5:$U$1000,ROW(),$V$5:$V$1000,"Sub"),$Z92)))</f>
        <v/>
      </c>
      <c r="AE92" s="62">
        <f>IF($V92="","",IF(AND(ISNUMBER($G92),$G92&lt;=IF($S92=MesCiclo,InicioCiclo,$S92+MOD(2-WEEKDAY($S92),7))+20),1,IF(N($W92)&gt;0,AVERAGEIFS($AA$5:$AA$1000,$U$5:$U$1000,ROW(),$V$5:$V$1000,"Sub"),$AA92)))</f>
        <v/>
      </c>
      <c r="AF92" s="62">
        <f>IF($V92="","",IF(AND(ISNUMBER($G92),$G92&lt;=IF($S92=MesCiclo,InicioCiclo,$S92+MOD(2-WEEKDAY($S92),7))+27),1,IF(N($W92)&gt;0,AVERAGEIFS($AB$5:$AB$1000,$U$5:$U$1000,ROW(),$V$5:$V$1000,"Sub"),$AB92)))</f>
        <v/>
      </c>
      <c r="AG92" s="62">
        <f>IF($V92&lt;&gt;"Macro","",IF(COUNTIFS($S$5:$S$1000,$S92,$V$5:$V$1000,"Macro",$H$5:$H$1000,"&gt;0")=0,1/COUNTIFS($S$5:$S$1000,$S92,$V$5:$V$1000,"Macro"),IF(AND(ISNUMBER($H92),N($H92)&gt;0),$H92,SUMIFS($H$5:$H$1000,$S$5:$S$1000,$S92,$V$5:$V$1000,"Macro")/COUNTIFS($S$5:$S$1000,$S92,$V$5:$V$1000,"Macro",$H$5:$H$1000,"&gt;0"))/(COUNTIFS($S$5:$S$1000,$S92,$V$5:$V$1000,"Macro")*SUMIFS($H$5:$H$1000,$S$5:$S$1000,$S92,$V$5:$V$1000,"Macro")/COUNTIFS($S$5:$S$1000,$S92,$V$5:$V$1000,"Macro",$H$5:$H$1000,"&gt;0"))))</f>
        <v/>
      </c>
      <c r="AH92" s="62" t="n"/>
      <c r="AI92" s="62" t="n"/>
      <c r="AJ92" s="62" t="n"/>
      <c r="AK92" s="62" t="n"/>
      <c r="AL92" s="62">
        <f>IF(LEFT($C92,11)="[Jefatura] ",IFERROR(MATCH("Riesgo Financiero|"&amp;MID($C92,12,500),rDname_ADM,0),0),"")</f>
        <v/>
      </c>
      <c r="AM92" s="62">
        <f>IF(N($AL92)&gt;0,INDEX(rIni_ADM,$AL92),IF(ISNUMBER($E92),$E92,""))</f>
        <v/>
      </c>
      <c r="AN92" s="62">
        <f>IF(N($AL92)&gt;0,INDEX(rLim_ADM,$AL92),IF(ISNUMBER($F92),$F92,""))</f>
        <v/>
      </c>
    </row>
    <row r="93">
      <c r="A93" s="56">
        <f>IF(NOT((COUNTA($B93:$D93)+COUNTA($G93:$L93)+COUNTA($Q93))&gt;0),"",IF($V93="Macro",COUNTIFS($V$5:$V93,"Macro",$S$5:$S93,$S93),IF(N($U93)=0,"?",COUNTIFS(INDEX($V$5:$V$1000,1):INDEX($V$5:$V$1000,$U93-4),"Macro",INDEX($S$5:$S$1000,1):INDEX($S$5:$S$1000,$U93-4),INDEX($S$5:$S$1000,$U93-4))&amp;"."&amp;COUNTIFS($U$5:$U93,$U93,$V$5:$V93,"Sub"))))</f>
        <v/>
      </c>
      <c r="B93" s="57" t="n"/>
      <c r="C93" s="58" t="n"/>
      <c r="D93" s="58" t="n"/>
      <c r="E93" s="59">
        <f>IF(N($AL93)&gt;0,INDEX(rIni_ADM,$AL93),"")</f>
        <v/>
      </c>
      <c r="F93" s="59">
        <f>IF(N($AL93)&gt;0,INDEX(rLim_ADM,$AL93),"")</f>
        <v/>
      </c>
      <c r="G93" s="59" t="n"/>
      <c r="H93" s="60" t="n"/>
      <c r="I93" s="60" t="n"/>
      <c r="J93" s="60" t="n"/>
      <c r="K93" s="60" t="n"/>
      <c r="L93" s="60" t="n"/>
      <c r="M93" s="61">
        <f>IF(NOT((COUNTA($B93:$D93)+COUNTA($G93:$L93)+COUNTA($Q93))&gt;0),"",IF(ISNUMBER($G93),1,IF(N($W93)&gt;0,AVERAGEIFS($X$5:$X$1000,$U$5:$U$1000,ROW(),$V$5:$V$1000,"Sub"),$X93)))</f>
        <v/>
      </c>
      <c r="N93" s="56">
        <f>IF($M93="","",IF($M93&gt;=1,"Completado",IF($M93&gt;0,"En curso","Pendiente")))</f>
        <v/>
      </c>
      <c r="O93" s="56">
        <f>IF(NOT((COUNTA($B93:$D93)+COUNTA($G93:$L93)+COUNTA($Q93))&gt;0),"",IF(ISNUMBER($G93),IF(AND(ISNUMBER($AN93),$G93&gt;$AN93),"Cumplida con "&amp;($G93-$AN93)&amp;IF($G93-$AN93=1," día"," días")&amp;" de retraso","Cumplida"),IF(N($M93)&gt;=1,"Cumplida",IF(NOT(ISNUMBER($AN93)),"Sin fecha límite",IF($AN93&lt;FechaRef,"Vencida hace "&amp;(FechaRef-$AN93)&amp;IF(FechaRef-$AN93=1," día"," días"),IF($AN93=FechaRef,"Vence hoy",IF($AN93-FechaRef&lt;=DiasAlerta,"Vence en "&amp;($AN93-FechaRef)&amp;IF($AN93-FechaRef=1," día"," días"),"En plazo")))))))</f>
        <v/>
      </c>
      <c r="P93" s="62" t="n"/>
      <c r="Q93" s="58" t="n"/>
      <c r="R93" s="63">
        <f>IF(NOT((COUNTA($B93:$D93)+COUNTA($G93:$L93)+COUNTA($Q93))&gt;0),"",IF((IF($C93="","Falta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",""))="","✔ OK","⚠ "&amp;LEFT(IF($C93="","Falta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",""),LEN(IF($C93="","Falta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",""))-3)))</f>
        <v/>
      </c>
      <c r="S93" s="64">
        <f>IF(NOT((COUNTA($B93:$D93)+COUNTA($G93:$L93)+COUNTA($Q93))&gt;0),"",IF(AND($V93="Sub",N($U93)&gt;0),IF(ISNUMBER(INDEX($AM$5:$AM$1000,$U93-4)),DATE(YEAR(INDEX($AM$5:$AM$1000,$U93-4)),MONTH(INDEX($AM$5:$AM$1000,$U93-4)),1),IF(ISNUMBER(INDEX($AN$5:$AN$1000,$U93-4)),DATE(YEAR(INDEX($AN$5:$AN$1000,$U93-4)),MONTH(INDEX($AN$5:$AN$1000,$U93-4)),1),MesCiclo)),IF(ISNUMBER($AM93),DATE(YEAR($AM93),MONTH($AM93),1),IF(ISNUMBER($AN93),DATE(YEAR($AN93),MONTH($AN93),1),MesCiclo))))</f>
        <v/>
      </c>
      <c r="T93" s="62">
        <f>IF(OR($S93="",$S93&lt;&gt;MesCiclo),"",COUNTIF($S$5:$S93,MesCiclo))</f>
        <v/>
      </c>
      <c r="U93" s="62">
        <f>IF($V93="","",IF($V93="Macro",ROW(),IFERROR(LOOKUP(2,1/($V$5:$V93="Macro"),ROW($V$5:$V93)),0)))</f>
        <v/>
      </c>
      <c r="V93" s="62">
        <f>IF(NOT((COUNTA($B93:$D93)+COUNTA($G93:$L93)+COUNTA($Q93))&gt;0),"",IF($B93="Subactividad","Sub","Macro"))</f>
        <v/>
      </c>
      <c r="W93" s="62">
        <f>IF($V93="Macro",COUNTIFS($U$5:$U$1000,ROW(),$V$5:$V$1000,"Sub"),"")</f>
        <v/>
      </c>
      <c r="X93" s="62">
        <f>IF($V93="","",IF(ISNUMBER($G93),1,IFERROR(LOOKUP(2,1/($I93:$L93&lt;&gt;""),$I93:$L93),0)))</f>
        <v/>
      </c>
      <c r="Y93" s="62">
        <f>IF($V93="","",IF(AND(ISNUMBER($G93),$G93&lt;=IF($S93=MesCiclo,InicioCiclo,$S93+MOD(2-WEEKDAY($S93),7))+6),1,IF(ISNUMBER($I93),$I93,0)))</f>
        <v/>
      </c>
      <c r="Z93" s="62">
        <f>IF($V93="","",IF(AND(ISNUMBER($G93),$G93&lt;=IF($S93=MesCiclo,InicioCiclo,$S93+MOD(2-WEEKDAY($S93),7))+13),1,IF(ISNUMBER($J93),$J93,$Y93)))</f>
        <v/>
      </c>
      <c r="AA93" s="62">
        <f>IF($V93="","",IF(AND(ISNUMBER($G93),$G93&lt;=IF($S93=MesCiclo,InicioCiclo,$S93+MOD(2-WEEKDAY($S93),7))+20),1,IF(ISNUMBER($K93),$K93,$Z93)))</f>
        <v/>
      </c>
      <c r="AB93" s="62">
        <f>IF($V93="","",IF(AND(ISNUMBER($G93),$G93&lt;=IF($S93=MesCiclo,InicioCiclo,$S93+MOD(2-WEEKDAY($S93),7))+27),1,IF(ISNUMBER($L93),$L93,$AA93)))</f>
        <v/>
      </c>
      <c r="AC93" s="62">
        <f>IF($V93="","",IF(AND(ISNUMBER($G93),$G93&lt;=IF($S93=MesCiclo,InicioCiclo,$S93+MOD(2-WEEKDAY($S93),7))+6),1,IF(N($W93)&gt;0,AVERAGEIFS($Y$5:$Y$1000,$U$5:$U$1000,ROW(),$V$5:$V$1000,"Sub"),$Y93)))</f>
        <v/>
      </c>
      <c r="AD93" s="62">
        <f>IF($V93="","",IF(AND(ISNUMBER($G93),$G93&lt;=IF($S93=MesCiclo,InicioCiclo,$S93+MOD(2-WEEKDAY($S93),7))+13),1,IF(N($W93)&gt;0,AVERAGEIFS($Z$5:$Z$1000,$U$5:$U$1000,ROW(),$V$5:$V$1000,"Sub"),$Z93)))</f>
        <v/>
      </c>
      <c r="AE93" s="62">
        <f>IF($V93="","",IF(AND(ISNUMBER($G93),$G93&lt;=IF($S93=MesCiclo,InicioCiclo,$S93+MOD(2-WEEKDAY($S93),7))+20),1,IF(N($W93)&gt;0,AVERAGEIFS($AA$5:$AA$1000,$U$5:$U$1000,ROW(),$V$5:$V$1000,"Sub"),$AA93)))</f>
        <v/>
      </c>
      <c r="AF93" s="62">
        <f>IF($V93="","",IF(AND(ISNUMBER($G93),$G93&lt;=IF($S93=MesCiclo,InicioCiclo,$S93+MOD(2-WEEKDAY($S93),7))+27),1,IF(N($W93)&gt;0,AVERAGEIFS($AB$5:$AB$1000,$U$5:$U$1000,ROW(),$V$5:$V$1000,"Sub"),$AB93)))</f>
        <v/>
      </c>
      <c r="AG93" s="62">
        <f>IF($V93&lt;&gt;"Macro","",IF(COUNTIFS($S$5:$S$1000,$S93,$V$5:$V$1000,"Macro",$H$5:$H$1000,"&gt;0")=0,1/COUNTIFS($S$5:$S$1000,$S93,$V$5:$V$1000,"Macro"),IF(AND(ISNUMBER($H93),N($H93)&gt;0),$H93,SUMIFS($H$5:$H$1000,$S$5:$S$1000,$S93,$V$5:$V$1000,"Macro")/COUNTIFS($S$5:$S$1000,$S93,$V$5:$V$1000,"Macro",$H$5:$H$1000,"&gt;0"))/(COUNTIFS($S$5:$S$1000,$S93,$V$5:$V$1000,"Macro")*SUMIFS($H$5:$H$1000,$S$5:$S$1000,$S93,$V$5:$V$1000,"Macro")/COUNTIFS($S$5:$S$1000,$S93,$V$5:$V$1000,"Macro",$H$5:$H$1000,"&gt;0"))))</f>
        <v/>
      </c>
      <c r="AH93" s="62" t="n"/>
      <c r="AI93" s="62" t="n"/>
      <c r="AJ93" s="62" t="n"/>
      <c r="AK93" s="62" t="n"/>
      <c r="AL93" s="62">
        <f>IF(LEFT($C93,11)="[Jefatura] ",IFERROR(MATCH("Riesgo Financiero|"&amp;MID($C93,12,500),rDname_ADM,0),0),"")</f>
        <v/>
      </c>
      <c r="AM93" s="62">
        <f>IF(N($AL93)&gt;0,INDEX(rIni_ADM,$AL93),IF(ISNUMBER($E93),$E93,""))</f>
        <v/>
      </c>
      <c r="AN93" s="62">
        <f>IF(N($AL93)&gt;0,INDEX(rLim_ADM,$AL93),IF(ISNUMBER($F93),$F93,""))</f>
        <v/>
      </c>
    </row>
    <row r="94">
      <c r="A94" s="56">
        <f>IF(NOT((COUNTA($B94:$D94)+COUNTA($G94:$L94)+COUNTA($Q94))&gt;0),"",IF($V94="Macro",COUNTIFS($V$5:$V94,"Macro",$S$5:$S94,$S94),IF(N($U94)=0,"?",COUNTIFS(INDEX($V$5:$V$1000,1):INDEX($V$5:$V$1000,$U94-4),"Macro",INDEX($S$5:$S$1000,1):INDEX($S$5:$S$1000,$U94-4),INDEX($S$5:$S$1000,$U94-4))&amp;"."&amp;COUNTIFS($U$5:$U94,$U94,$V$5:$V94,"Sub"))))</f>
        <v/>
      </c>
      <c r="B94" s="57" t="n"/>
      <c r="C94" s="58" t="n"/>
      <c r="D94" s="58" t="n"/>
      <c r="E94" s="59">
        <f>IF(N($AL94)&gt;0,INDEX(rIni_ADM,$AL94),"")</f>
        <v/>
      </c>
      <c r="F94" s="59">
        <f>IF(N($AL94)&gt;0,INDEX(rLim_ADM,$AL94),"")</f>
        <v/>
      </c>
      <c r="G94" s="59" t="n"/>
      <c r="H94" s="60" t="n"/>
      <c r="I94" s="60" t="n"/>
      <c r="J94" s="60" t="n"/>
      <c r="K94" s="60" t="n"/>
      <c r="L94" s="60" t="n"/>
      <c r="M94" s="61">
        <f>IF(NOT((COUNTA($B94:$D94)+COUNTA($G94:$L94)+COUNTA($Q94))&gt;0),"",IF(ISNUMBER($G94),1,IF(N($W94)&gt;0,AVERAGEIFS($X$5:$X$1000,$U$5:$U$1000,ROW(),$V$5:$V$1000,"Sub"),$X94)))</f>
        <v/>
      </c>
      <c r="N94" s="56">
        <f>IF($M94="","",IF($M94&gt;=1,"Completado",IF($M94&gt;0,"En curso","Pendiente")))</f>
        <v/>
      </c>
      <c r="O94" s="56">
        <f>IF(NOT((COUNTA($B94:$D94)+COUNTA($G94:$L94)+COUNTA($Q94))&gt;0),"",IF(ISNUMBER($G94),IF(AND(ISNUMBER($AN94),$G94&gt;$AN94),"Cumplida con "&amp;($G94-$AN94)&amp;IF($G94-$AN94=1," día"," días")&amp;" de retraso","Cumplida"),IF(N($M94)&gt;=1,"Cumplida",IF(NOT(ISNUMBER($AN94)),"Sin fecha límite",IF($AN94&lt;FechaRef,"Vencida hace "&amp;(FechaRef-$AN94)&amp;IF(FechaRef-$AN94=1," día"," días"),IF($AN94=FechaRef,"Vence hoy",IF($AN94-FechaRef&lt;=DiasAlerta,"Vence en "&amp;($AN94-FechaRef)&amp;IF($AN94-FechaRef=1," día"," días"),"En plazo")))))))</f>
        <v/>
      </c>
      <c r="P94" s="62" t="n"/>
      <c r="Q94" s="58" t="n"/>
      <c r="R94" s="63">
        <f>IF(NOT((COUNTA($B94:$D94)+COUNTA($G94:$L94)+COUNTA($Q94))&gt;0),"",IF((IF($C94="","Falta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",""))="","✔ OK","⚠ "&amp;LEFT(IF($C94="","Falta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",""),LEN(IF($C94="","Falta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",""))-3)))</f>
        <v/>
      </c>
      <c r="S94" s="64">
        <f>IF(NOT((COUNTA($B94:$D94)+COUNTA($G94:$L94)+COUNTA($Q94))&gt;0),"",IF(AND($V94="Sub",N($U94)&gt;0),IF(ISNUMBER(INDEX($AM$5:$AM$1000,$U94-4)),DATE(YEAR(INDEX($AM$5:$AM$1000,$U94-4)),MONTH(INDEX($AM$5:$AM$1000,$U94-4)),1),IF(ISNUMBER(INDEX($AN$5:$AN$1000,$U94-4)),DATE(YEAR(INDEX($AN$5:$AN$1000,$U94-4)),MONTH(INDEX($AN$5:$AN$1000,$U94-4)),1),MesCiclo)),IF(ISNUMBER($AM94),DATE(YEAR($AM94),MONTH($AM94),1),IF(ISNUMBER($AN94),DATE(YEAR($AN94),MONTH($AN94),1),MesCiclo))))</f>
        <v/>
      </c>
      <c r="T94" s="62">
        <f>IF(OR($S94="",$S94&lt;&gt;MesCiclo),"",COUNTIF($S$5:$S94,MesCiclo))</f>
        <v/>
      </c>
      <c r="U94" s="62">
        <f>IF($V94="","",IF($V94="Macro",ROW(),IFERROR(LOOKUP(2,1/($V$5:$V94="Macro"),ROW($V$5:$V94)),0)))</f>
        <v/>
      </c>
      <c r="V94" s="62">
        <f>IF(NOT((COUNTA($B94:$D94)+COUNTA($G94:$L94)+COUNTA($Q94))&gt;0),"",IF($B94="Subactividad","Sub","Macro"))</f>
        <v/>
      </c>
      <c r="W94" s="62">
        <f>IF($V94="Macro",COUNTIFS($U$5:$U$1000,ROW(),$V$5:$V$1000,"Sub"),"")</f>
        <v/>
      </c>
      <c r="X94" s="62">
        <f>IF($V94="","",IF(ISNUMBER($G94),1,IFERROR(LOOKUP(2,1/($I94:$L94&lt;&gt;""),$I94:$L94),0)))</f>
        <v/>
      </c>
      <c r="Y94" s="62">
        <f>IF($V94="","",IF(AND(ISNUMBER($G94),$G94&lt;=IF($S94=MesCiclo,InicioCiclo,$S94+MOD(2-WEEKDAY($S94),7))+6),1,IF(ISNUMBER($I94),$I94,0)))</f>
        <v/>
      </c>
      <c r="Z94" s="62">
        <f>IF($V94="","",IF(AND(ISNUMBER($G94),$G94&lt;=IF($S94=MesCiclo,InicioCiclo,$S94+MOD(2-WEEKDAY($S94),7))+13),1,IF(ISNUMBER($J94),$J94,$Y94)))</f>
        <v/>
      </c>
      <c r="AA94" s="62">
        <f>IF($V94="","",IF(AND(ISNUMBER($G94),$G94&lt;=IF($S94=MesCiclo,InicioCiclo,$S94+MOD(2-WEEKDAY($S94),7))+20),1,IF(ISNUMBER($K94),$K94,$Z94)))</f>
        <v/>
      </c>
      <c r="AB94" s="62">
        <f>IF($V94="","",IF(AND(ISNUMBER($G94),$G94&lt;=IF($S94=MesCiclo,InicioCiclo,$S94+MOD(2-WEEKDAY($S94),7))+27),1,IF(ISNUMBER($L94),$L94,$AA94)))</f>
        <v/>
      </c>
      <c r="AC94" s="62">
        <f>IF($V94="","",IF(AND(ISNUMBER($G94),$G94&lt;=IF($S94=MesCiclo,InicioCiclo,$S94+MOD(2-WEEKDAY($S94),7))+6),1,IF(N($W94)&gt;0,AVERAGEIFS($Y$5:$Y$1000,$U$5:$U$1000,ROW(),$V$5:$V$1000,"Sub"),$Y94)))</f>
        <v/>
      </c>
      <c r="AD94" s="62">
        <f>IF($V94="","",IF(AND(ISNUMBER($G94),$G94&lt;=IF($S94=MesCiclo,InicioCiclo,$S94+MOD(2-WEEKDAY($S94),7))+13),1,IF(N($W94)&gt;0,AVERAGEIFS($Z$5:$Z$1000,$U$5:$U$1000,ROW(),$V$5:$V$1000,"Sub"),$Z94)))</f>
        <v/>
      </c>
      <c r="AE94" s="62">
        <f>IF($V94="","",IF(AND(ISNUMBER($G94),$G94&lt;=IF($S94=MesCiclo,InicioCiclo,$S94+MOD(2-WEEKDAY($S94),7))+20),1,IF(N($W94)&gt;0,AVERAGEIFS($AA$5:$AA$1000,$U$5:$U$1000,ROW(),$V$5:$V$1000,"Sub"),$AA94)))</f>
        <v/>
      </c>
      <c r="AF94" s="62">
        <f>IF($V94="","",IF(AND(ISNUMBER($G94),$G94&lt;=IF($S94=MesCiclo,InicioCiclo,$S94+MOD(2-WEEKDAY($S94),7))+27),1,IF(N($W94)&gt;0,AVERAGEIFS($AB$5:$AB$1000,$U$5:$U$1000,ROW(),$V$5:$V$1000,"Sub"),$AB94)))</f>
        <v/>
      </c>
      <c r="AG94" s="62">
        <f>IF($V94&lt;&gt;"Macro","",IF(COUNTIFS($S$5:$S$1000,$S94,$V$5:$V$1000,"Macro",$H$5:$H$1000,"&gt;0")=0,1/COUNTIFS($S$5:$S$1000,$S94,$V$5:$V$1000,"Macro"),IF(AND(ISNUMBER($H94),N($H94)&gt;0),$H94,SUMIFS($H$5:$H$1000,$S$5:$S$1000,$S94,$V$5:$V$1000,"Macro")/COUNTIFS($S$5:$S$1000,$S94,$V$5:$V$1000,"Macro",$H$5:$H$1000,"&gt;0"))/(COUNTIFS($S$5:$S$1000,$S94,$V$5:$V$1000,"Macro")*SUMIFS($H$5:$H$1000,$S$5:$S$1000,$S94,$V$5:$V$1000,"Macro")/COUNTIFS($S$5:$S$1000,$S94,$V$5:$V$1000,"Macro",$H$5:$H$1000,"&gt;0"))))</f>
        <v/>
      </c>
      <c r="AH94" s="62" t="n"/>
      <c r="AI94" s="62" t="n"/>
      <c r="AJ94" s="62" t="n"/>
      <c r="AK94" s="62" t="n"/>
      <c r="AL94" s="62">
        <f>IF(LEFT($C94,11)="[Jefatura] ",IFERROR(MATCH("Riesgo Financiero|"&amp;MID($C94,12,500),rDname_ADM,0),0),"")</f>
        <v/>
      </c>
      <c r="AM94" s="62">
        <f>IF(N($AL94)&gt;0,INDEX(rIni_ADM,$AL94),IF(ISNUMBER($E94),$E94,""))</f>
        <v/>
      </c>
      <c r="AN94" s="62">
        <f>IF(N($AL94)&gt;0,INDEX(rLim_ADM,$AL94),IF(ISNUMBER($F94),$F94,""))</f>
        <v/>
      </c>
    </row>
    <row r="95">
      <c r="A95" s="56">
        <f>IF(NOT((COUNTA($B95:$D95)+COUNTA($G95:$L95)+COUNTA($Q95))&gt;0),"",IF($V95="Macro",COUNTIFS($V$5:$V95,"Macro",$S$5:$S95,$S95),IF(N($U95)=0,"?",COUNTIFS(INDEX($V$5:$V$1000,1):INDEX($V$5:$V$1000,$U95-4),"Macro",INDEX($S$5:$S$1000,1):INDEX($S$5:$S$1000,$U95-4),INDEX($S$5:$S$1000,$U95-4))&amp;"."&amp;COUNTIFS($U$5:$U95,$U95,$V$5:$V95,"Sub"))))</f>
        <v/>
      </c>
      <c r="B95" s="57" t="n"/>
      <c r="C95" s="58" t="n"/>
      <c r="D95" s="58" t="n"/>
      <c r="E95" s="59">
        <f>IF(N($AL95)&gt;0,INDEX(rIni_ADM,$AL95),"")</f>
        <v/>
      </c>
      <c r="F95" s="59">
        <f>IF(N($AL95)&gt;0,INDEX(rLim_ADM,$AL95),"")</f>
        <v/>
      </c>
      <c r="G95" s="59" t="n"/>
      <c r="H95" s="60" t="n"/>
      <c r="I95" s="60" t="n"/>
      <c r="J95" s="60" t="n"/>
      <c r="K95" s="60" t="n"/>
      <c r="L95" s="60" t="n"/>
      <c r="M95" s="61">
        <f>IF(NOT((COUNTA($B95:$D95)+COUNTA($G95:$L95)+COUNTA($Q95))&gt;0),"",IF(ISNUMBER($G95),1,IF(N($W95)&gt;0,AVERAGEIFS($X$5:$X$1000,$U$5:$U$1000,ROW(),$V$5:$V$1000,"Sub"),$X95)))</f>
        <v/>
      </c>
      <c r="N95" s="56">
        <f>IF($M95="","",IF($M95&gt;=1,"Completado",IF($M95&gt;0,"En curso","Pendiente")))</f>
        <v/>
      </c>
      <c r="O95" s="56">
        <f>IF(NOT((COUNTA($B95:$D95)+COUNTA($G95:$L95)+COUNTA($Q95))&gt;0),"",IF(ISNUMBER($G95),IF(AND(ISNUMBER($AN95),$G95&gt;$AN95),"Cumplida con "&amp;($G95-$AN95)&amp;IF($G95-$AN95=1," día"," días")&amp;" de retraso","Cumplida"),IF(N($M95)&gt;=1,"Cumplida",IF(NOT(ISNUMBER($AN95)),"Sin fecha límite",IF($AN95&lt;FechaRef,"Vencida hace "&amp;(FechaRef-$AN95)&amp;IF(FechaRef-$AN95=1," día"," días"),IF($AN95=FechaRef,"Vence hoy",IF($AN95-FechaRef&lt;=DiasAlerta,"Vence en "&amp;($AN95-FechaRef)&amp;IF($AN95-FechaRef=1," día"," días"),"En plazo")))))))</f>
        <v/>
      </c>
      <c r="P95" s="62" t="n"/>
      <c r="Q95" s="58" t="n"/>
      <c r="R95" s="63">
        <f>IF(NOT((COUNTA($B95:$D95)+COUNTA($G95:$L95)+COUNTA($Q95))&gt;0),"",IF((IF($C95="","Falta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",""))="","✔ OK","⚠ "&amp;LEFT(IF($C95="","Falta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",""),LEN(IF($C95="","Falta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",""))-3)))</f>
        <v/>
      </c>
      <c r="S95" s="64">
        <f>IF(NOT((COUNTA($B95:$D95)+COUNTA($G95:$L95)+COUNTA($Q95))&gt;0),"",IF(AND($V95="Sub",N($U95)&gt;0),IF(ISNUMBER(INDEX($AM$5:$AM$1000,$U95-4)),DATE(YEAR(INDEX($AM$5:$AM$1000,$U95-4)),MONTH(INDEX($AM$5:$AM$1000,$U95-4)),1),IF(ISNUMBER(INDEX($AN$5:$AN$1000,$U95-4)),DATE(YEAR(INDEX($AN$5:$AN$1000,$U95-4)),MONTH(INDEX($AN$5:$AN$1000,$U95-4)),1),MesCiclo)),IF(ISNUMBER($AM95),DATE(YEAR($AM95),MONTH($AM95),1),IF(ISNUMBER($AN95),DATE(YEAR($AN95),MONTH($AN95),1),MesCiclo))))</f>
        <v/>
      </c>
      <c r="T95" s="62">
        <f>IF(OR($S95="",$S95&lt;&gt;MesCiclo),"",COUNTIF($S$5:$S95,MesCiclo))</f>
        <v/>
      </c>
      <c r="U95" s="62">
        <f>IF($V95="","",IF($V95="Macro",ROW(),IFERROR(LOOKUP(2,1/($V$5:$V95="Macro"),ROW($V$5:$V95)),0)))</f>
        <v/>
      </c>
      <c r="V95" s="62">
        <f>IF(NOT((COUNTA($B95:$D95)+COUNTA($G95:$L95)+COUNTA($Q95))&gt;0),"",IF($B95="Subactividad","Sub","Macro"))</f>
        <v/>
      </c>
      <c r="W95" s="62">
        <f>IF($V95="Macro",COUNTIFS($U$5:$U$1000,ROW(),$V$5:$V$1000,"Sub"),"")</f>
        <v/>
      </c>
      <c r="X95" s="62">
        <f>IF($V95="","",IF(ISNUMBER($G95),1,IFERROR(LOOKUP(2,1/($I95:$L95&lt;&gt;""),$I95:$L95),0)))</f>
        <v/>
      </c>
      <c r="Y95" s="62">
        <f>IF($V95="","",IF(AND(ISNUMBER($G95),$G95&lt;=IF($S95=MesCiclo,InicioCiclo,$S95+MOD(2-WEEKDAY($S95),7))+6),1,IF(ISNUMBER($I95),$I95,0)))</f>
        <v/>
      </c>
      <c r="Z95" s="62">
        <f>IF($V95="","",IF(AND(ISNUMBER($G95),$G95&lt;=IF($S95=MesCiclo,InicioCiclo,$S95+MOD(2-WEEKDAY($S95),7))+13),1,IF(ISNUMBER($J95),$J95,$Y95)))</f>
        <v/>
      </c>
      <c r="AA95" s="62">
        <f>IF($V95="","",IF(AND(ISNUMBER($G95),$G95&lt;=IF($S95=MesCiclo,InicioCiclo,$S95+MOD(2-WEEKDAY($S95),7))+20),1,IF(ISNUMBER($K95),$K95,$Z95)))</f>
        <v/>
      </c>
      <c r="AB95" s="62">
        <f>IF($V95="","",IF(AND(ISNUMBER($G95),$G95&lt;=IF($S95=MesCiclo,InicioCiclo,$S95+MOD(2-WEEKDAY($S95),7))+27),1,IF(ISNUMBER($L95),$L95,$AA95)))</f>
        <v/>
      </c>
      <c r="AC95" s="62">
        <f>IF($V95="","",IF(AND(ISNUMBER($G95),$G95&lt;=IF($S95=MesCiclo,InicioCiclo,$S95+MOD(2-WEEKDAY($S95),7))+6),1,IF(N($W95)&gt;0,AVERAGEIFS($Y$5:$Y$1000,$U$5:$U$1000,ROW(),$V$5:$V$1000,"Sub"),$Y95)))</f>
        <v/>
      </c>
      <c r="AD95" s="62">
        <f>IF($V95="","",IF(AND(ISNUMBER($G95),$G95&lt;=IF($S95=MesCiclo,InicioCiclo,$S95+MOD(2-WEEKDAY($S95),7))+13),1,IF(N($W95)&gt;0,AVERAGEIFS($Z$5:$Z$1000,$U$5:$U$1000,ROW(),$V$5:$V$1000,"Sub"),$Z95)))</f>
        <v/>
      </c>
      <c r="AE95" s="62">
        <f>IF($V95="","",IF(AND(ISNUMBER($G95),$G95&lt;=IF($S95=MesCiclo,InicioCiclo,$S95+MOD(2-WEEKDAY($S95),7))+20),1,IF(N($W95)&gt;0,AVERAGEIFS($AA$5:$AA$1000,$U$5:$U$1000,ROW(),$V$5:$V$1000,"Sub"),$AA95)))</f>
        <v/>
      </c>
      <c r="AF95" s="62">
        <f>IF($V95="","",IF(AND(ISNUMBER($G95),$G95&lt;=IF($S95=MesCiclo,InicioCiclo,$S95+MOD(2-WEEKDAY($S95),7))+27),1,IF(N($W95)&gt;0,AVERAGEIFS($AB$5:$AB$1000,$U$5:$U$1000,ROW(),$V$5:$V$1000,"Sub"),$AB95)))</f>
        <v/>
      </c>
      <c r="AG95" s="62">
        <f>IF($V95&lt;&gt;"Macro","",IF(COUNTIFS($S$5:$S$1000,$S95,$V$5:$V$1000,"Macro",$H$5:$H$1000,"&gt;0")=0,1/COUNTIFS($S$5:$S$1000,$S95,$V$5:$V$1000,"Macro"),IF(AND(ISNUMBER($H95),N($H95)&gt;0),$H95,SUMIFS($H$5:$H$1000,$S$5:$S$1000,$S95,$V$5:$V$1000,"Macro")/COUNTIFS($S$5:$S$1000,$S95,$V$5:$V$1000,"Macro",$H$5:$H$1000,"&gt;0"))/(COUNTIFS($S$5:$S$1000,$S95,$V$5:$V$1000,"Macro")*SUMIFS($H$5:$H$1000,$S$5:$S$1000,$S95,$V$5:$V$1000,"Macro")/COUNTIFS($S$5:$S$1000,$S95,$V$5:$V$1000,"Macro",$H$5:$H$1000,"&gt;0"))))</f>
        <v/>
      </c>
      <c r="AH95" s="62" t="n"/>
      <c r="AI95" s="62" t="n"/>
      <c r="AJ95" s="62" t="n"/>
      <c r="AK95" s="62" t="n"/>
      <c r="AL95" s="62">
        <f>IF(LEFT($C95,11)="[Jefatura] ",IFERROR(MATCH("Riesgo Financiero|"&amp;MID($C95,12,500),rDname_ADM,0),0),"")</f>
        <v/>
      </c>
      <c r="AM95" s="62">
        <f>IF(N($AL95)&gt;0,INDEX(rIni_ADM,$AL95),IF(ISNUMBER($E95),$E95,""))</f>
        <v/>
      </c>
      <c r="AN95" s="62">
        <f>IF(N($AL95)&gt;0,INDEX(rLim_ADM,$AL95),IF(ISNUMBER($F95),$F95,""))</f>
        <v/>
      </c>
    </row>
    <row r="96">
      <c r="A96" s="56">
        <f>IF(NOT((COUNTA($B96:$D96)+COUNTA($G96:$L96)+COUNTA($Q96))&gt;0),"",IF($V96="Macro",COUNTIFS($V$5:$V96,"Macro",$S$5:$S96,$S96),IF(N($U96)=0,"?",COUNTIFS(INDEX($V$5:$V$1000,1):INDEX($V$5:$V$1000,$U96-4),"Macro",INDEX($S$5:$S$1000,1):INDEX($S$5:$S$1000,$U96-4),INDEX($S$5:$S$1000,$U96-4))&amp;"."&amp;COUNTIFS($U$5:$U96,$U96,$V$5:$V96,"Sub"))))</f>
        <v/>
      </c>
      <c r="B96" s="57" t="n"/>
      <c r="C96" s="58" t="n"/>
      <c r="D96" s="58" t="n"/>
      <c r="E96" s="59">
        <f>IF(N($AL96)&gt;0,INDEX(rIni_ADM,$AL96),"")</f>
        <v/>
      </c>
      <c r="F96" s="59">
        <f>IF(N($AL96)&gt;0,INDEX(rLim_ADM,$AL96),"")</f>
        <v/>
      </c>
      <c r="G96" s="59" t="n"/>
      <c r="H96" s="60" t="n"/>
      <c r="I96" s="60" t="n"/>
      <c r="J96" s="60" t="n"/>
      <c r="K96" s="60" t="n"/>
      <c r="L96" s="60" t="n"/>
      <c r="M96" s="61">
        <f>IF(NOT((COUNTA($B96:$D96)+COUNTA($G96:$L96)+COUNTA($Q96))&gt;0),"",IF(ISNUMBER($G96),1,IF(N($W96)&gt;0,AVERAGEIFS($X$5:$X$1000,$U$5:$U$1000,ROW(),$V$5:$V$1000,"Sub"),$X96)))</f>
        <v/>
      </c>
      <c r="N96" s="56">
        <f>IF($M96="","",IF($M96&gt;=1,"Completado",IF($M96&gt;0,"En curso","Pendiente")))</f>
        <v/>
      </c>
      <c r="O96" s="56">
        <f>IF(NOT((COUNTA($B96:$D96)+COUNTA($G96:$L96)+COUNTA($Q96))&gt;0),"",IF(ISNUMBER($G96),IF(AND(ISNUMBER($AN96),$G96&gt;$AN96),"Cumplida con "&amp;($G96-$AN96)&amp;IF($G96-$AN96=1," día"," días")&amp;" de retraso","Cumplida"),IF(N($M96)&gt;=1,"Cumplida",IF(NOT(ISNUMBER($AN96)),"Sin fecha límite",IF($AN96&lt;FechaRef,"Vencida hace "&amp;(FechaRef-$AN96)&amp;IF(FechaRef-$AN96=1," día"," días"),IF($AN96=FechaRef,"Vence hoy",IF($AN96-FechaRef&lt;=DiasAlerta,"Vence en "&amp;($AN96-FechaRef)&amp;IF($AN96-FechaRef=1," día"," días"),"En plazo")))))))</f>
        <v/>
      </c>
      <c r="P96" s="62" t="n"/>
      <c r="Q96" s="58" t="n"/>
      <c r="R96" s="63">
        <f>IF(NOT((COUNTA($B96:$D96)+COUNTA($G96:$L96)+COUNTA($Q96))&gt;0),"",IF((IF($C96="","Falta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",""))="","✔ OK","⚠ "&amp;LEFT(IF($C96="","Falta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",""),LEN(IF($C96="","Falta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",""))-3)))</f>
        <v/>
      </c>
      <c r="S96" s="64">
        <f>IF(NOT((COUNTA($B96:$D96)+COUNTA($G96:$L96)+COUNTA($Q96))&gt;0),"",IF(AND($V96="Sub",N($U96)&gt;0),IF(ISNUMBER(INDEX($AM$5:$AM$1000,$U96-4)),DATE(YEAR(INDEX($AM$5:$AM$1000,$U96-4)),MONTH(INDEX($AM$5:$AM$1000,$U96-4)),1),IF(ISNUMBER(INDEX($AN$5:$AN$1000,$U96-4)),DATE(YEAR(INDEX($AN$5:$AN$1000,$U96-4)),MONTH(INDEX($AN$5:$AN$1000,$U96-4)),1),MesCiclo)),IF(ISNUMBER($AM96),DATE(YEAR($AM96),MONTH($AM96),1),IF(ISNUMBER($AN96),DATE(YEAR($AN96),MONTH($AN96),1),MesCiclo))))</f>
        <v/>
      </c>
      <c r="T96" s="62">
        <f>IF(OR($S96="",$S96&lt;&gt;MesCiclo),"",COUNTIF($S$5:$S96,MesCiclo))</f>
        <v/>
      </c>
      <c r="U96" s="62">
        <f>IF($V96="","",IF($V96="Macro",ROW(),IFERROR(LOOKUP(2,1/($V$5:$V96="Macro"),ROW($V$5:$V96)),0)))</f>
        <v/>
      </c>
      <c r="V96" s="62">
        <f>IF(NOT((COUNTA($B96:$D96)+COUNTA($G96:$L96)+COUNTA($Q96))&gt;0),"",IF($B96="Subactividad","Sub","Macro"))</f>
        <v/>
      </c>
      <c r="W96" s="62">
        <f>IF($V96="Macro",COUNTIFS($U$5:$U$1000,ROW(),$V$5:$V$1000,"Sub"),"")</f>
        <v/>
      </c>
      <c r="X96" s="62">
        <f>IF($V96="","",IF(ISNUMBER($G96),1,IFERROR(LOOKUP(2,1/($I96:$L96&lt;&gt;""),$I96:$L96),0)))</f>
        <v/>
      </c>
      <c r="Y96" s="62">
        <f>IF($V96="","",IF(AND(ISNUMBER($G96),$G96&lt;=IF($S96=MesCiclo,InicioCiclo,$S96+MOD(2-WEEKDAY($S96),7))+6),1,IF(ISNUMBER($I96),$I96,0)))</f>
        <v/>
      </c>
      <c r="Z96" s="62">
        <f>IF($V96="","",IF(AND(ISNUMBER($G96),$G96&lt;=IF($S96=MesCiclo,InicioCiclo,$S96+MOD(2-WEEKDAY($S96),7))+13),1,IF(ISNUMBER($J96),$J96,$Y96)))</f>
        <v/>
      </c>
      <c r="AA96" s="62">
        <f>IF($V96="","",IF(AND(ISNUMBER($G96),$G96&lt;=IF($S96=MesCiclo,InicioCiclo,$S96+MOD(2-WEEKDAY($S96),7))+20),1,IF(ISNUMBER($K96),$K96,$Z96)))</f>
        <v/>
      </c>
      <c r="AB96" s="62">
        <f>IF($V96="","",IF(AND(ISNUMBER($G96),$G96&lt;=IF($S96=MesCiclo,InicioCiclo,$S96+MOD(2-WEEKDAY($S96),7))+27),1,IF(ISNUMBER($L96),$L96,$AA96)))</f>
        <v/>
      </c>
      <c r="AC96" s="62">
        <f>IF($V96="","",IF(AND(ISNUMBER($G96),$G96&lt;=IF($S96=MesCiclo,InicioCiclo,$S96+MOD(2-WEEKDAY($S96),7))+6),1,IF(N($W96)&gt;0,AVERAGEIFS($Y$5:$Y$1000,$U$5:$U$1000,ROW(),$V$5:$V$1000,"Sub"),$Y96)))</f>
        <v/>
      </c>
      <c r="AD96" s="62">
        <f>IF($V96="","",IF(AND(ISNUMBER($G96),$G96&lt;=IF($S96=MesCiclo,InicioCiclo,$S96+MOD(2-WEEKDAY($S96),7))+13),1,IF(N($W96)&gt;0,AVERAGEIFS($Z$5:$Z$1000,$U$5:$U$1000,ROW(),$V$5:$V$1000,"Sub"),$Z96)))</f>
        <v/>
      </c>
      <c r="AE96" s="62">
        <f>IF($V96="","",IF(AND(ISNUMBER($G96),$G96&lt;=IF($S96=MesCiclo,InicioCiclo,$S96+MOD(2-WEEKDAY($S96),7))+20),1,IF(N($W96)&gt;0,AVERAGEIFS($AA$5:$AA$1000,$U$5:$U$1000,ROW(),$V$5:$V$1000,"Sub"),$AA96)))</f>
        <v/>
      </c>
      <c r="AF96" s="62">
        <f>IF($V96="","",IF(AND(ISNUMBER($G96),$G96&lt;=IF($S96=MesCiclo,InicioCiclo,$S96+MOD(2-WEEKDAY($S96),7))+27),1,IF(N($W96)&gt;0,AVERAGEIFS($AB$5:$AB$1000,$U$5:$U$1000,ROW(),$V$5:$V$1000,"Sub"),$AB96)))</f>
        <v/>
      </c>
      <c r="AG96" s="62">
        <f>IF($V96&lt;&gt;"Macro","",IF(COUNTIFS($S$5:$S$1000,$S96,$V$5:$V$1000,"Macro",$H$5:$H$1000,"&gt;0")=0,1/COUNTIFS($S$5:$S$1000,$S96,$V$5:$V$1000,"Macro"),IF(AND(ISNUMBER($H96),N($H96)&gt;0),$H96,SUMIFS($H$5:$H$1000,$S$5:$S$1000,$S96,$V$5:$V$1000,"Macro")/COUNTIFS($S$5:$S$1000,$S96,$V$5:$V$1000,"Macro",$H$5:$H$1000,"&gt;0"))/(COUNTIFS($S$5:$S$1000,$S96,$V$5:$V$1000,"Macro")*SUMIFS($H$5:$H$1000,$S$5:$S$1000,$S96,$V$5:$V$1000,"Macro")/COUNTIFS($S$5:$S$1000,$S96,$V$5:$V$1000,"Macro",$H$5:$H$1000,"&gt;0"))))</f>
        <v/>
      </c>
      <c r="AH96" s="62" t="n"/>
      <c r="AI96" s="62" t="n"/>
      <c r="AJ96" s="62" t="n"/>
      <c r="AK96" s="62" t="n"/>
      <c r="AL96" s="62">
        <f>IF(LEFT($C96,11)="[Jefatura] ",IFERROR(MATCH("Riesgo Financiero|"&amp;MID($C96,12,500),rDname_ADM,0),0),"")</f>
        <v/>
      </c>
      <c r="AM96" s="62">
        <f>IF(N($AL96)&gt;0,INDEX(rIni_ADM,$AL96),IF(ISNUMBER($E96),$E96,""))</f>
        <v/>
      </c>
      <c r="AN96" s="62">
        <f>IF(N($AL96)&gt;0,INDEX(rLim_ADM,$AL96),IF(ISNUMBER($F96),$F96,""))</f>
        <v/>
      </c>
    </row>
    <row r="97">
      <c r="A97" s="56">
        <f>IF(NOT((COUNTA($B97:$D97)+COUNTA($G97:$L97)+COUNTA($Q97))&gt;0),"",IF($V97="Macro",COUNTIFS($V$5:$V97,"Macro",$S$5:$S97,$S97),IF(N($U97)=0,"?",COUNTIFS(INDEX($V$5:$V$1000,1):INDEX($V$5:$V$1000,$U97-4),"Macro",INDEX($S$5:$S$1000,1):INDEX($S$5:$S$1000,$U97-4),INDEX($S$5:$S$1000,$U97-4))&amp;"."&amp;COUNTIFS($U$5:$U97,$U97,$V$5:$V97,"Sub"))))</f>
        <v/>
      </c>
      <c r="B97" s="57" t="n"/>
      <c r="C97" s="58" t="n"/>
      <c r="D97" s="58" t="n"/>
      <c r="E97" s="59">
        <f>IF(N($AL97)&gt;0,INDEX(rIni_ADM,$AL97),"")</f>
        <v/>
      </c>
      <c r="F97" s="59">
        <f>IF(N($AL97)&gt;0,INDEX(rLim_ADM,$AL97),"")</f>
        <v/>
      </c>
      <c r="G97" s="59" t="n"/>
      <c r="H97" s="60" t="n"/>
      <c r="I97" s="60" t="n"/>
      <c r="J97" s="60" t="n"/>
      <c r="K97" s="60" t="n"/>
      <c r="L97" s="60" t="n"/>
      <c r="M97" s="61">
        <f>IF(NOT((COUNTA($B97:$D97)+COUNTA($G97:$L97)+COUNTA($Q97))&gt;0),"",IF(ISNUMBER($G97),1,IF(N($W97)&gt;0,AVERAGEIFS($X$5:$X$1000,$U$5:$U$1000,ROW(),$V$5:$V$1000,"Sub"),$X97)))</f>
        <v/>
      </c>
      <c r="N97" s="56">
        <f>IF($M97="","",IF($M97&gt;=1,"Completado",IF($M97&gt;0,"En curso","Pendiente")))</f>
        <v/>
      </c>
      <c r="O97" s="56">
        <f>IF(NOT((COUNTA($B97:$D97)+COUNTA($G97:$L97)+COUNTA($Q97))&gt;0),"",IF(ISNUMBER($G97),IF(AND(ISNUMBER($AN97),$G97&gt;$AN97),"Cumplida con "&amp;($G97-$AN97)&amp;IF($G97-$AN97=1," día"," días")&amp;" de retraso","Cumplida"),IF(N($M97)&gt;=1,"Cumplida",IF(NOT(ISNUMBER($AN97)),"Sin fecha límite",IF($AN97&lt;FechaRef,"Vencida hace "&amp;(FechaRef-$AN97)&amp;IF(FechaRef-$AN97=1," día"," días"),IF($AN97=FechaRef,"Vence hoy",IF($AN97-FechaRef&lt;=DiasAlerta,"Vence en "&amp;($AN97-FechaRef)&amp;IF($AN97-FechaRef=1," día"," días"),"En plazo")))))))</f>
        <v/>
      </c>
      <c r="P97" s="62" t="n"/>
      <c r="Q97" s="58" t="n"/>
      <c r="R97" s="63">
        <f>IF(NOT((COUNTA($B97:$D97)+COUNTA($G97:$L97)+COUNTA($Q97))&gt;0),"",IF((IF($C97="","Falta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",""))="","✔ OK","⚠ "&amp;LEFT(IF($C97="","Falta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",""),LEN(IF($C97="","Falta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",""))-3)))</f>
        <v/>
      </c>
      <c r="S97" s="64">
        <f>IF(NOT((COUNTA($B97:$D97)+COUNTA($G97:$L97)+COUNTA($Q97))&gt;0),"",IF(AND($V97="Sub",N($U97)&gt;0),IF(ISNUMBER(INDEX($AM$5:$AM$1000,$U97-4)),DATE(YEAR(INDEX($AM$5:$AM$1000,$U97-4)),MONTH(INDEX($AM$5:$AM$1000,$U97-4)),1),IF(ISNUMBER(INDEX($AN$5:$AN$1000,$U97-4)),DATE(YEAR(INDEX($AN$5:$AN$1000,$U97-4)),MONTH(INDEX($AN$5:$AN$1000,$U97-4)),1),MesCiclo)),IF(ISNUMBER($AM97),DATE(YEAR($AM97),MONTH($AM97),1),IF(ISNUMBER($AN97),DATE(YEAR($AN97),MONTH($AN97),1),MesCiclo))))</f>
        <v/>
      </c>
      <c r="T97" s="62">
        <f>IF(OR($S97="",$S97&lt;&gt;MesCiclo),"",COUNTIF($S$5:$S97,MesCiclo))</f>
        <v/>
      </c>
      <c r="U97" s="62">
        <f>IF($V97="","",IF($V97="Macro",ROW(),IFERROR(LOOKUP(2,1/($V$5:$V97="Macro"),ROW($V$5:$V97)),0)))</f>
        <v/>
      </c>
      <c r="V97" s="62">
        <f>IF(NOT((COUNTA($B97:$D97)+COUNTA($G97:$L97)+COUNTA($Q97))&gt;0),"",IF($B97="Subactividad","Sub","Macro"))</f>
        <v/>
      </c>
      <c r="W97" s="62">
        <f>IF($V97="Macro",COUNTIFS($U$5:$U$1000,ROW(),$V$5:$V$1000,"Sub"),"")</f>
        <v/>
      </c>
      <c r="X97" s="62">
        <f>IF($V97="","",IF(ISNUMBER($G97),1,IFERROR(LOOKUP(2,1/($I97:$L97&lt;&gt;""),$I97:$L97),0)))</f>
        <v/>
      </c>
      <c r="Y97" s="62">
        <f>IF($V97="","",IF(AND(ISNUMBER($G97),$G97&lt;=IF($S97=MesCiclo,InicioCiclo,$S97+MOD(2-WEEKDAY($S97),7))+6),1,IF(ISNUMBER($I97),$I97,0)))</f>
        <v/>
      </c>
      <c r="Z97" s="62">
        <f>IF($V97="","",IF(AND(ISNUMBER($G97),$G97&lt;=IF($S97=MesCiclo,InicioCiclo,$S97+MOD(2-WEEKDAY($S97),7))+13),1,IF(ISNUMBER($J97),$J97,$Y97)))</f>
        <v/>
      </c>
      <c r="AA97" s="62">
        <f>IF($V97="","",IF(AND(ISNUMBER($G97),$G97&lt;=IF($S97=MesCiclo,InicioCiclo,$S97+MOD(2-WEEKDAY($S97),7))+20),1,IF(ISNUMBER($K97),$K97,$Z97)))</f>
        <v/>
      </c>
      <c r="AB97" s="62">
        <f>IF($V97="","",IF(AND(ISNUMBER($G97),$G97&lt;=IF($S97=MesCiclo,InicioCiclo,$S97+MOD(2-WEEKDAY($S97),7))+27),1,IF(ISNUMBER($L97),$L97,$AA97)))</f>
        <v/>
      </c>
      <c r="AC97" s="62">
        <f>IF($V97="","",IF(AND(ISNUMBER($G97),$G97&lt;=IF($S97=MesCiclo,InicioCiclo,$S97+MOD(2-WEEKDAY($S97),7))+6),1,IF(N($W97)&gt;0,AVERAGEIFS($Y$5:$Y$1000,$U$5:$U$1000,ROW(),$V$5:$V$1000,"Sub"),$Y97)))</f>
        <v/>
      </c>
      <c r="AD97" s="62">
        <f>IF($V97="","",IF(AND(ISNUMBER($G97),$G97&lt;=IF($S97=MesCiclo,InicioCiclo,$S97+MOD(2-WEEKDAY($S97),7))+13),1,IF(N($W97)&gt;0,AVERAGEIFS($Z$5:$Z$1000,$U$5:$U$1000,ROW(),$V$5:$V$1000,"Sub"),$Z97)))</f>
        <v/>
      </c>
      <c r="AE97" s="62">
        <f>IF($V97="","",IF(AND(ISNUMBER($G97),$G97&lt;=IF($S97=MesCiclo,InicioCiclo,$S97+MOD(2-WEEKDAY($S97),7))+20),1,IF(N($W97)&gt;0,AVERAGEIFS($AA$5:$AA$1000,$U$5:$U$1000,ROW(),$V$5:$V$1000,"Sub"),$AA97)))</f>
        <v/>
      </c>
      <c r="AF97" s="62">
        <f>IF($V97="","",IF(AND(ISNUMBER($G97),$G97&lt;=IF($S97=MesCiclo,InicioCiclo,$S97+MOD(2-WEEKDAY($S97),7))+27),1,IF(N($W97)&gt;0,AVERAGEIFS($AB$5:$AB$1000,$U$5:$U$1000,ROW(),$V$5:$V$1000,"Sub"),$AB97)))</f>
        <v/>
      </c>
      <c r="AG97" s="62">
        <f>IF($V97&lt;&gt;"Macro","",IF(COUNTIFS($S$5:$S$1000,$S97,$V$5:$V$1000,"Macro",$H$5:$H$1000,"&gt;0")=0,1/COUNTIFS($S$5:$S$1000,$S97,$V$5:$V$1000,"Macro"),IF(AND(ISNUMBER($H97),N($H97)&gt;0),$H97,SUMIFS($H$5:$H$1000,$S$5:$S$1000,$S97,$V$5:$V$1000,"Macro")/COUNTIFS($S$5:$S$1000,$S97,$V$5:$V$1000,"Macro",$H$5:$H$1000,"&gt;0"))/(COUNTIFS($S$5:$S$1000,$S97,$V$5:$V$1000,"Macro")*SUMIFS($H$5:$H$1000,$S$5:$S$1000,$S97,$V$5:$V$1000,"Macro")/COUNTIFS($S$5:$S$1000,$S97,$V$5:$V$1000,"Macro",$H$5:$H$1000,"&gt;0"))))</f>
        <v/>
      </c>
      <c r="AH97" s="62" t="n"/>
      <c r="AI97" s="62" t="n"/>
      <c r="AJ97" s="62" t="n"/>
      <c r="AK97" s="62" t="n"/>
      <c r="AL97" s="62">
        <f>IF(LEFT($C97,11)="[Jefatura] ",IFERROR(MATCH("Riesgo Financiero|"&amp;MID($C97,12,500),rDname_ADM,0),0),"")</f>
        <v/>
      </c>
      <c r="AM97" s="62">
        <f>IF(N($AL97)&gt;0,INDEX(rIni_ADM,$AL97),IF(ISNUMBER($E97),$E97,""))</f>
        <v/>
      </c>
      <c r="AN97" s="62">
        <f>IF(N($AL97)&gt;0,INDEX(rLim_ADM,$AL97),IF(ISNUMBER($F97),$F97,""))</f>
        <v/>
      </c>
    </row>
    <row r="98">
      <c r="A98" s="56">
        <f>IF(NOT((COUNTA($B98:$D98)+COUNTA($G98:$L98)+COUNTA($Q98))&gt;0),"",IF($V98="Macro",COUNTIFS($V$5:$V98,"Macro",$S$5:$S98,$S98),IF(N($U98)=0,"?",COUNTIFS(INDEX($V$5:$V$1000,1):INDEX($V$5:$V$1000,$U98-4),"Macro",INDEX($S$5:$S$1000,1):INDEX($S$5:$S$1000,$U98-4),INDEX($S$5:$S$1000,$U98-4))&amp;"."&amp;COUNTIFS($U$5:$U98,$U98,$V$5:$V98,"Sub"))))</f>
        <v/>
      </c>
      <c r="B98" s="57" t="n"/>
      <c r="C98" s="58" t="n"/>
      <c r="D98" s="58" t="n"/>
      <c r="E98" s="59">
        <f>IF(N($AL98)&gt;0,INDEX(rIni_ADM,$AL98),"")</f>
        <v/>
      </c>
      <c r="F98" s="59">
        <f>IF(N($AL98)&gt;0,INDEX(rLim_ADM,$AL98),"")</f>
        <v/>
      </c>
      <c r="G98" s="59" t="n"/>
      <c r="H98" s="60" t="n"/>
      <c r="I98" s="60" t="n"/>
      <c r="J98" s="60" t="n"/>
      <c r="K98" s="60" t="n"/>
      <c r="L98" s="60" t="n"/>
      <c r="M98" s="61">
        <f>IF(NOT((COUNTA($B98:$D98)+COUNTA($G98:$L98)+COUNTA($Q98))&gt;0),"",IF(ISNUMBER($G98),1,IF(N($W98)&gt;0,AVERAGEIFS($X$5:$X$1000,$U$5:$U$1000,ROW(),$V$5:$V$1000,"Sub"),$X98)))</f>
        <v/>
      </c>
      <c r="N98" s="56">
        <f>IF($M98="","",IF($M98&gt;=1,"Completado",IF($M98&gt;0,"En curso","Pendiente")))</f>
        <v/>
      </c>
      <c r="O98" s="56">
        <f>IF(NOT((COUNTA($B98:$D98)+COUNTA($G98:$L98)+COUNTA($Q98))&gt;0),"",IF(ISNUMBER($G98),IF(AND(ISNUMBER($AN98),$G98&gt;$AN98),"Cumplida con "&amp;($G98-$AN98)&amp;IF($G98-$AN98=1," día"," días")&amp;" de retraso","Cumplida"),IF(N($M98)&gt;=1,"Cumplida",IF(NOT(ISNUMBER($AN98)),"Sin fecha límite",IF($AN98&lt;FechaRef,"Vencida hace "&amp;(FechaRef-$AN98)&amp;IF(FechaRef-$AN98=1," día"," días"),IF($AN98=FechaRef,"Vence hoy",IF($AN98-FechaRef&lt;=DiasAlerta,"Vence en "&amp;($AN98-FechaRef)&amp;IF($AN98-FechaRef=1," día"," días"),"En plazo")))))))</f>
        <v/>
      </c>
      <c r="P98" s="62" t="n"/>
      <c r="Q98" s="58" t="n"/>
      <c r="R98" s="63">
        <f>IF(NOT((COUNTA($B98:$D98)+COUNTA($G98:$L98)+COUNTA($Q98))&gt;0),"",IF((IF($C98="","Falta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",""))="","✔ OK","⚠ "&amp;LEFT(IF($C98="","Falta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",""),LEN(IF($C98="","Falta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",""))-3)))</f>
        <v/>
      </c>
      <c r="S98" s="64">
        <f>IF(NOT((COUNTA($B98:$D98)+COUNTA($G98:$L98)+COUNTA($Q98))&gt;0),"",IF(AND($V98="Sub",N($U98)&gt;0),IF(ISNUMBER(INDEX($AM$5:$AM$1000,$U98-4)),DATE(YEAR(INDEX($AM$5:$AM$1000,$U98-4)),MONTH(INDEX($AM$5:$AM$1000,$U98-4)),1),IF(ISNUMBER(INDEX($AN$5:$AN$1000,$U98-4)),DATE(YEAR(INDEX($AN$5:$AN$1000,$U98-4)),MONTH(INDEX($AN$5:$AN$1000,$U98-4)),1),MesCiclo)),IF(ISNUMBER($AM98),DATE(YEAR($AM98),MONTH($AM98),1),IF(ISNUMBER($AN98),DATE(YEAR($AN98),MONTH($AN98),1),MesCiclo))))</f>
        <v/>
      </c>
      <c r="T98" s="62">
        <f>IF(OR($S98="",$S98&lt;&gt;MesCiclo),"",COUNTIF($S$5:$S98,MesCiclo))</f>
        <v/>
      </c>
      <c r="U98" s="62">
        <f>IF($V98="","",IF($V98="Macro",ROW(),IFERROR(LOOKUP(2,1/($V$5:$V98="Macro"),ROW($V$5:$V98)),0)))</f>
        <v/>
      </c>
      <c r="V98" s="62">
        <f>IF(NOT((COUNTA($B98:$D98)+COUNTA($G98:$L98)+COUNTA($Q98))&gt;0),"",IF($B98="Subactividad","Sub","Macro"))</f>
        <v/>
      </c>
      <c r="W98" s="62">
        <f>IF($V98="Macro",COUNTIFS($U$5:$U$1000,ROW(),$V$5:$V$1000,"Sub"),"")</f>
        <v/>
      </c>
      <c r="X98" s="62">
        <f>IF($V98="","",IF(ISNUMBER($G98),1,IFERROR(LOOKUP(2,1/($I98:$L98&lt;&gt;""),$I98:$L98),0)))</f>
        <v/>
      </c>
      <c r="Y98" s="62">
        <f>IF($V98="","",IF(AND(ISNUMBER($G98),$G98&lt;=IF($S98=MesCiclo,InicioCiclo,$S98+MOD(2-WEEKDAY($S98),7))+6),1,IF(ISNUMBER($I98),$I98,0)))</f>
        <v/>
      </c>
      <c r="Z98" s="62">
        <f>IF($V98="","",IF(AND(ISNUMBER($G98),$G98&lt;=IF($S98=MesCiclo,InicioCiclo,$S98+MOD(2-WEEKDAY($S98),7))+13),1,IF(ISNUMBER($J98),$J98,$Y98)))</f>
        <v/>
      </c>
      <c r="AA98" s="62">
        <f>IF($V98="","",IF(AND(ISNUMBER($G98),$G98&lt;=IF($S98=MesCiclo,InicioCiclo,$S98+MOD(2-WEEKDAY($S98),7))+20),1,IF(ISNUMBER($K98),$K98,$Z98)))</f>
        <v/>
      </c>
      <c r="AB98" s="62">
        <f>IF($V98="","",IF(AND(ISNUMBER($G98),$G98&lt;=IF($S98=MesCiclo,InicioCiclo,$S98+MOD(2-WEEKDAY($S98),7))+27),1,IF(ISNUMBER($L98),$L98,$AA98)))</f>
        <v/>
      </c>
      <c r="AC98" s="62">
        <f>IF($V98="","",IF(AND(ISNUMBER($G98),$G98&lt;=IF($S98=MesCiclo,InicioCiclo,$S98+MOD(2-WEEKDAY($S98),7))+6),1,IF(N($W98)&gt;0,AVERAGEIFS($Y$5:$Y$1000,$U$5:$U$1000,ROW(),$V$5:$V$1000,"Sub"),$Y98)))</f>
        <v/>
      </c>
      <c r="AD98" s="62">
        <f>IF($V98="","",IF(AND(ISNUMBER($G98),$G98&lt;=IF($S98=MesCiclo,InicioCiclo,$S98+MOD(2-WEEKDAY($S98),7))+13),1,IF(N($W98)&gt;0,AVERAGEIFS($Z$5:$Z$1000,$U$5:$U$1000,ROW(),$V$5:$V$1000,"Sub"),$Z98)))</f>
        <v/>
      </c>
      <c r="AE98" s="62">
        <f>IF($V98="","",IF(AND(ISNUMBER($G98),$G98&lt;=IF($S98=MesCiclo,InicioCiclo,$S98+MOD(2-WEEKDAY($S98),7))+20),1,IF(N($W98)&gt;0,AVERAGEIFS($AA$5:$AA$1000,$U$5:$U$1000,ROW(),$V$5:$V$1000,"Sub"),$AA98)))</f>
        <v/>
      </c>
      <c r="AF98" s="62">
        <f>IF($V98="","",IF(AND(ISNUMBER($G98),$G98&lt;=IF($S98=MesCiclo,InicioCiclo,$S98+MOD(2-WEEKDAY($S98),7))+27),1,IF(N($W98)&gt;0,AVERAGEIFS($AB$5:$AB$1000,$U$5:$U$1000,ROW(),$V$5:$V$1000,"Sub"),$AB98)))</f>
        <v/>
      </c>
      <c r="AG98" s="62">
        <f>IF($V98&lt;&gt;"Macro","",IF(COUNTIFS($S$5:$S$1000,$S98,$V$5:$V$1000,"Macro",$H$5:$H$1000,"&gt;0")=0,1/COUNTIFS($S$5:$S$1000,$S98,$V$5:$V$1000,"Macro"),IF(AND(ISNUMBER($H98),N($H98)&gt;0),$H98,SUMIFS($H$5:$H$1000,$S$5:$S$1000,$S98,$V$5:$V$1000,"Macro")/COUNTIFS($S$5:$S$1000,$S98,$V$5:$V$1000,"Macro",$H$5:$H$1000,"&gt;0"))/(COUNTIFS($S$5:$S$1000,$S98,$V$5:$V$1000,"Macro")*SUMIFS($H$5:$H$1000,$S$5:$S$1000,$S98,$V$5:$V$1000,"Macro")/COUNTIFS($S$5:$S$1000,$S98,$V$5:$V$1000,"Macro",$H$5:$H$1000,"&gt;0"))))</f>
        <v/>
      </c>
      <c r="AH98" s="62" t="n"/>
      <c r="AI98" s="62" t="n"/>
      <c r="AJ98" s="62" t="n"/>
      <c r="AK98" s="62" t="n"/>
      <c r="AL98" s="62">
        <f>IF(LEFT($C98,11)="[Jefatura] ",IFERROR(MATCH("Riesgo Financiero|"&amp;MID($C98,12,500),rDname_ADM,0),0),"")</f>
        <v/>
      </c>
      <c r="AM98" s="62">
        <f>IF(N($AL98)&gt;0,INDEX(rIni_ADM,$AL98),IF(ISNUMBER($E98),$E98,""))</f>
        <v/>
      </c>
      <c r="AN98" s="62">
        <f>IF(N($AL98)&gt;0,INDEX(rLim_ADM,$AL98),IF(ISNUMBER($F98),$F98,""))</f>
        <v/>
      </c>
    </row>
    <row r="99">
      <c r="A99" s="56">
        <f>IF(NOT((COUNTA($B99:$D99)+COUNTA($G99:$L99)+COUNTA($Q99))&gt;0),"",IF($V99="Macro",COUNTIFS($V$5:$V99,"Macro",$S$5:$S99,$S99),IF(N($U99)=0,"?",COUNTIFS(INDEX($V$5:$V$1000,1):INDEX($V$5:$V$1000,$U99-4),"Macro",INDEX($S$5:$S$1000,1):INDEX($S$5:$S$1000,$U99-4),INDEX($S$5:$S$1000,$U99-4))&amp;"."&amp;COUNTIFS($U$5:$U99,$U99,$V$5:$V99,"Sub"))))</f>
        <v/>
      </c>
      <c r="B99" s="57" t="n"/>
      <c r="C99" s="58" t="n"/>
      <c r="D99" s="58" t="n"/>
      <c r="E99" s="59">
        <f>IF(N($AL99)&gt;0,INDEX(rIni_ADM,$AL99),"")</f>
        <v/>
      </c>
      <c r="F99" s="59">
        <f>IF(N($AL99)&gt;0,INDEX(rLim_ADM,$AL99),"")</f>
        <v/>
      </c>
      <c r="G99" s="59" t="n"/>
      <c r="H99" s="60" t="n"/>
      <c r="I99" s="60" t="n"/>
      <c r="J99" s="60" t="n"/>
      <c r="K99" s="60" t="n"/>
      <c r="L99" s="60" t="n"/>
      <c r="M99" s="61">
        <f>IF(NOT((COUNTA($B99:$D99)+COUNTA($G99:$L99)+COUNTA($Q99))&gt;0),"",IF(ISNUMBER($G99),1,IF(N($W99)&gt;0,AVERAGEIFS($X$5:$X$1000,$U$5:$U$1000,ROW(),$V$5:$V$1000,"Sub"),$X99)))</f>
        <v/>
      </c>
      <c r="N99" s="56">
        <f>IF($M99="","",IF($M99&gt;=1,"Completado",IF($M99&gt;0,"En curso","Pendiente")))</f>
        <v/>
      </c>
      <c r="O99" s="56">
        <f>IF(NOT((COUNTA($B99:$D99)+COUNTA($G99:$L99)+COUNTA($Q99))&gt;0),"",IF(ISNUMBER($G99),IF(AND(ISNUMBER($AN99),$G99&gt;$AN99),"Cumplida con "&amp;($G99-$AN99)&amp;IF($G99-$AN99=1," día"," días")&amp;" de retraso","Cumplida"),IF(N($M99)&gt;=1,"Cumplida",IF(NOT(ISNUMBER($AN99)),"Sin fecha límite",IF($AN99&lt;FechaRef,"Vencida hace "&amp;(FechaRef-$AN99)&amp;IF(FechaRef-$AN99=1," día"," días"),IF($AN99=FechaRef,"Vence hoy",IF($AN99-FechaRef&lt;=DiasAlerta,"Vence en "&amp;($AN99-FechaRef)&amp;IF($AN99-FechaRef=1," día"," días"),"En plazo")))))))</f>
        <v/>
      </c>
      <c r="P99" s="62" t="n"/>
      <c r="Q99" s="58" t="n"/>
      <c r="R99" s="63">
        <f>IF(NOT((COUNTA($B99:$D99)+COUNTA($G99:$L99)+COUNTA($Q99))&gt;0),"",IF((IF($C99="","Falta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",""))="","✔ OK","⚠ "&amp;LEFT(IF($C99="","Falta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",""),LEN(IF($C99="","Falta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",""))-3)))</f>
        <v/>
      </c>
      <c r="S99" s="64">
        <f>IF(NOT((COUNTA($B99:$D99)+COUNTA($G99:$L99)+COUNTA($Q99))&gt;0),"",IF(AND($V99="Sub",N($U99)&gt;0),IF(ISNUMBER(INDEX($AM$5:$AM$1000,$U99-4)),DATE(YEAR(INDEX($AM$5:$AM$1000,$U99-4)),MONTH(INDEX($AM$5:$AM$1000,$U99-4)),1),IF(ISNUMBER(INDEX($AN$5:$AN$1000,$U99-4)),DATE(YEAR(INDEX($AN$5:$AN$1000,$U99-4)),MONTH(INDEX($AN$5:$AN$1000,$U99-4)),1),MesCiclo)),IF(ISNUMBER($AM99),DATE(YEAR($AM99),MONTH($AM99),1),IF(ISNUMBER($AN99),DATE(YEAR($AN99),MONTH($AN99),1),MesCiclo))))</f>
        <v/>
      </c>
      <c r="T99" s="62">
        <f>IF(OR($S99="",$S99&lt;&gt;MesCiclo),"",COUNTIF($S$5:$S99,MesCiclo))</f>
        <v/>
      </c>
      <c r="U99" s="62">
        <f>IF($V99="","",IF($V99="Macro",ROW(),IFERROR(LOOKUP(2,1/($V$5:$V99="Macro"),ROW($V$5:$V99)),0)))</f>
        <v/>
      </c>
      <c r="V99" s="62">
        <f>IF(NOT((COUNTA($B99:$D99)+COUNTA($G99:$L99)+COUNTA($Q99))&gt;0),"",IF($B99="Subactividad","Sub","Macro"))</f>
        <v/>
      </c>
      <c r="W99" s="62">
        <f>IF($V99="Macro",COUNTIFS($U$5:$U$1000,ROW(),$V$5:$V$1000,"Sub"),"")</f>
        <v/>
      </c>
      <c r="X99" s="62">
        <f>IF($V99="","",IF(ISNUMBER($G99),1,IFERROR(LOOKUP(2,1/($I99:$L99&lt;&gt;""),$I99:$L99),0)))</f>
        <v/>
      </c>
      <c r="Y99" s="62">
        <f>IF($V99="","",IF(AND(ISNUMBER($G99),$G99&lt;=IF($S99=MesCiclo,InicioCiclo,$S99+MOD(2-WEEKDAY($S99),7))+6),1,IF(ISNUMBER($I99),$I99,0)))</f>
        <v/>
      </c>
      <c r="Z99" s="62">
        <f>IF($V99="","",IF(AND(ISNUMBER($G99),$G99&lt;=IF($S99=MesCiclo,InicioCiclo,$S99+MOD(2-WEEKDAY($S99),7))+13),1,IF(ISNUMBER($J99),$J99,$Y99)))</f>
        <v/>
      </c>
      <c r="AA99" s="62">
        <f>IF($V99="","",IF(AND(ISNUMBER($G99),$G99&lt;=IF($S99=MesCiclo,InicioCiclo,$S99+MOD(2-WEEKDAY($S99),7))+20),1,IF(ISNUMBER($K99),$K99,$Z99)))</f>
        <v/>
      </c>
      <c r="AB99" s="62">
        <f>IF($V99="","",IF(AND(ISNUMBER($G99),$G99&lt;=IF($S99=MesCiclo,InicioCiclo,$S99+MOD(2-WEEKDAY($S99),7))+27),1,IF(ISNUMBER($L99),$L99,$AA99)))</f>
        <v/>
      </c>
      <c r="AC99" s="62">
        <f>IF($V99="","",IF(AND(ISNUMBER($G99),$G99&lt;=IF($S99=MesCiclo,InicioCiclo,$S99+MOD(2-WEEKDAY($S99),7))+6),1,IF(N($W99)&gt;0,AVERAGEIFS($Y$5:$Y$1000,$U$5:$U$1000,ROW(),$V$5:$V$1000,"Sub"),$Y99)))</f>
        <v/>
      </c>
      <c r="AD99" s="62">
        <f>IF($V99="","",IF(AND(ISNUMBER($G99),$G99&lt;=IF($S99=MesCiclo,InicioCiclo,$S99+MOD(2-WEEKDAY($S99),7))+13),1,IF(N($W99)&gt;0,AVERAGEIFS($Z$5:$Z$1000,$U$5:$U$1000,ROW(),$V$5:$V$1000,"Sub"),$Z99)))</f>
        <v/>
      </c>
      <c r="AE99" s="62">
        <f>IF($V99="","",IF(AND(ISNUMBER($G99),$G99&lt;=IF($S99=MesCiclo,InicioCiclo,$S99+MOD(2-WEEKDAY($S99),7))+20),1,IF(N($W99)&gt;0,AVERAGEIFS($AA$5:$AA$1000,$U$5:$U$1000,ROW(),$V$5:$V$1000,"Sub"),$AA99)))</f>
        <v/>
      </c>
      <c r="AF99" s="62">
        <f>IF($V99="","",IF(AND(ISNUMBER($G99),$G99&lt;=IF($S99=MesCiclo,InicioCiclo,$S99+MOD(2-WEEKDAY($S99),7))+27),1,IF(N($W99)&gt;0,AVERAGEIFS($AB$5:$AB$1000,$U$5:$U$1000,ROW(),$V$5:$V$1000,"Sub"),$AB99)))</f>
        <v/>
      </c>
      <c r="AG99" s="62">
        <f>IF($V99&lt;&gt;"Macro","",IF(COUNTIFS($S$5:$S$1000,$S99,$V$5:$V$1000,"Macro",$H$5:$H$1000,"&gt;0")=0,1/COUNTIFS($S$5:$S$1000,$S99,$V$5:$V$1000,"Macro"),IF(AND(ISNUMBER($H99),N($H99)&gt;0),$H99,SUMIFS($H$5:$H$1000,$S$5:$S$1000,$S99,$V$5:$V$1000,"Macro")/COUNTIFS($S$5:$S$1000,$S99,$V$5:$V$1000,"Macro",$H$5:$H$1000,"&gt;0"))/(COUNTIFS($S$5:$S$1000,$S99,$V$5:$V$1000,"Macro")*SUMIFS($H$5:$H$1000,$S$5:$S$1000,$S99,$V$5:$V$1000,"Macro")/COUNTIFS($S$5:$S$1000,$S99,$V$5:$V$1000,"Macro",$H$5:$H$1000,"&gt;0"))))</f>
        <v/>
      </c>
      <c r="AH99" s="62" t="n"/>
      <c r="AI99" s="62" t="n"/>
      <c r="AJ99" s="62" t="n"/>
      <c r="AK99" s="62" t="n"/>
      <c r="AL99" s="62">
        <f>IF(LEFT($C99,11)="[Jefatura] ",IFERROR(MATCH("Riesgo Financiero|"&amp;MID($C99,12,500),rDname_ADM,0),0),"")</f>
        <v/>
      </c>
      <c r="AM99" s="62">
        <f>IF(N($AL99)&gt;0,INDEX(rIni_ADM,$AL99),IF(ISNUMBER($E99),$E99,""))</f>
        <v/>
      </c>
      <c r="AN99" s="62">
        <f>IF(N($AL99)&gt;0,INDEX(rLim_ADM,$AL99),IF(ISNUMBER($F99),$F99,""))</f>
        <v/>
      </c>
    </row>
    <row r="100">
      <c r="A100" s="56">
        <f>IF(NOT((COUNTA($B100:$D100)+COUNTA($G100:$L100)+COUNTA($Q100))&gt;0),"",IF($V100="Macro",COUNTIFS($V$5:$V100,"Macro",$S$5:$S100,$S100),IF(N($U100)=0,"?",COUNTIFS(INDEX($V$5:$V$1000,1):INDEX($V$5:$V$1000,$U100-4),"Macro",INDEX($S$5:$S$1000,1):INDEX($S$5:$S$1000,$U100-4),INDEX($S$5:$S$1000,$U100-4))&amp;"."&amp;COUNTIFS($U$5:$U100,$U100,$V$5:$V100,"Sub"))))</f>
        <v/>
      </c>
      <c r="B100" s="57" t="n"/>
      <c r="C100" s="58" t="n"/>
      <c r="D100" s="58" t="n"/>
      <c r="E100" s="59">
        <f>IF(N($AL100)&gt;0,INDEX(rIni_ADM,$AL100),"")</f>
        <v/>
      </c>
      <c r="F100" s="59">
        <f>IF(N($AL100)&gt;0,INDEX(rLim_ADM,$AL100),"")</f>
        <v/>
      </c>
      <c r="G100" s="59" t="n"/>
      <c r="H100" s="60" t="n"/>
      <c r="I100" s="60" t="n"/>
      <c r="J100" s="60" t="n"/>
      <c r="K100" s="60" t="n"/>
      <c r="L100" s="60" t="n"/>
      <c r="M100" s="61">
        <f>IF(NOT((COUNTA($B100:$D100)+COUNTA($G100:$L100)+COUNTA($Q100))&gt;0),"",IF(ISNUMBER($G100),1,IF(N($W100)&gt;0,AVERAGEIFS($X$5:$X$1000,$U$5:$U$1000,ROW(),$V$5:$V$1000,"Sub"),$X100)))</f>
        <v/>
      </c>
      <c r="N100" s="56">
        <f>IF($M100="","",IF($M100&gt;=1,"Completado",IF($M100&gt;0,"En curso","Pendiente")))</f>
        <v/>
      </c>
      <c r="O100" s="56">
        <f>IF(NOT((COUNTA($B100:$D100)+COUNTA($G100:$L100)+COUNTA($Q100))&gt;0),"",IF(ISNUMBER($G100),IF(AND(ISNUMBER($AN100),$G100&gt;$AN100),"Cumplida con "&amp;($G100-$AN100)&amp;IF($G100-$AN100=1," día"," días")&amp;" de retraso","Cumplida"),IF(N($M100)&gt;=1,"Cumplida",IF(NOT(ISNUMBER($AN100)),"Sin fecha límite",IF($AN100&lt;FechaRef,"Vencida hace "&amp;(FechaRef-$AN100)&amp;IF(FechaRef-$AN100=1," día"," días"),IF($AN100=FechaRef,"Vence hoy",IF($AN100-FechaRef&lt;=DiasAlerta,"Vence en "&amp;($AN100-FechaRef)&amp;IF($AN100-FechaRef=1," día"," días"),"En plazo")))))))</f>
        <v/>
      </c>
      <c r="P100" s="62" t="n"/>
      <c r="Q100" s="58" t="n"/>
      <c r="R100" s="63">
        <f>IF(NOT((COUNTA($B100:$D100)+COUNTA($G100:$L100)+COUNTA($Q100))&gt;0),"",IF((IF($C100="","Falta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",""))="","✔ OK","⚠ "&amp;LEFT(IF($C100="","Falta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",""),LEN(IF($C100="","Falta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",""))-3)))</f>
        <v/>
      </c>
      <c r="S100" s="64">
        <f>IF(NOT((COUNTA($B100:$D100)+COUNTA($G100:$L100)+COUNTA($Q100))&gt;0),"",IF(AND($V100="Sub",N($U100)&gt;0),IF(ISNUMBER(INDEX($AM$5:$AM$1000,$U100-4)),DATE(YEAR(INDEX($AM$5:$AM$1000,$U100-4)),MONTH(INDEX($AM$5:$AM$1000,$U100-4)),1),IF(ISNUMBER(INDEX($AN$5:$AN$1000,$U100-4)),DATE(YEAR(INDEX($AN$5:$AN$1000,$U100-4)),MONTH(INDEX($AN$5:$AN$1000,$U100-4)),1),MesCiclo)),IF(ISNUMBER($AM100),DATE(YEAR($AM100),MONTH($AM100),1),IF(ISNUMBER($AN100),DATE(YEAR($AN100),MONTH($AN100),1),MesCiclo))))</f>
        <v/>
      </c>
      <c r="T100" s="62">
        <f>IF(OR($S100="",$S100&lt;&gt;MesCiclo),"",COUNTIF($S$5:$S100,MesCiclo))</f>
        <v/>
      </c>
      <c r="U100" s="62">
        <f>IF($V100="","",IF($V100="Macro",ROW(),IFERROR(LOOKUP(2,1/($V$5:$V100="Macro"),ROW($V$5:$V100)),0)))</f>
        <v/>
      </c>
      <c r="V100" s="62">
        <f>IF(NOT((COUNTA($B100:$D100)+COUNTA($G100:$L100)+COUNTA($Q100))&gt;0),"",IF($B100="Subactividad","Sub","Macro"))</f>
        <v/>
      </c>
      <c r="W100" s="62">
        <f>IF($V100="Macro",COUNTIFS($U$5:$U$1000,ROW(),$V$5:$V$1000,"Sub"),"")</f>
        <v/>
      </c>
      <c r="X100" s="62">
        <f>IF($V100="","",IF(ISNUMBER($G100),1,IFERROR(LOOKUP(2,1/($I100:$L100&lt;&gt;""),$I100:$L100),0)))</f>
        <v/>
      </c>
      <c r="Y100" s="62">
        <f>IF($V100="","",IF(AND(ISNUMBER($G100),$G100&lt;=IF($S100=MesCiclo,InicioCiclo,$S100+MOD(2-WEEKDAY($S100),7))+6),1,IF(ISNUMBER($I100),$I100,0)))</f>
        <v/>
      </c>
      <c r="Z100" s="62">
        <f>IF($V100="","",IF(AND(ISNUMBER($G100),$G100&lt;=IF($S100=MesCiclo,InicioCiclo,$S100+MOD(2-WEEKDAY($S100),7))+13),1,IF(ISNUMBER($J100),$J100,$Y100)))</f>
        <v/>
      </c>
      <c r="AA100" s="62">
        <f>IF($V100="","",IF(AND(ISNUMBER($G100),$G100&lt;=IF($S100=MesCiclo,InicioCiclo,$S100+MOD(2-WEEKDAY($S100),7))+20),1,IF(ISNUMBER($K100),$K100,$Z100)))</f>
        <v/>
      </c>
      <c r="AB100" s="62">
        <f>IF($V100="","",IF(AND(ISNUMBER($G100),$G100&lt;=IF($S100=MesCiclo,InicioCiclo,$S100+MOD(2-WEEKDAY($S100),7))+27),1,IF(ISNUMBER($L100),$L100,$AA100)))</f>
        <v/>
      </c>
      <c r="AC100" s="62">
        <f>IF($V100="","",IF(AND(ISNUMBER($G100),$G100&lt;=IF($S100=MesCiclo,InicioCiclo,$S100+MOD(2-WEEKDAY($S100),7))+6),1,IF(N($W100)&gt;0,AVERAGEIFS($Y$5:$Y$1000,$U$5:$U$1000,ROW(),$V$5:$V$1000,"Sub"),$Y100)))</f>
        <v/>
      </c>
      <c r="AD100" s="62">
        <f>IF($V100="","",IF(AND(ISNUMBER($G100),$G100&lt;=IF($S100=MesCiclo,InicioCiclo,$S100+MOD(2-WEEKDAY($S100),7))+13),1,IF(N($W100)&gt;0,AVERAGEIFS($Z$5:$Z$1000,$U$5:$U$1000,ROW(),$V$5:$V$1000,"Sub"),$Z100)))</f>
        <v/>
      </c>
      <c r="AE100" s="62">
        <f>IF($V100="","",IF(AND(ISNUMBER($G100),$G100&lt;=IF($S100=MesCiclo,InicioCiclo,$S100+MOD(2-WEEKDAY($S100),7))+20),1,IF(N($W100)&gt;0,AVERAGEIFS($AA$5:$AA$1000,$U$5:$U$1000,ROW(),$V$5:$V$1000,"Sub"),$AA100)))</f>
        <v/>
      </c>
      <c r="AF100" s="62">
        <f>IF($V100="","",IF(AND(ISNUMBER($G100),$G100&lt;=IF($S100=MesCiclo,InicioCiclo,$S100+MOD(2-WEEKDAY($S100),7))+27),1,IF(N($W100)&gt;0,AVERAGEIFS($AB$5:$AB$1000,$U$5:$U$1000,ROW(),$V$5:$V$1000,"Sub"),$AB100)))</f>
        <v/>
      </c>
      <c r="AG100" s="62">
        <f>IF($V100&lt;&gt;"Macro","",IF(COUNTIFS($S$5:$S$1000,$S100,$V$5:$V$1000,"Macro",$H$5:$H$1000,"&gt;0")=0,1/COUNTIFS($S$5:$S$1000,$S100,$V$5:$V$1000,"Macro"),IF(AND(ISNUMBER($H100),N($H100)&gt;0),$H100,SUMIFS($H$5:$H$1000,$S$5:$S$1000,$S100,$V$5:$V$1000,"Macro")/COUNTIFS($S$5:$S$1000,$S100,$V$5:$V$1000,"Macro",$H$5:$H$1000,"&gt;0"))/(COUNTIFS($S$5:$S$1000,$S100,$V$5:$V$1000,"Macro")*SUMIFS($H$5:$H$1000,$S$5:$S$1000,$S100,$V$5:$V$1000,"Macro")/COUNTIFS($S$5:$S$1000,$S100,$V$5:$V$1000,"Macro",$H$5:$H$1000,"&gt;0"))))</f>
        <v/>
      </c>
      <c r="AH100" s="62" t="n"/>
      <c r="AI100" s="62" t="n"/>
      <c r="AJ100" s="62" t="n"/>
      <c r="AK100" s="62" t="n"/>
      <c r="AL100" s="62">
        <f>IF(LEFT($C100,11)="[Jefatura] ",IFERROR(MATCH("Riesgo Financiero|"&amp;MID($C100,12,500),rDname_ADM,0),0),"")</f>
        <v/>
      </c>
      <c r="AM100" s="62">
        <f>IF(N($AL100)&gt;0,INDEX(rIni_ADM,$AL100),IF(ISNUMBER($E100),$E100,""))</f>
        <v/>
      </c>
      <c r="AN100" s="62">
        <f>IF(N($AL100)&gt;0,INDEX(rLim_ADM,$AL100),IF(ISNUMBER($F100),$F100,""))</f>
        <v/>
      </c>
    </row>
    <row r="101">
      <c r="A101" s="56">
        <f>IF(NOT((COUNTA($B101:$D101)+COUNTA($G101:$L101)+COUNTA($Q101))&gt;0),"",IF($V101="Macro",COUNTIFS($V$5:$V101,"Macro",$S$5:$S101,$S101),IF(N($U101)=0,"?",COUNTIFS(INDEX($V$5:$V$1000,1):INDEX($V$5:$V$1000,$U101-4),"Macro",INDEX($S$5:$S$1000,1):INDEX($S$5:$S$1000,$U101-4),INDEX($S$5:$S$1000,$U101-4))&amp;"."&amp;COUNTIFS($U$5:$U101,$U101,$V$5:$V101,"Sub"))))</f>
        <v/>
      </c>
      <c r="B101" s="57" t="n"/>
      <c r="C101" s="58" t="n"/>
      <c r="D101" s="58" t="n"/>
      <c r="E101" s="59">
        <f>IF(N($AL101)&gt;0,INDEX(rIni_ADM,$AL101),"")</f>
        <v/>
      </c>
      <c r="F101" s="59">
        <f>IF(N($AL101)&gt;0,INDEX(rLim_ADM,$AL101),"")</f>
        <v/>
      </c>
      <c r="G101" s="59" t="n"/>
      <c r="H101" s="60" t="n"/>
      <c r="I101" s="60" t="n"/>
      <c r="J101" s="60" t="n"/>
      <c r="K101" s="60" t="n"/>
      <c r="L101" s="60" t="n"/>
      <c r="M101" s="61">
        <f>IF(NOT((COUNTA($B101:$D101)+COUNTA($G101:$L101)+COUNTA($Q101))&gt;0),"",IF(ISNUMBER($G101),1,IF(N($W101)&gt;0,AVERAGEIFS($X$5:$X$1000,$U$5:$U$1000,ROW(),$V$5:$V$1000,"Sub"),$X101)))</f>
        <v/>
      </c>
      <c r="N101" s="56">
        <f>IF($M101="","",IF($M101&gt;=1,"Completado",IF($M101&gt;0,"En curso","Pendiente")))</f>
        <v/>
      </c>
      <c r="O101" s="56">
        <f>IF(NOT((COUNTA($B101:$D101)+COUNTA($G101:$L101)+COUNTA($Q101))&gt;0),"",IF(ISNUMBER($G101),IF(AND(ISNUMBER($AN101),$G101&gt;$AN101),"Cumplida con "&amp;($G101-$AN101)&amp;IF($G101-$AN101=1," día"," días")&amp;" de retraso","Cumplida"),IF(N($M101)&gt;=1,"Cumplida",IF(NOT(ISNUMBER($AN101)),"Sin fecha límite",IF($AN101&lt;FechaRef,"Vencida hace "&amp;(FechaRef-$AN101)&amp;IF(FechaRef-$AN101=1," día"," días"),IF($AN101=FechaRef,"Vence hoy",IF($AN101-FechaRef&lt;=DiasAlerta,"Vence en "&amp;($AN101-FechaRef)&amp;IF($AN101-FechaRef=1," día"," días"),"En plazo")))))))</f>
        <v/>
      </c>
      <c r="P101" s="62" t="n"/>
      <c r="Q101" s="58" t="n"/>
      <c r="R101" s="63">
        <f>IF(NOT((COUNTA($B101:$D101)+COUNTA($G101:$L101)+COUNTA($Q101))&gt;0),"",IF((IF($C101="","Falta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",""))="","✔ OK","⚠ "&amp;LEFT(IF($C101="","Falta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",""),LEN(IF($C101="","Falta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",""))-3)))</f>
        <v/>
      </c>
      <c r="S101" s="64">
        <f>IF(NOT((COUNTA($B101:$D101)+COUNTA($G101:$L101)+COUNTA($Q101))&gt;0),"",IF(AND($V101="Sub",N($U101)&gt;0),IF(ISNUMBER(INDEX($AM$5:$AM$1000,$U101-4)),DATE(YEAR(INDEX($AM$5:$AM$1000,$U101-4)),MONTH(INDEX($AM$5:$AM$1000,$U101-4)),1),IF(ISNUMBER(INDEX($AN$5:$AN$1000,$U101-4)),DATE(YEAR(INDEX($AN$5:$AN$1000,$U101-4)),MONTH(INDEX($AN$5:$AN$1000,$U101-4)),1),MesCiclo)),IF(ISNUMBER($AM101),DATE(YEAR($AM101),MONTH($AM101),1),IF(ISNUMBER($AN101),DATE(YEAR($AN101),MONTH($AN101),1),MesCiclo))))</f>
        <v/>
      </c>
      <c r="T101" s="62">
        <f>IF(OR($S101="",$S101&lt;&gt;MesCiclo),"",COUNTIF($S$5:$S101,MesCiclo))</f>
        <v/>
      </c>
      <c r="U101" s="62">
        <f>IF($V101="","",IF($V101="Macro",ROW(),IFERROR(LOOKUP(2,1/($V$5:$V101="Macro"),ROW($V$5:$V101)),0)))</f>
        <v/>
      </c>
      <c r="V101" s="62">
        <f>IF(NOT((COUNTA($B101:$D101)+COUNTA($G101:$L101)+COUNTA($Q101))&gt;0),"",IF($B101="Subactividad","Sub","Macro"))</f>
        <v/>
      </c>
      <c r="W101" s="62">
        <f>IF($V101="Macro",COUNTIFS($U$5:$U$1000,ROW(),$V$5:$V$1000,"Sub"),"")</f>
        <v/>
      </c>
      <c r="X101" s="62">
        <f>IF($V101="","",IF(ISNUMBER($G101),1,IFERROR(LOOKUP(2,1/($I101:$L101&lt;&gt;""),$I101:$L101),0)))</f>
        <v/>
      </c>
      <c r="Y101" s="62">
        <f>IF($V101="","",IF(AND(ISNUMBER($G101),$G101&lt;=IF($S101=MesCiclo,InicioCiclo,$S101+MOD(2-WEEKDAY($S101),7))+6),1,IF(ISNUMBER($I101),$I101,0)))</f>
        <v/>
      </c>
      <c r="Z101" s="62">
        <f>IF($V101="","",IF(AND(ISNUMBER($G101),$G101&lt;=IF($S101=MesCiclo,InicioCiclo,$S101+MOD(2-WEEKDAY($S101),7))+13),1,IF(ISNUMBER($J101),$J101,$Y101)))</f>
        <v/>
      </c>
      <c r="AA101" s="62">
        <f>IF($V101="","",IF(AND(ISNUMBER($G101),$G101&lt;=IF($S101=MesCiclo,InicioCiclo,$S101+MOD(2-WEEKDAY($S101),7))+20),1,IF(ISNUMBER($K101),$K101,$Z101)))</f>
        <v/>
      </c>
      <c r="AB101" s="62">
        <f>IF($V101="","",IF(AND(ISNUMBER($G101),$G101&lt;=IF($S101=MesCiclo,InicioCiclo,$S101+MOD(2-WEEKDAY($S101),7))+27),1,IF(ISNUMBER($L101),$L101,$AA101)))</f>
        <v/>
      </c>
      <c r="AC101" s="62">
        <f>IF($V101="","",IF(AND(ISNUMBER($G101),$G101&lt;=IF($S101=MesCiclo,InicioCiclo,$S101+MOD(2-WEEKDAY($S101),7))+6),1,IF(N($W101)&gt;0,AVERAGEIFS($Y$5:$Y$1000,$U$5:$U$1000,ROW(),$V$5:$V$1000,"Sub"),$Y101)))</f>
        <v/>
      </c>
      <c r="AD101" s="62">
        <f>IF($V101="","",IF(AND(ISNUMBER($G101),$G101&lt;=IF($S101=MesCiclo,InicioCiclo,$S101+MOD(2-WEEKDAY($S101),7))+13),1,IF(N($W101)&gt;0,AVERAGEIFS($Z$5:$Z$1000,$U$5:$U$1000,ROW(),$V$5:$V$1000,"Sub"),$Z101)))</f>
        <v/>
      </c>
      <c r="AE101" s="62">
        <f>IF($V101="","",IF(AND(ISNUMBER($G101),$G101&lt;=IF($S101=MesCiclo,InicioCiclo,$S101+MOD(2-WEEKDAY($S101),7))+20),1,IF(N($W101)&gt;0,AVERAGEIFS($AA$5:$AA$1000,$U$5:$U$1000,ROW(),$V$5:$V$1000,"Sub"),$AA101)))</f>
        <v/>
      </c>
      <c r="AF101" s="62">
        <f>IF($V101="","",IF(AND(ISNUMBER($G101),$G101&lt;=IF($S101=MesCiclo,InicioCiclo,$S101+MOD(2-WEEKDAY($S101),7))+27),1,IF(N($W101)&gt;0,AVERAGEIFS($AB$5:$AB$1000,$U$5:$U$1000,ROW(),$V$5:$V$1000,"Sub"),$AB101)))</f>
        <v/>
      </c>
      <c r="AG101" s="62">
        <f>IF($V101&lt;&gt;"Macro","",IF(COUNTIFS($S$5:$S$1000,$S101,$V$5:$V$1000,"Macro",$H$5:$H$1000,"&gt;0")=0,1/COUNTIFS($S$5:$S$1000,$S101,$V$5:$V$1000,"Macro"),IF(AND(ISNUMBER($H101),N($H101)&gt;0),$H101,SUMIFS($H$5:$H$1000,$S$5:$S$1000,$S101,$V$5:$V$1000,"Macro")/COUNTIFS($S$5:$S$1000,$S101,$V$5:$V$1000,"Macro",$H$5:$H$1000,"&gt;0"))/(COUNTIFS($S$5:$S$1000,$S101,$V$5:$V$1000,"Macro")*SUMIFS($H$5:$H$1000,$S$5:$S$1000,$S101,$V$5:$V$1000,"Macro")/COUNTIFS($S$5:$S$1000,$S101,$V$5:$V$1000,"Macro",$H$5:$H$1000,"&gt;0"))))</f>
        <v/>
      </c>
      <c r="AH101" s="62" t="n"/>
      <c r="AI101" s="62" t="n"/>
      <c r="AJ101" s="62" t="n"/>
      <c r="AK101" s="62" t="n"/>
      <c r="AL101" s="62">
        <f>IF(LEFT($C101,11)="[Jefatura] ",IFERROR(MATCH("Riesgo Financiero|"&amp;MID($C101,12,500),rDname_ADM,0),0),"")</f>
        <v/>
      </c>
      <c r="AM101" s="62">
        <f>IF(N($AL101)&gt;0,INDEX(rIni_ADM,$AL101),IF(ISNUMBER($E101),$E101,""))</f>
        <v/>
      </c>
      <c r="AN101" s="62">
        <f>IF(N($AL101)&gt;0,INDEX(rLim_ADM,$AL101),IF(ISNUMBER($F101),$F101,""))</f>
        <v/>
      </c>
    </row>
    <row r="102">
      <c r="A102" s="56">
        <f>IF(NOT((COUNTA($B102:$D102)+COUNTA($G102:$L102)+COUNTA($Q102))&gt;0),"",IF($V102="Macro",COUNTIFS($V$5:$V102,"Macro",$S$5:$S102,$S102),IF(N($U102)=0,"?",COUNTIFS(INDEX($V$5:$V$1000,1):INDEX($V$5:$V$1000,$U102-4),"Macro",INDEX($S$5:$S$1000,1):INDEX($S$5:$S$1000,$U102-4),INDEX($S$5:$S$1000,$U102-4))&amp;"."&amp;COUNTIFS($U$5:$U102,$U102,$V$5:$V102,"Sub"))))</f>
        <v/>
      </c>
      <c r="B102" s="57" t="n"/>
      <c r="C102" s="58" t="n"/>
      <c r="D102" s="58" t="n"/>
      <c r="E102" s="59">
        <f>IF(N($AL102)&gt;0,INDEX(rIni_ADM,$AL102),"")</f>
        <v/>
      </c>
      <c r="F102" s="59">
        <f>IF(N($AL102)&gt;0,INDEX(rLim_ADM,$AL102),"")</f>
        <v/>
      </c>
      <c r="G102" s="59" t="n"/>
      <c r="H102" s="60" t="n"/>
      <c r="I102" s="60" t="n"/>
      <c r="J102" s="60" t="n"/>
      <c r="K102" s="60" t="n"/>
      <c r="L102" s="60" t="n"/>
      <c r="M102" s="61">
        <f>IF(NOT((COUNTA($B102:$D102)+COUNTA($G102:$L102)+COUNTA($Q102))&gt;0),"",IF(ISNUMBER($G102),1,IF(N($W102)&gt;0,AVERAGEIFS($X$5:$X$1000,$U$5:$U$1000,ROW(),$V$5:$V$1000,"Sub"),$X102)))</f>
        <v/>
      </c>
      <c r="N102" s="56">
        <f>IF($M102="","",IF($M102&gt;=1,"Completado",IF($M102&gt;0,"En curso","Pendiente")))</f>
        <v/>
      </c>
      <c r="O102" s="56">
        <f>IF(NOT((COUNTA($B102:$D102)+COUNTA($G102:$L102)+COUNTA($Q102))&gt;0),"",IF(ISNUMBER($G102),IF(AND(ISNUMBER($AN102),$G102&gt;$AN102),"Cumplida con "&amp;($G102-$AN102)&amp;IF($G102-$AN102=1," día"," días")&amp;" de retraso","Cumplida"),IF(N($M102)&gt;=1,"Cumplida",IF(NOT(ISNUMBER($AN102)),"Sin fecha límite",IF($AN102&lt;FechaRef,"Vencida hace "&amp;(FechaRef-$AN102)&amp;IF(FechaRef-$AN102=1," día"," días"),IF($AN102=FechaRef,"Vence hoy",IF($AN102-FechaRef&lt;=DiasAlerta,"Vence en "&amp;($AN102-FechaRef)&amp;IF($AN102-FechaRef=1," día"," días"),"En plazo")))))))</f>
        <v/>
      </c>
      <c r="P102" s="62" t="n"/>
      <c r="Q102" s="58" t="n"/>
      <c r="R102" s="63">
        <f>IF(NOT((COUNTA($B102:$D102)+COUNTA($G102:$L102)+COUNTA($Q102))&gt;0),"",IF((IF($C102="","Falta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",""))="","✔ OK","⚠ "&amp;LEFT(IF($C102="","Falta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",""),LEN(IF($C102="","Falta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",""))-3)))</f>
        <v/>
      </c>
      <c r="S102" s="64">
        <f>IF(NOT((COUNTA($B102:$D102)+COUNTA($G102:$L102)+COUNTA($Q102))&gt;0),"",IF(AND($V102="Sub",N($U102)&gt;0),IF(ISNUMBER(INDEX($AM$5:$AM$1000,$U102-4)),DATE(YEAR(INDEX($AM$5:$AM$1000,$U102-4)),MONTH(INDEX($AM$5:$AM$1000,$U102-4)),1),IF(ISNUMBER(INDEX($AN$5:$AN$1000,$U102-4)),DATE(YEAR(INDEX($AN$5:$AN$1000,$U102-4)),MONTH(INDEX($AN$5:$AN$1000,$U102-4)),1),MesCiclo)),IF(ISNUMBER($AM102),DATE(YEAR($AM102),MONTH($AM102),1),IF(ISNUMBER($AN102),DATE(YEAR($AN102),MONTH($AN102),1),MesCiclo))))</f>
        <v/>
      </c>
      <c r="T102" s="62">
        <f>IF(OR($S102="",$S102&lt;&gt;MesCiclo),"",COUNTIF($S$5:$S102,MesCiclo))</f>
        <v/>
      </c>
      <c r="U102" s="62">
        <f>IF($V102="","",IF($V102="Macro",ROW(),IFERROR(LOOKUP(2,1/($V$5:$V102="Macro"),ROW($V$5:$V102)),0)))</f>
        <v/>
      </c>
      <c r="V102" s="62">
        <f>IF(NOT((COUNTA($B102:$D102)+COUNTA($G102:$L102)+COUNTA($Q102))&gt;0),"",IF($B102="Subactividad","Sub","Macro"))</f>
        <v/>
      </c>
      <c r="W102" s="62">
        <f>IF($V102="Macro",COUNTIFS($U$5:$U$1000,ROW(),$V$5:$V$1000,"Sub"),"")</f>
        <v/>
      </c>
      <c r="X102" s="62">
        <f>IF($V102="","",IF(ISNUMBER($G102),1,IFERROR(LOOKUP(2,1/($I102:$L102&lt;&gt;""),$I102:$L102),0)))</f>
        <v/>
      </c>
      <c r="Y102" s="62">
        <f>IF($V102="","",IF(AND(ISNUMBER($G102),$G102&lt;=IF($S102=MesCiclo,InicioCiclo,$S102+MOD(2-WEEKDAY($S102),7))+6),1,IF(ISNUMBER($I102),$I102,0)))</f>
        <v/>
      </c>
      <c r="Z102" s="62">
        <f>IF($V102="","",IF(AND(ISNUMBER($G102),$G102&lt;=IF($S102=MesCiclo,InicioCiclo,$S102+MOD(2-WEEKDAY($S102),7))+13),1,IF(ISNUMBER($J102),$J102,$Y102)))</f>
        <v/>
      </c>
      <c r="AA102" s="62">
        <f>IF($V102="","",IF(AND(ISNUMBER($G102),$G102&lt;=IF($S102=MesCiclo,InicioCiclo,$S102+MOD(2-WEEKDAY($S102),7))+20),1,IF(ISNUMBER($K102),$K102,$Z102)))</f>
        <v/>
      </c>
      <c r="AB102" s="62">
        <f>IF($V102="","",IF(AND(ISNUMBER($G102),$G102&lt;=IF($S102=MesCiclo,InicioCiclo,$S102+MOD(2-WEEKDAY($S102),7))+27),1,IF(ISNUMBER($L102),$L102,$AA102)))</f>
        <v/>
      </c>
      <c r="AC102" s="62">
        <f>IF($V102="","",IF(AND(ISNUMBER($G102),$G102&lt;=IF($S102=MesCiclo,InicioCiclo,$S102+MOD(2-WEEKDAY($S102),7))+6),1,IF(N($W102)&gt;0,AVERAGEIFS($Y$5:$Y$1000,$U$5:$U$1000,ROW(),$V$5:$V$1000,"Sub"),$Y102)))</f>
        <v/>
      </c>
      <c r="AD102" s="62">
        <f>IF($V102="","",IF(AND(ISNUMBER($G102),$G102&lt;=IF($S102=MesCiclo,InicioCiclo,$S102+MOD(2-WEEKDAY($S102),7))+13),1,IF(N($W102)&gt;0,AVERAGEIFS($Z$5:$Z$1000,$U$5:$U$1000,ROW(),$V$5:$V$1000,"Sub"),$Z102)))</f>
        <v/>
      </c>
      <c r="AE102" s="62">
        <f>IF($V102="","",IF(AND(ISNUMBER($G102),$G102&lt;=IF($S102=MesCiclo,InicioCiclo,$S102+MOD(2-WEEKDAY($S102),7))+20),1,IF(N($W102)&gt;0,AVERAGEIFS($AA$5:$AA$1000,$U$5:$U$1000,ROW(),$V$5:$V$1000,"Sub"),$AA102)))</f>
        <v/>
      </c>
      <c r="AF102" s="62">
        <f>IF($V102="","",IF(AND(ISNUMBER($G102),$G102&lt;=IF($S102=MesCiclo,InicioCiclo,$S102+MOD(2-WEEKDAY($S102),7))+27),1,IF(N($W102)&gt;0,AVERAGEIFS($AB$5:$AB$1000,$U$5:$U$1000,ROW(),$V$5:$V$1000,"Sub"),$AB102)))</f>
        <v/>
      </c>
      <c r="AG102" s="62">
        <f>IF($V102&lt;&gt;"Macro","",IF(COUNTIFS($S$5:$S$1000,$S102,$V$5:$V$1000,"Macro",$H$5:$H$1000,"&gt;0")=0,1/COUNTIFS($S$5:$S$1000,$S102,$V$5:$V$1000,"Macro"),IF(AND(ISNUMBER($H102),N($H102)&gt;0),$H102,SUMIFS($H$5:$H$1000,$S$5:$S$1000,$S102,$V$5:$V$1000,"Macro")/COUNTIFS($S$5:$S$1000,$S102,$V$5:$V$1000,"Macro",$H$5:$H$1000,"&gt;0"))/(COUNTIFS($S$5:$S$1000,$S102,$V$5:$V$1000,"Macro")*SUMIFS($H$5:$H$1000,$S$5:$S$1000,$S102,$V$5:$V$1000,"Macro")/COUNTIFS($S$5:$S$1000,$S102,$V$5:$V$1000,"Macro",$H$5:$H$1000,"&gt;0"))))</f>
        <v/>
      </c>
      <c r="AH102" s="62" t="n"/>
      <c r="AI102" s="62" t="n"/>
      <c r="AJ102" s="62" t="n"/>
      <c r="AK102" s="62" t="n"/>
      <c r="AL102" s="62">
        <f>IF(LEFT($C102,11)="[Jefatura] ",IFERROR(MATCH("Riesgo Financiero|"&amp;MID($C102,12,500),rDname_ADM,0),0),"")</f>
        <v/>
      </c>
      <c r="AM102" s="62">
        <f>IF(N($AL102)&gt;0,INDEX(rIni_ADM,$AL102),IF(ISNUMBER($E102),$E102,""))</f>
        <v/>
      </c>
      <c r="AN102" s="62">
        <f>IF(N($AL102)&gt;0,INDEX(rLim_ADM,$AL102),IF(ISNUMBER($F102),$F102,""))</f>
        <v/>
      </c>
    </row>
    <row r="103">
      <c r="A103" s="56">
        <f>IF(NOT((COUNTA($B103:$D103)+COUNTA($G103:$L103)+COUNTA($Q103))&gt;0),"",IF($V103="Macro",COUNTIFS($V$5:$V103,"Macro",$S$5:$S103,$S103),IF(N($U103)=0,"?",COUNTIFS(INDEX($V$5:$V$1000,1):INDEX($V$5:$V$1000,$U103-4),"Macro",INDEX($S$5:$S$1000,1):INDEX($S$5:$S$1000,$U103-4),INDEX($S$5:$S$1000,$U103-4))&amp;"."&amp;COUNTIFS($U$5:$U103,$U103,$V$5:$V103,"Sub"))))</f>
        <v/>
      </c>
      <c r="B103" s="57" t="n"/>
      <c r="C103" s="58" t="n"/>
      <c r="D103" s="58" t="n"/>
      <c r="E103" s="59">
        <f>IF(N($AL103)&gt;0,INDEX(rIni_ADM,$AL103),"")</f>
        <v/>
      </c>
      <c r="F103" s="59">
        <f>IF(N($AL103)&gt;0,INDEX(rLim_ADM,$AL103),"")</f>
        <v/>
      </c>
      <c r="G103" s="59" t="n"/>
      <c r="H103" s="60" t="n"/>
      <c r="I103" s="60" t="n"/>
      <c r="J103" s="60" t="n"/>
      <c r="K103" s="60" t="n"/>
      <c r="L103" s="60" t="n"/>
      <c r="M103" s="61">
        <f>IF(NOT((COUNTA($B103:$D103)+COUNTA($G103:$L103)+COUNTA($Q103))&gt;0),"",IF(ISNUMBER($G103),1,IF(N($W103)&gt;0,AVERAGEIFS($X$5:$X$1000,$U$5:$U$1000,ROW(),$V$5:$V$1000,"Sub"),$X103)))</f>
        <v/>
      </c>
      <c r="N103" s="56">
        <f>IF($M103="","",IF($M103&gt;=1,"Completado",IF($M103&gt;0,"En curso","Pendiente")))</f>
        <v/>
      </c>
      <c r="O103" s="56">
        <f>IF(NOT((COUNTA($B103:$D103)+COUNTA($G103:$L103)+COUNTA($Q103))&gt;0),"",IF(ISNUMBER($G103),IF(AND(ISNUMBER($AN103),$G103&gt;$AN103),"Cumplida con "&amp;($G103-$AN103)&amp;IF($G103-$AN103=1," día"," días")&amp;" de retraso","Cumplida"),IF(N($M103)&gt;=1,"Cumplida",IF(NOT(ISNUMBER($AN103)),"Sin fecha límite",IF($AN103&lt;FechaRef,"Vencida hace "&amp;(FechaRef-$AN103)&amp;IF(FechaRef-$AN103=1," día"," días"),IF($AN103=FechaRef,"Vence hoy",IF($AN103-FechaRef&lt;=DiasAlerta,"Vence en "&amp;($AN103-FechaRef)&amp;IF($AN103-FechaRef=1," día"," días"),"En plazo")))))))</f>
        <v/>
      </c>
      <c r="P103" s="62" t="n"/>
      <c r="Q103" s="58" t="n"/>
      <c r="R103" s="63">
        <f>IF(NOT((COUNTA($B103:$D103)+COUNTA($G103:$L103)+COUNTA($Q103))&gt;0),"",IF((IF($C103="","Falta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",""))="","✔ OK","⚠ "&amp;LEFT(IF($C103="","Falta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",""),LEN(IF($C103="","Falta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",""))-3)))</f>
        <v/>
      </c>
      <c r="S103" s="64">
        <f>IF(NOT((COUNTA($B103:$D103)+COUNTA($G103:$L103)+COUNTA($Q103))&gt;0),"",IF(AND($V103="Sub",N($U103)&gt;0),IF(ISNUMBER(INDEX($AM$5:$AM$1000,$U103-4)),DATE(YEAR(INDEX($AM$5:$AM$1000,$U103-4)),MONTH(INDEX($AM$5:$AM$1000,$U103-4)),1),IF(ISNUMBER(INDEX($AN$5:$AN$1000,$U103-4)),DATE(YEAR(INDEX($AN$5:$AN$1000,$U103-4)),MONTH(INDEX($AN$5:$AN$1000,$U103-4)),1),MesCiclo)),IF(ISNUMBER($AM103),DATE(YEAR($AM103),MONTH($AM103),1),IF(ISNUMBER($AN103),DATE(YEAR($AN103),MONTH($AN103),1),MesCiclo))))</f>
        <v/>
      </c>
      <c r="T103" s="62">
        <f>IF(OR($S103="",$S103&lt;&gt;MesCiclo),"",COUNTIF($S$5:$S103,MesCiclo))</f>
        <v/>
      </c>
      <c r="U103" s="62">
        <f>IF($V103="","",IF($V103="Macro",ROW(),IFERROR(LOOKUP(2,1/($V$5:$V103="Macro"),ROW($V$5:$V103)),0)))</f>
        <v/>
      </c>
      <c r="V103" s="62">
        <f>IF(NOT((COUNTA($B103:$D103)+COUNTA($G103:$L103)+COUNTA($Q103))&gt;0),"",IF($B103="Subactividad","Sub","Macro"))</f>
        <v/>
      </c>
      <c r="W103" s="62">
        <f>IF($V103="Macro",COUNTIFS($U$5:$U$1000,ROW(),$V$5:$V$1000,"Sub"),"")</f>
        <v/>
      </c>
      <c r="X103" s="62">
        <f>IF($V103="","",IF(ISNUMBER($G103),1,IFERROR(LOOKUP(2,1/($I103:$L103&lt;&gt;""),$I103:$L103),0)))</f>
        <v/>
      </c>
      <c r="Y103" s="62">
        <f>IF($V103="","",IF(AND(ISNUMBER($G103),$G103&lt;=IF($S103=MesCiclo,InicioCiclo,$S103+MOD(2-WEEKDAY($S103),7))+6),1,IF(ISNUMBER($I103),$I103,0)))</f>
        <v/>
      </c>
      <c r="Z103" s="62">
        <f>IF($V103="","",IF(AND(ISNUMBER($G103),$G103&lt;=IF($S103=MesCiclo,InicioCiclo,$S103+MOD(2-WEEKDAY($S103),7))+13),1,IF(ISNUMBER($J103),$J103,$Y103)))</f>
        <v/>
      </c>
      <c r="AA103" s="62">
        <f>IF($V103="","",IF(AND(ISNUMBER($G103),$G103&lt;=IF($S103=MesCiclo,InicioCiclo,$S103+MOD(2-WEEKDAY($S103),7))+20),1,IF(ISNUMBER($K103),$K103,$Z103)))</f>
        <v/>
      </c>
      <c r="AB103" s="62">
        <f>IF($V103="","",IF(AND(ISNUMBER($G103),$G103&lt;=IF($S103=MesCiclo,InicioCiclo,$S103+MOD(2-WEEKDAY($S103),7))+27),1,IF(ISNUMBER($L103),$L103,$AA103)))</f>
        <v/>
      </c>
      <c r="AC103" s="62">
        <f>IF($V103="","",IF(AND(ISNUMBER($G103),$G103&lt;=IF($S103=MesCiclo,InicioCiclo,$S103+MOD(2-WEEKDAY($S103),7))+6),1,IF(N($W103)&gt;0,AVERAGEIFS($Y$5:$Y$1000,$U$5:$U$1000,ROW(),$V$5:$V$1000,"Sub"),$Y103)))</f>
        <v/>
      </c>
      <c r="AD103" s="62">
        <f>IF($V103="","",IF(AND(ISNUMBER($G103),$G103&lt;=IF($S103=MesCiclo,InicioCiclo,$S103+MOD(2-WEEKDAY($S103),7))+13),1,IF(N($W103)&gt;0,AVERAGEIFS($Z$5:$Z$1000,$U$5:$U$1000,ROW(),$V$5:$V$1000,"Sub"),$Z103)))</f>
        <v/>
      </c>
      <c r="AE103" s="62">
        <f>IF($V103="","",IF(AND(ISNUMBER($G103),$G103&lt;=IF($S103=MesCiclo,InicioCiclo,$S103+MOD(2-WEEKDAY($S103),7))+20),1,IF(N($W103)&gt;0,AVERAGEIFS($AA$5:$AA$1000,$U$5:$U$1000,ROW(),$V$5:$V$1000,"Sub"),$AA103)))</f>
        <v/>
      </c>
      <c r="AF103" s="62">
        <f>IF($V103="","",IF(AND(ISNUMBER($G103),$G103&lt;=IF($S103=MesCiclo,InicioCiclo,$S103+MOD(2-WEEKDAY($S103),7))+27),1,IF(N($W103)&gt;0,AVERAGEIFS($AB$5:$AB$1000,$U$5:$U$1000,ROW(),$V$5:$V$1000,"Sub"),$AB103)))</f>
        <v/>
      </c>
      <c r="AG103" s="62">
        <f>IF($V103&lt;&gt;"Macro","",IF(COUNTIFS($S$5:$S$1000,$S103,$V$5:$V$1000,"Macro",$H$5:$H$1000,"&gt;0")=0,1/COUNTIFS($S$5:$S$1000,$S103,$V$5:$V$1000,"Macro"),IF(AND(ISNUMBER($H103),N($H103)&gt;0),$H103,SUMIFS($H$5:$H$1000,$S$5:$S$1000,$S103,$V$5:$V$1000,"Macro")/COUNTIFS($S$5:$S$1000,$S103,$V$5:$V$1000,"Macro",$H$5:$H$1000,"&gt;0"))/(COUNTIFS($S$5:$S$1000,$S103,$V$5:$V$1000,"Macro")*SUMIFS($H$5:$H$1000,$S$5:$S$1000,$S103,$V$5:$V$1000,"Macro")/COUNTIFS($S$5:$S$1000,$S103,$V$5:$V$1000,"Macro",$H$5:$H$1000,"&gt;0"))))</f>
        <v/>
      </c>
      <c r="AH103" s="62" t="n"/>
      <c r="AI103" s="62" t="n"/>
      <c r="AJ103" s="62" t="n"/>
      <c r="AK103" s="62" t="n"/>
      <c r="AL103" s="62">
        <f>IF(LEFT($C103,11)="[Jefatura] ",IFERROR(MATCH("Riesgo Financiero|"&amp;MID($C103,12,500),rDname_ADM,0),0),"")</f>
        <v/>
      </c>
      <c r="AM103" s="62">
        <f>IF(N($AL103)&gt;0,INDEX(rIni_ADM,$AL103),IF(ISNUMBER($E103),$E103,""))</f>
        <v/>
      </c>
      <c r="AN103" s="62">
        <f>IF(N($AL103)&gt;0,INDEX(rLim_ADM,$AL103),IF(ISNUMBER($F103),$F103,""))</f>
        <v/>
      </c>
    </row>
    <row r="104">
      <c r="A104" s="56">
        <f>IF(NOT((COUNTA($B104:$D104)+COUNTA($G104:$L104)+COUNTA($Q104))&gt;0),"",IF($V104="Macro",COUNTIFS($V$5:$V104,"Macro",$S$5:$S104,$S104),IF(N($U104)=0,"?",COUNTIFS(INDEX($V$5:$V$1000,1):INDEX($V$5:$V$1000,$U104-4),"Macro",INDEX($S$5:$S$1000,1):INDEX($S$5:$S$1000,$U104-4),INDEX($S$5:$S$1000,$U104-4))&amp;"."&amp;COUNTIFS($U$5:$U104,$U104,$V$5:$V104,"Sub"))))</f>
        <v/>
      </c>
      <c r="B104" s="57" t="n"/>
      <c r="C104" s="58" t="n"/>
      <c r="D104" s="58" t="n"/>
      <c r="E104" s="59">
        <f>IF(N($AL104)&gt;0,INDEX(rIni_ADM,$AL104),"")</f>
        <v/>
      </c>
      <c r="F104" s="59">
        <f>IF(N($AL104)&gt;0,INDEX(rLim_ADM,$AL104),"")</f>
        <v/>
      </c>
      <c r="G104" s="59" t="n"/>
      <c r="H104" s="60" t="n"/>
      <c r="I104" s="60" t="n"/>
      <c r="J104" s="60" t="n"/>
      <c r="K104" s="60" t="n"/>
      <c r="L104" s="60" t="n"/>
      <c r="M104" s="61">
        <f>IF(NOT((COUNTA($B104:$D104)+COUNTA($G104:$L104)+COUNTA($Q104))&gt;0),"",IF(ISNUMBER($G104),1,IF(N($W104)&gt;0,AVERAGEIFS($X$5:$X$1000,$U$5:$U$1000,ROW(),$V$5:$V$1000,"Sub"),$X104)))</f>
        <v/>
      </c>
      <c r="N104" s="56">
        <f>IF($M104="","",IF($M104&gt;=1,"Completado",IF($M104&gt;0,"En curso","Pendiente")))</f>
        <v/>
      </c>
      <c r="O104" s="56">
        <f>IF(NOT((COUNTA($B104:$D104)+COUNTA($G104:$L104)+COUNTA($Q104))&gt;0),"",IF(ISNUMBER($G104),IF(AND(ISNUMBER($AN104),$G104&gt;$AN104),"Cumplida con "&amp;($G104-$AN104)&amp;IF($G104-$AN104=1," día"," días")&amp;" de retraso","Cumplida"),IF(N($M104)&gt;=1,"Cumplida",IF(NOT(ISNUMBER($AN104)),"Sin fecha límite",IF($AN104&lt;FechaRef,"Vencida hace "&amp;(FechaRef-$AN104)&amp;IF(FechaRef-$AN104=1," día"," días"),IF($AN104=FechaRef,"Vence hoy",IF($AN104-FechaRef&lt;=DiasAlerta,"Vence en "&amp;($AN104-FechaRef)&amp;IF($AN104-FechaRef=1," día"," días"),"En plazo")))))))</f>
        <v/>
      </c>
      <c r="P104" s="62" t="n"/>
      <c r="Q104" s="58" t="n"/>
      <c r="R104" s="63">
        <f>IF(NOT((COUNTA($B104:$D104)+COUNTA($G104:$L104)+COUNTA($Q104))&gt;0),"",IF((IF($C104="","Falta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",""))="","✔ OK","⚠ "&amp;LEFT(IF($C104="","Falta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",""),LEN(IF($C104="","Falta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",""))-3)))</f>
        <v/>
      </c>
      <c r="S104" s="64">
        <f>IF(NOT((COUNTA($B104:$D104)+COUNTA($G104:$L104)+COUNTA($Q104))&gt;0),"",IF(AND($V104="Sub",N($U104)&gt;0),IF(ISNUMBER(INDEX($AM$5:$AM$1000,$U104-4)),DATE(YEAR(INDEX($AM$5:$AM$1000,$U104-4)),MONTH(INDEX($AM$5:$AM$1000,$U104-4)),1),IF(ISNUMBER(INDEX($AN$5:$AN$1000,$U104-4)),DATE(YEAR(INDEX($AN$5:$AN$1000,$U104-4)),MONTH(INDEX($AN$5:$AN$1000,$U104-4)),1),MesCiclo)),IF(ISNUMBER($AM104),DATE(YEAR($AM104),MONTH($AM104),1),IF(ISNUMBER($AN104),DATE(YEAR($AN104),MONTH($AN104),1),MesCiclo))))</f>
        <v/>
      </c>
      <c r="T104" s="62">
        <f>IF(OR($S104="",$S104&lt;&gt;MesCiclo),"",COUNTIF($S$5:$S104,MesCiclo))</f>
        <v/>
      </c>
      <c r="U104" s="62">
        <f>IF($V104="","",IF($V104="Macro",ROW(),IFERROR(LOOKUP(2,1/($V$5:$V104="Macro"),ROW($V$5:$V104)),0)))</f>
        <v/>
      </c>
      <c r="V104" s="62">
        <f>IF(NOT((COUNTA($B104:$D104)+COUNTA($G104:$L104)+COUNTA($Q104))&gt;0),"",IF($B104="Subactividad","Sub","Macro"))</f>
        <v/>
      </c>
      <c r="W104" s="62">
        <f>IF($V104="Macro",COUNTIFS($U$5:$U$1000,ROW(),$V$5:$V$1000,"Sub"),"")</f>
        <v/>
      </c>
      <c r="X104" s="62">
        <f>IF($V104="","",IF(ISNUMBER($G104),1,IFERROR(LOOKUP(2,1/($I104:$L104&lt;&gt;""),$I104:$L104),0)))</f>
        <v/>
      </c>
      <c r="Y104" s="62">
        <f>IF($V104="","",IF(AND(ISNUMBER($G104),$G104&lt;=IF($S104=MesCiclo,InicioCiclo,$S104+MOD(2-WEEKDAY($S104),7))+6),1,IF(ISNUMBER($I104),$I104,0)))</f>
        <v/>
      </c>
      <c r="Z104" s="62">
        <f>IF($V104="","",IF(AND(ISNUMBER($G104),$G104&lt;=IF($S104=MesCiclo,InicioCiclo,$S104+MOD(2-WEEKDAY($S104),7))+13),1,IF(ISNUMBER($J104),$J104,$Y104)))</f>
        <v/>
      </c>
      <c r="AA104" s="62">
        <f>IF($V104="","",IF(AND(ISNUMBER($G104),$G104&lt;=IF($S104=MesCiclo,InicioCiclo,$S104+MOD(2-WEEKDAY($S104),7))+20),1,IF(ISNUMBER($K104),$K104,$Z104)))</f>
        <v/>
      </c>
      <c r="AB104" s="62">
        <f>IF($V104="","",IF(AND(ISNUMBER($G104),$G104&lt;=IF($S104=MesCiclo,InicioCiclo,$S104+MOD(2-WEEKDAY($S104),7))+27),1,IF(ISNUMBER($L104),$L104,$AA104)))</f>
        <v/>
      </c>
      <c r="AC104" s="62">
        <f>IF($V104="","",IF(AND(ISNUMBER($G104),$G104&lt;=IF($S104=MesCiclo,InicioCiclo,$S104+MOD(2-WEEKDAY($S104),7))+6),1,IF(N($W104)&gt;0,AVERAGEIFS($Y$5:$Y$1000,$U$5:$U$1000,ROW(),$V$5:$V$1000,"Sub"),$Y104)))</f>
        <v/>
      </c>
      <c r="AD104" s="62">
        <f>IF($V104="","",IF(AND(ISNUMBER($G104),$G104&lt;=IF($S104=MesCiclo,InicioCiclo,$S104+MOD(2-WEEKDAY($S104),7))+13),1,IF(N($W104)&gt;0,AVERAGEIFS($Z$5:$Z$1000,$U$5:$U$1000,ROW(),$V$5:$V$1000,"Sub"),$Z104)))</f>
        <v/>
      </c>
      <c r="AE104" s="62">
        <f>IF($V104="","",IF(AND(ISNUMBER($G104),$G104&lt;=IF($S104=MesCiclo,InicioCiclo,$S104+MOD(2-WEEKDAY($S104),7))+20),1,IF(N($W104)&gt;0,AVERAGEIFS($AA$5:$AA$1000,$U$5:$U$1000,ROW(),$V$5:$V$1000,"Sub"),$AA104)))</f>
        <v/>
      </c>
      <c r="AF104" s="62">
        <f>IF($V104="","",IF(AND(ISNUMBER($G104),$G104&lt;=IF($S104=MesCiclo,InicioCiclo,$S104+MOD(2-WEEKDAY($S104),7))+27),1,IF(N($W104)&gt;0,AVERAGEIFS($AB$5:$AB$1000,$U$5:$U$1000,ROW(),$V$5:$V$1000,"Sub"),$AB104)))</f>
        <v/>
      </c>
      <c r="AG104" s="62">
        <f>IF($V104&lt;&gt;"Macro","",IF(COUNTIFS($S$5:$S$1000,$S104,$V$5:$V$1000,"Macro",$H$5:$H$1000,"&gt;0")=0,1/COUNTIFS($S$5:$S$1000,$S104,$V$5:$V$1000,"Macro"),IF(AND(ISNUMBER($H104),N($H104)&gt;0),$H104,SUMIFS($H$5:$H$1000,$S$5:$S$1000,$S104,$V$5:$V$1000,"Macro")/COUNTIFS($S$5:$S$1000,$S104,$V$5:$V$1000,"Macro",$H$5:$H$1000,"&gt;0"))/(COUNTIFS($S$5:$S$1000,$S104,$V$5:$V$1000,"Macro")*SUMIFS($H$5:$H$1000,$S$5:$S$1000,$S104,$V$5:$V$1000,"Macro")/COUNTIFS($S$5:$S$1000,$S104,$V$5:$V$1000,"Macro",$H$5:$H$1000,"&gt;0"))))</f>
        <v/>
      </c>
      <c r="AH104" s="62" t="n"/>
      <c r="AI104" s="62" t="n"/>
      <c r="AJ104" s="62" t="n"/>
      <c r="AK104" s="62" t="n"/>
      <c r="AL104" s="62">
        <f>IF(LEFT($C104,11)="[Jefatura] ",IFERROR(MATCH("Riesgo Financiero|"&amp;MID($C104,12,500),rDname_ADM,0),0),"")</f>
        <v/>
      </c>
      <c r="AM104" s="62">
        <f>IF(N($AL104)&gt;0,INDEX(rIni_ADM,$AL104),IF(ISNUMBER($E104),$E104,""))</f>
        <v/>
      </c>
      <c r="AN104" s="62">
        <f>IF(N($AL104)&gt;0,INDEX(rLim_ADM,$AL104),IF(ISNUMBER($F104),$F104,""))</f>
        <v/>
      </c>
    </row>
    <row r="105">
      <c r="A105" s="56">
        <f>IF(NOT((COUNTA($B105:$D105)+COUNTA($G105:$L105)+COUNTA($Q105))&gt;0),"",IF($V105="Macro",COUNTIFS($V$5:$V105,"Macro",$S$5:$S105,$S105),IF(N($U105)=0,"?",COUNTIFS(INDEX($V$5:$V$1000,1):INDEX($V$5:$V$1000,$U105-4),"Macro",INDEX($S$5:$S$1000,1):INDEX($S$5:$S$1000,$U105-4),INDEX($S$5:$S$1000,$U105-4))&amp;"."&amp;COUNTIFS($U$5:$U105,$U105,$V$5:$V105,"Sub"))))</f>
        <v/>
      </c>
      <c r="B105" s="57" t="n"/>
      <c r="C105" s="58" t="n"/>
      <c r="D105" s="58" t="n"/>
      <c r="E105" s="59">
        <f>IF(N($AL105)&gt;0,INDEX(rIni_ADM,$AL105),"")</f>
        <v/>
      </c>
      <c r="F105" s="59">
        <f>IF(N($AL105)&gt;0,INDEX(rLim_ADM,$AL105),"")</f>
        <v/>
      </c>
      <c r="G105" s="59" t="n"/>
      <c r="H105" s="60" t="n"/>
      <c r="I105" s="60" t="n"/>
      <c r="J105" s="60" t="n"/>
      <c r="K105" s="60" t="n"/>
      <c r="L105" s="60" t="n"/>
      <c r="M105" s="61">
        <f>IF(NOT((COUNTA($B105:$D105)+COUNTA($G105:$L105)+COUNTA($Q105))&gt;0),"",IF(ISNUMBER($G105),1,IF(N($W105)&gt;0,AVERAGEIFS($X$5:$X$1000,$U$5:$U$1000,ROW(),$V$5:$V$1000,"Sub"),$X105)))</f>
        <v/>
      </c>
      <c r="N105" s="56">
        <f>IF($M105="","",IF($M105&gt;=1,"Completado",IF($M105&gt;0,"En curso","Pendiente")))</f>
        <v/>
      </c>
      <c r="O105" s="56">
        <f>IF(NOT((COUNTA($B105:$D105)+COUNTA($G105:$L105)+COUNTA($Q105))&gt;0),"",IF(ISNUMBER($G105),IF(AND(ISNUMBER($AN105),$G105&gt;$AN105),"Cumplida con "&amp;($G105-$AN105)&amp;IF($G105-$AN105=1," día"," días")&amp;" de retraso","Cumplida"),IF(N($M105)&gt;=1,"Cumplida",IF(NOT(ISNUMBER($AN105)),"Sin fecha límite",IF($AN105&lt;FechaRef,"Vencida hace "&amp;(FechaRef-$AN105)&amp;IF(FechaRef-$AN105=1," día"," días"),IF($AN105=FechaRef,"Vence hoy",IF($AN105-FechaRef&lt;=DiasAlerta,"Vence en "&amp;($AN105-FechaRef)&amp;IF($AN105-FechaRef=1," día"," días"),"En plazo")))))))</f>
        <v/>
      </c>
      <c r="P105" s="62" t="n"/>
      <c r="Q105" s="58" t="n"/>
      <c r="R105" s="63">
        <f>IF(NOT((COUNTA($B105:$D105)+COUNTA($G105:$L105)+COUNTA($Q105))&gt;0),"",IF((IF($C105="","Falta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",""))="","✔ OK","⚠ "&amp;LEFT(IF($C105="","Falta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",""),LEN(IF($C105="","Falta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",""))-3)))</f>
        <v/>
      </c>
      <c r="S105" s="64">
        <f>IF(NOT((COUNTA($B105:$D105)+COUNTA($G105:$L105)+COUNTA($Q105))&gt;0),"",IF(AND($V105="Sub",N($U105)&gt;0),IF(ISNUMBER(INDEX($AM$5:$AM$1000,$U105-4)),DATE(YEAR(INDEX($AM$5:$AM$1000,$U105-4)),MONTH(INDEX($AM$5:$AM$1000,$U105-4)),1),IF(ISNUMBER(INDEX($AN$5:$AN$1000,$U105-4)),DATE(YEAR(INDEX($AN$5:$AN$1000,$U105-4)),MONTH(INDEX($AN$5:$AN$1000,$U105-4)),1),MesCiclo)),IF(ISNUMBER($AM105),DATE(YEAR($AM105),MONTH($AM105),1),IF(ISNUMBER($AN105),DATE(YEAR($AN105),MONTH($AN105),1),MesCiclo))))</f>
        <v/>
      </c>
      <c r="T105" s="62">
        <f>IF(OR($S105="",$S105&lt;&gt;MesCiclo),"",COUNTIF($S$5:$S105,MesCiclo))</f>
        <v/>
      </c>
      <c r="U105" s="62">
        <f>IF($V105="","",IF($V105="Macro",ROW(),IFERROR(LOOKUP(2,1/($V$5:$V105="Macro"),ROW($V$5:$V105)),0)))</f>
        <v/>
      </c>
      <c r="V105" s="62">
        <f>IF(NOT((COUNTA($B105:$D105)+COUNTA($G105:$L105)+COUNTA($Q105))&gt;0),"",IF($B105="Subactividad","Sub","Macro"))</f>
        <v/>
      </c>
      <c r="W105" s="62">
        <f>IF($V105="Macro",COUNTIFS($U$5:$U$1000,ROW(),$V$5:$V$1000,"Sub"),"")</f>
        <v/>
      </c>
      <c r="X105" s="62">
        <f>IF($V105="","",IF(ISNUMBER($G105),1,IFERROR(LOOKUP(2,1/($I105:$L105&lt;&gt;""),$I105:$L105),0)))</f>
        <v/>
      </c>
      <c r="Y105" s="62">
        <f>IF($V105="","",IF(AND(ISNUMBER($G105),$G105&lt;=IF($S105=MesCiclo,InicioCiclo,$S105+MOD(2-WEEKDAY($S105),7))+6),1,IF(ISNUMBER($I105),$I105,0)))</f>
        <v/>
      </c>
      <c r="Z105" s="62">
        <f>IF($V105="","",IF(AND(ISNUMBER($G105),$G105&lt;=IF($S105=MesCiclo,InicioCiclo,$S105+MOD(2-WEEKDAY($S105),7))+13),1,IF(ISNUMBER($J105),$J105,$Y105)))</f>
        <v/>
      </c>
      <c r="AA105" s="62">
        <f>IF($V105="","",IF(AND(ISNUMBER($G105),$G105&lt;=IF($S105=MesCiclo,InicioCiclo,$S105+MOD(2-WEEKDAY($S105),7))+20),1,IF(ISNUMBER($K105),$K105,$Z105)))</f>
        <v/>
      </c>
      <c r="AB105" s="62">
        <f>IF($V105="","",IF(AND(ISNUMBER($G105),$G105&lt;=IF($S105=MesCiclo,InicioCiclo,$S105+MOD(2-WEEKDAY($S105),7))+27),1,IF(ISNUMBER($L105),$L105,$AA105)))</f>
        <v/>
      </c>
      <c r="AC105" s="62">
        <f>IF($V105="","",IF(AND(ISNUMBER($G105),$G105&lt;=IF($S105=MesCiclo,InicioCiclo,$S105+MOD(2-WEEKDAY($S105),7))+6),1,IF(N($W105)&gt;0,AVERAGEIFS($Y$5:$Y$1000,$U$5:$U$1000,ROW(),$V$5:$V$1000,"Sub"),$Y105)))</f>
        <v/>
      </c>
      <c r="AD105" s="62">
        <f>IF($V105="","",IF(AND(ISNUMBER($G105),$G105&lt;=IF($S105=MesCiclo,InicioCiclo,$S105+MOD(2-WEEKDAY($S105),7))+13),1,IF(N($W105)&gt;0,AVERAGEIFS($Z$5:$Z$1000,$U$5:$U$1000,ROW(),$V$5:$V$1000,"Sub"),$Z105)))</f>
        <v/>
      </c>
      <c r="AE105" s="62">
        <f>IF($V105="","",IF(AND(ISNUMBER($G105),$G105&lt;=IF($S105=MesCiclo,InicioCiclo,$S105+MOD(2-WEEKDAY($S105),7))+20),1,IF(N($W105)&gt;0,AVERAGEIFS($AA$5:$AA$1000,$U$5:$U$1000,ROW(),$V$5:$V$1000,"Sub"),$AA105)))</f>
        <v/>
      </c>
      <c r="AF105" s="62">
        <f>IF($V105="","",IF(AND(ISNUMBER($G105),$G105&lt;=IF($S105=MesCiclo,InicioCiclo,$S105+MOD(2-WEEKDAY($S105),7))+27),1,IF(N($W105)&gt;0,AVERAGEIFS($AB$5:$AB$1000,$U$5:$U$1000,ROW(),$V$5:$V$1000,"Sub"),$AB105)))</f>
        <v/>
      </c>
      <c r="AG105" s="62">
        <f>IF($V105&lt;&gt;"Macro","",IF(COUNTIFS($S$5:$S$1000,$S105,$V$5:$V$1000,"Macro",$H$5:$H$1000,"&gt;0")=0,1/COUNTIFS($S$5:$S$1000,$S105,$V$5:$V$1000,"Macro"),IF(AND(ISNUMBER($H105),N($H105)&gt;0),$H105,SUMIFS($H$5:$H$1000,$S$5:$S$1000,$S105,$V$5:$V$1000,"Macro")/COUNTIFS($S$5:$S$1000,$S105,$V$5:$V$1000,"Macro",$H$5:$H$1000,"&gt;0"))/(COUNTIFS($S$5:$S$1000,$S105,$V$5:$V$1000,"Macro")*SUMIFS($H$5:$H$1000,$S$5:$S$1000,$S105,$V$5:$V$1000,"Macro")/COUNTIFS($S$5:$S$1000,$S105,$V$5:$V$1000,"Macro",$H$5:$H$1000,"&gt;0"))))</f>
        <v/>
      </c>
      <c r="AH105" s="62" t="n"/>
      <c r="AI105" s="62" t="n"/>
      <c r="AJ105" s="62" t="n"/>
      <c r="AK105" s="62" t="n"/>
      <c r="AL105" s="62">
        <f>IF(LEFT($C105,11)="[Jefatura] ",IFERROR(MATCH("Riesgo Financiero|"&amp;MID($C105,12,500),rDname_ADM,0),0),"")</f>
        <v/>
      </c>
      <c r="AM105" s="62">
        <f>IF(N($AL105)&gt;0,INDEX(rIni_ADM,$AL105),IF(ISNUMBER($E105),$E105,""))</f>
        <v/>
      </c>
      <c r="AN105" s="62">
        <f>IF(N($AL105)&gt;0,INDEX(rLim_ADM,$AL105),IF(ISNUMBER($F105),$F105,""))</f>
        <v/>
      </c>
    </row>
    <row r="106">
      <c r="A106" s="56">
        <f>IF(NOT((COUNTA($B106:$D106)+COUNTA($G106:$L106)+COUNTA($Q106))&gt;0),"",IF($V106="Macro",COUNTIFS($V$5:$V106,"Macro",$S$5:$S106,$S106),IF(N($U106)=0,"?",COUNTIFS(INDEX($V$5:$V$1000,1):INDEX($V$5:$V$1000,$U106-4),"Macro",INDEX($S$5:$S$1000,1):INDEX($S$5:$S$1000,$U106-4),INDEX($S$5:$S$1000,$U106-4))&amp;"."&amp;COUNTIFS($U$5:$U106,$U106,$V$5:$V106,"Sub"))))</f>
        <v/>
      </c>
      <c r="B106" s="57" t="n"/>
      <c r="C106" s="58" t="n"/>
      <c r="D106" s="58" t="n"/>
      <c r="E106" s="59">
        <f>IF(N($AL106)&gt;0,INDEX(rIni_ADM,$AL106),"")</f>
        <v/>
      </c>
      <c r="F106" s="59">
        <f>IF(N($AL106)&gt;0,INDEX(rLim_ADM,$AL106),"")</f>
        <v/>
      </c>
      <c r="G106" s="59" t="n"/>
      <c r="H106" s="60" t="n"/>
      <c r="I106" s="60" t="n"/>
      <c r="J106" s="60" t="n"/>
      <c r="K106" s="60" t="n"/>
      <c r="L106" s="60" t="n"/>
      <c r="M106" s="61">
        <f>IF(NOT((COUNTA($B106:$D106)+COUNTA($G106:$L106)+COUNTA($Q106))&gt;0),"",IF(ISNUMBER($G106),1,IF(N($W106)&gt;0,AVERAGEIFS($X$5:$X$1000,$U$5:$U$1000,ROW(),$V$5:$V$1000,"Sub"),$X106)))</f>
        <v/>
      </c>
      <c r="N106" s="56">
        <f>IF($M106="","",IF($M106&gt;=1,"Completado",IF($M106&gt;0,"En curso","Pendiente")))</f>
        <v/>
      </c>
      <c r="O106" s="56">
        <f>IF(NOT((COUNTA($B106:$D106)+COUNTA($G106:$L106)+COUNTA($Q106))&gt;0),"",IF(ISNUMBER($G106),IF(AND(ISNUMBER($AN106),$G106&gt;$AN106),"Cumplida con "&amp;($G106-$AN106)&amp;IF($G106-$AN106=1," día"," días")&amp;" de retraso","Cumplida"),IF(N($M106)&gt;=1,"Cumplida",IF(NOT(ISNUMBER($AN106)),"Sin fecha límite",IF($AN106&lt;FechaRef,"Vencida hace "&amp;(FechaRef-$AN106)&amp;IF(FechaRef-$AN106=1," día"," días"),IF($AN106=FechaRef,"Vence hoy",IF($AN106-FechaRef&lt;=DiasAlerta,"Vence en "&amp;($AN106-FechaRef)&amp;IF($AN106-FechaRef=1," día"," días"),"En plazo")))))))</f>
        <v/>
      </c>
      <c r="P106" s="62" t="n"/>
      <c r="Q106" s="58" t="n"/>
      <c r="R106" s="63">
        <f>IF(NOT((COUNTA($B106:$D106)+COUNTA($G106:$L106)+COUNTA($Q106))&gt;0),"",IF((IF($C106="","Falta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",""))="","✔ OK","⚠ "&amp;LEFT(IF($C106="","Falta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",""),LEN(IF($C106="","Falta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",""))-3)))</f>
        <v/>
      </c>
      <c r="S106" s="64">
        <f>IF(NOT((COUNTA($B106:$D106)+COUNTA($G106:$L106)+COUNTA($Q106))&gt;0),"",IF(AND($V106="Sub",N($U106)&gt;0),IF(ISNUMBER(INDEX($AM$5:$AM$1000,$U106-4)),DATE(YEAR(INDEX($AM$5:$AM$1000,$U106-4)),MONTH(INDEX($AM$5:$AM$1000,$U106-4)),1),IF(ISNUMBER(INDEX($AN$5:$AN$1000,$U106-4)),DATE(YEAR(INDEX($AN$5:$AN$1000,$U106-4)),MONTH(INDEX($AN$5:$AN$1000,$U106-4)),1),MesCiclo)),IF(ISNUMBER($AM106),DATE(YEAR($AM106),MONTH($AM106),1),IF(ISNUMBER($AN106),DATE(YEAR($AN106),MONTH($AN106),1),MesCiclo))))</f>
        <v/>
      </c>
      <c r="T106" s="62">
        <f>IF(OR($S106="",$S106&lt;&gt;MesCiclo),"",COUNTIF($S$5:$S106,MesCiclo))</f>
        <v/>
      </c>
      <c r="U106" s="62">
        <f>IF($V106="","",IF($V106="Macro",ROW(),IFERROR(LOOKUP(2,1/($V$5:$V106="Macro"),ROW($V$5:$V106)),0)))</f>
        <v/>
      </c>
      <c r="V106" s="62">
        <f>IF(NOT((COUNTA($B106:$D106)+COUNTA($G106:$L106)+COUNTA($Q106))&gt;0),"",IF($B106="Subactividad","Sub","Macro"))</f>
        <v/>
      </c>
      <c r="W106" s="62">
        <f>IF($V106="Macro",COUNTIFS($U$5:$U$1000,ROW(),$V$5:$V$1000,"Sub"),"")</f>
        <v/>
      </c>
      <c r="X106" s="62">
        <f>IF($V106="","",IF(ISNUMBER($G106),1,IFERROR(LOOKUP(2,1/($I106:$L106&lt;&gt;""),$I106:$L106),0)))</f>
        <v/>
      </c>
      <c r="Y106" s="62">
        <f>IF($V106="","",IF(AND(ISNUMBER($G106),$G106&lt;=IF($S106=MesCiclo,InicioCiclo,$S106+MOD(2-WEEKDAY($S106),7))+6),1,IF(ISNUMBER($I106),$I106,0)))</f>
        <v/>
      </c>
      <c r="Z106" s="62">
        <f>IF($V106="","",IF(AND(ISNUMBER($G106),$G106&lt;=IF($S106=MesCiclo,InicioCiclo,$S106+MOD(2-WEEKDAY($S106),7))+13),1,IF(ISNUMBER($J106),$J106,$Y106)))</f>
        <v/>
      </c>
      <c r="AA106" s="62">
        <f>IF($V106="","",IF(AND(ISNUMBER($G106),$G106&lt;=IF($S106=MesCiclo,InicioCiclo,$S106+MOD(2-WEEKDAY($S106),7))+20),1,IF(ISNUMBER($K106),$K106,$Z106)))</f>
        <v/>
      </c>
      <c r="AB106" s="62">
        <f>IF($V106="","",IF(AND(ISNUMBER($G106),$G106&lt;=IF($S106=MesCiclo,InicioCiclo,$S106+MOD(2-WEEKDAY($S106),7))+27),1,IF(ISNUMBER($L106),$L106,$AA106)))</f>
        <v/>
      </c>
      <c r="AC106" s="62">
        <f>IF($V106="","",IF(AND(ISNUMBER($G106),$G106&lt;=IF($S106=MesCiclo,InicioCiclo,$S106+MOD(2-WEEKDAY($S106),7))+6),1,IF(N($W106)&gt;0,AVERAGEIFS($Y$5:$Y$1000,$U$5:$U$1000,ROW(),$V$5:$V$1000,"Sub"),$Y106)))</f>
        <v/>
      </c>
      <c r="AD106" s="62">
        <f>IF($V106="","",IF(AND(ISNUMBER($G106),$G106&lt;=IF($S106=MesCiclo,InicioCiclo,$S106+MOD(2-WEEKDAY($S106),7))+13),1,IF(N($W106)&gt;0,AVERAGEIFS($Z$5:$Z$1000,$U$5:$U$1000,ROW(),$V$5:$V$1000,"Sub"),$Z106)))</f>
        <v/>
      </c>
      <c r="AE106" s="62">
        <f>IF($V106="","",IF(AND(ISNUMBER($G106),$G106&lt;=IF($S106=MesCiclo,InicioCiclo,$S106+MOD(2-WEEKDAY($S106),7))+20),1,IF(N($W106)&gt;0,AVERAGEIFS($AA$5:$AA$1000,$U$5:$U$1000,ROW(),$V$5:$V$1000,"Sub"),$AA106)))</f>
        <v/>
      </c>
      <c r="AF106" s="62">
        <f>IF($V106="","",IF(AND(ISNUMBER($G106),$G106&lt;=IF($S106=MesCiclo,InicioCiclo,$S106+MOD(2-WEEKDAY($S106),7))+27),1,IF(N($W106)&gt;0,AVERAGEIFS($AB$5:$AB$1000,$U$5:$U$1000,ROW(),$V$5:$V$1000,"Sub"),$AB106)))</f>
        <v/>
      </c>
      <c r="AG106" s="62">
        <f>IF($V106&lt;&gt;"Macro","",IF(COUNTIFS($S$5:$S$1000,$S106,$V$5:$V$1000,"Macro",$H$5:$H$1000,"&gt;0")=0,1/COUNTIFS($S$5:$S$1000,$S106,$V$5:$V$1000,"Macro"),IF(AND(ISNUMBER($H106),N($H106)&gt;0),$H106,SUMIFS($H$5:$H$1000,$S$5:$S$1000,$S106,$V$5:$V$1000,"Macro")/COUNTIFS($S$5:$S$1000,$S106,$V$5:$V$1000,"Macro",$H$5:$H$1000,"&gt;0"))/(COUNTIFS($S$5:$S$1000,$S106,$V$5:$V$1000,"Macro")*SUMIFS($H$5:$H$1000,$S$5:$S$1000,$S106,$V$5:$V$1000,"Macro")/COUNTIFS($S$5:$S$1000,$S106,$V$5:$V$1000,"Macro",$H$5:$H$1000,"&gt;0"))))</f>
        <v/>
      </c>
      <c r="AH106" s="62" t="n"/>
      <c r="AI106" s="62" t="n"/>
      <c r="AJ106" s="62" t="n"/>
      <c r="AK106" s="62" t="n"/>
      <c r="AL106" s="62">
        <f>IF(LEFT($C106,11)="[Jefatura] ",IFERROR(MATCH("Riesgo Financiero|"&amp;MID($C106,12,500),rDname_ADM,0),0),"")</f>
        <v/>
      </c>
      <c r="AM106" s="62">
        <f>IF(N($AL106)&gt;0,INDEX(rIni_ADM,$AL106),IF(ISNUMBER($E106),$E106,""))</f>
        <v/>
      </c>
      <c r="AN106" s="62">
        <f>IF(N($AL106)&gt;0,INDEX(rLim_ADM,$AL106),IF(ISNUMBER($F106),$F106,""))</f>
        <v/>
      </c>
    </row>
    <row r="107">
      <c r="A107" s="56">
        <f>IF(NOT((COUNTA($B107:$D107)+COUNTA($G107:$L107)+COUNTA($Q107))&gt;0),"",IF($V107="Macro",COUNTIFS($V$5:$V107,"Macro",$S$5:$S107,$S107),IF(N($U107)=0,"?",COUNTIFS(INDEX($V$5:$V$1000,1):INDEX($V$5:$V$1000,$U107-4),"Macro",INDEX($S$5:$S$1000,1):INDEX($S$5:$S$1000,$U107-4),INDEX($S$5:$S$1000,$U107-4))&amp;"."&amp;COUNTIFS($U$5:$U107,$U107,$V$5:$V107,"Sub"))))</f>
        <v/>
      </c>
      <c r="B107" s="57" t="n"/>
      <c r="C107" s="58" t="n"/>
      <c r="D107" s="58" t="n"/>
      <c r="E107" s="59">
        <f>IF(N($AL107)&gt;0,INDEX(rIni_ADM,$AL107),"")</f>
        <v/>
      </c>
      <c r="F107" s="59">
        <f>IF(N($AL107)&gt;0,INDEX(rLim_ADM,$AL107),"")</f>
        <v/>
      </c>
      <c r="G107" s="59" t="n"/>
      <c r="H107" s="60" t="n"/>
      <c r="I107" s="60" t="n"/>
      <c r="J107" s="60" t="n"/>
      <c r="K107" s="60" t="n"/>
      <c r="L107" s="60" t="n"/>
      <c r="M107" s="61">
        <f>IF(NOT((COUNTA($B107:$D107)+COUNTA($G107:$L107)+COUNTA($Q107))&gt;0),"",IF(ISNUMBER($G107),1,IF(N($W107)&gt;0,AVERAGEIFS($X$5:$X$1000,$U$5:$U$1000,ROW(),$V$5:$V$1000,"Sub"),$X107)))</f>
        <v/>
      </c>
      <c r="N107" s="56">
        <f>IF($M107="","",IF($M107&gt;=1,"Completado",IF($M107&gt;0,"En curso","Pendiente")))</f>
        <v/>
      </c>
      <c r="O107" s="56">
        <f>IF(NOT((COUNTA($B107:$D107)+COUNTA($G107:$L107)+COUNTA($Q107))&gt;0),"",IF(ISNUMBER($G107),IF(AND(ISNUMBER($AN107),$G107&gt;$AN107),"Cumplida con "&amp;($G107-$AN107)&amp;IF($G107-$AN107=1," día"," días")&amp;" de retraso","Cumplida"),IF(N($M107)&gt;=1,"Cumplida",IF(NOT(ISNUMBER($AN107)),"Sin fecha límite",IF($AN107&lt;FechaRef,"Vencida hace "&amp;(FechaRef-$AN107)&amp;IF(FechaRef-$AN107=1," día"," días"),IF($AN107=FechaRef,"Vence hoy",IF($AN107-FechaRef&lt;=DiasAlerta,"Vence en "&amp;($AN107-FechaRef)&amp;IF($AN107-FechaRef=1," día"," días"),"En plazo")))))))</f>
        <v/>
      </c>
      <c r="P107" s="62" t="n"/>
      <c r="Q107" s="58" t="n"/>
      <c r="R107" s="63">
        <f>IF(NOT((COUNTA($B107:$D107)+COUNTA($G107:$L107)+COUNTA($Q107))&gt;0),"",IF((IF($C107="","Falta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",""))="","✔ OK","⚠ "&amp;LEFT(IF($C107="","Falta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",""),LEN(IF($C107="","Falta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",""))-3)))</f>
        <v/>
      </c>
      <c r="S107" s="64">
        <f>IF(NOT((COUNTA($B107:$D107)+COUNTA($G107:$L107)+COUNTA($Q107))&gt;0),"",IF(AND($V107="Sub",N($U107)&gt;0),IF(ISNUMBER(INDEX($AM$5:$AM$1000,$U107-4)),DATE(YEAR(INDEX($AM$5:$AM$1000,$U107-4)),MONTH(INDEX($AM$5:$AM$1000,$U107-4)),1),IF(ISNUMBER(INDEX($AN$5:$AN$1000,$U107-4)),DATE(YEAR(INDEX($AN$5:$AN$1000,$U107-4)),MONTH(INDEX($AN$5:$AN$1000,$U107-4)),1),MesCiclo)),IF(ISNUMBER($AM107),DATE(YEAR($AM107),MONTH($AM107),1),IF(ISNUMBER($AN107),DATE(YEAR($AN107),MONTH($AN107),1),MesCiclo))))</f>
        <v/>
      </c>
      <c r="T107" s="62">
        <f>IF(OR($S107="",$S107&lt;&gt;MesCiclo),"",COUNTIF($S$5:$S107,MesCiclo))</f>
        <v/>
      </c>
      <c r="U107" s="62">
        <f>IF($V107="","",IF($V107="Macro",ROW(),IFERROR(LOOKUP(2,1/($V$5:$V107="Macro"),ROW($V$5:$V107)),0)))</f>
        <v/>
      </c>
      <c r="V107" s="62">
        <f>IF(NOT((COUNTA($B107:$D107)+COUNTA($G107:$L107)+COUNTA($Q107))&gt;0),"",IF($B107="Subactividad","Sub","Macro"))</f>
        <v/>
      </c>
      <c r="W107" s="62">
        <f>IF($V107="Macro",COUNTIFS($U$5:$U$1000,ROW(),$V$5:$V$1000,"Sub"),"")</f>
        <v/>
      </c>
      <c r="X107" s="62">
        <f>IF($V107="","",IF(ISNUMBER($G107),1,IFERROR(LOOKUP(2,1/($I107:$L107&lt;&gt;""),$I107:$L107),0)))</f>
        <v/>
      </c>
      <c r="Y107" s="62">
        <f>IF($V107="","",IF(AND(ISNUMBER($G107),$G107&lt;=IF($S107=MesCiclo,InicioCiclo,$S107+MOD(2-WEEKDAY($S107),7))+6),1,IF(ISNUMBER($I107),$I107,0)))</f>
        <v/>
      </c>
      <c r="Z107" s="62">
        <f>IF($V107="","",IF(AND(ISNUMBER($G107),$G107&lt;=IF($S107=MesCiclo,InicioCiclo,$S107+MOD(2-WEEKDAY($S107),7))+13),1,IF(ISNUMBER($J107),$J107,$Y107)))</f>
        <v/>
      </c>
      <c r="AA107" s="62">
        <f>IF($V107="","",IF(AND(ISNUMBER($G107),$G107&lt;=IF($S107=MesCiclo,InicioCiclo,$S107+MOD(2-WEEKDAY($S107),7))+20),1,IF(ISNUMBER($K107),$K107,$Z107)))</f>
        <v/>
      </c>
      <c r="AB107" s="62">
        <f>IF($V107="","",IF(AND(ISNUMBER($G107),$G107&lt;=IF($S107=MesCiclo,InicioCiclo,$S107+MOD(2-WEEKDAY($S107),7))+27),1,IF(ISNUMBER($L107),$L107,$AA107)))</f>
        <v/>
      </c>
      <c r="AC107" s="62">
        <f>IF($V107="","",IF(AND(ISNUMBER($G107),$G107&lt;=IF($S107=MesCiclo,InicioCiclo,$S107+MOD(2-WEEKDAY($S107),7))+6),1,IF(N($W107)&gt;0,AVERAGEIFS($Y$5:$Y$1000,$U$5:$U$1000,ROW(),$V$5:$V$1000,"Sub"),$Y107)))</f>
        <v/>
      </c>
      <c r="AD107" s="62">
        <f>IF($V107="","",IF(AND(ISNUMBER($G107),$G107&lt;=IF($S107=MesCiclo,InicioCiclo,$S107+MOD(2-WEEKDAY($S107),7))+13),1,IF(N($W107)&gt;0,AVERAGEIFS($Z$5:$Z$1000,$U$5:$U$1000,ROW(),$V$5:$V$1000,"Sub"),$Z107)))</f>
        <v/>
      </c>
      <c r="AE107" s="62">
        <f>IF($V107="","",IF(AND(ISNUMBER($G107),$G107&lt;=IF($S107=MesCiclo,InicioCiclo,$S107+MOD(2-WEEKDAY($S107),7))+20),1,IF(N($W107)&gt;0,AVERAGEIFS($AA$5:$AA$1000,$U$5:$U$1000,ROW(),$V$5:$V$1000,"Sub"),$AA107)))</f>
        <v/>
      </c>
      <c r="AF107" s="62">
        <f>IF($V107="","",IF(AND(ISNUMBER($G107),$G107&lt;=IF($S107=MesCiclo,InicioCiclo,$S107+MOD(2-WEEKDAY($S107),7))+27),1,IF(N($W107)&gt;0,AVERAGEIFS($AB$5:$AB$1000,$U$5:$U$1000,ROW(),$V$5:$V$1000,"Sub"),$AB107)))</f>
        <v/>
      </c>
      <c r="AG107" s="62">
        <f>IF($V107&lt;&gt;"Macro","",IF(COUNTIFS($S$5:$S$1000,$S107,$V$5:$V$1000,"Macro",$H$5:$H$1000,"&gt;0")=0,1/COUNTIFS($S$5:$S$1000,$S107,$V$5:$V$1000,"Macro"),IF(AND(ISNUMBER($H107),N($H107)&gt;0),$H107,SUMIFS($H$5:$H$1000,$S$5:$S$1000,$S107,$V$5:$V$1000,"Macro")/COUNTIFS($S$5:$S$1000,$S107,$V$5:$V$1000,"Macro",$H$5:$H$1000,"&gt;0"))/(COUNTIFS($S$5:$S$1000,$S107,$V$5:$V$1000,"Macro")*SUMIFS($H$5:$H$1000,$S$5:$S$1000,$S107,$V$5:$V$1000,"Macro")/COUNTIFS($S$5:$S$1000,$S107,$V$5:$V$1000,"Macro",$H$5:$H$1000,"&gt;0"))))</f>
        <v/>
      </c>
      <c r="AH107" s="62" t="n"/>
      <c r="AI107" s="62" t="n"/>
      <c r="AJ107" s="62" t="n"/>
      <c r="AK107" s="62" t="n"/>
      <c r="AL107" s="62">
        <f>IF(LEFT($C107,11)="[Jefatura] ",IFERROR(MATCH("Riesgo Financiero|"&amp;MID($C107,12,500),rDname_ADM,0),0),"")</f>
        <v/>
      </c>
      <c r="AM107" s="62">
        <f>IF(N($AL107)&gt;0,INDEX(rIni_ADM,$AL107),IF(ISNUMBER($E107),$E107,""))</f>
        <v/>
      </c>
      <c r="AN107" s="62">
        <f>IF(N($AL107)&gt;0,INDEX(rLim_ADM,$AL107),IF(ISNUMBER($F107),$F107,""))</f>
        <v/>
      </c>
    </row>
    <row r="108">
      <c r="A108" s="56">
        <f>IF(NOT((COUNTA($B108:$D108)+COUNTA($G108:$L108)+COUNTA($Q108))&gt;0),"",IF($V108="Macro",COUNTIFS($V$5:$V108,"Macro",$S$5:$S108,$S108),IF(N($U108)=0,"?",COUNTIFS(INDEX($V$5:$V$1000,1):INDEX($V$5:$V$1000,$U108-4),"Macro",INDEX($S$5:$S$1000,1):INDEX($S$5:$S$1000,$U108-4),INDEX($S$5:$S$1000,$U108-4))&amp;"."&amp;COUNTIFS($U$5:$U108,$U108,$V$5:$V108,"Sub"))))</f>
        <v/>
      </c>
      <c r="B108" s="57" t="n"/>
      <c r="C108" s="58" t="n"/>
      <c r="D108" s="58" t="n"/>
      <c r="E108" s="59">
        <f>IF(N($AL108)&gt;0,INDEX(rIni_ADM,$AL108),"")</f>
        <v/>
      </c>
      <c r="F108" s="59">
        <f>IF(N($AL108)&gt;0,INDEX(rLim_ADM,$AL108),"")</f>
        <v/>
      </c>
      <c r="G108" s="59" t="n"/>
      <c r="H108" s="60" t="n"/>
      <c r="I108" s="60" t="n"/>
      <c r="J108" s="60" t="n"/>
      <c r="K108" s="60" t="n"/>
      <c r="L108" s="60" t="n"/>
      <c r="M108" s="61">
        <f>IF(NOT((COUNTA($B108:$D108)+COUNTA($G108:$L108)+COUNTA($Q108))&gt;0),"",IF(ISNUMBER($G108),1,IF(N($W108)&gt;0,AVERAGEIFS($X$5:$X$1000,$U$5:$U$1000,ROW(),$V$5:$V$1000,"Sub"),$X108)))</f>
        <v/>
      </c>
      <c r="N108" s="56">
        <f>IF($M108="","",IF($M108&gt;=1,"Completado",IF($M108&gt;0,"En curso","Pendiente")))</f>
        <v/>
      </c>
      <c r="O108" s="56">
        <f>IF(NOT((COUNTA($B108:$D108)+COUNTA($G108:$L108)+COUNTA($Q108))&gt;0),"",IF(ISNUMBER($G108),IF(AND(ISNUMBER($AN108),$G108&gt;$AN108),"Cumplida con "&amp;($G108-$AN108)&amp;IF($G108-$AN108=1," día"," días")&amp;" de retraso","Cumplida"),IF(N($M108)&gt;=1,"Cumplida",IF(NOT(ISNUMBER($AN108)),"Sin fecha límite",IF($AN108&lt;FechaRef,"Vencida hace "&amp;(FechaRef-$AN108)&amp;IF(FechaRef-$AN108=1," día"," días"),IF($AN108=FechaRef,"Vence hoy",IF($AN108-FechaRef&lt;=DiasAlerta,"Vence en "&amp;($AN108-FechaRef)&amp;IF($AN108-FechaRef=1," día"," días"),"En plazo")))))))</f>
        <v/>
      </c>
      <c r="P108" s="62" t="n"/>
      <c r="Q108" s="58" t="n"/>
      <c r="R108" s="63">
        <f>IF(NOT((COUNTA($B108:$D108)+COUNTA($G108:$L108)+COUNTA($Q108))&gt;0),"",IF((IF($C108="","Falta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",""))="","✔ OK","⚠ "&amp;LEFT(IF($C108="","Falta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",""),LEN(IF($C108="","Falta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",""))-3)))</f>
        <v/>
      </c>
      <c r="S108" s="64">
        <f>IF(NOT((COUNTA($B108:$D108)+COUNTA($G108:$L108)+COUNTA($Q108))&gt;0),"",IF(AND($V108="Sub",N($U108)&gt;0),IF(ISNUMBER(INDEX($AM$5:$AM$1000,$U108-4)),DATE(YEAR(INDEX($AM$5:$AM$1000,$U108-4)),MONTH(INDEX($AM$5:$AM$1000,$U108-4)),1),IF(ISNUMBER(INDEX($AN$5:$AN$1000,$U108-4)),DATE(YEAR(INDEX($AN$5:$AN$1000,$U108-4)),MONTH(INDEX($AN$5:$AN$1000,$U108-4)),1),MesCiclo)),IF(ISNUMBER($AM108),DATE(YEAR($AM108),MONTH($AM108),1),IF(ISNUMBER($AN108),DATE(YEAR($AN108),MONTH($AN108),1),MesCiclo))))</f>
        <v/>
      </c>
      <c r="T108" s="62">
        <f>IF(OR($S108="",$S108&lt;&gt;MesCiclo),"",COUNTIF($S$5:$S108,MesCiclo))</f>
        <v/>
      </c>
      <c r="U108" s="62">
        <f>IF($V108="","",IF($V108="Macro",ROW(),IFERROR(LOOKUP(2,1/($V$5:$V108="Macro"),ROW($V$5:$V108)),0)))</f>
        <v/>
      </c>
      <c r="V108" s="62">
        <f>IF(NOT((COUNTA($B108:$D108)+COUNTA($G108:$L108)+COUNTA($Q108))&gt;0),"",IF($B108="Subactividad","Sub","Macro"))</f>
        <v/>
      </c>
      <c r="W108" s="62">
        <f>IF($V108="Macro",COUNTIFS($U$5:$U$1000,ROW(),$V$5:$V$1000,"Sub"),"")</f>
        <v/>
      </c>
      <c r="X108" s="62">
        <f>IF($V108="","",IF(ISNUMBER($G108),1,IFERROR(LOOKUP(2,1/($I108:$L108&lt;&gt;""),$I108:$L108),0)))</f>
        <v/>
      </c>
      <c r="Y108" s="62">
        <f>IF($V108="","",IF(AND(ISNUMBER($G108),$G108&lt;=IF($S108=MesCiclo,InicioCiclo,$S108+MOD(2-WEEKDAY($S108),7))+6),1,IF(ISNUMBER($I108),$I108,0)))</f>
        <v/>
      </c>
      <c r="Z108" s="62">
        <f>IF($V108="","",IF(AND(ISNUMBER($G108),$G108&lt;=IF($S108=MesCiclo,InicioCiclo,$S108+MOD(2-WEEKDAY($S108),7))+13),1,IF(ISNUMBER($J108),$J108,$Y108)))</f>
        <v/>
      </c>
      <c r="AA108" s="62">
        <f>IF($V108="","",IF(AND(ISNUMBER($G108),$G108&lt;=IF($S108=MesCiclo,InicioCiclo,$S108+MOD(2-WEEKDAY($S108),7))+20),1,IF(ISNUMBER($K108),$K108,$Z108)))</f>
        <v/>
      </c>
      <c r="AB108" s="62">
        <f>IF($V108="","",IF(AND(ISNUMBER($G108),$G108&lt;=IF($S108=MesCiclo,InicioCiclo,$S108+MOD(2-WEEKDAY($S108),7))+27),1,IF(ISNUMBER($L108),$L108,$AA108)))</f>
        <v/>
      </c>
      <c r="AC108" s="62">
        <f>IF($V108="","",IF(AND(ISNUMBER($G108),$G108&lt;=IF($S108=MesCiclo,InicioCiclo,$S108+MOD(2-WEEKDAY($S108),7))+6),1,IF(N($W108)&gt;0,AVERAGEIFS($Y$5:$Y$1000,$U$5:$U$1000,ROW(),$V$5:$V$1000,"Sub"),$Y108)))</f>
        <v/>
      </c>
      <c r="AD108" s="62">
        <f>IF($V108="","",IF(AND(ISNUMBER($G108),$G108&lt;=IF($S108=MesCiclo,InicioCiclo,$S108+MOD(2-WEEKDAY($S108),7))+13),1,IF(N($W108)&gt;0,AVERAGEIFS($Z$5:$Z$1000,$U$5:$U$1000,ROW(),$V$5:$V$1000,"Sub"),$Z108)))</f>
        <v/>
      </c>
      <c r="AE108" s="62">
        <f>IF($V108="","",IF(AND(ISNUMBER($G108),$G108&lt;=IF($S108=MesCiclo,InicioCiclo,$S108+MOD(2-WEEKDAY($S108),7))+20),1,IF(N($W108)&gt;0,AVERAGEIFS($AA$5:$AA$1000,$U$5:$U$1000,ROW(),$V$5:$V$1000,"Sub"),$AA108)))</f>
        <v/>
      </c>
      <c r="AF108" s="62">
        <f>IF($V108="","",IF(AND(ISNUMBER($G108),$G108&lt;=IF($S108=MesCiclo,InicioCiclo,$S108+MOD(2-WEEKDAY($S108),7))+27),1,IF(N($W108)&gt;0,AVERAGEIFS($AB$5:$AB$1000,$U$5:$U$1000,ROW(),$V$5:$V$1000,"Sub"),$AB108)))</f>
        <v/>
      </c>
      <c r="AG108" s="62">
        <f>IF($V108&lt;&gt;"Macro","",IF(COUNTIFS($S$5:$S$1000,$S108,$V$5:$V$1000,"Macro",$H$5:$H$1000,"&gt;0")=0,1/COUNTIFS($S$5:$S$1000,$S108,$V$5:$V$1000,"Macro"),IF(AND(ISNUMBER($H108),N($H108)&gt;0),$H108,SUMIFS($H$5:$H$1000,$S$5:$S$1000,$S108,$V$5:$V$1000,"Macro")/COUNTIFS($S$5:$S$1000,$S108,$V$5:$V$1000,"Macro",$H$5:$H$1000,"&gt;0"))/(COUNTIFS($S$5:$S$1000,$S108,$V$5:$V$1000,"Macro")*SUMIFS($H$5:$H$1000,$S$5:$S$1000,$S108,$V$5:$V$1000,"Macro")/COUNTIFS($S$5:$S$1000,$S108,$V$5:$V$1000,"Macro",$H$5:$H$1000,"&gt;0"))))</f>
        <v/>
      </c>
      <c r="AH108" s="62" t="n"/>
      <c r="AI108" s="62" t="n"/>
      <c r="AJ108" s="62" t="n"/>
      <c r="AK108" s="62" t="n"/>
      <c r="AL108" s="62">
        <f>IF(LEFT($C108,11)="[Jefatura] ",IFERROR(MATCH("Riesgo Financiero|"&amp;MID($C108,12,500),rDname_ADM,0),0),"")</f>
        <v/>
      </c>
      <c r="AM108" s="62">
        <f>IF(N($AL108)&gt;0,INDEX(rIni_ADM,$AL108),IF(ISNUMBER($E108),$E108,""))</f>
        <v/>
      </c>
      <c r="AN108" s="62">
        <f>IF(N($AL108)&gt;0,INDEX(rLim_ADM,$AL108),IF(ISNUMBER($F108),$F108,""))</f>
        <v/>
      </c>
    </row>
    <row r="109">
      <c r="A109" s="56">
        <f>IF(NOT((COUNTA($B109:$D109)+COUNTA($G109:$L109)+COUNTA($Q109))&gt;0),"",IF($V109="Macro",COUNTIFS($V$5:$V109,"Macro",$S$5:$S109,$S109),IF(N($U109)=0,"?",COUNTIFS(INDEX($V$5:$V$1000,1):INDEX($V$5:$V$1000,$U109-4),"Macro",INDEX($S$5:$S$1000,1):INDEX($S$5:$S$1000,$U109-4),INDEX($S$5:$S$1000,$U109-4))&amp;"."&amp;COUNTIFS($U$5:$U109,$U109,$V$5:$V109,"Sub"))))</f>
        <v/>
      </c>
      <c r="B109" s="57" t="n"/>
      <c r="C109" s="58" t="n"/>
      <c r="D109" s="58" t="n"/>
      <c r="E109" s="59">
        <f>IF(N($AL109)&gt;0,INDEX(rIni_ADM,$AL109),"")</f>
        <v/>
      </c>
      <c r="F109" s="59">
        <f>IF(N($AL109)&gt;0,INDEX(rLim_ADM,$AL109),"")</f>
        <v/>
      </c>
      <c r="G109" s="59" t="n"/>
      <c r="H109" s="60" t="n"/>
      <c r="I109" s="60" t="n"/>
      <c r="J109" s="60" t="n"/>
      <c r="K109" s="60" t="n"/>
      <c r="L109" s="60" t="n"/>
      <c r="M109" s="61">
        <f>IF(NOT((COUNTA($B109:$D109)+COUNTA($G109:$L109)+COUNTA($Q109))&gt;0),"",IF(ISNUMBER($G109),1,IF(N($W109)&gt;0,AVERAGEIFS($X$5:$X$1000,$U$5:$U$1000,ROW(),$V$5:$V$1000,"Sub"),$X109)))</f>
        <v/>
      </c>
      <c r="N109" s="56">
        <f>IF($M109="","",IF($M109&gt;=1,"Completado",IF($M109&gt;0,"En curso","Pendiente")))</f>
        <v/>
      </c>
      <c r="O109" s="56">
        <f>IF(NOT((COUNTA($B109:$D109)+COUNTA($G109:$L109)+COUNTA($Q109))&gt;0),"",IF(ISNUMBER($G109),IF(AND(ISNUMBER($AN109),$G109&gt;$AN109),"Cumplida con "&amp;($G109-$AN109)&amp;IF($G109-$AN109=1," día"," días")&amp;" de retraso","Cumplida"),IF(N($M109)&gt;=1,"Cumplida",IF(NOT(ISNUMBER($AN109)),"Sin fecha límite",IF($AN109&lt;FechaRef,"Vencida hace "&amp;(FechaRef-$AN109)&amp;IF(FechaRef-$AN109=1," día"," días"),IF($AN109=FechaRef,"Vence hoy",IF($AN109-FechaRef&lt;=DiasAlerta,"Vence en "&amp;($AN109-FechaRef)&amp;IF($AN109-FechaRef=1," día"," días"),"En plazo")))))))</f>
        <v/>
      </c>
      <c r="P109" s="62" t="n"/>
      <c r="Q109" s="58" t="n"/>
      <c r="R109" s="63">
        <f>IF(NOT((COUNTA($B109:$D109)+COUNTA($G109:$L109)+COUNTA($Q109))&gt;0),"",IF((IF($C109="","Falta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",""))="","✔ OK","⚠ "&amp;LEFT(IF($C109="","Falta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",""),LEN(IF($C109="","Falta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",""))-3)))</f>
        <v/>
      </c>
      <c r="S109" s="64">
        <f>IF(NOT((COUNTA($B109:$D109)+COUNTA($G109:$L109)+COUNTA($Q109))&gt;0),"",IF(AND($V109="Sub",N($U109)&gt;0),IF(ISNUMBER(INDEX($AM$5:$AM$1000,$U109-4)),DATE(YEAR(INDEX($AM$5:$AM$1000,$U109-4)),MONTH(INDEX($AM$5:$AM$1000,$U109-4)),1),IF(ISNUMBER(INDEX($AN$5:$AN$1000,$U109-4)),DATE(YEAR(INDEX($AN$5:$AN$1000,$U109-4)),MONTH(INDEX($AN$5:$AN$1000,$U109-4)),1),MesCiclo)),IF(ISNUMBER($AM109),DATE(YEAR($AM109),MONTH($AM109),1),IF(ISNUMBER($AN109),DATE(YEAR($AN109),MONTH($AN109),1),MesCiclo))))</f>
        <v/>
      </c>
      <c r="T109" s="62">
        <f>IF(OR($S109="",$S109&lt;&gt;MesCiclo),"",COUNTIF($S$5:$S109,MesCiclo))</f>
        <v/>
      </c>
      <c r="U109" s="62">
        <f>IF($V109="","",IF($V109="Macro",ROW(),IFERROR(LOOKUP(2,1/($V$5:$V109="Macro"),ROW($V$5:$V109)),0)))</f>
        <v/>
      </c>
      <c r="V109" s="62">
        <f>IF(NOT((COUNTA($B109:$D109)+COUNTA($G109:$L109)+COUNTA($Q109))&gt;0),"",IF($B109="Subactividad","Sub","Macro"))</f>
        <v/>
      </c>
      <c r="W109" s="62">
        <f>IF($V109="Macro",COUNTIFS($U$5:$U$1000,ROW(),$V$5:$V$1000,"Sub"),"")</f>
        <v/>
      </c>
      <c r="X109" s="62">
        <f>IF($V109="","",IF(ISNUMBER($G109),1,IFERROR(LOOKUP(2,1/($I109:$L109&lt;&gt;""),$I109:$L109),0)))</f>
        <v/>
      </c>
      <c r="Y109" s="62">
        <f>IF($V109="","",IF(AND(ISNUMBER($G109),$G109&lt;=IF($S109=MesCiclo,InicioCiclo,$S109+MOD(2-WEEKDAY($S109),7))+6),1,IF(ISNUMBER($I109),$I109,0)))</f>
        <v/>
      </c>
      <c r="Z109" s="62">
        <f>IF($V109="","",IF(AND(ISNUMBER($G109),$G109&lt;=IF($S109=MesCiclo,InicioCiclo,$S109+MOD(2-WEEKDAY($S109),7))+13),1,IF(ISNUMBER($J109),$J109,$Y109)))</f>
        <v/>
      </c>
      <c r="AA109" s="62">
        <f>IF($V109="","",IF(AND(ISNUMBER($G109),$G109&lt;=IF($S109=MesCiclo,InicioCiclo,$S109+MOD(2-WEEKDAY($S109),7))+20),1,IF(ISNUMBER($K109),$K109,$Z109)))</f>
        <v/>
      </c>
      <c r="AB109" s="62">
        <f>IF($V109="","",IF(AND(ISNUMBER($G109),$G109&lt;=IF($S109=MesCiclo,InicioCiclo,$S109+MOD(2-WEEKDAY($S109),7))+27),1,IF(ISNUMBER($L109),$L109,$AA109)))</f>
        <v/>
      </c>
      <c r="AC109" s="62">
        <f>IF($V109="","",IF(AND(ISNUMBER($G109),$G109&lt;=IF($S109=MesCiclo,InicioCiclo,$S109+MOD(2-WEEKDAY($S109),7))+6),1,IF(N($W109)&gt;0,AVERAGEIFS($Y$5:$Y$1000,$U$5:$U$1000,ROW(),$V$5:$V$1000,"Sub"),$Y109)))</f>
        <v/>
      </c>
      <c r="AD109" s="62">
        <f>IF($V109="","",IF(AND(ISNUMBER($G109),$G109&lt;=IF($S109=MesCiclo,InicioCiclo,$S109+MOD(2-WEEKDAY($S109),7))+13),1,IF(N($W109)&gt;0,AVERAGEIFS($Z$5:$Z$1000,$U$5:$U$1000,ROW(),$V$5:$V$1000,"Sub"),$Z109)))</f>
        <v/>
      </c>
      <c r="AE109" s="62">
        <f>IF($V109="","",IF(AND(ISNUMBER($G109),$G109&lt;=IF($S109=MesCiclo,InicioCiclo,$S109+MOD(2-WEEKDAY($S109),7))+20),1,IF(N($W109)&gt;0,AVERAGEIFS($AA$5:$AA$1000,$U$5:$U$1000,ROW(),$V$5:$V$1000,"Sub"),$AA109)))</f>
        <v/>
      </c>
      <c r="AF109" s="62">
        <f>IF($V109="","",IF(AND(ISNUMBER($G109),$G109&lt;=IF($S109=MesCiclo,InicioCiclo,$S109+MOD(2-WEEKDAY($S109),7))+27),1,IF(N($W109)&gt;0,AVERAGEIFS($AB$5:$AB$1000,$U$5:$U$1000,ROW(),$V$5:$V$1000,"Sub"),$AB109)))</f>
        <v/>
      </c>
      <c r="AG109" s="62">
        <f>IF($V109&lt;&gt;"Macro","",IF(COUNTIFS($S$5:$S$1000,$S109,$V$5:$V$1000,"Macro",$H$5:$H$1000,"&gt;0")=0,1/COUNTIFS($S$5:$S$1000,$S109,$V$5:$V$1000,"Macro"),IF(AND(ISNUMBER($H109),N($H109)&gt;0),$H109,SUMIFS($H$5:$H$1000,$S$5:$S$1000,$S109,$V$5:$V$1000,"Macro")/COUNTIFS($S$5:$S$1000,$S109,$V$5:$V$1000,"Macro",$H$5:$H$1000,"&gt;0"))/(COUNTIFS($S$5:$S$1000,$S109,$V$5:$V$1000,"Macro")*SUMIFS($H$5:$H$1000,$S$5:$S$1000,$S109,$V$5:$V$1000,"Macro")/COUNTIFS($S$5:$S$1000,$S109,$V$5:$V$1000,"Macro",$H$5:$H$1000,"&gt;0"))))</f>
        <v/>
      </c>
      <c r="AH109" s="62" t="n"/>
      <c r="AI109" s="62" t="n"/>
      <c r="AJ109" s="62" t="n"/>
      <c r="AK109" s="62" t="n"/>
      <c r="AL109" s="62">
        <f>IF(LEFT($C109,11)="[Jefatura] ",IFERROR(MATCH("Riesgo Financiero|"&amp;MID($C109,12,500),rDname_ADM,0),0),"")</f>
        <v/>
      </c>
      <c r="AM109" s="62">
        <f>IF(N($AL109)&gt;0,INDEX(rIni_ADM,$AL109),IF(ISNUMBER($E109),$E109,""))</f>
        <v/>
      </c>
      <c r="AN109" s="62">
        <f>IF(N($AL109)&gt;0,INDEX(rLim_ADM,$AL109),IF(ISNUMBER($F109),$F109,""))</f>
        <v/>
      </c>
    </row>
    <row r="110">
      <c r="A110" s="56">
        <f>IF(NOT((COUNTA($B110:$D110)+COUNTA($G110:$L110)+COUNTA($Q110))&gt;0),"",IF($V110="Macro",COUNTIFS($V$5:$V110,"Macro",$S$5:$S110,$S110),IF(N($U110)=0,"?",COUNTIFS(INDEX($V$5:$V$1000,1):INDEX($V$5:$V$1000,$U110-4),"Macro",INDEX($S$5:$S$1000,1):INDEX($S$5:$S$1000,$U110-4),INDEX($S$5:$S$1000,$U110-4))&amp;"."&amp;COUNTIFS($U$5:$U110,$U110,$V$5:$V110,"Sub"))))</f>
        <v/>
      </c>
      <c r="B110" s="57" t="n"/>
      <c r="C110" s="58" t="n"/>
      <c r="D110" s="58" t="n"/>
      <c r="E110" s="59">
        <f>IF(N($AL110)&gt;0,INDEX(rIni_ADM,$AL110),"")</f>
        <v/>
      </c>
      <c r="F110" s="59">
        <f>IF(N($AL110)&gt;0,INDEX(rLim_ADM,$AL110),"")</f>
        <v/>
      </c>
      <c r="G110" s="59" t="n"/>
      <c r="H110" s="60" t="n"/>
      <c r="I110" s="60" t="n"/>
      <c r="J110" s="60" t="n"/>
      <c r="K110" s="60" t="n"/>
      <c r="L110" s="60" t="n"/>
      <c r="M110" s="61">
        <f>IF(NOT((COUNTA($B110:$D110)+COUNTA($G110:$L110)+COUNTA($Q110))&gt;0),"",IF(ISNUMBER($G110),1,IF(N($W110)&gt;0,AVERAGEIFS($X$5:$X$1000,$U$5:$U$1000,ROW(),$V$5:$V$1000,"Sub"),$X110)))</f>
        <v/>
      </c>
      <c r="N110" s="56">
        <f>IF($M110="","",IF($M110&gt;=1,"Completado",IF($M110&gt;0,"En curso","Pendiente")))</f>
        <v/>
      </c>
      <c r="O110" s="56">
        <f>IF(NOT((COUNTA($B110:$D110)+COUNTA($G110:$L110)+COUNTA($Q110))&gt;0),"",IF(ISNUMBER($G110),IF(AND(ISNUMBER($AN110),$G110&gt;$AN110),"Cumplida con "&amp;($G110-$AN110)&amp;IF($G110-$AN110=1," día"," días")&amp;" de retraso","Cumplida"),IF(N($M110)&gt;=1,"Cumplida",IF(NOT(ISNUMBER($AN110)),"Sin fecha límite",IF($AN110&lt;FechaRef,"Vencida hace "&amp;(FechaRef-$AN110)&amp;IF(FechaRef-$AN110=1," día"," días"),IF($AN110=FechaRef,"Vence hoy",IF($AN110-FechaRef&lt;=DiasAlerta,"Vence en "&amp;($AN110-FechaRef)&amp;IF($AN110-FechaRef=1," día"," días"),"En plazo")))))))</f>
        <v/>
      </c>
      <c r="P110" s="62" t="n"/>
      <c r="Q110" s="58" t="n"/>
      <c r="R110" s="63">
        <f>IF(NOT((COUNTA($B110:$D110)+COUNTA($G110:$L110)+COUNTA($Q110))&gt;0),"",IF((IF($C110="","Falta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",""))="","✔ OK","⚠ "&amp;LEFT(IF($C110="","Falta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",""),LEN(IF($C110="","Falta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",""))-3)))</f>
        <v/>
      </c>
      <c r="S110" s="64">
        <f>IF(NOT((COUNTA($B110:$D110)+COUNTA($G110:$L110)+COUNTA($Q110))&gt;0),"",IF(AND($V110="Sub",N($U110)&gt;0),IF(ISNUMBER(INDEX($AM$5:$AM$1000,$U110-4)),DATE(YEAR(INDEX($AM$5:$AM$1000,$U110-4)),MONTH(INDEX($AM$5:$AM$1000,$U110-4)),1),IF(ISNUMBER(INDEX($AN$5:$AN$1000,$U110-4)),DATE(YEAR(INDEX($AN$5:$AN$1000,$U110-4)),MONTH(INDEX($AN$5:$AN$1000,$U110-4)),1),MesCiclo)),IF(ISNUMBER($AM110),DATE(YEAR($AM110),MONTH($AM110),1),IF(ISNUMBER($AN110),DATE(YEAR($AN110),MONTH($AN110),1),MesCiclo))))</f>
        <v/>
      </c>
      <c r="T110" s="62">
        <f>IF(OR($S110="",$S110&lt;&gt;MesCiclo),"",COUNTIF($S$5:$S110,MesCiclo))</f>
        <v/>
      </c>
      <c r="U110" s="62">
        <f>IF($V110="","",IF($V110="Macro",ROW(),IFERROR(LOOKUP(2,1/($V$5:$V110="Macro"),ROW($V$5:$V110)),0)))</f>
        <v/>
      </c>
      <c r="V110" s="62">
        <f>IF(NOT((COUNTA($B110:$D110)+COUNTA($G110:$L110)+COUNTA($Q110))&gt;0),"",IF($B110="Subactividad","Sub","Macro"))</f>
        <v/>
      </c>
      <c r="W110" s="62">
        <f>IF($V110="Macro",COUNTIFS($U$5:$U$1000,ROW(),$V$5:$V$1000,"Sub"),"")</f>
        <v/>
      </c>
      <c r="X110" s="62">
        <f>IF($V110="","",IF(ISNUMBER($G110),1,IFERROR(LOOKUP(2,1/($I110:$L110&lt;&gt;""),$I110:$L110),0)))</f>
        <v/>
      </c>
      <c r="Y110" s="62">
        <f>IF($V110="","",IF(AND(ISNUMBER($G110),$G110&lt;=IF($S110=MesCiclo,InicioCiclo,$S110+MOD(2-WEEKDAY($S110),7))+6),1,IF(ISNUMBER($I110),$I110,0)))</f>
        <v/>
      </c>
      <c r="Z110" s="62">
        <f>IF($V110="","",IF(AND(ISNUMBER($G110),$G110&lt;=IF($S110=MesCiclo,InicioCiclo,$S110+MOD(2-WEEKDAY($S110),7))+13),1,IF(ISNUMBER($J110),$J110,$Y110)))</f>
        <v/>
      </c>
      <c r="AA110" s="62">
        <f>IF($V110="","",IF(AND(ISNUMBER($G110),$G110&lt;=IF($S110=MesCiclo,InicioCiclo,$S110+MOD(2-WEEKDAY($S110),7))+20),1,IF(ISNUMBER($K110),$K110,$Z110)))</f>
        <v/>
      </c>
      <c r="AB110" s="62">
        <f>IF($V110="","",IF(AND(ISNUMBER($G110),$G110&lt;=IF($S110=MesCiclo,InicioCiclo,$S110+MOD(2-WEEKDAY($S110),7))+27),1,IF(ISNUMBER($L110),$L110,$AA110)))</f>
        <v/>
      </c>
      <c r="AC110" s="62">
        <f>IF($V110="","",IF(AND(ISNUMBER($G110),$G110&lt;=IF($S110=MesCiclo,InicioCiclo,$S110+MOD(2-WEEKDAY($S110),7))+6),1,IF(N($W110)&gt;0,AVERAGEIFS($Y$5:$Y$1000,$U$5:$U$1000,ROW(),$V$5:$V$1000,"Sub"),$Y110)))</f>
        <v/>
      </c>
      <c r="AD110" s="62">
        <f>IF($V110="","",IF(AND(ISNUMBER($G110),$G110&lt;=IF($S110=MesCiclo,InicioCiclo,$S110+MOD(2-WEEKDAY($S110),7))+13),1,IF(N($W110)&gt;0,AVERAGEIFS($Z$5:$Z$1000,$U$5:$U$1000,ROW(),$V$5:$V$1000,"Sub"),$Z110)))</f>
        <v/>
      </c>
      <c r="AE110" s="62">
        <f>IF($V110="","",IF(AND(ISNUMBER($G110),$G110&lt;=IF($S110=MesCiclo,InicioCiclo,$S110+MOD(2-WEEKDAY($S110),7))+20),1,IF(N($W110)&gt;0,AVERAGEIFS($AA$5:$AA$1000,$U$5:$U$1000,ROW(),$V$5:$V$1000,"Sub"),$AA110)))</f>
        <v/>
      </c>
      <c r="AF110" s="62">
        <f>IF($V110="","",IF(AND(ISNUMBER($G110),$G110&lt;=IF($S110=MesCiclo,InicioCiclo,$S110+MOD(2-WEEKDAY($S110),7))+27),1,IF(N($W110)&gt;0,AVERAGEIFS($AB$5:$AB$1000,$U$5:$U$1000,ROW(),$V$5:$V$1000,"Sub"),$AB110)))</f>
        <v/>
      </c>
      <c r="AG110" s="62">
        <f>IF($V110&lt;&gt;"Macro","",IF(COUNTIFS($S$5:$S$1000,$S110,$V$5:$V$1000,"Macro",$H$5:$H$1000,"&gt;0")=0,1/COUNTIFS($S$5:$S$1000,$S110,$V$5:$V$1000,"Macro"),IF(AND(ISNUMBER($H110),N($H110)&gt;0),$H110,SUMIFS($H$5:$H$1000,$S$5:$S$1000,$S110,$V$5:$V$1000,"Macro")/COUNTIFS($S$5:$S$1000,$S110,$V$5:$V$1000,"Macro",$H$5:$H$1000,"&gt;0"))/(COUNTIFS($S$5:$S$1000,$S110,$V$5:$V$1000,"Macro")*SUMIFS($H$5:$H$1000,$S$5:$S$1000,$S110,$V$5:$V$1000,"Macro")/COUNTIFS($S$5:$S$1000,$S110,$V$5:$V$1000,"Macro",$H$5:$H$1000,"&gt;0"))))</f>
        <v/>
      </c>
      <c r="AH110" s="62" t="n"/>
      <c r="AI110" s="62" t="n"/>
      <c r="AJ110" s="62" t="n"/>
      <c r="AK110" s="62" t="n"/>
      <c r="AL110" s="62">
        <f>IF(LEFT($C110,11)="[Jefatura] ",IFERROR(MATCH("Riesgo Financiero|"&amp;MID($C110,12,500),rDname_ADM,0),0),"")</f>
        <v/>
      </c>
      <c r="AM110" s="62">
        <f>IF(N($AL110)&gt;0,INDEX(rIni_ADM,$AL110),IF(ISNUMBER($E110),$E110,""))</f>
        <v/>
      </c>
      <c r="AN110" s="62">
        <f>IF(N($AL110)&gt;0,INDEX(rLim_ADM,$AL110),IF(ISNUMBER($F110),$F110,""))</f>
        <v/>
      </c>
    </row>
    <row r="111">
      <c r="A111" s="56">
        <f>IF(NOT((COUNTA($B111:$D111)+COUNTA($G111:$L111)+COUNTA($Q111))&gt;0),"",IF($V111="Macro",COUNTIFS($V$5:$V111,"Macro",$S$5:$S111,$S111),IF(N($U111)=0,"?",COUNTIFS(INDEX($V$5:$V$1000,1):INDEX($V$5:$V$1000,$U111-4),"Macro",INDEX($S$5:$S$1000,1):INDEX($S$5:$S$1000,$U111-4),INDEX($S$5:$S$1000,$U111-4))&amp;"."&amp;COUNTIFS($U$5:$U111,$U111,$V$5:$V111,"Sub"))))</f>
        <v/>
      </c>
      <c r="B111" s="57" t="n"/>
      <c r="C111" s="58" t="n"/>
      <c r="D111" s="58" t="n"/>
      <c r="E111" s="59">
        <f>IF(N($AL111)&gt;0,INDEX(rIni_ADM,$AL111),"")</f>
        <v/>
      </c>
      <c r="F111" s="59">
        <f>IF(N($AL111)&gt;0,INDEX(rLim_ADM,$AL111),"")</f>
        <v/>
      </c>
      <c r="G111" s="59" t="n"/>
      <c r="H111" s="60" t="n"/>
      <c r="I111" s="60" t="n"/>
      <c r="J111" s="60" t="n"/>
      <c r="K111" s="60" t="n"/>
      <c r="L111" s="60" t="n"/>
      <c r="M111" s="61">
        <f>IF(NOT((COUNTA($B111:$D111)+COUNTA($G111:$L111)+COUNTA($Q111))&gt;0),"",IF(ISNUMBER($G111),1,IF(N($W111)&gt;0,AVERAGEIFS($X$5:$X$1000,$U$5:$U$1000,ROW(),$V$5:$V$1000,"Sub"),$X111)))</f>
        <v/>
      </c>
      <c r="N111" s="56">
        <f>IF($M111="","",IF($M111&gt;=1,"Completado",IF($M111&gt;0,"En curso","Pendiente")))</f>
        <v/>
      </c>
      <c r="O111" s="56">
        <f>IF(NOT((COUNTA($B111:$D111)+COUNTA($G111:$L111)+COUNTA($Q111))&gt;0),"",IF(ISNUMBER($G111),IF(AND(ISNUMBER($AN111),$G111&gt;$AN111),"Cumplida con "&amp;($G111-$AN111)&amp;IF($G111-$AN111=1," día"," días")&amp;" de retraso","Cumplida"),IF(N($M111)&gt;=1,"Cumplida",IF(NOT(ISNUMBER($AN111)),"Sin fecha límite",IF($AN111&lt;FechaRef,"Vencida hace "&amp;(FechaRef-$AN111)&amp;IF(FechaRef-$AN111=1," día"," días"),IF($AN111=FechaRef,"Vence hoy",IF($AN111-FechaRef&lt;=DiasAlerta,"Vence en "&amp;($AN111-FechaRef)&amp;IF($AN111-FechaRef=1," día"," días"),"En plazo")))))))</f>
        <v/>
      </c>
      <c r="P111" s="62" t="n"/>
      <c r="Q111" s="58" t="n"/>
      <c r="R111" s="63">
        <f>IF(NOT((COUNTA($B111:$D111)+COUNTA($G111:$L111)+COUNTA($Q111))&gt;0),"",IF((IF($C111="","Falta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",""))="","✔ OK","⚠ "&amp;LEFT(IF($C111="","Falta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",""),LEN(IF($C111="","Falta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",""))-3)))</f>
        <v/>
      </c>
      <c r="S111" s="64">
        <f>IF(NOT((COUNTA($B111:$D111)+COUNTA($G111:$L111)+COUNTA($Q111))&gt;0),"",IF(AND($V111="Sub",N($U111)&gt;0),IF(ISNUMBER(INDEX($AM$5:$AM$1000,$U111-4)),DATE(YEAR(INDEX($AM$5:$AM$1000,$U111-4)),MONTH(INDEX($AM$5:$AM$1000,$U111-4)),1),IF(ISNUMBER(INDEX($AN$5:$AN$1000,$U111-4)),DATE(YEAR(INDEX($AN$5:$AN$1000,$U111-4)),MONTH(INDEX($AN$5:$AN$1000,$U111-4)),1),MesCiclo)),IF(ISNUMBER($AM111),DATE(YEAR($AM111),MONTH($AM111),1),IF(ISNUMBER($AN111),DATE(YEAR($AN111),MONTH($AN111),1),MesCiclo))))</f>
        <v/>
      </c>
      <c r="T111" s="62">
        <f>IF(OR($S111="",$S111&lt;&gt;MesCiclo),"",COUNTIF($S$5:$S111,MesCiclo))</f>
        <v/>
      </c>
      <c r="U111" s="62">
        <f>IF($V111="","",IF($V111="Macro",ROW(),IFERROR(LOOKUP(2,1/($V$5:$V111="Macro"),ROW($V$5:$V111)),0)))</f>
        <v/>
      </c>
      <c r="V111" s="62">
        <f>IF(NOT((COUNTA($B111:$D111)+COUNTA($G111:$L111)+COUNTA($Q111))&gt;0),"",IF($B111="Subactividad","Sub","Macro"))</f>
        <v/>
      </c>
      <c r="W111" s="62">
        <f>IF($V111="Macro",COUNTIFS($U$5:$U$1000,ROW(),$V$5:$V$1000,"Sub"),"")</f>
        <v/>
      </c>
      <c r="X111" s="62">
        <f>IF($V111="","",IF(ISNUMBER($G111),1,IFERROR(LOOKUP(2,1/($I111:$L111&lt;&gt;""),$I111:$L111),0)))</f>
        <v/>
      </c>
      <c r="Y111" s="62">
        <f>IF($V111="","",IF(AND(ISNUMBER($G111),$G111&lt;=IF($S111=MesCiclo,InicioCiclo,$S111+MOD(2-WEEKDAY($S111),7))+6),1,IF(ISNUMBER($I111),$I111,0)))</f>
        <v/>
      </c>
      <c r="Z111" s="62">
        <f>IF($V111="","",IF(AND(ISNUMBER($G111),$G111&lt;=IF($S111=MesCiclo,InicioCiclo,$S111+MOD(2-WEEKDAY($S111),7))+13),1,IF(ISNUMBER($J111),$J111,$Y111)))</f>
        <v/>
      </c>
      <c r="AA111" s="62">
        <f>IF($V111="","",IF(AND(ISNUMBER($G111),$G111&lt;=IF($S111=MesCiclo,InicioCiclo,$S111+MOD(2-WEEKDAY($S111),7))+20),1,IF(ISNUMBER($K111),$K111,$Z111)))</f>
        <v/>
      </c>
      <c r="AB111" s="62">
        <f>IF($V111="","",IF(AND(ISNUMBER($G111),$G111&lt;=IF($S111=MesCiclo,InicioCiclo,$S111+MOD(2-WEEKDAY($S111),7))+27),1,IF(ISNUMBER($L111),$L111,$AA111)))</f>
        <v/>
      </c>
      <c r="AC111" s="62">
        <f>IF($V111="","",IF(AND(ISNUMBER($G111),$G111&lt;=IF($S111=MesCiclo,InicioCiclo,$S111+MOD(2-WEEKDAY($S111),7))+6),1,IF(N($W111)&gt;0,AVERAGEIFS($Y$5:$Y$1000,$U$5:$U$1000,ROW(),$V$5:$V$1000,"Sub"),$Y111)))</f>
        <v/>
      </c>
      <c r="AD111" s="62">
        <f>IF($V111="","",IF(AND(ISNUMBER($G111),$G111&lt;=IF($S111=MesCiclo,InicioCiclo,$S111+MOD(2-WEEKDAY($S111),7))+13),1,IF(N($W111)&gt;0,AVERAGEIFS($Z$5:$Z$1000,$U$5:$U$1000,ROW(),$V$5:$V$1000,"Sub"),$Z111)))</f>
        <v/>
      </c>
      <c r="AE111" s="62">
        <f>IF($V111="","",IF(AND(ISNUMBER($G111),$G111&lt;=IF($S111=MesCiclo,InicioCiclo,$S111+MOD(2-WEEKDAY($S111),7))+20),1,IF(N($W111)&gt;0,AVERAGEIFS($AA$5:$AA$1000,$U$5:$U$1000,ROW(),$V$5:$V$1000,"Sub"),$AA111)))</f>
        <v/>
      </c>
      <c r="AF111" s="62">
        <f>IF($V111="","",IF(AND(ISNUMBER($G111),$G111&lt;=IF($S111=MesCiclo,InicioCiclo,$S111+MOD(2-WEEKDAY($S111),7))+27),1,IF(N($W111)&gt;0,AVERAGEIFS($AB$5:$AB$1000,$U$5:$U$1000,ROW(),$V$5:$V$1000,"Sub"),$AB111)))</f>
        <v/>
      </c>
      <c r="AG111" s="62">
        <f>IF($V111&lt;&gt;"Macro","",IF(COUNTIFS($S$5:$S$1000,$S111,$V$5:$V$1000,"Macro",$H$5:$H$1000,"&gt;0")=0,1/COUNTIFS($S$5:$S$1000,$S111,$V$5:$V$1000,"Macro"),IF(AND(ISNUMBER($H111),N($H111)&gt;0),$H111,SUMIFS($H$5:$H$1000,$S$5:$S$1000,$S111,$V$5:$V$1000,"Macro")/COUNTIFS($S$5:$S$1000,$S111,$V$5:$V$1000,"Macro",$H$5:$H$1000,"&gt;0"))/(COUNTIFS($S$5:$S$1000,$S111,$V$5:$V$1000,"Macro")*SUMIFS($H$5:$H$1000,$S$5:$S$1000,$S111,$V$5:$V$1000,"Macro")/COUNTIFS($S$5:$S$1000,$S111,$V$5:$V$1000,"Macro",$H$5:$H$1000,"&gt;0"))))</f>
        <v/>
      </c>
      <c r="AH111" s="62" t="n"/>
      <c r="AI111" s="62" t="n"/>
      <c r="AJ111" s="62" t="n"/>
      <c r="AK111" s="62" t="n"/>
      <c r="AL111" s="62">
        <f>IF(LEFT($C111,11)="[Jefatura] ",IFERROR(MATCH("Riesgo Financiero|"&amp;MID($C111,12,500),rDname_ADM,0),0),"")</f>
        <v/>
      </c>
      <c r="AM111" s="62">
        <f>IF(N($AL111)&gt;0,INDEX(rIni_ADM,$AL111),IF(ISNUMBER($E111),$E111,""))</f>
        <v/>
      </c>
      <c r="AN111" s="62">
        <f>IF(N($AL111)&gt;0,INDEX(rLim_ADM,$AL111),IF(ISNUMBER($F111),$F111,""))</f>
        <v/>
      </c>
    </row>
    <row r="112">
      <c r="A112" s="56">
        <f>IF(NOT((COUNTA($B112:$D112)+COUNTA($G112:$L112)+COUNTA($Q112))&gt;0),"",IF($V112="Macro",COUNTIFS($V$5:$V112,"Macro",$S$5:$S112,$S112),IF(N($U112)=0,"?",COUNTIFS(INDEX($V$5:$V$1000,1):INDEX($V$5:$V$1000,$U112-4),"Macro",INDEX($S$5:$S$1000,1):INDEX($S$5:$S$1000,$U112-4),INDEX($S$5:$S$1000,$U112-4))&amp;"."&amp;COUNTIFS($U$5:$U112,$U112,$V$5:$V112,"Sub"))))</f>
        <v/>
      </c>
      <c r="B112" s="57" t="n"/>
      <c r="C112" s="58" t="n"/>
      <c r="D112" s="58" t="n"/>
      <c r="E112" s="59">
        <f>IF(N($AL112)&gt;0,INDEX(rIni_ADM,$AL112),"")</f>
        <v/>
      </c>
      <c r="F112" s="59">
        <f>IF(N($AL112)&gt;0,INDEX(rLim_ADM,$AL112),"")</f>
        <v/>
      </c>
      <c r="G112" s="59" t="n"/>
      <c r="H112" s="60" t="n"/>
      <c r="I112" s="60" t="n"/>
      <c r="J112" s="60" t="n"/>
      <c r="K112" s="60" t="n"/>
      <c r="L112" s="60" t="n"/>
      <c r="M112" s="61">
        <f>IF(NOT((COUNTA($B112:$D112)+COUNTA($G112:$L112)+COUNTA($Q112))&gt;0),"",IF(ISNUMBER($G112),1,IF(N($W112)&gt;0,AVERAGEIFS($X$5:$X$1000,$U$5:$U$1000,ROW(),$V$5:$V$1000,"Sub"),$X112)))</f>
        <v/>
      </c>
      <c r="N112" s="56">
        <f>IF($M112="","",IF($M112&gt;=1,"Completado",IF($M112&gt;0,"En curso","Pendiente")))</f>
        <v/>
      </c>
      <c r="O112" s="56">
        <f>IF(NOT((COUNTA($B112:$D112)+COUNTA($G112:$L112)+COUNTA($Q112))&gt;0),"",IF(ISNUMBER($G112),IF(AND(ISNUMBER($AN112),$G112&gt;$AN112),"Cumplida con "&amp;($G112-$AN112)&amp;IF($G112-$AN112=1," día"," días")&amp;" de retraso","Cumplida"),IF(N($M112)&gt;=1,"Cumplida",IF(NOT(ISNUMBER($AN112)),"Sin fecha límite",IF($AN112&lt;FechaRef,"Vencida hace "&amp;(FechaRef-$AN112)&amp;IF(FechaRef-$AN112=1," día"," días"),IF($AN112=FechaRef,"Vence hoy",IF($AN112-FechaRef&lt;=DiasAlerta,"Vence en "&amp;($AN112-FechaRef)&amp;IF($AN112-FechaRef=1," día"," días"),"En plazo")))))))</f>
        <v/>
      </c>
      <c r="P112" s="62" t="n"/>
      <c r="Q112" s="58" t="n"/>
      <c r="R112" s="63">
        <f>IF(NOT((COUNTA($B112:$D112)+COUNTA($G112:$L112)+COUNTA($Q112))&gt;0),"",IF((IF($C112="","Falta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",""))="","✔ OK","⚠ "&amp;LEFT(IF($C112="","Falta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",""),LEN(IF($C112="","Falta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",""))-3)))</f>
        <v/>
      </c>
      <c r="S112" s="64">
        <f>IF(NOT((COUNTA($B112:$D112)+COUNTA($G112:$L112)+COUNTA($Q112))&gt;0),"",IF(AND($V112="Sub",N($U112)&gt;0),IF(ISNUMBER(INDEX($AM$5:$AM$1000,$U112-4)),DATE(YEAR(INDEX($AM$5:$AM$1000,$U112-4)),MONTH(INDEX($AM$5:$AM$1000,$U112-4)),1),IF(ISNUMBER(INDEX($AN$5:$AN$1000,$U112-4)),DATE(YEAR(INDEX($AN$5:$AN$1000,$U112-4)),MONTH(INDEX($AN$5:$AN$1000,$U112-4)),1),MesCiclo)),IF(ISNUMBER($AM112),DATE(YEAR($AM112),MONTH($AM112),1),IF(ISNUMBER($AN112),DATE(YEAR($AN112),MONTH($AN112),1),MesCiclo))))</f>
        <v/>
      </c>
      <c r="T112" s="62">
        <f>IF(OR($S112="",$S112&lt;&gt;MesCiclo),"",COUNTIF($S$5:$S112,MesCiclo))</f>
        <v/>
      </c>
      <c r="U112" s="62">
        <f>IF($V112="","",IF($V112="Macro",ROW(),IFERROR(LOOKUP(2,1/($V$5:$V112="Macro"),ROW($V$5:$V112)),0)))</f>
        <v/>
      </c>
      <c r="V112" s="62">
        <f>IF(NOT((COUNTA($B112:$D112)+COUNTA($G112:$L112)+COUNTA($Q112))&gt;0),"",IF($B112="Subactividad","Sub","Macro"))</f>
        <v/>
      </c>
      <c r="W112" s="62">
        <f>IF($V112="Macro",COUNTIFS($U$5:$U$1000,ROW(),$V$5:$V$1000,"Sub"),"")</f>
        <v/>
      </c>
      <c r="X112" s="62">
        <f>IF($V112="","",IF(ISNUMBER($G112),1,IFERROR(LOOKUP(2,1/($I112:$L112&lt;&gt;""),$I112:$L112),0)))</f>
        <v/>
      </c>
      <c r="Y112" s="62">
        <f>IF($V112="","",IF(AND(ISNUMBER($G112),$G112&lt;=IF($S112=MesCiclo,InicioCiclo,$S112+MOD(2-WEEKDAY($S112),7))+6),1,IF(ISNUMBER($I112),$I112,0)))</f>
        <v/>
      </c>
      <c r="Z112" s="62">
        <f>IF($V112="","",IF(AND(ISNUMBER($G112),$G112&lt;=IF($S112=MesCiclo,InicioCiclo,$S112+MOD(2-WEEKDAY($S112),7))+13),1,IF(ISNUMBER($J112),$J112,$Y112)))</f>
        <v/>
      </c>
      <c r="AA112" s="62">
        <f>IF($V112="","",IF(AND(ISNUMBER($G112),$G112&lt;=IF($S112=MesCiclo,InicioCiclo,$S112+MOD(2-WEEKDAY($S112),7))+20),1,IF(ISNUMBER($K112),$K112,$Z112)))</f>
        <v/>
      </c>
      <c r="AB112" s="62">
        <f>IF($V112="","",IF(AND(ISNUMBER($G112),$G112&lt;=IF($S112=MesCiclo,InicioCiclo,$S112+MOD(2-WEEKDAY($S112),7))+27),1,IF(ISNUMBER($L112),$L112,$AA112)))</f>
        <v/>
      </c>
      <c r="AC112" s="62">
        <f>IF($V112="","",IF(AND(ISNUMBER($G112),$G112&lt;=IF($S112=MesCiclo,InicioCiclo,$S112+MOD(2-WEEKDAY($S112),7))+6),1,IF(N($W112)&gt;0,AVERAGEIFS($Y$5:$Y$1000,$U$5:$U$1000,ROW(),$V$5:$V$1000,"Sub"),$Y112)))</f>
        <v/>
      </c>
      <c r="AD112" s="62">
        <f>IF($V112="","",IF(AND(ISNUMBER($G112),$G112&lt;=IF($S112=MesCiclo,InicioCiclo,$S112+MOD(2-WEEKDAY($S112),7))+13),1,IF(N($W112)&gt;0,AVERAGEIFS($Z$5:$Z$1000,$U$5:$U$1000,ROW(),$V$5:$V$1000,"Sub"),$Z112)))</f>
        <v/>
      </c>
      <c r="AE112" s="62">
        <f>IF($V112="","",IF(AND(ISNUMBER($G112),$G112&lt;=IF($S112=MesCiclo,InicioCiclo,$S112+MOD(2-WEEKDAY($S112),7))+20),1,IF(N($W112)&gt;0,AVERAGEIFS($AA$5:$AA$1000,$U$5:$U$1000,ROW(),$V$5:$V$1000,"Sub"),$AA112)))</f>
        <v/>
      </c>
      <c r="AF112" s="62">
        <f>IF($V112="","",IF(AND(ISNUMBER($G112),$G112&lt;=IF($S112=MesCiclo,InicioCiclo,$S112+MOD(2-WEEKDAY($S112),7))+27),1,IF(N($W112)&gt;0,AVERAGEIFS($AB$5:$AB$1000,$U$5:$U$1000,ROW(),$V$5:$V$1000,"Sub"),$AB112)))</f>
        <v/>
      </c>
      <c r="AG112" s="62">
        <f>IF($V112&lt;&gt;"Macro","",IF(COUNTIFS($S$5:$S$1000,$S112,$V$5:$V$1000,"Macro",$H$5:$H$1000,"&gt;0")=0,1/COUNTIFS($S$5:$S$1000,$S112,$V$5:$V$1000,"Macro"),IF(AND(ISNUMBER($H112),N($H112)&gt;0),$H112,SUMIFS($H$5:$H$1000,$S$5:$S$1000,$S112,$V$5:$V$1000,"Macro")/COUNTIFS($S$5:$S$1000,$S112,$V$5:$V$1000,"Macro",$H$5:$H$1000,"&gt;0"))/(COUNTIFS($S$5:$S$1000,$S112,$V$5:$V$1000,"Macro")*SUMIFS($H$5:$H$1000,$S$5:$S$1000,$S112,$V$5:$V$1000,"Macro")/COUNTIFS($S$5:$S$1000,$S112,$V$5:$V$1000,"Macro",$H$5:$H$1000,"&gt;0"))))</f>
        <v/>
      </c>
      <c r="AH112" s="62" t="n"/>
      <c r="AI112" s="62" t="n"/>
      <c r="AJ112" s="62" t="n"/>
      <c r="AK112" s="62" t="n"/>
      <c r="AL112" s="62">
        <f>IF(LEFT($C112,11)="[Jefatura] ",IFERROR(MATCH("Riesgo Financiero|"&amp;MID($C112,12,500),rDname_ADM,0),0),"")</f>
        <v/>
      </c>
      <c r="AM112" s="62">
        <f>IF(N($AL112)&gt;0,INDEX(rIni_ADM,$AL112),IF(ISNUMBER($E112),$E112,""))</f>
        <v/>
      </c>
      <c r="AN112" s="62">
        <f>IF(N($AL112)&gt;0,INDEX(rLim_ADM,$AL112),IF(ISNUMBER($F112),$F112,""))</f>
        <v/>
      </c>
    </row>
    <row r="113">
      <c r="A113" s="56">
        <f>IF(NOT((COUNTA($B113:$D113)+COUNTA($G113:$L113)+COUNTA($Q113))&gt;0),"",IF($V113="Macro",COUNTIFS($V$5:$V113,"Macro",$S$5:$S113,$S113),IF(N($U113)=0,"?",COUNTIFS(INDEX($V$5:$V$1000,1):INDEX($V$5:$V$1000,$U113-4),"Macro",INDEX($S$5:$S$1000,1):INDEX($S$5:$S$1000,$U113-4),INDEX($S$5:$S$1000,$U113-4))&amp;"."&amp;COUNTIFS($U$5:$U113,$U113,$V$5:$V113,"Sub"))))</f>
        <v/>
      </c>
      <c r="B113" s="57" t="n"/>
      <c r="C113" s="58" t="n"/>
      <c r="D113" s="58" t="n"/>
      <c r="E113" s="59">
        <f>IF(N($AL113)&gt;0,INDEX(rIni_ADM,$AL113),"")</f>
        <v/>
      </c>
      <c r="F113" s="59">
        <f>IF(N($AL113)&gt;0,INDEX(rLim_ADM,$AL113),"")</f>
        <v/>
      </c>
      <c r="G113" s="59" t="n"/>
      <c r="H113" s="60" t="n"/>
      <c r="I113" s="60" t="n"/>
      <c r="J113" s="60" t="n"/>
      <c r="K113" s="60" t="n"/>
      <c r="L113" s="60" t="n"/>
      <c r="M113" s="61">
        <f>IF(NOT((COUNTA($B113:$D113)+COUNTA($G113:$L113)+COUNTA($Q113))&gt;0),"",IF(ISNUMBER($G113),1,IF(N($W113)&gt;0,AVERAGEIFS($X$5:$X$1000,$U$5:$U$1000,ROW(),$V$5:$V$1000,"Sub"),$X113)))</f>
        <v/>
      </c>
      <c r="N113" s="56">
        <f>IF($M113="","",IF($M113&gt;=1,"Completado",IF($M113&gt;0,"En curso","Pendiente")))</f>
        <v/>
      </c>
      <c r="O113" s="56">
        <f>IF(NOT((COUNTA($B113:$D113)+COUNTA($G113:$L113)+COUNTA($Q113))&gt;0),"",IF(ISNUMBER($G113),IF(AND(ISNUMBER($AN113),$G113&gt;$AN113),"Cumplida con "&amp;($G113-$AN113)&amp;IF($G113-$AN113=1," día"," días")&amp;" de retraso","Cumplida"),IF(N($M113)&gt;=1,"Cumplida",IF(NOT(ISNUMBER($AN113)),"Sin fecha límite",IF($AN113&lt;FechaRef,"Vencida hace "&amp;(FechaRef-$AN113)&amp;IF(FechaRef-$AN113=1," día"," días"),IF($AN113=FechaRef,"Vence hoy",IF($AN113-FechaRef&lt;=DiasAlerta,"Vence en "&amp;($AN113-FechaRef)&amp;IF($AN113-FechaRef=1," día"," días"),"En plazo")))))))</f>
        <v/>
      </c>
      <c r="P113" s="62" t="n"/>
      <c r="Q113" s="58" t="n"/>
      <c r="R113" s="63">
        <f>IF(NOT((COUNTA($B113:$D113)+COUNTA($G113:$L113)+COUNTA($Q113))&gt;0),"",IF((IF($C113="","Falta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",""))="","✔ OK","⚠ "&amp;LEFT(IF($C113="","Falta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",""),LEN(IF($C113="","Falta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",""))-3)))</f>
        <v/>
      </c>
      <c r="S113" s="64">
        <f>IF(NOT((COUNTA($B113:$D113)+COUNTA($G113:$L113)+COUNTA($Q113))&gt;0),"",IF(AND($V113="Sub",N($U113)&gt;0),IF(ISNUMBER(INDEX($AM$5:$AM$1000,$U113-4)),DATE(YEAR(INDEX($AM$5:$AM$1000,$U113-4)),MONTH(INDEX($AM$5:$AM$1000,$U113-4)),1),IF(ISNUMBER(INDEX($AN$5:$AN$1000,$U113-4)),DATE(YEAR(INDEX($AN$5:$AN$1000,$U113-4)),MONTH(INDEX($AN$5:$AN$1000,$U113-4)),1),MesCiclo)),IF(ISNUMBER($AM113),DATE(YEAR($AM113),MONTH($AM113),1),IF(ISNUMBER($AN113),DATE(YEAR($AN113),MONTH($AN113),1),MesCiclo))))</f>
        <v/>
      </c>
      <c r="T113" s="62">
        <f>IF(OR($S113="",$S113&lt;&gt;MesCiclo),"",COUNTIF($S$5:$S113,MesCiclo))</f>
        <v/>
      </c>
      <c r="U113" s="62">
        <f>IF($V113="","",IF($V113="Macro",ROW(),IFERROR(LOOKUP(2,1/($V$5:$V113="Macro"),ROW($V$5:$V113)),0)))</f>
        <v/>
      </c>
      <c r="V113" s="62">
        <f>IF(NOT((COUNTA($B113:$D113)+COUNTA($G113:$L113)+COUNTA($Q113))&gt;0),"",IF($B113="Subactividad","Sub","Macro"))</f>
        <v/>
      </c>
      <c r="W113" s="62">
        <f>IF($V113="Macro",COUNTIFS($U$5:$U$1000,ROW(),$V$5:$V$1000,"Sub"),"")</f>
        <v/>
      </c>
      <c r="X113" s="62">
        <f>IF($V113="","",IF(ISNUMBER($G113),1,IFERROR(LOOKUP(2,1/($I113:$L113&lt;&gt;""),$I113:$L113),0)))</f>
        <v/>
      </c>
      <c r="Y113" s="62">
        <f>IF($V113="","",IF(AND(ISNUMBER($G113),$G113&lt;=IF($S113=MesCiclo,InicioCiclo,$S113+MOD(2-WEEKDAY($S113),7))+6),1,IF(ISNUMBER($I113),$I113,0)))</f>
        <v/>
      </c>
      <c r="Z113" s="62">
        <f>IF($V113="","",IF(AND(ISNUMBER($G113),$G113&lt;=IF($S113=MesCiclo,InicioCiclo,$S113+MOD(2-WEEKDAY($S113),7))+13),1,IF(ISNUMBER($J113),$J113,$Y113)))</f>
        <v/>
      </c>
      <c r="AA113" s="62">
        <f>IF($V113="","",IF(AND(ISNUMBER($G113),$G113&lt;=IF($S113=MesCiclo,InicioCiclo,$S113+MOD(2-WEEKDAY($S113),7))+20),1,IF(ISNUMBER($K113),$K113,$Z113)))</f>
        <v/>
      </c>
      <c r="AB113" s="62">
        <f>IF($V113="","",IF(AND(ISNUMBER($G113),$G113&lt;=IF($S113=MesCiclo,InicioCiclo,$S113+MOD(2-WEEKDAY($S113),7))+27),1,IF(ISNUMBER($L113),$L113,$AA113)))</f>
        <v/>
      </c>
      <c r="AC113" s="62">
        <f>IF($V113="","",IF(AND(ISNUMBER($G113),$G113&lt;=IF($S113=MesCiclo,InicioCiclo,$S113+MOD(2-WEEKDAY($S113),7))+6),1,IF(N($W113)&gt;0,AVERAGEIFS($Y$5:$Y$1000,$U$5:$U$1000,ROW(),$V$5:$V$1000,"Sub"),$Y113)))</f>
        <v/>
      </c>
      <c r="AD113" s="62">
        <f>IF($V113="","",IF(AND(ISNUMBER($G113),$G113&lt;=IF($S113=MesCiclo,InicioCiclo,$S113+MOD(2-WEEKDAY($S113),7))+13),1,IF(N($W113)&gt;0,AVERAGEIFS($Z$5:$Z$1000,$U$5:$U$1000,ROW(),$V$5:$V$1000,"Sub"),$Z113)))</f>
        <v/>
      </c>
      <c r="AE113" s="62">
        <f>IF($V113="","",IF(AND(ISNUMBER($G113),$G113&lt;=IF($S113=MesCiclo,InicioCiclo,$S113+MOD(2-WEEKDAY($S113),7))+20),1,IF(N($W113)&gt;0,AVERAGEIFS($AA$5:$AA$1000,$U$5:$U$1000,ROW(),$V$5:$V$1000,"Sub"),$AA113)))</f>
        <v/>
      </c>
      <c r="AF113" s="62">
        <f>IF($V113="","",IF(AND(ISNUMBER($G113),$G113&lt;=IF($S113=MesCiclo,InicioCiclo,$S113+MOD(2-WEEKDAY($S113),7))+27),1,IF(N($W113)&gt;0,AVERAGEIFS($AB$5:$AB$1000,$U$5:$U$1000,ROW(),$V$5:$V$1000,"Sub"),$AB113)))</f>
        <v/>
      </c>
      <c r="AG113" s="62">
        <f>IF($V113&lt;&gt;"Macro","",IF(COUNTIFS($S$5:$S$1000,$S113,$V$5:$V$1000,"Macro",$H$5:$H$1000,"&gt;0")=0,1/COUNTIFS($S$5:$S$1000,$S113,$V$5:$V$1000,"Macro"),IF(AND(ISNUMBER($H113),N($H113)&gt;0),$H113,SUMIFS($H$5:$H$1000,$S$5:$S$1000,$S113,$V$5:$V$1000,"Macro")/COUNTIFS($S$5:$S$1000,$S113,$V$5:$V$1000,"Macro",$H$5:$H$1000,"&gt;0"))/(COUNTIFS($S$5:$S$1000,$S113,$V$5:$V$1000,"Macro")*SUMIFS($H$5:$H$1000,$S$5:$S$1000,$S113,$V$5:$V$1000,"Macro")/COUNTIFS($S$5:$S$1000,$S113,$V$5:$V$1000,"Macro",$H$5:$H$1000,"&gt;0"))))</f>
        <v/>
      </c>
      <c r="AH113" s="62" t="n"/>
      <c r="AI113" s="62" t="n"/>
      <c r="AJ113" s="62" t="n"/>
      <c r="AK113" s="62" t="n"/>
      <c r="AL113" s="62">
        <f>IF(LEFT($C113,11)="[Jefatura] ",IFERROR(MATCH("Riesgo Financiero|"&amp;MID($C113,12,500),rDname_ADM,0),0),"")</f>
        <v/>
      </c>
      <c r="AM113" s="62">
        <f>IF(N($AL113)&gt;0,INDEX(rIni_ADM,$AL113),IF(ISNUMBER($E113),$E113,""))</f>
        <v/>
      </c>
      <c r="AN113" s="62">
        <f>IF(N($AL113)&gt;0,INDEX(rLim_ADM,$AL113),IF(ISNUMBER($F113),$F113,""))</f>
        <v/>
      </c>
    </row>
    <row r="114">
      <c r="A114" s="56">
        <f>IF(NOT((COUNTA($B114:$D114)+COUNTA($G114:$L114)+COUNTA($Q114))&gt;0),"",IF($V114="Macro",COUNTIFS($V$5:$V114,"Macro",$S$5:$S114,$S114),IF(N($U114)=0,"?",COUNTIFS(INDEX($V$5:$V$1000,1):INDEX($V$5:$V$1000,$U114-4),"Macro",INDEX($S$5:$S$1000,1):INDEX($S$5:$S$1000,$U114-4),INDEX($S$5:$S$1000,$U114-4))&amp;"."&amp;COUNTIFS($U$5:$U114,$U114,$V$5:$V114,"Sub"))))</f>
        <v/>
      </c>
      <c r="B114" s="57" t="n"/>
      <c r="C114" s="58" t="n"/>
      <c r="D114" s="58" t="n"/>
      <c r="E114" s="59">
        <f>IF(N($AL114)&gt;0,INDEX(rIni_ADM,$AL114),"")</f>
        <v/>
      </c>
      <c r="F114" s="59">
        <f>IF(N($AL114)&gt;0,INDEX(rLim_ADM,$AL114),"")</f>
        <v/>
      </c>
      <c r="G114" s="59" t="n"/>
      <c r="H114" s="60" t="n"/>
      <c r="I114" s="60" t="n"/>
      <c r="J114" s="60" t="n"/>
      <c r="K114" s="60" t="n"/>
      <c r="L114" s="60" t="n"/>
      <c r="M114" s="61">
        <f>IF(NOT((COUNTA($B114:$D114)+COUNTA($G114:$L114)+COUNTA($Q114))&gt;0),"",IF(ISNUMBER($G114),1,IF(N($W114)&gt;0,AVERAGEIFS($X$5:$X$1000,$U$5:$U$1000,ROW(),$V$5:$V$1000,"Sub"),$X114)))</f>
        <v/>
      </c>
      <c r="N114" s="56">
        <f>IF($M114="","",IF($M114&gt;=1,"Completado",IF($M114&gt;0,"En curso","Pendiente")))</f>
        <v/>
      </c>
      <c r="O114" s="56">
        <f>IF(NOT((COUNTA($B114:$D114)+COUNTA($G114:$L114)+COUNTA($Q114))&gt;0),"",IF(ISNUMBER($G114),IF(AND(ISNUMBER($AN114),$G114&gt;$AN114),"Cumplida con "&amp;($G114-$AN114)&amp;IF($G114-$AN114=1," día"," días")&amp;" de retraso","Cumplida"),IF(N($M114)&gt;=1,"Cumplida",IF(NOT(ISNUMBER($AN114)),"Sin fecha límite",IF($AN114&lt;FechaRef,"Vencida hace "&amp;(FechaRef-$AN114)&amp;IF(FechaRef-$AN114=1," día"," días"),IF($AN114=FechaRef,"Vence hoy",IF($AN114-FechaRef&lt;=DiasAlerta,"Vence en "&amp;($AN114-FechaRef)&amp;IF($AN114-FechaRef=1," día"," días"),"En plazo")))))))</f>
        <v/>
      </c>
      <c r="P114" s="62" t="n"/>
      <c r="Q114" s="58" t="n"/>
      <c r="R114" s="63">
        <f>IF(NOT((COUNTA($B114:$D114)+COUNTA($G114:$L114)+COUNTA($Q114))&gt;0),"",IF((IF($C114="","Falta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",""))="","✔ OK","⚠ "&amp;LEFT(IF($C114="","Falta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",""),LEN(IF($C114="","Falta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",""))-3)))</f>
        <v/>
      </c>
      <c r="S114" s="64">
        <f>IF(NOT((COUNTA($B114:$D114)+COUNTA($G114:$L114)+COUNTA($Q114))&gt;0),"",IF(AND($V114="Sub",N($U114)&gt;0),IF(ISNUMBER(INDEX($AM$5:$AM$1000,$U114-4)),DATE(YEAR(INDEX($AM$5:$AM$1000,$U114-4)),MONTH(INDEX($AM$5:$AM$1000,$U114-4)),1),IF(ISNUMBER(INDEX($AN$5:$AN$1000,$U114-4)),DATE(YEAR(INDEX($AN$5:$AN$1000,$U114-4)),MONTH(INDEX($AN$5:$AN$1000,$U114-4)),1),MesCiclo)),IF(ISNUMBER($AM114),DATE(YEAR($AM114),MONTH($AM114),1),IF(ISNUMBER($AN114),DATE(YEAR($AN114),MONTH($AN114),1),MesCiclo))))</f>
        <v/>
      </c>
      <c r="T114" s="62">
        <f>IF(OR($S114="",$S114&lt;&gt;MesCiclo),"",COUNTIF($S$5:$S114,MesCiclo))</f>
        <v/>
      </c>
      <c r="U114" s="62">
        <f>IF($V114="","",IF($V114="Macro",ROW(),IFERROR(LOOKUP(2,1/($V$5:$V114="Macro"),ROW($V$5:$V114)),0)))</f>
        <v/>
      </c>
      <c r="V114" s="62">
        <f>IF(NOT((COUNTA($B114:$D114)+COUNTA($G114:$L114)+COUNTA($Q114))&gt;0),"",IF($B114="Subactividad","Sub","Macro"))</f>
        <v/>
      </c>
      <c r="W114" s="62">
        <f>IF($V114="Macro",COUNTIFS($U$5:$U$1000,ROW(),$V$5:$V$1000,"Sub"),"")</f>
        <v/>
      </c>
      <c r="X114" s="62">
        <f>IF($V114="","",IF(ISNUMBER($G114),1,IFERROR(LOOKUP(2,1/($I114:$L114&lt;&gt;""),$I114:$L114),0)))</f>
        <v/>
      </c>
      <c r="Y114" s="62">
        <f>IF($V114="","",IF(AND(ISNUMBER($G114),$G114&lt;=IF($S114=MesCiclo,InicioCiclo,$S114+MOD(2-WEEKDAY($S114),7))+6),1,IF(ISNUMBER($I114),$I114,0)))</f>
        <v/>
      </c>
      <c r="Z114" s="62">
        <f>IF($V114="","",IF(AND(ISNUMBER($G114),$G114&lt;=IF($S114=MesCiclo,InicioCiclo,$S114+MOD(2-WEEKDAY($S114),7))+13),1,IF(ISNUMBER($J114),$J114,$Y114)))</f>
        <v/>
      </c>
      <c r="AA114" s="62">
        <f>IF($V114="","",IF(AND(ISNUMBER($G114),$G114&lt;=IF($S114=MesCiclo,InicioCiclo,$S114+MOD(2-WEEKDAY($S114),7))+20),1,IF(ISNUMBER($K114),$K114,$Z114)))</f>
        <v/>
      </c>
      <c r="AB114" s="62">
        <f>IF($V114="","",IF(AND(ISNUMBER($G114),$G114&lt;=IF($S114=MesCiclo,InicioCiclo,$S114+MOD(2-WEEKDAY($S114),7))+27),1,IF(ISNUMBER($L114),$L114,$AA114)))</f>
        <v/>
      </c>
      <c r="AC114" s="62">
        <f>IF($V114="","",IF(AND(ISNUMBER($G114),$G114&lt;=IF($S114=MesCiclo,InicioCiclo,$S114+MOD(2-WEEKDAY($S114),7))+6),1,IF(N($W114)&gt;0,AVERAGEIFS($Y$5:$Y$1000,$U$5:$U$1000,ROW(),$V$5:$V$1000,"Sub"),$Y114)))</f>
        <v/>
      </c>
      <c r="AD114" s="62">
        <f>IF($V114="","",IF(AND(ISNUMBER($G114),$G114&lt;=IF($S114=MesCiclo,InicioCiclo,$S114+MOD(2-WEEKDAY($S114),7))+13),1,IF(N($W114)&gt;0,AVERAGEIFS($Z$5:$Z$1000,$U$5:$U$1000,ROW(),$V$5:$V$1000,"Sub"),$Z114)))</f>
        <v/>
      </c>
      <c r="AE114" s="62">
        <f>IF($V114="","",IF(AND(ISNUMBER($G114),$G114&lt;=IF($S114=MesCiclo,InicioCiclo,$S114+MOD(2-WEEKDAY($S114),7))+20),1,IF(N($W114)&gt;0,AVERAGEIFS($AA$5:$AA$1000,$U$5:$U$1000,ROW(),$V$5:$V$1000,"Sub"),$AA114)))</f>
        <v/>
      </c>
      <c r="AF114" s="62">
        <f>IF($V114="","",IF(AND(ISNUMBER($G114),$G114&lt;=IF($S114=MesCiclo,InicioCiclo,$S114+MOD(2-WEEKDAY($S114),7))+27),1,IF(N($W114)&gt;0,AVERAGEIFS($AB$5:$AB$1000,$U$5:$U$1000,ROW(),$V$5:$V$1000,"Sub"),$AB114)))</f>
        <v/>
      </c>
      <c r="AG114" s="62">
        <f>IF($V114&lt;&gt;"Macro","",IF(COUNTIFS($S$5:$S$1000,$S114,$V$5:$V$1000,"Macro",$H$5:$H$1000,"&gt;0")=0,1/COUNTIFS($S$5:$S$1000,$S114,$V$5:$V$1000,"Macro"),IF(AND(ISNUMBER($H114),N($H114)&gt;0),$H114,SUMIFS($H$5:$H$1000,$S$5:$S$1000,$S114,$V$5:$V$1000,"Macro")/COUNTIFS($S$5:$S$1000,$S114,$V$5:$V$1000,"Macro",$H$5:$H$1000,"&gt;0"))/(COUNTIFS($S$5:$S$1000,$S114,$V$5:$V$1000,"Macro")*SUMIFS($H$5:$H$1000,$S$5:$S$1000,$S114,$V$5:$V$1000,"Macro")/COUNTIFS($S$5:$S$1000,$S114,$V$5:$V$1000,"Macro",$H$5:$H$1000,"&gt;0"))))</f>
        <v/>
      </c>
      <c r="AH114" s="62" t="n"/>
      <c r="AI114" s="62" t="n"/>
      <c r="AJ114" s="62" t="n"/>
      <c r="AK114" s="62" t="n"/>
      <c r="AL114" s="62">
        <f>IF(LEFT($C114,11)="[Jefatura] ",IFERROR(MATCH("Riesgo Financiero|"&amp;MID($C114,12,500),rDname_ADM,0),0),"")</f>
        <v/>
      </c>
      <c r="AM114" s="62">
        <f>IF(N($AL114)&gt;0,INDEX(rIni_ADM,$AL114),IF(ISNUMBER($E114),$E114,""))</f>
        <v/>
      </c>
      <c r="AN114" s="62">
        <f>IF(N($AL114)&gt;0,INDEX(rLim_ADM,$AL114),IF(ISNUMBER($F114),$F114,""))</f>
        <v/>
      </c>
    </row>
    <row r="115">
      <c r="A115" s="56">
        <f>IF(NOT((COUNTA($B115:$D115)+COUNTA($G115:$L115)+COUNTA($Q115))&gt;0),"",IF($V115="Macro",COUNTIFS($V$5:$V115,"Macro",$S$5:$S115,$S115),IF(N($U115)=0,"?",COUNTIFS(INDEX($V$5:$V$1000,1):INDEX($V$5:$V$1000,$U115-4),"Macro",INDEX($S$5:$S$1000,1):INDEX($S$5:$S$1000,$U115-4),INDEX($S$5:$S$1000,$U115-4))&amp;"."&amp;COUNTIFS($U$5:$U115,$U115,$V$5:$V115,"Sub"))))</f>
        <v/>
      </c>
      <c r="B115" s="57" t="n"/>
      <c r="C115" s="58" t="n"/>
      <c r="D115" s="58" t="n"/>
      <c r="E115" s="59">
        <f>IF(N($AL115)&gt;0,INDEX(rIni_ADM,$AL115),"")</f>
        <v/>
      </c>
      <c r="F115" s="59">
        <f>IF(N($AL115)&gt;0,INDEX(rLim_ADM,$AL115),"")</f>
        <v/>
      </c>
      <c r="G115" s="59" t="n"/>
      <c r="H115" s="60" t="n"/>
      <c r="I115" s="60" t="n"/>
      <c r="J115" s="60" t="n"/>
      <c r="K115" s="60" t="n"/>
      <c r="L115" s="60" t="n"/>
      <c r="M115" s="61">
        <f>IF(NOT((COUNTA($B115:$D115)+COUNTA($G115:$L115)+COUNTA($Q115))&gt;0),"",IF(ISNUMBER($G115),1,IF(N($W115)&gt;0,AVERAGEIFS($X$5:$X$1000,$U$5:$U$1000,ROW(),$V$5:$V$1000,"Sub"),$X115)))</f>
        <v/>
      </c>
      <c r="N115" s="56">
        <f>IF($M115="","",IF($M115&gt;=1,"Completado",IF($M115&gt;0,"En curso","Pendiente")))</f>
        <v/>
      </c>
      <c r="O115" s="56">
        <f>IF(NOT((COUNTA($B115:$D115)+COUNTA($G115:$L115)+COUNTA($Q115))&gt;0),"",IF(ISNUMBER($G115),IF(AND(ISNUMBER($AN115),$G115&gt;$AN115),"Cumplida con "&amp;($G115-$AN115)&amp;IF($G115-$AN115=1," día"," días")&amp;" de retraso","Cumplida"),IF(N($M115)&gt;=1,"Cumplida",IF(NOT(ISNUMBER($AN115)),"Sin fecha límite",IF($AN115&lt;FechaRef,"Vencida hace "&amp;(FechaRef-$AN115)&amp;IF(FechaRef-$AN115=1," día"," días"),IF($AN115=FechaRef,"Vence hoy",IF($AN115-FechaRef&lt;=DiasAlerta,"Vence en "&amp;($AN115-FechaRef)&amp;IF($AN115-FechaRef=1," día"," días"),"En plazo")))))))</f>
        <v/>
      </c>
      <c r="P115" s="62" t="n"/>
      <c r="Q115" s="58" t="n"/>
      <c r="R115" s="63">
        <f>IF(NOT((COUNTA($B115:$D115)+COUNTA($G115:$L115)+COUNTA($Q115))&gt;0),"",IF((IF($C115="","Falta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",""))="","✔ OK","⚠ "&amp;LEFT(IF($C115="","Falta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",""),LEN(IF($C115="","Falta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",""))-3)))</f>
        <v/>
      </c>
      <c r="S115" s="64">
        <f>IF(NOT((COUNTA($B115:$D115)+COUNTA($G115:$L115)+COUNTA($Q115))&gt;0),"",IF(AND($V115="Sub",N($U115)&gt;0),IF(ISNUMBER(INDEX($AM$5:$AM$1000,$U115-4)),DATE(YEAR(INDEX($AM$5:$AM$1000,$U115-4)),MONTH(INDEX($AM$5:$AM$1000,$U115-4)),1),IF(ISNUMBER(INDEX($AN$5:$AN$1000,$U115-4)),DATE(YEAR(INDEX($AN$5:$AN$1000,$U115-4)),MONTH(INDEX($AN$5:$AN$1000,$U115-4)),1),MesCiclo)),IF(ISNUMBER($AM115),DATE(YEAR($AM115),MONTH($AM115),1),IF(ISNUMBER($AN115),DATE(YEAR($AN115),MONTH($AN115),1),MesCiclo))))</f>
        <v/>
      </c>
      <c r="T115" s="62">
        <f>IF(OR($S115="",$S115&lt;&gt;MesCiclo),"",COUNTIF($S$5:$S115,MesCiclo))</f>
        <v/>
      </c>
      <c r="U115" s="62">
        <f>IF($V115="","",IF($V115="Macro",ROW(),IFERROR(LOOKUP(2,1/($V$5:$V115="Macro"),ROW($V$5:$V115)),0)))</f>
        <v/>
      </c>
      <c r="V115" s="62">
        <f>IF(NOT((COUNTA($B115:$D115)+COUNTA($G115:$L115)+COUNTA($Q115))&gt;0),"",IF($B115="Subactividad","Sub","Macro"))</f>
        <v/>
      </c>
      <c r="W115" s="62">
        <f>IF($V115="Macro",COUNTIFS($U$5:$U$1000,ROW(),$V$5:$V$1000,"Sub"),"")</f>
        <v/>
      </c>
      <c r="X115" s="62">
        <f>IF($V115="","",IF(ISNUMBER($G115),1,IFERROR(LOOKUP(2,1/($I115:$L115&lt;&gt;""),$I115:$L115),0)))</f>
        <v/>
      </c>
      <c r="Y115" s="62">
        <f>IF($V115="","",IF(AND(ISNUMBER($G115),$G115&lt;=IF($S115=MesCiclo,InicioCiclo,$S115+MOD(2-WEEKDAY($S115),7))+6),1,IF(ISNUMBER($I115),$I115,0)))</f>
        <v/>
      </c>
      <c r="Z115" s="62">
        <f>IF($V115="","",IF(AND(ISNUMBER($G115),$G115&lt;=IF($S115=MesCiclo,InicioCiclo,$S115+MOD(2-WEEKDAY($S115),7))+13),1,IF(ISNUMBER($J115),$J115,$Y115)))</f>
        <v/>
      </c>
      <c r="AA115" s="62">
        <f>IF($V115="","",IF(AND(ISNUMBER($G115),$G115&lt;=IF($S115=MesCiclo,InicioCiclo,$S115+MOD(2-WEEKDAY($S115),7))+20),1,IF(ISNUMBER($K115),$K115,$Z115)))</f>
        <v/>
      </c>
      <c r="AB115" s="62">
        <f>IF($V115="","",IF(AND(ISNUMBER($G115),$G115&lt;=IF($S115=MesCiclo,InicioCiclo,$S115+MOD(2-WEEKDAY($S115),7))+27),1,IF(ISNUMBER($L115),$L115,$AA115)))</f>
        <v/>
      </c>
      <c r="AC115" s="62">
        <f>IF($V115="","",IF(AND(ISNUMBER($G115),$G115&lt;=IF($S115=MesCiclo,InicioCiclo,$S115+MOD(2-WEEKDAY($S115),7))+6),1,IF(N($W115)&gt;0,AVERAGEIFS($Y$5:$Y$1000,$U$5:$U$1000,ROW(),$V$5:$V$1000,"Sub"),$Y115)))</f>
        <v/>
      </c>
      <c r="AD115" s="62">
        <f>IF($V115="","",IF(AND(ISNUMBER($G115),$G115&lt;=IF($S115=MesCiclo,InicioCiclo,$S115+MOD(2-WEEKDAY($S115),7))+13),1,IF(N($W115)&gt;0,AVERAGEIFS($Z$5:$Z$1000,$U$5:$U$1000,ROW(),$V$5:$V$1000,"Sub"),$Z115)))</f>
        <v/>
      </c>
      <c r="AE115" s="62">
        <f>IF($V115="","",IF(AND(ISNUMBER($G115),$G115&lt;=IF($S115=MesCiclo,InicioCiclo,$S115+MOD(2-WEEKDAY($S115),7))+20),1,IF(N($W115)&gt;0,AVERAGEIFS($AA$5:$AA$1000,$U$5:$U$1000,ROW(),$V$5:$V$1000,"Sub"),$AA115)))</f>
        <v/>
      </c>
      <c r="AF115" s="62">
        <f>IF($V115="","",IF(AND(ISNUMBER($G115),$G115&lt;=IF($S115=MesCiclo,InicioCiclo,$S115+MOD(2-WEEKDAY($S115),7))+27),1,IF(N($W115)&gt;0,AVERAGEIFS($AB$5:$AB$1000,$U$5:$U$1000,ROW(),$V$5:$V$1000,"Sub"),$AB115)))</f>
        <v/>
      </c>
      <c r="AG115" s="62">
        <f>IF($V115&lt;&gt;"Macro","",IF(COUNTIFS($S$5:$S$1000,$S115,$V$5:$V$1000,"Macro",$H$5:$H$1000,"&gt;0")=0,1/COUNTIFS($S$5:$S$1000,$S115,$V$5:$V$1000,"Macro"),IF(AND(ISNUMBER($H115),N($H115)&gt;0),$H115,SUMIFS($H$5:$H$1000,$S$5:$S$1000,$S115,$V$5:$V$1000,"Macro")/COUNTIFS($S$5:$S$1000,$S115,$V$5:$V$1000,"Macro",$H$5:$H$1000,"&gt;0"))/(COUNTIFS($S$5:$S$1000,$S115,$V$5:$V$1000,"Macro")*SUMIFS($H$5:$H$1000,$S$5:$S$1000,$S115,$V$5:$V$1000,"Macro")/COUNTIFS($S$5:$S$1000,$S115,$V$5:$V$1000,"Macro",$H$5:$H$1000,"&gt;0"))))</f>
        <v/>
      </c>
      <c r="AH115" s="62" t="n"/>
      <c r="AI115" s="62" t="n"/>
      <c r="AJ115" s="62" t="n"/>
      <c r="AK115" s="62" t="n"/>
      <c r="AL115" s="62">
        <f>IF(LEFT($C115,11)="[Jefatura] ",IFERROR(MATCH("Riesgo Financiero|"&amp;MID($C115,12,500),rDname_ADM,0),0),"")</f>
        <v/>
      </c>
      <c r="AM115" s="62">
        <f>IF(N($AL115)&gt;0,INDEX(rIni_ADM,$AL115),IF(ISNUMBER($E115),$E115,""))</f>
        <v/>
      </c>
      <c r="AN115" s="62">
        <f>IF(N($AL115)&gt;0,INDEX(rLim_ADM,$AL115),IF(ISNUMBER($F115),$F115,""))</f>
        <v/>
      </c>
    </row>
    <row r="116">
      <c r="A116" s="56">
        <f>IF(NOT((COUNTA($B116:$D116)+COUNTA($G116:$L116)+COUNTA($Q116))&gt;0),"",IF($V116="Macro",COUNTIFS($V$5:$V116,"Macro",$S$5:$S116,$S116),IF(N($U116)=0,"?",COUNTIFS(INDEX($V$5:$V$1000,1):INDEX($V$5:$V$1000,$U116-4),"Macro",INDEX($S$5:$S$1000,1):INDEX($S$5:$S$1000,$U116-4),INDEX($S$5:$S$1000,$U116-4))&amp;"."&amp;COUNTIFS($U$5:$U116,$U116,$V$5:$V116,"Sub"))))</f>
        <v/>
      </c>
      <c r="B116" s="57" t="n"/>
      <c r="C116" s="58" t="n"/>
      <c r="D116" s="58" t="n"/>
      <c r="E116" s="59">
        <f>IF(N($AL116)&gt;0,INDEX(rIni_ADM,$AL116),"")</f>
        <v/>
      </c>
      <c r="F116" s="59">
        <f>IF(N($AL116)&gt;0,INDEX(rLim_ADM,$AL116),"")</f>
        <v/>
      </c>
      <c r="G116" s="59" t="n"/>
      <c r="H116" s="60" t="n"/>
      <c r="I116" s="60" t="n"/>
      <c r="J116" s="60" t="n"/>
      <c r="K116" s="60" t="n"/>
      <c r="L116" s="60" t="n"/>
      <c r="M116" s="61">
        <f>IF(NOT((COUNTA($B116:$D116)+COUNTA($G116:$L116)+COUNTA($Q116))&gt;0),"",IF(ISNUMBER($G116),1,IF(N($W116)&gt;0,AVERAGEIFS($X$5:$X$1000,$U$5:$U$1000,ROW(),$V$5:$V$1000,"Sub"),$X116)))</f>
        <v/>
      </c>
      <c r="N116" s="56">
        <f>IF($M116="","",IF($M116&gt;=1,"Completado",IF($M116&gt;0,"En curso","Pendiente")))</f>
        <v/>
      </c>
      <c r="O116" s="56">
        <f>IF(NOT((COUNTA($B116:$D116)+COUNTA($G116:$L116)+COUNTA($Q116))&gt;0),"",IF(ISNUMBER($G116),IF(AND(ISNUMBER($AN116),$G116&gt;$AN116),"Cumplida con "&amp;($G116-$AN116)&amp;IF($G116-$AN116=1," día"," días")&amp;" de retraso","Cumplida"),IF(N($M116)&gt;=1,"Cumplida",IF(NOT(ISNUMBER($AN116)),"Sin fecha límite",IF($AN116&lt;FechaRef,"Vencida hace "&amp;(FechaRef-$AN116)&amp;IF(FechaRef-$AN116=1," día"," días"),IF($AN116=FechaRef,"Vence hoy",IF($AN116-FechaRef&lt;=DiasAlerta,"Vence en "&amp;($AN116-FechaRef)&amp;IF($AN116-FechaRef=1," día"," días"),"En plazo")))))))</f>
        <v/>
      </c>
      <c r="P116" s="62" t="n"/>
      <c r="Q116" s="58" t="n"/>
      <c r="R116" s="63">
        <f>IF(NOT((COUNTA($B116:$D116)+COUNTA($G116:$L116)+COUNTA($Q116))&gt;0),"",IF((IF($C116="","Falta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",""))="","✔ OK","⚠ "&amp;LEFT(IF($C116="","Falta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",""),LEN(IF($C116="","Falta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",""))-3)))</f>
        <v/>
      </c>
      <c r="S116" s="64">
        <f>IF(NOT((COUNTA($B116:$D116)+COUNTA($G116:$L116)+COUNTA($Q116))&gt;0),"",IF(AND($V116="Sub",N($U116)&gt;0),IF(ISNUMBER(INDEX($AM$5:$AM$1000,$U116-4)),DATE(YEAR(INDEX($AM$5:$AM$1000,$U116-4)),MONTH(INDEX($AM$5:$AM$1000,$U116-4)),1),IF(ISNUMBER(INDEX($AN$5:$AN$1000,$U116-4)),DATE(YEAR(INDEX($AN$5:$AN$1000,$U116-4)),MONTH(INDEX($AN$5:$AN$1000,$U116-4)),1),MesCiclo)),IF(ISNUMBER($AM116),DATE(YEAR($AM116),MONTH($AM116),1),IF(ISNUMBER($AN116),DATE(YEAR($AN116),MONTH($AN116),1),MesCiclo))))</f>
        <v/>
      </c>
      <c r="T116" s="62">
        <f>IF(OR($S116="",$S116&lt;&gt;MesCiclo),"",COUNTIF($S$5:$S116,MesCiclo))</f>
        <v/>
      </c>
      <c r="U116" s="62">
        <f>IF($V116="","",IF($V116="Macro",ROW(),IFERROR(LOOKUP(2,1/($V$5:$V116="Macro"),ROW($V$5:$V116)),0)))</f>
        <v/>
      </c>
      <c r="V116" s="62">
        <f>IF(NOT((COUNTA($B116:$D116)+COUNTA($G116:$L116)+COUNTA($Q116))&gt;0),"",IF($B116="Subactividad","Sub","Macro"))</f>
        <v/>
      </c>
      <c r="W116" s="62">
        <f>IF($V116="Macro",COUNTIFS($U$5:$U$1000,ROW(),$V$5:$V$1000,"Sub"),"")</f>
        <v/>
      </c>
      <c r="X116" s="62">
        <f>IF($V116="","",IF(ISNUMBER($G116),1,IFERROR(LOOKUP(2,1/($I116:$L116&lt;&gt;""),$I116:$L116),0)))</f>
        <v/>
      </c>
      <c r="Y116" s="62">
        <f>IF($V116="","",IF(AND(ISNUMBER($G116),$G116&lt;=IF($S116=MesCiclo,InicioCiclo,$S116+MOD(2-WEEKDAY($S116),7))+6),1,IF(ISNUMBER($I116),$I116,0)))</f>
        <v/>
      </c>
      <c r="Z116" s="62">
        <f>IF($V116="","",IF(AND(ISNUMBER($G116),$G116&lt;=IF($S116=MesCiclo,InicioCiclo,$S116+MOD(2-WEEKDAY($S116),7))+13),1,IF(ISNUMBER($J116),$J116,$Y116)))</f>
        <v/>
      </c>
      <c r="AA116" s="62">
        <f>IF($V116="","",IF(AND(ISNUMBER($G116),$G116&lt;=IF($S116=MesCiclo,InicioCiclo,$S116+MOD(2-WEEKDAY($S116),7))+20),1,IF(ISNUMBER($K116),$K116,$Z116)))</f>
        <v/>
      </c>
      <c r="AB116" s="62">
        <f>IF($V116="","",IF(AND(ISNUMBER($G116),$G116&lt;=IF($S116=MesCiclo,InicioCiclo,$S116+MOD(2-WEEKDAY($S116),7))+27),1,IF(ISNUMBER($L116),$L116,$AA116)))</f>
        <v/>
      </c>
      <c r="AC116" s="62">
        <f>IF($V116="","",IF(AND(ISNUMBER($G116),$G116&lt;=IF($S116=MesCiclo,InicioCiclo,$S116+MOD(2-WEEKDAY($S116),7))+6),1,IF(N($W116)&gt;0,AVERAGEIFS($Y$5:$Y$1000,$U$5:$U$1000,ROW(),$V$5:$V$1000,"Sub"),$Y116)))</f>
        <v/>
      </c>
      <c r="AD116" s="62">
        <f>IF($V116="","",IF(AND(ISNUMBER($G116),$G116&lt;=IF($S116=MesCiclo,InicioCiclo,$S116+MOD(2-WEEKDAY($S116),7))+13),1,IF(N($W116)&gt;0,AVERAGEIFS($Z$5:$Z$1000,$U$5:$U$1000,ROW(),$V$5:$V$1000,"Sub"),$Z116)))</f>
        <v/>
      </c>
      <c r="AE116" s="62">
        <f>IF($V116="","",IF(AND(ISNUMBER($G116),$G116&lt;=IF($S116=MesCiclo,InicioCiclo,$S116+MOD(2-WEEKDAY($S116),7))+20),1,IF(N($W116)&gt;0,AVERAGEIFS($AA$5:$AA$1000,$U$5:$U$1000,ROW(),$V$5:$V$1000,"Sub"),$AA116)))</f>
        <v/>
      </c>
      <c r="AF116" s="62">
        <f>IF($V116="","",IF(AND(ISNUMBER($G116),$G116&lt;=IF($S116=MesCiclo,InicioCiclo,$S116+MOD(2-WEEKDAY($S116),7))+27),1,IF(N($W116)&gt;0,AVERAGEIFS($AB$5:$AB$1000,$U$5:$U$1000,ROW(),$V$5:$V$1000,"Sub"),$AB116)))</f>
        <v/>
      </c>
      <c r="AG116" s="62">
        <f>IF($V116&lt;&gt;"Macro","",IF(COUNTIFS($S$5:$S$1000,$S116,$V$5:$V$1000,"Macro",$H$5:$H$1000,"&gt;0")=0,1/COUNTIFS($S$5:$S$1000,$S116,$V$5:$V$1000,"Macro"),IF(AND(ISNUMBER($H116),N($H116)&gt;0),$H116,SUMIFS($H$5:$H$1000,$S$5:$S$1000,$S116,$V$5:$V$1000,"Macro")/COUNTIFS($S$5:$S$1000,$S116,$V$5:$V$1000,"Macro",$H$5:$H$1000,"&gt;0"))/(COUNTIFS($S$5:$S$1000,$S116,$V$5:$V$1000,"Macro")*SUMIFS($H$5:$H$1000,$S$5:$S$1000,$S116,$V$5:$V$1000,"Macro")/COUNTIFS($S$5:$S$1000,$S116,$V$5:$V$1000,"Macro",$H$5:$H$1000,"&gt;0"))))</f>
        <v/>
      </c>
      <c r="AH116" s="62" t="n"/>
      <c r="AI116" s="62" t="n"/>
      <c r="AJ116" s="62" t="n"/>
      <c r="AK116" s="62" t="n"/>
      <c r="AL116" s="62">
        <f>IF(LEFT($C116,11)="[Jefatura] ",IFERROR(MATCH("Riesgo Financiero|"&amp;MID($C116,12,500),rDname_ADM,0),0),"")</f>
        <v/>
      </c>
      <c r="AM116" s="62">
        <f>IF(N($AL116)&gt;0,INDEX(rIni_ADM,$AL116),IF(ISNUMBER($E116),$E116,""))</f>
        <v/>
      </c>
      <c r="AN116" s="62">
        <f>IF(N($AL116)&gt;0,INDEX(rLim_ADM,$AL116),IF(ISNUMBER($F116),$F116,""))</f>
        <v/>
      </c>
    </row>
    <row r="117">
      <c r="A117" s="56">
        <f>IF(NOT((COUNTA($B117:$D117)+COUNTA($G117:$L117)+COUNTA($Q117))&gt;0),"",IF($V117="Macro",COUNTIFS($V$5:$V117,"Macro",$S$5:$S117,$S117),IF(N($U117)=0,"?",COUNTIFS(INDEX($V$5:$V$1000,1):INDEX($V$5:$V$1000,$U117-4),"Macro",INDEX($S$5:$S$1000,1):INDEX($S$5:$S$1000,$U117-4),INDEX($S$5:$S$1000,$U117-4))&amp;"."&amp;COUNTIFS($U$5:$U117,$U117,$V$5:$V117,"Sub"))))</f>
        <v/>
      </c>
      <c r="B117" s="57" t="n"/>
      <c r="C117" s="58" t="n"/>
      <c r="D117" s="58" t="n"/>
      <c r="E117" s="59">
        <f>IF(N($AL117)&gt;0,INDEX(rIni_ADM,$AL117),"")</f>
        <v/>
      </c>
      <c r="F117" s="59">
        <f>IF(N($AL117)&gt;0,INDEX(rLim_ADM,$AL117),"")</f>
        <v/>
      </c>
      <c r="G117" s="59" t="n"/>
      <c r="H117" s="60" t="n"/>
      <c r="I117" s="60" t="n"/>
      <c r="J117" s="60" t="n"/>
      <c r="K117" s="60" t="n"/>
      <c r="L117" s="60" t="n"/>
      <c r="M117" s="61">
        <f>IF(NOT((COUNTA($B117:$D117)+COUNTA($G117:$L117)+COUNTA($Q117))&gt;0),"",IF(ISNUMBER($G117),1,IF(N($W117)&gt;0,AVERAGEIFS($X$5:$X$1000,$U$5:$U$1000,ROW(),$V$5:$V$1000,"Sub"),$X117)))</f>
        <v/>
      </c>
      <c r="N117" s="56">
        <f>IF($M117="","",IF($M117&gt;=1,"Completado",IF($M117&gt;0,"En curso","Pendiente")))</f>
        <v/>
      </c>
      <c r="O117" s="56">
        <f>IF(NOT((COUNTA($B117:$D117)+COUNTA($G117:$L117)+COUNTA($Q117))&gt;0),"",IF(ISNUMBER($G117),IF(AND(ISNUMBER($AN117),$G117&gt;$AN117),"Cumplida con "&amp;($G117-$AN117)&amp;IF($G117-$AN117=1," día"," días")&amp;" de retraso","Cumplida"),IF(N($M117)&gt;=1,"Cumplida",IF(NOT(ISNUMBER($AN117)),"Sin fecha límite",IF($AN117&lt;FechaRef,"Vencida hace "&amp;(FechaRef-$AN117)&amp;IF(FechaRef-$AN117=1," día"," días"),IF($AN117=FechaRef,"Vence hoy",IF($AN117-FechaRef&lt;=DiasAlerta,"Vence en "&amp;($AN117-FechaRef)&amp;IF($AN117-FechaRef=1," día"," días"),"En plazo")))))))</f>
        <v/>
      </c>
      <c r="P117" s="62" t="n"/>
      <c r="Q117" s="58" t="n"/>
      <c r="R117" s="63">
        <f>IF(NOT((COUNTA($B117:$D117)+COUNTA($G117:$L117)+COUNTA($Q117))&gt;0),"",IF((IF($C117="","Falta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",""))="","✔ OK","⚠ "&amp;LEFT(IF($C117="","Falta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",""),LEN(IF($C117="","Falta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",""))-3)))</f>
        <v/>
      </c>
      <c r="S117" s="64">
        <f>IF(NOT((COUNTA($B117:$D117)+COUNTA($G117:$L117)+COUNTA($Q117))&gt;0),"",IF(AND($V117="Sub",N($U117)&gt;0),IF(ISNUMBER(INDEX($AM$5:$AM$1000,$U117-4)),DATE(YEAR(INDEX($AM$5:$AM$1000,$U117-4)),MONTH(INDEX($AM$5:$AM$1000,$U117-4)),1),IF(ISNUMBER(INDEX($AN$5:$AN$1000,$U117-4)),DATE(YEAR(INDEX($AN$5:$AN$1000,$U117-4)),MONTH(INDEX($AN$5:$AN$1000,$U117-4)),1),MesCiclo)),IF(ISNUMBER($AM117),DATE(YEAR($AM117),MONTH($AM117),1),IF(ISNUMBER($AN117),DATE(YEAR($AN117),MONTH($AN117),1),MesCiclo))))</f>
        <v/>
      </c>
      <c r="T117" s="62">
        <f>IF(OR($S117="",$S117&lt;&gt;MesCiclo),"",COUNTIF($S$5:$S117,MesCiclo))</f>
        <v/>
      </c>
      <c r="U117" s="62">
        <f>IF($V117="","",IF($V117="Macro",ROW(),IFERROR(LOOKUP(2,1/($V$5:$V117="Macro"),ROW($V$5:$V117)),0)))</f>
        <v/>
      </c>
      <c r="V117" s="62">
        <f>IF(NOT((COUNTA($B117:$D117)+COUNTA($G117:$L117)+COUNTA($Q117))&gt;0),"",IF($B117="Subactividad","Sub","Macro"))</f>
        <v/>
      </c>
      <c r="W117" s="62">
        <f>IF($V117="Macro",COUNTIFS($U$5:$U$1000,ROW(),$V$5:$V$1000,"Sub"),"")</f>
        <v/>
      </c>
      <c r="X117" s="62">
        <f>IF($V117="","",IF(ISNUMBER($G117),1,IFERROR(LOOKUP(2,1/($I117:$L117&lt;&gt;""),$I117:$L117),0)))</f>
        <v/>
      </c>
      <c r="Y117" s="62">
        <f>IF($V117="","",IF(AND(ISNUMBER($G117),$G117&lt;=IF($S117=MesCiclo,InicioCiclo,$S117+MOD(2-WEEKDAY($S117),7))+6),1,IF(ISNUMBER($I117),$I117,0)))</f>
        <v/>
      </c>
      <c r="Z117" s="62">
        <f>IF($V117="","",IF(AND(ISNUMBER($G117),$G117&lt;=IF($S117=MesCiclo,InicioCiclo,$S117+MOD(2-WEEKDAY($S117),7))+13),1,IF(ISNUMBER($J117),$J117,$Y117)))</f>
        <v/>
      </c>
      <c r="AA117" s="62">
        <f>IF($V117="","",IF(AND(ISNUMBER($G117),$G117&lt;=IF($S117=MesCiclo,InicioCiclo,$S117+MOD(2-WEEKDAY($S117),7))+20),1,IF(ISNUMBER($K117),$K117,$Z117)))</f>
        <v/>
      </c>
      <c r="AB117" s="62">
        <f>IF($V117="","",IF(AND(ISNUMBER($G117),$G117&lt;=IF($S117=MesCiclo,InicioCiclo,$S117+MOD(2-WEEKDAY($S117),7))+27),1,IF(ISNUMBER($L117),$L117,$AA117)))</f>
        <v/>
      </c>
      <c r="AC117" s="62">
        <f>IF($V117="","",IF(AND(ISNUMBER($G117),$G117&lt;=IF($S117=MesCiclo,InicioCiclo,$S117+MOD(2-WEEKDAY($S117),7))+6),1,IF(N($W117)&gt;0,AVERAGEIFS($Y$5:$Y$1000,$U$5:$U$1000,ROW(),$V$5:$V$1000,"Sub"),$Y117)))</f>
        <v/>
      </c>
      <c r="AD117" s="62">
        <f>IF($V117="","",IF(AND(ISNUMBER($G117),$G117&lt;=IF($S117=MesCiclo,InicioCiclo,$S117+MOD(2-WEEKDAY($S117),7))+13),1,IF(N($W117)&gt;0,AVERAGEIFS($Z$5:$Z$1000,$U$5:$U$1000,ROW(),$V$5:$V$1000,"Sub"),$Z117)))</f>
        <v/>
      </c>
      <c r="AE117" s="62">
        <f>IF($V117="","",IF(AND(ISNUMBER($G117),$G117&lt;=IF($S117=MesCiclo,InicioCiclo,$S117+MOD(2-WEEKDAY($S117),7))+20),1,IF(N($W117)&gt;0,AVERAGEIFS($AA$5:$AA$1000,$U$5:$U$1000,ROW(),$V$5:$V$1000,"Sub"),$AA117)))</f>
        <v/>
      </c>
      <c r="AF117" s="62">
        <f>IF($V117="","",IF(AND(ISNUMBER($G117),$G117&lt;=IF($S117=MesCiclo,InicioCiclo,$S117+MOD(2-WEEKDAY($S117),7))+27),1,IF(N($W117)&gt;0,AVERAGEIFS($AB$5:$AB$1000,$U$5:$U$1000,ROW(),$V$5:$V$1000,"Sub"),$AB117)))</f>
        <v/>
      </c>
      <c r="AG117" s="62">
        <f>IF($V117&lt;&gt;"Macro","",IF(COUNTIFS($S$5:$S$1000,$S117,$V$5:$V$1000,"Macro",$H$5:$H$1000,"&gt;0")=0,1/COUNTIFS($S$5:$S$1000,$S117,$V$5:$V$1000,"Macro"),IF(AND(ISNUMBER($H117),N($H117)&gt;0),$H117,SUMIFS($H$5:$H$1000,$S$5:$S$1000,$S117,$V$5:$V$1000,"Macro")/COUNTIFS($S$5:$S$1000,$S117,$V$5:$V$1000,"Macro",$H$5:$H$1000,"&gt;0"))/(COUNTIFS($S$5:$S$1000,$S117,$V$5:$V$1000,"Macro")*SUMIFS($H$5:$H$1000,$S$5:$S$1000,$S117,$V$5:$V$1000,"Macro")/COUNTIFS($S$5:$S$1000,$S117,$V$5:$V$1000,"Macro",$H$5:$H$1000,"&gt;0"))))</f>
        <v/>
      </c>
      <c r="AH117" s="62" t="n"/>
      <c r="AI117" s="62" t="n"/>
      <c r="AJ117" s="62" t="n"/>
      <c r="AK117" s="62" t="n"/>
      <c r="AL117" s="62">
        <f>IF(LEFT($C117,11)="[Jefatura] ",IFERROR(MATCH("Riesgo Financiero|"&amp;MID($C117,12,500),rDname_ADM,0),0),"")</f>
        <v/>
      </c>
      <c r="AM117" s="62">
        <f>IF(N($AL117)&gt;0,INDEX(rIni_ADM,$AL117),IF(ISNUMBER($E117),$E117,""))</f>
        <v/>
      </c>
      <c r="AN117" s="62">
        <f>IF(N($AL117)&gt;0,INDEX(rLim_ADM,$AL117),IF(ISNUMBER($F117),$F117,""))</f>
        <v/>
      </c>
    </row>
    <row r="118">
      <c r="A118" s="56">
        <f>IF(NOT((COUNTA($B118:$D118)+COUNTA($G118:$L118)+COUNTA($Q118))&gt;0),"",IF($V118="Macro",COUNTIFS($V$5:$V118,"Macro",$S$5:$S118,$S118),IF(N($U118)=0,"?",COUNTIFS(INDEX($V$5:$V$1000,1):INDEX($V$5:$V$1000,$U118-4),"Macro",INDEX($S$5:$S$1000,1):INDEX($S$5:$S$1000,$U118-4),INDEX($S$5:$S$1000,$U118-4))&amp;"."&amp;COUNTIFS($U$5:$U118,$U118,$V$5:$V118,"Sub"))))</f>
        <v/>
      </c>
      <c r="B118" s="57" t="n"/>
      <c r="C118" s="58" t="n"/>
      <c r="D118" s="58" t="n"/>
      <c r="E118" s="59">
        <f>IF(N($AL118)&gt;0,INDEX(rIni_ADM,$AL118),"")</f>
        <v/>
      </c>
      <c r="F118" s="59">
        <f>IF(N($AL118)&gt;0,INDEX(rLim_ADM,$AL118),"")</f>
        <v/>
      </c>
      <c r="G118" s="59" t="n"/>
      <c r="H118" s="60" t="n"/>
      <c r="I118" s="60" t="n"/>
      <c r="J118" s="60" t="n"/>
      <c r="K118" s="60" t="n"/>
      <c r="L118" s="60" t="n"/>
      <c r="M118" s="61">
        <f>IF(NOT((COUNTA($B118:$D118)+COUNTA($G118:$L118)+COUNTA($Q118))&gt;0),"",IF(ISNUMBER($G118),1,IF(N($W118)&gt;0,AVERAGEIFS($X$5:$X$1000,$U$5:$U$1000,ROW(),$V$5:$V$1000,"Sub"),$X118)))</f>
        <v/>
      </c>
      <c r="N118" s="56">
        <f>IF($M118="","",IF($M118&gt;=1,"Completado",IF($M118&gt;0,"En curso","Pendiente")))</f>
        <v/>
      </c>
      <c r="O118" s="56">
        <f>IF(NOT((COUNTA($B118:$D118)+COUNTA($G118:$L118)+COUNTA($Q118))&gt;0),"",IF(ISNUMBER($G118),IF(AND(ISNUMBER($AN118),$G118&gt;$AN118),"Cumplida con "&amp;($G118-$AN118)&amp;IF($G118-$AN118=1," día"," días")&amp;" de retraso","Cumplida"),IF(N($M118)&gt;=1,"Cumplida",IF(NOT(ISNUMBER($AN118)),"Sin fecha límite",IF($AN118&lt;FechaRef,"Vencida hace "&amp;(FechaRef-$AN118)&amp;IF(FechaRef-$AN118=1," día"," días"),IF($AN118=FechaRef,"Vence hoy",IF($AN118-FechaRef&lt;=DiasAlerta,"Vence en "&amp;($AN118-FechaRef)&amp;IF($AN118-FechaRef=1," día"," días"),"En plazo")))))))</f>
        <v/>
      </c>
      <c r="P118" s="62" t="n"/>
      <c r="Q118" s="58" t="n"/>
      <c r="R118" s="63">
        <f>IF(NOT((COUNTA($B118:$D118)+COUNTA($G118:$L118)+COUNTA($Q118))&gt;0),"",IF((IF($C118="","Falta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",""))="","✔ OK","⚠ "&amp;LEFT(IF($C118="","Falta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",""),LEN(IF($C118="","Falta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",""))-3)))</f>
        <v/>
      </c>
      <c r="S118" s="64">
        <f>IF(NOT((COUNTA($B118:$D118)+COUNTA($G118:$L118)+COUNTA($Q118))&gt;0),"",IF(AND($V118="Sub",N($U118)&gt;0),IF(ISNUMBER(INDEX($AM$5:$AM$1000,$U118-4)),DATE(YEAR(INDEX($AM$5:$AM$1000,$U118-4)),MONTH(INDEX($AM$5:$AM$1000,$U118-4)),1),IF(ISNUMBER(INDEX($AN$5:$AN$1000,$U118-4)),DATE(YEAR(INDEX($AN$5:$AN$1000,$U118-4)),MONTH(INDEX($AN$5:$AN$1000,$U118-4)),1),MesCiclo)),IF(ISNUMBER($AM118),DATE(YEAR($AM118),MONTH($AM118),1),IF(ISNUMBER($AN118),DATE(YEAR($AN118),MONTH($AN118),1),MesCiclo))))</f>
        <v/>
      </c>
      <c r="T118" s="62">
        <f>IF(OR($S118="",$S118&lt;&gt;MesCiclo),"",COUNTIF($S$5:$S118,MesCiclo))</f>
        <v/>
      </c>
      <c r="U118" s="62">
        <f>IF($V118="","",IF($V118="Macro",ROW(),IFERROR(LOOKUP(2,1/($V$5:$V118="Macro"),ROW($V$5:$V118)),0)))</f>
        <v/>
      </c>
      <c r="V118" s="62">
        <f>IF(NOT((COUNTA($B118:$D118)+COUNTA($G118:$L118)+COUNTA($Q118))&gt;0),"",IF($B118="Subactividad","Sub","Macro"))</f>
        <v/>
      </c>
      <c r="W118" s="62">
        <f>IF($V118="Macro",COUNTIFS($U$5:$U$1000,ROW(),$V$5:$V$1000,"Sub"),"")</f>
        <v/>
      </c>
      <c r="X118" s="62">
        <f>IF($V118="","",IF(ISNUMBER($G118),1,IFERROR(LOOKUP(2,1/($I118:$L118&lt;&gt;""),$I118:$L118),0)))</f>
        <v/>
      </c>
      <c r="Y118" s="62">
        <f>IF($V118="","",IF(AND(ISNUMBER($G118),$G118&lt;=IF($S118=MesCiclo,InicioCiclo,$S118+MOD(2-WEEKDAY($S118),7))+6),1,IF(ISNUMBER($I118),$I118,0)))</f>
        <v/>
      </c>
      <c r="Z118" s="62">
        <f>IF($V118="","",IF(AND(ISNUMBER($G118),$G118&lt;=IF($S118=MesCiclo,InicioCiclo,$S118+MOD(2-WEEKDAY($S118),7))+13),1,IF(ISNUMBER($J118),$J118,$Y118)))</f>
        <v/>
      </c>
      <c r="AA118" s="62">
        <f>IF($V118="","",IF(AND(ISNUMBER($G118),$G118&lt;=IF($S118=MesCiclo,InicioCiclo,$S118+MOD(2-WEEKDAY($S118),7))+20),1,IF(ISNUMBER($K118),$K118,$Z118)))</f>
        <v/>
      </c>
      <c r="AB118" s="62">
        <f>IF($V118="","",IF(AND(ISNUMBER($G118),$G118&lt;=IF($S118=MesCiclo,InicioCiclo,$S118+MOD(2-WEEKDAY($S118),7))+27),1,IF(ISNUMBER($L118),$L118,$AA118)))</f>
        <v/>
      </c>
      <c r="AC118" s="62">
        <f>IF($V118="","",IF(AND(ISNUMBER($G118),$G118&lt;=IF($S118=MesCiclo,InicioCiclo,$S118+MOD(2-WEEKDAY($S118),7))+6),1,IF(N($W118)&gt;0,AVERAGEIFS($Y$5:$Y$1000,$U$5:$U$1000,ROW(),$V$5:$V$1000,"Sub"),$Y118)))</f>
        <v/>
      </c>
      <c r="AD118" s="62">
        <f>IF($V118="","",IF(AND(ISNUMBER($G118),$G118&lt;=IF($S118=MesCiclo,InicioCiclo,$S118+MOD(2-WEEKDAY($S118),7))+13),1,IF(N($W118)&gt;0,AVERAGEIFS($Z$5:$Z$1000,$U$5:$U$1000,ROW(),$V$5:$V$1000,"Sub"),$Z118)))</f>
        <v/>
      </c>
      <c r="AE118" s="62">
        <f>IF($V118="","",IF(AND(ISNUMBER($G118),$G118&lt;=IF($S118=MesCiclo,InicioCiclo,$S118+MOD(2-WEEKDAY($S118),7))+20),1,IF(N($W118)&gt;0,AVERAGEIFS($AA$5:$AA$1000,$U$5:$U$1000,ROW(),$V$5:$V$1000,"Sub"),$AA118)))</f>
        <v/>
      </c>
      <c r="AF118" s="62">
        <f>IF($V118="","",IF(AND(ISNUMBER($G118),$G118&lt;=IF($S118=MesCiclo,InicioCiclo,$S118+MOD(2-WEEKDAY($S118),7))+27),1,IF(N($W118)&gt;0,AVERAGEIFS($AB$5:$AB$1000,$U$5:$U$1000,ROW(),$V$5:$V$1000,"Sub"),$AB118)))</f>
        <v/>
      </c>
      <c r="AG118" s="62">
        <f>IF($V118&lt;&gt;"Macro","",IF(COUNTIFS($S$5:$S$1000,$S118,$V$5:$V$1000,"Macro",$H$5:$H$1000,"&gt;0")=0,1/COUNTIFS($S$5:$S$1000,$S118,$V$5:$V$1000,"Macro"),IF(AND(ISNUMBER($H118),N($H118)&gt;0),$H118,SUMIFS($H$5:$H$1000,$S$5:$S$1000,$S118,$V$5:$V$1000,"Macro")/COUNTIFS($S$5:$S$1000,$S118,$V$5:$V$1000,"Macro",$H$5:$H$1000,"&gt;0"))/(COUNTIFS($S$5:$S$1000,$S118,$V$5:$V$1000,"Macro")*SUMIFS($H$5:$H$1000,$S$5:$S$1000,$S118,$V$5:$V$1000,"Macro")/COUNTIFS($S$5:$S$1000,$S118,$V$5:$V$1000,"Macro",$H$5:$H$1000,"&gt;0"))))</f>
        <v/>
      </c>
      <c r="AH118" s="62" t="n"/>
      <c r="AI118" s="62" t="n"/>
      <c r="AJ118" s="62" t="n"/>
      <c r="AK118" s="62" t="n"/>
      <c r="AL118" s="62">
        <f>IF(LEFT($C118,11)="[Jefatura] ",IFERROR(MATCH("Riesgo Financiero|"&amp;MID($C118,12,500),rDname_ADM,0),0),"")</f>
        <v/>
      </c>
      <c r="AM118" s="62">
        <f>IF(N($AL118)&gt;0,INDEX(rIni_ADM,$AL118),IF(ISNUMBER($E118),$E118,""))</f>
        <v/>
      </c>
      <c r="AN118" s="62">
        <f>IF(N($AL118)&gt;0,INDEX(rLim_ADM,$AL118),IF(ISNUMBER($F118),$F118,""))</f>
        <v/>
      </c>
    </row>
    <row r="119">
      <c r="A119" s="56">
        <f>IF(NOT((COUNTA($B119:$D119)+COUNTA($G119:$L119)+COUNTA($Q119))&gt;0),"",IF($V119="Macro",COUNTIFS($V$5:$V119,"Macro",$S$5:$S119,$S119),IF(N($U119)=0,"?",COUNTIFS(INDEX($V$5:$V$1000,1):INDEX($V$5:$V$1000,$U119-4),"Macro",INDEX($S$5:$S$1000,1):INDEX($S$5:$S$1000,$U119-4),INDEX($S$5:$S$1000,$U119-4))&amp;"."&amp;COUNTIFS($U$5:$U119,$U119,$V$5:$V119,"Sub"))))</f>
        <v/>
      </c>
      <c r="B119" s="57" t="n"/>
      <c r="C119" s="58" t="n"/>
      <c r="D119" s="58" t="n"/>
      <c r="E119" s="59">
        <f>IF(N($AL119)&gt;0,INDEX(rIni_ADM,$AL119),"")</f>
        <v/>
      </c>
      <c r="F119" s="59">
        <f>IF(N($AL119)&gt;0,INDEX(rLim_ADM,$AL119),"")</f>
        <v/>
      </c>
      <c r="G119" s="59" t="n"/>
      <c r="H119" s="60" t="n"/>
      <c r="I119" s="60" t="n"/>
      <c r="J119" s="60" t="n"/>
      <c r="K119" s="60" t="n"/>
      <c r="L119" s="60" t="n"/>
      <c r="M119" s="61">
        <f>IF(NOT((COUNTA($B119:$D119)+COUNTA($G119:$L119)+COUNTA($Q119))&gt;0),"",IF(ISNUMBER($G119),1,IF(N($W119)&gt;0,AVERAGEIFS($X$5:$X$1000,$U$5:$U$1000,ROW(),$V$5:$V$1000,"Sub"),$X119)))</f>
        <v/>
      </c>
      <c r="N119" s="56">
        <f>IF($M119="","",IF($M119&gt;=1,"Completado",IF($M119&gt;0,"En curso","Pendiente")))</f>
        <v/>
      </c>
      <c r="O119" s="56">
        <f>IF(NOT((COUNTA($B119:$D119)+COUNTA($G119:$L119)+COUNTA($Q119))&gt;0),"",IF(ISNUMBER($G119),IF(AND(ISNUMBER($AN119),$G119&gt;$AN119),"Cumplida con "&amp;($G119-$AN119)&amp;IF($G119-$AN119=1," día"," días")&amp;" de retraso","Cumplida"),IF(N($M119)&gt;=1,"Cumplida",IF(NOT(ISNUMBER($AN119)),"Sin fecha límite",IF($AN119&lt;FechaRef,"Vencida hace "&amp;(FechaRef-$AN119)&amp;IF(FechaRef-$AN119=1," día"," días"),IF($AN119=FechaRef,"Vence hoy",IF($AN119-FechaRef&lt;=DiasAlerta,"Vence en "&amp;($AN119-FechaRef)&amp;IF($AN119-FechaRef=1," día"," días"),"En plazo")))))))</f>
        <v/>
      </c>
      <c r="P119" s="62" t="n"/>
      <c r="Q119" s="58" t="n"/>
      <c r="R119" s="63">
        <f>IF(NOT((COUNTA($B119:$D119)+COUNTA($G119:$L119)+COUNTA($Q119))&gt;0),"",IF((IF($C119="","Falta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",""))="","✔ OK","⚠ "&amp;LEFT(IF($C119="","Falta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",""),LEN(IF($C119="","Falta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",""))-3)))</f>
        <v/>
      </c>
      <c r="S119" s="64">
        <f>IF(NOT((COUNTA($B119:$D119)+COUNTA($G119:$L119)+COUNTA($Q119))&gt;0),"",IF(AND($V119="Sub",N($U119)&gt;0),IF(ISNUMBER(INDEX($AM$5:$AM$1000,$U119-4)),DATE(YEAR(INDEX($AM$5:$AM$1000,$U119-4)),MONTH(INDEX($AM$5:$AM$1000,$U119-4)),1),IF(ISNUMBER(INDEX($AN$5:$AN$1000,$U119-4)),DATE(YEAR(INDEX($AN$5:$AN$1000,$U119-4)),MONTH(INDEX($AN$5:$AN$1000,$U119-4)),1),MesCiclo)),IF(ISNUMBER($AM119),DATE(YEAR($AM119),MONTH($AM119),1),IF(ISNUMBER($AN119),DATE(YEAR($AN119),MONTH($AN119),1),MesCiclo))))</f>
        <v/>
      </c>
      <c r="T119" s="62">
        <f>IF(OR($S119="",$S119&lt;&gt;MesCiclo),"",COUNTIF($S$5:$S119,MesCiclo))</f>
        <v/>
      </c>
      <c r="U119" s="62">
        <f>IF($V119="","",IF($V119="Macro",ROW(),IFERROR(LOOKUP(2,1/($V$5:$V119="Macro"),ROW($V$5:$V119)),0)))</f>
        <v/>
      </c>
      <c r="V119" s="62">
        <f>IF(NOT((COUNTA($B119:$D119)+COUNTA($G119:$L119)+COUNTA($Q119))&gt;0),"",IF($B119="Subactividad","Sub","Macro"))</f>
        <v/>
      </c>
      <c r="W119" s="62">
        <f>IF($V119="Macro",COUNTIFS($U$5:$U$1000,ROW(),$V$5:$V$1000,"Sub"),"")</f>
        <v/>
      </c>
      <c r="X119" s="62">
        <f>IF($V119="","",IF(ISNUMBER($G119),1,IFERROR(LOOKUP(2,1/($I119:$L119&lt;&gt;""),$I119:$L119),0)))</f>
        <v/>
      </c>
      <c r="Y119" s="62">
        <f>IF($V119="","",IF(AND(ISNUMBER($G119),$G119&lt;=IF($S119=MesCiclo,InicioCiclo,$S119+MOD(2-WEEKDAY($S119),7))+6),1,IF(ISNUMBER($I119),$I119,0)))</f>
        <v/>
      </c>
      <c r="Z119" s="62">
        <f>IF($V119="","",IF(AND(ISNUMBER($G119),$G119&lt;=IF($S119=MesCiclo,InicioCiclo,$S119+MOD(2-WEEKDAY($S119),7))+13),1,IF(ISNUMBER($J119),$J119,$Y119)))</f>
        <v/>
      </c>
      <c r="AA119" s="62">
        <f>IF($V119="","",IF(AND(ISNUMBER($G119),$G119&lt;=IF($S119=MesCiclo,InicioCiclo,$S119+MOD(2-WEEKDAY($S119),7))+20),1,IF(ISNUMBER($K119),$K119,$Z119)))</f>
        <v/>
      </c>
      <c r="AB119" s="62">
        <f>IF($V119="","",IF(AND(ISNUMBER($G119),$G119&lt;=IF($S119=MesCiclo,InicioCiclo,$S119+MOD(2-WEEKDAY($S119),7))+27),1,IF(ISNUMBER($L119),$L119,$AA119)))</f>
        <v/>
      </c>
      <c r="AC119" s="62">
        <f>IF($V119="","",IF(AND(ISNUMBER($G119),$G119&lt;=IF($S119=MesCiclo,InicioCiclo,$S119+MOD(2-WEEKDAY($S119),7))+6),1,IF(N($W119)&gt;0,AVERAGEIFS($Y$5:$Y$1000,$U$5:$U$1000,ROW(),$V$5:$V$1000,"Sub"),$Y119)))</f>
        <v/>
      </c>
      <c r="AD119" s="62">
        <f>IF($V119="","",IF(AND(ISNUMBER($G119),$G119&lt;=IF($S119=MesCiclo,InicioCiclo,$S119+MOD(2-WEEKDAY($S119),7))+13),1,IF(N($W119)&gt;0,AVERAGEIFS($Z$5:$Z$1000,$U$5:$U$1000,ROW(),$V$5:$V$1000,"Sub"),$Z119)))</f>
        <v/>
      </c>
      <c r="AE119" s="62">
        <f>IF($V119="","",IF(AND(ISNUMBER($G119),$G119&lt;=IF($S119=MesCiclo,InicioCiclo,$S119+MOD(2-WEEKDAY($S119),7))+20),1,IF(N($W119)&gt;0,AVERAGEIFS($AA$5:$AA$1000,$U$5:$U$1000,ROW(),$V$5:$V$1000,"Sub"),$AA119)))</f>
        <v/>
      </c>
      <c r="AF119" s="62">
        <f>IF($V119="","",IF(AND(ISNUMBER($G119),$G119&lt;=IF($S119=MesCiclo,InicioCiclo,$S119+MOD(2-WEEKDAY($S119),7))+27),1,IF(N($W119)&gt;0,AVERAGEIFS($AB$5:$AB$1000,$U$5:$U$1000,ROW(),$V$5:$V$1000,"Sub"),$AB119)))</f>
        <v/>
      </c>
      <c r="AG119" s="62">
        <f>IF($V119&lt;&gt;"Macro","",IF(COUNTIFS($S$5:$S$1000,$S119,$V$5:$V$1000,"Macro",$H$5:$H$1000,"&gt;0")=0,1/COUNTIFS($S$5:$S$1000,$S119,$V$5:$V$1000,"Macro"),IF(AND(ISNUMBER($H119),N($H119)&gt;0),$H119,SUMIFS($H$5:$H$1000,$S$5:$S$1000,$S119,$V$5:$V$1000,"Macro")/COUNTIFS($S$5:$S$1000,$S119,$V$5:$V$1000,"Macro",$H$5:$H$1000,"&gt;0"))/(COUNTIFS($S$5:$S$1000,$S119,$V$5:$V$1000,"Macro")*SUMIFS($H$5:$H$1000,$S$5:$S$1000,$S119,$V$5:$V$1000,"Macro")/COUNTIFS($S$5:$S$1000,$S119,$V$5:$V$1000,"Macro",$H$5:$H$1000,"&gt;0"))))</f>
        <v/>
      </c>
      <c r="AH119" s="62" t="n"/>
      <c r="AI119" s="62" t="n"/>
      <c r="AJ119" s="62" t="n"/>
      <c r="AK119" s="62" t="n"/>
      <c r="AL119" s="62">
        <f>IF(LEFT($C119,11)="[Jefatura] ",IFERROR(MATCH("Riesgo Financiero|"&amp;MID($C119,12,500),rDname_ADM,0),0),"")</f>
        <v/>
      </c>
      <c r="AM119" s="62">
        <f>IF(N($AL119)&gt;0,INDEX(rIni_ADM,$AL119),IF(ISNUMBER($E119),$E119,""))</f>
        <v/>
      </c>
      <c r="AN119" s="62">
        <f>IF(N($AL119)&gt;0,INDEX(rLim_ADM,$AL119),IF(ISNUMBER($F119),$F119,""))</f>
        <v/>
      </c>
    </row>
    <row r="120">
      <c r="A120" s="56">
        <f>IF(NOT((COUNTA($B120:$D120)+COUNTA($G120:$L120)+COUNTA($Q120))&gt;0),"",IF($V120="Macro",COUNTIFS($V$5:$V120,"Macro",$S$5:$S120,$S120),IF(N($U120)=0,"?",COUNTIFS(INDEX($V$5:$V$1000,1):INDEX($V$5:$V$1000,$U120-4),"Macro",INDEX($S$5:$S$1000,1):INDEX($S$5:$S$1000,$U120-4),INDEX($S$5:$S$1000,$U120-4))&amp;"."&amp;COUNTIFS($U$5:$U120,$U120,$V$5:$V120,"Sub"))))</f>
        <v/>
      </c>
      <c r="B120" s="57" t="n"/>
      <c r="C120" s="58" t="n"/>
      <c r="D120" s="58" t="n"/>
      <c r="E120" s="59">
        <f>IF(N($AL120)&gt;0,INDEX(rIni_ADM,$AL120),"")</f>
        <v/>
      </c>
      <c r="F120" s="59">
        <f>IF(N($AL120)&gt;0,INDEX(rLim_ADM,$AL120),"")</f>
        <v/>
      </c>
      <c r="G120" s="59" t="n"/>
      <c r="H120" s="60" t="n"/>
      <c r="I120" s="60" t="n"/>
      <c r="J120" s="60" t="n"/>
      <c r="K120" s="60" t="n"/>
      <c r="L120" s="60" t="n"/>
      <c r="M120" s="61">
        <f>IF(NOT((COUNTA($B120:$D120)+COUNTA($G120:$L120)+COUNTA($Q120))&gt;0),"",IF(ISNUMBER($G120),1,IF(N($W120)&gt;0,AVERAGEIFS($X$5:$X$1000,$U$5:$U$1000,ROW(),$V$5:$V$1000,"Sub"),$X120)))</f>
        <v/>
      </c>
      <c r="N120" s="56">
        <f>IF($M120="","",IF($M120&gt;=1,"Completado",IF($M120&gt;0,"En curso","Pendiente")))</f>
        <v/>
      </c>
      <c r="O120" s="56">
        <f>IF(NOT((COUNTA($B120:$D120)+COUNTA($G120:$L120)+COUNTA($Q120))&gt;0),"",IF(ISNUMBER($G120),IF(AND(ISNUMBER($AN120),$G120&gt;$AN120),"Cumplida con "&amp;($G120-$AN120)&amp;IF($G120-$AN120=1," día"," días")&amp;" de retraso","Cumplida"),IF(N($M120)&gt;=1,"Cumplida",IF(NOT(ISNUMBER($AN120)),"Sin fecha límite",IF($AN120&lt;FechaRef,"Vencida hace "&amp;(FechaRef-$AN120)&amp;IF(FechaRef-$AN120=1," día"," días"),IF($AN120=FechaRef,"Vence hoy",IF($AN120-FechaRef&lt;=DiasAlerta,"Vence en "&amp;($AN120-FechaRef)&amp;IF($AN120-FechaRef=1," día"," días"),"En plazo")))))))</f>
        <v/>
      </c>
      <c r="P120" s="62" t="n"/>
      <c r="Q120" s="58" t="n"/>
      <c r="R120" s="63">
        <f>IF(NOT((COUNTA($B120:$D120)+COUNTA($G120:$L120)+COUNTA($Q120))&gt;0),"",IF((IF($C120="","Falta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",""))="","✔ OK","⚠ "&amp;LEFT(IF($C120="","Falta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",""),LEN(IF($C120="","Falta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",""))-3)))</f>
        <v/>
      </c>
      <c r="S120" s="64">
        <f>IF(NOT((COUNTA($B120:$D120)+COUNTA($G120:$L120)+COUNTA($Q120))&gt;0),"",IF(AND($V120="Sub",N($U120)&gt;0),IF(ISNUMBER(INDEX($AM$5:$AM$1000,$U120-4)),DATE(YEAR(INDEX($AM$5:$AM$1000,$U120-4)),MONTH(INDEX($AM$5:$AM$1000,$U120-4)),1),IF(ISNUMBER(INDEX($AN$5:$AN$1000,$U120-4)),DATE(YEAR(INDEX($AN$5:$AN$1000,$U120-4)),MONTH(INDEX($AN$5:$AN$1000,$U120-4)),1),MesCiclo)),IF(ISNUMBER($AM120),DATE(YEAR($AM120),MONTH($AM120),1),IF(ISNUMBER($AN120),DATE(YEAR($AN120),MONTH($AN120),1),MesCiclo))))</f>
        <v/>
      </c>
      <c r="T120" s="62">
        <f>IF(OR($S120="",$S120&lt;&gt;MesCiclo),"",COUNTIF($S$5:$S120,MesCiclo))</f>
        <v/>
      </c>
      <c r="U120" s="62">
        <f>IF($V120="","",IF($V120="Macro",ROW(),IFERROR(LOOKUP(2,1/($V$5:$V120="Macro"),ROW($V$5:$V120)),0)))</f>
        <v/>
      </c>
      <c r="V120" s="62">
        <f>IF(NOT((COUNTA($B120:$D120)+COUNTA($G120:$L120)+COUNTA($Q120))&gt;0),"",IF($B120="Subactividad","Sub","Macro"))</f>
        <v/>
      </c>
      <c r="W120" s="62">
        <f>IF($V120="Macro",COUNTIFS($U$5:$U$1000,ROW(),$V$5:$V$1000,"Sub"),"")</f>
        <v/>
      </c>
      <c r="X120" s="62">
        <f>IF($V120="","",IF(ISNUMBER($G120),1,IFERROR(LOOKUP(2,1/($I120:$L120&lt;&gt;""),$I120:$L120),0)))</f>
        <v/>
      </c>
      <c r="Y120" s="62">
        <f>IF($V120="","",IF(AND(ISNUMBER($G120),$G120&lt;=IF($S120=MesCiclo,InicioCiclo,$S120+MOD(2-WEEKDAY($S120),7))+6),1,IF(ISNUMBER($I120),$I120,0)))</f>
        <v/>
      </c>
      <c r="Z120" s="62">
        <f>IF($V120="","",IF(AND(ISNUMBER($G120),$G120&lt;=IF($S120=MesCiclo,InicioCiclo,$S120+MOD(2-WEEKDAY($S120),7))+13),1,IF(ISNUMBER($J120),$J120,$Y120)))</f>
        <v/>
      </c>
      <c r="AA120" s="62">
        <f>IF($V120="","",IF(AND(ISNUMBER($G120),$G120&lt;=IF($S120=MesCiclo,InicioCiclo,$S120+MOD(2-WEEKDAY($S120),7))+20),1,IF(ISNUMBER($K120),$K120,$Z120)))</f>
        <v/>
      </c>
      <c r="AB120" s="62">
        <f>IF($V120="","",IF(AND(ISNUMBER($G120),$G120&lt;=IF($S120=MesCiclo,InicioCiclo,$S120+MOD(2-WEEKDAY($S120),7))+27),1,IF(ISNUMBER($L120),$L120,$AA120)))</f>
        <v/>
      </c>
      <c r="AC120" s="62">
        <f>IF($V120="","",IF(AND(ISNUMBER($G120),$G120&lt;=IF($S120=MesCiclo,InicioCiclo,$S120+MOD(2-WEEKDAY($S120),7))+6),1,IF(N($W120)&gt;0,AVERAGEIFS($Y$5:$Y$1000,$U$5:$U$1000,ROW(),$V$5:$V$1000,"Sub"),$Y120)))</f>
        <v/>
      </c>
      <c r="AD120" s="62">
        <f>IF($V120="","",IF(AND(ISNUMBER($G120),$G120&lt;=IF($S120=MesCiclo,InicioCiclo,$S120+MOD(2-WEEKDAY($S120),7))+13),1,IF(N($W120)&gt;0,AVERAGEIFS($Z$5:$Z$1000,$U$5:$U$1000,ROW(),$V$5:$V$1000,"Sub"),$Z120)))</f>
        <v/>
      </c>
      <c r="AE120" s="62">
        <f>IF($V120="","",IF(AND(ISNUMBER($G120),$G120&lt;=IF($S120=MesCiclo,InicioCiclo,$S120+MOD(2-WEEKDAY($S120),7))+20),1,IF(N($W120)&gt;0,AVERAGEIFS($AA$5:$AA$1000,$U$5:$U$1000,ROW(),$V$5:$V$1000,"Sub"),$AA120)))</f>
        <v/>
      </c>
      <c r="AF120" s="62">
        <f>IF($V120="","",IF(AND(ISNUMBER($G120),$G120&lt;=IF($S120=MesCiclo,InicioCiclo,$S120+MOD(2-WEEKDAY($S120),7))+27),1,IF(N($W120)&gt;0,AVERAGEIFS($AB$5:$AB$1000,$U$5:$U$1000,ROW(),$V$5:$V$1000,"Sub"),$AB120)))</f>
        <v/>
      </c>
      <c r="AG120" s="62">
        <f>IF($V120&lt;&gt;"Macro","",IF(COUNTIFS($S$5:$S$1000,$S120,$V$5:$V$1000,"Macro",$H$5:$H$1000,"&gt;0")=0,1/COUNTIFS($S$5:$S$1000,$S120,$V$5:$V$1000,"Macro"),IF(AND(ISNUMBER($H120),N($H120)&gt;0),$H120,SUMIFS($H$5:$H$1000,$S$5:$S$1000,$S120,$V$5:$V$1000,"Macro")/COUNTIFS($S$5:$S$1000,$S120,$V$5:$V$1000,"Macro",$H$5:$H$1000,"&gt;0"))/(COUNTIFS($S$5:$S$1000,$S120,$V$5:$V$1000,"Macro")*SUMIFS($H$5:$H$1000,$S$5:$S$1000,$S120,$V$5:$V$1000,"Macro")/COUNTIFS($S$5:$S$1000,$S120,$V$5:$V$1000,"Macro",$H$5:$H$1000,"&gt;0"))))</f>
        <v/>
      </c>
      <c r="AH120" s="62" t="n"/>
      <c r="AI120" s="62" t="n"/>
      <c r="AJ120" s="62" t="n"/>
      <c r="AK120" s="62" t="n"/>
      <c r="AL120" s="62">
        <f>IF(LEFT($C120,11)="[Jefatura] ",IFERROR(MATCH("Riesgo Financiero|"&amp;MID($C120,12,500),rDname_ADM,0),0),"")</f>
        <v/>
      </c>
      <c r="AM120" s="62">
        <f>IF(N($AL120)&gt;0,INDEX(rIni_ADM,$AL120),IF(ISNUMBER($E120),$E120,""))</f>
        <v/>
      </c>
      <c r="AN120" s="62">
        <f>IF(N($AL120)&gt;0,INDEX(rLim_ADM,$AL120),IF(ISNUMBER($F120),$F120,""))</f>
        <v/>
      </c>
    </row>
    <row r="121">
      <c r="A121" s="56">
        <f>IF(NOT((COUNTA($B121:$D121)+COUNTA($G121:$L121)+COUNTA($Q121))&gt;0),"",IF($V121="Macro",COUNTIFS($V$5:$V121,"Macro",$S$5:$S121,$S121),IF(N($U121)=0,"?",COUNTIFS(INDEX($V$5:$V$1000,1):INDEX($V$5:$V$1000,$U121-4),"Macro",INDEX($S$5:$S$1000,1):INDEX($S$5:$S$1000,$U121-4),INDEX($S$5:$S$1000,$U121-4))&amp;"."&amp;COUNTIFS($U$5:$U121,$U121,$V$5:$V121,"Sub"))))</f>
        <v/>
      </c>
      <c r="B121" s="57" t="n"/>
      <c r="C121" s="58" t="n"/>
      <c r="D121" s="58" t="n"/>
      <c r="E121" s="59">
        <f>IF(N($AL121)&gt;0,INDEX(rIni_ADM,$AL121),"")</f>
        <v/>
      </c>
      <c r="F121" s="59">
        <f>IF(N($AL121)&gt;0,INDEX(rLim_ADM,$AL121),"")</f>
        <v/>
      </c>
      <c r="G121" s="59" t="n"/>
      <c r="H121" s="60" t="n"/>
      <c r="I121" s="60" t="n"/>
      <c r="J121" s="60" t="n"/>
      <c r="K121" s="60" t="n"/>
      <c r="L121" s="60" t="n"/>
      <c r="M121" s="61">
        <f>IF(NOT((COUNTA($B121:$D121)+COUNTA($G121:$L121)+COUNTA($Q121))&gt;0),"",IF(ISNUMBER($G121),1,IF(N($W121)&gt;0,AVERAGEIFS($X$5:$X$1000,$U$5:$U$1000,ROW(),$V$5:$V$1000,"Sub"),$X121)))</f>
        <v/>
      </c>
      <c r="N121" s="56">
        <f>IF($M121="","",IF($M121&gt;=1,"Completado",IF($M121&gt;0,"En curso","Pendiente")))</f>
        <v/>
      </c>
      <c r="O121" s="56">
        <f>IF(NOT((COUNTA($B121:$D121)+COUNTA($G121:$L121)+COUNTA($Q121))&gt;0),"",IF(ISNUMBER($G121),IF(AND(ISNUMBER($AN121),$G121&gt;$AN121),"Cumplida con "&amp;($G121-$AN121)&amp;IF($G121-$AN121=1," día"," días")&amp;" de retraso","Cumplida"),IF(N($M121)&gt;=1,"Cumplida",IF(NOT(ISNUMBER($AN121)),"Sin fecha límite",IF($AN121&lt;FechaRef,"Vencida hace "&amp;(FechaRef-$AN121)&amp;IF(FechaRef-$AN121=1," día"," días"),IF($AN121=FechaRef,"Vence hoy",IF($AN121-FechaRef&lt;=DiasAlerta,"Vence en "&amp;($AN121-FechaRef)&amp;IF($AN121-FechaRef=1," día"," días"),"En plazo")))))))</f>
        <v/>
      </c>
      <c r="P121" s="62" t="n"/>
      <c r="Q121" s="58" t="n"/>
      <c r="R121" s="63">
        <f>IF(NOT((COUNTA($B121:$D121)+COUNTA($G121:$L121)+COUNTA($Q121))&gt;0),"",IF((IF($C121="","Falta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",""))="","✔ OK","⚠ "&amp;LEFT(IF($C121="","Falta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",""),LEN(IF($C121="","Falta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",""))-3)))</f>
        <v/>
      </c>
      <c r="S121" s="64">
        <f>IF(NOT((COUNTA($B121:$D121)+COUNTA($G121:$L121)+COUNTA($Q121))&gt;0),"",IF(AND($V121="Sub",N($U121)&gt;0),IF(ISNUMBER(INDEX($AM$5:$AM$1000,$U121-4)),DATE(YEAR(INDEX($AM$5:$AM$1000,$U121-4)),MONTH(INDEX($AM$5:$AM$1000,$U121-4)),1),IF(ISNUMBER(INDEX($AN$5:$AN$1000,$U121-4)),DATE(YEAR(INDEX($AN$5:$AN$1000,$U121-4)),MONTH(INDEX($AN$5:$AN$1000,$U121-4)),1),MesCiclo)),IF(ISNUMBER($AM121),DATE(YEAR($AM121),MONTH($AM121),1),IF(ISNUMBER($AN121),DATE(YEAR($AN121),MONTH($AN121),1),MesCiclo))))</f>
        <v/>
      </c>
      <c r="T121" s="62">
        <f>IF(OR($S121="",$S121&lt;&gt;MesCiclo),"",COUNTIF($S$5:$S121,MesCiclo))</f>
        <v/>
      </c>
      <c r="U121" s="62">
        <f>IF($V121="","",IF($V121="Macro",ROW(),IFERROR(LOOKUP(2,1/($V$5:$V121="Macro"),ROW($V$5:$V121)),0)))</f>
        <v/>
      </c>
      <c r="V121" s="62">
        <f>IF(NOT((COUNTA($B121:$D121)+COUNTA($G121:$L121)+COUNTA($Q121))&gt;0),"",IF($B121="Subactividad","Sub","Macro"))</f>
        <v/>
      </c>
      <c r="W121" s="62">
        <f>IF($V121="Macro",COUNTIFS($U$5:$U$1000,ROW(),$V$5:$V$1000,"Sub"),"")</f>
        <v/>
      </c>
      <c r="X121" s="62">
        <f>IF($V121="","",IF(ISNUMBER($G121),1,IFERROR(LOOKUP(2,1/($I121:$L121&lt;&gt;""),$I121:$L121),0)))</f>
        <v/>
      </c>
      <c r="Y121" s="62">
        <f>IF($V121="","",IF(AND(ISNUMBER($G121),$G121&lt;=IF($S121=MesCiclo,InicioCiclo,$S121+MOD(2-WEEKDAY($S121),7))+6),1,IF(ISNUMBER($I121),$I121,0)))</f>
        <v/>
      </c>
      <c r="Z121" s="62">
        <f>IF($V121="","",IF(AND(ISNUMBER($G121),$G121&lt;=IF($S121=MesCiclo,InicioCiclo,$S121+MOD(2-WEEKDAY($S121),7))+13),1,IF(ISNUMBER($J121),$J121,$Y121)))</f>
        <v/>
      </c>
      <c r="AA121" s="62">
        <f>IF($V121="","",IF(AND(ISNUMBER($G121),$G121&lt;=IF($S121=MesCiclo,InicioCiclo,$S121+MOD(2-WEEKDAY($S121),7))+20),1,IF(ISNUMBER($K121),$K121,$Z121)))</f>
        <v/>
      </c>
      <c r="AB121" s="62">
        <f>IF($V121="","",IF(AND(ISNUMBER($G121),$G121&lt;=IF($S121=MesCiclo,InicioCiclo,$S121+MOD(2-WEEKDAY($S121),7))+27),1,IF(ISNUMBER($L121),$L121,$AA121)))</f>
        <v/>
      </c>
      <c r="AC121" s="62">
        <f>IF($V121="","",IF(AND(ISNUMBER($G121),$G121&lt;=IF($S121=MesCiclo,InicioCiclo,$S121+MOD(2-WEEKDAY($S121),7))+6),1,IF(N($W121)&gt;0,AVERAGEIFS($Y$5:$Y$1000,$U$5:$U$1000,ROW(),$V$5:$V$1000,"Sub"),$Y121)))</f>
        <v/>
      </c>
      <c r="AD121" s="62">
        <f>IF($V121="","",IF(AND(ISNUMBER($G121),$G121&lt;=IF($S121=MesCiclo,InicioCiclo,$S121+MOD(2-WEEKDAY($S121),7))+13),1,IF(N($W121)&gt;0,AVERAGEIFS($Z$5:$Z$1000,$U$5:$U$1000,ROW(),$V$5:$V$1000,"Sub"),$Z121)))</f>
        <v/>
      </c>
      <c r="AE121" s="62">
        <f>IF($V121="","",IF(AND(ISNUMBER($G121),$G121&lt;=IF($S121=MesCiclo,InicioCiclo,$S121+MOD(2-WEEKDAY($S121),7))+20),1,IF(N($W121)&gt;0,AVERAGEIFS($AA$5:$AA$1000,$U$5:$U$1000,ROW(),$V$5:$V$1000,"Sub"),$AA121)))</f>
        <v/>
      </c>
      <c r="AF121" s="62">
        <f>IF($V121="","",IF(AND(ISNUMBER($G121),$G121&lt;=IF($S121=MesCiclo,InicioCiclo,$S121+MOD(2-WEEKDAY($S121),7))+27),1,IF(N($W121)&gt;0,AVERAGEIFS($AB$5:$AB$1000,$U$5:$U$1000,ROW(),$V$5:$V$1000,"Sub"),$AB121)))</f>
        <v/>
      </c>
      <c r="AG121" s="62">
        <f>IF($V121&lt;&gt;"Macro","",IF(COUNTIFS($S$5:$S$1000,$S121,$V$5:$V$1000,"Macro",$H$5:$H$1000,"&gt;0")=0,1/COUNTIFS($S$5:$S$1000,$S121,$V$5:$V$1000,"Macro"),IF(AND(ISNUMBER($H121),N($H121)&gt;0),$H121,SUMIFS($H$5:$H$1000,$S$5:$S$1000,$S121,$V$5:$V$1000,"Macro")/COUNTIFS($S$5:$S$1000,$S121,$V$5:$V$1000,"Macro",$H$5:$H$1000,"&gt;0"))/(COUNTIFS($S$5:$S$1000,$S121,$V$5:$V$1000,"Macro")*SUMIFS($H$5:$H$1000,$S$5:$S$1000,$S121,$V$5:$V$1000,"Macro")/COUNTIFS($S$5:$S$1000,$S121,$V$5:$V$1000,"Macro",$H$5:$H$1000,"&gt;0"))))</f>
        <v/>
      </c>
      <c r="AH121" s="62" t="n"/>
      <c r="AI121" s="62" t="n"/>
      <c r="AJ121" s="62" t="n"/>
      <c r="AK121" s="62" t="n"/>
      <c r="AL121" s="62">
        <f>IF(LEFT($C121,11)="[Jefatura] ",IFERROR(MATCH("Riesgo Financiero|"&amp;MID($C121,12,500),rDname_ADM,0),0),"")</f>
        <v/>
      </c>
      <c r="AM121" s="62">
        <f>IF(N($AL121)&gt;0,INDEX(rIni_ADM,$AL121),IF(ISNUMBER($E121),$E121,""))</f>
        <v/>
      </c>
      <c r="AN121" s="62">
        <f>IF(N($AL121)&gt;0,INDEX(rLim_ADM,$AL121),IF(ISNUMBER($F121),$F121,""))</f>
        <v/>
      </c>
    </row>
    <row r="122">
      <c r="A122" s="56">
        <f>IF(NOT((COUNTA($B122:$D122)+COUNTA($G122:$L122)+COUNTA($Q122))&gt;0),"",IF($V122="Macro",COUNTIFS($V$5:$V122,"Macro",$S$5:$S122,$S122),IF(N($U122)=0,"?",COUNTIFS(INDEX($V$5:$V$1000,1):INDEX($V$5:$V$1000,$U122-4),"Macro",INDEX($S$5:$S$1000,1):INDEX($S$5:$S$1000,$U122-4),INDEX($S$5:$S$1000,$U122-4))&amp;"."&amp;COUNTIFS($U$5:$U122,$U122,$V$5:$V122,"Sub"))))</f>
        <v/>
      </c>
      <c r="B122" s="57" t="n"/>
      <c r="C122" s="58" t="n"/>
      <c r="D122" s="58" t="n"/>
      <c r="E122" s="59">
        <f>IF(N($AL122)&gt;0,INDEX(rIni_ADM,$AL122),"")</f>
        <v/>
      </c>
      <c r="F122" s="59">
        <f>IF(N($AL122)&gt;0,INDEX(rLim_ADM,$AL122),"")</f>
        <v/>
      </c>
      <c r="G122" s="59" t="n"/>
      <c r="H122" s="60" t="n"/>
      <c r="I122" s="60" t="n"/>
      <c r="J122" s="60" t="n"/>
      <c r="K122" s="60" t="n"/>
      <c r="L122" s="60" t="n"/>
      <c r="M122" s="61">
        <f>IF(NOT((COUNTA($B122:$D122)+COUNTA($G122:$L122)+COUNTA($Q122))&gt;0),"",IF(ISNUMBER($G122),1,IF(N($W122)&gt;0,AVERAGEIFS($X$5:$X$1000,$U$5:$U$1000,ROW(),$V$5:$V$1000,"Sub"),$X122)))</f>
        <v/>
      </c>
      <c r="N122" s="56">
        <f>IF($M122="","",IF($M122&gt;=1,"Completado",IF($M122&gt;0,"En curso","Pendiente")))</f>
        <v/>
      </c>
      <c r="O122" s="56">
        <f>IF(NOT((COUNTA($B122:$D122)+COUNTA($G122:$L122)+COUNTA($Q122))&gt;0),"",IF(ISNUMBER($G122),IF(AND(ISNUMBER($AN122),$G122&gt;$AN122),"Cumplida con "&amp;($G122-$AN122)&amp;IF($G122-$AN122=1," día"," días")&amp;" de retraso","Cumplida"),IF(N($M122)&gt;=1,"Cumplida",IF(NOT(ISNUMBER($AN122)),"Sin fecha límite",IF($AN122&lt;FechaRef,"Vencida hace "&amp;(FechaRef-$AN122)&amp;IF(FechaRef-$AN122=1," día"," días"),IF($AN122=FechaRef,"Vence hoy",IF($AN122-FechaRef&lt;=DiasAlerta,"Vence en "&amp;($AN122-FechaRef)&amp;IF($AN122-FechaRef=1," día"," días"),"En plazo")))))))</f>
        <v/>
      </c>
      <c r="P122" s="62" t="n"/>
      <c r="Q122" s="58" t="n"/>
      <c r="R122" s="63">
        <f>IF(NOT((COUNTA($B122:$D122)+COUNTA($G122:$L122)+COUNTA($Q122))&gt;0),"",IF((IF($C122="","Falta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",""))="","✔ OK","⚠ "&amp;LEFT(IF($C122="","Falta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",""),LEN(IF($C122="","Falta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",""))-3)))</f>
        <v/>
      </c>
      <c r="S122" s="64">
        <f>IF(NOT((COUNTA($B122:$D122)+COUNTA($G122:$L122)+COUNTA($Q122))&gt;0),"",IF(AND($V122="Sub",N($U122)&gt;0),IF(ISNUMBER(INDEX($AM$5:$AM$1000,$U122-4)),DATE(YEAR(INDEX($AM$5:$AM$1000,$U122-4)),MONTH(INDEX($AM$5:$AM$1000,$U122-4)),1),IF(ISNUMBER(INDEX($AN$5:$AN$1000,$U122-4)),DATE(YEAR(INDEX($AN$5:$AN$1000,$U122-4)),MONTH(INDEX($AN$5:$AN$1000,$U122-4)),1),MesCiclo)),IF(ISNUMBER($AM122),DATE(YEAR($AM122),MONTH($AM122),1),IF(ISNUMBER($AN122),DATE(YEAR($AN122),MONTH($AN122),1),MesCiclo))))</f>
        <v/>
      </c>
      <c r="T122" s="62">
        <f>IF(OR($S122="",$S122&lt;&gt;MesCiclo),"",COUNTIF($S$5:$S122,MesCiclo))</f>
        <v/>
      </c>
      <c r="U122" s="62">
        <f>IF($V122="","",IF($V122="Macro",ROW(),IFERROR(LOOKUP(2,1/($V$5:$V122="Macro"),ROW($V$5:$V122)),0)))</f>
        <v/>
      </c>
      <c r="V122" s="62">
        <f>IF(NOT((COUNTA($B122:$D122)+COUNTA($G122:$L122)+COUNTA($Q122))&gt;0),"",IF($B122="Subactividad","Sub","Macro"))</f>
        <v/>
      </c>
      <c r="W122" s="62">
        <f>IF($V122="Macro",COUNTIFS($U$5:$U$1000,ROW(),$V$5:$V$1000,"Sub"),"")</f>
        <v/>
      </c>
      <c r="X122" s="62">
        <f>IF($V122="","",IF(ISNUMBER($G122),1,IFERROR(LOOKUP(2,1/($I122:$L122&lt;&gt;""),$I122:$L122),0)))</f>
        <v/>
      </c>
      <c r="Y122" s="62">
        <f>IF($V122="","",IF(AND(ISNUMBER($G122),$G122&lt;=IF($S122=MesCiclo,InicioCiclo,$S122+MOD(2-WEEKDAY($S122),7))+6),1,IF(ISNUMBER($I122),$I122,0)))</f>
        <v/>
      </c>
      <c r="Z122" s="62">
        <f>IF($V122="","",IF(AND(ISNUMBER($G122),$G122&lt;=IF($S122=MesCiclo,InicioCiclo,$S122+MOD(2-WEEKDAY($S122),7))+13),1,IF(ISNUMBER($J122),$J122,$Y122)))</f>
        <v/>
      </c>
      <c r="AA122" s="62">
        <f>IF($V122="","",IF(AND(ISNUMBER($G122),$G122&lt;=IF($S122=MesCiclo,InicioCiclo,$S122+MOD(2-WEEKDAY($S122),7))+20),1,IF(ISNUMBER($K122),$K122,$Z122)))</f>
        <v/>
      </c>
      <c r="AB122" s="62">
        <f>IF($V122="","",IF(AND(ISNUMBER($G122),$G122&lt;=IF($S122=MesCiclo,InicioCiclo,$S122+MOD(2-WEEKDAY($S122),7))+27),1,IF(ISNUMBER($L122),$L122,$AA122)))</f>
        <v/>
      </c>
      <c r="AC122" s="62">
        <f>IF($V122="","",IF(AND(ISNUMBER($G122),$G122&lt;=IF($S122=MesCiclo,InicioCiclo,$S122+MOD(2-WEEKDAY($S122),7))+6),1,IF(N($W122)&gt;0,AVERAGEIFS($Y$5:$Y$1000,$U$5:$U$1000,ROW(),$V$5:$V$1000,"Sub"),$Y122)))</f>
        <v/>
      </c>
      <c r="AD122" s="62">
        <f>IF($V122="","",IF(AND(ISNUMBER($G122),$G122&lt;=IF($S122=MesCiclo,InicioCiclo,$S122+MOD(2-WEEKDAY($S122),7))+13),1,IF(N($W122)&gt;0,AVERAGEIFS($Z$5:$Z$1000,$U$5:$U$1000,ROW(),$V$5:$V$1000,"Sub"),$Z122)))</f>
        <v/>
      </c>
      <c r="AE122" s="62">
        <f>IF($V122="","",IF(AND(ISNUMBER($G122),$G122&lt;=IF($S122=MesCiclo,InicioCiclo,$S122+MOD(2-WEEKDAY($S122),7))+20),1,IF(N($W122)&gt;0,AVERAGEIFS($AA$5:$AA$1000,$U$5:$U$1000,ROW(),$V$5:$V$1000,"Sub"),$AA122)))</f>
        <v/>
      </c>
      <c r="AF122" s="62">
        <f>IF($V122="","",IF(AND(ISNUMBER($G122),$G122&lt;=IF($S122=MesCiclo,InicioCiclo,$S122+MOD(2-WEEKDAY($S122),7))+27),1,IF(N($W122)&gt;0,AVERAGEIFS($AB$5:$AB$1000,$U$5:$U$1000,ROW(),$V$5:$V$1000,"Sub"),$AB122)))</f>
        <v/>
      </c>
      <c r="AG122" s="62">
        <f>IF($V122&lt;&gt;"Macro","",IF(COUNTIFS($S$5:$S$1000,$S122,$V$5:$V$1000,"Macro",$H$5:$H$1000,"&gt;0")=0,1/COUNTIFS($S$5:$S$1000,$S122,$V$5:$V$1000,"Macro"),IF(AND(ISNUMBER($H122),N($H122)&gt;0),$H122,SUMIFS($H$5:$H$1000,$S$5:$S$1000,$S122,$V$5:$V$1000,"Macro")/COUNTIFS($S$5:$S$1000,$S122,$V$5:$V$1000,"Macro",$H$5:$H$1000,"&gt;0"))/(COUNTIFS($S$5:$S$1000,$S122,$V$5:$V$1000,"Macro")*SUMIFS($H$5:$H$1000,$S$5:$S$1000,$S122,$V$5:$V$1000,"Macro")/COUNTIFS($S$5:$S$1000,$S122,$V$5:$V$1000,"Macro",$H$5:$H$1000,"&gt;0"))))</f>
        <v/>
      </c>
      <c r="AH122" s="62" t="n"/>
      <c r="AI122" s="62" t="n"/>
      <c r="AJ122" s="62" t="n"/>
      <c r="AK122" s="62" t="n"/>
      <c r="AL122" s="62">
        <f>IF(LEFT($C122,11)="[Jefatura] ",IFERROR(MATCH("Riesgo Financiero|"&amp;MID($C122,12,500),rDname_ADM,0),0),"")</f>
        <v/>
      </c>
      <c r="AM122" s="62">
        <f>IF(N($AL122)&gt;0,INDEX(rIni_ADM,$AL122),IF(ISNUMBER($E122),$E122,""))</f>
        <v/>
      </c>
      <c r="AN122" s="62">
        <f>IF(N($AL122)&gt;0,INDEX(rLim_ADM,$AL122),IF(ISNUMBER($F122),$F122,""))</f>
        <v/>
      </c>
    </row>
    <row r="123">
      <c r="A123" s="56">
        <f>IF(NOT((COUNTA($B123:$D123)+COUNTA($G123:$L123)+COUNTA($Q123))&gt;0),"",IF($V123="Macro",COUNTIFS($V$5:$V123,"Macro",$S$5:$S123,$S123),IF(N($U123)=0,"?",COUNTIFS(INDEX($V$5:$V$1000,1):INDEX($V$5:$V$1000,$U123-4),"Macro",INDEX($S$5:$S$1000,1):INDEX($S$5:$S$1000,$U123-4),INDEX($S$5:$S$1000,$U123-4))&amp;"."&amp;COUNTIFS($U$5:$U123,$U123,$V$5:$V123,"Sub"))))</f>
        <v/>
      </c>
      <c r="B123" s="57" t="n"/>
      <c r="C123" s="58" t="n"/>
      <c r="D123" s="58" t="n"/>
      <c r="E123" s="59">
        <f>IF(N($AL123)&gt;0,INDEX(rIni_ADM,$AL123),"")</f>
        <v/>
      </c>
      <c r="F123" s="59">
        <f>IF(N($AL123)&gt;0,INDEX(rLim_ADM,$AL123),"")</f>
        <v/>
      </c>
      <c r="G123" s="59" t="n"/>
      <c r="H123" s="60" t="n"/>
      <c r="I123" s="60" t="n"/>
      <c r="J123" s="60" t="n"/>
      <c r="K123" s="60" t="n"/>
      <c r="L123" s="60" t="n"/>
      <c r="M123" s="61">
        <f>IF(NOT((COUNTA($B123:$D123)+COUNTA($G123:$L123)+COUNTA($Q123))&gt;0),"",IF(ISNUMBER($G123),1,IF(N($W123)&gt;0,AVERAGEIFS($X$5:$X$1000,$U$5:$U$1000,ROW(),$V$5:$V$1000,"Sub"),$X123)))</f>
        <v/>
      </c>
      <c r="N123" s="56">
        <f>IF($M123="","",IF($M123&gt;=1,"Completado",IF($M123&gt;0,"En curso","Pendiente")))</f>
        <v/>
      </c>
      <c r="O123" s="56">
        <f>IF(NOT((COUNTA($B123:$D123)+COUNTA($G123:$L123)+COUNTA($Q123))&gt;0),"",IF(ISNUMBER($G123),IF(AND(ISNUMBER($AN123),$G123&gt;$AN123),"Cumplida con "&amp;($G123-$AN123)&amp;IF($G123-$AN123=1," día"," días")&amp;" de retraso","Cumplida"),IF(N($M123)&gt;=1,"Cumplida",IF(NOT(ISNUMBER($AN123)),"Sin fecha límite",IF($AN123&lt;FechaRef,"Vencida hace "&amp;(FechaRef-$AN123)&amp;IF(FechaRef-$AN123=1," día"," días"),IF($AN123=FechaRef,"Vence hoy",IF($AN123-FechaRef&lt;=DiasAlerta,"Vence en "&amp;($AN123-FechaRef)&amp;IF($AN123-FechaRef=1," día"," días"),"En plazo")))))))</f>
        <v/>
      </c>
      <c r="P123" s="62" t="n"/>
      <c r="Q123" s="58" t="n"/>
      <c r="R123" s="63">
        <f>IF(NOT((COUNTA($B123:$D123)+COUNTA($G123:$L123)+COUNTA($Q123))&gt;0),"",IF((IF($C123="","Falta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",""))="","✔ OK","⚠ "&amp;LEFT(IF($C123="","Falta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",""),LEN(IF($C123="","Falta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",""))-3)))</f>
        <v/>
      </c>
      <c r="S123" s="64">
        <f>IF(NOT((COUNTA($B123:$D123)+COUNTA($G123:$L123)+COUNTA($Q123))&gt;0),"",IF(AND($V123="Sub",N($U123)&gt;0),IF(ISNUMBER(INDEX($AM$5:$AM$1000,$U123-4)),DATE(YEAR(INDEX($AM$5:$AM$1000,$U123-4)),MONTH(INDEX($AM$5:$AM$1000,$U123-4)),1),IF(ISNUMBER(INDEX($AN$5:$AN$1000,$U123-4)),DATE(YEAR(INDEX($AN$5:$AN$1000,$U123-4)),MONTH(INDEX($AN$5:$AN$1000,$U123-4)),1),MesCiclo)),IF(ISNUMBER($AM123),DATE(YEAR($AM123),MONTH($AM123),1),IF(ISNUMBER($AN123),DATE(YEAR($AN123),MONTH($AN123),1),MesCiclo))))</f>
        <v/>
      </c>
      <c r="T123" s="62">
        <f>IF(OR($S123="",$S123&lt;&gt;MesCiclo),"",COUNTIF($S$5:$S123,MesCiclo))</f>
        <v/>
      </c>
      <c r="U123" s="62">
        <f>IF($V123="","",IF($V123="Macro",ROW(),IFERROR(LOOKUP(2,1/($V$5:$V123="Macro"),ROW($V$5:$V123)),0)))</f>
        <v/>
      </c>
      <c r="V123" s="62">
        <f>IF(NOT((COUNTA($B123:$D123)+COUNTA($G123:$L123)+COUNTA($Q123))&gt;0),"",IF($B123="Subactividad","Sub","Macro"))</f>
        <v/>
      </c>
      <c r="W123" s="62">
        <f>IF($V123="Macro",COUNTIFS($U$5:$U$1000,ROW(),$V$5:$V$1000,"Sub"),"")</f>
        <v/>
      </c>
      <c r="X123" s="62">
        <f>IF($V123="","",IF(ISNUMBER($G123),1,IFERROR(LOOKUP(2,1/($I123:$L123&lt;&gt;""),$I123:$L123),0)))</f>
        <v/>
      </c>
      <c r="Y123" s="62">
        <f>IF($V123="","",IF(AND(ISNUMBER($G123),$G123&lt;=IF($S123=MesCiclo,InicioCiclo,$S123+MOD(2-WEEKDAY($S123),7))+6),1,IF(ISNUMBER($I123),$I123,0)))</f>
        <v/>
      </c>
      <c r="Z123" s="62">
        <f>IF($V123="","",IF(AND(ISNUMBER($G123),$G123&lt;=IF($S123=MesCiclo,InicioCiclo,$S123+MOD(2-WEEKDAY($S123),7))+13),1,IF(ISNUMBER($J123),$J123,$Y123)))</f>
        <v/>
      </c>
      <c r="AA123" s="62">
        <f>IF($V123="","",IF(AND(ISNUMBER($G123),$G123&lt;=IF($S123=MesCiclo,InicioCiclo,$S123+MOD(2-WEEKDAY($S123),7))+20),1,IF(ISNUMBER($K123),$K123,$Z123)))</f>
        <v/>
      </c>
      <c r="AB123" s="62">
        <f>IF($V123="","",IF(AND(ISNUMBER($G123),$G123&lt;=IF($S123=MesCiclo,InicioCiclo,$S123+MOD(2-WEEKDAY($S123),7))+27),1,IF(ISNUMBER($L123),$L123,$AA123)))</f>
        <v/>
      </c>
      <c r="AC123" s="62">
        <f>IF($V123="","",IF(AND(ISNUMBER($G123),$G123&lt;=IF($S123=MesCiclo,InicioCiclo,$S123+MOD(2-WEEKDAY($S123),7))+6),1,IF(N($W123)&gt;0,AVERAGEIFS($Y$5:$Y$1000,$U$5:$U$1000,ROW(),$V$5:$V$1000,"Sub"),$Y123)))</f>
        <v/>
      </c>
      <c r="AD123" s="62">
        <f>IF($V123="","",IF(AND(ISNUMBER($G123),$G123&lt;=IF($S123=MesCiclo,InicioCiclo,$S123+MOD(2-WEEKDAY($S123),7))+13),1,IF(N($W123)&gt;0,AVERAGEIFS($Z$5:$Z$1000,$U$5:$U$1000,ROW(),$V$5:$V$1000,"Sub"),$Z123)))</f>
        <v/>
      </c>
      <c r="AE123" s="62">
        <f>IF($V123="","",IF(AND(ISNUMBER($G123),$G123&lt;=IF($S123=MesCiclo,InicioCiclo,$S123+MOD(2-WEEKDAY($S123),7))+20),1,IF(N($W123)&gt;0,AVERAGEIFS($AA$5:$AA$1000,$U$5:$U$1000,ROW(),$V$5:$V$1000,"Sub"),$AA123)))</f>
        <v/>
      </c>
      <c r="AF123" s="62">
        <f>IF($V123="","",IF(AND(ISNUMBER($G123),$G123&lt;=IF($S123=MesCiclo,InicioCiclo,$S123+MOD(2-WEEKDAY($S123),7))+27),1,IF(N($W123)&gt;0,AVERAGEIFS($AB$5:$AB$1000,$U$5:$U$1000,ROW(),$V$5:$V$1000,"Sub"),$AB123)))</f>
        <v/>
      </c>
      <c r="AG123" s="62">
        <f>IF($V123&lt;&gt;"Macro","",IF(COUNTIFS($S$5:$S$1000,$S123,$V$5:$V$1000,"Macro",$H$5:$H$1000,"&gt;0")=0,1/COUNTIFS($S$5:$S$1000,$S123,$V$5:$V$1000,"Macro"),IF(AND(ISNUMBER($H123),N($H123)&gt;0),$H123,SUMIFS($H$5:$H$1000,$S$5:$S$1000,$S123,$V$5:$V$1000,"Macro")/COUNTIFS($S$5:$S$1000,$S123,$V$5:$V$1000,"Macro",$H$5:$H$1000,"&gt;0"))/(COUNTIFS($S$5:$S$1000,$S123,$V$5:$V$1000,"Macro")*SUMIFS($H$5:$H$1000,$S$5:$S$1000,$S123,$V$5:$V$1000,"Macro")/COUNTIFS($S$5:$S$1000,$S123,$V$5:$V$1000,"Macro",$H$5:$H$1000,"&gt;0"))))</f>
        <v/>
      </c>
      <c r="AH123" s="62" t="n"/>
      <c r="AI123" s="62" t="n"/>
      <c r="AJ123" s="62" t="n"/>
      <c r="AK123" s="62" t="n"/>
      <c r="AL123" s="62">
        <f>IF(LEFT($C123,11)="[Jefatura] ",IFERROR(MATCH("Riesgo Financiero|"&amp;MID($C123,12,500),rDname_ADM,0),0),"")</f>
        <v/>
      </c>
      <c r="AM123" s="62">
        <f>IF(N($AL123)&gt;0,INDEX(rIni_ADM,$AL123),IF(ISNUMBER($E123),$E123,""))</f>
        <v/>
      </c>
      <c r="AN123" s="62">
        <f>IF(N($AL123)&gt;0,INDEX(rLim_ADM,$AL123),IF(ISNUMBER($F123),$F123,""))</f>
        <v/>
      </c>
    </row>
    <row r="124">
      <c r="A124" s="56">
        <f>IF(NOT((COUNTA($B124:$D124)+COUNTA($G124:$L124)+COUNTA($Q124))&gt;0),"",IF($V124="Macro",COUNTIFS($V$5:$V124,"Macro",$S$5:$S124,$S124),IF(N($U124)=0,"?",COUNTIFS(INDEX($V$5:$V$1000,1):INDEX($V$5:$V$1000,$U124-4),"Macro",INDEX($S$5:$S$1000,1):INDEX($S$5:$S$1000,$U124-4),INDEX($S$5:$S$1000,$U124-4))&amp;"."&amp;COUNTIFS($U$5:$U124,$U124,$V$5:$V124,"Sub"))))</f>
        <v/>
      </c>
      <c r="B124" s="57" t="n"/>
      <c r="C124" s="58" t="n"/>
      <c r="D124" s="58" t="n"/>
      <c r="E124" s="59">
        <f>IF(N($AL124)&gt;0,INDEX(rIni_ADM,$AL124),"")</f>
        <v/>
      </c>
      <c r="F124" s="59">
        <f>IF(N($AL124)&gt;0,INDEX(rLim_ADM,$AL124),"")</f>
        <v/>
      </c>
      <c r="G124" s="59" t="n"/>
      <c r="H124" s="60" t="n"/>
      <c r="I124" s="60" t="n"/>
      <c r="J124" s="60" t="n"/>
      <c r="K124" s="60" t="n"/>
      <c r="L124" s="60" t="n"/>
      <c r="M124" s="61">
        <f>IF(NOT((COUNTA($B124:$D124)+COUNTA($G124:$L124)+COUNTA($Q124))&gt;0),"",IF(ISNUMBER($G124),1,IF(N($W124)&gt;0,AVERAGEIFS($X$5:$X$1000,$U$5:$U$1000,ROW(),$V$5:$V$1000,"Sub"),$X124)))</f>
        <v/>
      </c>
      <c r="N124" s="56">
        <f>IF($M124="","",IF($M124&gt;=1,"Completado",IF($M124&gt;0,"En curso","Pendiente")))</f>
        <v/>
      </c>
      <c r="O124" s="56">
        <f>IF(NOT((COUNTA($B124:$D124)+COUNTA($G124:$L124)+COUNTA($Q124))&gt;0),"",IF(ISNUMBER($G124),IF(AND(ISNUMBER($AN124),$G124&gt;$AN124),"Cumplida con "&amp;($G124-$AN124)&amp;IF($G124-$AN124=1," día"," días")&amp;" de retraso","Cumplida"),IF(N($M124)&gt;=1,"Cumplida",IF(NOT(ISNUMBER($AN124)),"Sin fecha límite",IF($AN124&lt;FechaRef,"Vencida hace "&amp;(FechaRef-$AN124)&amp;IF(FechaRef-$AN124=1," día"," días"),IF($AN124=FechaRef,"Vence hoy",IF($AN124-FechaRef&lt;=DiasAlerta,"Vence en "&amp;($AN124-FechaRef)&amp;IF($AN124-FechaRef=1," día"," días"),"En plazo")))))))</f>
        <v/>
      </c>
      <c r="P124" s="62" t="n"/>
      <c r="Q124" s="58" t="n"/>
      <c r="R124" s="63">
        <f>IF(NOT((COUNTA($B124:$D124)+COUNTA($G124:$L124)+COUNTA($Q124))&gt;0),"",IF((IF($C124="","Falta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",""))="","✔ OK","⚠ "&amp;LEFT(IF($C124="","Falta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",""),LEN(IF($C124="","Falta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",""))-3)))</f>
        <v/>
      </c>
      <c r="S124" s="64">
        <f>IF(NOT((COUNTA($B124:$D124)+COUNTA($G124:$L124)+COUNTA($Q124))&gt;0),"",IF(AND($V124="Sub",N($U124)&gt;0),IF(ISNUMBER(INDEX($AM$5:$AM$1000,$U124-4)),DATE(YEAR(INDEX($AM$5:$AM$1000,$U124-4)),MONTH(INDEX($AM$5:$AM$1000,$U124-4)),1),IF(ISNUMBER(INDEX($AN$5:$AN$1000,$U124-4)),DATE(YEAR(INDEX($AN$5:$AN$1000,$U124-4)),MONTH(INDEX($AN$5:$AN$1000,$U124-4)),1),MesCiclo)),IF(ISNUMBER($AM124),DATE(YEAR($AM124),MONTH($AM124),1),IF(ISNUMBER($AN124),DATE(YEAR($AN124),MONTH($AN124),1),MesCiclo))))</f>
        <v/>
      </c>
      <c r="T124" s="62">
        <f>IF(OR($S124="",$S124&lt;&gt;MesCiclo),"",COUNTIF($S$5:$S124,MesCiclo))</f>
        <v/>
      </c>
      <c r="U124" s="62">
        <f>IF($V124="","",IF($V124="Macro",ROW(),IFERROR(LOOKUP(2,1/($V$5:$V124="Macro"),ROW($V$5:$V124)),0)))</f>
        <v/>
      </c>
      <c r="V124" s="62">
        <f>IF(NOT((COUNTA($B124:$D124)+COUNTA($G124:$L124)+COUNTA($Q124))&gt;0),"",IF($B124="Subactividad","Sub","Macro"))</f>
        <v/>
      </c>
      <c r="W124" s="62">
        <f>IF($V124="Macro",COUNTIFS($U$5:$U$1000,ROW(),$V$5:$V$1000,"Sub"),"")</f>
        <v/>
      </c>
      <c r="X124" s="62">
        <f>IF($V124="","",IF(ISNUMBER($G124),1,IFERROR(LOOKUP(2,1/($I124:$L124&lt;&gt;""),$I124:$L124),0)))</f>
        <v/>
      </c>
      <c r="Y124" s="62">
        <f>IF($V124="","",IF(AND(ISNUMBER($G124),$G124&lt;=IF($S124=MesCiclo,InicioCiclo,$S124+MOD(2-WEEKDAY($S124),7))+6),1,IF(ISNUMBER($I124),$I124,0)))</f>
        <v/>
      </c>
      <c r="Z124" s="62">
        <f>IF($V124="","",IF(AND(ISNUMBER($G124),$G124&lt;=IF($S124=MesCiclo,InicioCiclo,$S124+MOD(2-WEEKDAY($S124),7))+13),1,IF(ISNUMBER($J124),$J124,$Y124)))</f>
        <v/>
      </c>
      <c r="AA124" s="62">
        <f>IF($V124="","",IF(AND(ISNUMBER($G124),$G124&lt;=IF($S124=MesCiclo,InicioCiclo,$S124+MOD(2-WEEKDAY($S124),7))+20),1,IF(ISNUMBER($K124),$K124,$Z124)))</f>
        <v/>
      </c>
      <c r="AB124" s="62">
        <f>IF($V124="","",IF(AND(ISNUMBER($G124),$G124&lt;=IF($S124=MesCiclo,InicioCiclo,$S124+MOD(2-WEEKDAY($S124),7))+27),1,IF(ISNUMBER($L124),$L124,$AA124)))</f>
        <v/>
      </c>
      <c r="AC124" s="62">
        <f>IF($V124="","",IF(AND(ISNUMBER($G124),$G124&lt;=IF($S124=MesCiclo,InicioCiclo,$S124+MOD(2-WEEKDAY($S124),7))+6),1,IF(N($W124)&gt;0,AVERAGEIFS($Y$5:$Y$1000,$U$5:$U$1000,ROW(),$V$5:$V$1000,"Sub"),$Y124)))</f>
        <v/>
      </c>
      <c r="AD124" s="62">
        <f>IF($V124="","",IF(AND(ISNUMBER($G124),$G124&lt;=IF($S124=MesCiclo,InicioCiclo,$S124+MOD(2-WEEKDAY($S124),7))+13),1,IF(N($W124)&gt;0,AVERAGEIFS($Z$5:$Z$1000,$U$5:$U$1000,ROW(),$V$5:$V$1000,"Sub"),$Z124)))</f>
        <v/>
      </c>
      <c r="AE124" s="62">
        <f>IF($V124="","",IF(AND(ISNUMBER($G124),$G124&lt;=IF($S124=MesCiclo,InicioCiclo,$S124+MOD(2-WEEKDAY($S124),7))+20),1,IF(N($W124)&gt;0,AVERAGEIFS($AA$5:$AA$1000,$U$5:$U$1000,ROW(),$V$5:$V$1000,"Sub"),$AA124)))</f>
        <v/>
      </c>
      <c r="AF124" s="62">
        <f>IF($V124="","",IF(AND(ISNUMBER($G124),$G124&lt;=IF($S124=MesCiclo,InicioCiclo,$S124+MOD(2-WEEKDAY($S124),7))+27),1,IF(N($W124)&gt;0,AVERAGEIFS($AB$5:$AB$1000,$U$5:$U$1000,ROW(),$V$5:$V$1000,"Sub"),$AB124)))</f>
        <v/>
      </c>
      <c r="AG124" s="62">
        <f>IF($V124&lt;&gt;"Macro","",IF(COUNTIFS($S$5:$S$1000,$S124,$V$5:$V$1000,"Macro",$H$5:$H$1000,"&gt;0")=0,1/COUNTIFS($S$5:$S$1000,$S124,$V$5:$V$1000,"Macro"),IF(AND(ISNUMBER($H124),N($H124)&gt;0),$H124,SUMIFS($H$5:$H$1000,$S$5:$S$1000,$S124,$V$5:$V$1000,"Macro")/COUNTIFS($S$5:$S$1000,$S124,$V$5:$V$1000,"Macro",$H$5:$H$1000,"&gt;0"))/(COUNTIFS($S$5:$S$1000,$S124,$V$5:$V$1000,"Macro")*SUMIFS($H$5:$H$1000,$S$5:$S$1000,$S124,$V$5:$V$1000,"Macro")/COUNTIFS($S$5:$S$1000,$S124,$V$5:$V$1000,"Macro",$H$5:$H$1000,"&gt;0"))))</f>
        <v/>
      </c>
      <c r="AH124" s="62" t="n"/>
      <c r="AI124" s="62" t="n"/>
      <c r="AJ124" s="62" t="n"/>
      <c r="AK124" s="62" t="n"/>
      <c r="AL124" s="62">
        <f>IF(LEFT($C124,11)="[Jefatura] ",IFERROR(MATCH("Riesgo Financiero|"&amp;MID($C124,12,500),rDname_ADM,0),0),"")</f>
        <v/>
      </c>
      <c r="AM124" s="62">
        <f>IF(N($AL124)&gt;0,INDEX(rIni_ADM,$AL124),IF(ISNUMBER($E124),$E124,""))</f>
        <v/>
      </c>
      <c r="AN124" s="62">
        <f>IF(N($AL124)&gt;0,INDEX(rLim_ADM,$AL124),IF(ISNUMBER($F124),$F124,""))</f>
        <v/>
      </c>
    </row>
    <row r="125">
      <c r="A125" s="56">
        <f>IF(NOT((COUNTA($B125:$D125)+COUNTA($G125:$L125)+COUNTA($Q125))&gt;0),"",IF($V125="Macro",COUNTIFS($V$5:$V125,"Macro",$S$5:$S125,$S125),IF(N($U125)=0,"?",COUNTIFS(INDEX($V$5:$V$1000,1):INDEX($V$5:$V$1000,$U125-4),"Macro",INDEX($S$5:$S$1000,1):INDEX($S$5:$S$1000,$U125-4),INDEX($S$5:$S$1000,$U125-4))&amp;"."&amp;COUNTIFS($U$5:$U125,$U125,$V$5:$V125,"Sub"))))</f>
        <v/>
      </c>
      <c r="B125" s="57" t="n"/>
      <c r="C125" s="58" t="n"/>
      <c r="D125" s="58" t="n"/>
      <c r="E125" s="59">
        <f>IF(N($AL125)&gt;0,INDEX(rIni_ADM,$AL125),"")</f>
        <v/>
      </c>
      <c r="F125" s="59">
        <f>IF(N($AL125)&gt;0,INDEX(rLim_ADM,$AL125),"")</f>
        <v/>
      </c>
      <c r="G125" s="59" t="n"/>
      <c r="H125" s="60" t="n"/>
      <c r="I125" s="60" t="n"/>
      <c r="J125" s="60" t="n"/>
      <c r="K125" s="60" t="n"/>
      <c r="L125" s="60" t="n"/>
      <c r="M125" s="61">
        <f>IF(NOT((COUNTA($B125:$D125)+COUNTA($G125:$L125)+COUNTA($Q125))&gt;0),"",IF(ISNUMBER($G125),1,IF(N($W125)&gt;0,AVERAGEIFS($X$5:$X$1000,$U$5:$U$1000,ROW(),$V$5:$V$1000,"Sub"),$X125)))</f>
        <v/>
      </c>
      <c r="N125" s="56">
        <f>IF($M125="","",IF($M125&gt;=1,"Completado",IF($M125&gt;0,"En curso","Pendiente")))</f>
        <v/>
      </c>
      <c r="O125" s="56">
        <f>IF(NOT((COUNTA($B125:$D125)+COUNTA($G125:$L125)+COUNTA($Q125))&gt;0),"",IF(ISNUMBER($G125),IF(AND(ISNUMBER($AN125),$G125&gt;$AN125),"Cumplida con "&amp;($G125-$AN125)&amp;IF($G125-$AN125=1," día"," días")&amp;" de retraso","Cumplida"),IF(N($M125)&gt;=1,"Cumplida",IF(NOT(ISNUMBER($AN125)),"Sin fecha límite",IF($AN125&lt;FechaRef,"Vencida hace "&amp;(FechaRef-$AN125)&amp;IF(FechaRef-$AN125=1," día"," días"),IF($AN125=FechaRef,"Vence hoy",IF($AN125-FechaRef&lt;=DiasAlerta,"Vence en "&amp;($AN125-FechaRef)&amp;IF($AN125-FechaRef=1," día"," días"),"En plazo")))))))</f>
        <v/>
      </c>
      <c r="P125" s="62" t="n"/>
      <c r="Q125" s="58" t="n"/>
      <c r="R125" s="63">
        <f>IF(NOT((COUNTA($B125:$D125)+COUNTA($G125:$L125)+COUNTA($Q125))&gt;0),"",IF((IF($C125="","Falta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",""))="","✔ OK","⚠ "&amp;LEFT(IF($C125="","Falta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",""),LEN(IF($C125="","Falta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",""))-3)))</f>
        <v/>
      </c>
      <c r="S125" s="64">
        <f>IF(NOT((COUNTA($B125:$D125)+COUNTA($G125:$L125)+COUNTA($Q125))&gt;0),"",IF(AND($V125="Sub",N($U125)&gt;0),IF(ISNUMBER(INDEX($AM$5:$AM$1000,$U125-4)),DATE(YEAR(INDEX($AM$5:$AM$1000,$U125-4)),MONTH(INDEX($AM$5:$AM$1000,$U125-4)),1),IF(ISNUMBER(INDEX($AN$5:$AN$1000,$U125-4)),DATE(YEAR(INDEX($AN$5:$AN$1000,$U125-4)),MONTH(INDEX($AN$5:$AN$1000,$U125-4)),1),MesCiclo)),IF(ISNUMBER($AM125),DATE(YEAR($AM125),MONTH($AM125),1),IF(ISNUMBER($AN125),DATE(YEAR($AN125),MONTH($AN125),1),MesCiclo))))</f>
        <v/>
      </c>
      <c r="T125" s="62">
        <f>IF(OR($S125="",$S125&lt;&gt;MesCiclo),"",COUNTIF($S$5:$S125,MesCiclo))</f>
        <v/>
      </c>
      <c r="U125" s="62">
        <f>IF($V125="","",IF($V125="Macro",ROW(),IFERROR(LOOKUP(2,1/($V$5:$V125="Macro"),ROW($V$5:$V125)),0)))</f>
        <v/>
      </c>
      <c r="V125" s="62">
        <f>IF(NOT((COUNTA($B125:$D125)+COUNTA($G125:$L125)+COUNTA($Q125))&gt;0),"",IF($B125="Subactividad","Sub","Macro"))</f>
        <v/>
      </c>
      <c r="W125" s="62">
        <f>IF($V125="Macro",COUNTIFS($U$5:$U$1000,ROW(),$V$5:$V$1000,"Sub"),"")</f>
        <v/>
      </c>
      <c r="X125" s="62">
        <f>IF($V125="","",IF(ISNUMBER($G125),1,IFERROR(LOOKUP(2,1/($I125:$L125&lt;&gt;""),$I125:$L125),0)))</f>
        <v/>
      </c>
      <c r="Y125" s="62">
        <f>IF($V125="","",IF(AND(ISNUMBER($G125),$G125&lt;=IF($S125=MesCiclo,InicioCiclo,$S125+MOD(2-WEEKDAY($S125),7))+6),1,IF(ISNUMBER($I125),$I125,0)))</f>
        <v/>
      </c>
      <c r="Z125" s="62">
        <f>IF($V125="","",IF(AND(ISNUMBER($G125),$G125&lt;=IF($S125=MesCiclo,InicioCiclo,$S125+MOD(2-WEEKDAY($S125),7))+13),1,IF(ISNUMBER($J125),$J125,$Y125)))</f>
        <v/>
      </c>
      <c r="AA125" s="62">
        <f>IF($V125="","",IF(AND(ISNUMBER($G125),$G125&lt;=IF($S125=MesCiclo,InicioCiclo,$S125+MOD(2-WEEKDAY($S125),7))+20),1,IF(ISNUMBER($K125),$K125,$Z125)))</f>
        <v/>
      </c>
      <c r="AB125" s="62">
        <f>IF($V125="","",IF(AND(ISNUMBER($G125),$G125&lt;=IF($S125=MesCiclo,InicioCiclo,$S125+MOD(2-WEEKDAY($S125),7))+27),1,IF(ISNUMBER($L125),$L125,$AA125)))</f>
        <v/>
      </c>
      <c r="AC125" s="62">
        <f>IF($V125="","",IF(AND(ISNUMBER($G125),$G125&lt;=IF($S125=MesCiclo,InicioCiclo,$S125+MOD(2-WEEKDAY($S125),7))+6),1,IF(N($W125)&gt;0,AVERAGEIFS($Y$5:$Y$1000,$U$5:$U$1000,ROW(),$V$5:$V$1000,"Sub"),$Y125)))</f>
        <v/>
      </c>
      <c r="AD125" s="62">
        <f>IF($V125="","",IF(AND(ISNUMBER($G125),$G125&lt;=IF($S125=MesCiclo,InicioCiclo,$S125+MOD(2-WEEKDAY($S125),7))+13),1,IF(N($W125)&gt;0,AVERAGEIFS($Z$5:$Z$1000,$U$5:$U$1000,ROW(),$V$5:$V$1000,"Sub"),$Z125)))</f>
        <v/>
      </c>
      <c r="AE125" s="62">
        <f>IF($V125="","",IF(AND(ISNUMBER($G125),$G125&lt;=IF($S125=MesCiclo,InicioCiclo,$S125+MOD(2-WEEKDAY($S125),7))+20),1,IF(N($W125)&gt;0,AVERAGEIFS($AA$5:$AA$1000,$U$5:$U$1000,ROW(),$V$5:$V$1000,"Sub"),$AA125)))</f>
        <v/>
      </c>
      <c r="AF125" s="62">
        <f>IF($V125="","",IF(AND(ISNUMBER($G125),$G125&lt;=IF($S125=MesCiclo,InicioCiclo,$S125+MOD(2-WEEKDAY($S125),7))+27),1,IF(N($W125)&gt;0,AVERAGEIFS($AB$5:$AB$1000,$U$5:$U$1000,ROW(),$V$5:$V$1000,"Sub"),$AB125)))</f>
        <v/>
      </c>
      <c r="AG125" s="62">
        <f>IF($V125&lt;&gt;"Macro","",IF(COUNTIFS($S$5:$S$1000,$S125,$V$5:$V$1000,"Macro",$H$5:$H$1000,"&gt;0")=0,1/COUNTIFS($S$5:$S$1000,$S125,$V$5:$V$1000,"Macro"),IF(AND(ISNUMBER($H125),N($H125)&gt;0),$H125,SUMIFS($H$5:$H$1000,$S$5:$S$1000,$S125,$V$5:$V$1000,"Macro")/COUNTIFS($S$5:$S$1000,$S125,$V$5:$V$1000,"Macro",$H$5:$H$1000,"&gt;0"))/(COUNTIFS($S$5:$S$1000,$S125,$V$5:$V$1000,"Macro")*SUMIFS($H$5:$H$1000,$S$5:$S$1000,$S125,$V$5:$V$1000,"Macro")/COUNTIFS($S$5:$S$1000,$S125,$V$5:$V$1000,"Macro",$H$5:$H$1000,"&gt;0"))))</f>
        <v/>
      </c>
      <c r="AH125" s="62" t="n"/>
      <c r="AI125" s="62" t="n"/>
      <c r="AJ125" s="62" t="n"/>
      <c r="AK125" s="62" t="n"/>
      <c r="AL125" s="62">
        <f>IF(LEFT($C125,11)="[Jefatura] ",IFERROR(MATCH("Riesgo Financiero|"&amp;MID($C125,12,500),rDname_ADM,0),0),"")</f>
        <v/>
      </c>
      <c r="AM125" s="62">
        <f>IF(N($AL125)&gt;0,INDEX(rIni_ADM,$AL125),IF(ISNUMBER($E125),$E125,""))</f>
        <v/>
      </c>
      <c r="AN125" s="62">
        <f>IF(N($AL125)&gt;0,INDEX(rLim_ADM,$AL125),IF(ISNUMBER($F125),$F125,""))</f>
        <v/>
      </c>
    </row>
    <row r="126">
      <c r="A126" s="56">
        <f>IF(NOT((COUNTA($B126:$D126)+COUNTA($G126:$L126)+COUNTA($Q126))&gt;0),"",IF($V126="Macro",COUNTIFS($V$5:$V126,"Macro",$S$5:$S126,$S126),IF(N($U126)=0,"?",COUNTIFS(INDEX($V$5:$V$1000,1):INDEX($V$5:$V$1000,$U126-4),"Macro",INDEX($S$5:$S$1000,1):INDEX($S$5:$S$1000,$U126-4),INDEX($S$5:$S$1000,$U126-4))&amp;"."&amp;COUNTIFS($U$5:$U126,$U126,$V$5:$V126,"Sub"))))</f>
        <v/>
      </c>
      <c r="B126" s="57" t="n"/>
      <c r="C126" s="58" t="n"/>
      <c r="D126" s="58" t="n"/>
      <c r="E126" s="59">
        <f>IF(N($AL126)&gt;0,INDEX(rIni_ADM,$AL126),"")</f>
        <v/>
      </c>
      <c r="F126" s="59">
        <f>IF(N($AL126)&gt;0,INDEX(rLim_ADM,$AL126),"")</f>
        <v/>
      </c>
      <c r="G126" s="59" t="n"/>
      <c r="H126" s="60" t="n"/>
      <c r="I126" s="60" t="n"/>
      <c r="J126" s="60" t="n"/>
      <c r="K126" s="60" t="n"/>
      <c r="L126" s="60" t="n"/>
      <c r="M126" s="61">
        <f>IF(NOT((COUNTA($B126:$D126)+COUNTA($G126:$L126)+COUNTA($Q126))&gt;0),"",IF(ISNUMBER($G126),1,IF(N($W126)&gt;0,AVERAGEIFS($X$5:$X$1000,$U$5:$U$1000,ROW(),$V$5:$V$1000,"Sub"),$X126)))</f>
        <v/>
      </c>
      <c r="N126" s="56">
        <f>IF($M126="","",IF($M126&gt;=1,"Completado",IF($M126&gt;0,"En curso","Pendiente")))</f>
        <v/>
      </c>
      <c r="O126" s="56">
        <f>IF(NOT((COUNTA($B126:$D126)+COUNTA($G126:$L126)+COUNTA($Q126))&gt;0),"",IF(ISNUMBER($G126),IF(AND(ISNUMBER($AN126),$G126&gt;$AN126),"Cumplida con "&amp;($G126-$AN126)&amp;IF($G126-$AN126=1," día"," días")&amp;" de retraso","Cumplida"),IF(N($M126)&gt;=1,"Cumplida",IF(NOT(ISNUMBER($AN126)),"Sin fecha límite",IF($AN126&lt;FechaRef,"Vencida hace "&amp;(FechaRef-$AN126)&amp;IF(FechaRef-$AN126=1," día"," días"),IF($AN126=FechaRef,"Vence hoy",IF($AN126-FechaRef&lt;=DiasAlerta,"Vence en "&amp;($AN126-FechaRef)&amp;IF($AN126-FechaRef=1," día"," días"),"En plazo")))))))</f>
        <v/>
      </c>
      <c r="P126" s="62" t="n"/>
      <c r="Q126" s="58" t="n"/>
      <c r="R126" s="63">
        <f>IF(NOT((COUNTA($B126:$D126)+COUNTA($G126:$L126)+COUNTA($Q126))&gt;0),"",IF((IF($C126="","Falta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",""))="","✔ OK","⚠ "&amp;LEFT(IF($C126="","Falta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",""),LEN(IF($C126="","Falta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",""))-3)))</f>
        <v/>
      </c>
      <c r="S126" s="64">
        <f>IF(NOT((COUNTA($B126:$D126)+COUNTA($G126:$L126)+COUNTA($Q126))&gt;0),"",IF(AND($V126="Sub",N($U126)&gt;0),IF(ISNUMBER(INDEX($AM$5:$AM$1000,$U126-4)),DATE(YEAR(INDEX($AM$5:$AM$1000,$U126-4)),MONTH(INDEX($AM$5:$AM$1000,$U126-4)),1),IF(ISNUMBER(INDEX($AN$5:$AN$1000,$U126-4)),DATE(YEAR(INDEX($AN$5:$AN$1000,$U126-4)),MONTH(INDEX($AN$5:$AN$1000,$U126-4)),1),MesCiclo)),IF(ISNUMBER($AM126),DATE(YEAR($AM126),MONTH($AM126),1),IF(ISNUMBER($AN126),DATE(YEAR($AN126),MONTH($AN126),1),MesCiclo))))</f>
        <v/>
      </c>
      <c r="T126" s="62">
        <f>IF(OR($S126="",$S126&lt;&gt;MesCiclo),"",COUNTIF($S$5:$S126,MesCiclo))</f>
        <v/>
      </c>
      <c r="U126" s="62">
        <f>IF($V126="","",IF($V126="Macro",ROW(),IFERROR(LOOKUP(2,1/($V$5:$V126="Macro"),ROW($V$5:$V126)),0)))</f>
        <v/>
      </c>
      <c r="V126" s="62">
        <f>IF(NOT((COUNTA($B126:$D126)+COUNTA($G126:$L126)+COUNTA($Q126))&gt;0),"",IF($B126="Subactividad","Sub","Macro"))</f>
        <v/>
      </c>
      <c r="W126" s="62">
        <f>IF($V126="Macro",COUNTIFS($U$5:$U$1000,ROW(),$V$5:$V$1000,"Sub"),"")</f>
        <v/>
      </c>
      <c r="X126" s="62">
        <f>IF($V126="","",IF(ISNUMBER($G126),1,IFERROR(LOOKUP(2,1/($I126:$L126&lt;&gt;""),$I126:$L126),0)))</f>
        <v/>
      </c>
      <c r="Y126" s="62">
        <f>IF($V126="","",IF(AND(ISNUMBER($G126),$G126&lt;=IF($S126=MesCiclo,InicioCiclo,$S126+MOD(2-WEEKDAY($S126),7))+6),1,IF(ISNUMBER($I126),$I126,0)))</f>
        <v/>
      </c>
      <c r="Z126" s="62">
        <f>IF($V126="","",IF(AND(ISNUMBER($G126),$G126&lt;=IF($S126=MesCiclo,InicioCiclo,$S126+MOD(2-WEEKDAY($S126),7))+13),1,IF(ISNUMBER($J126),$J126,$Y126)))</f>
        <v/>
      </c>
      <c r="AA126" s="62">
        <f>IF($V126="","",IF(AND(ISNUMBER($G126),$G126&lt;=IF($S126=MesCiclo,InicioCiclo,$S126+MOD(2-WEEKDAY($S126),7))+20),1,IF(ISNUMBER($K126),$K126,$Z126)))</f>
        <v/>
      </c>
      <c r="AB126" s="62">
        <f>IF($V126="","",IF(AND(ISNUMBER($G126),$G126&lt;=IF($S126=MesCiclo,InicioCiclo,$S126+MOD(2-WEEKDAY($S126),7))+27),1,IF(ISNUMBER($L126),$L126,$AA126)))</f>
        <v/>
      </c>
      <c r="AC126" s="62">
        <f>IF($V126="","",IF(AND(ISNUMBER($G126),$G126&lt;=IF($S126=MesCiclo,InicioCiclo,$S126+MOD(2-WEEKDAY($S126),7))+6),1,IF(N($W126)&gt;0,AVERAGEIFS($Y$5:$Y$1000,$U$5:$U$1000,ROW(),$V$5:$V$1000,"Sub"),$Y126)))</f>
        <v/>
      </c>
      <c r="AD126" s="62">
        <f>IF($V126="","",IF(AND(ISNUMBER($G126),$G126&lt;=IF($S126=MesCiclo,InicioCiclo,$S126+MOD(2-WEEKDAY($S126),7))+13),1,IF(N($W126)&gt;0,AVERAGEIFS($Z$5:$Z$1000,$U$5:$U$1000,ROW(),$V$5:$V$1000,"Sub"),$Z126)))</f>
        <v/>
      </c>
      <c r="AE126" s="62">
        <f>IF($V126="","",IF(AND(ISNUMBER($G126),$G126&lt;=IF($S126=MesCiclo,InicioCiclo,$S126+MOD(2-WEEKDAY($S126),7))+20),1,IF(N($W126)&gt;0,AVERAGEIFS($AA$5:$AA$1000,$U$5:$U$1000,ROW(),$V$5:$V$1000,"Sub"),$AA126)))</f>
        <v/>
      </c>
      <c r="AF126" s="62">
        <f>IF($V126="","",IF(AND(ISNUMBER($G126),$G126&lt;=IF($S126=MesCiclo,InicioCiclo,$S126+MOD(2-WEEKDAY($S126),7))+27),1,IF(N($W126)&gt;0,AVERAGEIFS($AB$5:$AB$1000,$U$5:$U$1000,ROW(),$V$5:$V$1000,"Sub"),$AB126)))</f>
        <v/>
      </c>
      <c r="AG126" s="62">
        <f>IF($V126&lt;&gt;"Macro","",IF(COUNTIFS($S$5:$S$1000,$S126,$V$5:$V$1000,"Macro",$H$5:$H$1000,"&gt;0")=0,1/COUNTIFS($S$5:$S$1000,$S126,$V$5:$V$1000,"Macro"),IF(AND(ISNUMBER($H126),N($H126)&gt;0),$H126,SUMIFS($H$5:$H$1000,$S$5:$S$1000,$S126,$V$5:$V$1000,"Macro")/COUNTIFS($S$5:$S$1000,$S126,$V$5:$V$1000,"Macro",$H$5:$H$1000,"&gt;0"))/(COUNTIFS($S$5:$S$1000,$S126,$V$5:$V$1000,"Macro")*SUMIFS($H$5:$H$1000,$S$5:$S$1000,$S126,$V$5:$V$1000,"Macro")/COUNTIFS($S$5:$S$1000,$S126,$V$5:$V$1000,"Macro",$H$5:$H$1000,"&gt;0"))))</f>
        <v/>
      </c>
      <c r="AH126" s="62" t="n"/>
      <c r="AI126" s="62" t="n"/>
      <c r="AJ126" s="62" t="n"/>
      <c r="AK126" s="62" t="n"/>
      <c r="AL126" s="62">
        <f>IF(LEFT($C126,11)="[Jefatura] ",IFERROR(MATCH("Riesgo Financiero|"&amp;MID($C126,12,500),rDname_ADM,0),0),"")</f>
        <v/>
      </c>
      <c r="AM126" s="62">
        <f>IF(N($AL126)&gt;0,INDEX(rIni_ADM,$AL126),IF(ISNUMBER($E126),$E126,""))</f>
        <v/>
      </c>
      <c r="AN126" s="62">
        <f>IF(N($AL126)&gt;0,INDEX(rLim_ADM,$AL126),IF(ISNUMBER($F126),$F126,""))</f>
        <v/>
      </c>
    </row>
    <row r="127">
      <c r="A127" s="56">
        <f>IF(NOT((COUNTA($B127:$D127)+COUNTA($G127:$L127)+COUNTA($Q127))&gt;0),"",IF($V127="Macro",COUNTIFS($V$5:$V127,"Macro",$S$5:$S127,$S127),IF(N($U127)=0,"?",COUNTIFS(INDEX($V$5:$V$1000,1):INDEX($V$5:$V$1000,$U127-4),"Macro",INDEX($S$5:$S$1000,1):INDEX($S$5:$S$1000,$U127-4),INDEX($S$5:$S$1000,$U127-4))&amp;"."&amp;COUNTIFS($U$5:$U127,$U127,$V$5:$V127,"Sub"))))</f>
        <v/>
      </c>
      <c r="B127" s="57" t="n"/>
      <c r="C127" s="58" t="n"/>
      <c r="D127" s="58" t="n"/>
      <c r="E127" s="59">
        <f>IF(N($AL127)&gt;0,INDEX(rIni_ADM,$AL127),"")</f>
        <v/>
      </c>
      <c r="F127" s="59">
        <f>IF(N($AL127)&gt;0,INDEX(rLim_ADM,$AL127),"")</f>
        <v/>
      </c>
      <c r="G127" s="59" t="n"/>
      <c r="H127" s="60" t="n"/>
      <c r="I127" s="60" t="n"/>
      <c r="J127" s="60" t="n"/>
      <c r="K127" s="60" t="n"/>
      <c r="L127" s="60" t="n"/>
      <c r="M127" s="61">
        <f>IF(NOT((COUNTA($B127:$D127)+COUNTA($G127:$L127)+COUNTA($Q127))&gt;0),"",IF(ISNUMBER($G127),1,IF(N($W127)&gt;0,AVERAGEIFS($X$5:$X$1000,$U$5:$U$1000,ROW(),$V$5:$V$1000,"Sub"),$X127)))</f>
        <v/>
      </c>
      <c r="N127" s="56">
        <f>IF($M127="","",IF($M127&gt;=1,"Completado",IF($M127&gt;0,"En curso","Pendiente")))</f>
        <v/>
      </c>
      <c r="O127" s="56">
        <f>IF(NOT((COUNTA($B127:$D127)+COUNTA($G127:$L127)+COUNTA($Q127))&gt;0),"",IF(ISNUMBER($G127),IF(AND(ISNUMBER($AN127),$G127&gt;$AN127),"Cumplida con "&amp;($G127-$AN127)&amp;IF($G127-$AN127=1," día"," días")&amp;" de retraso","Cumplida"),IF(N($M127)&gt;=1,"Cumplida",IF(NOT(ISNUMBER($AN127)),"Sin fecha límite",IF($AN127&lt;FechaRef,"Vencida hace "&amp;(FechaRef-$AN127)&amp;IF(FechaRef-$AN127=1," día"," días"),IF($AN127=FechaRef,"Vence hoy",IF($AN127-FechaRef&lt;=DiasAlerta,"Vence en "&amp;($AN127-FechaRef)&amp;IF($AN127-FechaRef=1," día"," días"),"En plazo")))))))</f>
        <v/>
      </c>
      <c r="P127" s="62" t="n"/>
      <c r="Q127" s="58" t="n"/>
      <c r="R127" s="63">
        <f>IF(NOT((COUNTA($B127:$D127)+COUNTA($G127:$L127)+COUNTA($Q127))&gt;0),"",IF((IF($C127="","Falta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",""))="","✔ OK","⚠ "&amp;LEFT(IF($C127="","Falta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",""),LEN(IF($C127="","Falta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",""))-3)))</f>
        <v/>
      </c>
      <c r="S127" s="64">
        <f>IF(NOT((COUNTA($B127:$D127)+COUNTA($G127:$L127)+COUNTA($Q127))&gt;0),"",IF(AND($V127="Sub",N($U127)&gt;0),IF(ISNUMBER(INDEX($AM$5:$AM$1000,$U127-4)),DATE(YEAR(INDEX($AM$5:$AM$1000,$U127-4)),MONTH(INDEX($AM$5:$AM$1000,$U127-4)),1),IF(ISNUMBER(INDEX($AN$5:$AN$1000,$U127-4)),DATE(YEAR(INDEX($AN$5:$AN$1000,$U127-4)),MONTH(INDEX($AN$5:$AN$1000,$U127-4)),1),MesCiclo)),IF(ISNUMBER($AM127),DATE(YEAR($AM127),MONTH($AM127),1),IF(ISNUMBER($AN127),DATE(YEAR($AN127),MONTH($AN127),1),MesCiclo))))</f>
        <v/>
      </c>
      <c r="T127" s="62">
        <f>IF(OR($S127="",$S127&lt;&gt;MesCiclo),"",COUNTIF($S$5:$S127,MesCiclo))</f>
        <v/>
      </c>
      <c r="U127" s="62">
        <f>IF($V127="","",IF($V127="Macro",ROW(),IFERROR(LOOKUP(2,1/($V$5:$V127="Macro"),ROW($V$5:$V127)),0)))</f>
        <v/>
      </c>
      <c r="V127" s="62">
        <f>IF(NOT((COUNTA($B127:$D127)+COUNTA($G127:$L127)+COUNTA($Q127))&gt;0),"",IF($B127="Subactividad","Sub","Macro"))</f>
        <v/>
      </c>
      <c r="W127" s="62">
        <f>IF($V127="Macro",COUNTIFS($U$5:$U$1000,ROW(),$V$5:$V$1000,"Sub"),"")</f>
        <v/>
      </c>
      <c r="X127" s="62">
        <f>IF($V127="","",IF(ISNUMBER($G127),1,IFERROR(LOOKUP(2,1/($I127:$L127&lt;&gt;""),$I127:$L127),0)))</f>
        <v/>
      </c>
      <c r="Y127" s="62">
        <f>IF($V127="","",IF(AND(ISNUMBER($G127),$G127&lt;=IF($S127=MesCiclo,InicioCiclo,$S127+MOD(2-WEEKDAY($S127),7))+6),1,IF(ISNUMBER($I127),$I127,0)))</f>
        <v/>
      </c>
      <c r="Z127" s="62">
        <f>IF($V127="","",IF(AND(ISNUMBER($G127),$G127&lt;=IF($S127=MesCiclo,InicioCiclo,$S127+MOD(2-WEEKDAY($S127),7))+13),1,IF(ISNUMBER($J127),$J127,$Y127)))</f>
        <v/>
      </c>
      <c r="AA127" s="62">
        <f>IF($V127="","",IF(AND(ISNUMBER($G127),$G127&lt;=IF($S127=MesCiclo,InicioCiclo,$S127+MOD(2-WEEKDAY($S127),7))+20),1,IF(ISNUMBER($K127),$K127,$Z127)))</f>
        <v/>
      </c>
      <c r="AB127" s="62">
        <f>IF($V127="","",IF(AND(ISNUMBER($G127),$G127&lt;=IF($S127=MesCiclo,InicioCiclo,$S127+MOD(2-WEEKDAY($S127),7))+27),1,IF(ISNUMBER($L127),$L127,$AA127)))</f>
        <v/>
      </c>
      <c r="AC127" s="62">
        <f>IF($V127="","",IF(AND(ISNUMBER($G127),$G127&lt;=IF($S127=MesCiclo,InicioCiclo,$S127+MOD(2-WEEKDAY($S127),7))+6),1,IF(N($W127)&gt;0,AVERAGEIFS($Y$5:$Y$1000,$U$5:$U$1000,ROW(),$V$5:$V$1000,"Sub"),$Y127)))</f>
        <v/>
      </c>
      <c r="AD127" s="62">
        <f>IF($V127="","",IF(AND(ISNUMBER($G127),$G127&lt;=IF($S127=MesCiclo,InicioCiclo,$S127+MOD(2-WEEKDAY($S127),7))+13),1,IF(N($W127)&gt;0,AVERAGEIFS($Z$5:$Z$1000,$U$5:$U$1000,ROW(),$V$5:$V$1000,"Sub"),$Z127)))</f>
        <v/>
      </c>
      <c r="AE127" s="62">
        <f>IF($V127="","",IF(AND(ISNUMBER($G127),$G127&lt;=IF($S127=MesCiclo,InicioCiclo,$S127+MOD(2-WEEKDAY($S127),7))+20),1,IF(N($W127)&gt;0,AVERAGEIFS($AA$5:$AA$1000,$U$5:$U$1000,ROW(),$V$5:$V$1000,"Sub"),$AA127)))</f>
        <v/>
      </c>
      <c r="AF127" s="62">
        <f>IF($V127="","",IF(AND(ISNUMBER($G127),$G127&lt;=IF($S127=MesCiclo,InicioCiclo,$S127+MOD(2-WEEKDAY($S127),7))+27),1,IF(N($W127)&gt;0,AVERAGEIFS($AB$5:$AB$1000,$U$5:$U$1000,ROW(),$V$5:$V$1000,"Sub"),$AB127)))</f>
        <v/>
      </c>
      <c r="AG127" s="62">
        <f>IF($V127&lt;&gt;"Macro","",IF(COUNTIFS($S$5:$S$1000,$S127,$V$5:$V$1000,"Macro",$H$5:$H$1000,"&gt;0")=0,1/COUNTIFS($S$5:$S$1000,$S127,$V$5:$V$1000,"Macro"),IF(AND(ISNUMBER($H127),N($H127)&gt;0),$H127,SUMIFS($H$5:$H$1000,$S$5:$S$1000,$S127,$V$5:$V$1000,"Macro")/COUNTIFS($S$5:$S$1000,$S127,$V$5:$V$1000,"Macro",$H$5:$H$1000,"&gt;0"))/(COUNTIFS($S$5:$S$1000,$S127,$V$5:$V$1000,"Macro")*SUMIFS($H$5:$H$1000,$S$5:$S$1000,$S127,$V$5:$V$1000,"Macro")/COUNTIFS($S$5:$S$1000,$S127,$V$5:$V$1000,"Macro",$H$5:$H$1000,"&gt;0"))))</f>
        <v/>
      </c>
      <c r="AH127" s="62" t="n"/>
      <c r="AI127" s="62" t="n"/>
      <c r="AJ127" s="62" t="n"/>
      <c r="AK127" s="62" t="n"/>
      <c r="AL127" s="62">
        <f>IF(LEFT($C127,11)="[Jefatura] ",IFERROR(MATCH("Riesgo Financiero|"&amp;MID($C127,12,500),rDname_ADM,0),0),"")</f>
        <v/>
      </c>
      <c r="AM127" s="62">
        <f>IF(N($AL127)&gt;0,INDEX(rIni_ADM,$AL127),IF(ISNUMBER($E127),$E127,""))</f>
        <v/>
      </c>
      <c r="AN127" s="62">
        <f>IF(N($AL127)&gt;0,INDEX(rLim_ADM,$AL127),IF(ISNUMBER($F127),$F127,""))</f>
        <v/>
      </c>
    </row>
    <row r="128">
      <c r="A128" s="56">
        <f>IF(NOT((COUNTA($B128:$D128)+COUNTA($G128:$L128)+COUNTA($Q128))&gt;0),"",IF($V128="Macro",COUNTIFS($V$5:$V128,"Macro",$S$5:$S128,$S128),IF(N($U128)=0,"?",COUNTIFS(INDEX($V$5:$V$1000,1):INDEX($V$5:$V$1000,$U128-4),"Macro",INDEX($S$5:$S$1000,1):INDEX($S$5:$S$1000,$U128-4),INDEX($S$5:$S$1000,$U128-4))&amp;"."&amp;COUNTIFS($U$5:$U128,$U128,$V$5:$V128,"Sub"))))</f>
        <v/>
      </c>
      <c r="B128" s="57" t="n"/>
      <c r="C128" s="58" t="n"/>
      <c r="D128" s="58" t="n"/>
      <c r="E128" s="59">
        <f>IF(N($AL128)&gt;0,INDEX(rIni_ADM,$AL128),"")</f>
        <v/>
      </c>
      <c r="F128" s="59">
        <f>IF(N($AL128)&gt;0,INDEX(rLim_ADM,$AL128),"")</f>
        <v/>
      </c>
      <c r="G128" s="59" t="n"/>
      <c r="H128" s="60" t="n"/>
      <c r="I128" s="60" t="n"/>
      <c r="J128" s="60" t="n"/>
      <c r="K128" s="60" t="n"/>
      <c r="L128" s="60" t="n"/>
      <c r="M128" s="61">
        <f>IF(NOT((COUNTA($B128:$D128)+COUNTA($G128:$L128)+COUNTA($Q128))&gt;0),"",IF(ISNUMBER($G128),1,IF(N($W128)&gt;0,AVERAGEIFS($X$5:$X$1000,$U$5:$U$1000,ROW(),$V$5:$V$1000,"Sub"),$X128)))</f>
        <v/>
      </c>
      <c r="N128" s="56">
        <f>IF($M128="","",IF($M128&gt;=1,"Completado",IF($M128&gt;0,"En curso","Pendiente")))</f>
        <v/>
      </c>
      <c r="O128" s="56">
        <f>IF(NOT((COUNTA($B128:$D128)+COUNTA($G128:$L128)+COUNTA($Q128))&gt;0),"",IF(ISNUMBER($G128),IF(AND(ISNUMBER($AN128),$G128&gt;$AN128),"Cumplida con "&amp;($G128-$AN128)&amp;IF($G128-$AN128=1," día"," días")&amp;" de retraso","Cumplida"),IF(N($M128)&gt;=1,"Cumplida",IF(NOT(ISNUMBER($AN128)),"Sin fecha límite",IF($AN128&lt;FechaRef,"Vencida hace "&amp;(FechaRef-$AN128)&amp;IF(FechaRef-$AN128=1," día"," días"),IF($AN128=FechaRef,"Vence hoy",IF($AN128-FechaRef&lt;=DiasAlerta,"Vence en "&amp;($AN128-FechaRef)&amp;IF($AN128-FechaRef=1," día"," días"),"En plazo")))))))</f>
        <v/>
      </c>
      <c r="P128" s="62" t="n"/>
      <c r="Q128" s="58" t="n"/>
      <c r="R128" s="63">
        <f>IF(NOT((COUNTA($B128:$D128)+COUNTA($G128:$L128)+COUNTA($Q128))&gt;0),"",IF((IF($C128="","Falta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",""))="","✔ OK","⚠ "&amp;LEFT(IF($C128="","Falta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",""),LEN(IF($C128="","Falta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",""))-3)))</f>
        <v/>
      </c>
      <c r="S128" s="64">
        <f>IF(NOT((COUNTA($B128:$D128)+COUNTA($G128:$L128)+COUNTA($Q128))&gt;0),"",IF(AND($V128="Sub",N($U128)&gt;0),IF(ISNUMBER(INDEX($AM$5:$AM$1000,$U128-4)),DATE(YEAR(INDEX($AM$5:$AM$1000,$U128-4)),MONTH(INDEX($AM$5:$AM$1000,$U128-4)),1),IF(ISNUMBER(INDEX($AN$5:$AN$1000,$U128-4)),DATE(YEAR(INDEX($AN$5:$AN$1000,$U128-4)),MONTH(INDEX($AN$5:$AN$1000,$U128-4)),1),MesCiclo)),IF(ISNUMBER($AM128),DATE(YEAR($AM128),MONTH($AM128),1),IF(ISNUMBER($AN128),DATE(YEAR($AN128),MONTH($AN128),1),MesCiclo))))</f>
        <v/>
      </c>
      <c r="T128" s="62">
        <f>IF(OR($S128="",$S128&lt;&gt;MesCiclo),"",COUNTIF($S$5:$S128,MesCiclo))</f>
        <v/>
      </c>
      <c r="U128" s="62">
        <f>IF($V128="","",IF($V128="Macro",ROW(),IFERROR(LOOKUP(2,1/($V$5:$V128="Macro"),ROW($V$5:$V128)),0)))</f>
        <v/>
      </c>
      <c r="V128" s="62">
        <f>IF(NOT((COUNTA($B128:$D128)+COUNTA($G128:$L128)+COUNTA($Q128))&gt;0),"",IF($B128="Subactividad","Sub","Macro"))</f>
        <v/>
      </c>
      <c r="W128" s="62">
        <f>IF($V128="Macro",COUNTIFS($U$5:$U$1000,ROW(),$V$5:$V$1000,"Sub"),"")</f>
        <v/>
      </c>
      <c r="X128" s="62">
        <f>IF($V128="","",IF(ISNUMBER($G128),1,IFERROR(LOOKUP(2,1/($I128:$L128&lt;&gt;""),$I128:$L128),0)))</f>
        <v/>
      </c>
      <c r="Y128" s="62">
        <f>IF($V128="","",IF(AND(ISNUMBER($G128),$G128&lt;=IF($S128=MesCiclo,InicioCiclo,$S128+MOD(2-WEEKDAY($S128),7))+6),1,IF(ISNUMBER($I128),$I128,0)))</f>
        <v/>
      </c>
      <c r="Z128" s="62">
        <f>IF($V128="","",IF(AND(ISNUMBER($G128),$G128&lt;=IF($S128=MesCiclo,InicioCiclo,$S128+MOD(2-WEEKDAY($S128),7))+13),1,IF(ISNUMBER($J128),$J128,$Y128)))</f>
        <v/>
      </c>
      <c r="AA128" s="62">
        <f>IF($V128="","",IF(AND(ISNUMBER($G128),$G128&lt;=IF($S128=MesCiclo,InicioCiclo,$S128+MOD(2-WEEKDAY($S128),7))+20),1,IF(ISNUMBER($K128),$K128,$Z128)))</f>
        <v/>
      </c>
      <c r="AB128" s="62">
        <f>IF($V128="","",IF(AND(ISNUMBER($G128),$G128&lt;=IF($S128=MesCiclo,InicioCiclo,$S128+MOD(2-WEEKDAY($S128),7))+27),1,IF(ISNUMBER($L128),$L128,$AA128)))</f>
        <v/>
      </c>
      <c r="AC128" s="62">
        <f>IF($V128="","",IF(AND(ISNUMBER($G128),$G128&lt;=IF($S128=MesCiclo,InicioCiclo,$S128+MOD(2-WEEKDAY($S128),7))+6),1,IF(N($W128)&gt;0,AVERAGEIFS($Y$5:$Y$1000,$U$5:$U$1000,ROW(),$V$5:$V$1000,"Sub"),$Y128)))</f>
        <v/>
      </c>
      <c r="AD128" s="62">
        <f>IF($V128="","",IF(AND(ISNUMBER($G128),$G128&lt;=IF($S128=MesCiclo,InicioCiclo,$S128+MOD(2-WEEKDAY($S128),7))+13),1,IF(N($W128)&gt;0,AVERAGEIFS($Z$5:$Z$1000,$U$5:$U$1000,ROW(),$V$5:$V$1000,"Sub"),$Z128)))</f>
        <v/>
      </c>
      <c r="AE128" s="62">
        <f>IF($V128="","",IF(AND(ISNUMBER($G128),$G128&lt;=IF($S128=MesCiclo,InicioCiclo,$S128+MOD(2-WEEKDAY($S128),7))+20),1,IF(N($W128)&gt;0,AVERAGEIFS($AA$5:$AA$1000,$U$5:$U$1000,ROW(),$V$5:$V$1000,"Sub"),$AA128)))</f>
        <v/>
      </c>
      <c r="AF128" s="62">
        <f>IF($V128="","",IF(AND(ISNUMBER($G128),$G128&lt;=IF($S128=MesCiclo,InicioCiclo,$S128+MOD(2-WEEKDAY($S128),7))+27),1,IF(N($W128)&gt;0,AVERAGEIFS($AB$5:$AB$1000,$U$5:$U$1000,ROW(),$V$5:$V$1000,"Sub"),$AB128)))</f>
        <v/>
      </c>
      <c r="AG128" s="62">
        <f>IF($V128&lt;&gt;"Macro","",IF(COUNTIFS($S$5:$S$1000,$S128,$V$5:$V$1000,"Macro",$H$5:$H$1000,"&gt;0")=0,1/COUNTIFS($S$5:$S$1000,$S128,$V$5:$V$1000,"Macro"),IF(AND(ISNUMBER($H128),N($H128)&gt;0),$H128,SUMIFS($H$5:$H$1000,$S$5:$S$1000,$S128,$V$5:$V$1000,"Macro")/COUNTIFS($S$5:$S$1000,$S128,$V$5:$V$1000,"Macro",$H$5:$H$1000,"&gt;0"))/(COUNTIFS($S$5:$S$1000,$S128,$V$5:$V$1000,"Macro")*SUMIFS($H$5:$H$1000,$S$5:$S$1000,$S128,$V$5:$V$1000,"Macro")/COUNTIFS($S$5:$S$1000,$S128,$V$5:$V$1000,"Macro",$H$5:$H$1000,"&gt;0"))))</f>
        <v/>
      </c>
      <c r="AH128" s="62" t="n"/>
      <c r="AI128" s="62" t="n"/>
      <c r="AJ128" s="62" t="n"/>
      <c r="AK128" s="62" t="n"/>
      <c r="AL128" s="62">
        <f>IF(LEFT($C128,11)="[Jefatura] ",IFERROR(MATCH("Riesgo Financiero|"&amp;MID($C128,12,500),rDname_ADM,0),0),"")</f>
        <v/>
      </c>
      <c r="AM128" s="62">
        <f>IF(N($AL128)&gt;0,INDEX(rIni_ADM,$AL128),IF(ISNUMBER($E128),$E128,""))</f>
        <v/>
      </c>
      <c r="AN128" s="62">
        <f>IF(N($AL128)&gt;0,INDEX(rLim_ADM,$AL128),IF(ISNUMBER($F128),$F128,""))</f>
        <v/>
      </c>
    </row>
    <row r="129">
      <c r="A129" s="56">
        <f>IF(NOT((COUNTA($B129:$D129)+COUNTA($G129:$L129)+COUNTA($Q129))&gt;0),"",IF($V129="Macro",COUNTIFS($V$5:$V129,"Macro",$S$5:$S129,$S129),IF(N($U129)=0,"?",COUNTIFS(INDEX($V$5:$V$1000,1):INDEX($V$5:$V$1000,$U129-4),"Macro",INDEX($S$5:$S$1000,1):INDEX($S$5:$S$1000,$U129-4),INDEX($S$5:$S$1000,$U129-4))&amp;"."&amp;COUNTIFS($U$5:$U129,$U129,$V$5:$V129,"Sub"))))</f>
        <v/>
      </c>
      <c r="B129" s="57" t="n"/>
      <c r="C129" s="58" t="n"/>
      <c r="D129" s="58" t="n"/>
      <c r="E129" s="59">
        <f>IF(N($AL129)&gt;0,INDEX(rIni_ADM,$AL129),"")</f>
        <v/>
      </c>
      <c r="F129" s="59">
        <f>IF(N($AL129)&gt;0,INDEX(rLim_ADM,$AL129),"")</f>
        <v/>
      </c>
      <c r="G129" s="59" t="n"/>
      <c r="H129" s="60" t="n"/>
      <c r="I129" s="60" t="n"/>
      <c r="J129" s="60" t="n"/>
      <c r="K129" s="60" t="n"/>
      <c r="L129" s="60" t="n"/>
      <c r="M129" s="61">
        <f>IF(NOT((COUNTA($B129:$D129)+COUNTA($G129:$L129)+COUNTA($Q129))&gt;0),"",IF(ISNUMBER($G129),1,IF(N($W129)&gt;0,AVERAGEIFS($X$5:$X$1000,$U$5:$U$1000,ROW(),$V$5:$V$1000,"Sub"),$X129)))</f>
        <v/>
      </c>
      <c r="N129" s="56">
        <f>IF($M129="","",IF($M129&gt;=1,"Completado",IF($M129&gt;0,"En curso","Pendiente")))</f>
        <v/>
      </c>
      <c r="O129" s="56">
        <f>IF(NOT((COUNTA($B129:$D129)+COUNTA($G129:$L129)+COUNTA($Q129))&gt;0),"",IF(ISNUMBER($G129),IF(AND(ISNUMBER($AN129),$G129&gt;$AN129),"Cumplida con "&amp;($G129-$AN129)&amp;IF($G129-$AN129=1," día"," días")&amp;" de retraso","Cumplida"),IF(N($M129)&gt;=1,"Cumplida",IF(NOT(ISNUMBER($AN129)),"Sin fecha límite",IF($AN129&lt;FechaRef,"Vencida hace "&amp;(FechaRef-$AN129)&amp;IF(FechaRef-$AN129=1," día"," días"),IF($AN129=FechaRef,"Vence hoy",IF($AN129-FechaRef&lt;=DiasAlerta,"Vence en "&amp;($AN129-FechaRef)&amp;IF($AN129-FechaRef=1," día"," días"),"En plazo")))))))</f>
        <v/>
      </c>
      <c r="P129" s="62" t="n"/>
      <c r="Q129" s="58" t="n"/>
      <c r="R129" s="63">
        <f>IF(NOT((COUNTA($B129:$D129)+COUNTA($G129:$L129)+COUNTA($Q129))&gt;0),"",IF((IF($C129="","Falta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",""))="","✔ OK","⚠ "&amp;LEFT(IF($C129="","Falta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",""),LEN(IF($C129="","Falta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",""))-3)))</f>
        <v/>
      </c>
      <c r="S129" s="64">
        <f>IF(NOT((COUNTA($B129:$D129)+COUNTA($G129:$L129)+COUNTA($Q129))&gt;0),"",IF(AND($V129="Sub",N($U129)&gt;0),IF(ISNUMBER(INDEX($AM$5:$AM$1000,$U129-4)),DATE(YEAR(INDEX($AM$5:$AM$1000,$U129-4)),MONTH(INDEX($AM$5:$AM$1000,$U129-4)),1),IF(ISNUMBER(INDEX($AN$5:$AN$1000,$U129-4)),DATE(YEAR(INDEX($AN$5:$AN$1000,$U129-4)),MONTH(INDEX($AN$5:$AN$1000,$U129-4)),1),MesCiclo)),IF(ISNUMBER($AM129),DATE(YEAR($AM129),MONTH($AM129),1),IF(ISNUMBER($AN129),DATE(YEAR($AN129),MONTH($AN129),1),MesCiclo))))</f>
        <v/>
      </c>
      <c r="T129" s="62">
        <f>IF(OR($S129="",$S129&lt;&gt;MesCiclo),"",COUNTIF($S$5:$S129,MesCiclo))</f>
        <v/>
      </c>
      <c r="U129" s="62">
        <f>IF($V129="","",IF($V129="Macro",ROW(),IFERROR(LOOKUP(2,1/($V$5:$V129="Macro"),ROW($V$5:$V129)),0)))</f>
        <v/>
      </c>
      <c r="V129" s="62">
        <f>IF(NOT((COUNTA($B129:$D129)+COUNTA($G129:$L129)+COUNTA($Q129))&gt;0),"",IF($B129="Subactividad","Sub","Macro"))</f>
        <v/>
      </c>
      <c r="W129" s="62">
        <f>IF($V129="Macro",COUNTIFS($U$5:$U$1000,ROW(),$V$5:$V$1000,"Sub"),"")</f>
        <v/>
      </c>
      <c r="X129" s="62">
        <f>IF($V129="","",IF(ISNUMBER($G129),1,IFERROR(LOOKUP(2,1/($I129:$L129&lt;&gt;""),$I129:$L129),0)))</f>
        <v/>
      </c>
      <c r="Y129" s="62">
        <f>IF($V129="","",IF(AND(ISNUMBER($G129),$G129&lt;=IF($S129=MesCiclo,InicioCiclo,$S129+MOD(2-WEEKDAY($S129),7))+6),1,IF(ISNUMBER($I129),$I129,0)))</f>
        <v/>
      </c>
      <c r="Z129" s="62">
        <f>IF($V129="","",IF(AND(ISNUMBER($G129),$G129&lt;=IF($S129=MesCiclo,InicioCiclo,$S129+MOD(2-WEEKDAY($S129),7))+13),1,IF(ISNUMBER($J129),$J129,$Y129)))</f>
        <v/>
      </c>
      <c r="AA129" s="62">
        <f>IF($V129="","",IF(AND(ISNUMBER($G129),$G129&lt;=IF($S129=MesCiclo,InicioCiclo,$S129+MOD(2-WEEKDAY($S129),7))+20),1,IF(ISNUMBER($K129),$K129,$Z129)))</f>
        <v/>
      </c>
      <c r="AB129" s="62">
        <f>IF($V129="","",IF(AND(ISNUMBER($G129),$G129&lt;=IF($S129=MesCiclo,InicioCiclo,$S129+MOD(2-WEEKDAY($S129),7))+27),1,IF(ISNUMBER($L129),$L129,$AA129)))</f>
        <v/>
      </c>
      <c r="AC129" s="62">
        <f>IF($V129="","",IF(AND(ISNUMBER($G129),$G129&lt;=IF($S129=MesCiclo,InicioCiclo,$S129+MOD(2-WEEKDAY($S129),7))+6),1,IF(N($W129)&gt;0,AVERAGEIFS($Y$5:$Y$1000,$U$5:$U$1000,ROW(),$V$5:$V$1000,"Sub"),$Y129)))</f>
        <v/>
      </c>
      <c r="AD129" s="62">
        <f>IF($V129="","",IF(AND(ISNUMBER($G129),$G129&lt;=IF($S129=MesCiclo,InicioCiclo,$S129+MOD(2-WEEKDAY($S129),7))+13),1,IF(N($W129)&gt;0,AVERAGEIFS($Z$5:$Z$1000,$U$5:$U$1000,ROW(),$V$5:$V$1000,"Sub"),$Z129)))</f>
        <v/>
      </c>
      <c r="AE129" s="62">
        <f>IF($V129="","",IF(AND(ISNUMBER($G129),$G129&lt;=IF($S129=MesCiclo,InicioCiclo,$S129+MOD(2-WEEKDAY($S129),7))+20),1,IF(N($W129)&gt;0,AVERAGEIFS($AA$5:$AA$1000,$U$5:$U$1000,ROW(),$V$5:$V$1000,"Sub"),$AA129)))</f>
        <v/>
      </c>
      <c r="AF129" s="62">
        <f>IF($V129="","",IF(AND(ISNUMBER($G129),$G129&lt;=IF($S129=MesCiclo,InicioCiclo,$S129+MOD(2-WEEKDAY($S129),7))+27),1,IF(N($W129)&gt;0,AVERAGEIFS($AB$5:$AB$1000,$U$5:$U$1000,ROW(),$V$5:$V$1000,"Sub"),$AB129)))</f>
        <v/>
      </c>
      <c r="AG129" s="62">
        <f>IF($V129&lt;&gt;"Macro","",IF(COUNTIFS($S$5:$S$1000,$S129,$V$5:$V$1000,"Macro",$H$5:$H$1000,"&gt;0")=0,1/COUNTIFS($S$5:$S$1000,$S129,$V$5:$V$1000,"Macro"),IF(AND(ISNUMBER($H129),N($H129)&gt;0),$H129,SUMIFS($H$5:$H$1000,$S$5:$S$1000,$S129,$V$5:$V$1000,"Macro")/COUNTIFS($S$5:$S$1000,$S129,$V$5:$V$1000,"Macro",$H$5:$H$1000,"&gt;0"))/(COUNTIFS($S$5:$S$1000,$S129,$V$5:$V$1000,"Macro")*SUMIFS($H$5:$H$1000,$S$5:$S$1000,$S129,$V$5:$V$1000,"Macro")/COUNTIFS($S$5:$S$1000,$S129,$V$5:$V$1000,"Macro",$H$5:$H$1000,"&gt;0"))))</f>
        <v/>
      </c>
      <c r="AH129" s="62" t="n"/>
      <c r="AI129" s="62" t="n"/>
      <c r="AJ129" s="62" t="n"/>
      <c r="AK129" s="62" t="n"/>
      <c r="AL129" s="62">
        <f>IF(LEFT($C129,11)="[Jefatura] ",IFERROR(MATCH("Riesgo Financiero|"&amp;MID($C129,12,500),rDname_ADM,0),0),"")</f>
        <v/>
      </c>
      <c r="AM129" s="62">
        <f>IF(N($AL129)&gt;0,INDEX(rIni_ADM,$AL129),IF(ISNUMBER($E129),$E129,""))</f>
        <v/>
      </c>
      <c r="AN129" s="62">
        <f>IF(N($AL129)&gt;0,INDEX(rLim_ADM,$AL129),IF(ISNUMBER($F129),$F129,""))</f>
        <v/>
      </c>
    </row>
    <row r="130">
      <c r="A130" s="56">
        <f>IF(NOT((COUNTA($B130:$D130)+COUNTA($G130:$L130)+COUNTA($Q130))&gt;0),"",IF($V130="Macro",COUNTIFS($V$5:$V130,"Macro",$S$5:$S130,$S130),IF(N($U130)=0,"?",COUNTIFS(INDEX($V$5:$V$1000,1):INDEX($V$5:$V$1000,$U130-4),"Macro",INDEX($S$5:$S$1000,1):INDEX($S$5:$S$1000,$U130-4),INDEX($S$5:$S$1000,$U130-4))&amp;"."&amp;COUNTIFS($U$5:$U130,$U130,$V$5:$V130,"Sub"))))</f>
        <v/>
      </c>
      <c r="B130" s="57" t="n"/>
      <c r="C130" s="58" t="n"/>
      <c r="D130" s="58" t="n"/>
      <c r="E130" s="59">
        <f>IF(N($AL130)&gt;0,INDEX(rIni_ADM,$AL130),"")</f>
        <v/>
      </c>
      <c r="F130" s="59">
        <f>IF(N($AL130)&gt;0,INDEX(rLim_ADM,$AL130),"")</f>
        <v/>
      </c>
      <c r="G130" s="59" t="n"/>
      <c r="H130" s="60" t="n"/>
      <c r="I130" s="60" t="n"/>
      <c r="J130" s="60" t="n"/>
      <c r="K130" s="60" t="n"/>
      <c r="L130" s="60" t="n"/>
      <c r="M130" s="61">
        <f>IF(NOT((COUNTA($B130:$D130)+COUNTA($G130:$L130)+COUNTA($Q130))&gt;0),"",IF(ISNUMBER($G130),1,IF(N($W130)&gt;0,AVERAGEIFS($X$5:$X$1000,$U$5:$U$1000,ROW(),$V$5:$V$1000,"Sub"),$X130)))</f>
        <v/>
      </c>
      <c r="N130" s="56">
        <f>IF($M130="","",IF($M130&gt;=1,"Completado",IF($M130&gt;0,"En curso","Pendiente")))</f>
        <v/>
      </c>
      <c r="O130" s="56">
        <f>IF(NOT((COUNTA($B130:$D130)+COUNTA($G130:$L130)+COUNTA($Q130))&gt;0),"",IF(ISNUMBER($G130),IF(AND(ISNUMBER($AN130),$G130&gt;$AN130),"Cumplida con "&amp;($G130-$AN130)&amp;IF($G130-$AN130=1," día"," días")&amp;" de retraso","Cumplida"),IF(N($M130)&gt;=1,"Cumplida",IF(NOT(ISNUMBER($AN130)),"Sin fecha límite",IF($AN130&lt;FechaRef,"Vencida hace "&amp;(FechaRef-$AN130)&amp;IF(FechaRef-$AN130=1," día"," días"),IF($AN130=FechaRef,"Vence hoy",IF($AN130-FechaRef&lt;=DiasAlerta,"Vence en "&amp;($AN130-FechaRef)&amp;IF($AN130-FechaRef=1," día"," días"),"En plazo")))))))</f>
        <v/>
      </c>
      <c r="P130" s="62" t="n"/>
      <c r="Q130" s="58" t="n"/>
      <c r="R130" s="63">
        <f>IF(NOT((COUNTA($B130:$D130)+COUNTA($G130:$L130)+COUNTA($Q130))&gt;0),"",IF((IF($C130="","Falta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",""))="","✔ OK","⚠ "&amp;LEFT(IF($C130="","Falta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",""),LEN(IF($C130="","Falta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",""))-3)))</f>
        <v/>
      </c>
      <c r="S130" s="64">
        <f>IF(NOT((COUNTA($B130:$D130)+COUNTA($G130:$L130)+COUNTA($Q130))&gt;0),"",IF(AND($V130="Sub",N($U130)&gt;0),IF(ISNUMBER(INDEX($AM$5:$AM$1000,$U130-4)),DATE(YEAR(INDEX($AM$5:$AM$1000,$U130-4)),MONTH(INDEX($AM$5:$AM$1000,$U130-4)),1),IF(ISNUMBER(INDEX($AN$5:$AN$1000,$U130-4)),DATE(YEAR(INDEX($AN$5:$AN$1000,$U130-4)),MONTH(INDEX($AN$5:$AN$1000,$U130-4)),1),MesCiclo)),IF(ISNUMBER($AM130),DATE(YEAR($AM130),MONTH($AM130),1),IF(ISNUMBER($AN130),DATE(YEAR($AN130),MONTH($AN130),1),MesCiclo))))</f>
        <v/>
      </c>
      <c r="T130" s="62">
        <f>IF(OR($S130="",$S130&lt;&gt;MesCiclo),"",COUNTIF($S$5:$S130,MesCiclo))</f>
        <v/>
      </c>
      <c r="U130" s="62">
        <f>IF($V130="","",IF($V130="Macro",ROW(),IFERROR(LOOKUP(2,1/($V$5:$V130="Macro"),ROW($V$5:$V130)),0)))</f>
        <v/>
      </c>
      <c r="V130" s="62">
        <f>IF(NOT((COUNTA($B130:$D130)+COUNTA($G130:$L130)+COUNTA($Q130))&gt;0),"",IF($B130="Subactividad","Sub","Macro"))</f>
        <v/>
      </c>
      <c r="W130" s="62">
        <f>IF($V130="Macro",COUNTIFS($U$5:$U$1000,ROW(),$V$5:$V$1000,"Sub"),"")</f>
        <v/>
      </c>
      <c r="X130" s="62">
        <f>IF($V130="","",IF(ISNUMBER($G130),1,IFERROR(LOOKUP(2,1/($I130:$L130&lt;&gt;""),$I130:$L130),0)))</f>
        <v/>
      </c>
      <c r="Y130" s="62">
        <f>IF($V130="","",IF(AND(ISNUMBER($G130),$G130&lt;=IF($S130=MesCiclo,InicioCiclo,$S130+MOD(2-WEEKDAY($S130),7))+6),1,IF(ISNUMBER($I130),$I130,0)))</f>
        <v/>
      </c>
      <c r="Z130" s="62">
        <f>IF($V130="","",IF(AND(ISNUMBER($G130),$G130&lt;=IF($S130=MesCiclo,InicioCiclo,$S130+MOD(2-WEEKDAY($S130),7))+13),1,IF(ISNUMBER($J130),$J130,$Y130)))</f>
        <v/>
      </c>
      <c r="AA130" s="62">
        <f>IF($V130="","",IF(AND(ISNUMBER($G130),$G130&lt;=IF($S130=MesCiclo,InicioCiclo,$S130+MOD(2-WEEKDAY($S130),7))+20),1,IF(ISNUMBER($K130),$K130,$Z130)))</f>
        <v/>
      </c>
      <c r="AB130" s="62">
        <f>IF($V130="","",IF(AND(ISNUMBER($G130),$G130&lt;=IF($S130=MesCiclo,InicioCiclo,$S130+MOD(2-WEEKDAY($S130),7))+27),1,IF(ISNUMBER($L130),$L130,$AA130)))</f>
        <v/>
      </c>
      <c r="AC130" s="62">
        <f>IF($V130="","",IF(AND(ISNUMBER($G130),$G130&lt;=IF($S130=MesCiclo,InicioCiclo,$S130+MOD(2-WEEKDAY($S130),7))+6),1,IF(N($W130)&gt;0,AVERAGEIFS($Y$5:$Y$1000,$U$5:$U$1000,ROW(),$V$5:$V$1000,"Sub"),$Y130)))</f>
        <v/>
      </c>
      <c r="AD130" s="62">
        <f>IF($V130="","",IF(AND(ISNUMBER($G130),$G130&lt;=IF($S130=MesCiclo,InicioCiclo,$S130+MOD(2-WEEKDAY($S130),7))+13),1,IF(N($W130)&gt;0,AVERAGEIFS($Z$5:$Z$1000,$U$5:$U$1000,ROW(),$V$5:$V$1000,"Sub"),$Z130)))</f>
        <v/>
      </c>
      <c r="AE130" s="62">
        <f>IF($V130="","",IF(AND(ISNUMBER($G130),$G130&lt;=IF($S130=MesCiclo,InicioCiclo,$S130+MOD(2-WEEKDAY($S130),7))+20),1,IF(N($W130)&gt;0,AVERAGEIFS($AA$5:$AA$1000,$U$5:$U$1000,ROW(),$V$5:$V$1000,"Sub"),$AA130)))</f>
        <v/>
      </c>
      <c r="AF130" s="62">
        <f>IF($V130="","",IF(AND(ISNUMBER($G130),$G130&lt;=IF($S130=MesCiclo,InicioCiclo,$S130+MOD(2-WEEKDAY($S130),7))+27),1,IF(N($W130)&gt;0,AVERAGEIFS($AB$5:$AB$1000,$U$5:$U$1000,ROW(),$V$5:$V$1000,"Sub"),$AB130)))</f>
        <v/>
      </c>
      <c r="AG130" s="62">
        <f>IF($V130&lt;&gt;"Macro","",IF(COUNTIFS($S$5:$S$1000,$S130,$V$5:$V$1000,"Macro",$H$5:$H$1000,"&gt;0")=0,1/COUNTIFS($S$5:$S$1000,$S130,$V$5:$V$1000,"Macro"),IF(AND(ISNUMBER($H130),N($H130)&gt;0),$H130,SUMIFS($H$5:$H$1000,$S$5:$S$1000,$S130,$V$5:$V$1000,"Macro")/COUNTIFS($S$5:$S$1000,$S130,$V$5:$V$1000,"Macro",$H$5:$H$1000,"&gt;0"))/(COUNTIFS($S$5:$S$1000,$S130,$V$5:$V$1000,"Macro")*SUMIFS($H$5:$H$1000,$S$5:$S$1000,$S130,$V$5:$V$1000,"Macro")/COUNTIFS($S$5:$S$1000,$S130,$V$5:$V$1000,"Macro",$H$5:$H$1000,"&gt;0"))))</f>
        <v/>
      </c>
      <c r="AH130" s="62" t="n"/>
      <c r="AI130" s="62" t="n"/>
      <c r="AJ130" s="62" t="n"/>
      <c r="AK130" s="62" t="n"/>
      <c r="AL130" s="62">
        <f>IF(LEFT($C130,11)="[Jefatura] ",IFERROR(MATCH("Riesgo Financiero|"&amp;MID($C130,12,500),rDname_ADM,0),0),"")</f>
        <v/>
      </c>
      <c r="AM130" s="62">
        <f>IF(N($AL130)&gt;0,INDEX(rIni_ADM,$AL130),IF(ISNUMBER($E130),$E130,""))</f>
        <v/>
      </c>
      <c r="AN130" s="62">
        <f>IF(N($AL130)&gt;0,INDEX(rLim_ADM,$AL130),IF(ISNUMBER($F130),$F130,""))</f>
        <v/>
      </c>
    </row>
    <row r="131">
      <c r="A131" s="56">
        <f>IF(NOT((COUNTA($B131:$D131)+COUNTA($G131:$L131)+COUNTA($Q131))&gt;0),"",IF($V131="Macro",COUNTIFS($V$5:$V131,"Macro",$S$5:$S131,$S131),IF(N($U131)=0,"?",COUNTIFS(INDEX($V$5:$V$1000,1):INDEX($V$5:$V$1000,$U131-4),"Macro",INDEX($S$5:$S$1000,1):INDEX($S$5:$S$1000,$U131-4),INDEX($S$5:$S$1000,$U131-4))&amp;"."&amp;COUNTIFS($U$5:$U131,$U131,$V$5:$V131,"Sub"))))</f>
        <v/>
      </c>
      <c r="B131" s="57" t="n"/>
      <c r="C131" s="58" t="n"/>
      <c r="D131" s="58" t="n"/>
      <c r="E131" s="59">
        <f>IF(N($AL131)&gt;0,INDEX(rIni_ADM,$AL131),"")</f>
        <v/>
      </c>
      <c r="F131" s="59">
        <f>IF(N($AL131)&gt;0,INDEX(rLim_ADM,$AL131),"")</f>
        <v/>
      </c>
      <c r="G131" s="59" t="n"/>
      <c r="H131" s="60" t="n"/>
      <c r="I131" s="60" t="n"/>
      <c r="J131" s="60" t="n"/>
      <c r="K131" s="60" t="n"/>
      <c r="L131" s="60" t="n"/>
      <c r="M131" s="61">
        <f>IF(NOT((COUNTA($B131:$D131)+COUNTA($G131:$L131)+COUNTA($Q131))&gt;0),"",IF(ISNUMBER($G131),1,IF(N($W131)&gt;0,AVERAGEIFS($X$5:$X$1000,$U$5:$U$1000,ROW(),$V$5:$V$1000,"Sub"),$X131)))</f>
        <v/>
      </c>
      <c r="N131" s="56">
        <f>IF($M131="","",IF($M131&gt;=1,"Completado",IF($M131&gt;0,"En curso","Pendiente")))</f>
        <v/>
      </c>
      <c r="O131" s="56">
        <f>IF(NOT((COUNTA($B131:$D131)+COUNTA($G131:$L131)+COUNTA($Q131))&gt;0),"",IF(ISNUMBER($G131),IF(AND(ISNUMBER($AN131),$G131&gt;$AN131),"Cumplida con "&amp;($G131-$AN131)&amp;IF($G131-$AN131=1," día"," días")&amp;" de retraso","Cumplida"),IF(N($M131)&gt;=1,"Cumplida",IF(NOT(ISNUMBER($AN131)),"Sin fecha límite",IF($AN131&lt;FechaRef,"Vencida hace "&amp;(FechaRef-$AN131)&amp;IF(FechaRef-$AN131=1," día"," días"),IF($AN131=FechaRef,"Vence hoy",IF($AN131-FechaRef&lt;=DiasAlerta,"Vence en "&amp;($AN131-FechaRef)&amp;IF($AN131-FechaRef=1," día"," días"),"En plazo")))))))</f>
        <v/>
      </c>
      <c r="P131" s="62" t="n"/>
      <c r="Q131" s="58" t="n"/>
      <c r="R131" s="63">
        <f>IF(NOT((COUNTA($B131:$D131)+COUNTA($G131:$L131)+COUNTA($Q131))&gt;0),"",IF((IF($C131="","Falta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",""))="","✔ OK","⚠ "&amp;LEFT(IF($C131="","Falta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",""),LEN(IF($C131="","Falta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",""))-3)))</f>
        <v/>
      </c>
      <c r="S131" s="64">
        <f>IF(NOT((COUNTA($B131:$D131)+COUNTA($G131:$L131)+COUNTA($Q131))&gt;0),"",IF(AND($V131="Sub",N($U131)&gt;0),IF(ISNUMBER(INDEX($AM$5:$AM$1000,$U131-4)),DATE(YEAR(INDEX($AM$5:$AM$1000,$U131-4)),MONTH(INDEX($AM$5:$AM$1000,$U131-4)),1),IF(ISNUMBER(INDEX($AN$5:$AN$1000,$U131-4)),DATE(YEAR(INDEX($AN$5:$AN$1000,$U131-4)),MONTH(INDEX($AN$5:$AN$1000,$U131-4)),1),MesCiclo)),IF(ISNUMBER($AM131),DATE(YEAR($AM131),MONTH($AM131),1),IF(ISNUMBER($AN131),DATE(YEAR($AN131),MONTH($AN131),1),MesCiclo))))</f>
        <v/>
      </c>
      <c r="T131" s="62">
        <f>IF(OR($S131="",$S131&lt;&gt;MesCiclo),"",COUNTIF($S$5:$S131,MesCiclo))</f>
        <v/>
      </c>
      <c r="U131" s="62">
        <f>IF($V131="","",IF($V131="Macro",ROW(),IFERROR(LOOKUP(2,1/($V$5:$V131="Macro"),ROW($V$5:$V131)),0)))</f>
        <v/>
      </c>
      <c r="V131" s="62">
        <f>IF(NOT((COUNTA($B131:$D131)+COUNTA($G131:$L131)+COUNTA($Q131))&gt;0),"",IF($B131="Subactividad","Sub","Macro"))</f>
        <v/>
      </c>
      <c r="W131" s="62">
        <f>IF($V131="Macro",COUNTIFS($U$5:$U$1000,ROW(),$V$5:$V$1000,"Sub"),"")</f>
        <v/>
      </c>
      <c r="X131" s="62">
        <f>IF($V131="","",IF(ISNUMBER($G131),1,IFERROR(LOOKUP(2,1/($I131:$L131&lt;&gt;""),$I131:$L131),0)))</f>
        <v/>
      </c>
      <c r="Y131" s="62">
        <f>IF($V131="","",IF(AND(ISNUMBER($G131),$G131&lt;=IF($S131=MesCiclo,InicioCiclo,$S131+MOD(2-WEEKDAY($S131),7))+6),1,IF(ISNUMBER($I131),$I131,0)))</f>
        <v/>
      </c>
      <c r="Z131" s="62">
        <f>IF($V131="","",IF(AND(ISNUMBER($G131),$G131&lt;=IF($S131=MesCiclo,InicioCiclo,$S131+MOD(2-WEEKDAY($S131),7))+13),1,IF(ISNUMBER($J131),$J131,$Y131)))</f>
        <v/>
      </c>
      <c r="AA131" s="62">
        <f>IF($V131="","",IF(AND(ISNUMBER($G131),$G131&lt;=IF($S131=MesCiclo,InicioCiclo,$S131+MOD(2-WEEKDAY($S131),7))+20),1,IF(ISNUMBER($K131),$K131,$Z131)))</f>
        <v/>
      </c>
      <c r="AB131" s="62">
        <f>IF($V131="","",IF(AND(ISNUMBER($G131),$G131&lt;=IF($S131=MesCiclo,InicioCiclo,$S131+MOD(2-WEEKDAY($S131),7))+27),1,IF(ISNUMBER($L131),$L131,$AA131)))</f>
        <v/>
      </c>
      <c r="AC131" s="62">
        <f>IF($V131="","",IF(AND(ISNUMBER($G131),$G131&lt;=IF($S131=MesCiclo,InicioCiclo,$S131+MOD(2-WEEKDAY($S131),7))+6),1,IF(N($W131)&gt;0,AVERAGEIFS($Y$5:$Y$1000,$U$5:$U$1000,ROW(),$V$5:$V$1000,"Sub"),$Y131)))</f>
        <v/>
      </c>
      <c r="AD131" s="62">
        <f>IF($V131="","",IF(AND(ISNUMBER($G131),$G131&lt;=IF($S131=MesCiclo,InicioCiclo,$S131+MOD(2-WEEKDAY($S131),7))+13),1,IF(N($W131)&gt;0,AVERAGEIFS($Z$5:$Z$1000,$U$5:$U$1000,ROW(),$V$5:$V$1000,"Sub"),$Z131)))</f>
        <v/>
      </c>
      <c r="AE131" s="62">
        <f>IF($V131="","",IF(AND(ISNUMBER($G131),$G131&lt;=IF($S131=MesCiclo,InicioCiclo,$S131+MOD(2-WEEKDAY($S131),7))+20),1,IF(N($W131)&gt;0,AVERAGEIFS($AA$5:$AA$1000,$U$5:$U$1000,ROW(),$V$5:$V$1000,"Sub"),$AA131)))</f>
        <v/>
      </c>
      <c r="AF131" s="62">
        <f>IF($V131="","",IF(AND(ISNUMBER($G131),$G131&lt;=IF($S131=MesCiclo,InicioCiclo,$S131+MOD(2-WEEKDAY($S131),7))+27),1,IF(N($W131)&gt;0,AVERAGEIFS($AB$5:$AB$1000,$U$5:$U$1000,ROW(),$V$5:$V$1000,"Sub"),$AB131)))</f>
        <v/>
      </c>
      <c r="AG131" s="62">
        <f>IF($V131&lt;&gt;"Macro","",IF(COUNTIFS($S$5:$S$1000,$S131,$V$5:$V$1000,"Macro",$H$5:$H$1000,"&gt;0")=0,1/COUNTIFS($S$5:$S$1000,$S131,$V$5:$V$1000,"Macro"),IF(AND(ISNUMBER($H131),N($H131)&gt;0),$H131,SUMIFS($H$5:$H$1000,$S$5:$S$1000,$S131,$V$5:$V$1000,"Macro")/COUNTIFS($S$5:$S$1000,$S131,$V$5:$V$1000,"Macro",$H$5:$H$1000,"&gt;0"))/(COUNTIFS($S$5:$S$1000,$S131,$V$5:$V$1000,"Macro")*SUMIFS($H$5:$H$1000,$S$5:$S$1000,$S131,$V$5:$V$1000,"Macro")/COUNTIFS($S$5:$S$1000,$S131,$V$5:$V$1000,"Macro",$H$5:$H$1000,"&gt;0"))))</f>
        <v/>
      </c>
      <c r="AH131" s="62" t="n"/>
      <c r="AI131" s="62" t="n"/>
      <c r="AJ131" s="62" t="n"/>
      <c r="AK131" s="62" t="n"/>
      <c r="AL131" s="62">
        <f>IF(LEFT($C131,11)="[Jefatura] ",IFERROR(MATCH("Riesgo Financiero|"&amp;MID($C131,12,500),rDname_ADM,0),0),"")</f>
        <v/>
      </c>
      <c r="AM131" s="62">
        <f>IF(N($AL131)&gt;0,INDEX(rIni_ADM,$AL131),IF(ISNUMBER($E131),$E131,""))</f>
        <v/>
      </c>
      <c r="AN131" s="62">
        <f>IF(N($AL131)&gt;0,INDEX(rLim_ADM,$AL131),IF(ISNUMBER($F131),$F131,""))</f>
        <v/>
      </c>
    </row>
    <row r="132">
      <c r="A132" s="56">
        <f>IF(NOT((COUNTA($B132:$D132)+COUNTA($G132:$L132)+COUNTA($Q132))&gt;0),"",IF($V132="Macro",COUNTIFS($V$5:$V132,"Macro",$S$5:$S132,$S132),IF(N($U132)=0,"?",COUNTIFS(INDEX($V$5:$V$1000,1):INDEX($V$5:$V$1000,$U132-4),"Macro",INDEX($S$5:$S$1000,1):INDEX($S$5:$S$1000,$U132-4),INDEX($S$5:$S$1000,$U132-4))&amp;"."&amp;COUNTIFS($U$5:$U132,$U132,$V$5:$V132,"Sub"))))</f>
        <v/>
      </c>
      <c r="B132" s="57" t="n"/>
      <c r="C132" s="58" t="n"/>
      <c r="D132" s="58" t="n"/>
      <c r="E132" s="59">
        <f>IF(N($AL132)&gt;0,INDEX(rIni_ADM,$AL132),"")</f>
        <v/>
      </c>
      <c r="F132" s="59">
        <f>IF(N($AL132)&gt;0,INDEX(rLim_ADM,$AL132),"")</f>
        <v/>
      </c>
      <c r="G132" s="59" t="n"/>
      <c r="H132" s="60" t="n"/>
      <c r="I132" s="60" t="n"/>
      <c r="J132" s="60" t="n"/>
      <c r="K132" s="60" t="n"/>
      <c r="L132" s="60" t="n"/>
      <c r="M132" s="61">
        <f>IF(NOT((COUNTA($B132:$D132)+COUNTA($G132:$L132)+COUNTA($Q132))&gt;0),"",IF(ISNUMBER($G132),1,IF(N($W132)&gt;0,AVERAGEIFS($X$5:$X$1000,$U$5:$U$1000,ROW(),$V$5:$V$1000,"Sub"),$X132)))</f>
        <v/>
      </c>
      <c r="N132" s="56">
        <f>IF($M132="","",IF($M132&gt;=1,"Completado",IF($M132&gt;0,"En curso","Pendiente")))</f>
        <v/>
      </c>
      <c r="O132" s="56">
        <f>IF(NOT((COUNTA($B132:$D132)+COUNTA($G132:$L132)+COUNTA($Q132))&gt;0),"",IF(ISNUMBER($G132),IF(AND(ISNUMBER($AN132),$G132&gt;$AN132),"Cumplida con "&amp;($G132-$AN132)&amp;IF($G132-$AN132=1," día"," días")&amp;" de retraso","Cumplida"),IF(N($M132)&gt;=1,"Cumplida",IF(NOT(ISNUMBER($AN132)),"Sin fecha límite",IF($AN132&lt;FechaRef,"Vencida hace "&amp;(FechaRef-$AN132)&amp;IF(FechaRef-$AN132=1," día"," días"),IF($AN132=FechaRef,"Vence hoy",IF($AN132-FechaRef&lt;=DiasAlerta,"Vence en "&amp;($AN132-FechaRef)&amp;IF($AN132-FechaRef=1," día"," días"),"En plazo")))))))</f>
        <v/>
      </c>
      <c r="P132" s="62" t="n"/>
      <c r="Q132" s="58" t="n"/>
      <c r="R132" s="63">
        <f>IF(NOT((COUNTA($B132:$D132)+COUNTA($G132:$L132)+COUNTA($Q132))&gt;0),"",IF((IF($C132="","Falta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",""))="","✔ OK","⚠ "&amp;LEFT(IF($C132="","Falta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",""),LEN(IF($C132="","Falta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",""))-3)))</f>
        <v/>
      </c>
      <c r="S132" s="64">
        <f>IF(NOT((COUNTA($B132:$D132)+COUNTA($G132:$L132)+COUNTA($Q132))&gt;0),"",IF(AND($V132="Sub",N($U132)&gt;0),IF(ISNUMBER(INDEX($AM$5:$AM$1000,$U132-4)),DATE(YEAR(INDEX($AM$5:$AM$1000,$U132-4)),MONTH(INDEX($AM$5:$AM$1000,$U132-4)),1),IF(ISNUMBER(INDEX($AN$5:$AN$1000,$U132-4)),DATE(YEAR(INDEX($AN$5:$AN$1000,$U132-4)),MONTH(INDEX($AN$5:$AN$1000,$U132-4)),1),MesCiclo)),IF(ISNUMBER($AM132),DATE(YEAR($AM132),MONTH($AM132),1),IF(ISNUMBER($AN132),DATE(YEAR($AN132),MONTH($AN132),1),MesCiclo))))</f>
        <v/>
      </c>
      <c r="T132" s="62">
        <f>IF(OR($S132="",$S132&lt;&gt;MesCiclo),"",COUNTIF($S$5:$S132,MesCiclo))</f>
        <v/>
      </c>
      <c r="U132" s="62">
        <f>IF($V132="","",IF($V132="Macro",ROW(),IFERROR(LOOKUP(2,1/($V$5:$V132="Macro"),ROW($V$5:$V132)),0)))</f>
        <v/>
      </c>
      <c r="V132" s="62">
        <f>IF(NOT((COUNTA($B132:$D132)+COUNTA($G132:$L132)+COUNTA($Q132))&gt;0),"",IF($B132="Subactividad","Sub","Macro"))</f>
        <v/>
      </c>
      <c r="W132" s="62">
        <f>IF($V132="Macro",COUNTIFS($U$5:$U$1000,ROW(),$V$5:$V$1000,"Sub"),"")</f>
        <v/>
      </c>
      <c r="X132" s="62">
        <f>IF($V132="","",IF(ISNUMBER($G132),1,IFERROR(LOOKUP(2,1/($I132:$L132&lt;&gt;""),$I132:$L132),0)))</f>
        <v/>
      </c>
      <c r="Y132" s="62">
        <f>IF($V132="","",IF(AND(ISNUMBER($G132),$G132&lt;=IF($S132=MesCiclo,InicioCiclo,$S132+MOD(2-WEEKDAY($S132),7))+6),1,IF(ISNUMBER($I132),$I132,0)))</f>
        <v/>
      </c>
      <c r="Z132" s="62">
        <f>IF($V132="","",IF(AND(ISNUMBER($G132),$G132&lt;=IF($S132=MesCiclo,InicioCiclo,$S132+MOD(2-WEEKDAY($S132),7))+13),1,IF(ISNUMBER($J132),$J132,$Y132)))</f>
        <v/>
      </c>
      <c r="AA132" s="62">
        <f>IF($V132="","",IF(AND(ISNUMBER($G132),$G132&lt;=IF($S132=MesCiclo,InicioCiclo,$S132+MOD(2-WEEKDAY($S132),7))+20),1,IF(ISNUMBER($K132),$K132,$Z132)))</f>
        <v/>
      </c>
      <c r="AB132" s="62">
        <f>IF($V132="","",IF(AND(ISNUMBER($G132),$G132&lt;=IF($S132=MesCiclo,InicioCiclo,$S132+MOD(2-WEEKDAY($S132),7))+27),1,IF(ISNUMBER($L132),$L132,$AA132)))</f>
        <v/>
      </c>
      <c r="AC132" s="62">
        <f>IF($V132="","",IF(AND(ISNUMBER($G132),$G132&lt;=IF($S132=MesCiclo,InicioCiclo,$S132+MOD(2-WEEKDAY($S132),7))+6),1,IF(N($W132)&gt;0,AVERAGEIFS($Y$5:$Y$1000,$U$5:$U$1000,ROW(),$V$5:$V$1000,"Sub"),$Y132)))</f>
        <v/>
      </c>
      <c r="AD132" s="62">
        <f>IF($V132="","",IF(AND(ISNUMBER($G132),$G132&lt;=IF($S132=MesCiclo,InicioCiclo,$S132+MOD(2-WEEKDAY($S132),7))+13),1,IF(N($W132)&gt;0,AVERAGEIFS($Z$5:$Z$1000,$U$5:$U$1000,ROW(),$V$5:$V$1000,"Sub"),$Z132)))</f>
        <v/>
      </c>
      <c r="AE132" s="62">
        <f>IF($V132="","",IF(AND(ISNUMBER($G132),$G132&lt;=IF($S132=MesCiclo,InicioCiclo,$S132+MOD(2-WEEKDAY($S132),7))+20),1,IF(N($W132)&gt;0,AVERAGEIFS($AA$5:$AA$1000,$U$5:$U$1000,ROW(),$V$5:$V$1000,"Sub"),$AA132)))</f>
        <v/>
      </c>
      <c r="AF132" s="62">
        <f>IF($V132="","",IF(AND(ISNUMBER($G132),$G132&lt;=IF($S132=MesCiclo,InicioCiclo,$S132+MOD(2-WEEKDAY($S132),7))+27),1,IF(N($W132)&gt;0,AVERAGEIFS($AB$5:$AB$1000,$U$5:$U$1000,ROW(),$V$5:$V$1000,"Sub"),$AB132)))</f>
        <v/>
      </c>
      <c r="AG132" s="62">
        <f>IF($V132&lt;&gt;"Macro","",IF(COUNTIFS($S$5:$S$1000,$S132,$V$5:$V$1000,"Macro",$H$5:$H$1000,"&gt;0")=0,1/COUNTIFS($S$5:$S$1000,$S132,$V$5:$V$1000,"Macro"),IF(AND(ISNUMBER($H132),N($H132)&gt;0),$H132,SUMIFS($H$5:$H$1000,$S$5:$S$1000,$S132,$V$5:$V$1000,"Macro")/COUNTIFS($S$5:$S$1000,$S132,$V$5:$V$1000,"Macro",$H$5:$H$1000,"&gt;0"))/(COUNTIFS($S$5:$S$1000,$S132,$V$5:$V$1000,"Macro")*SUMIFS($H$5:$H$1000,$S$5:$S$1000,$S132,$V$5:$V$1000,"Macro")/COUNTIFS($S$5:$S$1000,$S132,$V$5:$V$1000,"Macro",$H$5:$H$1000,"&gt;0"))))</f>
        <v/>
      </c>
      <c r="AH132" s="62" t="n"/>
      <c r="AI132" s="62" t="n"/>
      <c r="AJ132" s="62" t="n"/>
      <c r="AK132" s="62" t="n"/>
      <c r="AL132" s="62">
        <f>IF(LEFT($C132,11)="[Jefatura] ",IFERROR(MATCH("Riesgo Financiero|"&amp;MID($C132,12,500),rDname_ADM,0),0),"")</f>
        <v/>
      </c>
      <c r="AM132" s="62">
        <f>IF(N($AL132)&gt;0,INDEX(rIni_ADM,$AL132),IF(ISNUMBER($E132),$E132,""))</f>
        <v/>
      </c>
      <c r="AN132" s="62">
        <f>IF(N($AL132)&gt;0,INDEX(rLim_ADM,$AL132),IF(ISNUMBER($F132),$F132,""))</f>
        <v/>
      </c>
    </row>
    <row r="133">
      <c r="A133" s="56">
        <f>IF(NOT((COUNTA($B133:$D133)+COUNTA($G133:$L133)+COUNTA($Q133))&gt;0),"",IF($V133="Macro",COUNTIFS($V$5:$V133,"Macro",$S$5:$S133,$S133),IF(N($U133)=0,"?",COUNTIFS(INDEX($V$5:$V$1000,1):INDEX($V$5:$V$1000,$U133-4),"Macro",INDEX($S$5:$S$1000,1):INDEX($S$5:$S$1000,$U133-4),INDEX($S$5:$S$1000,$U133-4))&amp;"."&amp;COUNTIFS($U$5:$U133,$U133,$V$5:$V133,"Sub"))))</f>
        <v/>
      </c>
      <c r="B133" s="57" t="n"/>
      <c r="C133" s="58" t="n"/>
      <c r="D133" s="58" t="n"/>
      <c r="E133" s="59">
        <f>IF(N($AL133)&gt;0,INDEX(rIni_ADM,$AL133),"")</f>
        <v/>
      </c>
      <c r="F133" s="59">
        <f>IF(N($AL133)&gt;0,INDEX(rLim_ADM,$AL133),"")</f>
        <v/>
      </c>
      <c r="G133" s="59" t="n"/>
      <c r="H133" s="60" t="n"/>
      <c r="I133" s="60" t="n"/>
      <c r="J133" s="60" t="n"/>
      <c r="K133" s="60" t="n"/>
      <c r="L133" s="60" t="n"/>
      <c r="M133" s="61">
        <f>IF(NOT((COUNTA($B133:$D133)+COUNTA($G133:$L133)+COUNTA($Q133))&gt;0),"",IF(ISNUMBER($G133),1,IF(N($W133)&gt;0,AVERAGEIFS($X$5:$X$1000,$U$5:$U$1000,ROW(),$V$5:$V$1000,"Sub"),$X133)))</f>
        <v/>
      </c>
      <c r="N133" s="56">
        <f>IF($M133="","",IF($M133&gt;=1,"Completado",IF($M133&gt;0,"En curso","Pendiente")))</f>
        <v/>
      </c>
      <c r="O133" s="56">
        <f>IF(NOT((COUNTA($B133:$D133)+COUNTA($G133:$L133)+COUNTA($Q133))&gt;0),"",IF(ISNUMBER($G133),IF(AND(ISNUMBER($AN133),$G133&gt;$AN133),"Cumplida con "&amp;($G133-$AN133)&amp;IF($G133-$AN133=1," día"," días")&amp;" de retraso","Cumplida"),IF(N($M133)&gt;=1,"Cumplida",IF(NOT(ISNUMBER($AN133)),"Sin fecha límite",IF($AN133&lt;FechaRef,"Vencida hace "&amp;(FechaRef-$AN133)&amp;IF(FechaRef-$AN133=1," día"," días"),IF($AN133=FechaRef,"Vence hoy",IF($AN133-FechaRef&lt;=DiasAlerta,"Vence en "&amp;($AN133-FechaRef)&amp;IF($AN133-FechaRef=1," día"," días"),"En plazo")))))))</f>
        <v/>
      </c>
      <c r="P133" s="62" t="n"/>
      <c r="Q133" s="58" t="n"/>
      <c r="R133" s="63">
        <f>IF(NOT((COUNTA($B133:$D133)+COUNTA($G133:$L133)+COUNTA($Q133))&gt;0),"",IF((IF($C133="","Falta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",""))="","✔ OK","⚠ "&amp;LEFT(IF($C133="","Falta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",""),LEN(IF($C133="","Falta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",""))-3)))</f>
        <v/>
      </c>
      <c r="S133" s="64">
        <f>IF(NOT((COUNTA($B133:$D133)+COUNTA($G133:$L133)+COUNTA($Q133))&gt;0),"",IF(AND($V133="Sub",N($U133)&gt;0),IF(ISNUMBER(INDEX($AM$5:$AM$1000,$U133-4)),DATE(YEAR(INDEX($AM$5:$AM$1000,$U133-4)),MONTH(INDEX($AM$5:$AM$1000,$U133-4)),1),IF(ISNUMBER(INDEX($AN$5:$AN$1000,$U133-4)),DATE(YEAR(INDEX($AN$5:$AN$1000,$U133-4)),MONTH(INDEX($AN$5:$AN$1000,$U133-4)),1),MesCiclo)),IF(ISNUMBER($AM133),DATE(YEAR($AM133),MONTH($AM133),1),IF(ISNUMBER($AN133),DATE(YEAR($AN133),MONTH($AN133),1),MesCiclo))))</f>
        <v/>
      </c>
      <c r="T133" s="62">
        <f>IF(OR($S133="",$S133&lt;&gt;MesCiclo),"",COUNTIF($S$5:$S133,MesCiclo))</f>
        <v/>
      </c>
      <c r="U133" s="62">
        <f>IF($V133="","",IF($V133="Macro",ROW(),IFERROR(LOOKUP(2,1/($V$5:$V133="Macro"),ROW($V$5:$V133)),0)))</f>
        <v/>
      </c>
      <c r="V133" s="62">
        <f>IF(NOT((COUNTA($B133:$D133)+COUNTA($G133:$L133)+COUNTA($Q133))&gt;0),"",IF($B133="Subactividad","Sub","Macro"))</f>
        <v/>
      </c>
      <c r="W133" s="62">
        <f>IF($V133="Macro",COUNTIFS($U$5:$U$1000,ROW(),$V$5:$V$1000,"Sub"),"")</f>
        <v/>
      </c>
      <c r="X133" s="62">
        <f>IF($V133="","",IF(ISNUMBER($G133),1,IFERROR(LOOKUP(2,1/($I133:$L133&lt;&gt;""),$I133:$L133),0)))</f>
        <v/>
      </c>
      <c r="Y133" s="62">
        <f>IF($V133="","",IF(AND(ISNUMBER($G133),$G133&lt;=IF($S133=MesCiclo,InicioCiclo,$S133+MOD(2-WEEKDAY($S133),7))+6),1,IF(ISNUMBER($I133),$I133,0)))</f>
        <v/>
      </c>
      <c r="Z133" s="62">
        <f>IF($V133="","",IF(AND(ISNUMBER($G133),$G133&lt;=IF($S133=MesCiclo,InicioCiclo,$S133+MOD(2-WEEKDAY($S133),7))+13),1,IF(ISNUMBER($J133),$J133,$Y133)))</f>
        <v/>
      </c>
      <c r="AA133" s="62">
        <f>IF($V133="","",IF(AND(ISNUMBER($G133),$G133&lt;=IF($S133=MesCiclo,InicioCiclo,$S133+MOD(2-WEEKDAY($S133),7))+20),1,IF(ISNUMBER($K133),$K133,$Z133)))</f>
        <v/>
      </c>
      <c r="AB133" s="62">
        <f>IF($V133="","",IF(AND(ISNUMBER($G133),$G133&lt;=IF($S133=MesCiclo,InicioCiclo,$S133+MOD(2-WEEKDAY($S133),7))+27),1,IF(ISNUMBER($L133),$L133,$AA133)))</f>
        <v/>
      </c>
      <c r="AC133" s="62">
        <f>IF($V133="","",IF(AND(ISNUMBER($G133),$G133&lt;=IF($S133=MesCiclo,InicioCiclo,$S133+MOD(2-WEEKDAY($S133),7))+6),1,IF(N($W133)&gt;0,AVERAGEIFS($Y$5:$Y$1000,$U$5:$U$1000,ROW(),$V$5:$V$1000,"Sub"),$Y133)))</f>
        <v/>
      </c>
      <c r="AD133" s="62">
        <f>IF($V133="","",IF(AND(ISNUMBER($G133),$G133&lt;=IF($S133=MesCiclo,InicioCiclo,$S133+MOD(2-WEEKDAY($S133),7))+13),1,IF(N($W133)&gt;0,AVERAGEIFS($Z$5:$Z$1000,$U$5:$U$1000,ROW(),$V$5:$V$1000,"Sub"),$Z133)))</f>
        <v/>
      </c>
      <c r="AE133" s="62">
        <f>IF($V133="","",IF(AND(ISNUMBER($G133),$G133&lt;=IF($S133=MesCiclo,InicioCiclo,$S133+MOD(2-WEEKDAY($S133),7))+20),1,IF(N($W133)&gt;0,AVERAGEIFS($AA$5:$AA$1000,$U$5:$U$1000,ROW(),$V$5:$V$1000,"Sub"),$AA133)))</f>
        <v/>
      </c>
      <c r="AF133" s="62">
        <f>IF($V133="","",IF(AND(ISNUMBER($G133),$G133&lt;=IF($S133=MesCiclo,InicioCiclo,$S133+MOD(2-WEEKDAY($S133),7))+27),1,IF(N($W133)&gt;0,AVERAGEIFS($AB$5:$AB$1000,$U$5:$U$1000,ROW(),$V$5:$V$1000,"Sub"),$AB133)))</f>
        <v/>
      </c>
      <c r="AG133" s="62">
        <f>IF($V133&lt;&gt;"Macro","",IF(COUNTIFS($S$5:$S$1000,$S133,$V$5:$V$1000,"Macro",$H$5:$H$1000,"&gt;0")=0,1/COUNTIFS($S$5:$S$1000,$S133,$V$5:$V$1000,"Macro"),IF(AND(ISNUMBER($H133),N($H133)&gt;0),$H133,SUMIFS($H$5:$H$1000,$S$5:$S$1000,$S133,$V$5:$V$1000,"Macro")/COUNTIFS($S$5:$S$1000,$S133,$V$5:$V$1000,"Macro",$H$5:$H$1000,"&gt;0"))/(COUNTIFS($S$5:$S$1000,$S133,$V$5:$V$1000,"Macro")*SUMIFS($H$5:$H$1000,$S$5:$S$1000,$S133,$V$5:$V$1000,"Macro")/COUNTIFS($S$5:$S$1000,$S133,$V$5:$V$1000,"Macro",$H$5:$H$1000,"&gt;0"))))</f>
        <v/>
      </c>
      <c r="AH133" s="62" t="n"/>
      <c r="AI133" s="62" t="n"/>
      <c r="AJ133" s="62" t="n"/>
      <c r="AK133" s="62" t="n"/>
      <c r="AL133" s="62">
        <f>IF(LEFT($C133,11)="[Jefatura] ",IFERROR(MATCH("Riesgo Financiero|"&amp;MID($C133,12,500),rDname_ADM,0),0),"")</f>
        <v/>
      </c>
      <c r="AM133" s="62">
        <f>IF(N($AL133)&gt;0,INDEX(rIni_ADM,$AL133),IF(ISNUMBER($E133),$E133,""))</f>
        <v/>
      </c>
      <c r="AN133" s="62">
        <f>IF(N($AL133)&gt;0,INDEX(rLim_ADM,$AL133),IF(ISNUMBER($F133),$F133,""))</f>
        <v/>
      </c>
    </row>
    <row r="134">
      <c r="A134" s="56">
        <f>IF(NOT((COUNTA($B134:$D134)+COUNTA($G134:$L134)+COUNTA($Q134))&gt;0),"",IF($V134="Macro",COUNTIFS($V$5:$V134,"Macro",$S$5:$S134,$S134),IF(N($U134)=0,"?",COUNTIFS(INDEX($V$5:$V$1000,1):INDEX($V$5:$V$1000,$U134-4),"Macro",INDEX($S$5:$S$1000,1):INDEX($S$5:$S$1000,$U134-4),INDEX($S$5:$S$1000,$U134-4))&amp;"."&amp;COUNTIFS($U$5:$U134,$U134,$V$5:$V134,"Sub"))))</f>
        <v/>
      </c>
      <c r="B134" s="57" t="n"/>
      <c r="C134" s="58" t="n"/>
      <c r="D134" s="58" t="n"/>
      <c r="E134" s="59">
        <f>IF(N($AL134)&gt;0,INDEX(rIni_ADM,$AL134),"")</f>
        <v/>
      </c>
      <c r="F134" s="59">
        <f>IF(N($AL134)&gt;0,INDEX(rLim_ADM,$AL134),"")</f>
        <v/>
      </c>
      <c r="G134" s="59" t="n"/>
      <c r="H134" s="60" t="n"/>
      <c r="I134" s="60" t="n"/>
      <c r="J134" s="60" t="n"/>
      <c r="K134" s="60" t="n"/>
      <c r="L134" s="60" t="n"/>
      <c r="M134" s="61">
        <f>IF(NOT((COUNTA($B134:$D134)+COUNTA($G134:$L134)+COUNTA($Q134))&gt;0),"",IF(ISNUMBER($G134),1,IF(N($W134)&gt;0,AVERAGEIFS($X$5:$X$1000,$U$5:$U$1000,ROW(),$V$5:$V$1000,"Sub"),$X134)))</f>
        <v/>
      </c>
      <c r="N134" s="56">
        <f>IF($M134="","",IF($M134&gt;=1,"Completado",IF($M134&gt;0,"En curso","Pendiente")))</f>
        <v/>
      </c>
      <c r="O134" s="56">
        <f>IF(NOT((COUNTA($B134:$D134)+COUNTA($G134:$L134)+COUNTA($Q134))&gt;0),"",IF(ISNUMBER($G134),IF(AND(ISNUMBER($AN134),$G134&gt;$AN134),"Cumplida con "&amp;($G134-$AN134)&amp;IF($G134-$AN134=1," día"," días")&amp;" de retraso","Cumplida"),IF(N($M134)&gt;=1,"Cumplida",IF(NOT(ISNUMBER($AN134)),"Sin fecha límite",IF($AN134&lt;FechaRef,"Vencida hace "&amp;(FechaRef-$AN134)&amp;IF(FechaRef-$AN134=1," día"," días"),IF($AN134=FechaRef,"Vence hoy",IF($AN134-FechaRef&lt;=DiasAlerta,"Vence en "&amp;($AN134-FechaRef)&amp;IF($AN134-FechaRef=1," día"," días"),"En plazo")))))))</f>
        <v/>
      </c>
      <c r="P134" s="62" t="n"/>
      <c r="Q134" s="58" t="n"/>
      <c r="R134" s="63">
        <f>IF(NOT((COUNTA($B134:$D134)+COUNTA($G134:$L134)+COUNTA($Q134))&gt;0),"",IF((IF($C134="","Falta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",""))="","✔ OK","⚠ "&amp;LEFT(IF($C134="","Falta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",""),LEN(IF($C134="","Falta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",""))-3)))</f>
        <v/>
      </c>
      <c r="S134" s="64">
        <f>IF(NOT((COUNTA($B134:$D134)+COUNTA($G134:$L134)+COUNTA($Q134))&gt;0),"",IF(AND($V134="Sub",N($U134)&gt;0),IF(ISNUMBER(INDEX($AM$5:$AM$1000,$U134-4)),DATE(YEAR(INDEX($AM$5:$AM$1000,$U134-4)),MONTH(INDEX($AM$5:$AM$1000,$U134-4)),1),IF(ISNUMBER(INDEX($AN$5:$AN$1000,$U134-4)),DATE(YEAR(INDEX($AN$5:$AN$1000,$U134-4)),MONTH(INDEX($AN$5:$AN$1000,$U134-4)),1),MesCiclo)),IF(ISNUMBER($AM134),DATE(YEAR($AM134),MONTH($AM134),1),IF(ISNUMBER($AN134),DATE(YEAR($AN134),MONTH($AN134),1),MesCiclo))))</f>
        <v/>
      </c>
      <c r="T134" s="62">
        <f>IF(OR($S134="",$S134&lt;&gt;MesCiclo),"",COUNTIF($S$5:$S134,MesCiclo))</f>
        <v/>
      </c>
      <c r="U134" s="62">
        <f>IF($V134="","",IF($V134="Macro",ROW(),IFERROR(LOOKUP(2,1/($V$5:$V134="Macro"),ROW($V$5:$V134)),0)))</f>
        <v/>
      </c>
      <c r="V134" s="62">
        <f>IF(NOT((COUNTA($B134:$D134)+COUNTA($G134:$L134)+COUNTA($Q134))&gt;0),"",IF($B134="Subactividad","Sub","Macro"))</f>
        <v/>
      </c>
      <c r="W134" s="62">
        <f>IF($V134="Macro",COUNTIFS($U$5:$U$1000,ROW(),$V$5:$V$1000,"Sub"),"")</f>
        <v/>
      </c>
      <c r="X134" s="62">
        <f>IF($V134="","",IF(ISNUMBER($G134),1,IFERROR(LOOKUP(2,1/($I134:$L134&lt;&gt;""),$I134:$L134),0)))</f>
        <v/>
      </c>
      <c r="Y134" s="62">
        <f>IF($V134="","",IF(AND(ISNUMBER($G134),$G134&lt;=IF($S134=MesCiclo,InicioCiclo,$S134+MOD(2-WEEKDAY($S134),7))+6),1,IF(ISNUMBER($I134),$I134,0)))</f>
        <v/>
      </c>
      <c r="Z134" s="62">
        <f>IF($V134="","",IF(AND(ISNUMBER($G134),$G134&lt;=IF($S134=MesCiclo,InicioCiclo,$S134+MOD(2-WEEKDAY($S134),7))+13),1,IF(ISNUMBER($J134),$J134,$Y134)))</f>
        <v/>
      </c>
      <c r="AA134" s="62">
        <f>IF($V134="","",IF(AND(ISNUMBER($G134),$G134&lt;=IF($S134=MesCiclo,InicioCiclo,$S134+MOD(2-WEEKDAY($S134),7))+20),1,IF(ISNUMBER($K134),$K134,$Z134)))</f>
        <v/>
      </c>
      <c r="AB134" s="62">
        <f>IF($V134="","",IF(AND(ISNUMBER($G134),$G134&lt;=IF($S134=MesCiclo,InicioCiclo,$S134+MOD(2-WEEKDAY($S134),7))+27),1,IF(ISNUMBER($L134),$L134,$AA134)))</f>
        <v/>
      </c>
      <c r="AC134" s="62">
        <f>IF($V134="","",IF(AND(ISNUMBER($G134),$G134&lt;=IF($S134=MesCiclo,InicioCiclo,$S134+MOD(2-WEEKDAY($S134),7))+6),1,IF(N($W134)&gt;0,AVERAGEIFS($Y$5:$Y$1000,$U$5:$U$1000,ROW(),$V$5:$V$1000,"Sub"),$Y134)))</f>
        <v/>
      </c>
      <c r="AD134" s="62">
        <f>IF($V134="","",IF(AND(ISNUMBER($G134),$G134&lt;=IF($S134=MesCiclo,InicioCiclo,$S134+MOD(2-WEEKDAY($S134),7))+13),1,IF(N($W134)&gt;0,AVERAGEIFS($Z$5:$Z$1000,$U$5:$U$1000,ROW(),$V$5:$V$1000,"Sub"),$Z134)))</f>
        <v/>
      </c>
      <c r="AE134" s="62">
        <f>IF($V134="","",IF(AND(ISNUMBER($G134),$G134&lt;=IF($S134=MesCiclo,InicioCiclo,$S134+MOD(2-WEEKDAY($S134),7))+20),1,IF(N($W134)&gt;0,AVERAGEIFS($AA$5:$AA$1000,$U$5:$U$1000,ROW(),$V$5:$V$1000,"Sub"),$AA134)))</f>
        <v/>
      </c>
      <c r="AF134" s="62">
        <f>IF($V134="","",IF(AND(ISNUMBER($G134),$G134&lt;=IF($S134=MesCiclo,InicioCiclo,$S134+MOD(2-WEEKDAY($S134),7))+27),1,IF(N($W134)&gt;0,AVERAGEIFS($AB$5:$AB$1000,$U$5:$U$1000,ROW(),$V$5:$V$1000,"Sub"),$AB134)))</f>
        <v/>
      </c>
      <c r="AG134" s="62">
        <f>IF($V134&lt;&gt;"Macro","",IF(COUNTIFS($S$5:$S$1000,$S134,$V$5:$V$1000,"Macro",$H$5:$H$1000,"&gt;0")=0,1/COUNTIFS($S$5:$S$1000,$S134,$V$5:$V$1000,"Macro"),IF(AND(ISNUMBER($H134),N($H134)&gt;0),$H134,SUMIFS($H$5:$H$1000,$S$5:$S$1000,$S134,$V$5:$V$1000,"Macro")/COUNTIFS($S$5:$S$1000,$S134,$V$5:$V$1000,"Macro",$H$5:$H$1000,"&gt;0"))/(COUNTIFS($S$5:$S$1000,$S134,$V$5:$V$1000,"Macro")*SUMIFS($H$5:$H$1000,$S$5:$S$1000,$S134,$V$5:$V$1000,"Macro")/COUNTIFS($S$5:$S$1000,$S134,$V$5:$V$1000,"Macro",$H$5:$H$1000,"&gt;0"))))</f>
        <v/>
      </c>
      <c r="AH134" s="62" t="n"/>
      <c r="AI134" s="62" t="n"/>
      <c r="AJ134" s="62" t="n"/>
      <c r="AK134" s="62" t="n"/>
      <c r="AL134" s="62">
        <f>IF(LEFT($C134,11)="[Jefatura] ",IFERROR(MATCH("Riesgo Financiero|"&amp;MID($C134,12,500),rDname_ADM,0),0),"")</f>
        <v/>
      </c>
      <c r="AM134" s="62">
        <f>IF(N($AL134)&gt;0,INDEX(rIni_ADM,$AL134),IF(ISNUMBER($E134),$E134,""))</f>
        <v/>
      </c>
      <c r="AN134" s="62">
        <f>IF(N($AL134)&gt;0,INDEX(rLim_ADM,$AL134),IF(ISNUMBER($F134),$F134,""))</f>
        <v/>
      </c>
    </row>
    <row r="135">
      <c r="A135" s="56">
        <f>IF(NOT((COUNTA($B135:$D135)+COUNTA($G135:$L135)+COUNTA($Q135))&gt;0),"",IF($V135="Macro",COUNTIFS($V$5:$V135,"Macro",$S$5:$S135,$S135),IF(N($U135)=0,"?",COUNTIFS(INDEX($V$5:$V$1000,1):INDEX($V$5:$V$1000,$U135-4),"Macro",INDEX($S$5:$S$1000,1):INDEX($S$5:$S$1000,$U135-4),INDEX($S$5:$S$1000,$U135-4))&amp;"."&amp;COUNTIFS($U$5:$U135,$U135,$V$5:$V135,"Sub"))))</f>
        <v/>
      </c>
      <c r="B135" s="57" t="n"/>
      <c r="C135" s="58" t="n"/>
      <c r="D135" s="58" t="n"/>
      <c r="E135" s="59">
        <f>IF(N($AL135)&gt;0,INDEX(rIni_ADM,$AL135),"")</f>
        <v/>
      </c>
      <c r="F135" s="59">
        <f>IF(N($AL135)&gt;0,INDEX(rLim_ADM,$AL135),"")</f>
        <v/>
      </c>
      <c r="G135" s="59" t="n"/>
      <c r="H135" s="60" t="n"/>
      <c r="I135" s="60" t="n"/>
      <c r="J135" s="60" t="n"/>
      <c r="K135" s="60" t="n"/>
      <c r="L135" s="60" t="n"/>
      <c r="M135" s="61">
        <f>IF(NOT((COUNTA($B135:$D135)+COUNTA($G135:$L135)+COUNTA($Q135))&gt;0),"",IF(ISNUMBER($G135),1,IF(N($W135)&gt;0,AVERAGEIFS($X$5:$X$1000,$U$5:$U$1000,ROW(),$V$5:$V$1000,"Sub"),$X135)))</f>
        <v/>
      </c>
      <c r="N135" s="56">
        <f>IF($M135="","",IF($M135&gt;=1,"Completado",IF($M135&gt;0,"En curso","Pendiente")))</f>
        <v/>
      </c>
      <c r="O135" s="56">
        <f>IF(NOT((COUNTA($B135:$D135)+COUNTA($G135:$L135)+COUNTA($Q135))&gt;0),"",IF(ISNUMBER($G135),IF(AND(ISNUMBER($AN135),$G135&gt;$AN135),"Cumplida con "&amp;($G135-$AN135)&amp;IF($G135-$AN135=1," día"," días")&amp;" de retraso","Cumplida"),IF(N($M135)&gt;=1,"Cumplida",IF(NOT(ISNUMBER($AN135)),"Sin fecha límite",IF($AN135&lt;FechaRef,"Vencida hace "&amp;(FechaRef-$AN135)&amp;IF(FechaRef-$AN135=1," día"," días"),IF($AN135=FechaRef,"Vence hoy",IF($AN135-FechaRef&lt;=DiasAlerta,"Vence en "&amp;($AN135-FechaRef)&amp;IF($AN135-FechaRef=1," día"," días"),"En plazo")))))))</f>
        <v/>
      </c>
      <c r="P135" s="62" t="n"/>
      <c r="Q135" s="58" t="n"/>
      <c r="R135" s="63">
        <f>IF(NOT((COUNTA($B135:$D135)+COUNTA($G135:$L135)+COUNTA($Q135))&gt;0),"",IF((IF($C135="","Falta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",""))="","✔ OK","⚠ "&amp;LEFT(IF($C135="","Falta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",""),LEN(IF($C135="","Falta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",""))-3)))</f>
        <v/>
      </c>
      <c r="S135" s="64">
        <f>IF(NOT((COUNTA($B135:$D135)+COUNTA($G135:$L135)+COUNTA($Q135))&gt;0),"",IF(AND($V135="Sub",N($U135)&gt;0),IF(ISNUMBER(INDEX($AM$5:$AM$1000,$U135-4)),DATE(YEAR(INDEX($AM$5:$AM$1000,$U135-4)),MONTH(INDEX($AM$5:$AM$1000,$U135-4)),1),IF(ISNUMBER(INDEX($AN$5:$AN$1000,$U135-4)),DATE(YEAR(INDEX($AN$5:$AN$1000,$U135-4)),MONTH(INDEX($AN$5:$AN$1000,$U135-4)),1),MesCiclo)),IF(ISNUMBER($AM135),DATE(YEAR($AM135),MONTH($AM135),1),IF(ISNUMBER($AN135),DATE(YEAR($AN135),MONTH($AN135),1),MesCiclo))))</f>
        <v/>
      </c>
      <c r="T135" s="62">
        <f>IF(OR($S135="",$S135&lt;&gt;MesCiclo),"",COUNTIF($S$5:$S135,MesCiclo))</f>
        <v/>
      </c>
      <c r="U135" s="62">
        <f>IF($V135="","",IF($V135="Macro",ROW(),IFERROR(LOOKUP(2,1/($V$5:$V135="Macro"),ROW($V$5:$V135)),0)))</f>
        <v/>
      </c>
      <c r="V135" s="62">
        <f>IF(NOT((COUNTA($B135:$D135)+COUNTA($G135:$L135)+COUNTA($Q135))&gt;0),"",IF($B135="Subactividad","Sub","Macro"))</f>
        <v/>
      </c>
      <c r="W135" s="62">
        <f>IF($V135="Macro",COUNTIFS($U$5:$U$1000,ROW(),$V$5:$V$1000,"Sub"),"")</f>
        <v/>
      </c>
      <c r="X135" s="62">
        <f>IF($V135="","",IF(ISNUMBER($G135),1,IFERROR(LOOKUP(2,1/($I135:$L135&lt;&gt;""),$I135:$L135),0)))</f>
        <v/>
      </c>
      <c r="Y135" s="62">
        <f>IF($V135="","",IF(AND(ISNUMBER($G135),$G135&lt;=IF($S135=MesCiclo,InicioCiclo,$S135+MOD(2-WEEKDAY($S135),7))+6),1,IF(ISNUMBER($I135),$I135,0)))</f>
        <v/>
      </c>
      <c r="Z135" s="62">
        <f>IF($V135="","",IF(AND(ISNUMBER($G135),$G135&lt;=IF($S135=MesCiclo,InicioCiclo,$S135+MOD(2-WEEKDAY($S135),7))+13),1,IF(ISNUMBER($J135),$J135,$Y135)))</f>
        <v/>
      </c>
      <c r="AA135" s="62">
        <f>IF($V135="","",IF(AND(ISNUMBER($G135),$G135&lt;=IF($S135=MesCiclo,InicioCiclo,$S135+MOD(2-WEEKDAY($S135),7))+20),1,IF(ISNUMBER($K135),$K135,$Z135)))</f>
        <v/>
      </c>
      <c r="AB135" s="62">
        <f>IF($V135="","",IF(AND(ISNUMBER($G135),$G135&lt;=IF($S135=MesCiclo,InicioCiclo,$S135+MOD(2-WEEKDAY($S135),7))+27),1,IF(ISNUMBER($L135),$L135,$AA135)))</f>
        <v/>
      </c>
      <c r="AC135" s="62">
        <f>IF($V135="","",IF(AND(ISNUMBER($G135),$G135&lt;=IF($S135=MesCiclo,InicioCiclo,$S135+MOD(2-WEEKDAY($S135),7))+6),1,IF(N($W135)&gt;0,AVERAGEIFS($Y$5:$Y$1000,$U$5:$U$1000,ROW(),$V$5:$V$1000,"Sub"),$Y135)))</f>
        <v/>
      </c>
      <c r="AD135" s="62">
        <f>IF($V135="","",IF(AND(ISNUMBER($G135),$G135&lt;=IF($S135=MesCiclo,InicioCiclo,$S135+MOD(2-WEEKDAY($S135),7))+13),1,IF(N($W135)&gt;0,AVERAGEIFS($Z$5:$Z$1000,$U$5:$U$1000,ROW(),$V$5:$V$1000,"Sub"),$Z135)))</f>
        <v/>
      </c>
      <c r="AE135" s="62">
        <f>IF($V135="","",IF(AND(ISNUMBER($G135),$G135&lt;=IF($S135=MesCiclo,InicioCiclo,$S135+MOD(2-WEEKDAY($S135),7))+20),1,IF(N($W135)&gt;0,AVERAGEIFS($AA$5:$AA$1000,$U$5:$U$1000,ROW(),$V$5:$V$1000,"Sub"),$AA135)))</f>
        <v/>
      </c>
      <c r="AF135" s="62">
        <f>IF($V135="","",IF(AND(ISNUMBER($G135),$G135&lt;=IF($S135=MesCiclo,InicioCiclo,$S135+MOD(2-WEEKDAY($S135),7))+27),1,IF(N($W135)&gt;0,AVERAGEIFS($AB$5:$AB$1000,$U$5:$U$1000,ROW(),$V$5:$V$1000,"Sub"),$AB135)))</f>
        <v/>
      </c>
      <c r="AG135" s="62">
        <f>IF($V135&lt;&gt;"Macro","",IF(COUNTIFS($S$5:$S$1000,$S135,$V$5:$V$1000,"Macro",$H$5:$H$1000,"&gt;0")=0,1/COUNTIFS($S$5:$S$1000,$S135,$V$5:$V$1000,"Macro"),IF(AND(ISNUMBER($H135),N($H135)&gt;0),$H135,SUMIFS($H$5:$H$1000,$S$5:$S$1000,$S135,$V$5:$V$1000,"Macro")/COUNTIFS($S$5:$S$1000,$S135,$V$5:$V$1000,"Macro",$H$5:$H$1000,"&gt;0"))/(COUNTIFS($S$5:$S$1000,$S135,$V$5:$V$1000,"Macro")*SUMIFS($H$5:$H$1000,$S$5:$S$1000,$S135,$V$5:$V$1000,"Macro")/COUNTIFS($S$5:$S$1000,$S135,$V$5:$V$1000,"Macro",$H$5:$H$1000,"&gt;0"))))</f>
        <v/>
      </c>
      <c r="AH135" s="62" t="n"/>
      <c r="AI135" s="62" t="n"/>
      <c r="AJ135" s="62" t="n"/>
      <c r="AK135" s="62" t="n"/>
      <c r="AL135" s="62">
        <f>IF(LEFT($C135,11)="[Jefatura] ",IFERROR(MATCH("Riesgo Financiero|"&amp;MID($C135,12,500),rDname_ADM,0),0),"")</f>
        <v/>
      </c>
      <c r="AM135" s="62">
        <f>IF(N($AL135)&gt;0,INDEX(rIni_ADM,$AL135),IF(ISNUMBER($E135),$E135,""))</f>
        <v/>
      </c>
      <c r="AN135" s="62">
        <f>IF(N($AL135)&gt;0,INDEX(rLim_ADM,$AL135),IF(ISNUMBER($F135),$F135,""))</f>
        <v/>
      </c>
    </row>
    <row r="136">
      <c r="A136" s="56">
        <f>IF(NOT((COUNTA($B136:$D136)+COUNTA($G136:$L136)+COUNTA($Q136))&gt;0),"",IF($V136="Macro",COUNTIFS($V$5:$V136,"Macro",$S$5:$S136,$S136),IF(N($U136)=0,"?",COUNTIFS(INDEX($V$5:$V$1000,1):INDEX($V$5:$V$1000,$U136-4),"Macro",INDEX($S$5:$S$1000,1):INDEX($S$5:$S$1000,$U136-4),INDEX($S$5:$S$1000,$U136-4))&amp;"."&amp;COUNTIFS($U$5:$U136,$U136,$V$5:$V136,"Sub"))))</f>
        <v/>
      </c>
      <c r="B136" s="57" t="n"/>
      <c r="C136" s="58" t="n"/>
      <c r="D136" s="58" t="n"/>
      <c r="E136" s="59">
        <f>IF(N($AL136)&gt;0,INDEX(rIni_ADM,$AL136),"")</f>
        <v/>
      </c>
      <c r="F136" s="59">
        <f>IF(N($AL136)&gt;0,INDEX(rLim_ADM,$AL136),"")</f>
        <v/>
      </c>
      <c r="G136" s="59" t="n"/>
      <c r="H136" s="60" t="n"/>
      <c r="I136" s="60" t="n"/>
      <c r="J136" s="60" t="n"/>
      <c r="K136" s="60" t="n"/>
      <c r="L136" s="60" t="n"/>
      <c r="M136" s="61">
        <f>IF(NOT((COUNTA($B136:$D136)+COUNTA($G136:$L136)+COUNTA($Q136))&gt;0),"",IF(ISNUMBER($G136),1,IF(N($W136)&gt;0,AVERAGEIFS($X$5:$X$1000,$U$5:$U$1000,ROW(),$V$5:$V$1000,"Sub"),$X136)))</f>
        <v/>
      </c>
      <c r="N136" s="56">
        <f>IF($M136="","",IF($M136&gt;=1,"Completado",IF($M136&gt;0,"En curso","Pendiente")))</f>
        <v/>
      </c>
      <c r="O136" s="56">
        <f>IF(NOT((COUNTA($B136:$D136)+COUNTA($G136:$L136)+COUNTA($Q136))&gt;0),"",IF(ISNUMBER($G136),IF(AND(ISNUMBER($AN136),$G136&gt;$AN136),"Cumplida con "&amp;($G136-$AN136)&amp;IF($G136-$AN136=1," día"," días")&amp;" de retraso","Cumplida"),IF(N($M136)&gt;=1,"Cumplida",IF(NOT(ISNUMBER($AN136)),"Sin fecha límite",IF($AN136&lt;FechaRef,"Vencida hace "&amp;(FechaRef-$AN136)&amp;IF(FechaRef-$AN136=1," día"," días"),IF($AN136=FechaRef,"Vence hoy",IF($AN136-FechaRef&lt;=DiasAlerta,"Vence en "&amp;($AN136-FechaRef)&amp;IF($AN136-FechaRef=1," día"," días"),"En plazo")))))))</f>
        <v/>
      </c>
      <c r="P136" s="62" t="n"/>
      <c r="Q136" s="58" t="n"/>
      <c r="R136" s="63">
        <f>IF(NOT((COUNTA($B136:$D136)+COUNTA($G136:$L136)+COUNTA($Q136))&gt;0),"",IF((IF($C136="","Falta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",""))="","✔ OK","⚠ "&amp;LEFT(IF($C136="","Falta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",""),LEN(IF($C136="","Falta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",""))-3)))</f>
        <v/>
      </c>
      <c r="S136" s="64">
        <f>IF(NOT((COUNTA($B136:$D136)+COUNTA($G136:$L136)+COUNTA($Q136))&gt;0),"",IF(AND($V136="Sub",N($U136)&gt;0),IF(ISNUMBER(INDEX($AM$5:$AM$1000,$U136-4)),DATE(YEAR(INDEX($AM$5:$AM$1000,$U136-4)),MONTH(INDEX($AM$5:$AM$1000,$U136-4)),1),IF(ISNUMBER(INDEX($AN$5:$AN$1000,$U136-4)),DATE(YEAR(INDEX($AN$5:$AN$1000,$U136-4)),MONTH(INDEX($AN$5:$AN$1000,$U136-4)),1),MesCiclo)),IF(ISNUMBER($AM136),DATE(YEAR($AM136),MONTH($AM136),1),IF(ISNUMBER($AN136),DATE(YEAR($AN136),MONTH($AN136),1),MesCiclo))))</f>
        <v/>
      </c>
      <c r="T136" s="62">
        <f>IF(OR($S136="",$S136&lt;&gt;MesCiclo),"",COUNTIF($S$5:$S136,MesCiclo))</f>
        <v/>
      </c>
      <c r="U136" s="62">
        <f>IF($V136="","",IF($V136="Macro",ROW(),IFERROR(LOOKUP(2,1/($V$5:$V136="Macro"),ROW($V$5:$V136)),0)))</f>
        <v/>
      </c>
      <c r="V136" s="62">
        <f>IF(NOT((COUNTA($B136:$D136)+COUNTA($G136:$L136)+COUNTA($Q136))&gt;0),"",IF($B136="Subactividad","Sub","Macro"))</f>
        <v/>
      </c>
      <c r="W136" s="62">
        <f>IF($V136="Macro",COUNTIFS($U$5:$U$1000,ROW(),$V$5:$V$1000,"Sub"),"")</f>
        <v/>
      </c>
      <c r="X136" s="62">
        <f>IF($V136="","",IF(ISNUMBER($G136),1,IFERROR(LOOKUP(2,1/($I136:$L136&lt;&gt;""),$I136:$L136),0)))</f>
        <v/>
      </c>
      <c r="Y136" s="62">
        <f>IF($V136="","",IF(AND(ISNUMBER($G136),$G136&lt;=IF($S136=MesCiclo,InicioCiclo,$S136+MOD(2-WEEKDAY($S136),7))+6),1,IF(ISNUMBER($I136),$I136,0)))</f>
        <v/>
      </c>
      <c r="Z136" s="62">
        <f>IF($V136="","",IF(AND(ISNUMBER($G136),$G136&lt;=IF($S136=MesCiclo,InicioCiclo,$S136+MOD(2-WEEKDAY($S136),7))+13),1,IF(ISNUMBER($J136),$J136,$Y136)))</f>
        <v/>
      </c>
      <c r="AA136" s="62">
        <f>IF($V136="","",IF(AND(ISNUMBER($G136),$G136&lt;=IF($S136=MesCiclo,InicioCiclo,$S136+MOD(2-WEEKDAY($S136),7))+20),1,IF(ISNUMBER($K136),$K136,$Z136)))</f>
        <v/>
      </c>
      <c r="AB136" s="62">
        <f>IF($V136="","",IF(AND(ISNUMBER($G136),$G136&lt;=IF($S136=MesCiclo,InicioCiclo,$S136+MOD(2-WEEKDAY($S136),7))+27),1,IF(ISNUMBER($L136),$L136,$AA136)))</f>
        <v/>
      </c>
      <c r="AC136" s="62">
        <f>IF($V136="","",IF(AND(ISNUMBER($G136),$G136&lt;=IF($S136=MesCiclo,InicioCiclo,$S136+MOD(2-WEEKDAY($S136),7))+6),1,IF(N($W136)&gt;0,AVERAGEIFS($Y$5:$Y$1000,$U$5:$U$1000,ROW(),$V$5:$V$1000,"Sub"),$Y136)))</f>
        <v/>
      </c>
      <c r="AD136" s="62">
        <f>IF($V136="","",IF(AND(ISNUMBER($G136),$G136&lt;=IF($S136=MesCiclo,InicioCiclo,$S136+MOD(2-WEEKDAY($S136),7))+13),1,IF(N($W136)&gt;0,AVERAGEIFS($Z$5:$Z$1000,$U$5:$U$1000,ROW(),$V$5:$V$1000,"Sub"),$Z136)))</f>
        <v/>
      </c>
      <c r="AE136" s="62">
        <f>IF($V136="","",IF(AND(ISNUMBER($G136),$G136&lt;=IF($S136=MesCiclo,InicioCiclo,$S136+MOD(2-WEEKDAY($S136),7))+20),1,IF(N($W136)&gt;0,AVERAGEIFS($AA$5:$AA$1000,$U$5:$U$1000,ROW(),$V$5:$V$1000,"Sub"),$AA136)))</f>
        <v/>
      </c>
      <c r="AF136" s="62">
        <f>IF($V136="","",IF(AND(ISNUMBER($G136),$G136&lt;=IF($S136=MesCiclo,InicioCiclo,$S136+MOD(2-WEEKDAY($S136),7))+27),1,IF(N($W136)&gt;0,AVERAGEIFS($AB$5:$AB$1000,$U$5:$U$1000,ROW(),$V$5:$V$1000,"Sub"),$AB136)))</f>
        <v/>
      </c>
      <c r="AG136" s="62">
        <f>IF($V136&lt;&gt;"Macro","",IF(COUNTIFS($S$5:$S$1000,$S136,$V$5:$V$1000,"Macro",$H$5:$H$1000,"&gt;0")=0,1/COUNTIFS($S$5:$S$1000,$S136,$V$5:$V$1000,"Macro"),IF(AND(ISNUMBER($H136),N($H136)&gt;0),$H136,SUMIFS($H$5:$H$1000,$S$5:$S$1000,$S136,$V$5:$V$1000,"Macro")/COUNTIFS($S$5:$S$1000,$S136,$V$5:$V$1000,"Macro",$H$5:$H$1000,"&gt;0"))/(COUNTIFS($S$5:$S$1000,$S136,$V$5:$V$1000,"Macro")*SUMIFS($H$5:$H$1000,$S$5:$S$1000,$S136,$V$5:$V$1000,"Macro")/COUNTIFS($S$5:$S$1000,$S136,$V$5:$V$1000,"Macro",$H$5:$H$1000,"&gt;0"))))</f>
        <v/>
      </c>
      <c r="AH136" s="62" t="n"/>
      <c r="AI136" s="62" t="n"/>
      <c r="AJ136" s="62" t="n"/>
      <c r="AK136" s="62" t="n"/>
      <c r="AL136" s="62">
        <f>IF(LEFT($C136,11)="[Jefatura] ",IFERROR(MATCH("Riesgo Financiero|"&amp;MID($C136,12,500),rDname_ADM,0),0),"")</f>
        <v/>
      </c>
      <c r="AM136" s="62">
        <f>IF(N($AL136)&gt;0,INDEX(rIni_ADM,$AL136),IF(ISNUMBER($E136),$E136,""))</f>
        <v/>
      </c>
      <c r="AN136" s="62">
        <f>IF(N($AL136)&gt;0,INDEX(rLim_ADM,$AL136),IF(ISNUMBER($F136),$F136,""))</f>
        <v/>
      </c>
    </row>
    <row r="137">
      <c r="A137" s="56">
        <f>IF(NOT((COUNTA($B137:$D137)+COUNTA($G137:$L137)+COUNTA($Q137))&gt;0),"",IF($V137="Macro",COUNTIFS($V$5:$V137,"Macro",$S$5:$S137,$S137),IF(N($U137)=0,"?",COUNTIFS(INDEX($V$5:$V$1000,1):INDEX($V$5:$V$1000,$U137-4),"Macro",INDEX($S$5:$S$1000,1):INDEX($S$5:$S$1000,$U137-4),INDEX($S$5:$S$1000,$U137-4))&amp;"."&amp;COUNTIFS($U$5:$U137,$U137,$V$5:$V137,"Sub"))))</f>
        <v/>
      </c>
      <c r="B137" s="57" t="n"/>
      <c r="C137" s="58" t="n"/>
      <c r="D137" s="58" t="n"/>
      <c r="E137" s="59">
        <f>IF(N($AL137)&gt;0,INDEX(rIni_ADM,$AL137),"")</f>
        <v/>
      </c>
      <c r="F137" s="59">
        <f>IF(N($AL137)&gt;0,INDEX(rLim_ADM,$AL137),"")</f>
        <v/>
      </c>
      <c r="G137" s="59" t="n"/>
      <c r="H137" s="60" t="n"/>
      <c r="I137" s="60" t="n"/>
      <c r="J137" s="60" t="n"/>
      <c r="K137" s="60" t="n"/>
      <c r="L137" s="60" t="n"/>
      <c r="M137" s="61">
        <f>IF(NOT((COUNTA($B137:$D137)+COUNTA($G137:$L137)+COUNTA($Q137))&gt;0),"",IF(ISNUMBER($G137),1,IF(N($W137)&gt;0,AVERAGEIFS($X$5:$X$1000,$U$5:$U$1000,ROW(),$V$5:$V$1000,"Sub"),$X137)))</f>
        <v/>
      </c>
      <c r="N137" s="56">
        <f>IF($M137="","",IF($M137&gt;=1,"Completado",IF($M137&gt;0,"En curso","Pendiente")))</f>
        <v/>
      </c>
      <c r="O137" s="56">
        <f>IF(NOT((COUNTA($B137:$D137)+COUNTA($G137:$L137)+COUNTA($Q137))&gt;0),"",IF(ISNUMBER($G137),IF(AND(ISNUMBER($AN137),$G137&gt;$AN137),"Cumplida con "&amp;($G137-$AN137)&amp;IF($G137-$AN137=1," día"," días")&amp;" de retraso","Cumplida"),IF(N($M137)&gt;=1,"Cumplida",IF(NOT(ISNUMBER($AN137)),"Sin fecha límite",IF($AN137&lt;FechaRef,"Vencida hace "&amp;(FechaRef-$AN137)&amp;IF(FechaRef-$AN137=1," día"," días"),IF($AN137=FechaRef,"Vence hoy",IF($AN137-FechaRef&lt;=DiasAlerta,"Vence en "&amp;($AN137-FechaRef)&amp;IF($AN137-FechaRef=1," día"," días"),"En plazo")))))))</f>
        <v/>
      </c>
      <c r="P137" s="62" t="n"/>
      <c r="Q137" s="58" t="n"/>
      <c r="R137" s="63">
        <f>IF(NOT((COUNTA($B137:$D137)+COUNTA($G137:$L137)+COUNTA($Q137))&gt;0),"",IF((IF($C137="","Falta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",""))="","✔ OK","⚠ "&amp;LEFT(IF($C137="","Falta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",""),LEN(IF($C137="","Falta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",""))-3)))</f>
        <v/>
      </c>
      <c r="S137" s="64">
        <f>IF(NOT((COUNTA($B137:$D137)+COUNTA($G137:$L137)+COUNTA($Q137))&gt;0),"",IF(AND($V137="Sub",N($U137)&gt;0),IF(ISNUMBER(INDEX($AM$5:$AM$1000,$U137-4)),DATE(YEAR(INDEX($AM$5:$AM$1000,$U137-4)),MONTH(INDEX($AM$5:$AM$1000,$U137-4)),1),IF(ISNUMBER(INDEX($AN$5:$AN$1000,$U137-4)),DATE(YEAR(INDEX($AN$5:$AN$1000,$U137-4)),MONTH(INDEX($AN$5:$AN$1000,$U137-4)),1),MesCiclo)),IF(ISNUMBER($AM137),DATE(YEAR($AM137),MONTH($AM137),1),IF(ISNUMBER($AN137),DATE(YEAR($AN137),MONTH($AN137),1),MesCiclo))))</f>
        <v/>
      </c>
      <c r="T137" s="62">
        <f>IF(OR($S137="",$S137&lt;&gt;MesCiclo),"",COUNTIF($S$5:$S137,MesCiclo))</f>
        <v/>
      </c>
      <c r="U137" s="62">
        <f>IF($V137="","",IF($V137="Macro",ROW(),IFERROR(LOOKUP(2,1/($V$5:$V137="Macro"),ROW($V$5:$V137)),0)))</f>
        <v/>
      </c>
      <c r="V137" s="62">
        <f>IF(NOT((COUNTA($B137:$D137)+COUNTA($G137:$L137)+COUNTA($Q137))&gt;0),"",IF($B137="Subactividad","Sub","Macro"))</f>
        <v/>
      </c>
      <c r="W137" s="62">
        <f>IF($V137="Macro",COUNTIFS($U$5:$U$1000,ROW(),$V$5:$V$1000,"Sub"),"")</f>
        <v/>
      </c>
      <c r="X137" s="62">
        <f>IF($V137="","",IF(ISNUMBER($G137),1,IFERROR(LOOKUP(2,1/($I137:$L137&lt;&gt;""),$I137:$L137),0)))</f>
        <v/>
      </c>
      <c r="Y137" s="62">
        <f>IF($V137="","",IF(AND(ISNUMBER($G137),$G137&lt;=IF($S137=MesCiclo,InicioCiclo,$S137+MOD(2-WEEKDAY($S137),7))+6),1,IF(ISNUMBER($I137),$I137,0)))</f>
        <v/>
      </c>
      <c r="Z137" s="62">
        <f>IF($V137="","",IF(AND(ISNUMBER($G137),$G137&lt;=IF($S137=MesCiclo,InicioCiclo,$S137+MOD(2-WEEKDAY($S137),7))+13),1,IF(ISNUMBER($J137),$J137,$Y137)))</f>
        <v/>
      </c>
      <c r="AA137" s="62">
        <f>IF($V137="","",IF(AND(ISNUMBER($G137),$G137&lt;=IF($S137=MesCiclo,InicioCiclo,$S137+MOD(2-WEEKDAY($S137),7))+20),1,IF(ISNUMBER($K137),$K137,$Z137)))</f>
        <v/>
      </c>
      <c r="AB137" s="62">
        <f>IF($V137="","",IF(AND(ISNUMBER($G137),$G137&lt;=IF($S137=MesCiclo,InicioCiclo,$S137+MOD(2-WEEKDAY($S137),7))+27),1,IF(ISNUMBER($L137),$L137,$AA137)))</f>
        <v/>
      </c>
      <c r="AC137" s="62">
        <f>IF($V137="","",IF(AND(ISNUMBER($G137),$G137&lt;=IF($S137=MesCiclo,InicioCiclo,$S137+MOD(2-WEEKDAY($S137),7))+6),1,IF(N($W137)&gt;0,AVERAGEIFS($Y$5:$Y$1000,$U$5:$U$1000,ROW(),$V$5:$V$1000,"Sub"),$Y137)))</f>
        <v/>
      </c>
      <c r="AD137" s="62">
        <f>IF($V137="","",IF(AND(ISNUMBER($G137),$G137&lt;=IF($S137=MesCiclo,InicioCiclo,$S137+MOD(2-WEEKDAY($S137),7))+13),1,IF(N($W137)&gt;0,AVERAGEIFS($Z$5:$Z$1000,$U$5:$U$1000,ROW(),$V$5:$V$1000,"Sub"),$Z137)))</f>
        <v/>
      </c>
      <c r="AE137" s="62">
        <f>IF($V137="","",IF(AND(ISNUMBER($G137),$G137&lt;=IF($S137=MesCiclo,InicioCiclo,$S137+MOD(2-WEEKDAY($S137),7))+20),1,IF(N($W137)&gt;0,AVERAGEIFS($AA$5:$AA$1000,$U$5:$U$1000,ROW(),$V$5:$V$1000,"Sub"),$AA137)))</f>
        <v/>
      </c>
      <c r="AF137" s="62">
        <f>IF($V137="","",IF(AND(ISNUMBER($G137),$G137&lt;=IF($S137=MesCiclo,InicioCiclo,$S137+MOD(2-WEEKDAY($S137),7))+27),1,IF(N($W137)&gt;0,AVERAGEIFS($AB$5:$AB$1000,$U$5:$U$1000,ROW(),$V$5:$V$1000,"Sub"),$AB137)))</f>
        <v/>
      </c>
      <c r="AG137" s="62">
        <f>IF($V137&lt;&gt;"Macro","",IF(COUNTIFS($S$5:$S$1000,$S137,$V$5:$V$1000,"Macro",$H$5:$H$1000,"&gt;0")=0,1/COUNTIFS($S$5:$S$1000,$S137,$V$5:$V$1000,"Macro"),IF(AND(ISNUMBER($H137),N($H137)&gt;0),$H137,SUMIFS($H$5:$H$1000,$S$5:$S$1000,$S137,$V$5:$V$1000,"Macro")/COUNTIFS($S$5:$S$1000,$S137,$V$5:$V$1000,"Macro",$H$5:$H$1000,"&gt;0"))/(COUNTIFS($S$5:$S$1000,$S137,$V$5:$V$1000,"Macro")*SUMIFS($H$5:$H$1000,$S$5:$S$1000,$S137,$V$5:$V$1000,"Macro")/COUNTIFS($S$5:$S$1000,$S137,$V$5:$V$1000,"Macro",$H$5:$H$1000,"&gt;0"))))</f>
        <v/>
      </c>
      <c r="AH137" s="62" t="n"/>
      <c r="AI137" s="62" t="n"/>
      <c r="AJ137" s="62" t="n"/>
      <c r="AK137" s="62" t="n"/>
      <c r="AL137" s="62">
        <f>IF(LEFT($C137,11)="[Jefatura] ",IFERROR(MATCH("Riesgo Financiero|"&amp;MID($C137,12,500),rDname_ADM,0),0),"")</f>
        <v/>
      </c>
      <c r="AM137" s="62">
        <f>IF(N($AL137)&gt;0,INDEX(rIni_ADM,$AL137),IF(ISNUMBER($E137),$E137,""))</f>
        <v/>
      </c>
      <c r="AN137" s="62">
        <f>IF(N($AL137)&gt;0,INDEX(rLim_ADM,$AL137),IF(ISNUMBER($F137),$F137,""))</f>
        <v/>
      </c>
    </row>
    <row r="138">
      <c r="A138" s="56">
        <f>IF(NOT((COUNTA($B138:$D138)+COUNTA($G138:$L138)+COUNTA($Q138))&gt;0),"",IF($V138="Macro",COUNTIFS($V$5:$V138,"Macro",$S$5:$S138,$S138),IF(N($U138)=0,"?",COUNTIFS(INDEX($V$5:$V$1000,1):INDEX($V$5:$V$1000,$U138-4),"Macro",INDEX($S$5:$S$1000,1):INDEX($S$5:$S$1000,$U138-4),INDEX($S$5:$S$1000,$U138-4))&amp;"."&amp;COUNTIFS($U$5:$U138,$U138,$V$5:$V138,"Sub"))))</f>
        <v/>
      </c>
      <c r="B138" s="57" t="n"/>
      <c r="C138" s="58" t="n"/>
      <c r="D138" s="58" t="n"/>
      <c r="E138" s="59">
        <f>IF(N($AL138)&gt;0,INDEX(rIni_ADM,$AL138),"")</f>
        <v/>
      </c>
      <c r="F138" s="59">
        <f>IF(N($AL138)&gt;0,INDEX(rLim_ADM,$AL138),"")</f>
        <v/>
      </c>
      <c r="G138" s="59" t="n"/>
      <c r="H138" s="60" t="n"/>
      <c r="I138" s="60" t="n"/>
      <c r="J138" s="60" t="n"/>
      <c r="K138" s="60" t="n"/>
      <c r="L138" s="60" t="n"/>
      <c r="M138" s="61">
        <f>IF(NOT((COUNTA($B138:$D138)+COUNTA($G138:$L138)+COUNTA($Q138))&gt;0),"",IF(ISNUMBER($G138),1,IF(N($W138)&gt;0,AVERAGEIFS($X$5:$X$1000,$U$5:$U$1000,ROW(),$V$5:$V$1000,"Sub"),$X138)))</f>
        <v/>
      </c>
      <c r="N138" s="56">
        <f>IF($M138="","",IF($M138&gt;=1,"Completado",IF($M138&gt;0,"En curso","Pendiente")))</f>
        <v/>
      </c>
      <c r="O138" s="56">
        <f>IF(NOT((COUNTA($B138:$D138)+COUNTA($G138:$L138)+COUNTA($Q138))&gt;0),"",IF(ISNUMBER($G138),IF(AND(ISNUMBER($AN138),$G138&gt;$AN138),"Cumplida con "&amp;($G138-$AN138)&amp;IF($G138-$AN138=1," día"," días")&amp;" de retraso","Cumplida"),IF(N($M138)&gt;=1,"Cumplida",IF(NOT(ISNUMBER($AN138)),"Sin fecha límite",IF($AN138&lt;FechaRef,"Vencida hace "&amp;(FechaRef-$AN138)&amp;IF(FechaRef-$AN138=1," día"," días"),IF($AN138=FechaRef,"Vence hoy",IF($AN138-FechaRef&lt;=DiasAlerta,"Vence en "&amp;($AN138-FechaRef)&amp;IF($AN138-FechaRef=1," día"," días"),"En plazo")))))))</f>
        <v/>
      </c>
      <c r="P138" s="62" t="n"/>
      <c r="Q138" s="58" t="n"/>
      <c r="R138" s="63">
        <f>IF(NOT((COUNTA($B138:$D138)+COUNTA($G138:$L138)+COUNTA($Q138))&gt;0),"",IF((IF($C138="","Falta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",""))="","✔ OK","⚠ "&amp;LEFT(IF($C138="","Falta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",""),LEN(IF($C138="","Falta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",""))-3)))</f>
        <v/>
      </c>
      <c r="S138" s="64">
        <f>IF(NOT((COUNTA($B138:$D138)+COUNTA($G138:$L138)+COUNTA($Q138))&gt;0),"",IF(AND($V138="Sub",N($U138)&gt;0),IF(ISNUMBER(INDEX($AM$5:$AM$1000,$U138-4)),DATE(YEAR(INDEX($AM$5:$AM$1000,$U138-4)),MONTH(INDEX($AM$5:$AM$1000,$U138-4)),1),IF(ISNUMBER(INDEX($AN$5:$AN$1000,$U138-4)),DATE(YEAR(INDEX($AN$5:$AN$1000,$U138-4)),MONTH(INDEX($AN$5:$AN$1000,$U138-4)),1),MesCiclo)),IF(ISNUMBER($AM138),DATE(YEAR($AM138),MONTH($AM138),1),IF(ISNUMBER($AN138),DATE(YEAR($AN138),MONTH($AN138),1),MesCiclo))))</f>
        <v/>
      </c>
      <c r="T138" s="62">
        <f>IF(OR($S138="",$S138&lt;&gt;MesCiclo),"",COUNTIF($S$5:$S138,MesCiclo))</f>
        <v/>
      </c>
      <c r="U138" s="62">
        <f>IF($V138="","",IF($V138="Macro",ROW(),IFERROR(LOOKUP(2,1/($V$5:$V138="Macro"),ROW($V$5:$V138)),0)))</f>
        <v/>
      </c>
      <c r="V138" s="62">
        <f>IF(NOT((COUNTA($B138:$D138)+COUNTA($G138:$L138)+COUNTA($Q138))&gt;0),"",IF($B138="Subactividad","Sub","Macro"))</f>
        <v/>
      </c>
      <c r="W138" s="62">
        <f>IF($V138="Macro",COUNTIFS($U$5:$U$1000,ROW(),$V$5:$V$1000,"Sub"),"")</f>
        <v/>
      </c>
      <c r="X138" s="62">
        <f>IF($V138="","",IF(ISNUMBER($G138),1,IFERROR(LOOKUP(2,1/($I138:$L138&lt;&gt;""),$I138:$L138),0)))</f>
        <v/>
      </c>
      <c r="Y138" s="62">
        <f>IF($V138="","",IF(AND(ISNUMBER($G138),$G138&lt;=IF($S138=MesCiclo,InicioCiclo,$S138+MOD(2-WEEKDAY($S138),7))+6),1,IF(ISNUMBER($I138),$I138,0)))</f>
        <v/>
      </c>
      <c r="Z138" s="62">
        <f>IF($V138="","",IF(AND(ISNUMBER($G138),$G138&lt;=IF($S138=MesCiclo,InicioCiclo,$S138+MOD(2-WEEKDAY($S138),7))+13),1,IF(ISNUMBER($J138),$J138,$Y138)))</f>
        <v/>
      </c>
      <c r="AA138" s="62">
        <f>IF($V138="","",IF(AND(ISNUMBER($G138),$G138&lt;=IF($S138=MesCiclo,InicioCiclo,$S138+MOD(2-WEEKDAY($S138),7))+20),1,IF(ISNUMBER($K138),$K138,$Z138)))</f>
        <v/>
      </c>
      <c r="AB138" s="62">
        <f>IF($V138="","",IF(AND(ISNUMBER($G138),$G138&lt;=IF($S138=MesCiclo,InicioCiclo,$S138+MOD(2-WEEKDAY($S138),7))+27),1,IF(ISNUMBER($L138),$L138,$AA138)))</f>
        <v/>
      </c>
      <c r="AC138" s="62">
        <f>IF($V138="","",IF(AND(ISNUMBER($G138),$G138&lt;=IF($S138=MesCiclo,InicioCiclo,$S138+MOD(2-WEEKDAY($S138),7))+6),1,IF(N($W138)&gt;0,AVERAGEIFS($Y$5:$Y$1000,$U$5:$U$1000,ROW(),$V$5:$V$1000,"Sub"),$Y138)))</f>
        <v/>
      </c>
      <c r="AD138" s="62">
        <f>IF($V138="","",IF(AND(ISNUMBER($G138),$G138&lt;=IF($S138=MesCiclo,InicioCiclo,$S138+MOD(2-WEEKDAY($S138),7))+13),1,IF(N($W138)&gt;0,AVERAGEIFS($Z$5:$Z$1000,$U$5:$U$1000,ROW(),$V$5:$V$1000,"Sub"),$Z138)))</f>
        <v/>
      </c>
      <c r="AE138" s="62">
        <f>IF($V138="","",IF(AND(ISNUMBER($G138),$G138&lt;=IF($S138=MesCiclo,InicioCiclo,$S138+MOD(2-WEEKDAY($S138),7))+20),1,IF(N($W138)&gt;0,AVERAGEIFS($AA$5:$AA$1000,$U$5:$U$1000,ROW(),$V$5:$V$1000,"Sub"),$AA138)))</f>
        <v/>
      </c>
      <c r="AF138" s="62">
        <f>IF($V138="","",IF(AND(ISNUMBER($G138),$G138&lt;=IF($S138=MesCiclo,InicioCiclo,$S138+MOD(2-WEEKDAY($S138),7))+27),1,IF(N($W138)&gt;0,AVERAGEIFS($AB$5:$AB$1000,$U$5:$U$1000,ROW(),$V$5:$V$1000,"Sub"),$AB138)))</f>
        <v/>
      </c>
      <c r="AG138" s="62">
        <f>IF($V138&lt;&gt;"Macro","",IF(COUNTIFS($S$5:$S$1000,$S138,$V$5:$V$1000,"Macro",$H$5:$H$1000,"&gt;0")=0,1/COUNTIFS($S$5:$S$1000,$S138,$V$5:$V$1000,"Macro"),IF(AND(ISNUMBER($H138),N($H138)&gt;0),$H138,SUMIFS($H$5:$H$1000,$S$5:$S$1000,$S138,$V$5:$V$1000,"Macro")/COUNTIFS($S$5:$S$1000,$S138,$V$5:$V$1000,"Macro",$H$5:$H$1000,"&gt;0"))/(COUNTIFS($S$5:$S$1000,$S138,$V$5:$V$1000,"Macro")*SUMIFS($H$5:$H$1000,$S$5:$S$1000,$S138,$V$5:$V$1000,"Macro")/COUNTIFS($S$5:$S$1000,$S138,$V$5:$V$1000,"Macro",$H$5:$H$1000,"&gt;0"))))</f>
        <v/>
      </c>
      <c r="AH138" s="62" t="n"/>
      <c r="AI138" s="62" t="n"/>
      <c r="AJ138" s="62" t="n"/>
      <c r="AK138" s="62" t="n"/>
      <c r="AL138" s="62">
        <f>IF(LEFT($C138,11)="[Jefatura] ",IFERROR(MATCH("Riesgo Financiero|"&amp;MID($C138,12,500),rDname_ADM,0),0),"")</f>
        <v/>
      </c>
      <c r="AM138" s="62">
        <f>IF(N($AL138)&gt;0,INDEX(rIni_ADM,$AL138),IF(ISNUMBER($E138),$E138,""))</f>
        <v/>
      </c>
      <c r="AN138" s="62">
        <f>IF(N($AL138)&gt;0,INDEX(rLim_ADM,$AL138),IF(ISNUMBER($F138),$F138,""))</f>
        <v/>
      </c>
    </row>
    <row r="139">
      <c r="A139" s="56">
        <f>IF(NOT((COUNTA($B139:$D139)+COUNTA($G139:$L139)+COUNTA($Q139))&gt;0),"",IF($V139="Macro",COUNTIFS($V$5:$V139,"Macro",$S$5:$S139,$S139),IF(N($U139)=0,"?",COUNTIFS(INDEX($V$5:$V$1000,1):INDEX($V$5:$V$1000,$U139-4),"Macro",INDEX($S$5:$S$1000,1):INDEX($S$5:$S$1000,$U139-4),INDEX($S$5:$S$1000,$U139-4))&amp;"."&amp;COUNTIFS($U$5:$U139,$U139,$V$5:$V139,"Sub"))))</f>
        <v/>
      </c>
      <c r="B139" s="57" t="n"/>
      <c r="C139" s="58" t="n"/>
      <c r="D139" s="58" t="n"/>
      <c r="E139" s="59">
        <f>IF(N($AL139)&gt;0,INDEX(rIni_ADM,$AL139),"")</f>
        <v/>
      </c>
      <c r="F139" s="59">
        <f>IF(N($AL139)&gt;0,INDEX(rLim_ADM,$AL139),"")</f>
        <v/>
      </c>
      <c r="G139" s="59" t="n"/>
      <c r="H139" s="60" t="n"/>
      <c r="I139" s="60" t="n"/>
      <c r="J139" s="60" t="n"/>
      <c r="K139" s="60" t="n"/>
      <c r="L139" s="60" t="n"/>
      <c r="M139" s="61">
        <f>IF(NOT((COUNTA($B139:$D139)+COUNTA($G139:$L139)+COUNTA($Q139))&gt;0),"",IF(ISNUMBER($G139),1,IF(N($W139)&gt;0,AVERAGEIFS($X$5:$X$1000,$U$5:$U$1000,ROW(),$V$5:$V$1000,"Sub"),$X139)))</f>
        <v/>
      </c>
      <c r="N139" s="56">
        <f>IF($M139="","",IF($M139&gt;=1,"Completado",IF($M139&gt;0,"En curso","Pendiente")))</f>
        <v/>
      </c>
      <c r="O139" s="56">
        <f>IF(NOT((COUNTA($B139:$D139)+COUNTA($G139:$L139)+COUNTA($Q139))&gt;0),"",IF(ISNUMBER($G139),IF(AND(ISNUMBER($AN139),$G139&gt;$AN139),"Cumplida con "&amp;($G139-$AN139)&amp;IF($G139-$AN139=1," día"," días")&amp;" de retraso","Cumplida"),IF(N($M139)&gt;=1,"Cumplida",IF(NOT(ISNUMBER($AN139)),"Sin fecha límite",IF($AN139&lt;FechaRef,"Vencida hace "&amp;(FechaRef-$AN139)&amp;IF(FechaRef-$AN139=1," día"," días"),IF($AN139=FechaRef,"Vence hoy",IF($AN139-FechaRef&lt;=DiasAlerta,"Vence en "&amp;($AN139-FechaRef)&amp;IF($AN139-FechaRef=1," día"," días"),"En plazo")))))))</f>
        <v/>
      </c>
      <c r="P139" s="62" t="n"/>
      <c r="Q139" s="58" t="n"/>
      <c r="R139" s="63">
        <f>IF(NOT((COUNTA($B139:$D139)+COUNTA($G139:$L139)+COUNTA($Q139))&gt;0),"",IF((IF($C139="","Falta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",""))="","✔ OK","⚠ "&amp;LEFT(IF($C139="","Falta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",""),LEN(IF($C139="","Falta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",""))-3)))</f>
        <v/>
      </c>
      <c r="S139" s="64">
        <f>IF(NOT((COUNTA($B139:$D139)+COUNTA($G139:$L139)+COUNTA($Q139))&gt;0),"",IF(AND($V139="Sub",N($U139)&gt;0),IF(ISNUMBER(INDEX($AM$5:$AM$1000,$U139-4)),DATE(YEAR(INDEX($AM$5:$AM$1000,$U139-4)),MONTH(INDEX($AM$5:$AM$1000,$U139-4)),1),IF(ISNUMBER(INDEX($AN$5:$AN$1000,$U139-4)),DATE(YEAR(INDEX($AN$5:$AN$1000,$U139-4)),MONTH(INDEX($AN$5:$AN$1000,$U139-4)),1),MesCiclo)),IF(ISNUMBER($AM139),DATE(YEAR($AM139),MONTH($AM139),1),IF(ISNUMBER($AN139),DATE(YEAR($AN139),MONTH($AN139),1),MesCiclo))))</f>
        <v/>
      </c>
      <c r="T139" s="62">
        <f>IF(OR($S139="",$S139&lt;&gt;MesCiclo),"",COUNTIF($S$5:$S139,MesCiclo))</f>
        <v/>
      </c>
      <c r="U139" s="62">
        <f>IF($V139="","",IF($V139="Macro",ROW(),IFERROR(LOOKUP(2,1/($V$5:$V139="Macro"),ROW($V$5:$V139)),0)))</f>
        <v/>
      </c>
      <c r="V139" s="62">
        <f>IF(NOT((COUNTA($B139:$D139)+COUNTA($G139:$L139)+COUNTA($Q139))&gt;0),"",IF($B139="Subactividad","Sub","Macro"))</f>
        <v/>
      </c>
      <c r="W139" s="62">
        <f>IF($V139="Macro",COUNTIFS($U$5:$U$1000,ROW(),$V$5:$V$1000,"Sub"),"")</f>
        <v/>
      </c>
      <c r="X139" s="62">
        <f>IF($V139="","",IF(ISNUMBER($G139),1,IFERROR(LOOKUP(2,1/($I139:$L139&lt;&gt;""),$I139:$L139),0)))</f>
        <v/>
      </c>
      <c r="Y139" s="62">
        <f>IF($V139="","",IF(AND(ISNUMBER($G139),$G139&lt;=IF($S139=MesCiclo,InicioCiclo,$S139+MOD(2-WEEKDAY($S139),7))+6),1,IF(ISNUMBER($I139),$I139,0)))</f>
        <v/>
      </c>
      <c r="Z139" s="62">
        <f>IF($V139="","",IF(AND(ISNUMBER($G139),$G139&lt;=IF($S139=MesCiclo,InicioCiclo,$S139+MOD(2-WEEKDAY($S139),7))+13),1,IF(ISNUMBER($J139),$J139,$Y139)))</f>
        <v/>
      </c>
      <c r="AA139" s="62">
        <f>IF($V139="","",IF(AND(ISNUMBER($G139),$G139&lt;=IF($S139=MesCiclo,InicioCiclo,$S139+MOD(2-WEEKDAY($S139),7))+20),1,IF(ISNUMBER($K139),$K139,$Z139)))</f>
        <v/>
      </c>
      <c r="AB139" s="62">
        <f>IF($V139="","",IF(AND(ISNUMBER($G139),$G139&lt;=IF($S139=MesCiclo,InicioCiclo,$S139+MOD(2-WEEKDAY($S139),7))+27),1,IF(ISNUMBER($L139),$L139,$AA139)))</f>
        <v/>
      </c>
      <c r="AC139" s="62">
        <f>IF($V139="","",IF(AND(ISNUMBER($G139),$G139&lt;=IF($S139=MesCiclo,InicioCiclo,$S139+MOD(2-WEEKDAY($S139),7))+6),1,IF(N($W139)&gt;0,AVERAGEIFS($Y$5:$Y$1000,$U$5:$U$1000,ROW(),$V$5:$V$1000,"Sub"),$Y139)))</f>
        <v/>
      </c>
      <c r="AD139" s="62">
        <f>IF($V139="","",IF(AND(ISNUMBER($G139),$G139&lt;=IF($S139=MesCiclo,InicioCiclo,$S139+MOD(2-WEEKDAY($S139),7))+13),1,IF(N($W139)&gt;0,AVERAGEIFS($Z$5:$Z$1000,$U$5:$U$1000,ROW(),$V$5:$V$1000,"Sub"),$Z139)))</f>
        <v/>
      </c>
      <c r="AE139" s="62">
        <f>IF($V139="","",IF(AND(ISNUMBER($G139),$G139&lt;=IF($S139=MesCiclo,InicioCiclo,$S139+MOD(2-WEEKDAY($S139),7))+20),1,IF(N($W139)&gt;0,AVERAGEIFS($AA$5:$AA$1000,$U$5:$U$1000,ROW(),$V$5:$V$1000,"Sub"),$AA139)))</f>
        <v/>
      </c>
      <c r="AF139" s="62">
        <f>IF($V139="","",IF(AND(ISNUMBER($G139),$G139&lt;=IF($S139=MesCiclo,InicioCiclo,$S139+MOD(2-WEEKDAY($S139),7))+27),1,IF(N($W139)&gt;0,AVERAGEIFS($AB$5:$AB$1000,$U$5:$U$1000,ROW(),$V$5:$V$1000,"Sub"),$AB139)))</f>
        <v/>
      </c>
      <c r="AG139" s="62">
        <f>IF($V139&lt;&gt;"Macro","",IF(COUNTIFS($S$5:$S$1000,$S139,$V$5:$V$1000,"Macro",$H$5:$H$1000,"&gt;0")=0,1/COUNTIFS($S$5:$S$1000,$S139,$V$5:$V$1000,"Macro"),IF(AND(ISNUMBER($H139),N($H139)&gt;0),$H139,SUMIFS($H$5:$H$1000,$S$5:$S$1000,$S139,$V$5:$V$1000,"Macro")/COUNTIFS($S$5:$S$1000,$S139,$V$5:$V$1000,"Macro",$H$5:$H$1000,"&gt;0"))/(COUNTIFS($S$5:$S$1000,$S139,$V$5:$V$1000,"Macro")*SUMIFS($H$5:$H$1000,$S$5:$S$1000,$S139,$V$5:$V$1000,"Macro")/COUNTIFS($S$5:$S$1000,$S139,$V$5:$V$1000,"Macro",$H$5:$H$1000,"&gt;0"))))</f>
        <v/>
      </c>
      <c r="AH139" s="62" t="n"/>
      <c r="AI139" s="62" t="n"/>
      <c r="AJ139" s="62" t="n"/>
      <c r="AK139" s="62" t="n"/>
      <c r="AL139" s="62">
        <f>IF(LEFT($C139,11)="[Jefatura] ",IFERROR(MATCH("Riesgo Financiero|"&amp;MID($C139,12,500),rDname_ADM,0),0),"")</f>
        <v/>
      </c>
      <c r="AM139" s="62">
        <f>IF(N($AL139)&gt;0,INDEX(rIni_ADM,$AL139),IF(ISNUMBER($E139),$E139,""))</f>
        <v/>
      </c>
      <c r="AN139" s="62">
        <f>IF(N($AL139)&gt;0,INDEX(rLim_ADM,$AL139),IF(ISNUMBER($F139),$F139,""))</f>
        <v/>
      </c>
    </row>
    <row r="140">
      <c r="A140" s="56">
        <f>IF(NOT((COUNTA($B140:$D140)+COUNTA($G140:$L140)+COUNTA($Q140))&gt;0),"",IF($V140="Macro",COUNTIFS($V$5:$V140,"Macro",$S$5:$S140,$S140),IF(N($U140)=0,"?",COUNTIFS(INDEX($V$5:$V$1000,1):INDEX($V$5:$V$1000,$U140-4),"Macro",INDEX($S$5:$S$1000,1):INDEX($S$5:$S$1000,$U140-4),INDEX($S$5:$S$1000,$U140-4))&amp;"."&amp;COUNTIFS($U$5:$U140,$U140,$V$5:$V140,"Sub"))))</f>
        <v/>
      </c>
      <c r="B140" s="57" t="n"/>
      <c r="C140" s="58" t="n"/>
      <c r="D140" s="58" t="n"/>
      <c r="E140" s="59">
        <f>IF(N($AL140)&gt;0,INDEX(rIni_ADM,$AL140),"")</f>
        <v/>
      </c>
      <c r="F140" s="59">
        <f>IF(N($AL140)&gt;0,INDEX(rLim_ADM,$AL140),"")</f>
        <v/>
      </c>
      <c r="G140" s="59" t="n"/>
      <c r="H140" s="60" t="n"/>
      <c r="I140" s="60" t="n"/>
      <c r="J140" s="60" t="n"/>
      <c r="K140" s="60" t="n"/>
      <c r="L140" s="60" t="n"/>
      <c r="M140" s="61">
        <f>IF(NOT((COUNTA($B140:$D140)+COUNTA($G140:$L140)+COUNTA($Q140))&gt;0),"",IF(ISNUMBER($G140),1,IF(N($W140)&gt;0,AVERAGEIFS($X$5:$X$1000,$U$5:$U$1000,ROW(),$V$5:$V$1000,"Sub"),$X140)))</f>
        <v/>
      </c>
      <c r="N140" s="56">
        <f>IF($M140="","",IF($M140&gt;=1,"Completado",IF($M140&gt;0,"En curso","Pendiente")))</f>
        <v/>
      </c>
      <c r="O140" s="56">
        <f>IF(NOT((COUNTA($B140:$D140)+COUNTA($G140:$L140)+COUNTA($Q140))&gt;0),"",IF(ISNUMBER($G140),IF(AND(ISNUMBER($AN140),$G140&gt;$AN140),"Cumplida con "&amp;($G140-$AN140)&amp;IF($G140-$AN140=1," día"," días")&amp;" de retraso","Cumplida"),IF(N($M140)&gt;=1,"Cumplida",IF(NOT(ISNUMBER($AN140)),"Sin fecha límite",IF($AN140&lt;FechaRef,"Vencida hace "&amp;(FechaRef-$AN140)&amp;IF(FechaRef-$AN140=1," día"," días"),IF($AN140=FechaRef,"Vence hoy",IF($AN140-FechaRef&lt;=DiasAlerta,"Vence en "&amp;($AN140-FechaRef)&amp;IF($AN140-FechaRef=1," día"," días"),"En plazo")))))))</f>
        <v/>
      </c>
      <c r="P140" s="62" t="n"/>
      <c r="Q140" s="58" t="n"/>
      <c r="R140" s="63">
        <f>IF(NOT((COUNTA($B140:$D140)+COUNTA($G140:$L140)+COUNTA($Q140))&gt;0),"",IF((IF($C140="","Falta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",""))="","✔ OK","⚠ "&amp;LEFT(IF($C140="","Falta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",""),LEN(IF($C140="","Falta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",""))-3)))</f>
        <v/>
      </c>
      <c r="S140" s="64">
        <f>IF(NOT((COUNTA($B140:$D140)+COUNTA($G140:$L140)+COUNTA($Q140))&gt;0),"",IF(AND($V140="Sub",N($U140)&gt;0),IF(ISNUMBER(INDEX($AM$5:$AM$1000,$U140-4)),DATE(YEAR(INDEX($AM$5:$AM$1000,$U140-4)),MONTH(INDEX($AM$5:$AM$1000,$U140-4)),1),IF(ISNUMBER(INDEX($AN$5:$AN$1000,$U140-4)),DATE(YEAR(INDEX($AN$5:$AN$1000,$U140-4)),MONTH(INDEX($AN$5:$AN$1000,$U140-4)),1),MesCiclo)),IF(ISNUMBER($AM140),DATE(YEAR($AM140),MONTH($AM140),1),IF(ISNUMBER($AN140),DATE(YEAR($AN140),MONTH($AN140),1),MesCiclo))))</f>
        <v/>
      </c>
      <c r="T140" s="62">
        <f>IF(OR($S140="",$S140&lt;&gt;MesCiclo),"",COUNTIF($S$5:$S140,MesCiclo))</f>
        <v/>
      </c>
      <c r="U140" s="62">
        <f>IF($V140="","",IF($V140="Macro",ROW(),IFERROR(LOOKUP(2,1/($V$5:$V140="Macro"),ROW($V$5:$V140)),0)))</f>
        <v/>
      </c>
      <c r="V140" s="62">
        <f>IF(NOT((COUNTA($B140:$D140)+COUNTA($G140:$L140)+COUNTA($Q140))&gt;0),"",IF($B140="Subactividad","Sub","Macro"))</f>
        <v/>
      </c>
      <c r="W140" s="62">
        <f>IF($V140="Macro",COUNTIFS($U$5:$U$1000,ROW(),$V$5:$V$1000,"Sub"),"")</f>
        <v/>
      </c>
      <c r="X140" s="62">
        <f>IF($V140="","",IF(ISNUMBER($G140),1,IFERROR(LOOKUP(2,1/($I140:$L140&lt;&gt;""),$I140:$L140),0)))</f>
        <v/>
      </c>
      <c r="Y140" s="62">
        <f>IF($V140="","",IF(AND(ISNUMBER($G140),$G140&lt;=IF($S140=MesCiclo,InicioCiclo,$S140+MOD(2-WEEKDAY($S140),7))+6),1,IF(ISNUMBER($I140),$I140,0)))</f>
        <v/>
      </c>
      <c r="Z140" s="62">
        <f>IF($V140="","",IF(AND(ISNUMBER($G140),$G140&lt;=IF($S140=MesCiclo,InicioCiclo,$S140+MOD(2-WEEKDAY($S140),7))+13),1,IF(ISNUMBER($J140),$J140,$Y140)))</f>
        <v/>
      </c>
      <c r="AA140" s="62">
        <f>IF($V140="","",IF(AND(ISNUMBER($G140),$G140&lt;=IF($S140=MesCiclo,InicioCiclo,$S140+MOD(2-WEEKDAY($S140),7))+20),1,IF(ISNUMBER($K140),$K140,$Z140)))</f>
        <v/>
      </c>
      <c r="AB140" s="62">
        <f>IF($V140="","",IF(AND(ISNUMBER($G140),$G140&lt;=IF($S140=MesCiclo,InicioCiclo,$S140+MOD(2-WEEKDAY($S140),7))+27),1,IF(ISNUMBER($L140),$L140,$AA140)))</f>
        <v/>
      </c>
      <c r="AC140" s="62">
        <f>IF($V140="","",IF(AND(ISNUMBER($G140),$G140&lt;=IF($S140=MesCiclo,InicioCiclo,$S140+MOD(2-WEEKDAY($S140),7))+6),1,IF(N($W140)&gt;0,AVERAGEIFS($Y$5:$Y$1000,$U$5:$U$1000,ROW(),$V$5:$V$1000,"Sub"),$Y140)))</f>
        <v/>
      </c>
      <c r="AD140" s="62">
        <f>IF($V140="","",IF(AND(ISNUMBER($G140),$G140&lt;=IF($S140=MesCiclo,InicioCiclo,$S140+MOD(2-WEEKDAY($S140),7))+13),1,IF(N($W140)&gt;0,AVERAGEIFS($Z$5:$Z$1000,$U$5:$U$1000,ROW(),$V$5:$V$1000,"Sub"),$Z140)))</f>
        <v/>
      </c>
      <c r="AE140" s="62">
        <f>IF($V140="","",IF(AND(ISNUMBER($G140),$G140&lt;=IF($S140=MesCiclo,InicioCiclo,$S140+MOD(2-WEEKDAY($S140),7))+20),1,IF(N($W140)&gt;0,AVERAGEIFS($AA$5:$AA$1000,$U$5:$U$1000,ROW(),$V$5:$V$1000,"Sub"),$AA140)))</f>
        <v/>
      </c>
      <c r="AF140" s="62">
        <f>IF($V140="","",IF(AND(ISNUMBER($G140),$G140&lt;=IF($S140=MesCiclo,InicioCiclo,$S140+MOD(2-WEEKDAY($S140),7))+27),1,IF(N($W140)&gt;0,AVERAGEIFS($AB$5:$AB$1000,$U$5:$U$1000,ROW(),$V$5:$V$1000,"Sub"),$AB140)))</f>
        <v/>
      </c>
      <c r="AG140" s="62">
        <f>IF($V140&lt;&gt;"Macro","",IF(COUNTIFS($S$5:$S$1000,$S140,$V$5:$V$1000,"Macro",$H$5:$H$1000,"&gt;0")=0,1/COUNTIFS($S$5:$S$1000,$S140,$V$5:$V$1000,"Macro"),IF(AND(ISNUMBER($H140),N($H140)&gt;0),$H140,SUMIFS($H$5:$H$1000,$S$5:$S$1000,$S140,$V$5:$V$1000,"Macro")/COUNTIFS($S$5:$S$1000,$S140,$V$5:$V$1000,"Macro",$H$5:$H$1000,"&gt;0"))/(COUNTIFS($S$5:$S$1000,$S140,$V$5:$V$1000,"Macro")*SUMIFS($H$5:$H$1000,$S$5:$S$1000,$S140,$V$5:$V$1000,"Macro")/COUNTIFS($S$5:$S$1000,$S140,$V$5:$V$1000,"Macro",$H$5:$H$1000,"&gt;0"))))</f>
        <v/>
      </c>
      <c r="AH140" s="62" t="n"/>
      <c r="AI140" s="62" t="n"/>
      <c r="AJ140" s="62" t="n"/>
      <c r="AK140" s="62" t="n"/>
      <c r="AL140" s="62">
        <f>IF(LEFT($C140,11)="[Jefatura] ",IFERROR(MATCH("Riesgo Financiero|"&amp;MID($C140,12,500),rDname_ADM,0),0),"")</f>
        <v/>
      </c>
      <c r="AM140" s="62">
        <f>IF(N($AL140)&gt;0,INDEX(rIni_ADM,$AL140),IF(ISNUMBER($E140),$E140,""))</f>
        <v/>
      </c>
      <c r="AN140" s="62">
        <f>IF(N($AL140)&gt;0,INDEX(rLim_ADM,$AL140),IF(ISNUMBER($F140),$F140,""))</f>
        <v/>
      </c>
    </row>
    <row r="141">
      <c r="A141" s="56">
        <f>IF(NOT((COUNTA($B141:$D141)+COUNTA($G141:$L141)+COUNTA($Q141))&gt;0),"",IF($V141="Macro",COUNTIFS($V$5:$V141,"Macro",$S$5:$S141,$S141),IF(N($U141)=0,"?",COUNTIFS(INDEX($V$5:$V$1000,1):INDEX($V$5:$V$1000,$U141-4),"Macro",INDEX($S$5:$S$1000,1):INDEX($S$5:$S$1000,$U141-4),INDEX($S$5:$S$1000,$U141-4))&amp;"."&amp;COUNTIFS($U$5:$U141,$U141,$V$5:$V141,"Sub"))))</f>
        <v/>
      </c>
      <c r="B141" s="57" t="n"/>
      <c r="C141" s="58" t="n"/>
      <c r="D141" s="58" t="n"/>
      <c r="E141" s="59">
        <f>IF(N($AL141)&gt;0,INDEX(rIni_ADM,$AL141),"")</f>
        <v/>
      </c>
      <c r="F141" s="59">
        <f>IF(N($AL141)&gt;0,INDEX(rLim_ADM,$AL141),"")</f>
        <v/>
      </c>
      <c r="G141" s="59" t="n"/>
      <c r="H141" s="60" t="n"/>
      <c r="I141" s="60" t="n"/>
      <c r="J141" s="60" t="n"/>
      <c r="K141" s="60" t="n"/>
      <c r="L141" s="60" t="n"/>
      <c r="M141" s="61">
        <f>IF(NOT((COUNTA($B141:$D141)+COUNTA($G141:$L141)+COUNTA($Q141))&gt;0),"",IF(ISNUMBER($G141),1,IF(N($W141)&gt;0,AVERAGEIFS($X$5:$X$1000,$U$5:$U$1000,ROW(),$V$5:$V$1000,"Sub"),$X141)))</f>
        <v/>
      </c>
      <c r="N141" s="56">
        <f>IF($M141="","",IF($M141&gt;=1,"Completado",IF($M141&gt;0,"En curso","Pendiente")))</f>
        <v/>
      </c>
      <c r="O141" s="56">
        <f>IF(NOT((COUNTA($B141:$D141)+COUNTA($G141:$L141)+COUNTA($Q141))&gt;0),"",IF(ISNUMBER($G141),IF(AND(ISNUMBER($AN141),$G141&gt;$AN141),"Cumplida con "&amp;($G141-$AN141)&amp;IF($G141-$AN141=1," día"," días")&amp;" de retraso","Cumplida"),IF(N($M141)&gt;=1,"Cumplida",IF(NOT(ISNUMBER($AN141)),"Sin fecha límite",IF($AN141&lt;FechaRef,"Vencida hace "&amp;(FechaRef-$AN141)&amp;IF(FechaRef-$AN141=1," día"," días"),IF($AN141=FechaRef,"Vence hoy",IF($AN141-FechaRef&lt;=DiasAlerta,"Vence en "&amp;($AN141-FechaRef)&amp;IF($AN141-FechaRef=1," día"," días"),"En plazo")))))))</f>
        <v/>
      </c>
      <c r="P141" s="62" t="n"/>
      <c r="Q141" s="58" t="n"/>
      <c r="R141" s="63">
        <f>IF(NOT((COUNTA($B141:$D141)+COUNTA($G141:$L141)+COUNTA($Q141))&gt;0),"",IF((IF($C141="","Falta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",""))="","✔ OK","⚠ "&amp;LEFT(IF($C141="","Falta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",""),LEN(IF($C141="","Falta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",""))-3)))</f>
        <v/>
      </c>
      <c r="S141" s="64">
        <f>IF(NOT((COUNTA($B141:$D141)+COUNTA($G141:$L141)+COUNTA($Q141))&gt;0),"",IF(AND($V141="Sub",N($U141)&gt;0),IF(ISNUMBER(INDEX($AM$5:$AM$1000,$U141-4)),DATE(YEAR(INDEX($AM$5:$AM$1000,$U141-4)),MONTH(INDEX($AM$5:$AM$1000,$U141-4)),1),IF(ISNUMBER(INDEX($AN$5:$AN$1000,$U141-4)),DATE(YEAR(INDEX($AN$5:$AN$1000,$U141-4)),MONTH(INDEX($AN$5:$AN$1000,$U141-4)),1),MesCiclo)),IF(ISNUMBER($AM141),DATE(YEAR($AM141),MONTH($AM141),1),IF(ISNUMBER($AN141),DATE(YEAR($AN141),MONTH($AN141),1),MesCiclo))))</f>
        <v/>
      </c>
      <c r="T141" s="62">
        <f>IF(OR($S141="",$S141&lt;&gt;MesCiclo),"",COUNTIF($S$5:$S141,MesCiclo))</f>
        <v/>
      </c>
      <c r="U141" s="62">
        <f>IF($V141="","",IF($V141="Macro",ROW(),IFERROR(LOOKUP(2,1/($V$5:$V141="Macro"),ROW($V$5:$V141)),0)))</f>
        <v/>
      </c>
      <c r="V141" s="62">
        <f>IF(NOT((COUNTA($B141:$D141)+COUNTA($G141:$L141)+COUNTA($Q141))&gt;0),"",IF($B141="Subactividad","Sub","Macro"))</f>
        <v/>
      </c>
      <c r="W141" s="62">
        <f>IF($V141="Macro",COUNTIFS($U$5:$U$1000,ROW(),$V$5:$V$1000,"Sub"),"")</f>
        <v/>
      </c>
      <c r="X141" s="62">
        <f>IF($V141="","",IF(ISNUMBER($G141),1,IFERROR(LOOKUP(2,1/($I141:$L141&lt;&gt;""),$I141:$L141),0)))</f>
        <v/>
      </c>
      <c r="Y141" s="62">
        <f>IF($V141="","",IF(AND(ISNUMBER($G141),$G141&lt;=IF($S141=MesCiclo,InicioCiclo,$S141+MOD(2-WEEKDAY($S141),7))+6),1,IF(ISNUMBER($I141),$I141,0)))</f>
        <v/>
      </c>
      <c r="Z141" s="62">
        <f>IF($V141="","",IF(AND(ISNUMBER($G141),$G141&lt;=IF($S141=MesCiclo,InicioCiclo,$S141+MOD(2-WEEKDAY($S141),7))+13),1,IF(ISNUMBER($J141),$J141,$Y141)))</f>
        <v/>
      </c>
      <c r="AA141" s="62">
        <f>IF($V141="","",IF(AND(ISNUMBER($G141),$G141&lt;=IF($S141=MesCiclo,InicioCiclo,$S141+MOD(2-WEEKDAY($S141),7))+20),1,IF(ISNUMBER($K141),$K141,$Z141)))</f>
        <v/>
      </c>
      <c r="AB141" s="62">
        <f>IF($V141="","",IF(AND(ISNUMBER($G141),$G141&lt;=IF($S141=MesCiclo,InicioCiclo,$S141+MOD(2-WEEKDAY($S141),7))+27),1,IF(ISNUMBER($L141),$L141,$AA141)))</f>
        <v/>
      </c>
      <c r="AC141" s="62">
        <f>IF($V141="","",IF(AND(ISNUMBER($G141),$G141&lt;=IF($S141=MesCiclo,InicioCiclo,$S141+MOD(2-WEEKDAY($S141),7))+6),1,IF(N($W141)&gt;0,AVERAGEIFS($Y$5:$Y$1000,$U$5:$U$1000,ROW(),$V$5:$V$1000,"Sub"),$Y141)))</f>
        <v/>
      </c>
      <c r="AD141" s="62">
        <f>IF($V141="","",IF(AND(ISNUMBER($G141),$G141&lt;=IF($S141=MesCiclo,InicioCiclo,$S141+MOD(2-WEEKDAY($S141),7))+13),1,IF(N($W141)&gt;0,AVERAGEIFS($Z$5:$Z$1000,$U$5:$U$1000,ROW(),$V$5:$V$1000,"Sub"),$Z141)))</f>
        <v/>
      </c>
      <c r="AE141" s="62">
        <f>IF($V141="","",IF(AND(ISNUMBER($G141),$G141&lt;=IF($S141=MesCiclo,InicioCiclo,$S141+MOD(2-WEEKDAY($S141),7))+20),1,IF(N($W141)&gt;0,AVERAGEIFS($AA$5:$AA$1000,$U$5:$U$1000,ROW(),$V$5:$V$1000,"Sub"),$AA141)))</f>
        <v/>
      </c>
      <c r="AF141" s="62">
        <f>IF($V141="","",IF(AND(ISNUMBER($G141),$G141&lt;=IF($S141=MesCiclo,InicioCiclo,$S141+MOD(2-WEEKDAY($S141),7))+27),1,IF(N($W141)&gt;0,AVERAGEIFS($AB$5:$AB$1000,$U$5:$U$1000,ROW(),$V$5:$V$1000,"Sub"),$AB141)))</f>
        <v/>
      </c>
      <c r="AG141" s="62">
        <f>IF($V141&lt;&gt;"Macro","",IF(COUNTIFS($S$5:$S$1000,$S141,$V$5:$V$1000,"Macro",$H$5:$H$1000,"&gt;0")=0,1/COUNTIFS($S$5:$S$1000,$S141,$V$5:$V$1000,"Macro"),IF(AND(ISNUMBER($H141),N($H141)&gt;0),$H141,SUMIFS($H$5:$H$1000,$S$5:$S$1000,$S141,$V$5:$V$1000,"Macro")/COUNTIFS($S$5:$S$1000,$S141,$V$5:$V$1000,"Macro",$H$5:$H$1000,"&gt;0"))/(COUNTIFS($S$5:$S$1000,$S141,$V$5:$V$1000,"Macro")*SUMIFS($H$5:$H$1000,$S$5:$S$1000,$S141,$V$5:$V$1000,"Macro")/COUNTIFS($S$5:$S$1000,$S141,$V$5:$V$1000,"Macro",$H$5:$H$1000,"&gt;0"))))</f>
        <v/>
      </c>
      <c r="AH141" s="62" t="n"/>
      <c r="AI141" s="62" t="n"/>
      <c r="AJ141" s="62" t="n"/>
      <c r="AK141" s="62" t="n"/>
      <c r="AL141" s="62">
        <f>IF(LEFT($C141,11)="[Jefatura] ",IFERROR(MATCH("Riesgo Financiero|"&amp;MID($C141,12,500),rDname_ADM,0),0),"")</f>
        <v/>
      </c>
      <c r="AM141" s="62">
        <f>IF(N($AL141)&gt;0,INDEX(rIni_ADM,$AL141),IF(ISNUMBER($E141),$E141,""))</f>
        <v/>
      </c>
      <c r="AN141" s="62">
        <f>IF(N($AL141)&gt;0,INDEX(rLim_ADM,$AL141),IF(ISNUMBER($F141),$F141,""))</f>
        <v/>
      </c>
    </row>
    <row r="142">
      <c r="A142" s="56">
        <f>IF(NOT((COUNTA($B142:$D142)+COUNTA($G142:$L142)+COUNTA($Q142))&gt;0),"",IF($V142="Macro",COUNTIFS($V$5:$V142,"Macro",$S$5:$S142,$S142),IF(N($U142)=0,"?",COUNTIFS(INDEX($V$5:$V$1000,1):INDEX($V$5:$V$1000,$U142-4),"Macro",INDEX($S$5:$S$1000,1):INDEX($S$5:$S$1000,$U142-4),INDEX($S$5:$S$1000,$U142-4))&amp;"."&amp;COUNTIFS($U$5:$U142,$U142,$V$5:$V142,"Sub"))))</f>
        <v/>
      </c>
      <c r="B142" s="57" t="n"/>
      <c r="C142" s="58" t="n"/>
      <c r="D142" s="58" t="n"/>
      <c r="E142" s="59">
        <f>IF(N($AL142)&gt;0,INDEX(rIni_ADM,$AL142),"")</f>
        <v/>
      </c>
      <c r="F142" s="59">
        <f>IF(N($AL142)&gt;0,INDEX(rLim_ADM,$AL142),"")</f>
        <v/>
      </c>
      <c r="G142" s="59" t="n"/>
      <c r="H142" s="60" t="n"/>
      <c r="I142" s="60" t="n"/>
      <c r="J142" s="60" t="n"/>
      <c r="K142" s="60" t="n"/>
      <c r="L142" s="60" t="n"/>
      <c r="M142" s="61">
        <f>IF(NOT((COUNTA($B142:$D142)+COUNTA($G142:$L142)+COUNTA($Q142))&gt;0),"",IF(ISNUMBER($G142),1,IF(N($W142)&gt;0,AVERAGEIFS($X$5:$X$1000,$U$5:$U$1000,ROW(),$V$5:$V$1000,"Sub"),$X142)))</f>
        <v/>
      </c>
      <c r="N142" s="56">
        <f>IF($M142="","",IF($M142&gt;=1,"Completado",IF($M142&gt;0,"En curso","Pendiente")))</f>
        <v/>
      </c>
      <c r="O142" s="56">
        <f>IF(NOT((COUNTA($B142:$D142)+COUNTA($G142:$L142)+COUNTA($Q142))&gt;0),"",IF(ISNUMBER($G142),IF(AND(ISNUMBER($AN142),$G142&gt;$AN142),"Cumplida con "&amp;($G142-$AN142)&amp;IF($G142-$AN142=1," día"," días")&amp;" de retraso","Cumplida"),IF(N($M142)&gt;=1,"Cumplida",IF(NOT(ISNUMBER($AN142)),"Sin fecha límite",IF($AN142&lt;FechaRef,"Vencida hace "&amp;(FechaRef-$AN142)&amp;IF(FechaRef-$AN142=1," día"," días"),IF($AN142=FechaRef,"Vence hoy",IF($AN142-FechaRef&lt;=DiasAlerta,"Vence en "&amp;($AN142-FechaRef)&amp;IF($AN142-FechaRef=1," día"," días"),"En plazo")))))))</f>
        <v/>
      </c>
      <c r="P142" s="62" t="n"/>
      <c r="Q142" s="58" t="n"/>
      <c r="R142" s="63">
        <f>IF(NOT((COUNTA($B142:$D142)+COUNTA($G142:$L142)+COUNTA($Q142))&gt;0),"",IF((IF($C142="","Falta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",""))="","✔ OK","⚠ "&amp;LEFT(IF($C142="","Falta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",""),LEN(IF($C142="","Falta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",""))-3)))</f>
        <v/>
      </c>
      <c r="S142" s="64">
        <f>IF(NOT((COUNTA($B142:$D142)+COUNTA($G142:$L142)+COUNTA($Q142))&gt;0),"",IF(AND($V142="Sub",N($U142)&gt;0),IF(ISNUMBER(INDEX($AM$5:$AM$1000,$U142-4)),DATE(YEAR(INDEX($AM$5:$AM$1000,$U142-4)),MONTH(INDEX($AM$5:$AM$1000,$U142-4)),1),IF(ISNUMBER(INDEX($AN$5:$AN$1000,$U142-4)),DATE(YEAR(INDEX($AN$5:$AN$1000,$U142-4)),MONTH(INDEX($AN$5:$AN$1000,$U142-4)),1),MesCiclo)),IF(ISNUMBER($AM142),DATE(YEAR($AM142),MONTH($AM142),1),IF(ISNUMBER($AN142),DATE(YEAR($AN142),MONTH($AN142),1),MesCiclo))))</f>
        <v/>
      </c>
      <c r="T142" s="62">
        <f>IF(OR($S142="",$S142&lt;&gt;MesCiclo),"",COUNTIF($S$5:$S142,MesCiclo))</f>
        <v/>
      </c>
      <c r="U142" s="62">
        <f>IF($V142="","",IF($V142="Macro",ROW(),IFERROR(LOOKUP(2,1/($V$5:$V142="Macro"),ROW($V$5:$V142)),0)))</f>
        <v/>
      </c>
      <c r="V142" s="62">
        <f>IF(NOT((COUNTA($B142:$D142)+COUNTA($G142:$L142)+COUNTA($Q142))&gt;0),"",IF($B142="Subactividad","Sub","Macro"))</f>
        <v/>
      </c>
      <c r="W142" s="62">
        <f>IF($V142="Macro",COUNTIFS($U$5:$U$1000,ROW(),$V$5:$V$1000,"Sub"),"")</f>
        <v/>
      </c>
      <c r="X142" s="62">
        <f>IF($V142="","",IF(ISNUMBER($G142),1,IFERROR(LOOKUP(2,1/($I142:$L142&lt;&gt;""),$I142:$L142),0)))</f>
        <v/>
      </c>
      <c r="Y142" s="62">
        <f>IF($V142="","",IF(AND(ISNUMBER($G142),$G142&lt;=IF($S142=MesCiclo,InicioCiclo,$S142+MOD(2-WEEKDAY($S142),7))+6),1,IF(ISNUMBER($I142),$I142,0)))</f>
        <v/>
      </c>
      <c r="Z142" s="62">
        <f>IF($V142="","",IF(AND(ISNUMBER($G142),$G142&lt;=IF($S142=MesCiclo,InicioCiclo,$S142+MOD(2-WEEKDAY($S142),7))+13),1,IF(ISNUMBER($J142),$J142,$Y142)))</f>
        <v/>
      </c>
      <c r="AA142" s="62">
        <f>IF($V142="","",IF(AND(ISNUMBER($G142),$G142&lt;=IF($S142=MesCiclo,InicioCiclo,$S142+MOD(2-WEEKDAY($S142),7))+20),1,IF(ISNUMBER($K142),$K142,$Z142)))</f>
        <v/>
      </c>
      <c r="AB142" s="62">
        <f>IF($V142="","",IF(AND(ISNUMBER($G142),$G142&lt;=IF($S142=MesCiclo,InicioCiclo,$S142+MOD(2-WEEKDAY($S142),7))+27),1,IF(ISNUMBER($L142),$L142,$AA142)))</f>
        <v/>
      </c>
      <c r="AC142" s="62">
        <f>IF($V142="","",IF(AND(ISNUMBER($G142),$G142&lt;=IF($S142=MesCiclo,InicioCiclo,$S142+MOD(2-WEEKDAY($S142),7))+6),1,IF(N($W142)&gt;0,AVERAGEIFS($Y$5:$Y$1000,$U$5:$U$1000,ROW(),$V$5:$V$1000,"Sub"),$Y142)))</f>
        <v/>
      </c>
      <c r="AD142" s="62">
        <f>IF($V142="","",IF(AND(ISNUMBER($G142),$G142&lt;=IF($S142=MesCiclo,InicioCiclo,$S142+MOD(2-WEEKDAY($S142),7))+13),1,IF(N($W142)&gt;0,AVERAGEIFS($Z$5:$Z$1000,$U$5:$U$1000,ROW(),$V$5:$V$1000,"Sub"),$Z142)))</f>
        <v/>
      </c>
      <c r="AE142" s="62">
        <f>IF($V142="","",IF(AND(ISNUMBER($G142),$G142&lt;=IF($S142=MesCiclo,InicioCiclo,$S142+MOD(2-WEEKDAY($S142),7))+20),1,IF(N($W142)&gt;0,AVERAGEIFS($AA$5:$AA$1000,$U$5:$U$1000,ROW(),$V$5:$V$1000,"Sub"),$AA142)))</f>
        <v/>
      </c>
      <c r="AF142" s="62">
        <f>IF($V142="","",IF(AND(ISNUMBER($G142),$G142&lt;=IF($S142=MesCiclo,InicioCiclo,$S142+MOD(2-WEEKDAY($S142),7))+27),1,IF(N($W142)&gt;0,AVERAGEIFS($AB$5:$AB$1000,$U$5:$U$1000,ROW(),$V$5:$V$1000,"Sub"),$AB142)))</f>
        <v/>
      </c>
      <c r="AG142" s="62">
        <f>IF($V142&lt;&gt;"Macro","",IF(COUNTIFS($S$5:$S$1000,$S142,$V$5:$V$1000,"Macro",$H$5:$H$1000,"&gt;0")=0,1/COUNTIFS($S$5:$S$1000,$S142,$V$5:$V$1000,"Macro"),IF(AND(ISNUMBER($H142),N($H142)&gt;0),$H142,SUMIFS($H$5:$H$1000,$S$5:$S$1000,$S142,$V$5:$V$1000,"Macro")/COUNTIFS($S$5:$S$1000,$S142,$V$5:$V$1000,"Macro",$H$5:$H$1000,"&gt;0"))/(COUNTIFS($S$5:$S$1000,$S142,$V$5:$V$1000,"Macro")*SUMIFS($H$5:$H$1000,$S$5:$S$1000,$S142,$V$5:$V$1000,"Macro")/COUNTIFS($S$5:$S$1000,$S142,$V$5:$V$1000,"Macro",$H$5:$H$1000,"&gt;0"))))</f>
        <v/>
      </c>
      <c r="AH142" s="62" t="n"/>
      <c r="AI142" s="62" t="n"/>
      <c r="AJ142" s="62" t="n"/>
      <c r="AK142" s="62" t="n"/>
      <c r="AL142" s="62">
        <f>IF(LEFT($C142,11)="[Jefatura] ",IFERROR(MATCH("Riesgo Financiero|"&amp;MID($C142,12,500),rDname_ADM,0),0),"")</f>
        <v/>
      </c>
      <c r="AM142" s="62">
        <f>IF(N($AL142)&gt;0,INDEX(rIni_ADM,$AL142),IF(ISNUMBER($E142),$E142,""))</f>
        <v/>
      </c>
      <c r="AN142" s="62">
        <f>IF(N($AL142)&gt;0,INDEX(rLim_ADM,$AL142),IF(ISNUMBER($F142),$F142,""))</f>
        <v/>
      </c>
    </row>
    <row r="143">
      <c r="A143" s="56">
        <f>IF(NOT((COUNTA($B143:$D143)+COUNTA($G143:$L143)+COUNTA($Q143))&gt;0),"",IF($V143="Macro",COUNTIFS($V$5:$V143,"Macro",$S$5:$S143,$S143),IF(N($U143)=0,"?",COUNTIFS(INDEX($V$5:$V$1000,1):INDEX($V$5:$V$1000,$U143-4),"Macro",INDEX($S$5:$S$1000,1):INDEX($S$5:$S$1000,$U143-4),INDEX($S$5:$S$1000,$U143-4))&amp;"."&amp;COUNTIFS($U$5:$U143,$U143,$V$5:$V143,"Sub"))))</f>
        <v/>
      </c>
      <c r="B143" s="57" t="n"/>
      <c r="C143" s="58" t="n"/>
      <c r="D143" s="58" t="n"/>
      <c r="E143" s="59">
        <f>IF(N($AL143)&gt;0,INDEX(rIni_ADM,$AL143),"")</f>
        <v/>
      </c>
      <c r="F143" s="59">
        <f>IF(N($AL143)&gt;0,INDEX(rLim_ADM,$AL143),"")</f>
        <v/>
      </c>
      <c r="G143" s="59" t="n"/>
      <c r="H143" s="60" t="n"/>
      <c r="I143" s="60" t="n"/>
      <c r="J143" s="60" t="n"/>
      <c r="K143" s="60" t="n"/>
      <c r="L143" s="60" t="n"/>
      <c r="M143" s="61">
        <f>IF(NOT((COUNTA($B143:$D143)+COUNTA($G143:$L143)+COUNTA($Q143))&gt;0),"",IF(ISNUMBER($G143),1,IF(N($W143)&gt;0,AVERAGEIFS($X$5:$X$1000,$U$5:$U$1000,ROW(),$V$5:$V$1000,"Sub"),$X143)))</f>
        <v/>
      </c>
      <c r="N143" s="56">
        <f>IF($M143="","",IF($M143&gt;=1,"Completado",IF($M143&gt;0,"En curso","Pendiente")))</f>
        <v/>
      </c>
      <c r="O143" s="56">
        <f>IF(NOT((COUNTA($B143:$D143)+COUNTA($G143:$L143)+COUNTA($Q143))&gt;0),"",IF(ISNUMBER($G143),IF(AND(ISNUMBER($AN143),$G143&gt;$AN143),"Cumplida con "&amp;($G143-$AN143)&amp;IF($G143-$AN143=1," día"," días")&amp;" de retraso","Cumplida"),IF(N($M143)&gt;=1,"Cumplida",IF(NOT(ISNUMBER($AN143)),"Sin fecha límite",IF($AN143&lt;FechaRef,"Vencida hace "&amp;(FechaRef-$AN143)&amp;IF(FechaRef-$AN143=1," día"," días"),IF($AN143=FechaRef,"Vence hoy",IF($AN143-FechaRef&lt;=DiasAlerta,"Vence en "&amp;($AN143-FechaRef)&amp;IF($AN143-FechaRef=1," día"," días"),"En plazo")))))))</f>
        <v/>
      </c>
      <c r="P143" s="62" t="n"/>
      <c r="Q143" s="58" t="n"/>
      <c r="R143" s="63">
        <f>IF(NOT((COUNTA($B143:$D143)+COUNTA($G143:$L143)+COUNTA($Q143))&gt;0),"",IF((IF($C143="","Falta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",""))="","✔ OK","⚠ "&amp;LEFT(IF($C143="","Falta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",""),LEN(IF($C143="","Falta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",""))-3)))</f>
        <v/>
      </c>
      <c r="S143" s="64">
        <f>IF(NOT((COUNTA($B143:$D143)+COUNTA($G143:$L143)+COUNTA($Q143))&gt;0),"",IF(AND($V143="Sub",N($U143)&gt;0),IF(ISNUMBER(INDEX($AM$5:$AM$1000,$U143-4)),DATE(YEAR(INDEX($AM$5:$AM$1000,$U143-4)),MONTH(INDEX($AM$5:$AM$1000,$U143-4)),1),IF(ISNUMBER(INDEX($AN$5:$AN$1000,$U143-4)),DATE(YEAR(INDEX($AN$5:$AN$1000,$U143-4)),MONTH(INDEX($AN$5:$AN$1000,$U143-4)),1),MesCiclo)),IF(ISNUMBER($AM143),DATE(YEAR($AM143),MONTH($AM143),1),IF(ISNUMBER($AN143),DATE(YEAR($AN143),MONTH($AN143),1),MesCiclo))))</f>
        <v/>
      </c>
      <c r="T143" s="62">
        <f>IF(OR($S143="",$S143&lt;&gt;MesCiclo),"",COUNTIF($S$5:$S143,MesCiclo))</f>
        <v/>
      </c>
      <c r="U143" s="62">
        <f>IF($V143="","",IF($V143="Macro",ROW(),IFERROR(LOOKUP(2,1/($V$5:$V143="Macro"),ROW($V$5:$V143)),0)))</f>
        <v/>
      </c>
      <c r="V143" s="62">
        <f>IF(NOT((COUNTA($B143:$D143)+COUNTA($G143:$L143)+COUNTA($Q143))&gt;0),"",IF($B143="Subactividad","Sub","Macro"))</f>
        <v/>
      </c>
      <c r="W143" s="62">
        <f>IF($V143="Macro",COUNTIFS($U$5:$U$1000,ROW(),$V$5:$V$1000,"Sub"),"")</f>
        <v/>
      </c>
      <c r="X143" s="62">
        <f>IF($V143="","",IF(ISNUMBER($G143),1,IFERROR(LOOKUP(2,1/($I143:$L143&lt;&gt;""),$I143:$L143),0)))</f>
        <v/>
      </c>
      <c r="Y143" s="62">
        <f>IF($V143="","",IF(AND(ISNUMBER($G143),$G143&lt;=IF($S143=MesCiclo,InicioCiclo,$S143+MOD(2-WEEKDAY($S143),7))+6),1,IF(ISNUMBER($I143),$I143,0)))</f>
        <v/>
      </c>
      <c r="Z143" s="62">
        <f>IF($V143="","",IF(AND(ISNUMBER($G143),$G143&lt;=IF($S143=MesCiclo,InicioCiclo,$S143+MOD(2-WEEKDAY($S143),7))+13),1,IF(ISNUMBER($J143),$J143,$Y143)))</f>
        <v/>
      </c>
      <c r="AA143" s="62">
        <f>IF($V143="","",IF(AND(ISNUMBER($G143),$G143&lt;=IF($S143=MesCiclo,InicioCiclo,$S143+MOD(2-WEEKDAY($S143),7))+20),1,IF(ISNUMBER($K143),$K143,$Z143)))</f>
        <v/>
      </c>
      <c r="AB143" s="62">
        <f>IF($V143="","",IF(AND(ISNUMBER($G143),$G143&lt;=IF($S143=MesCiclo,InicioCiclo,$S143+MOD(2-WEEKDAY($S143),7))+27),1,IF(ISNUMBER($L143),$L143,$AA143)))</f>
        <v/>
      </c>
      <c r="AC143" s="62">
        <f>IF($V143="","",IF(AND(ISNUMBER($G143),$G143&lt;=IF($S143=MesCiclo,InicioCiclo,$S143+MOD(2-WEEKDAY($S143),7))+6),1,IF(N($W143)&gt;0,AVERAGEIFS($Y$5:$Y$1000,$U$5:$U$1000,ROW(),$V$5:$V$1000,"Sub"),$Y143)))</f>
        <v/>
      </c>
      <c r="AD143" s="62">
        <f>IF($V143="","",IF(AND(ISNUMBER($G143),$G143&lt;=IF($S143=MesCiclo,InicioCiclo,$S143+MOD(2-WEEKDAY($S143),7))+13),1,IF(N($W143)&gt;0,AVERAGEIFS($Z$5:$Z$1000,$U$5:$U$1000,ROW(),$V$5:$V$1000,"Sub"),$Z143)))</f>
        <v/>
      </c>
      <c r="AE143" s="62">
        <f>IF($V143="","",IF(AND(ISNUMBER($G143),$G143&lt;=IF($S143=MesCiclo,InicioCiclo,$S143+MOD(2-WEEKDAY($S143),7))+20),1,IF(N($W143)&gt;0,AVERAGEIFS($AA$5:$AA$1000,$U$5:$U$1000,ROW(),$V$5:$V$1000,"Sub"),$AA143)))</f>
        <v/>
      </c>
      <c r="AF143" s="62">
        <f>IF($V143="","",IF(AND(ISNUMBER($G143),$G143&lt;=IF($S143=MesCiclo,InicioCiclo,$S143+MOD(2-WEEKDAY($S143),7))+27),1,IF(N($W143)&gt;0,AVERAGEIFS($AB$5:$AB$1000,$U$5:$U$1000,ROW(),$V$5:$V$1000,"Sub"),$AB143)))</f>
        <v/>
      </c>
      <c r="AG143" s="62">
        <f>IF($V143&lt;&gt;"Macro","",IF(COUNTIFS($S$5:$S$1000,$S143,$V$5:$V$1000,"Macro",$H$5:$H$1000,"&gt;0")=0,1/COUNTIFS($S$5:$S$1000,$S143,$V$5:$V$1000,"Macro"),IF(AND(ISNUMBER($H143),N($H143)&gt;0),$H143,SUMIFS($H$5:$H$1000,$S$5:$S$1000,$S143,$V$5:$V$1000,"Macro")/COUNTIFS($S$5:$S$1000,$S143,$V$5:$V$1000,"Macro",$H$5:$H$1000,"&gt;0"))/(COUNTIFS($S$5:$S$1000,$S143,$V$5:$V$1000,"Macro")*SUMIFS($H$5:$H$1000,$S$5:$S$1000,$S143,$V$5:$V$1000,"Macro")/COUNTIFS($S$5:$S$1000,$S143,$V$5:$V$1000,"Macro",$H$5:$H$1000,"&gt;0"))))</f>
        <v/>
      </c>
      <c r="AH143" s="62" t="n"/>
      <c r="AI143" s="62" t="n"/>
      <c r="AJ143" s="62" t="n"/>
      <c r="AK143" s="62" t="n"/>
      <c r="AL143" s="62">
        <f>IF(LEFT($C143,11)="[Jefatura] ",IFERROR(MATCH("Riesgo Financiero|"&amp;MID($C143,12,500),rDname_ADM,0),0),"")</f>
        <v/>
      </c>
      <c r="AM143" s="62">
        <f>IF(N($AL143)&gt;0,INDEX(rIni_ADM,$AL143),IF(ISNUMBER($E143),$E143,""))</f>
        <v/>
      </c>
      <c r="AN143" s="62">
        <f>IF(N($AL143)&gt;0,INDEX(rLim_ADM,$AL143),IF(ISNUMBER($F143),$F143,""))</f>
        <v/>
      </c>
    </row>
    <row r="144">
      <c r="A144" s="56">
        <f>IF(NOT((COUNTA($B144:$D144)+COUNTA($G144:$L144)+COUNTA($Q144))&gt;0),"",IF($V144="Macro",COUNTIFS($V$5:$V144,"Macro",$S$5:$S144,$S144),IF(N($U144)=0,"?",COUNTIFS(INDEX($V$5:$V$1000,1):INDEX($V$5:$V$1000,$U144-4),"Macro",INDEX($S$5:$S$1000,1):INDEX($S$5:$S$1000,$U144-4),INDEX($S$5:$S$1000,$U144-4))&amp;"."&amp;COUNTIFS($U$5:$U144,$U144,$V$5:$V144,"Sub"))))</f>
        <v/>
      </c>
      <c r="B144" s="57" t="n"/>
      <c r="C144" s="58" t="n"/>
      <c r="D144" s="58" t="n"/>
      <c r="E144" s="59">
        <f>IF(N($AL144)&gt;0,INDEX(rIni_ADM,$AL144),"")</f>
        <v/>
      </c>
      <c r="F144" s="59">
        <f>IF(N($AL144)&gt;0,INDEX(rLim_ADM,$AL144),"")</f>
        <v/>
      </c>
      <c r="G144" s="59" t="n"/>
      <c r="H144" s="60" t="n"/>
      <c r="I144" s="60" t="n"/>
      <c r="J144" s="60" t="n"/>
      <c r="K144" s="60" t="n"/>
      <c r="L144" s="60" t="n"/>
      <c r="M144" s="61">
        <f>IF(NOT((COUNTA($B144:$D144)+COUNTA($G144:$L144)+COUNTA($Q144))&gt;0),"",IF(ISNUMBER($G144),1,IF(N($W144)&gt;0,AVERAGEIFS($X$5:$X$1000,$U$5:$U$1000,ROW(),$V$5:$V$1000,"Sub"),$X144)))</f>
        <v/>
      </c>
      <c r="N144" s="56">
        <f>IF($M144="","",IF($M144&gt;=1,"Completado",IF($M144&gt;0,"En curso","Pendiente")))</f>
        <v/>
      </c>
      <c r="O144" s="56">
        <f>IF(NOT((COUNTA($B144:$D144)+COUNTA($G144:$L144)+COUNTA($Q144))&gt;0),"",IF(ISNUMBER($G144),IF(AND(ISNUMBER($AN144),$G144&gt;$AN144),"Cumplida con "&amp;($G144-$AN144)&amp;IF($G144-$AN144=1," día"," días")&amp;" de retraso","Cumplida"),IF(N($M144)&gt;=1,"Cumplida",IF(NOT(ISNUMBER($AN144)),"Sin fecha límite",IF($AN144&lt;FechaRef,"Vencida hace "&amp;(FechaRef-$AN144)&amp;IF(FechaRef-$AN144=1," día"," días"),IF($AN144=FechaRef,"Vence hoy",IF($AN144-FechaRef&lt;=DiasAlerta,"Vence en "&amp;($AN144-FechaRef)&amp;IF($AN144-FechaRef=1," día"," días"),"En plazo")))))))</f>
        <v/>
      </c>
      <c r="P144" s="62" t="n"/>
      <c r="Q144" s="58" t="n"/>
      <c r="R144" s="63">
        <f>IF(NOT((COUNTA($B144:$D144)+COUNTA($G144:$L144)+COUNTA($Q144))&gt;0),"",IF((IF($C144="","Falta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",""))="","✔ OK","⚠ "&amp;LEFT(IF($C144="","Falta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",""),LEN(IF($C144="","Falta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",""))-3)))</f>
        <v/>
      </c>
      <c r="S144" s="64">
        <f>IF(NOT((COUNTA($B144:$D144)+COUNTA($G144:$L144)+COUNTA($Q144))&gt;0),"",IF(AND($V144="Sub",N($U144)&gt;0),IF(ISNUMBER(INDEX($AM$5:$AM$1000,$U144-4)),DATE(YEAR(INDEX($AM$5:$AM$1000,$U144-4)),MONTH(INDEX($AM$5:$AM$1000,$U144-4)),1),IF(ISNUMBER(INDEX($AN$5:$AN$1000,$U144-4)),DATE(YEAR(INDEX($AN$5:$AN$1000,$U144-4)),MONTH(INDEX($AN$5:$AN$1000,$U144-4)),1),MesCiclo)),IF(ISNUMBER($AM144),DATE(YEAR($AM144),MONTH($AM144),1),IF(ISNUMBER($AN144),DATE(YEAR($AN144),MONTH($AN144),1),MesCiclo))))</f>
        <v/>
      </c>
      <c r="T144" s="62">
        <f>IF(OR($S144="",$S144&lt;&gt;MesCiclo),"",COUNTIF($S$5:$S144,MesCiclo))</f>
        <v/>
      </c>
      <c r="U144" s="62">
        <f>IF($V144="","",IF($V144="Macro",ROW(),IFERROR(LOOKUP(2,1/($V$5:$V144="Macro"),ROW($V$5:$V144)),0)))</f>
        <v/>
      </c>
      <c r="V144" s="62">
        <f>IF(NOT((COUNTA($B144:$D144)+COUNTA($G144:$L144)+COUNTA($Q144))&gt;0),"",IF($B144="Subactividad","Sub","Macro"))</f>
        <v/>
      </c>
      <c r="W144" s="62">
        <f>IF($V144="Macro",COUNTIFS($U$5:$U$1000,ROW(),$V$5:$V$1000,"Sub"),"")</f>
        <v/>
      </c>
      <c r="X144" s="62">
        <f>IF($V144="","",IF(ISNUMBER($G144),1,IFERROR(LOOKUP(2,1/($I144:$L144&lt;&gt;""),$I144:$L144),0)))</f>
        <v/>
      </c>
      <c r="Y144" s="62">
        <f>IF($V144="","",IF(AND(ISNUMBER($G144),$G144&lt;=IF($S144=MesCiclo,InicioCiclo,$S144+MOD(2-WEEKDAY($S144),7))+6),1,IF(ISNUMBER($I144),$I144,0)))</f>
        <v/>
      </c>
      <c r="Z144" s="62">
        <f>IF($V144="","",IF(AND(ISNUMBER($G144),$G144&lt;=IF($S144=MesCiclo,InicioCiclo,$S144+MOD(2-WEEKDAY($S144),7))+13),1,IF(ISNUMBER($J144),$J144,$Y144)))</f>
        <v/>
      </c>
      <c r="AA144" s="62">
        <f>IF($V144="","",IF(AND(ISNUMBER($G144),$G144&lt;=IF($S144=MesCiclo,InicioCiclo,$S144+MOD(2-WEEKDAY($S144),7))+20),1,IF(ISNUMBER($K144),$K144,$Z144)))</f>
        <v/>
      </c>
      <c r="AB144" s="62">
        <f>IF($V144="","",IF(AND(ISNUMBER($G144),$G144&lt;=IF($S144=MesCiclo,InicioCiclo,$S144+MOD(2-WEEKDAY($S144),7))+27),1,IF(ISNUMBER($L144),$L144,$AA144)))</f>
        <v/>
      </c>
      <c r="AC144" s="62">
        <f>IF($V144="","",IF(AND(ISNUMBER($G144),$G144&lt;=IF($S144=MesCiclo,InicioCiclo,$S144+MOD(2-WEEKDAY($S144),7))+6),1,IF(N($W144)&gt;0,AVERAGEIFS($Y$5:$Y$1000,$U$5:$U$1000,ROW(),$V$5:$V$1000,"Sub"),$Y144)))</f>
        <v/>
      </c>
      <c r="AD144" s="62">
        <f>IF($V144="","",IF(AND(ISNUMBER($G144),$G144&lt;=IF($S144=MesCiclo,InicioCiclo,$S144+MOD(2-WEEKDAY($S144),7))+13),1,IF(N($W144)&gt;0,AVERAGEIFS($Z$5:$Z$1000,$U$5:$U$1000,ROW(),$V$5:$V$1000,"Sub"),$Z144)))</f>
        <v/>
      </c>
      <c r="AE144" s="62">
        <f>IF($V144="","",IF(AND(ISNUMBER($G144),$G144&lt;=IF($S144=MesCiclo,InicioCiclo,$S144+MOD(2-WEEKDAY($S144),7))+20),1,IF(N($W144)&gt;0,AVERAGEIFS($AA$5:$AA$1000,$U$5:$U$1000,ROW(),$V$5:$V$1000,"Sub"),$AA144)))</f>
        <v/>
      </c>
      <c r="AF144" s="62">
        <f>IF($V144="","",IF(AND(ISNUMBER($G144),$G144&lt;=IF($S144=MesCiclo,InicioCiclo,$S144+MOD(2-WEEKDAY($S144),7))+27),1,IF(N($W144)&gt;0,AVERAGEIFS($AB$5:$AB$1000,$U$5:$U$1000,ROW(),$V$5:$V$1000,"Sub"),$AB144)))</f>
        <v/>
      </c>
      <c r="AG144" s="62">
        <f>IF($V144&lt;&gt;"Macro","",IF(COUNTIFS($S$5:$S$1000,$S144,$V$5:$V$1000,"Macro",$H$5:$H$1000,"&gt;0")=0,1/COUNTIFS($S$5:$S$1000,$S144,$V$5:$V$1000,"Macro"),IF(AND(ISNUMBER($H144),N($H144)&gt;0),$H144,SUMIFS($H$5:$H$1000,$S$5:$S$1000,$S144,$V$5:$V$1000,"Macro")/COUNTIFS($S$5:$S$1000,$S144,$V$5:$V$1000,"Macro",$H$5:$H$1000,"&gt;0"))/(COUNTIFS($S$5:$S$1000,$S144,$V$5:$V$1000,"Macro")*SUMIFS($H$5:$H$1000,$S$5:$S$1000,$S144,$V$5:$V$1000,"Macro")/COUNTIFS($S$5:$S$1000,$S144,$V$5:$V$1000,"Macro",$H$5:$H$1000,"&gt;0"))))</f>
        <v/>
      </c>
      <c r="AH144" s="62" t="n"/>
      <c r="AI144" s="62" t="n"/>
      <c r="AJ144" s="62" t="n"/>
      <c r="AK144" s="62" t="n"/>
      <c r="AL144" s="62">
        <f>IF(LEFT($C144,11)="[Jefatura] ",IFERROR(MATCH("Riesgo Financiero|"&amp;MID($C144,12,500),rDname_ADM,0),0),"")</f>
        <v/>
      </c>
      <c r="AM144" s="62">
        <f>IF(N($AL144)&gt;0,INDEX(rIni_ADM,$AL144),IF(ISNUMBER($E144),$E144,""))</f>
        <v/>
      </c>
      <c r="AN144" s="62">
        <f>IF(N($AL144)&gt;0,INDEX(rLim_ADM,$AL144),IF(ISNUMBER($F144),$F144,""))</f>
        <v/>
      </c>
    </row>
    <row r="145">
      <c r="A145" s="56">
        <f>IF(NOT((COUNTA($B145:$D145)+COUNTA($G145:$L145)+COUNTA($Q145))&gt;0),"",IF($V145="Macro",COUNTIFS($V$5:$V145,"Macro",$S$5:$S145,$S145),IF(N($U145)=0,"?",COUNTIFS(INDEX($V$5:$V$1000,1):INDEX($V$5:$V$1000,$U145-4),"Macro",INDEX($S$5:$S$1000,1):INDEX($S$5:$S$1000,$U145-4),INDEX($S$5:$S$1000,$U145-4))&amp;"."&amp;COUNTIFS($U$5:$U145,$U145,$V$5:$V145,"Sub"))))</f>
        <v/>
      </c>
      <c r="B145" s="57" t="n"/>
      <c r="C145" s="58" t="n"/>
      <c r="D145" s="58" t="n"/>
      <c r="E145" s="59">
        <f>IF(N($AL145)&gt;0,INDEX(rIni_ADM,$AL145),"")</f>
        <v/>
      </c>
      <c r="F145" s="59">
        <f>IF(N($AL145)&gt;0,INDEX(rLim_ADM,$AL145),"")</f>
        <v/>
      </c>
      <c r="G145" s="59" t="n"/>
      <c r="H145" s="60" t="n"/>
      <c r="I145" s="60" t="n"/>
      <c r="J145" s="60" t="n"/>
      <c r="K145" s="60" t="n"/>
      <c r="L145" s="60" t="n"/>
      <c r="M145" s="61">
        <f>IF(NOT((COUNTA($B145:$D145)+COUNTA($G145:$L145)+COUNTA($Q145))&gt;0),"",IF(ISNUMBER($G145),1,IF(N($W145)&gt;0,AVERAGEIFS($X$5:$X$1000,$U$5:$U$1000,ROW(),$V$5:$V$1000,"Sub"),$X145)))</f>
        <v/>
      </c>
      <c r="N145" s="56">
        <f>IF($M145="","",IF($M145&gt;=1,"Completado",IF($M145&gt;0,"En curso","Pendiente")))</f>
        <v/>
      </c>
      <c r="O145" s="56">
        <f>IF(NOT((COUNTA($B145:$D145)+COUNTA($G145:$L145)+COUNTA($Q145))&gt;0),"",IF(ISNUMBER($G145),IF(AND(ISNUMBER($AN145),$G145&gt;$AN145),"Cumplida con "&amp;($G145-$AN145)&amp;IF($G145-$AN145=1," día"," días")&amp;" de retraso","Cumplida"),IF(N($M145)&gt;=1,"Cumplida",IF(NOT(ISNUMBER($AN145)),"Sin fecha límite",IF($AN145&lt;FechaRef,"Vencida hace "&amp;(FechaRef-$AN145)&amp;IF(FechaRef-$AN145=1," día"," días"),IF($AN145=FechaRef,"Vence hoy",IF($AN145-FechaRef&lt;=DiasAlerta,"Vence en "&amp;($AN145-FechaRef)&amp;IF($AN145-FechaRef=1," día"," días"),"En plazo")))))))</f>
        <v/>
      </c>
      <c r="P145" s="62" t="n"/>
      <c r="Q145" s="58" t="n"/>
      <c r="R145" s="63">
        <f>IF(NOT((COUNTA($B145:$D145)+COUNTA($G145:$L145)+COUNTA($Q145))&gt;0),"",IF((IF($C145="","Falta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",""))="","✔ OK","⚠ "&amp;LEFT(IF($C145="","Falta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",""),LEN(IF($C145="","Falta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",""))-3)))</f>
        <v/>
      </c>
      <c r="S145" s="64">
        <f>IF(NOT((COUNTA($B145:$D145)+COUNTA($G145:$L145)+COUNTA($Q145))&gt;0),"",IF(AND($V145="Sub",N($U145)&gt;0),IF(ISNUMBER(INDEX($AM$5:$AM$1000,$U145-4)),DATE(YEAR(INDEX($AM$5:$AM$1000,$U145-4)),MONTH(INDEX($AM$5:$AM$1000,$U145-4)),1),IF(ISNUMBER(INDEX($AN$5:$AN$1000,$U145-4)),DATE(YEAR(INDEX($AN$5:$AN$1000,$U145-4)),MONTH(INDEX($AN$5:$AN$1000,$U145-4)),1),MesCiclo)),IF(ISNUMBER($AM145),DATE(YEAR($AM145),MONTH($AM145),1),IF(ISNUMBER($AN145),DATE(YEAR($AN145),MONTH($AN145),1),MesCiclo))))</f>
        <v/>
      </c>
      <c r="T145" s="62">
        <f>IF(OR($S145="",$S145&lt;&gt;MesCiclo),"",COUNTIF($S$5:$S145,MesCiclo))</f>
        <v/>
      </c>
      <c r="U145" s="62">
        <f>IF($V145="","",IF($V145="Macro",ROW(),IFERROR(LOOKUP(2,1/($V$5:$V145="Macro"),ROW($V$5:$V145)),0)))</f>
        <v/>
      </c>
      <c r="V145" s="62">
        <f>IF(NOT((COUNTA($B145:$D145)+COUNTA($G145:$L145)+COUNTA($Q145))&gt;0),"",IF($B145="Subactividad","Sub","Macro"))</f>
        <v/>
      </c>
      <c r="W145" s="62">
        <f>IF($V145="Macro",COUNTIFS($U$5:$U$1000,ROW(),$V$5:$V$1000,"Sub"),"")</f>
        <v/>
      </c>
      <c r="X145" s="62">
        <f>IF($V145="","",IF(ISNUMBER($G145),1,IFERROR(LOOKUP(2,1/($I145:$L145&lt;&gt;""),$I145:$L145),0)))</f>
        <v/>
      </c>
      <c r="Y145" s="62">
        <f>IF($V145="","",IF(AND(ISNUMBER($G145),$G145&lt;=IF($S145=MesCiclo,InicioCiclo,$S145+MOD(2-WEEKDAY($S145),7))+6),1,IF(ISNUMBER($I145),$I145,0)))</f>
        <v/>
      </c>
      <c r="Z145" s="62">
        <f>IF($V145="","",IF(AND(ISNUMBER($G145),$G145&lt;=IF($S145=MesCiclo,InicioCiclo,$S145+MOD(2-WEEKDAY($S145),7))+13),1,IF(ISNUMBER($J145),$J145,$Y145)))</f>
        <v/>
      </c>
      <c r="AA145" s="62">
        <f>IF($V145="","",IF(AND(ISNUMBER($G145),$G145&lt;=IF($S145=MesCiclo,InicioCiclo,$S145+MOD(2-WEEKDAY($S145),7))+20),1,IF(ISNUMBER($K145),$K145,$Z145)))</f>
        <v/>
      </c>
      <c r="AB145" s="62">
        <f>IF($V145="","",IF(AND(ISNUMBER($G145),$G145&lt;=IF($S145=MesCiclo,InicioCiclo,$S145+MOD(2-WEEKDAY($S145),7))+27),1,IF(ISNUMBER($L145),$L145,$AA145)))</f>
        <v/>
      </c>
      <c r="AC145" s="62">
        <f>IF($V145="","",IF(AND(ISNUMBER($G145),$G145&lt;=IF($S145=MesCiclo,InicioCiclo,$S145+MOD(2-WEEKDAY($S145),7))+6),1,IF(N($W145)&gt;0,AVERAGEIFS($Y$5:$Y$1000,$U$5:$U$1000,ROW(),$V$5:$V$1000,"Sub"),$Y145)))</f>
        <v/>
      </c>
      <c r="AD145" s="62">
        <f>IF($V145="","",IF(AND(ISNUMBER($G145),$G145&lt;=IF($S145=MesCiclo,InicioCiclo,$S145+MOD(2-WEEKDAY($S145),7))+13),1,IF(N($W145)&gt;0,AVERAGEIFS($Z$5:$Z$1000,$U$5:$U$1000,ROW(),$V$5:$V$1000,"Sub"),$Z145)))</f>
        <v/>
      </c>
      <c r="AE145" s="62">
        <f>IF($V145="","",IF(AND(ISNUMBER($G145),$G145&lt;=IF($S145=MesCiclo,InicioCiclo,$S145+MOD(2-WEEKDAY($S145),7))+20),1,IF(N($W145)&gt;0,AVERAGEIFS($AA$5:$AA$1000,$U$5:$U$1000,ROW(),$V$5:$V$1000,"Sub"),$AA145)))</f>
        <v/>
      </c>
      <c r="AF145" s="62">
        <f>IF($V145="","",IF(AND(ISNUMBER($G145),$G145&lt;=IF($S145=MesCiclo,InicioCiclo,$S145+MOD(2-WEEKDAY($S145),7))+27),1,IF(N($W145)&gt;0,AVERAGEIFS($AB$5:$AB$1000,$U$5:$U$1000,ROW(),$V$5:$V$1000,"Sub"),$AB145)))</f>
        <v/>
      </c>
      <c r="AG145" s="62">
        <f>IF($V145&lt;&gt;"Macro","",IF(COUNTIFS($S$5:$S$1000,$S145,$V$5:$V$1000,"Macro",$H$5:$H$1000,"&gt;0")=0,1/COUNTIFS($S$5:$S$1000,$S145,$V$5:$V$1000,"Macro"),IF(AND(ISNUMBER($H145),N($H145)&gt;0),$H145,SUMIFS($H$5:$H$1000,$S$5:$S$1000,$S145,$V$5:$V$1000,"Macro")/COUNTIFS($S$5:$S$1000,$S145,$V$5:$V$1000,"Macro",$H$5:$H$1000,"&gt;0"))/(COUNTIFS($S$5:$S$1000,$S145,$V$5:$V$1000,"Macro")*SUMIFS($H$5:$H$1000,$S$5:$S$1000,$S145,$V$5:$V$1000,"Macro")/COUNTIFS($S$5:$S$1000,$S145,$V$5:$V$1000,"Macro",$H$5:$H$1000,"&gt;0"))))</f>
        <v/>
      </c>
      <c r="AH145" s="62" t="n"/>
      <c r="AI145" s="62" t="n"/>
      <c r="AJ145" s="62" t="n"/>
      <c r="AK145" s="62" t="n"/>
      <c r="AL145" s="62">
        <f>IF(LEFT($C145,11)="[Jefatura] ",IFERROR(MATCH("Riesgo Financiero|"&amp;MID($C145,12,500),rDname_ADM,0),0),"")</f>
        <v/>
      </c>
      <c r="AM145" s="62">
        <f>IF(N($AL145)&gt;0,INDEX(rIni_ADM,$AL145),IF(ISNUMBER($E145),$E145,""))</f>
        <v/>
      </c>
      <c r="AN145" s="62">
        <f>IF(N($AL145)&gt;0,INDEX(rLim_ADM,$AL145),IF(ISNUMBER($F145),$F145,""))</f>
        <v/>
      </c>
    </row>
    <row r="146">
      <c r="A146" s="56">
        <f>IF(NOT((COUNTA($B146:$D146)+COUNTA($G146:$L146)+COUNTA($Q146))&gt;0),"",IF($V146="Macro",COUNTIFS($V$5:$V146,"Macro",$S$5:$S146,$S146),IF(N($U146)=0,"?",COUNTIFS(INDEX($V$5:$V$1000,1):INDEX($V$5:$V$1000,$U146-4),"Macro",INDEX($S$5:$S$1000,1):INDEX($S$5:$S$1000,$U146-4),INDEX($S$5:$S$1000,$U146-4))&amp;"."&amp;COUNTIFS($U$5:$U146,$U146,$V$5:$V146,"Sub"))))</f>
        <v/>
      </c>
      <c r="B146" s="57" t="n"/>
      <c r="C146" s="58" t="n"/>
      <c r="D146" s="58" t="n"/>
      <c r="E146" s="59">
        <f>IF(N($AL146)&gt;0,INDEX(rIni_ADM,$AL146),"")</f>
        <v/>
      </c>
      <c r="F146" s="59">
        <f>IF(N($AL146)&gt;0,INDEX(rLim_ADM,$AL146),"")</f>
        <v/>
      </c>
      <c r="G146" s="59" t="n"/>
      <c r="H146" s="60" t="n"/>
      <c r="I146" s="60" t="n"/>
      <c r="J146" s="60" t="n"/>
      <c r="K146" s="60" t="n"/>
      <c r="L146" s="60" t="n"/>
      <c r="M146" s="61">
        <f>IF(NOT((COUNTA($B146:$D146)+COUNTA($G146:$L146)+COUNTA($Q146))&gt;0),"",IF(ISNUMBER($G146),1,IF(N($W146)&gt;0,AVERAGEIFS($X$5:$X$1000,$U$5:$U$1000,ROW(),$V$5:$V$1000,"Sub"),$X146)))</f>
        <v/>
      </c>
      <c r="N146" s="56">
        <f>IF($M146="","",IF($M146&gt;=1,"Completado",IF($M146&gt;0,"En curso","Pendiente")))</f>
        <v/>
      </c>
      <c r="O146" s="56">
        <f>IF(NOT((COUNTA($B146:$D146)+COUNTA($G146:$L146)+COUNTA($Q146))&gt;0),"",IF(ISNUMBER($G146),IF(AND(ISNUMBER($AN146),$G146&gt;$AN146),"Cumplida con "&amp;($G146-$AN146)&amp;IF($G146-$AN146=1," día"," días")&amp;" de retraso","Cumplida"),IF(N($M146)&gt;=1,"Cumplida",IF(NOT(ISNUMBER($AN146)),"Sin fecha límite",IF($AN146&lt;FechaRef,"Vencida hace "&amp;(FechaRef-$AN146)&amp;IF(FechaRef-$AN146=1," día"," días"),IF($AN146=FechaRef,"Vence hoy",IF($AN146-FechaRef&lt;=DiasAlerta,"Vence en "&amp;($AN146-FechaRef)&amp;IF($AN146-FechaRef=1," día"," días"),"En plazo")))))))</f>
        <v/>
      </c>
      <c r="P146" s="62" t="n"/>
      <c r="Q146" s="58" t="n"/>
      <c r="R146" s="63">
        <f>IF(NOT((COUNTA($B146:$D146)+COUNTA($G146:$L146)+COUNTA($Q146))&gt;0),"",IF((IF($C146="","Falta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",""))="","✔ OK","⚠ "&amp;LEFT(IF($C146="","Falta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",""),LEN(IF($C146="","Falta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",""))-3)))</f>
        <v/>
      </c>
      <c r="S146" s="64">
        <f>IF(NOT((COUNTA($B146:$D146)+COUNTA($G146:$L146)+COUNTA($Q146))&gt;0),"",IF(AND($V146="Sub",N($U146)&gt;0),IF(ISNUMBER(INDEX($AM$5:$AM$1000,$U146-4)),DATE(YEAR(INDEX($AM$5:$AM$1000,$U146-4)),MONTH(INDEX($AM$5:$AM$1000,$U146-4)),1),IF(ISNUMBER(INDEX($AN$5:$AN$1000,$U146-4)),DATE(YEAR(INDEX($AN$5:$AN$1000,$U146-4)),MONTH(INDEX($AN$5:$AN$1000,$U146-4)),1),MesCiclo)),IF(ISNUMBER($AM146),DATE(YEAR($AM146),MONTH($AM146),1),IF(ISNUMBER($AN146),DATE(YEAR($AN146),MONTH($AN146),1),MesCiclo))))</f>
        <v/>
      </c>
      <c r="T146" s="62">
        <f>IF(OR($S146="",$S146&lt;&gt;MesCiclo),"",COUNTIF($S$5:$S146,MesCiclo))</f>
        <v/>
      </c>
      <c r="U146" s="62">
        <f>IF($V146="","",IF($V146="Macro",ROW(),IFERROR(LOOKUP(2,1/($V$5:$V146="Macro"),ROW($V$5:$V146)),0)))</f>
        <v/>
      </c>
      <c r="V146" s="62">
        <f>IF(NOT((COUNTA($B146:$D146)+COUNTA($G146:$L146)+COUNTA($Q146))&gt;0),"",IF($B146="Subactividad","Sub","Macro"))</f>
        <v/>
      </c>
      <c r="W146" s="62">
        <f>IF($V146="Macro",COUNTIFS($U$5:$U$1000,ROW(),$V$5:$V$1000,"Sub"),"")</f>
        <v/>
      </c>
      <c r="X146" s="62">
        <f>IF($V146="","",IF(ISNUMBER($G146),1,IFERROR(LOOKUP(2,1/($I146:$L146&lt;&gt;""),$I146:$L146),0)))</f>
        <v/>
      </c>
      <c r="Y146" s="62">
        <f>IF($V146="","",IF(AND(ISNUMBER($G146),$G146&lt;=IF($S146=MesCiclo,InicioCiclo,$S146+MOD(2-WEEKDAY($S146),7))+6),1,IF(ISNUMBER($I146),$I146,0)))</f>
        <v/>
      </c>
      <c r="Z146" s="62">
        <f>IF($V146="","",IF(AND(ISNUMBER($G146),$G146&lt;=IF($S146=MesCiclo,InicioCiclo,$S146+MOD(2-WEEKDAY($S146),7))+13),1,IF(ISNUMBER($J146),$J146,$Y146)))</f>
        <v/>
      </c>
      <c r="AA146" s="62">
        <f>IF($V146="","",IF(AND(ISNUMBER($G146),$G146&lt;=IF($S146=MesCiclo,InicioCiclo,$S146+MOD(2-WEEKDAY($S146),7))+20),1,IF(ISNUMBER($K146),$K146,$Z146)))</f>
        <v/>
      </c>
      <c r="AB146" s="62">
        <f>IF($V146="","",IF(AND(ISNUMBER($G146),$G146&lt;=IF($S146=MesCiclo,InicioCiclo,$S146+MOD(2-WEEKDAY($S146),7))+27),1,IF(ISNUMBER($L146),$L146,$AA146)))</f>
        <v/>
      </c>
      <c r="AC146" s="62">
        <f>IF($V146="","",IF(AND(ISNUMBER($G146),$G146&lt;=IF($S146=MesCiclo,InicioCiclo,$S146+MOD(2-WEEKDAY($S146),7))+6),1,IF(N($W146)&gt;0,AVERAGEIFS($Y$5:$Y$1000,$U$5:$U$1000,ROW(),$V$5:$V$1000,"Sub"),$Y146)))</f>
        <v/>
      </c>
      <c r="AD146" s="62">
        <f>IF($V146="","",IF(AND(ISNUMBER($G146),$G146&lt;=IF($S146=MesCiclo,InicioCiclo,$S146+MOD(2-WEEKDAY($S146),7))+13),1,IF(N($W146)&gt;0,AVERAGEIFS($Z$5:$Z$1000,$U$5:$U$1000,ROW(),$V$5:$V$1000,"Sub"),$Z146)))</f>
        <v/>
      </c>
      <c r="AE146" s="62">
        <f>IF($V146="","",IF(AND(ISNUMBER($G146),$G146&lt;=IF($S146=MesCiclo,InicioCiclo,$S146+MOD(2-WEEKDAY($S146),7))+20),1,IF(N($W146)&gt;0,AVERAGEIFS($AA$5:$AA$1000,$U$5:$U$1000,ROW(),$V$5:$V$1000,"Sub"),$AA146)))</f>
        <v/>
      </c>
      <c r="AF146" s="62">
        <f>IF($V146="","",IF(AND(ISNUMBER($G146),$G146&lt;=IF($S146=MesCiclo,InicioCiclo,$S146+MOD(2-WEEKDAY($S146),7))+27),1,IF(N($W146)&gt;0,AVERAGEIFS($AB$5:$AB$1000,$U$5:$U$1000,ROW(),$V$5:$V$1000,"Sub"),$AB146)))</f>
        <v/>
      </c>
      <c r="AG146" s="62">
        <f>IF($V146&lt;&gt;"Macro","",IF(COUNTIFS($S$5:$S$1000,$S146,$V$5:$V$1000,"Macro",$H$5:$H$1000,"&gt;0")=0,1/COUNTIFS($S$5:$S$1000,$S146,$V$5:$V$1000,"Macro"),IF(AND(ISNUMBER($H146),N($H146)&gt;0),$H146,SUMIFS($H$5:$H$1000,$S$5:$S$1000,$S146,$V$5:$V$1000,"Macro")/COUNTIFS($S$5:$S$1000,$S146,$V$5:$V$1000,"Macro",$H$5:$H$1000,"&gt;0"))/(COUNTIFS($S$5:$S$1000,$S146,$V$5:$V$1000,"Macro")*SUMIFS($H$5:$H$1000,$S$5:$S$1000,$S146,$V$5:$V$1000,"Macro")/COUNTIFS($S$5:$S$1000,$S146,$V$5:$V$1000,"Macro",$H$5:$H$1000,"&gt;0"))))</f>
        <v/>
      </c>
      <c r="AH146" s="62" t="n"/>
      <c r="AI146" s="62" t="n"/>
      <c r="AJ146" s="62" t="n"/>
      <c r="AK146" s="62" t="n"/>
      <c r="AL146" s="62">
        <f>IF(LEFT($C146,11)="[Jefatura] ",IFERROR(MATCH("Riesgo Financiero|"&amp;MID($C146,12,500),rDname_ADM,0),0),"")</f>
        <v/>
      </c>
      <c r="AM146" s="62">
        <f>IF(N($AL146)&gt;0,INDEX(rIni_ADM,$AL146),IF(ISNUMBER($E146),$E146,""))</f>
        <v/>
      </c>
      <c r="AN146" s="62">
        <f>IF(N($AL146)&gt;0,INDEX(rLim_ADM,$AL146),IF(ISNUMBER($F146),$F146,""))</f>
        <v/>
      </c>
    </row>
    <row r="147">
      <c r="A147" s="56">
        <f>IF(NOT((COUNTA($B147:$D147)+COUNTA($G147:$L147)+COUNTA($Q147))&gt;0),"",IF($V147="Macro",COUNTIFS($V$5:$V147,"Macro",$S$5:$S147,$S147),IF(N($U147)=0,"?",COUNTIFS(INDEX($V$5:$V$1000,1):INDEX($V$5:$V$1000,$U147-4),"Macro",INDEX($S$5:$S$1000,1):INDEX($S$5:$S$1000,$U147-4),INDEX($S$5:$S$1000,$U147-4))&amp;"."&amp;COUNTIFS($U$5:$U147,$U147,$V$5:$V147,"Sub"))))</f>
        <v/>
      </c>
      <c r="B147" s="57" t="n"/>
      <c r="C147" s="58" t="n"/>
      <c r="D147" s="58" t="n"/>
      <c r="E147" s="59">
        <f>IF(N($AL147)&gt;0,INDEX(rIni_ADM,$AL147),"")</f>
        <v/>
      </c>
      <c r="F147" s="59">
        <f>IF(N($AL147)&gt;0,INDEX(rLim_ADM,$AL147),"")</f>
        <v/>
      </c>
      <c r="G147" s="59" t="n"/>
      <c r="H147" s="60" t="n"/>
      <c r="I147" s="60" t="n"/>
      <c r="J147" s="60" t="n"/>
      <c r="K147" s="60" t="n"/>
      <c r="L147" s="60" t="n"/>
      <c r="M147" s="61">
        <f>IF(NOT((COUNTA($B147:$D147)+COUNTA($G147:$L147)+COUNTA($Q147))&gt;0),"",IF(ISNUMBER($G147),1,IF(N($W147)&gt;0,AVERAGEIFS($X$5:$X$1000,$U$5:$U$1000,ROW(),$V$5:$V$1000,"Sub"),$X147)))</f>
        <v/>
      </c>
      <c r="N147" s="56">
        <f>IF($M147="","",IF($M147&gt;=1,"Completado",IF($M147&gt;0,"En curso","Pendiente")))</f>
        <v/>
      </c>
      <c r="O147" s="56">
        <f>IF(NOT((COUNTA($B147:$D147)+COUNTA($G147:$L147)+COUNTA($Q147))&gt;0),"",IF(ISNUMBER($G147),IF(AND(ISNUMBER($AN147),$G147&gt;$AN147),"Cumplida con "&amp;($G147-$AN147)&amp;IF($G147-$AN147=1," día"," días")&amp;" de retraso","Cumplida"),IF(N($M147)&gt;=1,"Cumplida",IF(NOT(ISNUMBER($AN147)),"Sin fecha límite",IF($AN147&lt;FechaRef,"Vencida hace "&amp;(FechaRef-$AN147)&amp;IF(FechaRef-$AN147=1," día"," días"),IF($AN147=FechaRef,"Vence hoy",IF($AN147-FechaRef&lt;=DiasAlerta,"Vence en "&amp;($AN147-FechaRef)&amp;IF($AN147-FechaRef=1," día"," días"),"En plazo")))))))</f>
        <v/>
      </c>
      <c r="P147" s="62" t="n"/>
      <c r="Q147" s="58" t="n"/>
      <c r="R147" s="63">
        <f>IF(NOT((COUNTA($B147:$D147)+COUNTA($G147:$L147)+COUNTA($Q147))&gt;0),"",IF((IF($C147="","Falta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",""))="","✔ OK","⚠ "&amp;LEFT(IF($C147="","Falta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",""),LEN(IF($C147="","Falta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",""))-3)))</f>
        <v/>
      </c>
      <c r="S147" s="64">
        <f>IF(NOT((COUNTA($B147:$D147)+COUNTA($G147:$L147)+COUNTA($Q147))&gt;0),"",IF(AND($V147="Sub",N($U147)&gt;0),IF(ISNUMBER(INDEX($AM$5:$AM$1000,$U147-4)),DATE(YEAR(INDEX($AM$5:$AM$1000,$U147-4)),MONTH(INDEX($AM$5:$AM$1000,$U147-4)),1),IF(ISNUMBER(INDEX($AN$5:$AN$1000,$U147-4)),DATE(YEAR(INDEX($AN$5:$AN$1000,$U147-4)),MONTH(INDEX($AN$5:$AN$1000,$U147-4)),1),MesCiclo)),IF(ISNUMBER($AM147),DATE(YEAR($AM147),MONTH($AM147),1),IF(ISNUMBER($AN147),DATE(YEAR($AN147),MONTH($AN147),1),MesCiclo))))</f>
        <v/>
      </c>
      <c r="T147" s="62">
        <f>IF(OR($S147="",$S147&lt;&gt;MesCiclo),"",COUNTIF($S$5:$S147,MesCiclo))</f>
        <v/>
      </c>
      <c r="U147" s="62">
        <f>IF($V147="","",IF($V147="Macro",ROW(),IFERROR(LOOKUP(2,1/($V$5:$V147="Macro"),ROW($V$5:$V147)),0)))</f>
        <v/>
      </c>
      <c r="V147" s="62">
        <f>IF(NOT((COUNTA($B147:$D147)+COUNTA($G147:$L147)+COUNTA($Q147))&gt;0),"",IF($B147="Subactividad","Sub","Macro"))</f>
        <v/>
      </c>
      <c r="W147" s="62">
        <f>IF($V147="Macro",COUNTIFS($U$5:$U$1000,ROW(),$V$5:$V$1000,"Sub"),"")</f>
        <v/>
      </c>
      <c r="X147" s="62">
        <f>IF($V147="","",IF(ISNUMBER($G147),1,IFERROR(LOOKUP(2,1/($I147:$L147&lt;&gt;""),$I147:$L147),0)))</f>
        <v/>
      </c>
      <c r="Y147" s="62">
        <f>IF($V147="","",IF(AND(ISNUMBER($G147),$G147&lt;=IF($S147=MesCiclo,InicioCiclo,$S147+MOD(2-WEEKDAY($S147),7))+6),1,IF(ISNUMBER($I147),$I147,0)))</f>
        <v/>
      </c>
      <c r="Z147" s="62">
        <f>IF($V147="","",IF(AND(ISNUMBER($G147),$G147&lt;=IF($S147=MesCiclo,InicioCiclo,$S147+MOD(2-WEEKDAY($S147),7))+13),1,IF(ISNUMBER($J147),$J147,$Y147)))</f>
        <v/>
      </c>
      <c r="AA147" s="62">
        <f>IF($V147="","",IF(AND(ISNUMBER($G147),$G147&lt;=IF($S147=MesCiclo,InicioCiclo,$S147+MOD(2-WEEKDAY($S147),7))+20),1,IF(ISNUMBER($K147),$K147,$Z147)))</f>
        <v/>
      </c>
      <c r="AB147" s="62">
        <f>IF($V147="","",IF(AND(ISNUMBER($G147),$G147&lt;=IF($S147=MesCiclo,InicioCiclo,$S147+MOD(2-WEEKDAY($S147),7))+27),1,IF(ISNUMBER($L147),$L147,$AA147)))</f>
        <v/>
      </c>
      <c r="AC147" s="62">
        <f>IF($V147="","",IF(AND(ISNUMBER($G147),$G147&lt;=IF($S147=MesCiclo,InicioCiclo,$S147+MOD(2-WEEKDAY($S147),7))+6),1,IF(N($W147)&gt;0,AVERAGEIFS($Y$5:$Y$1000,$U$5:$U$1000,ROW(),$V$5:$V$1000,"Sub"),$Y147)))</f>
        <v/>
      </c>
      <c r="AD147" s="62">
        <f>IF($V147="","",IF(AND(ISNUMBER($G147),$G147&lt;=IF($S147=MesCiclo,InicioCiclo,$S147+MOD(2-WEEKDAY($S147),7))+13),1,IF(N($W147)&gt;0,AVERAGEIFS($Z$5:$Z$1000,$U$5:$U$1000,ROW(),$V$5:$V$1000,"Sub"),$Z147)))</f>
        <v/>
      </c>
      <c r="AE147" s="62">
        <f>IF($V147="","",IF(AND(ISNUMBER($G147),$G147&lt;=IF($S147=MesCiclo,InicioCiclo,$S147+MOD(2-WEEKDAY($S147),7))+20),1,IF(N($W147)&gt;0,AVERAGEIFS($AA$5:$AA$1000,$U$5:$U$1000,ROW(),$V$5:$V$1000,"Sub"),$AA147)))</f>
        <v/>
      </c>
      <c r="AF147" s="62">
        <f>IF($V147="","",IF(AND(ISNUMBER($G147),$G147&lt;=IF($S147=MesCiclo,InicioCiclo,$S147+MOD(2-WEEKDAY($S147),7))+27),1,IF(N($W147)&gt;0,AVERAGEIFS($AB$5:$AB$1000,$U$5:$U$1000,ROW(),$V$5:$V$1000,"Sub"),$AB147)))</f>
        <v/>
      </c>
      <c r="AG147" s="62">
        <f>IF($V147&lt;&gt;"Macro","",IF(COUNTIFS($S$5:$S$1000,$S147,$V$5:$V$1000,"Macro",$H$5:$H$1000,"&gt;0")=0,1/COUNTIFS($S$5:$S$1000,$S147,$V$5:$V$1000,"Macro"),IF(AND(ISNUMBER($H147),N($H147)&gt;0),$H147,SUMIFS($H$5:$H$1000,$S$5:$S$1000,$S147,$V$5:$V$1000,"Macro")/COUNTIFS($S$5:$S$1000,$S147,$V$5:$V$1000,"Macro",$H$5:$H$1000,"&gt;0"))/(COUNTIFS($S$5:$S$1000,$S147,$V$5:$V$1000,"Macro")*SUMIFS($H$5:$H$1000,$S$5:$S$1000,$S147,$V$5:$V$1000,"Macro")/COUNTIFS($S$5:$S$1000,$S147,$V$5:$V$1000,"Macro",$H$5:$H$1000,"&gt;0"))))</f>
        <v/>
      </c>
      <c r="AH147" s="62" t="n"/>
      <c r="AI147" s="62" t="n"/>
      <c r="AJ147" s="62" t="n"/>
      <c r="AK147" s="62" t="n"/>
      <c r="AL147" s="62">
        <f>IF(LEFT($C147,11)="[Jefatura] ",IFERROR(MATCH("Riesgo Financiero|"&amp;MID($C147,12,500),rDname_ADM,0),0),"")</f>
        <v/>
      </c>
      <c r="AM147" s="62">
        <f>IF(N($AL147)&gt;0,INDEX(rIni_ADM,$AL147),IF(ISNUMBER($E147),$E147,""))</f>
        <v/>
      </c>
      <c r="AN147" s="62">
        <f>IF(N($AL147)&gt;0,INDEX(rLim_ADM,$AL147),IF(ISNUMBER($F147),$F147,""))</f>
        <v/>
      </c>
    </row>
    <row r="148">
      <c r="A148" s="56">
        <f>IF(NOT((COUNTA($B148:$D148)+COUNTA($G148:$L148)+COUNTA($Q148))&gt;0),"",IF($V148="Macro",COUNTIFS($V$5:$V148,"Macro",$S$5:$S148,$S148),IF(N($U148)=0,"?",COUNTIFS(INDEX($V$5:$V$1000,1):INDEX($V$5:$V$1000,$U148-4),"Macro",INDEX($S$5:$S$1000,1):INDEX($S$5:$S$1000,$U148-4),INDEX($S$5:$S$1000,$U148-4))&amp;"."&amp;COUNTIFS($U$5:$U148,$U148,$V$5:$V148,"Sub"))))</f>
        <v/>
      </c>
      <c r="B148" s="57" t="n"/>
      <c r="C148" s="58" t="n"/>
      <c r="D148" s="58" t="n"/>
      <c r="E148" s="59">
        <f>IF(N($AL148)&gt;0,INDEX(rIni_ADM,$AL148),"")</f>
        <v/>
      </c>
      <c r="F148" s="59">
        <f>IF(N($AL148)&gt;0,INDEX(rLim_ADM,$AL148),"")</f>
        <v/>
      </c>
      <c r="G148" s="59" t="n"/>
      <c r="H148" s="60" t="n"/>
      <c r="I148" s="60" t="n"/>
      <c r="J148" s="60" t="n"/>
      <c r="K148" s="60" t="n"/>
      <c r="L148" s="60" t="n"/>
      <c r="M148" s="61">
        <f>IF(NOT((COUNTA($B148:$D148)+COUNTA($G148:$L148)+COUNTA($Q148))&gt;0),"",IF(ISNUMBER($G148),1,IF(N($W148)&gt;0,AVERAGEIFS($X$5:$X$1000,$U$5:$U$1000,ROW(),$V$5:$V$1000,"Sub"),$X148)))</f>
        <v/>
      </c>
      <c r="N148" s="56">
        <f>IF($M148="","",IF($M148&gt;=1,"Completado",IF($M148&gt;0,"En curso","Pendiente")))</f>
        <v/>
      </c>
      <c r="O148" s="56">
        <f>IF(NOT((COUNTA($B148:$D148)+COUNTA($G148:$L148)+COUNTA($Q148))&gt;0),"",IF(ISNUMBER($G148),IF(AND(ISNUMBER($AN148),$G148&gt;$AN148),"Cumplida con "&amp;($G148-$AN148)&amp;IF($G148-$AN148=1," día"," días")&amp;" de retraso","Cumplida"),IF(N($M148)&gt;=1,"Cumplida",IF(NOT(ISNUMBER($AN148)),"Sin fecha límite",IF($AN148&lt;FechaRef,"Vencida hace "&amp;(FechaRef-$AN148)&amp;IF(FechaRef-$AN148=1," día"," días"),IF($AN148=FechaRef,"Vence hoy",IF($AN148-FechaRef&lt;=DiasAlerta,"Vence en "&amp;($AN148-FechaRef)&amp;IF($AN148-FechaRef=1," día"," días"),"En plazo")))))))</f>
        <v/>
      </c>
      <c r="P148" s="62" t="n"/>
      <c r="Q148" s="58" t="n"/>
      <c r="R148" s="63">
        <f>IF(NOT((COUNTA($B148:$D148)+COUNTA($G148:$L148)+COUNTA($Q148))&gt;0),"",IF((IF($C148="","Falta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",""))="","✔ OK","⚠ "&amp;LEFT(IF($C148="","Falta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",""),LEN(IF($C148="","Falta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",""))-3)))</f>
        <v/>
      </c>
      <c r="S148" s="64">
        <f>IF(NOT((COUNTA($B148:$D148)+COUNTA($G148:$L148)+COUNTA($Q148))&gt;0),"",IF(AND($V148="Sub",N($U148)&gt;0),IF(ISNUMBER(INDEX($AM$5:$AM$1000,$U148-4)),DATE(YEAR(INDEX($AM$5:$AM$1000,$U148-4)),MONTH(INDEX($AM$5:$AM$1000,$U148-4)),1),IF(ISNUMBER(INDEX($AN$5:$AN$1000,$U148-4)),DATE(YEAR(INDEX($AN$5:$AN$1000,$U148-4)),MONTH(INDEX($AN$5:$AN$1000,$U148-4)),1),MesCiclo)),IF(ISNUMBER($AM148),DATE(YEAR($AM148),MONTH($AM148),1),IF(ISNUMBER($AN148),DATE(YEAR($AN148),MONTH($AN148),1),MesCiclo))))</f>
        <v/>
      </c>
      <c r="T148" s="62">
        <f>IF(OR($S148="",$S148&lt;&gt;MesCiclo),"",COUNTIF($S$5:$S148,MesCiclo))</f>
        <v/>
      </c>
      <c r="U148" s="62">
        <f>IF($V148="","",IF($V148="Macro",ROW(),IFERROR(LOOKUP(2,1/($V$5:$V148="Macro"),ROW($V$5:$V148)),0)))</f>
        <v/>
      </c>
      <c r="V148" s="62">
        <f>IF(NOT((COUNTA($B148:$D148)+COUNTA($G148:$L148)+COUNTA($Q148))&gt;0),"",IF($B148="Subactividad","Sub","Macro"))</f>
        <v/>
      </c>
      <c r="W148" s="62">
        <f>IF($V148="Macro",COUNTIFS($U$5:$U$1000,ROW(),$V$5:$V$1000,"Sub"),"")</f>
        <v/>
      </c>
      <c r="X148" s="62">
        <f>IF($V148="","",IF(ISNUMBER($G148),1,IFERROR(LOOKUP(2,1/($I148:$L148&lt;&gt;""),$I148:$L148),0)))</f>
        <v/>
      </c>
      <c r="Y148" s="62">
        <f>IF($V148="","",IF(AND(ISNUMBER($G148),$G148&lt;=IF($S148=MesCiclo,InicioCiclo,$S148+MOD(2-WEEKDAY($S148),7))+6),1,IF(ISNUMBER($I148),$I148,0)))</f>
        <v/>
      </c>
      <c r="Z148" s="62">
        <f>IF($V148="","",IF(AND(ISNUMBER($G148),$G148&lt;=IF($S148=MesCiclo,InicioCiclo,$S148+MOD(2-WEEKDAY($S148),7))+13),1,IF(ISNUMBER($J148),$J148,$Y148)))</f>
        <v/>
      </c>
      <c r="AA148" s="62">
        <f>IF($V148="","",IF(AND(ISNUMBER($G148),$G148&lt;=IF($S148=MesCiclo,InicioCiclo,$S148+MOD(2-WEEKDAY($S148),7))+20),1,IF(ISNUMBER($K148),$K148,$Z148)))</f>
        <v/>
      </c>
      <c r="AB148" s="62">
        <f>IF($V148="","",IF(AND(ISNUMBER($G148),$G148&lt;=IF($S148=MesCiclo,InicioCiclo,$S148+MOD(2-WEEKDAY($S148),7))+27),1,IF(ISNUMBER($L148),$L148,$AA148)))</f>
        <v/>
      </c>
      <c r="AC148" s="62">
        <f>IF($V148="","",IF(AND(ISNUMBER($G148),$G148&lt;=IF($S148=MesCiclo,InicioCiclo,$S148+MOD(2-WEEKDAY($S148),7))+6),1,IF(N($W148)&gt;0,AVERAGEIFS($Y$5:$Y$1000,$U$5:$U$1000,ROW(),$V$5:$V$1000,"Sub"),$Y148)))</f>
        <v/>
      </c>
      <c r="AD148" s="62">
        <f>IF($V148="","",IF(AND(ISNUMBER($G148),$G148&lt;=IF($S148=MesCiclo,InicioCiclo,$S148+MOD(2-WEEKDAY($S148),7))+13),1,IF(N($W148)&gt;0,AVERAGEIFS($Z$5:$Z$1000,$U$5:$U$1000,ROW(),$V$5:$V$1000,"Sub"),$Z148)))</f>
        <v/>
      </c>
      <c r="AE148" s="62">
        <f>IF($V148="","",IF(AND(ISNUMBER($G148),$G148&lt;=IF($S148=MesCiclo,InicioCiclo,$S148+MOD(2-WEEKDAY($S148),7))+20),1,IF(N($W148)&gt;0,AVERAGEIFS($AA$5:$AA$1000,$U$5:$U$1000,ROW(),$V$5:$V$1000,"Sub"),$AA148)))</f>
        <v/>
      </c>
      <c r="AF148" s="62">
        <f>IF($V148="","",IF(AND(ISNUMBER($G148),$G148&lt;=IF($S148=MesCiclo,InicioCiclo,$S148+MOD(2-WEEKDAY($S148),7))+27),1,IF(N($W148)&gt;0,AVERAGEIFS($AB$5:$AB$1000,$U$5:$U$1000,ROW(),$V$5:$V$1000,"Sub"),$AB148)))</f>
        <v/>
      </c>
      <c r="AG148" s="62">
        <f>IF($V148&lt;&gt;"Macro","",IF(COUNTIFS($S$5:$S$1000,$S148,$V$5:$V$1000,"Macro",$H$5:$H$1000,"&gt;0")=0,1/COUNTIFS($S$5:$S$1000,$S148,$V$5:$V$1000,"Macro"),IF(AND(ISNUMBER($H148),N($H148)&gt;0),$H148,SUMIFS($H$5:$H$1000,$S$5:$S$1000,$S148,$V$5:$V$1000,"Macro")/COUNTIFS($S$5:$S$1000,$S148,$V$5:$V$1000,"Macro",$H$5:$H$1000,"&gt;0"))/(COUNTIFS($S$5:$S$1000,$S148,$V$5:$V$1000,"Macro")*SUMIFS($H$5:$H$1000,$S$5:$S$1000,$S148,$V$5:$V$1000,"Macro")/COUNTIFS($S$5:$S$1000,$S148,$V$5:$V$1000,"Macro",$H$5:$H$1000,"&gt;0"))))</f>
        <v/>
      </c>
      <c r="AH148" s="62" t="n"/>
      <c r="AI148" s="62" t="n"/>
      <c r="AJ148" s="62" t="n"/>
      <c r="AK148" s="62" t="n"/>
      <c r="AL148" s="62">
        <f>IF(LEFT($C148,11)="[Jefatura] ",IFERROR(MATCH("Riesgo Financiero|"&amp;MID($C148,12,500),rDname_ADM,0),0),"")</f>
        <v/>
      </c>
      <c r="AM148" s="62">
        <f>IF(N($AL148)&gt;0,INDEX(rIni_ADM,$AL148),IF(ISNUMBER($E148),$E148,""))</f>
        <v/>
      </c>
      <c r="AN148" s="62">
        <f>IF(N($AL148)&gt;0,INDEX(rLim_ADM,$AL148),IF(ISNUMBER($F148),$F148,""))</f>
        <v/>
      </c>
    </row>
    <row r="149">
      <c r="A149" s="56">
        <f>IF(NOT((COUNTA($B149:$D149)+COUNTA($G149:$L149)+COUNTA($Q149))&gt;0),"",IF($V149="Macro",COUNTIFS($V$5:$V149,"Macro",$S$5:$S149,$S149),IF(N($U149)=0,"?",COUNTIFS(INDEX($V$5:$V$1000,1):INDEX($V$5:$V$1000,$U149-4),"Macro",INDEX($S$5:$S$1000,1):INDEX($S$5:$S$1000,$U149-4),INDEX($S$5:$S$1000,$U149-4))&amp;"."&amp;COUNTIFS($U$5:$U149,$U149,$V$5:$V149,"Sub"))))</f>
        <v/>
      </c>
      <c r="B149" s="57" t="n"/>
      <c r="C149" s="58" t="n"/>
      <c r="D149" s="58" t="n"/>
      <c r="E149" s="59">
        <f>IF(N($AL149)&gt;0,INDEX(rIni_ADM,$AL149),"")</f>
        <v/>
      </c>
      <c r="F149" s="59">
        <f>IF(N($AL149)&gt;0,INDEX(rLim_ADM,$AL149),"")</f>
        <v/>
      </c>
      <c r="G149" s="59" t="n"/>
      <c r="H149" s="60" t="n"/>
      <c r="I149" s="60" t="n"/>
      <c r="J149" s="60" t="n"/>
      <c r="K149" s="60" t="n"/>
      <c r="L149" s="60" t="n"/>
      <c r="M149" s="61">
        <f>IF(NOT((COUNTA($B149:$D149)+COUNTA($G149:$L149)+COUNTA($Q149))&gt;0),"",IF(ISNUMBER($G149),1,IF(N($W149)&gt;0,AVERAGEIFS($X$5:$X$1000,$U$5:$U$1000,ROW(),$V$5:$V$1000,"Sub"),$X149)))</f>
        <v/>
      </c>
      <c r="N149" s="56">
        <f>IF($M149="","",IF($M149&gt;=1,"Completado",IF($M149&gt;0,"En curso","Pendiente")))</f>
        <v/>
      </c>
      <c r="O149" s="56">
        <f>IF(NOT((COUNTA($B149:$D149)+COUNTA($G149:$L149)+COUNTA($Q149))&gt;0),"",IF(ISNUMBER($G149),IF(AND(ISNUMBER($AN149),$G149&gt;$AN149),"Cumplida con "&amp;($G149-$AN149)&amp;IF($G149-$AN149=1," día"," días")&amp;" de retraso","Cumplida"),IF(N($M149)&gt;=1,"Cumplida",IF(NOT(ISNUMBER($AN149)),"Sin fecha límite",IF($AN149&lt;FechaRef,"Vencida hace "&amp;(FechaRef-$AN149)&amp;IF(FechaRef-$AN149=1," día"," días"),IF($AN149=FechaRef,"Vence hoy",IF($AN149-FechaRef&lt;=DiasAlerta,"Vence en "&amp;($AN149-FechaRef)&amp;IF($AN149-FechaRef=1," día"," días"),"En plazo")))))))</f>
        <v/>
      </c>
      <c r="P149" s="62" t="n"/>
      <c r="Q149" s="58" t="n"/>
      <c r="R149" s="63">
        <f>IF(NOT((COUNTA($B149:$D149)+COUNTA($G149:$L149)+COUNTA($Q149))&gt;0),"",IF((IF($C149="","Falta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",""))="","✔ OK","⚠ "&amp;LEFT(IF($C149="","Falta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",""),LEN(IF($C149="","Falta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",""))-3)))</f>
        <v/>
      </c>
      <c r="S149" s="64">
        <f>IF(NOT((COUNTA($B149:$D149)+COUNTA($G149:$L149)+COUNTA($Q149))&gt;0),"",IF(AND($V149="Sub",N($U149)&gt;0),IF(ISNUMBER(INDEX($AM$5:$AM$1000,$U149-4)),DATE(YEAR(INDEX($AM$5:$AM$1000,$U149-4)),MONTH(INDEX($AM$5:$AM$1000,$U149-4)),1),IF(ISNUMBER(INDEX($AN$5:$AN$1000,$U149-4)),DATE(YEAR(INDEX($AN$5:$AN$1000,$U149-4)),MONTH(INDEX($AN$5:$AN$1000,$U149-4)),1),MesCiclo)),IF(ISNUMBER($AM149),DATE(YEAR($AM149),MONTH($AM149),1),IF(ISNUMBER($AN149),DATE(YEAR($AN149),MONTH($AN149),1),MesCiclo))))</f>
        <v/>
      </c>
      <c r="T149" s="62">
        <f>IF(OR($S149="",$S149&lt;&gt;MesCiclo),"",COUNTIF($S$5:$S149,MesCiclo))</f>
        <v/>
      </c>
      <c r="U149" s="62">
        <f>IF($V149="","",IF($V149="Macro",ROW(),IFERROR(LOOKUP(2,1/($V$5:$V149="Macro"),ROW($V$5:$V149)),0)))</f>
        <v/>
      </c>
      <c r="V149" s="62">
        <f>IF(NOT((COUNTA($B149:$D149)+COUNTA($G149:$L149)+COUNTA($Q149))&gt;0),"",IF($B149="Subactividad","Sub","Macro"))</f>
        <v/>
      </c>
      <c r="W149" s="62">
        <f>IF($V149="Macro",COUNTIFS($U$5:$U$1000,ROW(),$V$5:$V$1000,"Sub"),"")</f>
        <v/>
      </c>
      <c r="X149" s="62">
        <f>IF($V149="","",IF(ISNUMBER($G149),1,IFERROR(LOOKUP(2,1/($I149:$L149&lt;&gt;""),$I149:$L149),0)))</f>
        <v/>
      </c>
      <c r="Y149" s="62">
        <f>IF($V149="","",IF(AND(ISNUMBER($G149),$G149&lt;=IF($S149=MesCiclo,InicioCiclo,$S149+MOD(2-WEEKDAY($S149),7))+6),1,IF(ISNUMBER($I149),$I149,0)))</f>
        <v/>
      </c>
      <c r="Z149" s="62">
        <f>IF($V149="","",IF(AND(ISNUMBER($G149),$G149&lt;=IF($S149=MesCiclo,InicioCiclo,$S149+MOD(2-WEEKDAY($S149),7))+13),1,IF(ISNUMBER($J149),$J149,$Y149)))</f>
        <v/>
      </c>
      <c r="AA149" s="62">
        <f>IF($V149="","",IF(AND(ISNUMBER($G149),$G149&lt;=IF($S149=MesCiclo,InicioCiclo,$S149+MOD(2-WEEKDAY($S149),7))+20),1,IF(ISNUMBER($K149),$K149,$Z149)))</f>
        <v/>
      </c>
      <c r="AB149" s="62">
        <f>IF($V149="","",IF(AND(ISNUMBER($G149),$G149&lt;=IF($S149=MesCiclo,InicioCiclo,$S149+MOD(2-WEEKDAY($S149),7))+27),1,IF(ISNUMBER($L149),$L149,$AA149)))</f>
        <v/>
      </c>
      <c r="AC149" s="62">
        <f>IF($V149="","",IF(AND(ISNUMBER($G149),$G149&lt;=IF($S149=MesCiclo,InicioCiclo,$S149+MOD(2-WEEKDAY($S149),7))+6),1,IF(N($W149)&gt;0,AVERAGEIFS($Y$5:$Y$1000,$U$5:$U$1000,ROW(),$V$5:$V$1000,"Sub"),$Y149)))</f>
        <v/>
      </c>
      <c r="AD149" s="62">
        <f>IF($V149="","",IF(AND(ISNUMBER($G149),$G149&lt;=IF($S149=MesCiclo,InicioCiclo,$S149+MOD(2-WEEKDAY($S149),7))+13),1,IF(N($W149)&gt;0,AVERAGEIFS($Z$5:$Z$1000,$U$5:$U$1000,ROW(),$V$5:$V$1000,"Sub"),$Z149)))</f>
        <v/>
      </c>
      <c r="AE149" s="62">
        <f>IF($V149="","",IF(AND(ISNUMBER($G149),$G149&lt;=IF($S149=MesCiclo,InicioCiclo,$S149+MOD(2-WEEKDAY($S149),7))+20),1,IF(N($W149)&gt;0,AVERAGEIFS($AA$5:$AA$1000,$U$5:$U$1000,ROW(),$V$5:$V$1000,"Sub"),$AA149)))</f>
        <v/>
      </c>
      <c r="AF149" s="62">
        <f>IF($V149="","",IF(AND(ISNUMBER($G149),$G149&lt;=IF($S149=MesCiclo,InicioCiclo,$S149+MOD(2-WEEKDAY($S149),7))+27),1,IF(N($W149)&gt;0,AVERAGEIFS($AB$5:$AB$1000,$U$5:$U$1000,ROW(),$V$5:$V$1000,"Sub"),$AB149)))</f>
        <v/>
      </c>
      <c r="AG149" s="62">
        <f>IF($V149&lt;&gt;"Macro","",IF(COUNTIFS($S$5:$S$1000,$S149,$V$5:$V$1000,"Macro",$H$5:$H$1000,"&gt;0")=0,1/COUNTIFS($S$5:$S$1000,$S149,$V$5:$V$1000,"Macro"),IF(AND(ISNUMBER($H149),N($H149)&gt;0),$H149,SUMIFS($H$5:$H$1000,$S$5:$S$1000,$S149,$V$5:$V$1000,"Macro")/COUNTIFS($S$5:$S$1000,$S149,$V$5:$V$1000,"Macro",$H$5:$H$1000,"&gt;0"))/(COUNTIFS($S$5:$S$1000,$S149,$V$5:$V$1000,"Macro")*SUMIFS($H$5:$H$1000,$S$5:$S$1000,$S149,$V$5:$V$1000,"Macro")/COUNTIFS($S$5:$S$1000,$S149,$V$5:$V$1000,"Macro",$H$5:$H$1000,"&gt;0"))))</f>
        <v/>
      </c>
      <c r="AH149" s="62" t="n"/>
      <c r="AI149" s="62" t="n"/>
      <c r="AJ149" s="62" t="n"/>
      <c r="AK149" s="62" t="n"/>
      <c r="AL149" s="62">
        <f>IF(LEFT($C149,11)="[Jefatura] ",IFERROR(MATCH("Riesgo Financiero|"&amp;MID($C149,12,500),rDname_ADM,0),0),"")</f>
        <v/>
      </c>
      <c r="AM149" s="62">
        <f>IF(N($AL149)&gt;0,INDEX(rIni_ADM,$AL149),IF(ISNUMBER($E149),$E149,""))</f>
        <v/>
      </c>
      <c r="AN149" s="62">
        <f>IF(N($AL149)&gt;0,INDEX(rLim_ADM,$AL149),IF(ISNUMBER($F149),$F149,""))</f>
        <v/>
      </c>
    </row>
    <row r="150">
      <c r="A150" s="56">
        <f>IF(NOT((COUNTA($B150:$D150)+COUNTA($G150:$L150)+COUNTA($Q150))&gt;0),"",IF($V150="Macro",COUNTIFS($V$5:$V150,"Macro",$S$5:$S150,$S150),IF(N($U150)=0,"?",COUNTIFS(INDEX($V$5:$V$1000,1):INDEX($V$5:$V$1000,$U150-4),"Macro",INDEX($S$5:$S$1000,1):INDEX($S$5:$S$1000,$U150-4),INDEX($S$5:$S$1000,$U150-4))&amp;"."&amp;COUNTIFS($U$5:$U150,$U150,$V$5:$V150,"Sub"))))</f>
        <v/>
      </c>
      <c r="B150" s="57" t="n"/>
      <c r="C150" s="58" t="n"/>
      <c r="D150" s="58" t="n"/>
      <c r="E150" s="59">
        <f>IF(N($AL150)&gt;0,INDEX(rIni_ADM,$AL150),"")</f>
        <v/>
      </c>
      <c r="F150" s="59">
        <f>IF(N($AL150)&gt;0,INDEX(rLim_ADM,$AL150),"")</f>
        <v/>
      </c>
      <c r="G150" s="59" t="n"/>
      <c r="H150" s="60" t="n"/>
      <c r="I150" s="60" t="n"/>
      <c r="J150" s="60" t="n"/>
      <c r="K150" s="60" t="n"/>
      <c r="L150" s="60" t="n"/>
      <c r="M150" s="61">
        <f>IF(NOT((COUNTA($B150:$D150)+COUNTA($G150:$L150)+COUNTA($Q150))&gt;0),"",IF(ISNUMBER($G150),1,IF(N($W150)&gt;0,AVERAGEIFS($X$5:$X$1000,$U$5:$U$1000,ROW(),$V$5:$V$1000,"Sub"),$X150)))</f>
        <v/>
      </c>
      <c r="N150" s="56">
        <f>IF($M150="","",IF($M150&gt;=1,"Completado",IF($M150&gt;0,"En curso","Pendiente")))</f>
        <v/>
      </c>
      <c r="O150" s="56">
        <f>IF(NOT((COUNTA($B150:$D150)+COUNTA($G150:$L150)+COUNTA($Q150))&gt;0),"",IF(ISNUMBER($G150),IF(AND(ISNUMBER($AN150),$G150&gt;$AN150),"Cumplida con "&amp;($G150-$AN150)&amp;IF($G150-$AN150=1," día"," días")&amp;" de retraso","Cumplida"),IF(N($M150)&gt;=1,"Cumplida",IF(NOT(ISNUMBER($AN150)),"Sin fecha límite",IF($AN150&lt;FechaRef,"Vencida hace "&amp;(FechaRef-$AN150)&amp;IF(FechaRef-$AN150=1," día"," días"),IF($AN150=FechaRef,"Vence hoy",IF($AN150-FechaRef&lt;=DiasAlerta,"Vence en "&amp;($AN150-FechaRef)&amp;IF($AN150-FechaRef=1," día"," días"),"En plazo")))))))</f>
        <v/>
      </c>
      <c r="P150" s="62" t="n"/>
      <c r="Q150" s="58" t="n"/>
      <c r="R150" s="63">
        <f>IF(NOT((COUNTA($B150:$D150)+COUNTA($G150:$L150)+COUNTA($Q150))&gt;0),"",IF((IF($C150="","Falta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",""))="","✔ OK","⚠ "&amp;LEFT(IF($C150="","Falta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",""),LEN(IF($C150="","Falta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",""))-3)))</f>
        <v/>
      </c>
      <c r="S150" s="64">
        <f>IF(NOT((COUNTA($B150:$D150)+COUNTA($G150:$L150)+COUNTA($Q150))&gt;0),"",IF(AND($V150="Sub",N($U150)&gt;0),IF(ISNUMBER(INDEX($AM$5:$AM$1000,$U150-4)),DATE(YEAR(INDEX($AM$5:$AM$1000,$U150-4)),MONTH(INDEX($AM$5:$AM$1000,$U150-4)),1),IF(ISNUMBER(INDEX($AN$5:$AN$1000,$U150-4)),DATE(YEAR(INDEX($AN$5:$AN$1000,$U150-4)),MONTH(INDEX($AN$5:$AN$1000,$U150-4)),1),MesCiclo)),IF(ISNUMBER($AM150),DATE(YEAR($AM150),MONTH($AM150),1),IF(ISNUMBER($AN150),DATE(YEAR($AN150),MONTH($AN150),1),MesCiclo))))</f>
        <v/>
      </c>
      <c r="T150" s="62">
        <f>IF(OR($S150="",$S150&lt;&gt;MesCiclo),"",COUNTIF($S$5:$S150,MesCiclo))</f>
        <v/>
      </c>
      <c r="U150" s="62">
        <f>IF($V150="","",IF($V150="Macro",ROW(),IFERROR(LOOKUP(2,1/($V$5:$V150="Macro"),ROW($V$5:$V150)),0)))</f>
        <v/>
      </c>
      <c r="V150" s="62">
        <f>IF(NOT((COUNTA($B150:$D150)+COUNTA($G150:$L150)+COUNTA($Q150))&gt;0),"",IF($B150="Subactividad","Sub","Macro"))</f>
        <v/>
      </c>
      <c r="W150" s="62">
        <f>IF($V150="Macro",COUNTIFS($U$5:$U$1000,ROW(),$V$5:$V$1000,"Sub"),"")</f>
        <v/>
      </c>
      <c r="X150" s="62">
        <f>IF($V150="","",IF(ISNUMBER($G150),1,IFERROR(LOOKUP(2,1/($I150:$L150&lt;&gt;""),$I150:$L150),0)))</f>
        <v/>
      </c>
      <c r="Y150" s="62">
        <f>IF($V150="","",IF(AND(ISNUMBER($G150),$G150&lt;=IF($S150=MesCiclo,InicioCiclo,$S150+MOD(2-WEEKDAY($S150),7))+6),1,IF(ISNUMBER($I150),$I150,0)))</f>
        <v/>
      </c>
      <c r="Z150" s="62">
        <f>IF($V150="","",IF(AND(ISNUMBER($G150),$G150&lt;=IF($S150=MesCiclo,InicioCiclo,$S150+MOD(2-WEEKDAY($S150),7))+13),1,IF(ISNUMBER($J150),$J150,$Y150)))</f>
        <v/>
      </c>
      <c r="AA150" s="62">
        <f>IF($V150="","",IF(AND(ISNUMBER($G150),$G150&lt;=IF($S150=MesCiclo,InicioCiclo,$S150+MOD(2-WEEKDAY($S150),7))+20),1,IF(ISNUMBER($K150),$K150,$Z150)))</f>
        <v/>
      </c>
      <c r="AB150" s="62">
        <f>IF($V150="","",IF(AND(ISNUMBER($G150),$G150&lt;=IF($S150=MesCiclo,InicioCiclo,$S150+MOD(2-WEEKDAY($S150),7))+27),1,IF(ISNUMBER($L150),$L150,$AA150)))</f>
        <v/>
      </c>
      <c r="AC150" s="62">
        <f>IF($V150="","",IF(AND(ISNUMBER($G150),$G150&lt;=IF($S150=MesCiclo,InicioCiclo,$S150+MOD(2-WEEKDAY($S150),7))+6),1,IF(N($W150)&gt;0,AVERAGEIFS($Y$5:$Y$1000,$U$5:$U$1000,ROW(),$V$5:$V$1000,"Sub"),$Y150)))</f>
        <v/>
      </c>
      <c r="AD150" s="62">
        <f>IF($V150="","",IF(AND(ISNUMBER($G150),$G150&lt;=IF($S150=MesCiclo,InicioCiclo,$S150+MOD(2-WEEKDAY($S150),7))+13),1,IF(N($W150)&gt;0,AVERAGEIFS($Z$5:$Z$1000,$U$5:$U$1000,ROW(),$V$5:$V$1000,"Sub"),$Z150)))</f>
        <v/>
      </c>
      <c r="AE150" s="62">
        <f>IF($V150="","",IF(AND(ISNUMBER($G150),$G150&lt;=IF($S150=MesCiclo,InicioCiclo,$S150+MOD(2-WEEKDAY($S150),7))+20),1,IF(N($W150)&gt;0,AVERAGEIFS($AA$5:$AA$1000,$U$5:$U$1000,ROW(),$V$5:$V$1000,"Sub"),$AA150)))</f>
        <v/>
      </c>
      <c r="AF150" s="62">
        <f>IF($V150="","",IF(AND(ISNUMBER($G150),$G150&lt;=IF($S150=MesCiclo,InicioCiclo,$S150+MOD(2-WEEKDAY($S150),7))+27),1,IF(N($W150)&gt;0,AVERAGEIFS($AB$5:$AB$1000,$U$5:$U$1000,ROW(),$V$5:$V$1000,"Sub"),$AB150)))</f>
        <v/>
      </c>
      <c r="AG150" s="62">
        <f>IF($V150&lt;&gt;"Macro","",IF(COUNTIFS($S$5:$S$1000,$S150,$V$5:$V$1000,"Macro",$H$5:$H$1000,"&gt;0")=0,1/COUNTIFS($S$5:$S$1000,$S150,$V$5:$V$1000,"Macro"),IF(AND(ISNUMBER($H150),N($H150)&gt;0),$H150,SUMIFS($H$5:$H$1000,$S$5:$S$1000,$S150,$V$5:$V$1000,"Macro")/COUNTIFS($S$5:$S$1000,$S150,$V$5:$V$1000,"Macro",$H$5:$H$1000,"&gt;0"))/(COUNTIFS($S$5:$S$1000,$S150,$V$5:$V$1000,"Macro")*SUMIFS($H$5:$H$1000,$S$5:$S$1000,$S150,$V$5:$V$1000,"Macro")/COUNTIFS($S$5:$S$1000,$S150,$V$5:$V$1000,"Macro",$H$5:$H$1000,"&gt;0"))))</f>
        <v/>
      </c>
      <c r="AH150" s="62" t="n"/>
      <c r="AI150" s="62" t="n"/>
      <c r="AJ150" s="62" t="n"/>
      <c r="AK150" s="62" t="n"/>
      <c r="AL150" s="62">
        <f>IF(LEFT($C150,11)="[Jefatura] ",IFERROR(MATCH("Riesgo Financiero|"&amp;MID($C150,12,500),rDname_ADM,0),0),"")</f>
        <v/>
      </c>
      <c r="AM150" s="62">
        <f>IF(N($AL150)&gt;0,INDEX(rIni_ADM,$AL150),IF(ISNUMBER($E150),$E150,""))</f>
        <v/>
      </c>
      <c r="AN150" s="62">
        <f>IF(N($AL150)&gt;0,INDEX(rLim_ADM,$AL150),IF(ISNUMBER($F150),$F150,""))</f>
        <v/>
      </c>
    </row>
    <row r="151">
      <c r="A151" s="56">
        <f>IF(NOT((COUNTA($B151:$D151)+COUNTA($G151:$L151)+COUNTA($Q151))&gt;0),"",IF($V151="Macro",COUNTIFS($V$5:$V151,"Macro",$S$5:$S151,$S151),IF(N($U151)=0,"?",COUNTIFS(INDEX($V$5:$V$1000,1):INDEX($V$5:$V$1000,$U151-4),"Macro",INDEX($S$5:$S$1000,1):INDEX($S$5:$S$1000,$U151-4),INDEX($S$5:$S$1000,$U151-4))&amp;"."&amp;COUNTIFS($U$5:$U151,$U151,$V$5:$V151,"Sub"))))</f>
        <v/>
      </c>
      <c r="B151" s="57" t="n"/>
      <c r="C151" s="58" t="n"/>
      <c r="D151" s="58" t="n"/>
      <c r="E151" s="59">
        <f>IF(N($AL151)&gt;0,INDEX(rIni_ADM,$AL151),"")</f>
        <v/>
      </c>
      <c r="F151" s="59">
        <f>IF(N($AL151)&gt;0,INDEX(rLim_ADM,$AL151),"")</f>
        <v/>
      </c>
      <c r="G151" s="59" t="n"/>
      <c r="H151" s="60" t="n"/>
      <c r="I151" s="60" t="n"/>
      <c r="J151" s="60" t="n"/>
      <c r="K151" s="60" t="n"/>
      <c r="L151" s="60" t="n"/>
      <c r="M151" s="61">
        <f>IF(NOT((COUNTA($B151:$D151)+COUNTA($G151:$L151)+COUNTA($Q151))&gt;0),"",IF(ISNUMBER($G151),1,IF(N($W151)&gt;0,AVERAGEIFS($X$5:$X$1000,$U$5:$U$1000,ROW(),$V$5:$V$1000,"Sub"),$X151)))</f>
        <v/>
      </c>
      <c r="N151" s="56">
        <f>IF($M151="","",IF($M151&gt;=1,"Completado",IF($M151&gt;0,"En curso","Pendiente")))</f>
        <v/>
      </c>
      <c r="O151" s="56">
        <f>IF(NOT((COUNTA($B151:$D151)+COUNTA($G151:$L151)+COUNTA($Q151))&gt;0),"",IF(ISNUMBER($G151),IF(AND(ISNUMBER($AN151),$G151&gt;$AN151),"Cumplida con "&amp;($G151-$AN151)&amp;IF($G151-$AN151=1," día"," días")&amp;" de retraso","Cumplida"),IF(N($M151)&gt;=1,"Cumplida",IF(NOT(ISNUMBER($AN151)),"Sin fecha límite",IF($AN151&lt;FechaRef,"Vencida hace "&amp;(FechaRef-$AN151)&amp;IF(FechaRef-$AN151=1," día"," días"),IF($AN151=FechaRef,"Vence hoy",IF($AN151-FechaRef&lt;=DiasAlerta,"Vence en "&amp;($AN151-FechaRef)&amp;IF($AN151-FechaRef=1," día"," días"),"En plazo")))))))</f>
        <v/>
      </c>
      <c r="P151" s="62" t="n"/>
      <c r="Q151" s="58" t="n"/>
      <c r="R151" s="63">
        <f>IF(NOT((COUNTA($B151:$D151)+COUNTA($G151:$L151)+COUNTA($Q151))&gt;0),"",IF((IF($C151="","Falta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",""))="","✔ OK","⚠ "&amp;LEFT(IF($C151="","Falta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",""),LEN(IF($C151="","Falta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",""))-3)))</f>
        <v/>
      </c>
      <c r="S151" s="64">
        <f>IF(NOT((COUNTA($B151:$D151)+COUNTA($G151:$L151)+COUNTA($Q151))&gt;0),"",IF(AND($V151="Sub",N($U151)&gt;0),IF(ISNUMBER(INDEX($AM$5:$AM$1000,$U151-4)),DATE(YEAR(INDEX($AM$5:$AM$1000,$U151-4)),MONTH(INDEX($AM$5:$AM$1000,$U151-4)),1),IF(ISNUMBER(INDEX($AN$5:$AN$1000,$U151-4)),DATE(YEAR(INDEX($AN$5:$AN$1000,$U151-4)),MONTH(INDEX($AN$5:$AN$1000,$U151-4)),1),MesCiclo)),IF(ISNUMBER($AM151),DATE(YEAR($AM151),MONTH($AM151),1),IF(ISNUMBER($AN151),DATE(YEAR($AN151),MONTH($AN151),1),MesCiclo))))</f>
        <v/>
      </c>
      <c r="T151" s="62">
        <f>IF(OR($S151="",$S151&lt;&gt;MesCiclo),"",COUNTIF($S$5:$S151,MesCiclo))</f>
        <v/>
      </c>
      <c r="U151" s="62">
        <f>IF($V151="","",IF($V151="Macro",ROW(),IFERROR(LOOKUP(2,1/($V$5:$V151="Macro"),ROW($V$5:$V151)),0)))</f>
        <v/>
      </c>
      <c r="V151" s="62">
        <f>IF(NOT((COUNTA($B151:$D151)+COUNTA($G151:$L151)+COUNTA($Q151))&gt;0),"",IF($B151="Subactividad","Sub","Macro"))</f>
        <v/>
      </c>
      <c r="W151" s="62">
        <f>IF($V151="Macro",COUNTIFS($U$5:$U$1000,ROW(),$V$5:$V$1000,"Sub"),"")</f>
        <v/>
      </c>
      <c r="X151" s="62">
        <f>IF($V151="","",IF(ISNUMBER($G151),1,IFERROR(LOOKUP(2,1/($I151:$L151&lt;&gt;""),$I151:$L151),0)))</f>
        <v/>
      </c>
      <c r="Y151" s="62">
        <f>IF($V151="","",IF(AND(ISNUMBER($G151),$G151&lt;=IF($S151=MesCiclo,InicioCiclo,$S151+MOD(2-WEEKDAY($S151),7))+6),1,IF(ISNUMBER($I151),$I151,0)))</f>
        <v/>
      </c>
      <c r="Z151" s="62">
        <f>IF($V151="","",IF(AND(ISNUMBER($G151),$G151&lt;=IF($S151=MesCiclo,InicioCiclo,$S151+MOD(2-WEEKDAY($S151),7))+13),1,IF(ISNUMBER($J151),$J151,$Y151)))</f>
        <v/>
      </c>
      <c r="AA151" s="62">
        <f>IF($V151="","",IF(AND(ISNUMBER($G151),$G151&lt;=IF($S151=MesCiclo,InicioCiclo,$S151+MOD(2-WEEKDAY($S151),7))+20),1,IF(ISNUMBER($K151),$K151,$Z151)))</f>
        <v/>
      </c>
      <c r="AB151" s="62">
        <f>IF($V151="","",IF(AND(ISNUMBER($G151),$G151&lt;=IF($S151=MesCiclo,InicioCiclo,$S151+MOD(2-WEEKDAY($S151),7))+27),1,IF(ISNUMBER($L151),$L151,$AA151)))</f>
        <v/>
      </c>
      <c r="AC151" s="62">
        <f>IF($V151="","",IF(AND(ISNUMBER($G151),$G151&lt;=IF($S151=MesCiclo,InicioCiclo,$S151+MOD(2-WEEKDAY($S151),7))+6),1,IF(N($W151)&gt;0,AVERAGEIFS($Y$5:$Y$1000,$U$5:$U$1000,ROW(),$V$5:$V$1000,"Sub"),$Y151)))</f>
        <v/>
      </c>
      <c r="AD151" s="62">
        <f>IF($V151="","",IF(AND(ISNUMBER($G151),$G151&lt;=IF($S151=MesCiclo,InicioCiclo,$S151+MOD(2-WEEKDAY($S151),7))+13),1,IF(N($W151)&gt;0,AVERAGEIFS($Z$5:$Z$1000,$U$5:$U$1000,ROW(),$V$5:$V$1000,"Sub"),$Z151)))</f>
        <v/>
      </c>
      <c r="AE151" s="62">
        <f>IF($V151="","",IF(AND(ISNUMBER($G151),$G151&lt;=IF($S151=MesCiclo,InicioCiclo,$S151+MOD(2-WEEKDAY($S151),7))+20),1,IF(N($W151)&gt;0,AVERAGEIFS($AA$5:$AA$1000,$U$5:$U$1000,ROW(),$V$5:$V$1000,"Sub"),$AA151)))</f>
        <v/>
      </c>
      <c r="AF151" s="62">
        <f>IF($V151="","",IF(AND(ISNUMBER($G151),$G151&lt;=IF($S151=MesCiclo,InicioCiclo,$S151+MOD(2-WEEKDAY($S151),7))+27),1,IF(N($W151)&gt;0,AVERAGEIFS($AB$5:$AB$1000,$U$5:$U$1000,ROW(),$V$5:$V$1000,"Sub"),$AB151)))</f>
        <v/>
      </c>
      <c r="AG151" s="62">
        <f>IF($V151&lt;&gt;"Macro","",IF(COUNTIFS($S$5:$S$1000,$S151,$V$5:$V$1000,"Macro",$H$5:$H$1000,"&gt;0")=0,1/COUNTIFS($S$5:$S$1000,$S151,$V$5:$V$1000,"Macro"),IF(AND(ISNUMBER($H151),N($H151)&gt;0),$H151,SUMIFS($H$5:$H$1000,$S$5:$S$1000,$S151,$V$5:$V$1000,"Macro")/COUNTIFS($S$5:$S$1000,$S151,$V$5:$V$1000,"Macro",$H$5:$H$1000,"&gt;0"))/(COUNTIFS($S$5:$S$1000,$S151,$V$5:$V$1000,"Macro")*SUMIFS($H$5:$H$1000,$S$5:$S$1000,$S151,$V$5:$V$1000,"Macro")/COUNTIFS($S$5:$S$1000,$S151,$V$5:$V$1000,"Macro",$H$5:$H$1000,"&gt;0"))))</f>
        <v/>
      </c>
      <c r="AH151" s="62" t="n"/>
      <c r="AI151" s="62" t="n"/>
      <c r="AJ151" s="62" t="n"/>
      <c r="AK151" s="62" t="n"/>
      <c r="AL151" s="62">
        <f>IF(LEFT($C151,11)="[Jefatura] ",IFERROR(MATCH("Riesgo Financiero|"&amp;MID($C151,12,500),rDname_ADM,0),0),"")</f>
        <v/>
      </c>
      <c r="AM151" s="62">
        <f>IF(N($AL151)&gt;0,INDEX(rIni_ADM,$AL151),IF(ISNUMBER($E151),$E151,""))</f>
        <v/>
      </c>
      <c r="AN151" s="62">
        <f>IF(N($AL151)&gt;0,INDEX(rLim_ADM,$AL151),IF(ISNUMBER($F151),$F151,""))</f>
        <v/>
      </c>
    </row>
    <row r="152">
      <c r="A152" s="56">
        <f>IF(NOT((COUNTA($B152:$D152)+COUNTA($G152:$L152)+COUNTA($Q152))&gt;0),"",IF($V152="Macro",COUNTIFS($V$5:$V152,"Macro",$S$5:$S152,$S152),IF(N($U152)=0,"?",COUNTIFS(INDEX($V$5:$V$1000,1):INDEX($V$5:$V$1000,$U152-4),"Macro",INDEX($S$5:$S$1000,1):INDEX($S$5:$S$1000,$U152-4),INDEX($S$5:$S$1000,$U152-4))&amp;"."&amp;COUNTIFS($U$5:$U152,$U152,$V$5:$V152,"Sub"))))</f>
        <v/>
      </c>
      <c r="B152" s="57" t="n"/>
      <c r="C152" s="58" t="n"/>
      <c r="D152" s="58" t="n"/>
      <c r="E152" s="59">
        <f>IF(N($AL152)&gt;0,INDEX(rIni_ADM,$AL152),"")</f>
        <v/>
      </c>
      <c r="F152" s="59">
        <f>IF(N($AL152)&gt;0,INDEX(rLim_ADM,$AL152),"")</f>
        <v/>
      </c>
      <c r="G152" s="59" t="n"/>
      <c r="H152" s="60" t="n"/>
      <c r="I152" s="60" t="n"/>
      <c r="J152" s="60" t="n"/>
      <c r="K152" s="60" t="n"/>
      <c r="L152" s="60" t="n"/>
      <c r="M152" s="61">
        <f>IF(NOT((COUNTA($B152:$D152)+COUNTA($G152:$L152)+COUNTA($Q152))&gt;0),"",IF(ISNUMBER($G152),1,IF(N($W152)&gt;0,AVERAGEIFS($X$5:$X$1000,$U$5:$U$1000,ROW(),$V$5:$V$1000,"Sub"),$X152)))</f>
        <v/>
      </c>
      <c r="N152" s="56">
        <f>IF($M152="","",IF($M152&gt;=1,"Completado",IF($M152&gt;0,"En curso","Pendiente")))</f>
        <v/>
      </c>
      <c r="O152" s="56">
        <f>IF(NOT((COUNTA($B152:$D152)+COUNTA($G152:$L152)+COUNTA($Q152))&gt;0),"",IF(ISNUMBER($G152),IF(AND(ISNUMBER($AN152),$G152&gt;$AN152),"Cumplida con "&amp;($G152-$AN152)&amp;IF($G152-$AN152=1," día"," días")&amp;" de retraso","Cumplida"),IF(N($M152)&gt;=1,"Cumplida",IF(NOT(ISNUMBER($AN152)),"Sin fecha límite",IF($AN152&lt;FechaRef,"Vencida hace "&amp;(FechaRef-$AN152)&amp;IF(FechaRef-$AN152=1," día"," días"),IF($AN152=FechaRef,"Vence hoy",IF($AN152-FechaRef&lt;=DiasAlerta,"Vence en "&amp;($AN152-FechaRef)&amp;IF($AN152-FechaRef=1," día"," días"),"En plazo")))))))</f>
        <v/>
      </c>
      <c r="P152" s="62" t="n"/>
      <c r="Q152" s="58" t="n"/>
      <c r="R152" s="63">
        <f>IF(NOT((COUNTA($B152:$D152)+COUNTA($G152:$L152)+COUNTA($Q152))&gt;0),"",IF((IF($C152="","Falta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",""))="","✔ OK","⚠ "&amp;LEFT(IF($C152="","Falta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",""),LEN(IF($C152="","Falta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",""))-3)))</f>
        <v/>
      </c>
      <c r="S152" s="64">
        <f>IF(NOT((COUNTA($B152:$D152)+COUNTA($G152:$L152)+COUNTA($Q152))&gt;0),"",IF(AND($V152="Sub",N($U152)&gt;0),IF(ISNUMBER(INDEX($AM$5:$AM$1000,$U152-4)),DATE(YEAR(INDEX($AM$5:$AM$1000,$U152-4)),MONTH(INDEX($AM$5:$AM$1000,$U152-4)),1),IF(ISNUMBER(INDEX($AN$5:$AN$1000,$U152-4)),DATE(YEAR(INDEX($AN$5:$AN$1000,$U152-4)),MONTH(INDEX($AN$5:$AN$1000,$U152-4)),1),MesCiclo)),IF(ISNUMBER($AM152),DATE(YEAR($AM152),MONTH($AM152),1),IF(ISNUMBER($AN152),DATE(YEAR($AN152),MONTH($AN152),1),MesCiclo))))</f>
        <v/>
      </c>
      <c r="T152" s="62">
        <f>IF(OR($S152="",$S152&lt;&gt;MesCiclo),"",COUNTIF($S$5:$S152,MesCiclo))</f>
        <v/>
      </c>
      <c r="U152" s="62">
        <f>IF($V152="","",IF($V152="Macro",ROW(),IFERROR(LOOKUP(2,1/($V$5:$V152="Macro"),ROW($V$5:$V152)),0)))</f>
        <v/>
      </c>
      <c r="V152" s="62">
        <f>IF(NOT((COUNTA($B152:$D152)+COUNTA($G152:$L152)+COUNTA($Q152))&gt;0),"",IF($B152="Subactividad","Sub","Macro"))</f>
        <v/>
      </c>
      <c r="W152" s="62">
        <f>IF($V152="Macro",COUNTIFS($U$5:$U$1000,ROW(),$V$5:$V$1000,"Sub"),"")</f>
        <v/>
      </c>
      <c r="X152" s="62">
        <f>IF($V152="","",IF(ISNUMBER($G152),1,IFERROR(LOOKUP(2,1/($I152:$L152&lt;&gt;""),$I152:$L152),0)))</f>
        <v/>
      </c>
      <c r="Y152" s="62">
        <f>IF($V152="","",IF(AND(ISNUMBER($G152),$G152&lt;=IF($S152=MesCiclo,InicioCiclo,$S152+MOD(2-WEEKDAY($S152),7))+6),1,IF(ISNUMBER($I152),$I152,0)))</f>
        <v/>
      </c>
      <c r="Z152" s="62">
        <f>IF($V152="","",IF(AND(ISNUMBER($G152),$G152&lt;=IF($S152=MesCiclo,InicioCiclo,$S152+MOD(2-WEEKDAY($S152),7))+13),1,IF(ISNUMBER($J152),$J152,$Y152)))</f>
        <v/>
      </c>
      <c r="AA152" s="62">
        <f>IF($V152="","",IF(AND(ISNUMBER($G152),$G152&lt;=IF($S152=MesCiclo,InicioCiclo,$S152+MOD(2-WEEKDAY($S152),7))+20),1,IF(ISNUMBER($K152),$K152,$Z152)))</f>
        <v/>
      </c>
      <c r="AB152" s="62">
        <f>IF($V152="","",IF(AND(ISNUMBER($G152),$G152&lt;=IF($S152=MesCiclo,InicioCiclo,$S152+MOD(2-WEEKDAY($S152),7))+27),1,IF(ISNUMBER($L152),$L152,$AA152)))</f>
        <v/>
      </c>
      <c r="AC152" s="62">
        <f>IF($V152="","",IF(AND(ISNUMBER($G152),$G152&lt;=IF($S152=MesCiclo,InicioCiclo,$S152+MOD(2-WEEKDAY($S152),7))+6),1,IF(N($W152)&gt;0,AVERAGEIFS($Y$5:$Y$1000,$U$5:$U$1000,ROW(),$V$5:$V$1000,"Sub"),$Y152)))</f>
        <v/>
      </c>
      <c r="AD152" s="62">
        <f>IF($V152="","",IF(AND(ISNUMBER($G152),$G152&lt;=IF($S152=MesCiclo,InicioCiclo,$S152+MOD(2-WEEKDAY($S152),7))+13),1,IF(N($W152)&gt;0,AVERAGEIFS($Z$5:$Z$1000,$U$5:$U$1000,ROW(),$V$5:$V$1000,"Sub"),$Z152)))</f>
        <v/>
      </c>
      <c r="AE152" s="62">
        <f>IF($V152="","",IF(AND(ISNUMBER($G152),$G152&lt;=IF($S152=MesCiclo,InicioCiclo,$S152+MOD(2-WEEKDAY($S152),7))+20),1,IF(N($W152)&gt;0,AVERAGEIFS($AA$5:$AA$1000,$U$5:$U$1000,ROW(),$V$5:$V$1000,"Sub"),$AA152)))</f>
        <v/>
      </c>
      <c r="AF152" s="62">
        <f>IF($V152="","",IF(AND(ISNUMBER($G152),$G152&lt;=IF($S152=MesCiclo,InicioCiclo,$S152+MOD(2-WEEKDAY($S152),7))+27),1,IF(N($W152)&gt;0,AVERAGEIFS($AB$5:$AB$1000,$U$5:$U$1000,ROW(),$V$5:$V$1000,"Sub"),$AB152)))</f>
        <v/>
      </c>
      <c r="AG152" s="62">
        <f>IF($V152&lt;&gt;"Macro","",IF(COUNTIFS($S$5:$S$1000,$S152,$V$5:$V$1000,"Macro",$H$5:$H$1000,"&gt;0")=0,1/COUNTIFS($S$5:$S$1000,$S152,$V$5:$V$1000,"Macro"),IF(AND(ISNUMBER($H152),N($H152)&gt;0),$H152,SUMIFS($H$5:$H$1000,$S$5:$S$1000,$S152,$V$5:$V$1000,"Macro")/COUNTIFS($S$5:$S$1000,$S152,$V$5:$V$1000,"Macro",$H$5:$H$1000,"&gt;0"))/(COUNTIFS($S$5:$S$1000,$S152,$V$5:$V$1000,"Macro")*SUMIFS($H$5:$H$1000,$S$5:$S$1000,$S152,$V$5:$V$1000,"Macro")/COUNTIFS($S$5:$S$1000,$S152,$V$5:$V$1000,"Macro",$H$5:$H$1000,"&gt;0"))))</f>
        <v/>
      </c>
      <c r="AH152" s="62" t="n"/>
      <c r="AI152" s="62" t="n"/>
      <c r="AJ152" s="62" t="n"/>
      <c r="AK152" s="62" t="n"/>
      <c r="AL152" s="62">
        <f>IF(LEFT($C152,11)="[Jefatura] ",IFERROR(MATCH("Riesgo Financiero|"&amp;MID($C152,12,500),rDname_ADM,0),0),"")</f>
        <v/>
      </c>
      <c r="AM152" s="62">
        <f>IF(N($AL152)&gt;0,INDEX(rIni_ADM,$AL152),IF(ISNUMBER($E152),$E152,""))</f>
        <v/>
      </c>
      <c r="AN152" s="62">
        <f>IF(N($AL152)&gt;0,INDEX(rLim_ADM,$AL152),IF(ISNUMBER($F152),$F152,""))</f>
        <v/>
      </c>
    </row>
    <row r="153">
      <c r="A153" s="56">
        <f>IF(NOT((COUNTA($B153:$D153)+COUNTA($G153:$L153)+COUNTA($Q153))&gt;0),"",IF($V153="Macro",COUNTIFS($V$5:$V153,"Macro",$S$5:$S153,$S153),IF(N($U153)=0,"?",COUNTIFS(INDEX($V$5:$V$1000,1):INDEX($V$5:$V$1000,$U153-4),"Macro",INDEX($S$5:$S$1000,1):INDEX($S$5:$S$1000,$U153-4),INDEX($S$5:$S$1000,$U153-4))&amp;"."&amp;COUNTIFS($U$5:$U153,$U153,$V$5:$V153,"Sub"))))</f>
        <v/>
      </c>
      <c r="B153" s="57" t="n"/>
      <c r="C153" s="58" t="n"/>
      <c r="D153" s="58" t="n"/>
      <c r="E153" s="59">
        <f>IF(N($AL153)&gt;0,INDEX(rIni_ADM,$AL153),"")</f>
        <v/>
      </c>
      <c r="F153" s="59">
        <f>IF(N($AL153)&gt;0,INDEX(rLim_ADM,$AL153),"")</f>
        <v/>
      </c>
      <c r="G153" s="59" t="n"/>
      <c r="H153" s="60" t="n"/>
      <c r="I153" s="60" t="n"/>
      <c r="J153" s="60" t="n"/>
      <c r="K153" s="60" t="n"/>
      <c r="L153" s="60" t="n"/>
      <c r="M153" s="61">
        <f>IF(NOT((COUNTA($B153:$D153)+COUNTA($G153:$L153)+COUNTA($Q153))&gt;0),"",IF(ISNUMBER($G153),1,IF(N($W153)&gt;0,AVERAGEIFS($X$5:$X$1000,$U$5:$U$1000,ROW(),$V$5:$V$1000,"Sub"),$X153)))</f>
        <v/>
      </c>
      <c r="N153" s="56">
        <f>IF($M153="","",IF($M153&gt;=1,"Completado",IF($M153&gt;0,"En curso","Pendiente")))</f>
        <v/>
      </c>
      <c r="O153" s="56">
        <f>IF(NOT((COUNTA($B153:$D153)+COUNTA($G153:$L153)+COUNTA($Q153))&gt;0),"",IF(ISNUMBER($G153),IF(AND(ISNUMBER($AN153),$G153&gt;$AN153),"Cumplida con "&amp;($G153-$AN153)&amp;IF($G153-$AN153=1," día"," días")&amp;" de retraso","Cumplida"),IF(N($M153)&gt;=1,"Cumplida",IF(NOT(ISNUMBER($AN153)),"Sin fecha límite",IF($AN153&lt;FechaRef,"Vencida hace "&amp;(FechaRef-$AN153)&amp;IF(FechaRef-$AN153=1," día"," días"),IF($AN153=FechaRef,"Vence hoy",IF($AN153-FechaRef&lt;=DiasAlerta,"Vence en "&amp;($AN153-FechaRef)&amp;IF($AN153-FechaRef=1," día"," días"),"En plazo")))))))</f>
        <v/>
      </c>
      <c r="P153" s="62" t="n"/>
      <c r="Q153" s="58" t="n"/>
      <c r="R153" s="63">
        <f>IF(NOT((COUNTA($B153:$D153)+COUNTA($G153:$L153)+COUNTA($Q153))&gt;0),"",IF((IF($C153="","Falta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",""))="","✔ OK","⚠ "&amp;LEFT(IF($C153="","Falta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",""),LEN(IF($C153="","Falta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",""))-3)))</f>
        <v/>
      </c>
      <c r="S153" s="64">
        <f>IF(NOT((COUNTA($B153:$D153)+COUNTA($G153:$L153)+COUNTA($Q153))&gt;0),"",IF(AND($V153="Sub",N($U153)&gt;0),IF(ISNUMBER(INDEX($AM$5:$AM$1000,$U153-4)),DATE(YEAR(INDEX($AM$5:$AM$1000,$U153-4)),MONTH(INDEX($AM$5:$AM$1000,$U153-4)),1),IF(ISNUMBER(INDEX($AN$5:$AN$1000,$U153-4)),DATE(YEAR(INDEX($AN$5:$AN$1000,$U153-4)),MONTH(INDEX($AN$5:$AN$1000,$U153-4)),1),MesCiclo)),IF(ISNUMBER($AM153),DATE(YEAR($AM153),MONTH($AM153),1),IF(ISNUMBER($AN153),DATE(YEAR($AN153),MONTH($AN153),1),MesCiclo))))</f>
        <v/>
      </c>
      <c r="T153" s="62">
        <f>IF(OR($S153="",$S153&lt;&gt;MesCiclo),"",COUNTIF($S$5:$S153,MesCiclo))</f>
        <v/>
      </c>
      <c r="U153" s="62">
        <f>IF($V153="","",IF($V153="Macro",ROW(),IFERROR(LOOKUP(2,1/($V$5:$V153="Macro"),ROW($V$5:$V153)),0)))</f>
        <v/>
      </c>
      <c r="V153" s="62">
        <f>IF(NOT((COUNTA($B153:$D153)+COUNTA($G153:$L153)+COUNTA($Q153))&gt;0),"",IF($B153="Subactividad","Sub","Macro"))</f>
        <v/>
      </c>
      <c r="W153" s="62">
        <f>IF($V153="Macro",COUNTIFS($U$5:$U$1000,ROW(),$V$5:$V$1000,"Sub"),"")</f>
        <v/>
      </c>
      <c r="X153" s="62">
        <f>IF($V153="","",IF(ISNUMBER($G153),1,IFERROR(LOOKUP(2,1/($I153:$L153&lt;&gt;""),$I153:$L153),0)))</f>
        <v/>
      </c>
      <c r="Y153" s="62">
        <f>IF($V153="","",IF(AND(ISNUMBER($G153),$G153&lt;=IF($S153=MesCiclo,InicioCiclo,$S153+MOD(2-WEEKDAY($S153),7))+6),1,IF(ISNUMBER($I153),$I153,0)))</f>
        <v/>
      </c>
      <c r="Z153" s="62">
        <f>IF($V153="","",IF(AND(ISNUMBER($G153),$G153&lt;=IF($S153=MesCiclo,InicioCiclo,$S153+MOD(2-WEEKDAY($S153),7))+13),1,IF(ISNUMBER($J153),$J153,$Y153)))</f>
        <v/>
      </c>
      <c r="AA153" s="62">
        <f>IF($V153="","",IF(AND(ISNUMBER($G153),$G153&lt;=IF($S153=MesCiclo,InicioCiclo,$S153+MOD(2-WEEKDAY($S153),7))+20),1,IF(ISNUMBER($K153),$K153,$Z153)))</f>
        <v/>
      </c>
      <c r="AB153" s="62">
        <f>IF($V153="","",IF(AND(ISNUMBER($G153),$G153&lt;=IF($S153=MesCiclo,InicioCiclo,$S153+MOD(2-WEEKDAY($S153),7))+27),1,IF(ISNUMBER($L153),$L153,$AA153)))</f>
        <v/>
      </c>
      <c r="AC153" s="62">
        <f>IF($V153="","",IF(AND(ISNUMBER($G153),$G153&lt;=IF($S153=MesCiclo,InicioCiclo,$S153+MOD(2-WEEKDAY($S153),7))+6),1,IF(N($W153)&gt;0,AVERAGEIFS($Y$5:$Y$1000,$U$5:$U$1000,ROW(),$V$5:$V$1000,"Sub"),$Y153)))</f>
        <v/>
      </c>
      <c r="AD153" s="62">
        <f>IF($V153="","",IF(AND(ISNUMBER($G153),$G153&lt;=IF($S153=MesCiclo,InicioCiclo,$S153+MOD(2-WEEKDAY($S153),7))+13),1,IF(N($W153)&gt;0,AVERAGEIFS($Z$5:$Z$1000,$U$5:$U$1000,ROW(),$V$5:$V$1000,"Sub"),$Z153)))</f>
        <v/>
      </c>
      <c r="AE153" s="62">
        <f>IF($V153="","",IF(AND(ISNUMBER($G153),$G153&lt;=IF($S153=MesCiclo,InicioCiclo,$S153+MOD(2-WEEKDAY($S153),7))+20),1,IF(N($W153)&gt;0,AVERAGEIFS($AA$5:$AA$1000,$U$5:$U$1000,ROW(),$V$5:$V$1000,"Sub"),$AA153)))</f>
        <v/>
      </c>
      <c r="AF153" s="62">
        <f>IF($V153="","",IF(AND(ISNUMBER($G153),$G153&lt;=IF($S153=MesCiclo,InicioCiclo,$S153+MOD(2-WEEKDAY($S153),7))+27),1,IF(N($W153)&gt;0,AVERAGEIFS($AB$5:$AB$1000,$U$5:$U$1000,ROW(),$V$5:$V$1000,"Sub"),$AB153)))</f>
        <v/>
      </c>
      <c r="AG153" s="62">
        <f>IF($V153&lt;&gt;"Macro","",IF(COUNTIFS($S$5:$S$1000,$S153,$V$5:$V$1000,"Macro",$H$5:$H$1000,"&gt;0")=0,1/COUNTIFS($S$5:$S$1000,$S153,$V$5:$V$1000,"Macro"),IF(AND(ISNUMBER($H153),N($H153)&gt;0),$H153,SUMIFS($H$5:$H$1000,$S$5:$S$1000,$S153,$V$5:$V$1000,"Macro")/COUNTIFS($S$5:$S$1000,$S153,$V$5:$V$1000,"Macro",$H$5:$H$1000,"&gt;0"))/(COUNTIFS($S$5:$S$1000,$S153,$V$5:$V$1000,"Macro")*SUMIFS($H$5:$H$1000,$S$5:$S$1000,$S153,$V$5:$V$1000,"Macro")/COUNTIFS($S$5:$S$1000,$S153,$V$5:$V$1000,"Macro",$H$5:$H$1000,"&gt;0"))))</f>
        <v/>
      </c>
      <c r="AH153" s="62" t="n"/>
      <c r="AI153" s="62" t="n"/>
      <c r="AJ153" s="62" t="n"/>
      <c r="AK153" s="62" t="n"/>
      <c r="AL153" s="62">
        <f>IF(LEFT($C153,11)="[Jefatura] ",IFERROR(MATCH("Riesgo Financiero|"&amp;MID($C153,12,500),rDname_ADM,0),0),"")</f>
        <v/>
      </c>
      <c r="AM153" s="62">
        <f>IF(N($AL153)&gt;0,INDEX(rIni_ADM,$AL153),IF(ISNUMBER($E153),$E153,""))</f>
        <v/>
      </c>
      <c r="AN153" s="62">
        <f>IF(N($AL153)&gt;0,INDEX(rLim_ADM,$AL153),IF(ISNUMBER($F153),$F153,""))</f>
        <v/>
      </c>
    </row>
    <row r="154">
      <c r="A154" s="56">
        <f>IF(NOT((COUNTA($B154:$D154)+COUNTA($G154:$L154)+COUNTA($Q154))&gt;0),"",IF($V154="Macro",COUNTIFS($V$5:$V154,"Macro",$S$5:$S154,$S154),IF(N($U154)=0,"?",COUNTIFS(INDEX($V$5:$V$1000,1):INDEX($V$5:$V$1000,$U154-4),"Macro",INDEX($S$5:$S$1000,1):INDEX($S$5:$S$1000,$U154-4),INDEX($S$5:$S$1000,$U154-4))&amp;"."&amp;COUNTIFS($U$5:$U154,$U154,$V$5:$V154,"Sub"))))</f>
        <v/>
      </c>
      <c r="B154" s="57" t="n"/>
      <c r="C154" s="58" t="n"/>
      <c r="D154" s="58" t="n"/>
      <c r="E154" s="59">
        <f>IF(N($AL154)&gt;0,INDEX(rIni_ADM,$AL154),"")</f>
        <v/>
      </c>
      <c r="F154" s="59">
        <f>IF(N($AL154)&gt;0,INDEX(rLim_ADM,$AL154),"")</f>
        <v/>
      </c>
      <c r="G154" s="59" t="n"/>
      <c r="H154" s="60" t="n"/>
      <c r="I154" s="60" t="n"/>
      <c r="J154" s="60" t="n"/>
      <c r="K154" s="60" t="n"/>
      <c r="L154" s="60" t="n"/>
      <c r="M154" s="61">
        <f>IF(NOT((COUNTA($B154:$D154)+COUNTA($G154:$L154)+COUNTA($Q154))&gt;0),"",IF(ISNUMBER($G154),1,IF(N($W154)&gt;0,AVERAGEIFS($X$5:$X$1000,$U$5:$U$1000,ROW(),$V$5:$V$1000,"Sub"),$X154)))</f>
        <v/>
      </c>
      <c r="N154" s="56">
        <f>IF($M154="","",IF($M154&gt;=1,"Completado",IF($M154&gt;0,"En curso","Pendiente")))</f>
        <v/>
      </c>
      <c r="O154" s="56">
        <f>IF(NOT((COUNTA($B154:$D154)+COUNTA($G154:$L154)+COUNTA($Q154))&gt;0),"",IF(ISNUMBER($G154),IF(AND(ISNUMBER($AN154),$G154&gt;$AN154),"Cumplida con "&amp;($G154-$AN154)&amp;IF($G154-$AN154=1," día"," días")&amp;" de retraso","Cumplida"),IF(N($M154)&gt;=1,"Cumplida",IF(NOT(ISNUMBER($AN154)),"Sin fecha límite",IF($AN154&lt;FechaRef,"Vencida hace "&amp;(FechaRef-$AN154)&amp;IF(FechaRef-$AN154=1," día"," días"),IF($AN154=FechaRef,"Vence hoy",IF($AN154-FechaRef&lt;=DiasAlerta,"Vence en "&amp;($AN154-FechaRef)&amp;IF($AN154-FechaRef=1," día"," días"),"En plazo")))))))</f>
        <v/>
      </c>
      <c r="P154" s="62" t="n"/>
      <c r="Q154" s="58" t="n"/>
      <c r="R154" s="63">
        <f>IF(NOT((COUNTA($B154:$D154)+COUNTA($G154:$L154)+COUNTA($Q154))&gt;0),"",IF((IF($C154="","Falta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",""))="","✔ OK","⚠ "&amp;LEFT(IF($C154="","Falta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",""),LEN(IF($C154="","Falta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",""))-3)))</f>
        <v/>
      </c>
      <c r="S154" s="64">
        <f>IF(NOT((COUNTA($B154:$D154)+COUNTA($G154:$L154)+COUNTA($Q154))&gt;0),"",IF(AND($V154="Sub",N($U154)&gt;0),IF(ISNUMBER(INDEX($AM$5:$AM$1000,$U154-4)),DATE(YEAR(INDEX($AM$5:$AM$1000,$U154-4)),MONTH(INDEX($AM$5:$AM$1000,$U154-4)),1),IF(ISNUMBER(INDEX($AN$5:$AN$1000,$U154-4)),DATE(YEAR(INDEX($AN$5:$AN$1000,$U154-4)),MONTH(INDEX($AN$5:$AN$1000,$U154-4)),1),MesCiclo)),IF(ISNUMBER($AM154),DATE(YEAR($AM154),MONTH($AM154),1),IF(ISNUMBER($AN154),DATE(YEAR($AN154),MONTH($AN154),1),MesCiclo))))</f>
        <v/>
      </c>
      <c r="T154" s="62">
        <f>IF(OR($S154="",$S154&lt;&gt;MesCiclo),"",COUNTIF($S$5:$S154,MesCiclo))</f>
        <v/>
      </c>
      <c r="U154" s="62">
        <f>IF($V154="","",IF($V154="Macro",ROW(),IFERROR(LOOKUP(2,1/($V$5:$V154="Macro"),ROW($V$5:$V154)),0)))</f>
        <v/>
      </c>
      <c r="V154" s="62">
        <f>IF(NOT((COUNTA($B154:$D154)+COUNTA($G154:$L154)+COUNTA($Q154))&gt;0),"",IF($B154="Subactividad","Sub","Macro"))</f>
        <v/>
      </c>
      <c r="W154" s="62">
        <f>IF($V154="Macro",COUNTIFS($U$5:$U$1000,ROW(),$V$5:$V$1000,"Sub"),"")</f>
        <v/>
      </c>
      <c r="X154" s="62">
        <f>IF($V154="","",IF(ISNUMBER($G154),1,IFERROR(LOOKUP(2,1/($I154:$L154&lt;&gt;""),$I154:$L154),0)))</f>
        <v/>
      </c>
      <c r="Y154" s="62">
        <f>IF($V154="","",IF(AND(ISNUMBER($G154),$G154&lt;=IF($S154=MesCiclo,InicioCiclo,$S154+MOD(2-WEEKDAY($S154),7))+6),1,IF(ISNUMBER($I154),$I154,0)))</f>
        <v/>
      </c>
      <c r="Z154" s="62">
        <f>IF($V154="","",IF(AND(ISNUMBER($G154),$G154&lt;=IF($S154=MesCiclo,InicioCiclo,$S154+MOD(2-WEEKDAY($S154),7))+13),1,IF(ISNUMBER($J154),$J154,$Y154)))</f>
        <v/>
      </c>
      <c r="AA154" s="62">
        <f>IF($V154="","",IF(AND(ISNUMBER($G154),$G154&lt;=IF($S154=MesCiclo,InicioCiclo,$S154+MOD(2-WEEKDAY($S154),7))+20),1,IF(ISNUMBER($K154),$K154,$Z154)))</f>
        <v/>
      </c>
      <c r="AB154" s="62">
        <f>IF($V154="","",IF(AND(ISNUMBER($G154),$G154&lt;=IF($S154=MesCiclo,InicioCiclo,$S154+MOD(2-WEEKDAY($S154),7))+27),1,IF(ISNUMBER($L154),$L154,$AA154)))</f>
        <v/>
      </c>
      <c r="AC154" s="62">
        <f>IF($V154="","",IF(AND(ISNUMBER($G154),$G154&lt;=IF($S154=MesCiclo,InicioCiclo,$S154+MOD(2-WEEKDAY($S154),7))+6),1,IF(N($W154)&gt;0,AVERAGEIFS($Y$5:$Y$1000,$U$5:$U$1000,ROW(),$V$5:$V$1000,"Sub"),$Y154)))</f>
        <v/>
      </c>
      <c r="AD154" s="62">
        <f>IF($V154="","",IF(AND(ISNUMBER($G154),$G154&lt;=IF($S154=MesCiclo,InicioCiclo,$S154+MOD(2-WEEKDAY($S154),7))+13),1,IF(N($W154)&gt;0,AVERAGEIFS($Z$5:$Z$1000,$U$5:$U$1000,ROW(),$V$5:$V$1000,"Sub"),$Z154)))</f>
        <v/>
      </c>
      <c r="AE154" s="62">
        <f>IF($V154="","",IF(AND(ISNUMBER($G154),$G154&lt;=IF($S154=MesCiclo,InicioCiclo,$S154+MOD(2-WEEKDAY($S154),7))+20),1,IF(N($W154)&gt;0,AVERAGEIFS($AA$5:$AA$1000,$U$5:$U$1000,ROW(),$V$5:$V$1000,"Sub"),$AA154)))</f>
        <v/>
      </c>
      <c r="AF154" s="62">
        <f>IF($V154="","",IF(AND(ISNUMBER($G154),$G154&lt;=IF($S154=MesCiclo,InicioCiclo,$S154+MOD(2-WEEKDAY($S154),7))+27),1,IF(N($W154)&gt;0,AVERAGEIFS($AB$5:$AB$1000,$U$5:$U$1000,ROW(),$V$5:$V$1000,"Sub"),$AB154)))</f>
        <v/>
      </c>
      <c r="AG154" s="62">
        <f>IF($V154&lt;&gt;"Macro","",IF(COUNTIFS($S$5:$S$1000,$S154,$V$5:$V$1000,"Macro",$H$5:$H$1000,"&gt;0")=0,1/COUNTIFS($S$5:$S$1000,$S154,$V$5:$V$1000,"Macro"),IF(AND(ISNUMBER($H154),N($H154)&gt;0),$H154,SUMIFS($H$5:$H$1000,$S$5:$S$1000,$S154,$V$5:$V$1000,"Macro")/COUNTIFS($S$5:$S$1000,$S154,$V$5:$V$1000,"Macro",$H$5:$H$1000,"&gt;0"))/(COUNTIFS($S$5:$S$1000,$S154,$V$5:$V$1000,"Macro")*SUMIFS($H$5:$H$1000,$S$5:$S$1000,$S154,$V$5:$V$1000,"Macro")/COUNTIFS($S$5:$S$1000,$S154,$V$5:$V$1000,"Macro",$H$5:$H$1000,"&gt;0"))))</f>
        <v/>
      </c>
      <c r="AH154" s="62" t="n"/>
      <c r="AI154" s="62" t="n"/>
      <c r="AJ154" s="62" t="n"/>
      <c r="AK154" s="62" t="n"/>
      <c r="AL154" s="62">
        <f>IF(LEFT($C154,11)="[Jefatura] ",IFERROR(MATCH("Riesgo Financiero|"&amp;MID($C154,12,500),rDname_ADM,0),0),"")</f>
        <v/>
      </c>
      <c r="AM154" s="62">
        <f>IF(N($AL154)&gt;0,INDEX(rIni_ADM,$AL154),IF(ISNUMBER($E154),$E154,""))</f>
        <v/>
      </c>
      <c r="AN154" s="62">
        <f>IF(N($AL154)&gt;0,INDEX(rLim_ADM,$AL154),IF(ISNUMBER($F154),$F154,""))</f>
        <v/>
      </c>
    </row>
    <row r="155">
      <c r="A155" s="56">
        <f>IF(NOT((COUNTA($B155:$D155)+COUNTA($G155:$L155)+COUNTA($Q155))&gt;0),"",IF($V155="Macro",COUNTIFS($V$5:$V155,"Macro",$S$5:$S155,$S155),IF(N($U155)=0,"?",COUNTIFS(INDEX($V$5:$V$1000,1):INDEX($V$5:$V$1000,$U155-4),"Macro",INDEX($S$5:$S$1000,1):INDEX($S$5:$S$1000,$U155-4),INDEX($S$5:$S$1000,$U155-4))&amp;"."&amp;COUNTIFS($U$5:$U155,$U155,$V$5:$V155,"Sub"))))</f>
        <v/>
      </c>
      <c r="B155" s="57" t="n"/>
      <c r="C155" s="58" t="n"/>
      <c r="D155" s="58" t="n"/>
      <c r="E155" s="59">
        <f>IF(N($AL155)&gt;0,INDEX(rIni_ADM,$AL155),"")</f>
        <v/>
      </c>
      <c r="F155" s="59">
        <f>IF(N($AL155)&gt;0,INDEX(rLim_ADM,$AL155),"")</f>
        <v/>
      </c>
      <c r="G155" s="59" t="n"/>
      <c r="H155" s="60" t="n"/>
      <c r="I155" s="60" t="n"/>
      <c r="J155" s="60" t="n"/>
      <c r="K155" s="60" t="n"/>
      <c r="L155" s="60" t="n"/>
      <c r="M155" s="61">
        <f>IF(NOT((COUNTA($B155:$D155)+COUNTA($G155:$L155)+COUNTA($Q155))&gt;0),"",IF(ISNUMBER($G155),1,IF(N($W155)&gt;0,AVERAGEIFS($X$5:$X$1000,$U$5:$U$1000,ROW(),$V$5:$V$1000,"Sub"),$X155)))</f>
        <v/>
      </c>
      <c r="N155" s="56">
        <f>IF($M155="","",IF($M155&gt;=1,"Completado",IF($M155&gt;0,"En curso","Pendiente")))</f>
        <v/>
      </c>
      <c r="O155" s="56">
        <f>IF(NOT((COUNTA($B155:$D155)+COUNTA($G155:$L155)+COUNTA($Q155))&gt;0),"",IF(ISNUMBER($G155),IF(AND(ISNUMBER($AN155),$G155&gt;$AN155),"Cumplida con "&amp;($G155-$AN155)&amp;IF($G155-$AN155=1," día"," días")&amp;" de retraso","Cumplida"),IF(N($M155)&gt;=1,"Cumplida",IF(NOT(ISNUMBER($AN155)),"Sin fecha límite",IF($AN155&lt;FechaRef,"Vencida hace "&amp;(FechaRef-$AN155)&amp;IF(FechaRef-$AN155=1," día"," días"),IF($AN155=FechaRef,"Vence hoy",IF($AN155-FechaRef&lt;=DiasAlerta,"Vence en "&amp;($AN155-FechaRef)&amp;IF($AN155-FechaRef=1," día"," días"),"En plazo")))))))</f>
        <v/>
      </c>
      <c r="P155" s="62" t="n"/>
      <c r="Q155" s="58" t="n"/>
      <c r="R155" s="63">
        <f>IF(NOT((COUNTA($B155:$D155)+COUNTA($G155:$L155)+COUNTA($Q155))&gt;0),"",IF((IF($C155="","Falta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",""))="","✔ OK","⚠ "&amp;LEFT(IF($C155="","Falta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",""),LEN(IF($C155="","Falta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",""))-3)))</f>
        <v/>
      </c>
      <c r="S155" s="64">
        <f>IF(NOT((COUNTA($B155:$D155)+COUNTA($G155:$L155)+COUNTA($Q155))&gt;0),"",IF(AND($V155="Sub",N($U155)&gt;0),IF(ISNUMBER(INDEX($AM$5:$AM$1000,$U155-4)),DATE(YEAR(INDEX($AM$5:$AM$1000,$U155-4)),MONTH(INDEX($AM$5:$AM$1000,$U155-4)),1),IF(ISNUMBER(INDEX($AN$5:$AN$1000,$U155-4)),DATE(YEAR(INDEX($AN$5:$AN$1000,$U155-4)),MONTH(INDEX($AN$5:$AN$1000,$U155-4)),1),MesCiclo)),IF(ISNUMBER($AM155),DATE(YEAR($AM155),MONTH($AM155),1),IF(ISNUMBER($AN155),DATE(YEAR($AN155),MONTH($AN155),1),MesCiclo))))</f>
        <v/>
      </c>
      <c r="T155" s="62">
        <f>IF(OR($S155="",$S155&lt;&gt;MesCiclo),"",COUNTIF($S$5:$S155,MesCiclo))</f>
        <v/>
      </c>
      <c r="U155" s="62">
        <f>IF($V155="","",IF($V155="Macro",ROW(),IFERROR(LOOKUP(2,1/($V$5:$V155="Macro"),ROW($V$5:$V155)),0)))</f>
        <v/>
      </c>
      <c r="V155" s="62">
        <f>IF(NOT((COUNTA($B155:$D155)+COUNTA($G155:$L155)+COUNTA($Q155))&gt;0),"",IF($B155="Subactividad","Sub","Macro"))</f>
        <v/>
      </c>
      <c r="W155" s="62">
        <f>IF($V155="Macro",COUNTIFS($U$5:$U$1000,ROW(),$V$5:$V$1000,"Sub"),"")</f>
        <v/>
      </c>
      <c r="X155" s="62">
        <f>IF($V155="","",IF(ISNUMBER($G155),1,IFERROR(LOOKUP(2,1/($I155:$L155&lt;&gt;""),$I155:$L155),0)))</f>
        <v/>
      </c>
      <c r="Y155" s="62">
        <f>IF($V155="","",IF(AND(ISNUMBER($G155),$G155&lt;=IF($S155=MesCiclo,InicioCiclo,$S155+MOD(2-WEEKDAY($S155),7))+6),1,IF(ISNUMBER($I155),$I155,0)))</f>
        <v/>
      </c>
      <c r="Z155" s="62">
        <f>IF($V155="","",IF(AND(ISNUMBER($G155),$G155&lt;=IF($S155=MesCiclo,InicioCiclo,$S155+MOD(2-WEEKDAY($S155),7))+13),1,IF(ISNUMBER($J155),$J155,$Y155)))</f>
        <v/>
      </c>
      <c r="AA155" s="62">
        <f>IF($V155="","",IF(AND(ISNUMBER($G155),$G155&lt;=IF($S155=MesCiclo,InicioCiclo,$S155+MOD(2-WEEKDAY($S155),7))+20),1,IF(ISNUMBER($K155),$K155,$Z155)))</f>
        <v/>
      </c>
      <c r="AB155" s="62">
        <f>IF($V155="","",IF(AND(ISNUMBER($G155),$G155&lt;=IF($S155=MesCiclo,InicioCiclo,$S155+MOD(2-WEEKDAY($S155),7))+27),1,IF(ISNUMBER($L155),$L155,$AA155)))</f>
        <v/>
      </c>
      <c r="AC155" s="62">
        <f>IF($V155="","",IF(AND(ISNUMBER($G155),$G155&lt;=IF($S155=MesCiclo,InicioCiclo,$S155+MOD(2-WEEKDAY($S155),7))+6),1,IF(N($W155)&gt;0,AVERAGEIFS($Y$5:$Y$1000,$U$5:$U$1000,ROW(),$V$5:$V$1000,"Sub"),$Y155)))</f>
        <v/>
      </c>
      <c r="AD155" s="62">
        <f>IF($V155="","",IF(AND(ISNUMBER($G155),$G155&lt;=IF($S155=MesCiclo,InicioCiclo,$S155+MOD(2-WEEKDAY($S155),7))+13),1,IF(N($W155)&gt;0,AVERAGEIFS($Z$5:$Z$1000,$U$5:$U$1000,ROW(),$V$5:$V$1000,"Sub"),$Z155)))</f>
        <v/>
      </c>
      <c r="AE155" s="62">
        <f>IF($V155="","",IF(AND(ISNUMBER($G155),$G155&lt;=IF($S155=MesCiclo,InicioCiclo,$S155+MOD(2-WEEKDAY($S155),7))+20),1,IF(N($W155)&gt;0,AVERAGEIFS($AA$5:$AA$1000,$U$5:$U$1000,ROW(),$V$5:$V$1000,"Sub"),$AA155)))</f>
        <v/>
      </c>
      <c r="AF155" s="62">
        <f>IF($V155="","",IF(AND(ISNUMBER($G155),$G155&lt;=IF($S155=MesCiclo,InicioCiclo,$S155+MOD(2-WEEKDAY($S155),7))+27),1,IF(N($W155)&gt;0,AVERAGEIFS($AB$5:$AB$1000,$U$5:$U$1000,ROW(),$V$5:$V$1000,"Sub"),$AB155)))</f>
        <v/>
      </c>
      <c r="AG155" s="62">
        <f>IF($V155&lt;&gt;"Macro","",IF(COUNTIFS($S$5:$S$1000,$S155,$V$5:$V$1000,"Macro",$H$5:$H$1000,"&gt;0")=0,1/COUNTIFS($S$5:$S$1000,$S155,$V$5:$V$1000,"Macro"),IF(AND(ISNUMBER($H155),N($H155)&gt;0),$H155,SUMIFS($H$5:$H$1000,$S$5:$S$1000,$S155,$V$5:$V$1000,"Macro")/COUNTIFS($S$5:$S$1000,$S155,$V$5:$V$1000,"Macro",$H$5:$H$1000,"&gt;0"))/(COUNTIFS($S$5:$S$1000,$S155,$V$5:$V$1000,"Macro")*SUMIFS($H$5:$H$1000,$S$5:$S$1000,$S155,$V$5:$V$1000,"Macro")/COUNTIFS($S$5:$S$1000,$S155,$V$5:$V$1000,"Macro",$H$5:$H$1000,"&gt;0"))))</f>
        <v/>
      </c>
      <c r="AH155" s="62" t="n"/>
      <c r="AI155" s="62" t="n"/>
      <c r="AJ155" s="62" t="n"/>
      <c r="AK155" s="62" t="n"/>
      <c r="AL155" s="62">
        <f>IF(LEFT($C155,11)="[Jefatura] ",IFERROR(MATCH("Riesgo Financiero|"&amp;MID($C155,12,500),rDname_ADM,0),0),"")</f>
        <v/>
      </c>
      <c r="AM155" s="62">
        <f>IF(N($AL155)&gt;0,INDEX(rIni_ADM,$AL155),IF(ISNUMBER($E155),$E155,""))</f>
        <v/>
      </c>
      <c r="AN155" s="62">
        <f>IF(N($AL155)&gt;0,INDEX(rLim_ADM,$AL155),IF(ISNUMBER($F155),$F155,""))</f>
        <v/>
      </c>
    </row>
    <row r="156">
      <c r="A156" s="56">
        <f>IF(NOT((COUNTA($B156:$D156)+COUNTA($G156:$L156)+COUNTA($Q156))&gt;0),"",IF($V156="Macro",COUNTIFS($V$5:$V156,"Macro",$S$5:$S156,$S156),IF(N($U156)=0,"?",COUNTIFS(INDEX($V$5:$V$1000,1):INDEX($V$5:$V$1000,$U156-4),"Macro",INDEX($S$5:$S$1000,1):INDEX($S$5:$S$1000,$U156-4),INDEX($S$5:$S$1000,$U156-4))&amp;"."&amp;COUNTIFS($U$5:$U156,$U156,$V$5:$V156,"Sub"))))</f>
        <v/>
      </c>
      <c r="B156" s="57" t="n"/>
      <c r="C156" s="58" t="n"/>
      <c r="D156" s="58" t="n"/>
      <c r="E156" s="59">
        <f>IF(N($AL156)&gt;0,INDEX(rIni_ADM,$AL156),"")</f>
        <v/>
      </c>
      <c r="F156" s="59">
        <f>IF(N($AL156)&gt;0,INDEX(rLim_ADM,$AL156),"")</f>
        <v/>
      </c>
      <c r="G156" s="59" t="n"/>
      <c r="H156" s="60" t="n"/>
      <c r="I156" s="60" t="n"/>
      <c r="J156" s="60" t="n"/>
      <c r="K156" s="60" t="n"/>
      <c r="L156" s="60" t="n"/>
      <c r="M156" s="61">
        <f>IF(NOT((COUNTA($B156:$D156)+COUNTA($G156:$L156)+COUNTA($Q156))&gt;0),"",IF(ISNUMBER($G156),1,IF(N($W156)&gt;0,AVERAGEIFS($X$5:$X$1000,$U$5:$U$1000,ROW(),$V$5:$V$1000,"Sub"),$X156)))</f>
        <v/>
      </c>
      <c r="N156" s="56">
        <f>IF($M156="","",IF($M156&gt;=1,"Completado",IF($M156&gt;0,"En curso","Pendiente")))</f>
        <v/>
      </c>
      <c r="O156" s="56">
        <f>IF(NOT((COUNTA($B156:$D156)+COUNTA($G156:$L156)+COUNTA($Q156))&gt;0),"",IF(ISNUMBER($G156),IF(AND(ISNUMBER($AN156),$G156&gt;$AN156),"Cumplida con "&amp;($G156-$AN156)&amp;IF($G156-$AN156=1," día"," días")&amp;" de retraso","Cumplida"),IF(N($M156)&gt;=1,"Cumplida",IF(NOT(ISNUMBER($AN156)),"Sin fecha límite",IF($AN156&lt;FechaRef,"Vencida hace "&amp;(FechaRef-$AN156)&amp;IF(FechaRef-$AN156=1," día"," días"),IF($AN156=FechaRef,"Vence hoy",IF($AN156-FechaRef&lt;=DiasAlerta,"Vence en "&amp;($AN156-FechaRef)&amp;IF($AN156-FechaRef=1," día"," días"),"En plazo")))))))</f>
        <v/>
      </c>
      <c r="P156" s="62" t="n"/>
      <c r="Q156" s="58" t="n"/>
      <c r="R156" s="63">
        <f>IF(NOT((COUNTA($B156:$D156)+COUNTA($G156:$L156)+COUNTA($Q156))&gt;0),"",IF((IF($C156="","Falta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",""))="","✔ OK","⚠ "&amp;LEFT(IF($C156="","Falta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",""),LEN(IF($C156="","Falta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",""))-3)))</f>
        <v/>
      </c>
      <c r="S156" s="64">
        <f>IF(NOT((COUNTA($B156:$D156)+COUNTA($G156:$L156)+COUNTA($Q156))&gt;0),"",IF(AND($V156="Sub",N($U156)&gt;0),IF(ISNUMBER(INDEX($AM$5:$AM$1000,$U156-4)),DATE(YEAR(INDEX($AM$5:$AM$1000,$U156-4)),MONTH(INDEX($AM$5:$AM$1000,$U156-4)),1),IF(ISNUMBER(INDEX($AN$5:$AN$1000,$U156-4)),DATE(YEAR(INDEX($AN$5:$AN$1000,$U156-4)),MONTH(INDEX($AN$5:$AN$1000,$U156-4)),1),MesCiclo)),IF(ISNUMBER($AM156),DATE(YEAR($AM156),MONTH($AM156),1),IF(ISNUMBER($AN156),DATE(YEAR($AN156),MONTH($AN156),1),MesCiclo))))</f>
        <v/>
      </c>
      <c r="T156" s="62">
        <f>IF(OR($S156="",$S156&lt;&gt;MesCiclo),"",COUNTIF($S$5:$S156,MesCiclo))</f>
        <v/>
      </c>
      <c r="U156" s="62">
        <f>IF($V156="","",IF($V156="Macro",ROW(),IFERROR(LOOKUP(2,1/($V$5:$V156="Macro"),ROW($V$5:$V156)),0)))</f>
        <v/>
      </c>
      <c r="V156" s="62">
        <f>IF(NOT((COUNTA($B156:$D156)+COUNTA($G156:$L156)+COUNTA($Q156))&gt;0),"",IF($B156="Subactividad","Sub","Macro"))</f>
        <v/>
      </c>
      <c r="W156" s="62">
        <f>IF($V156="Macro",COUNTIFS($U$5:$U$1000,ROW(),$V$5:$V$1000,"Sub"),"")</f>
        <v/>
      </c>
      <c r="X156" s="62">
        <f>IF($V156="","",IF(ISNUMBER($G156),1,IFERROR(LOOKUP(2,1/($I156:$L156&lt;&gt;""),$I156:$L156),0)))</f>
        <v/>
      </c>
      <c r="Y156" s="62">
        <f>IF($V156="","",IF(AND(ISNUMBER($G156),$G156&lt;=IF($S156=MesCiclo,InicioCiclo,$S156+MOD(2-WEEKDAY($S156),7))+6),1,IF(ISNUMBER($I156),$I156,0)))</f>
        <v/>
      </c>
      <c r="Z156" s="62">
        <f>IF($V156="","",IF(AND(ISNUMBER($G156),$G156&lt;=IF($S156=MesCiclo,InicioCiclo,$S156+MOD(2-WEEKDAY($S156),7))+13),1,IF(ISNUMBER($J156),$J156,$Y156)))</f>
        <v/>
      </c>
      <c r="AA156" s="62">
        <f>IF($V156="","",IF(AND(ISNUMBER($G156),$G156&lt;=IF($S156=MesCiclo,InicioCiclo,$S156+MOD(2-WEEKDAY($S156),7))+20),1,IF(ISNUMBER($K156),$K156,$Z156)))</f>
        <v/>
      </c>
      <c r="AB156" s="62">
        <f>IF($V156="","",IF(AND(ISNUMBER($G156),$G156&lt;=IF($S156=MesCiclo,InicioCiclo,$S156+MOD(2-WEEKDAY($S156),7))+27),1,IF(ISNUMBER($L156),$L156,$AA156)))</f>
        <v/>
      </c>
      <c r="AC156" s="62">
        <f>IF($V156="","",IF(AND(ISNUMBER($G156),$G156&lt;=IF($S156=MesCiclo,InicioCiclo,$S156+MOD(2-WEEKDAY($S156),7))+6),1,IF(N($W156)&gt;0,AVERAGEIFS($Y$5:$Y$1000,$U$5:$U$1000,ROW(),$V$5:$V$1000,"Sub"),$Y156)))</f>
        <v/>
      </c>
      <c r="AD156" s="62">
        <f>IF($V156="","",IF(AND(ISNUMBER($G156),$G156&lt;=IF($S156=MesCiclo,InicioCiclo,$S156+MOD(2-WEEKDAY($S156),7))+13),1,IF(N($W156)&gt;0,AVERAGEIFS($Z$5:$Z$1000,$U$5:$U$1000,ROW(),$V$5:$V$1000,"Sub"),$Z156)))</f>
        <v/>
      </c>
      <c r="AE156" s="62">
        <f>IF($V156="","",IF(AND(ISNUMBER($G156),$G156&lt;=IF($S156=MesCiclo,InicioCiclo,$S156+MOD(2-WEEKDAY($S156),7))+20),1,IF(N($W156)&gt;0,AVERAGEIFS($AA$5:$AA$1000,$U$5:$U$1000,ROW(),$V$5:$V$1000,"Sub"),$AA156)))</f>
        <v/>
      </c>
      <c r="AF156" s="62">
        <f>IF($V156="","",IF(AND(ISNUMBER($G156),$G156&lt;=IF($S156=MesCiclo,InicioCiclo,$S156+MOD(2-WEEKDAY($S156),7))+27),1,IF(N($W156)&gt;0,AVERAGEIFS($AB$5:$AB$1000,$U$5:$U$1000,ROW(),$V$5:$V$1000,"Sub"),$AB156)))</f>
        <v/>
      </c>
      <c r="AG156" s="62">
        <f>IF($V156&lt;&gt;"Macro","",IF(COUNTIFS($S$5:$S$1000,$S156,$V$5:$V$1000,"Macro",$H$5:$H$1000,"&gt;0")=0,1/COUNTIFS($S$5:$S$1000,$S156,$V$5:$V$1000,"Macro"),IF(AND(ISNUMBER($H156),N($H156)&gt;0),$H156,SUMIFS($H$5:$H$1000,$S$5:$S$1000,$S156,$V$5:$V$1000,"Macro")/COUNTIFS($S$5:$S$1000,$S156,$V$5:$V$1000,"Macro",$H$5:$H$1000,"&gt;0"))/(COUNTIFS($S$5:$S$1000,$S156,$V$5:$V$1000,"Macro")*SUMIFS($H$5:$H$1000,$S$5:$S$1000,$S156,$V$5:$V$1000,"Macro")/COUNTIFS($S$5:$S$1000,$S156,$V$5:$V$1000,"Macro",$H$5:$H$1000,"&gt;0"))))</f>
        <v/>
      </c>
      <c r="AH156" s="62" t="n"/>
      <c r="AI156" s="62" t="n"/>
      <c r="AJ156" s="62" t="n"/>
      <c r="AK156" s="62" t="n"/>
      <c r="AL156" s="62">
        <f>IF(LEFT($C156,11)="[Jefatura] ",IFERROR(MATCH("Riesgo Financiero|"&amp;MID($C156,12,500),rDname_ADM,0),0),"")</f>
        <v/>
      </c>
      <c r="AM156" s="62">
        <f>IF(N($AL156)&gt;0,INDEX(rIni_ADM,$AL156),IF(ISNUMBER($E156),$E156,""))</f>
        <v/>
      </c>
      <c r="AN156" s="62">
        <f>IF(N($AL156)&gt;0,INDEX(rLim_ADM,$AL156),IF(ISNUMBER($F156),$F156,""))</f>
        <v/>
      </c>
    </row>
    <row r="157">
      <c r="A157" s="56">
        <f>IF(NOT((COUNTA($B157:$D157)+COUNTA($G157:$L157)+COUNTA($Q157))&gt;0),"",IF($V157="Macro",COUNTIFS($V$5:$V157,"Macro",$S$5:$S157,$S157),IF(N($U157)=0,"?",COUNTIFS(INDEX($V$5:$V$1000,1):INDEX($V$5:$V$1000,$U157-4),"Macro",INDEX($S$5:$S$1000,1):INDEX($S$5:$S$1000,$U157-4),INDEX($S$5:$S$1000,$U157-4))&amp;"."&amp;COUNTIFS($U$5:$U157,$U157,$V$5:$V157,"Sub"))))</f>
        <v/>
      </c>
      <c r="B157" s="57" t="n"/>
      <c r="C157" s="58" t="n"/>
      <c r="D157" s="58" t="n"/>
      <c r="E157" s="59">
        <f>IF(N($AL157)&gt;0,INDEX(rIni_ADM,$AL157),"")</f>
        <v/>
      </c>
      <c r="F157" s="59">
        <f>IF(N($AL157)&gt;0,INDEX(rLim_ADM,$AL157),"")</f>
        <v/>
      </c>
      <c r="G157" s="59" t="n"/>
      <c r="H157" s="60" t="n"/>
      <c r="I157" s="60" t="n"/>
      <c r="J157" s="60" t="n"/>
      <c r="K157" s="60" t="n"/>
      <c r="L157" s="60" t="n"/>
      <c r="M157" s="61">
        <f>IF(NOT((COUNTA($B157:$D157)+COUNTA($G157:$L157)+COUNTA($Q157))&gt;0),"",IF(ISNUMBER($G157),1,IF(N($W157)&gt;0,AVERAGEIFS($X$5:$X$1000,$U$5:$U$1000,ROW(),$V$5:$V$1000,"Sub"),$X157)))</f>
        <v/>
      </c>
      <c r="N157" s="56">
        <f>IF($M157="","",IF($M157&gt;=1,"Completado",IF($M157&gt;0,"En curso","Pendiente")))</f>
        <v/>
      </c>
      <c r="O157" s="56">
        <f>IF(NOT((COUNTA($B157:$D157)+COUNTA($G157:$L157)+COUNTA($Q157))&gt;0),"",IF(ISNUMBER($G157),IF(AND(ISNUMBER($AN157),$G157&gt;$AN157),"Cumplida con "&amp;($G157-$AN157)&amp;IF($G157-$AN157=1," día"," días")&amp;" de retraso","Cumplida"),IF(N($M157)&gt;=1,"Cumplida",IF(NOT(ISNUMBER($AN157)),"Sin fecha límite",IF($AN157&lt;FechaRef,"Vencida hace "&amp;(FechaRef-$AN157)&amp;IF(FechaRef-$AN157=1," día"," días"),IF($AN157=FechaRef,"Vence hoy",IF($AN157-FechaRef&lt;=DiasAlerta,"Vence en "&amp;($AN157-FechaRef)&amp;IF($AN157-FechaRef=1," día"," días"),"En plazo")))))))</f>
        <v/>
      </c>
      <c r="P157" s="62" t="n"/>
      <c r="Q157" s="58" t="n"/>
      <c r="R157" s="63">
        <f>IF(NOT((COUNTA($B157:$D157)+COUNTA($G157:$L157)+COUNTA($Q157))&gt;0),"",IF((IF($C157="","Falta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",""))="","✔ OK","⚠ "&amp;LEFT(IF($C157="","Falta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",""),LEN(IF($C157="","Falta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",""))-3)))</f>
        <v/>
      </c>
      <c r="S157" s="64">
        <f>IF(NOT((COUNTA($B157:$D157)+COUNTA($G157:$L157)+COUNTA($Q157))&gt;0),"",IF(AND($V157="Sub",N($U157)&gt;0),IF(ISNUMBER(INDEX($AM$5:$AM$1000,$U157-4)),DATE(YEAR(INDEX($AM$5:$AM$1000,$U157-4)),MONTH(INDEX($AM$5:$AM$1000,$U157-4)),1),IF(ISNUMBER(INDEX($AN$5:$AN$1000,$U157-4)),DATE(YEAR(INDEX($AN$5:$AN$1000,$U157-4)),MONTH(INDEX($AN$5:$AN$1000,$U157-4)),1),MesCiclo)),IF(ISNUMBER($AM157),DATE(YEAR($AM157),MONTH($AM157),1),IF(ISNUMBER($AN157),DATE(YEAR($AN157),MONTH($AN157),1),MesCiclo))))</f>
        <v/>
      </c>
      <c r="T157" s="62">
        <f>IF(OR($S157="",$S157&lt;&gt;MesCiclo),"",COUNTIF($S$5:$S157,MesCiclo))</f>
        <v/>
      </c>
      <c r="U157" s="62">
        <f>IF($V157="","",IF($V157="Macro",ROW(),IFERROR(LOOKUP(2,1/($V$5:$V157="Macro"),ROW($V$5:$V157)),0)))</f>
        <v/>
      </c>
      <c r="V157" s="62">
        <f>IF(NOT((COUNTA($B157:$D157)+COUNTA($G157:$L157)+COUNTA($Q157))&gt;0),"",IF($B157="Subactividad","Sub","Macro"))</f>
        <v/>
      </c>
      <c r="W157" s="62">
        <f>IF($V157="Macro",COUNTIFS($U$5:$U$1000,ROW(),$V$5:$V$1000,"Sub"),"")</f>
        <v/>
      </c>
      <c r="X157" s="62">
        <f>IF($V157="","",IF(ISNUMBER($G157),1,IFERROR(LOOKUP(2,1/($I157:$L157&lt;&gt;""),$I157:$L157),0)))</f>
        <v/>
      </c>
      <c r="Y157" s="62">
        <f>IF($V157="","",IF(AND(ISNUMBER($G157),$G157&lt;=IF($S157=MesCiclo,InicioCiclo,$S157+MOD(2-WEEKDAY($S157),7))+6),1,IF(ISNUMBER($I157),$I157,0)))</f>
        <v/>
      </c>
      <c r="Z157" s="62">
        <f>IF($V157="","",IF(AND(ISNUMBER($G157),$G157&lt;=IF($S157=MesCiclo,InicioCiclo,$S157+MOD(2-WEEKDAY($S157),7))+13),1,IF(ISNUMBER($J157),$J157,$Y157)))</f>
        <v/>
      </c>
      <c r="AA157" s="62">
        <f>IF($V157="","",IF(AND(ISNUMBER($G157),$G157&lt;=IF($S157=MesCiclo,InicioCiclo,$S157+MOD(2-WEEKDAY($S157),7))+20),1,IF(ISNUMBER($K157),$K157,$Z157)))</f>
        <v/>
      </c>
      <c r="AB157" s="62">
        <f>IF($V157="","",IF(AND(ISNUMBER($G157),$G157&lt;=IF($S157=MesCiclo,InicioCiclo,$S157+MOD(2-WEEKDAY($S157),7))+27),1,IF(ISNUMBER($L157),$L157,$AA157)))</f>
        <v/>
      </c>
      <c r="AC157" s="62">
        <f>IF($V157="","",IF(AND(ISNUMBER($G157),$G157&lt;=IF($S157=MesCiclo,InicioCiclo,$S157+MOD(2-WEEKDAY($S157),7))+6),1,IF(N($W157)&gt;0,AVERAGEIFS($Y$5:$Y$1000,$U$5:$U$1000,ROW(),$V$5:$V$1000,"Sub"),$Y157)))</f>
        <v/>
      </c>
      <c r="AD157" s="62">
        <f>IF($V157="","",IF(AND(ISNUMBER($G157),$G157&lt;=IF($S157=MesCiclo,InicioCiclo,$S157+MOD(2-WEEKDAY($S157),7))+13),1,IF(N($W157)&gt;0,AVERAGEIFS($Z$5:$Z$1000,$U$5:$U$1000,ROW(),$V$5:$V$1000,"Sub"),$Z157)))</f>
        <v/>
      </c>
      <c r="AE157" s="62">
        <f>IF($V157="","",IF(AND(ISNUMBER($G157),$G157&lt;=IF($S157=MesCiclo,InicioCiclo,$S157+MOD(2-WEEKDAY($S157),7))+20),1,IF(N($W157)&gt;0,AVERAGEIFS($AA$5:$AA$1000,$U$5:$U$1000,ROW(),$V$5:$V$1000,"Sub"),$AA157)))</f>
        <v/>
      </c>
      <c r="AF157" s="62">
        <f>IF($V157="","",IF(AND(ISNUMBER($G157),$G157&lt;=IF($S157=MesCiclo,InicioCiclo,$S157+MOD(2-WEEKDAY($S157),7))+27),1,IF(N($W157)&gt;0,AVERAGEIFS($AB$5:$AB$1000,$U$5:$U$1000,ROW(),$V$5:$V$1000,"Sub"),$AB157)))</f>
        <v/>
      </c>
      <c r="AG157" s="62">
        <f>IF($V157&lt;&gt;"Macro","",IF(COUNTIFS($S$5:$S$1000,$S157,$V$5:$V$1000,"Macro",$H$5:$H$1000,"&gt;0")=0,1/COUNTIFS($S$5:$S$1000,$S157,$V$5:$V$1000,"Macro"),IF(AND(ISNUMBER($H157),N($H157)&gt;0),$H157,SUMIFS($H$5:$H$1000,$S$5:$S$1000,$S157,$V$5:$V$1000,"Macro")/COUNTIFS($S$5:$S$1000,$S157,$V$5:$V$1000,"Macro",$H$5:$H$1000,"&gt;0"))/(COUNTIFS($S$5:$S$1000,$S157,$V$5:$V$1000,"Macro")*SUMIFS($H$5:$H$1000,$S$5:$S$1000,$S157,$V$5:$V$1000,"Macro")/COUNTIFS($S$5:$S$1000,$S157,$V$5:$V$1000,"Macro",$H$5:$H$1000,"&gt;0"))))</f>
        <v/>
      </c>
      <c r="AH157" s="62" t="n"/>
      <c r="AI157" s="62" t="n"/>
      <c r="AJ157" s="62" t="n"/>
      <c r="AK157" s="62" t="n"/>
      <c r="AL157" s="62">
        <f>IF(LEFT($C157,11)="[Jefatura] ",IFERROR(MATCH("Riesgo Financiero|"&amp;MID($C157,12,500),rDname_ADM,0),0),"")</f>
        <v/>
      </c>
      <c r="AM157" s="62">
        <f>IF(N($AL157)&gt;0,INDEX(rIni_ADM,$AL157),IF(ISNUMBER($E157),$E157,""))</f>
        <v/>
      </c>
      <c r="AN157" s="62">
        <f>IF(N($AL157)&gt;0,INDEX(rLim_ADM,$AL157),IF(ISNUMBER($F157),$F157,""))</f>
        <v/>
      </c>
    </row>
    <row r="158">
      <c r="A158" s="56">
        <f>IF(NOT((COUNTA($B158:$D158)+COUNTA($G158:$L158)+COUNTA($Q158))&gt;0),"",IF($V158="Macro",COUNTIFS($V$5:$V158,"Macro",$S$5:$S158,$S158),IF(N($U158)=0,"?",COUNTIFS(INDEX($V$5:$V$1000,1):INDEX($V$5:$V$1000,$U158-4),"Macro",INDEX($S$5:$S$1000,1):INDEX($S$5:$S$1000,$U158-4),INDEX($S$5:$S$1000,$U158-4))&amp;"."&amp;COUNTIFS($U$5:$U158,$U158,$V$5:$V158,"Sub"))))</f>
        <v/>
      </c>
      <c r="B158" s="57" t="n"/>
      <c r="C158" s="58" t="n"/>
      <c r="D158" s="58" t="n"/>
      <c r="E158" s="59">
        <f>IF(N($AL158)&gt;0,INDEX(rIni_ADM,$AL158),"")</f>
        <v/>
      </c>
      <c r="F158" s="59">
        <f>IF(N($AL158)&gt;0,INDEX(rLim_ADM,$AL158),"")</f>
        <v/>
      </c>
      <c r="G158" s="59" t="n"/>
      <c r="H158" s="60" t="n"/>
      <c r="I158" s="60" t="n"/>
      <c r="J158" s="60" t="n"/>
      <c r="K158" s="60" t="n"/>
      <c r="L158" s="60" t="n"/>
      <c r="M158" s="61">
        <f>IF(NOT((COUNTA($B158:$D158)+COUNTA($G158:$L158)+COUNTA($Q158))&gt;0),"",IF(ISNUMBER($G158),1,IF(N($W158)&gt;0,AVERAGEIFS($X$5:$X$1000,$U$5:$U$1000,ROW(),$V$5:$V$1000,"Sub"),$X158)))</f>
        <v/>
      </c>
      <c r="N158" s="56">
        <f>IF($M158="","",IF($M158&gt;=1,"Completado",IF($M158&gt;0,"En curso","Pendiente")))</f>
        <v/>
      </c>
      <c r="O158" s="56">
        <f>IF(NOT((COUNTA($B158:$D158)+COUNTA($G158:$L158)+COUNTA($Q158))&gt;0),"",IF(ISNUMBER($G158),IF(AND(ISNUMBER($AN158),$G158&gt;$AN158),"Cumplida con "&amp;($G158-$AN158)&amp;IF($G158-$AN158=1," día"," días")&amp;" de retraso","Cumplida"),IF(N($M158)&gt;=1,"Cumplida",IF(NOT(ISNUMBER($AN158)),"Sin fecha límite",IF($AN158&lt;FechaRef,"Vencida hace "&amp;(FechaRef-$AN158)&amp;IF(FechaRef-$AN158=1," día"," días"),IF($AN158=FechaRef,"Vence hoy",IF($AN158-FechaRef&lt;=DiasAlerta,"Vence en "&amp;($AN158-FechaRef)&amp;IF($AN158-FechaRef=1," día"," días"),"En plazo")))))))</f>
        <v/>
      </c>
      <c r="P158" s="62" t="n"/>
      <c r="Q158" s="58" t="n"/>
      <c r="R158" s="63">
        <f>IF(NOT((COUNTA($B158:$D158)+COUNTA($G158:$L158)+COUNTA($Q158))&gt;0),"",IF((IF($C158="","Falta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",""))="","✔ OK","⚠ "&amp;LEFT(IF($C158="","Falta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",""),LEN(IF($C158="","Falta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",""))-3)))</f>
        <v/>
      </c>
      <c r="S158" s="64">
        <f>IF(NOT((COUNTA($B158:$D158)+COUNTA($G158:$L158)+COUNTA($Q158))&gt;0),"",IF(AND($V158="Sub",N($U158)&gt;0),IF(ISNUMBER(INDEX($AM$5:$AM$1000,$U158-4)),DATE(YEAR(INDEX($AM$5:$AM$1000,$U158-4)),MONTH(INDEX($AM$5:$AM$1000,$U158-4)),1),IF(ISNUMBER(INDEX($AN$5:$AN$1000,$U158-4)),DATE(YEAR(INDEX($AN$5:$AN$1000,$U158-4)),MONTH(INDEX($AN$5:$AN$1000,$U158-4)),1),MesCiclo)),IF(ISNUMBER($AM158),DATE(YEAR($AM158),MONTH($AM158),1),IF(ISNUMBER($AN158),DATE(YEAR($AN158),MONTH($AN158),1),MesCiclo))))</f>
        <v/>
      </c>
      <c r="T158" s="62">
        <f>IF(OR($S158="",$S158&lt;&gt;MesCiclo),"",COUNTIF($S$5:$S158,MesCiclo))</f>
        <v/>
      </c>
      <c r="U158" s="62">
        <f>IF($V158="","",IF($V158="Macro",ROW(),IFERROR(LOOKUP(2,1/($V$5:$V158="Macro"),ROW($V$5:$V158)),0)))</f>
        <v/>
      </c>
      <c r="V158" s="62">
        <f>IF(NOT((COUNTA($B158:$D158)+COUNTA($G158:$L158)+COUNTA($Q158))&gt;0),"",IF($B158="Subactividad","Sub","Macro"))</f>
        <v/>
      </c>
      <c r="W158" s="62">
        <f>IF($V158="Macro",COUNTIFS($U$5:$U$1000,ROW(),$V$5:$V$1000,"Sub"),"")</f>
        <v/>
      </c>
      <c r="X158" s="62">
        <f>IF($V158="","",IF(ISNUMBER($G158),1,IFERROR(LOOKUP(2,1/($I158:$L158&lt;&gt;""),$I158:$L158),0)))</f>
        <v/>
      </c>
      <c r="Y158" s="62">
        <f>IF($V158="","",IF(AND(ISNUMBER($G158),$G158&lt;=IF($S158=MesCiclo,InicioCiclo,$S158+MOD(2-WEEKDAY($S158),7))+6),1,IF(ISNUMBER($I158),$I158,0)))</f>
        <v/>
      </c>
      <c r="Z158" s="62">
        <f>IF($V158="","",IF(AND(ISNUMBER($G158),$G158&lt;=IF($S158=MesCiclo,InicioCiclo,$S158+MOD(2-WEEKDAY($S158),7))+13),1,IF(ISNUMBER($J158),$J158,$Y158)))</f>
        <v/>
      </c>
      <c r="AA158" s="62">
        <f>IF($V158="","",IF(AND(ISNUMBER($G158),$G158&lt;=IF($S158=MesCiclo,InicioCiclo,$S158+MOD(2-WEEKDAY($S158),7))+20),1,IF(ISNUMBER($K158),$K158,$Z158)))</f>
        <v/>
      </c>
      <c r="AB158" s="62">
        <f>IF($V158="","",IF(AND(ISNUMBER($G158),$G158&lt;=IF($S158=MesCiclo,InicioCiclo,$S158+MOD(2-WEEKDAY($S158),7))+27),1,IF(ISNUMBER($L158),$L158,$AA158)))</f>
        <v/>
      </c>
      <c r="AC158" s="62">
        <f>IF($V158="","",IF(AND(ISNUMBER($G158),$G158&lt;=IF($S158=MesCiclo,InicioCiclo,$S158+MOD(2-WEEKDAY($S158),7))+6),1,IF(N($W158)&gt;0,AVERAGEIFS($Y$5:$Y$1000,$U$5:$U$1000,ROW(),$V$5:$V$1000,"Sub"),$Y158)))</f>
        <v/>
      </c>
      <c r="AD158" s="62">
        <f>IF($V158="","",IF(AND(ISNUMBER($G158),$G158&lt;=IF($S158=MesCiclo,InicioCiclo,$S158+MOD(2-WEEKDAY($S158),7))+13),1,IF(N($W158)&gt;0,AVERAGEIFS($Z$5:$Z$1000,$U$5:$U$1000,ROW(),$V$5:$V$1000,"Sub"),$Z158)))</f>
        <v/>
      </c>
      <c r="AE158" s="62">
        <f>IF($V158="","",IF(AND(ISNUMBER($G158),$G158&lt;=IF($S158=MesCiclo,InicioCiclo,$S158+MOD(2-WEEKDAY($S158),7))+20),1,IF(N($W158)&gt;0,AVERAGEIFS($AA$5:$AA$1000,$U$5:$U$1000,ROW(),$V$5:$V$1000,"Sub"),$AA158)))</f>
        <v/>
      </c>
      <c r="AF158" s="62">
        <f>IF($V158="","",IF(AND(ISNUMBER($G158),$G158&lt;=IF($S158=MesCiclo,InicioCiclo,$S158+MOD(2-WEEKDAY($S158),7))+27),1,IF(N($W158)&gt;0,AVERAGEIFS($AB$5:$AB$1000,$U$5:$U$1000,ROW(),$V$5:$V$1000,"Sub"),$AB158)))</f>
        <v/>
      </c>
      <c r="AG158" s="62">
        <f>IF($V158&lt;&gt;"Macro","",IF(COUNTIFS($S$5:$S$1000,$S158,$V$5:$V$1000,"Macro",$H$5:$H$1000,"&gt;0")=0,1/COUNTIFS($S$5:$S$1000,$S158,$V$5:$V$1000,"Macro"),IF(AND(ISNUMBER($H158),N($H158)&gt;0),$H158,SUMIFS($H$5:$H$1000,$S$5:$S$1000,$S158,$V$5:$V$1000,"Macro")/COUNTIFS($S$5:$S$1000,$S158,$V$5:$V$1000,"Macro",$H$5:$H$1000,"&gt;0"))/(COUNTIFS($S$5:$S$1000,$S158,$V$5:$V$1000,"Macro")*SUMIFS($H$5:$H$1000,$S$5:$S$1000,$S158,$V$5:$V$1000,"Macro")/COUNTIFS($S$5:$S$1000,$S158,$V$5:$V$1000,"Macro",$H$5:$H$1000,"&gt;0"))))</f>
        <v/>
      </c>
      <c r="AH158" s="62" t="n"/>
      <c r="AI158" s="62" t="n"/>
      <c r="AJ158" s="62" t="n"/>
      <c r="AK158" s="62" t="n"/>
      <c r="AL158" s="62">
        <f>IF(LEFT($C158,11)="[Jefatura] ",IFERROR(MATCH("Riesgo Financiero|"&amp;MID($C158,12,500),rDname_ADM,0),0),"")</f>
        <v/>
      </c>
      <c r="AM158" s="62">
        <f>IF(N($AL158)&gt;0,INDEX(rIni_ADM,$AL158),IF(ISNUMBER($E158),$E158,""))</f>
        <v/>
      </c>
      <c r="AN158" s="62">
        <f>IF(N($AL158)&gt;0,INDEX(rLim_ADM,$AL158),IF(ISNUMBER($F158),$F158,""))</f>
        <v/>
      </c>
    </row>
    <row r="159">
      <c r="A159" s="56">
        <f>IF(NOT((COUNTA($B159:$D159)+COUNTA($G159:$L159)+COUNTA($Q159))&gt;0),"",IF($V159="Macro",COUNTIFS($V$5:$V159,"Macro",$S$5:$S159,$S159),IF(N($U159)=0,"?",COUNTIFS(INDEX($V$5:$V$1000,1):INDEX($V$5:$V$1000,$U159-4),"Macro",INDEX($S$5:$S$1000,1):INDEX($S$5:$S$1000,$U159-4),INDEX($S$5:$S$1000,$U159-4))&amp;"."&amp;COUNTIFS($U$5:$U159,$U159,$V$5:$V159,"Sub"))))</f>
        <v/>
      </c>
      <c r="B159" s="57" t="n"/>
      <c r="C159" s="58" t="n"/>
      <c r="D159" s="58" t="n"/>
      <c r="E159" s="59">
        <f>IF(N($AL159)&gt;0,INDEX(rIni_ADM,$AL159),"")</f>
        <v/>
      </c>
      <c r="F159" s="59">
        <f>IF(N($AL159)&gt;0,INDEX(rLim_ADM,$AL159),"")</f>
        <v/>
      </c>
      <c r="G159" s="59" t="n"/>
      <c r="H159" s="60" t="n"/>
      <c r="I159" s="60" t="n"/>
      <c r="J159" s="60" t="n"/>
      <c r="K159" s="60" t="n"/>
      <c r="L159" s="60" t="n"/>
      <c r="M159" s="61">
        <f>IF(NOT((COUNTA($B159:$D159)+COUNTA($G159:$L159)+COUNTA($Q159))&gt;0),"",IF(ISNUMBER($G159),1,IF(N($W159)&gt;0,AVERAGEIFS($X$5:$X$1000,$U$5:$U$1000,ROW(),$V$5:$V$1000,"Sub"),$X159)))</f>
        <v/>
      </c>
      <c r="N159" s="56">
        <f>IF($M159="","",IF($M159&gt;=1,"Completado",IF($M159&gt;0,"En curso","Pendiente")))</f>
        <v/>
      </c>
      <c r="O159" s="56">
        <f>IF(NOT((COUNTA($B159:$D159)+COUNTA($G159:$L159)+COUNTA($Q159))&gt;0),"",IF(ISNUMBER($G159),IF(AND(ISNUMBER($AN159),$G159&gt;$AN159),"Cumplida con "&amp;($G159-$AN159)&amp;IF($G159-$AN159=1," día"," días")&amp;" de retraso","Cumplida"),IF(N($M159)&gt;=1,"Cumplida",IF(NOT(ISNUMBER($AN159)),"Sin fecha límite",IF($AN159&lt;FechaRef,"Vencida hace "&amp;(FechaRef-$AN159)&amp;IF(FechaRef-$AN159=1," día"," días"),IF($AN159=FechaRef,"Vence hoy",IF($AN159-FechaRef&lt;=DiasAlerta,"Vence en "&amp;($AN159-FechaRef)&amp;IF($AN159-FechaRef=1," día"," días"),"En plazo")))))))</f>
        <v/>
      </c>
      <c r="P159" s="62" t="n"/>
      <c r="Q159" s="58" t="n"/>
      <c r="R159" s="63">
        <f>IF(NOT((COUNTA($B159:$D159)+COUNTA($G159:$L159)+COUNTA($Q159))&gt;0),"",IF((IF($C159="","Falta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",""))="","✔ OK","⚠ "&amp;LEFT(IF($C159="","Falta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",""),LEN(IF($C159="","Falta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",""))-3)))</f>
        <v/>
      </c>
      <c r="S159" s="64">
        <f>IF(NOT((COUNTA($B159:$D159)+COUNTA($G159:$L159)+COUNTA($Q159))&gt;0),"",IF(AND($V159="Sub",N($U159)&gt;0),IF(ISNUMBER(INDEX($AM$5:$AM$1000,$U159-4)),DATE(YEAR(INDEX($AM$5:$AM$1000,$U159-4)),MONTH(INDEX($AM$5:$AM$1000,$U159-4)),1),IF(ISNUMBER(INDEX($AN$5:$AN$1000,$U159-4)),DATE(YEAR(INDEX($AN$5:$AN$1000,$U159-4)),MONTH(INDEX($AN$5:$AN$1000,$U159-4)),1),MesCiclo)),IF(ISNUMBER($AM159),DATE(YEAR($AM159),MONTH($AM159),1),IF(ISNUMBER($AN159),DATE(YEAR($AN159),MONTH($AN159),1),MesCiclo))))</f>
        <v/>
      </c>
      <c r="T159" s="62">
        <f>IF(OR($S159="",$S159&lt;&gt;MesCiclo),"",COUNTIF($S$5:$S159,MesCiclo))</f>
        <v/>
      </c>
      <c r="U159" s="62">
        <f>IF($V159="","",IF($V159="Macro",ROW(),IFERROR(LOOKUP(2,1/($V$5:$V159="Macro"),ROW($V$5:$V159)),0)))</f>
        <v/>
      </c>
      <c r="V159" s="62">
        <f>IF(NOT((COUNTA($B159:$D159)+COUNTA($G159:$L159)+COUNTA($Q159))&gt;0),"",IF($B159="Subactividad","Sub","Macro"))</f>
        <v/>
      </c>
      <c r="W159" s="62">
        <f>IF($V159="Macro",COUNTIFS($U$5:$U$1000,ROW(),$V$5:$V$1000,"Sub"),"")</f>
        <v/>
      </c>
      <c r="X159" s="62">
        <f>IF($V159="","",IF(ISNUMBER($G159),1,IFERROR(LOOKUP(2,1/($I159:$L159&lt;&gt;""),$I159:$L159),0)))</f>
        <v/>
      </c>
      <c r="Y159" s="62">
        <f>IF($V159="","",IF(AND(ISNUMBER($G159),$G159&lt;=IF($S159=MesCiclo,InicioCiclo,$S159+MOD(2-WEEKDAY($S159),7))+6),1,IF(ISNUMBER($I159),$I159,0)))</f>
        <v/>
      </c>
      <c r="Z159" s="62">
        <f>IF($V159="","",IF(AND(ISNUMBER($G159),$G159&lt;=IF($S159=MesCiclo,InicioCiclo,$S159+MOD(2-WEEKDAY($S159),7))+13),1,IF(ISNUMBER($J159),$J159,$Y159)))</f>
        <v/>
      </c>
      <c r="AA159" s="62">
        <f>IF($V159="","",IF(AND(ISNUMBER($G159),$G159&lt;=IF($S159=MesCiclo,InicioCiclo,$S159+MOD(2-WEEKDAY($S159),7))+20),1,IF(ISNUMBER($K159),$K159,$Z159)))</f>
        <v/>
      </c>
      <c r="AB159" s="62">
        <f>IF($V159="","",IF(AND(ISNUMBER($G159),$G159&lt;=IF($S159=MesCiclo,InicioCiclo,$S159+MOD(2-WEEKDAY($S159),7))+27),1,IF(ISNUMBER($L159),$L159,$AA159)))</f>
        <v/>
      </c>
      <c r="AC159" s="62">
        <f>IF($V159="","",IF(AND(ISNUMBER($G159),$G159&lt;=IF($S159=MesCiclo,InicioCiclo,$S159+MOD(2-WEEKDAY($S159),7))+6),1,IF(N($W159)&gt;0,AVERAGEIFS($Y$5:$Y$1000,$U$5:$U$1000,ROW(),$V$5:$V$1000,"Sub"),$Y159)))</f>
        <v/>
      </c>
      <c r="AD159" s="62">
        <f>IF($V159="","",IF(AND(ISNUMBER($G159),$G159&lt;=IF($S159=MesCiclo,InicioCiclo,$S159+MOD(2-WEEKDAY($S159),7))+13),1,IF(N($W159)&gt;0,AVERAGEIFS($Z$5:$Z$1000,$U$5:$U$1000,ROW(),$V$5:$V$1000,"Sub"),$Z159)))</f>
        <v/>
      </c>
      <c r="AE159" s="62">
        <f>IF($V159="","",IF(AND(ISNUMBER($G159),$G159&lt;=IF($S159=MesCiclo,InicioCiclo,$S159+MOD(2-WEEKDAY($S159),7))+20),1,IF(N($W159)&gt;0,AVERAGEIFS($AA$5:$AA$1000,$U$5:$U$1000,ROW(),$V$5:$V$1000,"Sub"),$AA159)))</f>
        <v/>
      </c>
      <c r="AF159" s="62">
        <f>IF($V159="","",IF(AND(ISNUMBER($G159),$G159&lt;=IF($S159=MesCiclo,InicioCiclo,$S159+MOD(2-WEEKDAY($S159),7))+27),1,IF(N($W159)&gt;0,AVERAGEIFS($AB$5:$AB$1000,$U$5:$U$1000,ROW(),$V$5:$V$1000,"Sub"),$AB159)))</f>
        <v/>
      </c>
      <c r="AG159" s="62">
        <f>IF($V159&lt;&gt;"Macro","",IF(COUNTIFS($S$5:$S$1000,$S159,$V$5:$V$1000,"Macro",$H$5:$H$1000,"&gt;0")=0,1/COUNTIFS($S$5:$S$1000,$S159,$V$5:$V$1000,"Macro"),IF(AND(ISNUMBER($H159),N($H159)&gt;0),$H159,SUMIFS($H$5:$H$1000,$S$5:$S$1000,$S159,$V$5:$V$1000,"Macro")/COUNTIFS($S$5:$S$1000,$S159,$V$5:$V$1000,"Macro",$H$5:$H$1000,"&gt;0"))/(COUNTIFS($S$5:$S$1000,$S159,$V$5:$V$1000,"Macro")*SUMIFS($H$5:$H$1000,$S$5:$S$1000,$S159,$V$5:$V$1000,"Macro")/COUNTIFS($S$5:$S$1000,$S159,$V$5:$V$1000,"Macro",$H$5:$H$1000,"&gt;0"))))</f>
        <v/>
      </c>
      <c r="AH159" s="62" t="n"/>
      <c r="AI159" s="62" t="n"/>
      <c r="AJ159" s="62" t="n"/>
      <c r="AK159" s="62" t="n"/>
      <c r="AL159" s="62">
        <f>IF(LEFT($C159,11)="[Jefatura] ",IFERROR(MATCH("Riesgo Financiero|"&amp;MID($C159,12,500),rDname_ADM,0),0),"")</f>
        <v/>
      </c>
      <c r="AM159" s="62">
        <f>IF(N($AL159)&gt;0,INDEX(rIni_ADM,$AL159),IF(ISNUMBER($E159),$E159,""))</f>
        <v/>
      </c>
      <c r="AN159" s="62">
        <f>IF(N($AL159)&gt;0,INDEX(rLim_ADM,$AL159),IF(ISNUMBER($F159),$F159,""))</f>
        <v/>
      </c>
    </row>
    <row r="160">
      <c r="A160" s="56">
        <f>IF(NOT((COUNTA($B160:$D160)+COUNTA($G160:$L160)+COUNTA($Q160))&gt;0),"",IF($V160="Macro",COUNTIFS($V$5:$V160,"Macro",$S$5:$S160,$S160),IF(N($U160)=0,"?",COUNTIFS(INDEX($V$5:$V$1000,1):INDEX($V$5:$V$1000,$U160-4),"Macro",INDEX($S$5:$S$1000,1):INDEX($S$5:$S$1000,$U160-4),INDEX($S$5:$S$1000,$U160-4))&amp;"."&amp;COUNTIFS($U$5:$U160,$U160,$V$5:$V160,"Sub"))))</f>
        <v/>
      </c>
      <c r="B160" s="57" t="n"/>
      <c r="C160" s="58" t="n"/>
      <c r="D160" s="58" t="n"/>
      <c r="E160" s="59">
        <f>IF(N($AL160)&gt;0,INDEX(rIni_ADM,$AL160),"")</f>
        <v/>
      </c>
      <c r="F160" s="59">
        <f>IF(N($AL160)&gt;0,INDEX(rLim_ADM,$AL160),"")</f>
        <v/>
      </c>
      <c r="G160" s="59" t="n"/>
      <c r="H160" s="60" t="n"/>
      <c r="I160" s="60" t="n"/>
      <c r="J160" s="60" t="n"/>
      <c r="K160" s="60" t="n"/>
      <c r="L160" s="60" t="n"/>
      <c r="M160" s="61">
        <f>IF(NOT((COUNTA($B160:$D160)+COUNTA($G160:$L160)+COUNTA($Q160))&gt;0),"",IF(ISNUMBER($G160),1,IF(N($W160)&gt;0,AVERAGEIFS($X$5:$X$1000,$U$5:$U$1000,ROW(),$V$5:$V$1000,"Sub"),$X160)))</f>
        <v/>
      </c>
      <c r="N160" s="56">
        <f>IF($M160="","",IF($M160&gt;=1,"Completado",IF($M160&gt;0,"En curso","Pendiente")))</f>
        <v/>
      </c>
      <c r="O160" s="56">
        <f>IF(NOT((COUNTA($B160:$D160)+COUNTA($G160:$L160)+COUNTA($Q160))&gt;0),"",IF(ISNUMBER($G160),IF(AND(ISNUMBER($AN160),$G160&gt;$AN160),"Cumplida con "&amp;($G160-$AN160)&amp;IF($G160-$AN160=1," día"," días")&amp;" de retraso","Cumplida"),IF(N($M160)&gt;=1,"Cumplida",IF(NOT(ISNUMBER($AN160)),"Sin fecha límite",IF($AN160&lt;FechaRef,"Vencida hace "&amp;(FechaRef-$AN160)&amp;IF(FechaRef-$AN160=1," día"," días"),IF($AN160=FechaRef,"Vence hoy",IF($AN160-FechaRef&lt;=DiasAlerta,"Vence en "&amp;($AN160-FechaRef)&amp;IF($AN160-FechaRef=1," día"," días"),"En plazo")))))))</f>
        <v/>
      </c>
      <c r="P160" s="62" t="n"/>
      <c r="Q160" s="58" t="n"/>
      <c r="R160" s="63">
        <f>IF(NOT((COUNTA($B160:$D160)+COUNTA($G160:$L160)+COUNTA($Q160))&gt;0),"",IF((IF($C160="","Falta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",""))="","✔ OK","⚠ "&amp;LEFT(IF($C160="","Falta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",""),LEN(IF($C160="","Falta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",""))-3)))</f>
        <v/>
      </c>
      <c r="S160" s="64">
        <f>IF(NOT((COUNTA($B160:$D160)+COUNTA($G160:$L160)+COUNTA($Q160))&gt;0),"",IF(AND($V160="Sub",N($U160)&gt;0),IF(ISNUMBER(INDEX($AM$5:$AM$1000,$U160-4)),DATE(YEAR(INDEX($AM$5:$AM$1000,$U160-4)),MONTH(INDEX($AM$5:$AM$1000,$U160-4)),1),IF(ISNUMBER(INDEX($AN$5:$AN$1000,$U160-4)),DATE(YEAR(INDEX($AN$5:$AN$1000,$U160-4)),MONTH(INDEX($AN$5:$AN$1000,$U160-4)),1),MesCiclo)),IF(ISNUMBER($AM160),DATE(YEAR($AM160),MONTH($AM160),1),IF(ISNUMBER($AN160),DATE(YEAR($AN160),MONTH($AN160),1),MesCiclo))))</f>
        <v/>
      </c>
      <c r="T160" s="62">
        <f>IF(OR($S160="",$S160&lt;&gt;MesCiclo),"",COUNTIF($S$5:$S160,MesCiclo))</f>
        <v/>
      </c>
      <c r="U160" s="62">
        <f>IF($V160="","",IF($V160="Macro",ROW(),IFERROR(LOOKUP(2,1/($V$5:$V160="Macro"),ROW($V$5:$V160)),0)))</f>
        <v/>
      </c>
      <c r="V160" s="62">
        <f>IF(NOT((COUNTA($B160:$D160)+COUNTA($G160:$L160)+COUNTA($Q160))&gt;0),"",IF($B160="Subactividad","Sub","Macro"))</f>
        <v/>
      </c>
      <c r="W160" s="62">
        <f>IF($V160="Macro",COUNTIFS($U$5:$U$1000,ROW(),$V$5:$V$1000,"Sub"),"")</f>
        <v/>
      </c>
      <c r="X160" s="62">
        <f>IF($V160="","",IF(ISNUMBER($G160),1,IFERROR(LOOKUP(2,1/($I160:$L160&lt;&gt;""),$I160:$L160),0)))</f>
        <v/>
      </c>
      <c r="Y160" s="62">
        <f>IF($V160="","",IF(AND(ISNUMBER($G160),$G160&lt;=IF($S160=MesCiclo,InicioCiclo,$S160+MOD(2-WEEKDAY($S160),7))+6),1,IF(ISNUMBER($I160),$I160,0)))</f>
        <v/>
      </c>
      <c r="Z160" s="62">
        <f>IF($V160="","",IF(AND(ISNUMBER($G160),$G160&lt;=IF($S160=MesCiclo,InicioCiclo,$S160+MOD(2-WEEKDAY($S160),7))+13),1,IF(ISNUMBER($J160),$J160,$Y160)))</f>
        <v/>
      </c>
      <c r="AA160" s="62">
        <f>IF($V160="","",IF(AND(ISNUMBER($G160),$G160&lt;=IF($S160=MesCiclo,InicioCiclo,$S160+MOD(2-WEEKDAY($S160),7))+20),1,IF(ISNUMBER($K160),$K160,$Z160)))</f>
        <v/>
      </c>
      <c r="AB160" s="62">
        <f>IF($V160="","",IF(AND(ISNUMBER($G160),$G160&lt;=IF($S160=MesCiclo,InicioCiclo,$S160+MOD(2-WEEKDAY($S160),7))+27),1,IF(ISNUMBER($L160),$L160,$AA160)))</f>
        <v/>
      </c>
      <c r="AC160" s="62">
        <f>IF($V160="","",IF(AND(ISNUMBER($G160),$G160&lt;=IF($S160=MesCiclo,InicioCiclo,$S160+MOD(2-WEEKDAY($S160),7))+6),1,IF(N($W160)&gt;0,AVERAGEIFS($Y$5:$Y$1000,$U$5:$U$1000,ROW(),$V$5:$V$1000,"Sub"),$Y160)))</f>
        <v/>
      </c>
      <c r="AD160" s="62">
        <f>IF($V160="","",IF(AND(ISNUMBER($G160),$G160&lt;=IF($S160=MesCiclo,InicioCiclo,$S160+MOD(2-WEEKDAY($S160),7))+13),1,IF(N($W160)&gt;0,AVERAGEIFS($Z$5:$Z$1000,$U$5:$U$1000,ROW(),$V$5:$V$1000,"Sub"),$Z160)))</f>
        <v/>
      </c>
      <c r="AE160" s="62">
        <f>IF($V160="","",IF(AND(ISNUMBER($G160),$G160&lt;=IF($S160=MesCiclo,InicioCiclo,$S160+MOD(2-WEEKDAY($S160),7))+20),1,IF(N($W160)&gt;0,AVERAGEIFS($AA$5:$AA$1000,$U$5:$U$1000,ROW(),$V$5:$V$1000,"Sub"),$AA160)))</f>
        <v/>
      </c>
      <c r="AF160" s="62">
        <f>IF($V160="","",IF(AND(ISNUMBER($G160),$G160&lt;=IF($S160=MesCiclo,InicioCiclo,$S160+MOD(2-WEEKDAY($S160),7))+27),1,IF(N($W160)&gt;0,AVERAGEIFS($AB$5:$AB$1000,$U$5:$U$1000,ROW(),$V$5:$V$1000,"Sub"),$AB160)))</f>
        <v/>
      </c>
      <c r="AG160" s="62">
        <f>IF($V160&lt;&gt;"Macro","",IF(COUNTIFS($S$5:$S$1000,$S160,$V$5:$V$1000,"Macro",$H$5:$H$1000,"&gt;0")=0,1/COUNTIFS($S$5:$S$1000,$S160,$V$5:$V$1000,"Macro"),IF(AND(ISNUMBER($H160),N($H160)&gt;0),$H160,SUMIFS($H$5:$H$1000,$S$5:$S$1000,$S160,$V$5:$V$1000,"Macro")/COUNTIFS($S$5:$S$1000,$S160,$V$5:$V$1000,"Macro",$H$5:$H$1000,"&gt;0"))/(COUNTIFS($S$5:$S$1000,$S160,$V$5:$V$1000,"Macro")*SUMIFS($H$5:$H$1000,$S$5:$S$1000,$S160,$V$5:$V$1000,"Macro")/COUNTIFS($S$5:$S$1000,$S160,$V$5:$V$1000,"Macro",$H$5:$H$1000,"&gt;0"))))</f>
        <v/>
      </c>
      <c r="AH160" s="62" t="n"/>
      <c r="AI160" s="62" t="n"/>
      <c r="AJ160" s="62" t="n"/>
      <c r="AK160" s="62" t="n"/>
      <c r="AL160" s="62">
        <f>IF(LEFT($C160,11)="[Jefatura] ",IFERROR(MATCH("Riesgo Financiero|"&amp;MID($C160,12,500),rDname_ADM,0),0),"")</f>
        <v/>
      </c>
      <c r="AM160" s="62">
        <f>IF(N($AL160)&gt;0,INDEX(rIni_ADM,$AL160),IF(ISNUMBER($E160),$E160,""))</f>
        <v/>
      </c>
      <c r="AN160" s="62">
        <f>IF(N($AL160)&gt;0,INDEX(rLim_ADM,$AL160),IF(ISNUMBER($F160),$F160,""))</f>
        <v/>
      </c>
    </row>
    <row r="161">
      <c r="A161" s="56">
        <f>IF(NOT((COUNTA($B161:$D161)+COUNTA($G161:$L161)+COUNTA($Q161))&gt;0),"",IF($V161="Macro",COUNTIFS($V$5:$V161,"Macro",$S$5:$S161,$S161),IF(N($U161)=0,"?",COUNTIFS(INDEX($V$5:$V$1000,1):INDEX($V$5:$V$1000,$U161-4),"Macro",INDEX($S$5:$S$1000,1):INDEX($S$5:$S$1000,$U161-4),INDEX($S$5:$S$1000,$U161-4))&amp;"."&amp;COUNTIFS($U$5:$U161,$U161,$V$5:$V161,"Sub"))))</f>
        <v/>
      </c>
      <c r="B161" s="57" t="n"/>
      <c r="C161" s="58" t="n"/>
      <c r="D161" s="58" t="n"/>
      <c r="E161" s="59">
        <f>IF(N($AL161)&gt;0,INDEX(rIni_ADM,$AL161),"")</f>
        <v/>
      </c>
      <c r="F161" s="59">
        <f>IF(N($AL161)&gt;0,INDEX(rLim_ADM,$AL161),"")</f>
        <v/>
      </c>
      <c r="G161" s="59" t="n"/>
      <c r="H161" s="60" t="n"/>
      <c r="I161" s="60" t="n"/>
      <c r="J161" s="60" t="n"/>
      <c r="K161" s="60" t="n"/>
      <c r="L161" s="60" t="n"/>
      <c r="M161" s="61">
        <f>IF(NOT((COUNTA($B161:$D161)+COUNTA($G161:$L161)+COUNTA($Q161))&gt;0),"",IF(ISNUMBER($G161),1,IF(N($W161)&gt;0,AVERAGEIFS($X$5:$X$1000,$U$5:$U$1000,ROW(),$V$5:$V$1000,"Sub"),$X161)))</f>
        <v/>
      </c>
      <c r="N161" s="56">
        <f>IF($M161="","",IF($M161&gt;=1,"Completado",IF($M161&gt;0,"En curso","Pendiente")))</f>
        <v/>
      </c>
      <c r="O161" s="56">
        <f>IF(NOT((COUNTA($B161:$D161)+COUNTA($G161:$L161)+COUNTA($Q161))&gt;0),"",IF(ISNUMBER($G161),IF(AND(ISNUMBER($AN161),$G161&gt;$AN161),"Cumplida con "&amp;($G161-$AN161)&amp;IF($G161-$AN161=1," día"," días")&amp;" de retraso","Cumplida"),IF(N($M161)&gt;=1,"Cumplida",IF(NOT(ISNUMBER($AN161)),"Sin fecha límite",IF($AN161&lt;FechaRef,"Vencida hace "&amp;(FechaRef-$AN161)&amp;IF(FechaRef-$AN161=1," día"," días"),IF($AN161=FechaRef,"Vence hoy",IF($AN161-FechaRef&lt;=DiasAlerta,"Vence en "&amp;($AN161-FechaRef)&amp;IF($AN161-FechaRef=1," día"," días"),"En plazo")))))))</f>
        <v/>
      </c>
      <c r="P161" s="62" t="n"/>
      <c r="Q161" s="58" t="n"/>
      <c r="R161" s="63">
        <f>IF(NOT((COUNTA($B161:$D161)+COUNTA($G161:$L161)+COUNTA($Q161))&gt;0),"",IF((IF($C161="","Falta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",""))="","✔ OK","⚠ "&amp;LEFT(IF($C161="","Falta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",""),LEN(IF($C161="","Falta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",""))-3)))</f>
        <v/>
      </c>
      <c r="S161" s="64">
        <f>IF(NOT((COUNTA($B161:$D161)+COUNTA($G161:$L161)+COUNTA($Q161))&gt;0),"",IF(AND($V161="Sub",N($U161)&gt;0),IF(ISNUMBER(INDEX($AM$5:$AM$1000,$U161-4)),DATE(YEAR(INDEX($AM$5:$AM$1000,$U161-4)),MONTH(INDEX($AM$5:$AM$1000,$U161-4)),1),IF(ISNUMBER(INDEX($AN$5:$AN$1000,$U161-4)),DATE(YEAR(INDEX($AN$5:$AN$1000,$U161-4)),MONTH(INDEX($AN$5:$AN$1000,$U161-4)),1),MesCiclo)),IF(ISNUMBER($AM161),DATE(YEAR($AM161),MONTH($AM161),1),IF(ISNUMBER($AN161),DATE(YEAR($AN161),MONTH($AN161),1),MesCiclo))))</f>
        <v/>
      </c>
      <c r="T161" s="62">
        <f>IF(OR($S161="",$S161&lt;&gt;MesCiclo),"",COUNTIF($S$5:$S161,MesCiclo))</f>
        <v/>
      </c>
      <c r="U161" s="62">
        <f>IF($V161="","",IF($V161="Macro",ROW(),IFERROR(LOOKUP(2,1/($V$5:$V161="Macro"),ROW($V$5:$V161)),0)))</f>
        <v/>
      </c>
      <c r="V161" s="62">
        <f>IF(NOT((COUNTA($B161:$D161)+COUNTA($G161:$L161)+COUNTA($Q161))&gt;0),"",IF($B161="Subactividad","Sub","Macro"))</f>
        <v/>
      </c>
      <c r="W161" s="62">
        <f>IF($V161="Macro",COUNTIFS($U$5:$U$1000,ROW(),$V$5:$V$1000,"Sub"),"")</f>
        <v/>
      </c>
      <c r="X161" s="62">
        <f>IF($V161="","",IF(ISNUMBER($G161),1,IFERROR(LOOKUP(2,1/($I161:$L161&lt;&gt;""),$I161:$L161),0)))</f>
        <v/>
      </c>
      <c r="Y161" s="62">
        <f>IF($V161="","",IF(AND(ISNUMBER($G161),$G161&lt;=IF($S161=MesCiclo,InicioCiclo,$S161+MOD(2-WEEKDAY($S161),7))+6),1,IF(ISNUMBER($I161),$I161,0)))</f>
        <v/>
      </c>
      <c r="Z161" s="62">
        <f>IF($V161="","",IF(AND(ISNUMBER($G161),$G161&lt;=IF($S161=MesCiclo,InicioCiclo,$S161+MOD(2-WEEKDAY($S161),7))+13),1,IF(ISNUMBER($J161),$J161,$Y161)))</f>
        <v/>
      </c>
      <c r="AA161" s="62">
        <f>IF($V161="","",IF(AND(ISNUMBER($G161),$G161&lt;=IF($S161=MesCiclo,InicioCiclo,$S161+MOD(2-WEEKDAY($S161),7))+20),1,IF(ISNUMBER($K161),$K161,$Z161)))</f>
        <v/>
      </c>
      <c r="AB161" s="62">
        <f>IF($V161="","",IF(AND(ISNUMBER($G161),$G161&lt;=IF($S161=MesCiclo,InicioCiclo,$S161+MOD(2-WEEKDAY($S161),7))+27),1,IF(ISNUMBER($L161),$L161,$AA161)))</f>
        <v/>
      </c>
      <c r="AC161" s="62">
        <f>IF($V161="","",IF(AND(ISNUMBER($G161),$G161&lt;=IF($S161=MesCiclo,InicioCiclo,$S161+MOD(2-WEEKDAY($S161),7))+6),1,IF(N($W161)&gt;0,AVERAGEIFS($Y$5:$Y$1000,$U$5:$U$1000,ROW(),$V$5:$V$1000,"Sub"),$Y161)))</f>
        <v/>
      </c>
      <c r="AD161" s="62">
        <f>IF($V161="","",IF(AND(ISNUMBER($G161),$G161&lt;=IF($S161=MesCiclo,InicioCiclo,$S161+MOD(2-WEEKDAY($S161),7))+13),1,IF(N($W161)&gt;0,AVERAGEIFS($Z$5:$Z$1000,$U$5:$U$1000,ROW(),$V$5:$V$1000,"Sub"),$Z161)))</f>
        <v/>
      </c>
      <c r="AE161" s="62">
        <f>IF($V161="","",IF(AND(ISNUMBER($G161),$G161&lt;=IF($S161=MesCiclo,InicioCiclo,$S161+MOD(2-WEEKDAY($S161),7))+20),1,IF(N($W161)&gt;0,AVERAGEIFS($AA$5:$AA$1000,$U$5:$U$1000,ROW(),$V$5:$V$1000,"Sub"),$AA161)))</f>
        <v/>
      </c>
      <c r="AF161" s="62">
        <f>IF($V161="","",IF(AND(ISNUMBER($G161),$G161&lt;=IF($S161=MesCiclo,InicioCiclo,$S161+MOD(2-WEEKDAY($S161),7))+27),1,IF(N($W161)&gt;0,AVERAGEIFS($AB$5:$AB$1000,$U$5:$U$1000,ROW(),$V$5:$V$1000,"Sub"),$AB161)))</f>
        <v/>
      </c>
      <c r="AG161" s="62">
        <f>IF($V161&lt;&gt;"Macro","",IF(COUNTIFS($S$5:$S$1000,$S161,$V$5:$V$1000,"Macro",$H$5:$H$1000,"&gt;0")=0,1/COUNTIFS($S$5:$S$1000,$S161,$V$5:$V$1000,"Macro"),IF(AND(ISNUMBER($H161),N($H161)&gt;0),$H161,SUMIFS($H$5:$H$1000,$S$5:$S$1000,$S161,$V$5:$V$1000,"Macro")/COUNTIFS($S$5:$S$1000,$S161,$V$5:$V$1000,"Macro",$H$5:$H$1000,"&gt;0"))/(COUNTIFS($S$5:$S$1000,$S161,$V$5:$V$1000,"Macro")*SUMIFS($H$5:$H$1000,$S$5:$S$1000,$S161,$V$5:$V$1000,"Macro")/COUNTIFS($S$5:$S$1000,$S161,$V$5:$V$1000,"Macro",$H$5:$H$1000,"&gt;0"))))</f>
        <v/>
      </c>
      <c r="AH161" s="62" t="n"/>
      <c r="AI161" s="62" t="n"/>
      <c r="AJ161" s="62" t="n"/>
      <c r="AK161" s="62" t="n"/>
      <c r="AL161" s="62">
        <f>IF(LEFT($C161,11)="[Jefatura] ",IFERROR(MATCH("Riesgo Financiero|"&amp;MID($C161,12,500),rDname_ADM,0),0),"")</f>
        <v/>
      </c>
      <c r="AM161" s="62">
        <f>IF(N($AL161)&gt;0,INDEX(rIni_ADM,$AL161),IF(ISNUMBER($E161),$E161,""))</f>
        <v/>
      </c>
      <c r="AN161" s="62">
        <f>IF(N($AL161)&gt;0,INDEX(rLim_ADM,$AL161),IF(ISNUMBER($F161),$F161,""))</f>
        <v/>
      </c>
    </row>
    <row r="162">
      <c r="A162" s="56">
        <f>IF(NOT((COUNTA($B162:$D162)+COUNTA($G162:$L162)+COUNTA($Q162))&gt;0),"",IF($V162="Macro",COUNTIFS($V$5:$V162,"Macro",$S$5:$S162,$S162),IF(N($U162)=0,"?",COUNTIFS(INDEX($V$5:$V$1000,1):INDEX($V$5:$V$1000,$U162-4),"Macro",INDEX($S$5:$S$1000,1):INDEX($S$5:$S$1000,$U162-4),INDEX($S$5:$S$1000,$U162-4))&amp;"."&amp;COUNTIFS($U$5:$U162,$U162,$V$5:$V162,"Sub"))))</f>
        <v/>
      </c>
      <c r="B162" s="57" t="n"/>
      <c r="C162" s="58" t="n"/>
      <c r="D162" s="58" t="n"/>
      <c r="E162" s="59">
        <f>IF(N($AL162)&gt;0,INDEX(rIni_ADM,$AL162),"")</f>
        <v/>
      </c>
      <c r="F162" s="59">
        <f>IF(N($AL162)&gt;0,INDEX(rLim_ADM,$AL162),"")</f>
        <v/>
      </c>
      <c r="G162" s="59" t="n"/>
      <c r="H162" s="60" t="n"/>
      <c r="I162" s="60" t="n"/>
      <c r="J162" s="60" t="n"/>
      <c r="K162" s="60" t="n"/>
      <c r="L162" s="60" t="n"/>
      <c r="M162" s="61">
        <f>IF(NOT((COUNTA($B162:$D162)+COUNTA($G162:$L162)+COUNTA($Q162))&gt;0),"",IF(ISNUMBER($G162),1,IF(N($W162)&gt;0,AVERAGEIFS($X$5:$X$1000,$U$5:$U$1000,ROW(),$V$5:$V$1000,"Sub"),$X162)))</f>
        <v/>
      </c>
      <c r="N162" s="56">
        <f>IF($M162="","",IF($M162&gt;=1,"Completado",IF($M162&gt;0,"En curso","Pendiente")))</f>
        <v/>
      </c>
      <c r="O162" s="56">
        <f>IF(NOT((COUNTA($B162:$D162)+COUNTA($G162:$L162)+COUNTA($Q162))&gt;0),"",IF(ISNUMBER($G162),IF(AND(ISNUMBER($AN162),$G162&gt;$AN162),"Cumplida con "&amp;($G162-$AN162)&amp;IF($G162-$AN162=1," día"," días")&amp;" de retraso","Cumplida"),IF(N($M162)&gt;=1,"Cumplida",IF(NOT(ISNUMBER($AN162)),"Sin fecha límite",IF($AN162&lt;FechaRef,"Vencida hace "&amp;(FechaRef-$AN162)&amp;IF(FechaRef-$AN162=1," día"," días"),IF($AN162=FechaRef,"Vence hoy",IF($AN162-FechaRef&lt;=DiasAlerta,"Vence en "&amp;($AN162-FechaRef)&amp;IF($AN162-FechaRef=1," día"," días"),"En plazo")))))))</f>
        <v/>
      </c>
      <c r="P162" s="62" t="n"/>
      <c r="Q162" s="58" t="n"/>
      <c r="R162" s="63">
        <f>IF(NOT((COUNTA($B162:$D162)+COUNTA($G162:$L162)+COUNTA($Q162))&gt;0),"",IF((IF($C162="","Falta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",""))="","✔ OK","⚠ "&amp;LEFT(IF($C162="","Falta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",""),LEN(IF($C162="","Falta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",""))-3)))</f>
        <v/>
      </c>
      <c r="S162" s="64">
        <f>IF(NOT((COUNTA($B162:$D162)+COUNTA($G162:$L162)+COUNTA($Q162))&gt;0),"",IF(AND($V162="Sub",N($U162)&gt;0),IF(ISNUMBER(INDEX($AM$5:$AM$1000,$U162-4)),DATE(YEAR(INDEX($AM$5:$AM$1000,$U162-4)),MONTH(INDEX($AM$5:$AM$1000,$U162-4)),1),IF(ISNUMBER(INDEX($AN$5:$AN$1000,$U162-4)),DATE(YEAR(INDEX($AN$5:$AN$1000,$U162-4)),MONTH(INDEX($AN$5:$AN$1000,$U162-4)),1),MesCiclo)),IF(ISNUMBER($AM162),DATE(YEAR($AM162),MONTH($AM162),1),IF(ISNUMBER($AN162),DATE(YEAR($AN162),MONTH($AN162),1),MesCiclo))))</f>
        <v/>
      </c>
      <c r="T162" s="62">
        <f>IF(OR($S162="",$S162&lt;&gt;MesCiclo),"",COUNTIF($S$5:$S162,MesCiclo))</f>
        <v/>
      </c>
      <c r="U162" s="62">
        <f>IF($V162="","",IF($V162="Macro",ROW(),IFERROR(LOOKUP(2,1/($V$5:$V162="Macro"),ROW($V$5:$V162)),0)))</f>
        <v/>
      </c>
      <c r="V162" s="62">
        <f>IF(NOT((COUNTA($B162:$D162)+COUNTA($G162:$L162)+COUNTA($Q162))&gt;0),"",IF($B162="Subactividad","Sub","Macro"))</f>
        <v/>
      </c>
      <c r="W162" s="62">
        <f>IF($V162="Macro",COUNTIFS($U$5:$U$1000,ROW(),$V$5:$V$1000,"Sub"),"")</f>
        <v/>
      </c>
      <c r="X162" s="62">
        <f>IF($V162="","",IF(ISNUMBER($G162),1,IFERROR(LOOKUP(2,1/($I162:$L162&lt;&gt;""),$I162:$L162),0)))</f>
        <v/>
      </c>
      <c r="Y162" s="62">
        <f>IF($V162="","",IF(AND(ISNUMBER($G162),$G162&lt;=IF($S162=MesCiclo,InicioCiclo,$S162+MOD(2-WEEKDAY($S162),7))+6),1,IF(ISNUMBER($I162),$I162,0)))</f>
        <v/>
      </c>
      <c r="Z162" s="62">
        <f>IF($V162="","",IF(AND(ISNUMBER($G162),$G162&lt;=IF($S162=MesCiclo,InicioCiclo,$S162+MOD(2-WEEKDAY($S162),7))+13),1,IF(ISNUMBER($J162),$J162,$Y162)))</f>
        <v/>
      </c>
      <c r="AA162" s="62">
        <f>IF($V162="","",IF(AND(ISNUMBER($G162),$G162&lt;=IF($S162=MesCiclo,InicioCiclo,$S162+MOD(2-WEEKDAY($S162),7))+20),1,IF(ISNUMBER($K162),$K162,$Z162)))</f>
        <v/>
      </c>
      <c r="AB162" s="62">
        <f>IF($V162="","",IF(AND(ISNUMBER($G162),$G162&lt;=IF($S162=MesCiclo,InicioCiclo,$S162+MOD(2-WEEKDAY($S162),7))+27),1,IF(ISNUMBER($L162),$L162,$AA162)))</f>
        <v/>
      </c>
      <c r="AC162" s="62">
        <f>IF($V162="","",IF(AND(ISNUMBER($G162),$G162&lt;=IF($S162=MesCiclo,InicioCiclo,$S162+MOD(2-WEEKDAY($S162),7))+6),1,IF(N($W162)&gt;0,AVERAGEIFS($Y$5:$Y$1000,$U$5:$U$1000,ROW(),$V$5:$V$1000,"Sub"),$Y162)))</f>
        <v/>
      </c>
      <c r="AD162" s="62">
        <f>IF($V162="","",IF(AND(ISNUMBER($G162),$G162&lt;=IF($S162=MesCiclo,InicioCiclo,$S162+MOD(2-WEEKDAY($S162),7))+13),1,IF(N($W162)&gt;0,AVERAGEIFS($Z$5:$Z$1000,$U$5:$U$1000,ROW(),$V$5:$V$1000,"Sub"),$Z162)))</f>
        <v/>
      </c>
      <c r="AE162" s="62">
        <f>IF($V162="","",IF(AND(ISNUMBER($G162),$G162&lt;=IF($S162=MesCiclo,InicioCiclo,$S162+MOD(2-WEEKDAY($S162),7))+20),1,IF(N($W162)&gt;0,AVERAGEIFS($AA$5:$AA$1000,$U$5:$U$1000,ROW(),$V$5:$V$1000,"Sub"),$AA162)))</f>
        <v/>
      </c>
      <c r="AF162" s="62">
        <f>IF($V162="","",IF(AND(ISNUMBER($G162),$G162&lt;=IF($S162=MesCiclo,InicioCiclo,$S162+MOD(2-WEEKDAY($S162),7))+27),1,IF(N($W162)&gt;0,AVERAGEIFS($AB$5:$AB$1000,$U$5:$U$1000,ROW(),$V$5:$V$1000,"Sub"),$AB162)))</f>
        <v/>
      </c>
      <c r="AG162" s="62">
        <f>IF($V162&lt;&gt;"Macro","",IF(COUNTIFS($S$5:$S$1000,$S162,$V$5:$V$1000,"Macro",$H$5:$H$1000,"&gt;0")=0,1/COUNTIFS($S$5:$S$1000,$S162,$V$5:$V$1000,"Macro"),IF(AND(ISNUMBER($H162),N($H162)&gt;0),$H162,SUMIFS($H$5:$H$1000,$S$5:$S$1000,$S162,$V$5:$V$1000,"Macro")/COUNTIFS($S$5:$S$1000,$S162,$V$5:$V$1000,"Macro",$H$5:$H$1000,"&gt;0"))/(COUNTIFS($S$5:$S$1000,$S162,$V$5:$V$1000,"Macro")*SUMIFS($H$5:$H$1000,$S$5:$S$1000,$S162,$V$5:$V$1000,"Macro")/COUNTIFS($S$5:$S$1000,$S162,$V$5:$V$1000,"Macro",$H$5:$H$1000,"&gt;0"))))</f>
        <v/>
      </c>
      <c r="AH162" s="62" t="n"/>
      <c r="AI162" s="62" t="n"/>
      <c r="AJ162" s="62" t="n"/>
      <c r="AK162" s="62" t="n"/>
      <c r="AL162" s="62">
        <f>IF(LEFT($C162,11)="[Jefatura] ",IFERROR(MATCH("Riesgo Financiero|"&amp;MID($C162,12,500),rDname_ADM,0),0),"")</f>
        <v/>
      </c>
      <c r="AM162" s="62">
        <f>IF(N($AL162)&gt;0,INDEX(rIni_ADM,$AL162),IF(ISNUMBER($E162),$E162,""))</f>
        <v/>
      </c>
      <c r="AN162" s="62">
        <f>IF(N($AL162)&gt;0,INDEX(rLim_ADM,$AL162),IF(ISNUMBER($F162),$F162,""))</f>
        <v/>
      </c>
    </row>
    <row r="163">
      <c r="A163" s="56">
        <f>IF(NOT((COUNTA($B163:$D163)+COUNTA($G163:$L163)+COUNTA($Q163))&gt;0),"",IF($V163="Macro",COUNTIFS($V$5:$V163,"Macro",$S$5:$S163,$S163),IF(N($U163)=0,"?",COUNTIFS(INDEX($V$5:$V$1000,1):INDEX($V$5:$V$1000,$U163-4),"Macro",INDEX($S$5:$S$1000,1):INDEX($S$5:$S$1000,$U163-4),INDEX($S$5:$S$1000,$U163-4))&amp;"."&amp;COUNTIFS($U$5:$U163,$U163,$V$5:$V163,"Sub"))))</f>
        <v/>
      </c>
      <c r="B163" s="57" t="n"/>
      <c r="C163" s="58" t="n"/>
      <c r="D163" s="58" t="n"/>
      <c r="E163" s="59">
        <f>IF(N($AL163)&gt;0,INDEX(rIni_ADM,$AL163),"")</f>
        <v/>
      </c>
      <c r="F163" s="59">
        <f>IF(N($AL163)&gt;0,INDEX(rLim_ADM,$AL163),"")</f>
        <v/>
      </c>
      <c r="G163" s="59" t="n"/>
      <c r="H163" s="60" t="n"/>
      <c r="I163" s="60" t="n"/>
      <c r="J163" s="60" t="n"/>
      <c r="K163" s="60" t="n"/>
      <c r="L163" s="60" t="n"/>
      <c r="M163" s="61">
        <f>IF(NOT((COUNTA($B163:$D163)+COUNTA($G163:$L163)+COUNTA($Q163))&gt;0),"",IF(ISNUMBER($G163),1,IF(N($W163)&gt;0,AVERAGEIFS($X$5:$X$1000,$U$5:$U$1000,ROW(),$V$5:$V$1000,"Sub"),$X163)))</f>
        <v/>
      </c>
      <c r="N163" s="56">
        <f>IF($M163="","",IF($M163&gt;=1,"Completado",IF($M163&gt;0,"En curso","Pendiente")))</f>
        <v/>
      </c>
      <c r="O163" s="56">
        <f>IF(NOT((COUNTA($B163:$D163)+COUNTA($G163:$L163)+COUNTA($Q163))&gt;0),"",IF(ISNUMBER($G163),IF(AND(ISNUMBER($AN163),$G163&gt;$AN163),"Cumplida con "&amp;($G163-$AN163)&amp;IF($G163-$AN163=1," día"," días")&amp;" de retraso","Cumplida"),IF(N($M163)&gt;=1,"Cumplida",IF(NOT(ISNUMBER($AN163)),"Sin fecha límite",IF($AN163&lt;FechaRef,"Vencida hace "&amp;(FechaRef-$AN163)&amp;IF(FechaRef-$AN163=1," día"," días"),IF($AN163=FechaRef,"Vence hoy",IF($AN163-FechaRef&lt;=DiasAlerta,"Vence en "&amp;($AN163-FechaRef)&amp;IF($AN163-FechaRef=1," día"," días"),"En plazo")))))))</f>
        <v/>
      </c>
      <c r="P163" s="62" t="n"/>
      <c r="Q163" s="58" t="n"/>
      <c r="R163" s="63">
        <f>IF(NOT((COUNTA($B163:$D163)+COUNTA($G163:$L163)+COUNTA($Q163))&gt;0),"",IF((IF($C163="","Falta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",""))="","✔ OK","⚠ "&amp;LEFT(IF($C163="","Falta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",""),LEN(IF($C163="","Falta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",""))-3)))</f>
        <v/>
      </c>
      <c r="S163" s="64">
        <f>IF(NOT((COUNTA($B163:$D163)+COUNTA($G163:$L163)+COUNTA($Q163))&gt;0),"",IF(AND($V163="Sub",N($U163)&gt;0),IF(ISNUMBER(INDEX($AM$5:$AM$1000,$U163-4)),DATE(YEAR(INDEX($AM$5:$AM$1000,$U163-4)),MONTH(INDEX($AM$5:$AM$1000,$U163-4)),1),IF(ISNUMBER(INDEX($AN$5:$AN$1000,$U163-4)),DATE(YEAR(INDEX($AN$5:$AN$1000,$U163-4)),MONTH(INDEX($AN$5:$AN$1000,$U163-4)),1),MesCiclo)),IF(ISNUMBER($AM163),DATE(YEAR($AM163),MONTH($AM163),1),IF(ISNUMBER($AN163),DATE(YEAR($AN163),MONTH($AN163),1),MesCiclo))))</f>
        <v/>
      </c>
      <c r="T163" s="62">
        <f>IF(OR($S163="",$S163&lt;&gt;MesCiclo),"",COUNTIF($S$5:$S163,MesCiclo))</f>
        <v/>
      </c>
      <c r="U163" s="62">
        <f>IF($V163="","",IF($V163="Macro",ROW(),IFERROR(LOOKUP(2,1/($V$5:$V163="Macro"),ROW($V$5:$V163)),0)))</f>
        <v/>
      </c>
      <c r="V163" s="62">
        <f>IF(NOT((COUNTA($B163:$D163)+COUNTA($G163:$L163)+COUNTA($Q163))&gt;0),"",IF($B163="Subactividad","Sub","Macro"))</f>
        <v/>
      </c>
      <c r="W163" s="62">
        <f>IF($V163="Macro",COUNTIFS($U$5:$U$1000,ROW(),$V$5:$V$1000,"Sub"),"")</f>
        <v/>
      </c>
      <c r="X163" s="62">
        <f>IF($V163="","",IF(ISNUMBER($G163),1,IFERROR(LOOKUP(2,1/($I163:$L163&lt;&gt;""),$I163:$L163),0)))</f>
        <v/>
      </c>
      <c r="Y163" s="62">
        <f>IF($V163="","",IF(AND(ISNUMBER($G163),$G163&lt;=IF($S163=MesCiclo,InicioCiclo,$S163+MOD(2-WEEKDAY($S163),7))+6),1,IF(ISNUMBER($I163),$I163,0)))</f>
        <v/>
      </c>
      <c r="Z163" s="62">
        <f>IF($V163="","",IF(AND(ISNUMBER($G163),$G163&lt;=IF($S163=MesCiclo,InicioCiclo,$S163+MOD(2-WEEKDAY($S163),7))+13),1,IF(ISNUMBER($J163),$J163,$Y163)))</f>
        <v/>
      </c>
      <c r="AA163" s="62">
        <f>IF($V163="","",IF(AND(ISNUMBER($G163),$G163&lt;=IF($S163=MesCiclo,InicioCiclo,$S163+MOD(2-WEEKDAY($S163),7))+20),1,IF(ISNUMBER($K163),$K163,$Z163)))</f>
        <v/>
      </c>
      <c r="AB163" s="62">
        <f>IF($V163="","",IF(AND(ISNUMBER($G163),$G163&lt;=IF($S163=MesCiclo,InicioCiclo,$S163+MOD(2-WEEKDAY($S163),7))+27),1,IF(ISNUMBER($L163),$L163,$AA163)))</f>
        <v/>
      </c>
      <c r="AC163" s="62">
        <f>IF($V163="","",IF(AND(ISNUMBER($G163),$G163&lt;=IF($S163=MesCiclo,InicioCiclo,$S163+MOD(2-WEEKDAY($S163),7))+6),1,IF(N($W163)&gt;0,AVERAGEIFS($Y$5:$Y$1000,$U$5:$U$1000,ROW(),$V$5:$V$1000,"Sub"),$Y163)))</f>
        <v/>
      </c>
      <c r="AD163" s="62">
        <f>IF($V163="","",IF(AND(ISNUMBER($G163),$G163&lt;=IF($S163=MesCiclo,InicioCiclo,$S163+MOD(2-WEEKDAY($S163),7))+13),1,IF(N($W163)&gt;0,AVERAGEIFS($Z$5:$Z$1000,$U$5:$U$1000,ROW(),$V$5:$V$1000,"Sub"),$Z163)))</f>
        <v/>
      </c>
      <c r="AE163" s="62">
        <f>IF($V163="","",IF(AND(ISNUMBER($G163),$G163&lt;=IF($S163=MesCiclo,InicioCiclo,$S163+MOD(2-WEEKDAY($S163),7))+20),1,IF(N($W163)&gt;0,AVERAGEIFS($AA$5:$AA$1000,$U$5:$U$1000,ROW(),$V$5:$V$1000,"Sub"),$AA163)))</f>
        <v/>
      </c>
      <c r="AF163" s="62">
        <f>IF($V163="","",IF(AND(ISNUMBER($G163),$G163&lt;=IF($S163=MesCiclo,InicioCiclo,$S163+MOD(2-WEEKDAY($S163),7))+27),1,IF(N($W163)&gt;0,AVERAGEIFS($AB$5:$AB$1000,$U$5:$U$1000,ROW(),$V$5:$V$1000,"Sub"),$AB163)))</f>
        <v/>
      </c>
      <c r="AG163" s="62">
        <f>IF($V163&lt;&gt;"Macro","",IF(COUNTIFS($S$5:$S$1000,$S163,$V$5:$V$1000,"Macro",$H$5:$H$1000,"&gt;0")=0,1/COUNTIFS($S$5:$S$1000,$S163,$V$5:$V$1000,"Macro"),IF(AND(ISNUMBER($H163),N($H163)&gt;0),$H163,SUMIFS($H$5:$H$1000,$S$5:$S$1000,$S163,$V$5:$V$1000,"Macro")/COUNTIFS($S$5:$S$1000,$S163,$V$5:$V$1000,"Macro",$H$5:$H$1000,"&gt;0"))/(COUNTIFS($S$5:$S$1000,$S163,$V$5:$V$1000,"Macro")*SUMIFS($H$5:$H$1000,$S$5:$S$1000,$S163,$V$5:$V$1000,"Macro")/COUNTIFS($S$5:$S$1000,$S163,$V$5:$V$1000,"Macro",$H$5:$H$1000,"&gt;0"))))</f>
        <v/>
      </c>
      <c r="AH163" s="62" t="n"/>
      <c r="AI163" s="62" t="n"/>
      <c r="AJ163" s="62" t="n"/>
      <c r="AK163" s="62" t="n"/>
      <c r="AL163" s="62">
        <f>IF(LEFT($C163,11)="[Jefatura] ",IFERROR(MATCH("Riesgo Financiero|"&amp;MID($C163,12,500),rDname_ADM,0),0),"")</f>
        <v/>
      </c>
      <c r="AM163" s="62">
        <f>IF(N($AL163)&gt;0,INDEX(rIni_ADM,$AL163),IF(ISNUMBER($E163),$E163,""))</f>
        <v/>
      </c>
      <c r="AN163" s="62">
        <f>IF(N($AL163)&gt;0,INDEX(rLim_ADM,$AL163),IF(ISNUMBER($F163),$F163,""))</f>
        <v/>
      </c>
    </row>
    <row r="164">
      <c r="A164" s="56">
        <f>IF(NOT((COUNTA($B164:$D164)+COUNTA($G164:$L164)+COUNTA($Q164))&gt;0),"",IF($V164="Macro",COUNTIFS($V$5:$V164,"Macro",$S$5:$S164,$S164),IF(N($U164)=0,"?",COUNTIFS(INDEX($V$5:$V$1000,1):INDEX($V$5:$V$1000,$U164-4),"Macro",INDEX($S$5:$S$1000,1):INDEX($S$5:$S$1000,$U164-4),INDEX($S$5:$S$1000,$U164-4))&amp;"."&amp;COUNTIFS($U$5:$U164,$U164,$V$5:$V164,"Sub"))))</f>
        <v/>
      </c>
      <c r="B164" s="57" t="n"/>
      <c r="C164" s="58" t="n"/>
      <c r="D164" s="58" t="n"/>
      <c r="E164" s="59">
        <f>IF(N($AL164)&gt;0,INDEX(rIni_ADM,$AL164),"")</f>
        <v/>
      </c>
      <c r="F164" s="59">
        <f>IF(N($AL164)&gt;0,INDEX(rLim_ADM,$AL164),"")</f>
        <v/>
      </c>
      <c r="G164" s="59" t="n"/>
      <c r="H164" s="60" t="n"/>
      <c r="I164" s="60" t="n"/>
      <c r="J164" s="60" t="n"/>
      <c r="K164" s="60" t="n"/>
      <c r="L164" s="60" t="n"/>
      <c r="M164" s="61">
        <f>IF(NOT((COUNTA($B164:$D164)+COUNTA($G164:$L164)+COUNTA($Q164))&gt;0),"",IF(ISNUMBER($G164),1,IF(N($W164)&gt;0,AVERAGEIFS($X$5:$X$1000,$U$5:$U$1000,ROW(),$V$5:$V$1000,"Sub"),$X164)))</f>
        <v/>
      </c>
      <c r="N164" s="56">
        <f>IF($M164="","",IF($M164&gt;=1,"Completado",IF($M164&gt;0,"En curso","Pendiente")))</f>
        <v/>
      </c>
      <c r="O164" s="56">
        <f>IF(NOT((COUNTA($B164:$D164)+COUNTA($G164:$L164)+COUNTA($Q164))&gt;0),"",IF(ISNUMBER($G164),IF(AND(ISNUMBER($AN164),$G164&gt;$AN164),"Cumplida con "&amp;($G164-$AN164)&amp;IF($G164-$AN164=1," día"," días")&amp;" de retraso","Cumplida"),IF(N($M164)&gt;=1,"Cumplida",IF(NOT(ISNUMBER($AN164)),"Sin fecha límite",IF($AN164&lt;FechaRef,"Vencida hace "&amp;(FechaRef-$AN164)&amp;IF(FechaRef-$AN164=1," día"," días"),IF($AN164=FechaRef,"Vence hoy",IF($AN164-FechaRef&lt;=DiasAlerta,"Vence en "&amp;($AN164-FechaRef)&amp;IF($AN164-FechaRef=1," día"," días"),"En plazo")))))))</f>
        <v/>
      </c>
      <c r="P164" s="62" t="n"/>
      <c r="Q164" s="58" t="n"/>
      <c r="R164" s="63">
        <f>IF(NOT((COUNTA($B164:$D164)+COUNTA($G164:$L164)+COUNTA($Q164))&gt;0),"",IF((IF($C164="","Falta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",""))="","✔ OK","⚠ "&amp;LEFT(IF($C164="","Falta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",""),LEN(IF($C164="","Falta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",""))-3)))</f>
        <v/>
      </c>
      <c r="S164" s="64">
        <f>IF(NOT((COUNTA($B164:$D164)+COUNTA($G164:$L164)+COUNTA($Q164))&gt;0),"",IF(AND($V164="Sub",N($U164)&gt;0),IF(ISNUMBER(INDEX($AM$5:$AM$1000,$U164-4)),DATE(YEAR(INDEX($AM$5:$AM$1000,$U164-4)),MONTH(INDEX($AM$5:$AM$1000,$U164-4)),1),IF(ISNUMBER(INDEX($AN$5:$AN$1000,$U164-4)),DATE(YEAR(INDEX($AN$5:$AN$1000,$U164-4)),MONTH(INDEX($AN$5:$AN$1000,$U164-4)),1),MesCiclo)),IF(ISNUMBER($AM164),DATE(YEAR($AM164),MONTH($AM164),1),IF(ISNUMBER($AN164),DATE(YEAR($AN164),MONTH($AN164),1),MesCiclo))))</f>
        <v/>
      </c>
      <c r="T164" s="62">
        <f>IF(OR($S164="",$S164&lt;&gt;MesCiclo),"",COUNTIF($S$5:$S164,MesCiclo))</f>
        <v/>
      </c>
      <c r="U164" s="62">
        <f>IF($V164="","",IF($V164="Macro",ROW(),IFERROR(LOOKUP(2,1/($V$5:$V164="Macro"),ROW($V$5:$V164)),0)))</f>
        <v/>
      </c>
      <c r="V164" s="62">
        <f>IF(NOT((COUNTA($B164:$D164)+COUNTA($G164:$L164)+COUNTA($Q164))&gt;0),"",IF($B164="Subactividad","Sub","Macro"))</f>
        <v/>
      </c>
      <c r="W164" s="62">
        <f>IF($V164="Macro",COUNTIFS($U$5:$U$1000,ROW(),$V$5:$V$1000,"Sub"),"")</f>
        <v/>
      </c>
      <c r="X164" s="62">
        <f>IF($V164="","",IF(ISNUMBER($G164),1,IFERROR(LOOKUP(2,1/($I164:$L164&lt;&gt;""),$I164:$L164),0)))</f>
        <v/>
      </c>
      <c r="Y164" s="62">
        <f>IF($V164="","",IF(AND(ISNUMBER($G164),$G164&lt;=IF($S164=MesCiclo,InicioCiclo,$S164+MOD(2-WEEKDAY($S164),7))+6),1,IF(ISNUMBER($I164),$I164,0)))</f>
        <v/>
      </c>
      <c r="Z164" s="62">
        <f>IF($V164="","",IF(AND(ISNUMBER($G164),$G164&lt;=IF($S164=MesCiclo,InicioCiclo,$S164+MOD(2-WEEKDAY($S164),7))+13),1,IF(ISNUMBER($J164),$J164,$Y164)))</f>
        <v/>
      </c>
      <c r="AA164" s="62">
        <f>IF($V164="","",IF(AND(ISNUMBER($G164),$G164&lt;=IF($S164=MesCiclo,InicioCiclo,$S164+MOD(2-WEEKDAY($S164),7))+20),1,IF(ISNUMBER($K164),$K164,$Z164)))</f>
        <v/>
      </c>
      <c r="AB164" s="62">
        <f>IF($V164="","",IF(AND(ISNUMBER($G164),$G164&lt;=IF($S164=MesCiclo,InicioCiclo,$S164+MOD(2-WEEKDAY($S164),7))+27),1,IF(ISNUMBER($L164),$L164,$AA164)))</f>
        <v/>
      </c>
      <c r="AC164" s="62">
        <f>IF($V164="","",IF(AND(ISNUMBER($G164),$G164&lt;=IF($S164=MesCiclo,InicioCiclo,$S164+MOD(2-WEEKDAY($S164),7))+6),1,IF(N($W164)&gt;0,AVERAGEIFS($Y$5:$Y$1000,$U$5:$U$1000,ROW(),$V$5:$V$1000,"Sub"),$Y164)))</f>
        <v/>
      </c>
      <c r="AD164" s="62">
        <f>IF($V164="","",IF(AND(ISNUMBER($G164),$G164&lt;=IF($S164=MesCiclo,InicioCiclo,$S164+MOD(2-WEEKDAY($S164),7))+13),1,IF(N($W164)&gt;0,AVERAGEIFS($Z$5:$Z$1000,$U$5:$U$1000,ROW(),$V$5:$V$1000,"Sub"),$Z164)))</f>
        <v/>
      </c>
      <c r="AE164" s="62">
        <f>IF($V164="","",IF(AND(ISNUMBER($G164),$G164&lt;=IF($S164=MesCiclo,InicioCiclo,$S164+MOD(2-WEEKDAY($S164),7))+20),1,IF(N($W164)&gt;0,AVERAGEIFS($AA$5:$AA$1000,$U$5:$U$1000,ROW(),$V$5:$V$1000,"Sub"),$AA164)))</f>
        <v/>
      </c>
      <c r="AF164" s="62">
        <f>IF($V164="","",IF(AND(ISNUMBER($G164),$G164&lt;=IF($S164=MesCiclo,InicioCiclo,$S164+MOD(2-WEEKDAY($S164),7))+27),1,IF(N($W164)&gt;0,AVERAGEIFS($AB$5:$AB$1000,$U$5:$U$1000,ROW(),$V$5:$V$1000,"Sub"),$AB164)))</f>
        <v/>
      </c>
      <c r="AG164" s="62">
        <f>IF($V164&lt;&gt;"Macro","",IF(COUNTIFS($S$5:$S$1000,$S164,$V$5:$V$1000,"Macro",$H$5:$H$1000,"&gt;0")=0,1/COUNTIFS($S$5:$S$1000,$S164,$V$5:$V$1000,"Macro"),IF(AND(ISNUMBER($H164),N($H164)&gt;0),$H164,SUMIFS($H$5:$H$1000,$S$5:$S$1000,$S164,$V$5:$V$1000,"Macro")/COUNTIFS($S$5:$S$1000,$S164,$V$5:$V$1000,"Macro",$H$5:$H$1000,"&gt;0"))/(COUNTIFS($S$5:$S$1000,$S164,$V$5:$V$1000,"Macro")*SUMIFS($H$5:$H$1000,$S$5:$S$1000,$S164,$V$5:$V$1000,"Macro")/COUNTIFS($S$5:$S$1000,$S164,$V$5:$V$1000,"Macro",$H$5:$H$1000,"&gt;0"))))</f>
        <v/>
      </c>
      <c r="AH164" s="62" t="n"/>
      <c r="AI164" s="62" t="n"/>
      <c r="AJ164" s="62" t="n"/>
      <c r="AK164" s="62" t="n"/>
      <c r="AL164" s="62">
        <f>IF(LEFT($C164,11)="[Jefatura] ",IFERROR(MATCH("Riesgo Financiero|"&amp;MID($C164,12,500),rDname_ADM,0),0),"")</f>
        <v/>
      </c>
      <c r="AM164" s="62">
        <f>IF(N($AL164)&gt;0,INDEX(rIni_ADM,$AL164),IF(ISNUMBER($E164),$E164,""))</f>
        <v/>
      </c>
      <c r="AN164" s="62">
        <f>IF(N($AL164)&gt;0,INDEX(rLim_ADM,$AL164),IF(ISNUMBER($F164),$F164,""))</f>
        <v/>
      </c>
    </row>
    <row r="165">
      <c r="A165" s="56">
        <f>IF(NOT((COUNTA($B165:$D165)+COUNTA($G165:$L165)+COUNTA($Q165))&gt;0),"",IF($V165="Macro",COUNTIFS($V$5:$V165,"Macro",$S$5:$S165,$S165),IF(N($U165)=0,"?",COUNTIFS(INDEX($V$5:$V$1000,1):INDEX($V$5:$V$1000,$U165-4),"Macro",INDEX($S$5:$S$1000,1):INDEX($S$5:$S$1000,$U165-4),INDEX($S$5:$S$1000,$U165-4))&amp;"."&amp;COUNTIFS($U$5:$U165,$U165,$V$5:$V165,"Sub"))))</f>
        <v/>
      </c>
      <c r="B165" s="57" t="n"/>
      <c r="C165" s="58" t="n"/>
      <c r="D165" s="58" t="n"/>
      <c r="E165" s="59">
        <f>IF(N($AL165)&gt;0,INDEX(rIni_ADM,$AL165),"")</f>
        <v/>
      </c>
      <c r="F165" s="59">
        <f>IF(N($AL165)&gt;0,INDEX(rLim_ADM,$AL165),"")</f>
        <v/>
      </c>
      <c r="G165" s="59" t="n"/>
      <c r="H165" s="60" t="n"/>
      <c r="I165" s="60" t="n"/>
      <c r="J165" s="60" t="n"/>
      <c r="K165" s="60" t="n"/>
      <c r="L165" s="60" t="n"/>
      <c r="M165" s="61">
        <f>IF(NOT((COUNTA($B165:$D165)+COUNTA($G165:$L165)+COUNTA($Q165))&gt;0),"",IF(ISNUMBER($G165),1,IF(N($W165)&gt;0,AVERAGEIFS($X$5:$X$1000,$U$5:$U$1000,ROW(),$V$5:$V$1000,"Sub"),$X165)))</f>
        <v/>
      </c>
      <c r="N165" s="56">
        <f>IF($M165="","",IF($M165&gt;=1,"Completado",IF($M165&gt;0,"En curso","Pendiente")))</f>
        <v/>
      </c>
      <c r="O165" s="56">
        <f>IF(NOT((COUNTA($B165:$D165)+COUNTA($G165:$L165)+COUNTA($Q165))&gt;0),"",IF(ISNUMBER($G165),IF(AND(ISNUMBER($AN165),$G165&gt;$AN165),"Cumplida con "&amp;($G165-$AN165)&amp;IF($G165-$AN165=1," día"," días")&amp;" de retraso","Cumplida"),IF(N($M165)&gt;=1,"Cumplida",IF(NOT(ISNUMBER($AN165)),"Sin fecha límite",IF($AN165&lt;FechaRef,"Vencida hace "&amp;(FechaRef-$AN165)&amp;IF(FechaRef-$AN165=1," día"," días"),IF($AN165=FechaRef,"Vence hoy",IF($AN165-FechaRef&lt;=DiasAlerta,"Vence en "&amp;($AN165-FechaRef)&amp;IF($AN165-FechaRef=1," día"," días"),"En plazo")))))))</f>
        <v/>
      </c>
      <c r="P165" s="62" t="n"/>
      <c r="Q165" s="58" t="n"/>
      <c r="R165" s="63">
        <f>IF(NOT((COUNTA($B165:$D165)+COUNTA($G165:$L165)+COUNTA($Q165))&gt;0),"",IF((IF($C165="","Falta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",""))="","✔ OK","⚠ "&amp;LEFT(IF($C165="","Falta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",""),LEN(IF($C165="","Falta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",""))-3)))</f>
        <v/>
      </c>
      <c r="S165" s="64">
        <f>IF(NOT((COUNTA($B165:$D165)+COUNTA($G165:$L165)+COUNTA($Q165))&gt;0),"",IF(AND($V165="Sub",N($U165)&gt;0),IF(ISNUMBER(INDEX($AM$5:$AM$1000,$U165-4)),DATE(YEAR(INDEX($AM$5:$AM$1000,$U165-4)),MONTH(INDEX($AM$5:$AM$1000,$U165-4)),1),IF(ISNUMBER(INDEX($AN$5:$AN$1000,$U165-4)),DATE(YEAR(INDEX($AN$5:$AN$1000,$U165-4)),MONTH(INDEX($AN$5:$AN$1000,$U165-4)),1),MesCiclo)),IF(ISNUMBER($AM165),DATE(YEAR($AM165),MONTH($AM165),1),IF(ISNUMBER($AN165),DATE(YEAR($AN165),MONTH($AN165),1),MesCiclo))))</f>
        <v/>
      </c>
      <c r="T165" s="62">
        <f>IF(OR($S165="",$S165&lt;&gt;MesCiclo),"",COUNTIF($S$5:$S165,MesCiclo))</f>
        <v/>
      </c>
      <c r="U165" s="62">
        <f>IF($V165="","",IF($V165="Macro",ROW(),IFERROR(LOOKUP(2,1/($V$5:$V165="Macro"),ROW($V$5:$V165)),0)))</f>
        <v/>
      </c>
      <c r="V165" s="62">
        <f>IF(NOT((COUNTA($B165:$D165)+COUNTA($G165:$L165)+COUNTA($Q165))&gt;0),"",IF($B165="Subactividad","Sub","Macro"))</f>
        <v/>
      </c>
      <c r="W165" s="62">
        <f>IF($V165="Macro",COUNTIFS($U$5:$U$1000,ROW(),$V$5:$V$1000,"Sub"),"")</f>
        <v/>
      </c>
      <c r="X165" s="62">
        <f>IF($V165="","",IF(ISNUMBER($G165),1,IFERROR(LOOKUP(2,1/($I165:$L165&lt;&gt;""),$I165:$L165),0)))</f>
        <v/>
      </c>
      <c r="Y165" s="62">
        <f>IF($V165="","",IF(AND(ISNUMBER($G165),$G165&lt;=IF($S165=MesCiclo,InicioCiclo,$S165+MOD(2-WEEKDAY($S165),7))+6),1,IF(ISNUMBER($I165),$I165,0)))</f>
        <v/>
      </c>
      <c r="Z165" s="62">
        <f>IF($V165="","",IF(AND(ISNUMBER($G165),$G165&lt;=IF($S165=MesCiclo,InicioCiclo,$S165+MOD(2-WEEKDAY($S165),7))+13),1,IF(ISNUMBER($J165),$J165,$Y165)))</f>
        <v/>
      </c>
      <c r="AA165" s="62">
        <f>IF($V165="","",IF(AND(ISNUMBER($G165),$G165&lt;=IF($S165=MesCiclo,InicioCiclo,$S165+MOD(2-WEEKDAY($S165),7))+20),1,IF(ISNUMBER($K165),$K165,$Z165)))</f>
        <v/>
      </c>
      <c r="AB165" s="62">
        <f>IF($V165="","",IF(AND(ISNUMBER($G165),$G165&lt;=IF($S165=MesCiclo,InicioCiclo,$S165+MOD(2-WEEKDAY($S165),7))+27),1,IF(ISNUMBER($L165),$L165,$AA165)))</f>
        <v/>
      </c>
      <c r="AC165" s="62">
        <f>IF($V165="","",IF(AND(ISNUMBER($G165),$G165&lt;=IF($S165=MesCiclo,InicioCiclo,$S165+MOD(2-WEEKDAY($S165),7))+6),1,IF(N($W165)&gt;0,AVERAGEIFS($Y$5:$Y$1000,$U$5:$U$1000,ROW(),$V$5:$V$1000,"Sub"),$Y165)))</f>
        <v/>
      </c>
      <c r="AD165" s="62">
        <f>IF($V165="","",IF(AND(ISNUMBER($G165),$G165&lt;=IF($S165=MesCiclo,InicioCiclo,$S165+MOD(2-WEEKDAY($S165),7))+13),1,IF(N($W165)&gt;0,AVERAGEIFS($Z$5:$Z$1000,$U$5:$U$1000,ROW(),$V$5:$V$1000,"Sub"),$Z165)))</f>
        <v/>
      </c>
      <c r="AE165" s="62">
        <f>IF($V165="","",IF(AND(ISNUMBER($G165),$G165&lt;=IF($S165=MesCiclo,InicioCiclo,$S165+MOD(2-WEEKDAY($S165),7))+20),1,IF(N($W165)&gt;0,AVERAGEIFS($AA$5:$AA$1000,$U$5:$U$1000,ROW(),$V$5:$V$1000,"Sub"),$AA165)))</f>
        <v/>
      </c>
      <c r="AF165" s="62">
        <f>IF($V165="","",IF(AND(ISNUMBER($G165),$G165&lt;=IF($S165=MesCiclo,InicioCiclo,$S165+MOD(2-WEEKDAY($S165),7))+27),1,IF(N($W165)&gt;0,AVERAGEIFS($AB$5:$AB$1000,$U$5:$U$1000,ROW(),$V$5:$V$1000,"Sub"),$AB165)))</f>
        <v/>
      </c>
      <c r="AG165" s="62">
        <f>IF($V165&lt;&gt;"Macro","",IF(COUNTIFS($S$5:$S$1000,$S165,$V$5:$V$1000,"Macro",$H$5:$H$1000,"&gt;0")=0,1/COUNTIFS($S$5:$S$1000,$S165,$V$5:$V$1000,"Macro"),IF(AND(ISNUMBER($H165),N($H165)&gt;0),$H165,SUMIFS($H$5:$H$1000,$S$5:$S$1000,$S165,$V$5:$V$1000,"Macro")/COUNTIFS($S$5:$S$1000,$S165,$V$5:$V$1000,"Macro",$H$5:$H$1000,"&gt;0"))/(COUNTIFS($S$5:$S$1000,$S165,$V$5:$V$1000,"Macro")*SUMIFS($H$5:$H$1000,$S$5:$S$1000,$S165,$V$5:$V$1000,"Macro")/COUNTIFS($S$5:$S$1000,$S165,$V$5:$V$1000,"Macro",$H$5:$H$1000,"&gt;0"))))</f>
        <v/>
      </c>
      <c r="AH165" s="62" t="n"/>
      <c r="AI165" s="62" t="n"/>
      <c r="AJ165" s="62" t="n"/>
      <c r="AK165" s="62" t="n"/>
      <c r="AL165" s="62">
        <f>IF(LEFT($C165,11)="[Jefatura] ",IFERROR(MATCH("Riesgo Financiero|"&amp;MID($C165,12,500),rDname_ADM,0),0),"")</f>
        <v/>
      </c>
      <c r="AM165" s="62">
        <f>IF(N($AL165)&gt;0,INDEX(rIni_ADM,$AL165),IF(ISNUMBER($E165),$E165,""))</f>
        <v/>
      </c>
      <c r="AN165" s="62">
        <f>IF(N($AL165)&gt;0,INDEX(rLim_ADM,$AL165),IF(ISNUMBER($F165),$F165,""))</f>
        <v/>
      </c>
    </row>
    <row r="166">
      <c r="A166" s="56">
        <f>IF(NOT((COUNTA($B166:$D166)+COUNTA($G166:$L166)+COUNTA($Q166))&gt;0),"",IF($V166="Macro",COUNTIFS($V$5:$V166,"Macro",$S$5:$S166,$S166),IF(N($U166)=0,"?",COUNTIFS(INDEX($V$5:$V$1000,1):INDEX($V$5:$V$1000,$U166-4),"Macro",INDEX($S$5:$S$1000,1):INDEX($S$5:$S$1000,$U166-4),INDEX($S$5:$S$1000,$U166-4))&amp;"."&amp;COUNTIFS($U$5:$U166,$U166,$V$5:$V166,"Sub"))))</f>
        <v/>
      </c>
      <c r="B166" s="57" t="n"/>
      <c r="C166" s="58" t="n"/>
      <c r="D166" s="58" t="n"/>
      <c r="E166" s="59">
        <f>IF(N($AL166)&gt;0,INDEX(rIni_ADM,$AL166),"")</f>
        <v/>
      </c>
      <c r="F166" s="59">
        <f>IF(N($AL166)&gt;0,INDEX(rLim_ADM,$AL166),"")</f>
        <v/>
      </c>
      <c r="G166" s="59" t="n"/>
      <c r="H166" s="60" t="n"/>
      <c r="I166" s="60" t="n"/>
      <c r="J166" s="60" t="n"/>
      <c r="K166" s="60" t="n"/>
      <c r="L166" s="60" t="n"/>
      <c r="M166" s="61">
        <f>IF(NOT((COUNTA($B166:$D166)+COUNTA($G166:$L166)+COUNTA($Q166))&gt;0),"",IF(ISNUMBER($G166),1,IF(N($W166)&gt;0,AVERAGEIFS($X$5:$X$1000,$U$5:$U$1000,ROW(),$V$5:$V$1000,"Sub"),$X166)))</f>
        <v/>
      </c>
      <c r="N166" s="56">
        <f>IF($M166="","",IF($M166&gt;=1,"Completado",IF($M166&gt;0,"En curso","Pendiente")))</f>
        <v/>
      </c>
      <c r="O166" s="56">
        <f>IF(NOT((COUNTA($B166:$D166)+COUNTA($G166:$L166)+COUNTA($Q166))&gt;0),"",IF(ISNUMBER($G166),IF(AND(ISNUMBER($AN166),$G166&gt;$AN166),"Cumplida con "&amp;($G166-$AN166)&amp;IF($G166-$AN166=1," día"," días")&amp;" de retraso","Cumplida"),IF(N($M166)&gt;=1,"Cumplida",IF(NOT(ISNUMBER($AN166)),"Sin fecha límite",IF($AN166&lt;FechaRef,"Vencida hace "&amp;(FechaRef-$AN166)&amp;IF(FechaRef-$AN166=1," día"," días"),IF($AN166=FechaRef,"Vence hoy",IF($AN166-FechaRef&lt;=DiasAlerta,"Vence en "&amp;($AN166-FechaRef)&amp;IF($AN166-FechaRef=1," día"," días"),"En plazo")))))))</f>
        <v/>
      </c>
      <c r="P166" s="62" t="n"/>
      <c r="Q166" s="58" t="n"/>
      <c r="R166" s="63">
        <f>IF(NOT((COUNTA($B166:$D166)+COUNTA($G166:$L166)+COUNTA($Q166))&gt;0),"",IF((IF($C166="","Falta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",""))="","✔ OK","⚠ "&amp;LEFT(IF($C166="","Falta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",""),LEN(IF($C166="","Falta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",""))-3)))</f>
        <v/>
      </c>
      <c r="S166" s="64">
        <f>IF(NOT((COUNTA($B166:$D166)+COUNTA($G166:$L166)+COUNTA($Q166))&gt;0),"",IF(AND($V166="Sub",N($U166)&gt;0),IF(ISNUMBER(INDEX($AM$5:$AM$1000,$U166-4)),DATE(YEAR(INDEX($AM$5:$AM$1000,$U166-4)),MONTH(INDEX($AM$5:$AM$1000,$U166-4)),1),IF(ISNUMBER(INDEX($AN$5:$AN$1000,$U166-4)),DATE(YEAR(INDEX($AN$5:$AN$1000,$U166-4)),MONTH(INDEX($AN$5:$AN$1000,$U166-4)),1),MesCiclo)),IF(ISNUMBER($AM166),DATE(YEAR($AM166),MONTH($AM166),1),IF(ISNUMBER($AN166),DATE(YEAR($AN166),MONTH($AN166),1),MesCiclo))))</f>
        <v/>
      </c>
      <c r="T166" s="62">
        <f>IF(OR($S166="",$S166&lt;&gt;MesCiclo),"",COUNTIF($S$5:$S166,MesCiclo))</f>
        <v/>
      </c>
      <c r="U166" s="62">
        <f>IF($V166="","",IF($V166="Macro",ROW(),IFERROR(LOOKUP(2,1/($V$5:$V166="Macro"),ROW($V$5:$V166)),0)))</f>
        <v/>
      </c>
      <c r="V166" s="62">
        <f>IF(NOT((COUNTA($B166:$D166)+COUNTA($G166:$L166)+COUNTA($Q166))&gt;0),"",IF($B166="Subactividad","Sub","Macro"))</f>
        <v/>
      </c>
      <c r="W166" s="62">
        <f>IF($V166="Macro",COUNTIFS($U$5:$U$1000,ROW(),$V$5:$V$1000,"Sub"),"")</f>
        <v/>
      </c>
      <c r="X166" s="62">
        <f>IF($V166="","",IF(ISNUMBER($G166),1,IFERROR(LOOKUP(2,1/($I166:$L166&lt;&gt;""),$I166:$L166),0)))</f>
        <v/>
      </c>
      <c r="Y166" s="62">
        <f>IF($V166="","",IF(AND(ISNUMBER($G166),$G166&lt;=IF($S166=MesCiclo,InicioCiclo,$S166+MOD(2-WEEKDAY($S166),7))+6),1,IF(ISNUMBER($I166),$I166,0)))</f>
        <v/>
      </c>
      <c r="Z166" s="62">
        <f>IF($V166="","",IF(AND(ISNUMBER($G166),$G166&lt;=IF($S166=MesCiclo,InicioCiclo,$S166+MOD(2-WEEKDAY($S166),7))+13),1,IF(ISNUMBER($J166),$J166,$Y166)))</f>
        <v/>
      </c>
      <c r="AA166" s="62">
        <f>IF($V166="","",IF(AND(ISNUMBER($G166),$G166&lt;=IF($S166=MesCiclo,InicioCiclo,$S166+MOD(2-WEEKDAY($S166),7))+20),1,IF(ISNUMBER($K166),$K166,$Z166)))</f>
        <v/>
      </c>
      <c r="AB166" s="62">
        <f>IF($V166="","",IF(AND(ISNUMBER($G166),$G166&lt;=IF($S166=MesCiclo,InicioCiclo,$S166+MOD(2-WEEKDAY($S166),7))+27),1,IF(ISNUMBER($L166),$L166,$AA166)))</f>
        <v/>
      </c>
      <c r="AC166" s="62">
        <f>IF($V166="","",IF(AND(ISNUMBER($G166),$G166&lt;=IF($S166=MesCiclo,InicioCiclo,$S166+MOD(2-WEEKDAY($S166),7))+6),1,IF(N($W166)&gt;0,AVERAGEIFS($Y$5:$Y$1000,$U$5:$U$1000,ROW(),$V$5:$V$1000,"Sub"),$Y166)))</f>
        <v/>
      </c>
      <c r="AD166" s="62">
        <f>IF($V166="","",IF(AND(ISNUMBER($G166),$G166&lt;=IF($S166=MesCiclo,InicioCiclo,$S166+MOD(2-WEEKDAY($S166),7))+13),1,IF(N($W166)&gt;0,AVERAGEIFS($Z$5:$Z$1000,$U$5:$U$1000,ROW(),$V$5:$V$1000,"Sub"),$Z166)))</f>
        <v/>
      </c>
      <c r="AE166" s="62">
        <f>IF($V166="","",IF(AND(ISNUMBER($G166),$G166&lt;=IF($S166=MesCiclo,InicioCiclo,$S166+MOD(2-WEEKDAY($S166),7))+20),1,IF(N($W166)&gt;0,AVERAGEIFS($AA$5:$AA$1000,$U$5:$U$1000,ROW(),$V$5:$V$1000,"Sub"),$AA166)))</f>
        <v/>
      </c>
      <c r="AF166" s="62">
        <f>IF($V166="","",IF(AND(ISNUMBER($G166),$G166&lt;=IF($S166=MesCiclo,InicioCiclo,$S166+MOD(2-WEEKDAY($S166),7))+27),1,IF(N($W166)&gt;0,AVERAGEIFS($AB$5:$AB$1000,$U$5:$U$1000,ROW(),$V$5:$V$1000,"Sub"),$AB166)))</f>
        <v/>
      </c>
      <c r="AG166" s="62">
        <f>IF($V166&lt;&gt;"Macro","",IF(COUNTIFS($S$5:$S$1000,$S166,$V$5:$V$1000,"Macro",$H$5:$H$1000,"&gt;0")=0,1/COUNTIFS($S$5:$S$1000,$S166,$V$5:$V$1000,"Macro"),IF(AND(ISNUMBER($H166),N($H166)&gt;0),$H166,SUMIFS($H$5:$H$1000,$S$5:$S$1000,$S166,$V$5:$V$1000,"Macro")/COUNTIFS($S$5:$S$1000,$S166,$V$5:$V$1000,"Macro",$H$5:$H$1000,"&gt;0"))/(COUNTIFS($S$5:$S$1000,$S166,$V$5:$V$1000,"Macro")*SUMIFS($H$5:$H$1000,$S$5:$S$1000,$S166,$V$5:$V$1000,"Macro")/COUNTIFS($S$5:$S$1000,$S166,$V$5:$V$1000,"Macro",$H$5:$H$1000,"&gt;0"))))</f>
        <v/>
      </c>
      <c r="AH166" s="62" t="n"/>
      <c r="AI166" s="62" t="n"/>
      <c r="AJ166" s="62" t="n"/>
      <c r="AK166" s="62" t="n"/>
      <c r="AL166" s="62">
        <f>IF(LEFT($C166,11)="[Jefatura] ",IFERROR(MATCH("Riesgo Financiero|"&amp;MID($C166,12,500),rDname_ADM,0),0),"")</f>
        <v/>
      </c>
      <c r="AM166" s="62">
        <f>IF(N($AL166)&gt;0,INDEX(rIni_ADM,$AL166),IF(ISNUMBER($E166),$E166,""))</f>
        <v/>
      </c>
      <c r="AN166" s="62">
        <f>IF(N($AL166)&gt;0,INDEX(rLim_ADM,$AL166),IF(ISNUMBER($F166),$F166,""))</f>
        <v/>
      </c>
    </row>
    <row r="167">
      <c r="A167" s="56">
        <f>IF(NOT((COUNTA($B167:$D167)+COUNTA($G167:$L167)+COUNTA($Q167))&gt;0),"",IF($V167="Macro",COUNTIFS($V$5:$V167,"Macro",$S$5:$S167,$S167),IF(N($U167)=0,"?",COUNTIFS(INDEX($V$5:$V$1000,1):INDEX($V$5:$V$1000,$U167-4),"Macro",INDEX($S$5:$S$1000,1):INDEX($S$5:$S$1000,$U167-4),INDEX($S$5:$S$1000,$U167-4))&amp;"."&amp;COUNTIFS($U$5:$U167,$U167,$V$5:$V167,"Sub"))))</f>
        <v/>
      </c>
      <c r="B167" s="57" t="n"/>
      <c r="C167" s="58" t="n"/>
      <c r="D167" s="58" t="n"/>
      <c r="E167" s="59">
        <f>IF(N($AL167)&gt;0,INDEX(rIni_ADM,$AL167),"")</f>
        <v/>
      </c>
      <c r="F167" s="59">
        <f>IF(N($AL167)&gt;0,INDEX(rLim_ADM,$AL167),"")</f>
        <v/>
      </c>
      <c r="G167" s="59" t="n"/>
      <c r="H167" s="60" t="n"/>
      <c r="I167" s="60" t="n"/>
      <c r="J167" s="60" t="n"/>
      <c r="K167" s="60" t="n"/>
      <c r="L167" s="60" t="n"/>
      <c r="M167" s="61">
        <f>IF(NOT((COUNTA($B167:$D167)+COUNTA($G167:$L167)+COUNTA($Q167))&gt;0),"",IF(ISNUMBER($G167),1,IF(N($W167)&gt;0,AVERAGEIFS($X$5:$X$1000,$U$5:$U$1000,ROW(),$V$5:$V$1000,"Sub"),$X167)))</f>
        <v/>
      </c>
      <c r="N167" s="56">
        <f>IF($M167="","",IF($M167&gt;=1,"Completado",IF($M167&gt;0,"En curso","Pendiente")))</f>
        <v/>
      </c>
      <c r="O167" s="56">
        <f>IF(NOT((COUNTA($B167:$D167)+COUNTA($G167:$L167)+COUNTA($Q167))&gt;0),"",IF(ISNUMBER($G167),IF(AND(ISNUMBER($AN167),$G167&gt;$AN167),"Cumplida con "&amp;($G167-$AN167)&amp;IF($G167-$AN167=1," día"," días")&amp;" de retraso","Cumplida"),IF(N($M167)&gt;=1,"Cumplida",IF(NOT(ISNUMBER($AN167)),"Sin fecha límite",IF($AN167&lt;FechaRef,"Vencida hace "&amp;(FechaRef-$AN167)&amp;IF(FechaRef-$AN167=1," día"," días"),IF($AN167=FechaRef,"Vence hoy",IF($AN167-FechaRef&lt;=DiasAlerta,"Vence en "&amp;($AN167-FechaRef)&amp;IF($AN167-FechaRef=1," día"," días"),"En plazo")))))))</f>
        <v/>
      </c>
      <c r="P167" s="62" t="n"/>
      <c r="Q167" s="58" t="n"/>
      <c r="R167" s="63">
        <f>IF(NOT((COUNTA($B167:$D167)+COUNTA($G167:$L167)+COUNTA($Q167))&gt;0),"",IF((IF($C167="","Falta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",""))="","✔ OK","⚠ "&amp;LEFT(IF($C167="","Falta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",""),LEN(IF($C167="","Falta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",""))-3)))</f>
        <v/>
      </c>
      <c r="S167" s="64">
        <f>IF(NOT((COUNTA($B167:$D167)+COUNTA($G167:$L167)+COUNTA($Q167))&gt;0),"",IF(AND($V167="Sub",N($U167)&gt;0),IF(ISNUMBER(INDEX($AM$5:$AM$1000,$U167-4)),DATE(YEAR(INDEX($AM$5:$AM$1000,$U167-4)),MONTH(INDEX($AM$5:$AM$1000,$U167-4)),1),IF(ISNUMBER(INDEX($AN$5:$AN$1000,$U167-4)),DATE(YEAR(INDEX($AN$5:$AN$1000,$U167-4)),MONTH(INDEX($AN$5:$AN$1000,$U167-4)),1),MesCiclo)),IF(ISNUMBER($AM167),DATE(YEAR($AM167),MONTH($AM167),1),IF(ISNUMBER($AN167),DATE(YEAR($AN167),MONTH($AN167),1),MesCiclo))))</f>
        <v/>
      </c>
      <c r="T167" s="62">
        <f>IF(OR($S167="",$S167&lt;&gt;MesCiclo),"",COUNTIF($S$5:$S167,MesCiclo))</f>
        <v/>
      </c>
      <c r="U167" s="62">
        <f>IF($V167="","",IF($V167="Macro",ROW(),IFERROR(LOOKUP(2,1/($V$5:$V167="Macro"),ROW($V$5:$V167)),0)))</f>
        <v/>
      </c>
      <c r="V167" s="62">
        <f>IF(NOT((COUNTA($B167:$D167)+COUNTA($G167:$L167)+COUNTA($Q167))&gt;0),"",IF($B167="Subactividad","Sub","Macro"))</f>
        <v/>
      </c>
      <c r="W167" s="62">
        <f>IF($V167="Macro",COUNTIFS($U$5:$U$1000,ROW(),$V$5:$V$1000,"Sub"),"")</f>
        <v/>
      </c>
      <c r="X167" s="62">
        <f>IF($V167="","",IF(ISNUMBER($G167),1,IFERROR(LOOKUP(2,1/($I167:$L167&lt;&gt;""),$I167:$L167),0)))</f>
        <v/>
      </c>
      <c r="Y167" s="62">
        <f>IF($V167="","",IF(AND(ISNUMBER($G167),$G167&lt;=IF($S167=MesCiclo,InicioCiclo,$S167+MOD(2-WEEKDAY($S167),7))+6),1,IF(ISNUMBER($I167),$I167,0)))</f>
        <v/>
      </c>
      <c r="Z167" s="62">
        <f>IF($V167="","",IF(AND(ISNUMBER($G167),$G167&lt;=IF($S167=MesCiclo,InicioCiclo,$S167+MOD(2-WEEKDAY($S167),7))+13),1,IF(ISNUMBER($J167),$J167,$Y167)))</f>
        <v/>
      </c>
      <c r="AA167" s="62">
        <f>IF($V167="","",IF(AND(ISNUMBER($G167),$G167&lt;=IF($S167=MesCiclo,InicioCiclo,$S167+MOD(2-WEEKDAY($S167),7))+20),1,IF(ISNUMBER($K167),$K167,$Z167)))</f>
        <v/>
      </c>
      <c r="AB167" s="62">
        <f>IF($V167="","",IF(AND(ISNUMBER($G167),$G167&lt;=IF($S167=MesCiclo,InicioCiclo,$S167+MOD(2-WEEKDAY($S167),7))+27),1,IF(ISNUMBER($L167),$L167,$AA167)))</f>
        <v/>
      </c>
      <c r="AC167" s="62">
        <f>IF($V167="","",IF(AND(ISNUMBER($G167),$G167&lt;=IF($S167=MesCiclo,InicioCiclo,$S167+MOD(2-WEEKDAY($S167),7))+6),1,IF(N($W167)&gt;0,AVERAGEIFS($Y$5:$Y$1000,$U$5:$U$1000,ROW(),$V$5:$V$1000,"Sub"),$Y167)))</f>
        <v/>
      </c>
      <c r="AD167" s="62">
        <f>IF($V167="","",IF(AND(ISNUMBER($G167),$G167&lt;=IF($S167=MesCiclo,InicioCiclo,$S167+MOD(2-WEEKDAY($S167),7))+13),1,IF(N($W167)&gt;0,AVERAGEIFS($Z$5:$Z$1000,$U$5:$U$1000,ROW(),$V$5:$V$1000,"Sub"),$Z167)))</f>
        <v/>
      </c>
      <c r="AE167" s="62">
        <f>IF($V167="","",IF(AND(ISNUMBER($G167),$G167&lt;=IF($S167=MesCiclo,InicioCiclo,$S167+MOD(2-WEEKDAY($S167),7))+20),1,IF(N($W167)&gt;0,AVERAGEIFS($AA$5:$AA$1000,$U$5:$U$1000,ROW(),$V$5:$V$1000,"Sub"),$AA167)))</f>
        <v/>
      </c>
      <c r="AF167" s="62">
        <f>IF($V167="","",IF(AND(ISNUMBER($G167),$G167&lt;=IF($S167=MesCiclo,InicioCiclo,$S167+MOD(2-WEEKDAY($S167),7))+27),1,IF(N($W167)&gt;0,AVERAGEIFS($AB$5:$AB$1000,$U$5:$U$1000,ROW(),$V$5:$V$1000,"Sub"),$AB167)))</f>
        <v/>
      </c>
      <c r="AG167" s="62">
        <f>IF($V167&lt;&gt;"Macro","",IF(COUNTIFS($S$5:$S$1000,$S167,$V$5:$V$1000,"Macro",$H$5:$H$1000,"&gt;0")=0,1/COUNTIFS($S$5:$S$1000,$S167,$V$5:$V$1000,"Macro"),IF(AND(ISNUMBER($H167),N($H167)&gt;0),$H167,SUMIFS($H$5:$H$1000,$S$5:$S$1000,$S167,$V$5:$V$1000,"Macro")/COUNTIFS($S$5:$S$1000,$S167,$V$5:$V$1000,"Macro",$H$5:$H$1000,"&gt;0"))/(COUNTIFS($S$5:$S$1000,$S167,$V$5:$V$1000,"Macro")*SUMIFS($H$5:$H$1000,$S$5:$S$1000,$S167,$V$5:$V$1000,"Macro")/COUNTIFS($S$5:$S$1000,$S167,$V$5:$V$1000,"Macro",$H$5:$H$1000,"&gt;0"))))</f>
        <v/>
      </c>
      <c r="AH167" s="62" t="n"/>
      <c r="AI167" s="62" t="n"/>
      <c r="AJ167" s="62" t="n"/>
      <c r="AK167" s="62" t="n"/>
      <c r="AL167" s="62">
        <f>IF(LEFT($C167,11)="[Jefatura] ",IFERROR(MATCH("Riesgo Financiero|"&amp;MID($C167,12,500),rDname_ADM,0),0),"")</f>
        <v/>
      </c>
      <c r="AM167" s="62">
        <f>IF(N($AL167)&gt;0,INDEX(rIni_ADM,$AL167),IF(ISNUMBER($E167),$E167,""))</f>
        <v/>
      </c>
      <c r="AN167" s="62">
        <f>IF(N($AL167)&gt;0,INDEX(rLim_ADM,$AL167),IF(ISNUMBER($F167),$F167,""))</f>
        <v/>
      </c>
    </row>
    <row r="168">
      <c r="A168" s="56">
        <f>IF(NOT((COUNTA($B168:$D168)+COUNTA($G168:$L168)+COUNTA($Q168))&gt;0),"",IF($V168="Macro",COUNTIFS($V$5:$V168,"Macro",$S$5:$S168,$S168),IF(N($U168)=0,"?",COUNTIFS(INDEX($V$5:$V$1000,1):INDEX($V$5:$V$1000,$U168-4),"Macro",INDEX($S$5:$S$1000,1):INDEX($S$5:$S$1000,$U168-4),INDEX($S$5:$S$1000,$U168-4))&amp;"."&amp;COUNTIFS($U$5:$U168,$U168,$V$5:$V168,"Sub"))))</f>
        <v/>
      </c>
      <c r="B168" s="57" t="n"/>
      <c r="C168" s="58" t="n"/>
      <c r="D168" s="58" t="n"/>
      <c r="E168" s="59">
        <f>IF(N($AL168)&gt;0,INDEX(rIni_ADM,$AL168),"")</f>
        <v/>
      </c>
      <c r="F168" s="59">
        <f>IF(N($AL168)&gt;0,INDEX(rLim_ADM,$AL168),"")</f>
        <v/>
      </c>
      <c r="G168" s="59" t="n"/>
      <c r="H168" s="60" t="n"/>
      <c r="I168" s="60" t="n"/>
      <c r="J168" s="60" t="n"/>
      <c r="K168" s="60" t="n"/>
      <c r="L168" s="60" t="n"/>
      <c r="M168" s="61">
        <f>IF(NOT((COUNTA($B168:$D168)+COUNTA($G168:$L168)+COUNTA($Q168))&gt;0),"",IF(ISNUMBER($G168),1,IF(N($W168)&gt;0,AVERAGEIFS($X$5:$X$1000,$U$5:$U$1000,ROW(),$V$5:$V$1000,"Sub"),$X168)))</f>
        <v/>
      </c>
      <c r="N168" s="56">
        <f>IF($M168="","",IF($M168&gt;=1,"Completado",IF($M168&gt;0,"En curso","Pendiente")))</f>
        <v/>
      </c>
      <c r="O168" s="56">
        <f>IF(NOT((COUNTA($B168:$D168)+COUNTA($G168:$L168)+COUNTA($Q168))&gt;0),"",IF(ISNUMBER($G168),IF(AND(ISNUMBER($AN168),$G168&gt;$AN168),"Cumplida con "&amp;($G168-$AN168)&amp;IF($G168-$AN168=1," día"," días")&amp;" de retraso","Cumplida"),IF(N($M168)&gt;=1,"Cumplida",IF(NOT(ISNUMBER($AN168)),"Sin fecha límite",IF($AN168&lt;FechaRef,"Vencida hace "&amp;(FechaRef-$AN168)&amp;IF(FechaRef-$AN168=1," día"," días"),IF($AN168=FechaRef,"Vence hoy",IF($AN168-FechaRef&lt;=DiasAlerta,"Vence en "&amp;($AN168-FechaRef)&amp;IF($AN168-FechaRef=1," día"," días"),"En plazo")))))))</f>
        <v/>
      </c>
      <c r="P168" s="62" t="n"/>
      <c r="Q168" s="58" t="n"/>
      <c r="R168" s="63">
        <f>IF(NOT((COUNTA($B168:$D168)+COUNTA($G168:$L168)+COUNTA($Q168))&gt;0),"",IF((IF($C168="","Falta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",""))="","✔ OK","⚠ "&amp;LEFT(IF($C168="","Falta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",""),LEN(IF($C168="","Falta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",""))-3)))</f>
        <v/>
      </c>
      <c r="S168" s="64">
        <f>IF(NOT((COUNTA($B168:$D168)+COUNTA($G168:$L168)+COUNTA($Q168))&gt;0),"",IF(AND($V168="Sub",N($U168)&gt;0),IF(ISNUMBER(INDEX($AM$5:$AM$1000,$U168-4)),DATE(YEAR(INDEX($AM$5:$AM$1000,$U168-4)),MONTH(INDEX($AM$5:$AM$1000,$U168-4)),1),IF(ISNUMBER(INDEX($AN$5:$AN$1000,$U168-4)),DATE(YEAR(INDEX($AN$5:$AN$1000,$U168-4)),MONTH(INDEX($AN$5:$AN$1000,$U168-4)),1),MesCiclo)),IF(ISNUMBER($AM168),DATE(YEAR($AM168),MONTH($AM168),1),IF(ISNUMBER($AN168),DATE(YEAR($AN168),MONTH($AN168),1),MesCiclo))))</f>
        <v/>
      </c>
      <c r="T168" s="62">
        <f>IF(OR($S168="",$S168&lt;&gt;MesCiclo),"",COUNTIF($S$5:$S168,MesCiclo))</f>
        <v/>
      </c>
      <c r="U168" s="62">
        <f>IF($V168="","",IF($V168="Macro",ROW(),IFERROR(LOOKUP(2,1/($V$5:$V168="Macro"),ROW($V$5:$V168)),0)))</f>
        <v/>
      </c>
      <c r="V168" s="62">
        <f>IF(NOT((COUNTA($B168:$D168)+COUNTA($G168:$L168)+COUNTA($Q168))&gt;0),"",IF($B168="Subactividad","Sub","Macro"))</f>
        <v/>
      </c>
      <c r="W168" s="62">
        <f>IF($V168="Macro",COUNTIFS($U$5:$U$1000,ROW(),$V$5:$V$1000,"Sub"),"")</f>
        <v/>
      </c>
      <c r="X168" s="62">
        <f>IF($V168="","",IF(ISNUMBER($G168),1,IFERROR(LOOKUP(2,1/($I168:$L168&lt;&gt;""),$I168:$L168),0)))</f>
        <v/>
      </c>
      <c r="Y168" s="62">
        <f>IF($V168="","",IF(AND(ISNUMBER($G168),$G168&lt;=IF($S168=MesCiclo,InicioCiclo,$S168+MOD(2-WEEKDAY($S168),7))+6),1,IF(ISNUMBER($I168),$I168,0)))</f>
        <v/>
      </c>
      <c r="Z168" s="62">
        <f>IF($V168="","",IF(AND(ISNUMBER($G168),$G168&lt;=IF($S168=MesCiclo,InicioCiclo,$S168+MOD(2-WEEKDAY($S168),7))+13),1,IF(ISNUMBER($J168),$J168,$Y168)))</f>
        <v/>
      </c>
      <c r="AA168" s="62">
        <f>IF($V168="","",IF(AND(ISNUMBER($G168),$G168&lt;=IF($S168=MesCiclo,InicioCiclo,$S168+MOD(2-WEEKDAY($S168),7))+20),1,IF(ISNUMBER($K168),$K168,$Z168)))</f>
        <v/>
      </c>
      <c r="AB168" s="62">
        <f>IF($V168="","",IF(AND(ISNUMBER($G168),$G168&lt;=IF($S168=MesCiclo,InicioCiclo,$S168+MOD(2-WEEKDAY($S168),7))+27),1,IF(ISNUMBER($L168),$L168,$AA168)))</f>
        <v/>
      </c>
      <c r="AC168" s="62">
        <f>IF($V168="","",IF(AND(ISNUMBER($G168),$G168&lt;=IF($S168=MesCiclo,InicioCiclo,$S168+MOD(2-WEEKDAY($S168),7))+6),1,IF(N($W168)&gt;0,AVERAGEIFS($Y$5:$Y$1000,$U$5:$U$1000,ROW(),$V$5:$V$1000,"Sub"),$Y168)))</f>
        <v/>
      </c>
      <c r="AD168" s="62">
        <f>IF($V168="","",IF(AND(ISNUMBER($G168),$G168&lt;=IF($S168=MesCiclo,InicioCiclo,$S168+MOD(2-WEEKDAY($S168),7))+13),1,IF(N($W168)&gt;0,AVERAGEIFS($Z$5:$Z$1000,$U$5:$U$1000,ROW(),$V$5:$V$1000,"Sub"),$Z168)))</f>
        <v/>
      </c>
      <c r="AE168" s="62">
        <f>IF($V168="","",IF(AND(ISNUMBER($G168),$G168&lt;=IF($S168=MesCiclo,InicioCiclo,$S168+MOD(2-WEEKDAY($S168),7))+20),1,IF(N($W168)&gt;0,AVERAGEIFS($AA$5:$AA$1000,$U$5:$U$1000,ROW(),$V$5:$V$1000,"Sub"),$AA168)))</f>
        <v/>
      </c>
      <c r="AF168" s="62">
        <f>IF($V168="","",IF(AND(ISNUMBER($G168),$G168&lt;=IF($S168=MesCiclo,InicioCiclo,$S168+MOD(2-WEEKDAY($S168),7))+27),1,IF(N($W168)&gt;0,AVERAGEIFS($AB$5:$AB$1000,$U$5:$U$1000,ROW(),$V$5:$V$1000,"Sub"),$AB168)))</f>
        <v/>
      </c>
      <c r="AG168" s="62">
        <f>IF($V168&lt;&gt;"Macro","",IF(COUNTIFS($S$5:$S$1000,$S168,$V$5:$V$1000,"Macro",$H$5:$H$1000,"&gt;0")=0,1/COUNTIFS($S$5:$S$1000,$S168,$V$5:$V$1000,"Macro"),IF(AND(ISNUMBER($H168),N($H168)&gt;0),$H168,SUMIFS($H$5:$H$1000,$S$5:$S$1000,$S168,$V$5:$V$1000,"Macro")/COUNTIFS($S$5:$S$1000,$S168,$V$5:$V$1000,"Macro",$H$5:$H$1000,"&gt;0"))/(COUNTIFS($S$5:$S$1000,$S168,$V$5:$V$1000,"Macro")*SUMIFS($H$5:$H$1000,$S$5:$S$1000,$S168,$V$5:$V$1000,"Macro")/COUNTIFS($S$5:$S$1000,$S168,$V$5:$V$1000,"Macro",$H$5:$H$1000,"&gt;0"))))</f>
        <v/>
      </c>
      <c r="AH168" s="62" t="n"/>
      <c r="AI168" s="62" t="n"/>
      <c r="AJ168" s="62" t="n"/>
      <c r="AK168" s="62" t="n"/>
      <c r="AL168" s="62">
        <f>IF(LEFT($C168,11)="[Jefatura] ",IFERROR(MATCH("Riesgo Financiero|"&amp;MID($C168,12,500),rDname_ADM,0),0),"")</f>
        <v/>
      </c>
      <c r="AM168" s="62">
        <f>IF(N($AL168)&gt;0,INDEX(rIni_ADM,$AL168),IF(ISNUMBER($E168),$E168,""))</f>
        <v/>
      </c>
      <c r="AN168" s="62">
        <f>IF(N($AL168)&gt;0,INDEX(rLim_ADM,$AL168),IF(ISNUMBER($F168),$F168,""))</f>
        <v/>
      </c>
    </row>
    <row r="169">
      <c r="A169" s="56">
        <f>IF(NOT((COUNTA($B169:$D169)+COUNTA($G169:$L169)+COUNTA($Q169))&gt;0),"",IF($V169="Macro",COUNTIFS($V$5:$V169,"Macro",$S$5:$S169,$S169),IF(N($U169)=0,"?",COUNTIFS(INDEX($V$5:$V$1000,1):INDEX($V$5:$V$1000,$U169-4),"Macro",INDEX($S$5:$S$1000,1):INDEX($S$5:$S$1000,$U169-4),INDEX($S$5:$S$1000,$U169-4))&amp;"."&amp;COUNTIFS($U$5:$U169,$U169,$V$5:$V169,"Sub"))))</f>
        <v/>
      </c>
      <c r="B169" s="57" t="n"/>
      <c r="C169" s="58" t="n"/>
      <c r="D169" s="58" t="n"/>
      <c r="E169" s="59">
        <f>IF(N($AL169)&gt;0,INDEX(rIni_ADM,$AL169),"")</f>
        <v/>
      </c>
      <c r="F169" s="59">
        <f>IF(N($AL169)&gt;0,INDEX(rLim_ADM,$AL169),"")</f>
        <v/>
      </c>
      <c r="G169" s="59" t="n"/>
      <c r="H169" s="60" t="n"/>
      <c r="I169" s="60" t="n"/>
      <c r="J169" s="60" t="n"/>
      <c r="K169" s="60" t="n"/>
      <c r="L169" s="60" t="n"/>
      <c r="M169" s="61">
        <f>IF(NOT((COUNTA($B169:$D169)+COUNTA($G169:$L169)+COUNTA($Q169))&gt;0),"",IF(ISNUMBER($G169),1,IF(N($W169)&gt;0,AVERAGEIFS($X$5:$X$1000,$U$5:$U$1000,ROW(),$V$5:$V$1000,"Sub"),$X169)))</f>
        <v/>
      </c>
      <c r="N169" s="56">
        <f>IF($M169="","",IF($M169&gt;=1,"Completado",IF($M169&gt;0,"En curso","Pendiente")))</f>
        <v/>
      </c>
      <c r="O169" s="56">
        <f>IF(NOT((COUNTA($B169:$D169)+COUNTA($G169:$L169)+COUNTA($Q169))&gt;0),"",IF(ISNUMBER($G169),IF(AND(ISNUMBER($AN169),$G169&gt;$AN169),"Cumplida con "&amp;($G169-$AN169)&amp;IF($G169-$AN169=1," día"," días")&amp;" de retraso","Cumplida"),IF(N($M169)&gt;=1,"Cumplida",IF(NOT(ISNUMBER($AN169)),"Sin fecha límite",IF($AN169&lt;FechaRef,"Vencida hace "&amp;(FechaRef-$AN169)&amp;IF(FechaRef-$AN169=1," día"," días"),IF($AN169=FechaRef,"Vence hoy",IF($AN169-FechaRef&lt;=DiasAlerta,"Vence en "&amp;($AN169-FechaRef)&amp;IF($AN169-FechaRef=1," día"," días"),"En plazo")))))))</f>
        <v/>
      </c>
      <c r="P169" s="62" t="n"/>
      <c r="Q169" s="58" t="n"/>
      <c r="R169" s="63">
        <f>IF(NOT((COUNTA($B169:$D169)+COUNTA($G169:$L169)+COUNTA($Q169))&gt;0),"",IF((IF($C169="","Falta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",""))="","✔ OK","⚠ "&amp;LEFT(IF($C169="","Falta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",""),LEN(IF($C169="","Falta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",""))-3)))</f>
        <v/>
      </c>
      <c r="S169" s="64">
        <f>IF(NOT((COUNTA($B169:$D169)+COUNTA($G169:$L169)+COUNTA($Q169))&gt;0),"",IF(AND($V169="Sub",N($U169)&gt;0),IF(ISNUMBER(INDEX($AM$5:$AM$1000,$U169-4)),DATE(YEAR(INDEX($AM$5:$AM$1000,$U169-4)),MONTH(INDEX($AM$5:$AM$1000,$U169-4)),1),IF(ISNUMBER(INDEX($AN$5:$AN$1000,$U169-4)),DATE(YEAR(INDEX($AN$5:$AN$1000,$U169-4)),MONTH(INDEX($AN$5:$AN$1000,$U169-4)),1),MesCiclo)),IF(ISNUMBER($AM169),DATE(YEAR($AM169),MONTH($AM169),1),IF(ISNUMBER($AN169),DATE(YEAR($AN169),MONTH($AN169),1),MesCiclo))))</f>
        <v/>
      </c>
      <c r="T169" s="62">
        <f>IF(OR($S169="",$S169&lt;&gt;MesCiclo),"",COUNTIF($S$5:$S169,MesCiclo))</f>
        <v/>
      </c>
      <c r="U169" s="62">
        <f>IF($V169="","",IF($V169="Macro",ROW(),IFERROR(LOOKUP(2,1/($V$5:$V169="Macro"),ROW($V$5:$V169)),0)))</f>
        <v/>
      </c>
      <c r="V169" s="62">
        <f>IF(NOT((COUNTA($B169:$D169)+COUNTA($G169:$L169)+COUNTA($Q169))&gt;0),"",IF($B169="Subactividad","Sub","Macro"))</f>
        <v/>
      </c>
      <c r="W169" s="62">
        <f>IF($V169="Macro",COUNTIFS($U$5:$U$1000,ROW(),$V$5:$V$1000,"Sub"),"")</f>
        <v/>
      </c>
      <c r="X169" s="62">
        <f>IF($V169="","",IF(ISNUMBER($G169),1,IFERROR(LOOKUP(2,1/($I169:$L169&lt;&gt;""),$I169:$L169),0)))</f>
        <v/>
      </c>
      <c r="Y169" s="62">
        <f>IF($V169="","",IF(AND(ISNUMBER($G169),$G169&lt;=IF($S169=MesCiclo,InicioCiclo,$S169+MOD(2-WEEKDAY($S169),7))+6),1,IF(ISNUMBER($I169),$I169,0)))</f>
        <v/>
      </c>
      <c r="Z169" s="62">
        <f>IF($V169="","",IF(AND(ISNUMBER($G169),$G169&lt;=IF($S169=MesCiclo,InicioCiclo,$S169+MOD(2-WEEKDAY($S169),7))+13),1,IF(ISNUMBER($J169),$J169,$Y169)))</f>
        <v/>
      </c>
      <c r="AA169" s="62">
        <f>IF($V169="","",IF(AND(ISNUMBER($G169),$G169&lt;=IF($S169=MesCiclo,InicioCiclo,$S169+MOD(2-WEEKDAY($S169),7))+20),1,IF(ISNUMBER($K169),$K169,$Z169)))</f>
        <v/>
      </c>
      <c r="AB169" s="62">
        <f>IF($V169="","",IF(AND(ISNUMBER($G169),$G169&lt;=IF($S169=MesCiclo,InicioCiclo,$S169+MOD(2-WEEKDAY($S169),7))+27),1,IF(ISNUMBER($L169),$L169,$AA169)))</f>
        <v/>
      </c>
      <c r="AC169" s="62">
        <f>IF($V169="","",IF(AND(ISNUMBER($G169),$G169&lt;=IF($S169=MesCiclo,InicioCiclo,$S169+MOD(2-WEEKDAY($S169),7))+6),1,IF(N($W169)&gt;0,AVERAGEIFS($Y$5:$Y$1000,$U$5:$U$1000,ROW(),$V$5:$V$1000,"Sub"),$Y169)))</f>
        <v/>
      </c>
      <c r="AD169" s="62">
        <f>IF($V169="","",IF(AND(ISNUMBER($G169),$G169&lt;=IF($S169=MesCiclo,InicioCiclo,$S169+MOD(2-WEEKDAY($S169),7))+13),1,IF(N($W169)&gt;0,AVERAGEIFS($Z$5:$Z$1000,$U$5:$U$1000,ROW(),$V$5:$V$1000,"Sub"),$Z169)))</f>
        <v/>
      </c>
      <c r="AE169" s="62">
        <f>IF($V169="","",IF(AND(ISNUMBER($G169),$G169&lt;=IF($S169=MesCiclo,InicioCiclo,$S169+MOD(2-WEEKDAY($S169),7))+20),1,IF(N($W169)&gt;0,AVERAGEIFS($AA$5:$AA$1000,$U$5:$U$1000,ROW(),$V$5:$V$1000,"Sub"),$AA169)))</f>
        <v/>
      </c>
      <c r="AF169" s="62">
        <f>IF($V169="","",IF(AND(ISNUMBER($G169),$G169&lt;=IF($S169=MesCiclo,InicioCiclo,$S169+MOD(2-WEEKDAY($S169),7))+27),1,IF(N($W169)&gt;0,AVERAGEIFS($AB$5:$AB$1000,$U$5:$U$1000,ROW(),$V$5:$V$1000,"Sub"),$AB169)))</f>
        <v/>
      </c>
      <c r="AG169" s="62">
        <f>IF($V169&lt;&gt;"Macro","",IF(COUNTIFS($S$5:$S$1000,$S169,$V$5:$V$1000,"Macro",$H$5:$H$1000,"&gt;0")=0,1/COUNTIFS($S$5:$S$1000,$S169,$V$5:$V$1000,"Macro"),IF(AND(ISNUMBER($H169),N($H169)&gt;0),$H169,SUMIFS($H$5:$H$1000,$S$5:$S$1000,$S169,$V$5:$V$1000,"Macro")/COUNTIFS($S$5:$S$1000,$S169,$V$5:$V$1000,"Macro",$H$5:$H$1000,"&gt;0"))/(COUNTIFS($S$5:$S$1000,$S169,$V$5:$V$1000,"Macro")*SUMIFS($H$5:$H$1000,$S$5:$S$1000,$S169,$V$5:$V$1000,"Macro")/COUNTIFS($S$5:$S$1000,$S169,$V$5:$V$1000,"Macro",$H$5:$H$1000,"&gt;0"))))</f>
        <v/>
      </c>
      <c r="AH169" s="62" t="n"/>
      <c r="AI169" s="62" t="n"/>
      <c r="AJ169" s="62" t="n"/>
      <c r="AK169" s="62" t="n"/>
      <c r="AL169" s="62">
        <f>IF(LEFT($C169,11)="[Jefatura] ",IFERROR(MATCH("Riesgo Financiero|"&amp;MID($C169,12,500),rDname_ADM,0),0),"")</f>
        <v/>
      </c>
      <c r="AM169" s="62">
        <f>IF(N($AL169)&gt;0,INDEX(rIni_ADM,$AL169),IF(ISNUMBER($E169),$E169,""))</f>
        <v/>
      </c>
      <c r="AN169" s="62">
        <f>IF(N($AL169)&gt;0,INDEX(rLim_ADM,$AL169),IF(ISNUMBER($F169),$F169,""))</f>
        <v/>
      </c>
    </row>
    <row r="170">
      <c r="A170" s="56">
        <f>IF(NOT((COUNTA($B170:$D170)+COUNTA($G170:$L170)+COUNTA($Q170))&gt;0),"",IF($V170="Macro",COUNTIFS($V$5:$V170,"Macro",$S$5:$S170,$S170),IF(N($U170)=0,"?",COUNTIFS(INDEX($V$5:$V$1000,1):INDEX($V$5:$V$1000,$U170-4),"Macro",INDEX($S$5:$S$1000,1):INDEX($S$5:$S$1000,$U170-4),INDEX($S$5:$S$1000,$U170-4))&amp;"."&amp;COUNTIFS($U$5:$U170,$U170,$V$5:$V170,"Sub"))))</f>
        <v/>
      </c>
      <c r="B170" s="57" t="n"/>
      <c r="C170" s="58" t="n"/>
      <c r="D170" s="58" t="n"/>
      <c r="E170" s="59">
        <f>IF(N($AL170)&gt;0,INDEX(rIni_ADM,$AL170),"")</f>
        <v/>
      </c>
      <c r="F170" s="59">
        <f>IF(N($AL170)&gt;0,INDEX(rLim_ADM,$AL170),"")</f>
        <v/>
      </c>
      <c r="G170" s="59" t="n"/>
      <c r="H170" s="60" t="n"/>
      <c r="I170" s="60" t="n"/>
      <c r="J170" s="60" t="n"/>
      <c r="K170" s="60" t="n"/>
      <c r="L170" s="60" t="n"/>
      <c r="M170" s="61">
        <f>IF(NOT((COUNTA($B170:$D170)+COUNTA($G170:$L170)+COUNTA($Q170))&gt;0),"",IF(ISNUMBER($G170),1,IF(N($W170)&gt;0,AVERAGEIFS($X$5:$X$1000,$U$5:$U$1000,ROW(),$V$5:$V$1000,"Sub"),$X170)))</f>
        <v/>
      </c>
      <c r="N170" s="56">
        <f>IF($M170="","",IF($M170&gt;=1,"Completado",IF($M170&gt;0,"En curso","Pendiente")))</f>
        <v/>
      </c>
      <c r="O170" s="56">
        <f>IF(NOT((COUNTA($B170:$D170)+COUNTA($G170:$L170)+COUNTA($Q170))&gt;0),"",IF(ISNUMBER($G170),IF(AND(ISNUMBER($AN170),$G170&gt;$AN170),"Cumplida con "&amp;($G170-$AN170)&amp;IF($G170-$AN170=1," día"," días")&amp;" de retraso","Cumplida"),IF(N($M170)&gt;=1,"Cumplida",IF(NOT(ISNUMBER($AN170)),"Sin fecha límite",IF($AN170&lt;FechaRef,"Vencida hace "&amp;(FechaRef-$AN170)&amp;IF(FechaRef-$AN170=1," día"," días"),IF($AN170=FechaRef,"Vence hoy",IF($AN170-FechaRef&lt;=DiasAlerta,"Vence en "&amp;($AN170-FechaRef)&amp;IF($AN170-FechaRef=1," día"," días"),"En plazo")))))))</f>
        <v/>
      </c>
      <c r="P170" s="62" t="n"/>
      <c r="Q170" s="58" t="n"/>
      <c r="R170" s="63">
        <f>IF(NOT((COUNTA($B170:$D170)+COUNTA($G170:$L170)+COUNTA($Q170))&gt;0),"",IF((IF($C170="","Falta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",""))="","✔ OK","⚠ "&amp;LEFT(IF($C170="","Falta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",""),LEN(IF($C170="","Falta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",""))-3)))</f>
        <v/>
      </c>
      <c r="S170" s="64">
        <f>IF(NOT((COUNTA($B170:$D170)+COUNTA($G170:$L170)+COUNTA($Q170))&gt;0),"",IF(AND($V170="Sub",N($U170)&gt;0),IF(ISNUMBER(INDEX($AM$5:$AM$1000,$U170-4)),DATE(YEAR(INDEX($AM$5:$AM$1000,$U170-4)),MONTH(INDEX($AM$5:$AM$1000,$U170-4)),1),IF(ISNUMBER(INDEX($AN$5:$AN$1000,$U170-4)),DATE(YEAR(INDEX($AN$5:$AN$1000,$U170-4)),MONTH(INDEX($AN$5:$AN$1000,$U170-4)),1),MesCiclo)),IF(ISNUMBER($AM170),DATE(YEAR($AM170),MONTH($AM170),1),IF(ISNUMBER($AN170),DATE(YEAR($AN170),MONTH($AN170),1),MesCiclo))))</f>
        <v/>
      </c>
      <c r="T170" s="62">
        <f>IF(OR($S170="",$S170&lt;&gt;MesCiclo),"",COUNTIF($S$5:$S170,MesCiclo))</f>
        <v/>
      </c>
      <c r="U170" s="62">
        <f>IF($V170="","",IF($V170="Macro",ROW(),IFERROR(LOOKUP(2,1/($V$5:$V170="Macro"),ROW($V$5:$V170)),0)))</f>
        <v/>
      </c>
      <c r="V170" s="62">
        <f>IF(NOT((COUNTA($B170:$D170)+COUNTA($G170:$L170)+COUNTA($Q170))&gt;0),"",IF($B170="Subactividad","Sub","Macro"))</f>
        <v/>
      </c>
      <c r="W170" s="62">
        <f>IF($V170="Macro",COUNTIFS($U$5:$U$1000,ROW(),$V$5:$V$1000,"Sub"),"")</f>
        <v/>
      </c>
      <c r="X170" s="62">
        <f>IF($V170="","",IF(ISNUMBER($G170),1,IFERROR(LOOKUP(2,1/($I170:$L170&lt;&gt;""),$I170:$L170),0)))</f>
        <v/>
      </c>
      <c r="Y170" s="62">
        <f>IF($V170="","",IF(AND(ISNUMBER($G170),$G170&lt;=IF($S170=MesCiclo,InicioCiclo,$S170+MOD(2-WEEKDAY($S170),7))+6),1,IF(ISNUMBER($I170),$I170,0)))</f>
        <v/>
      </c>
      <c r="Z170" s="62">
        <f>IF($V170="","",IF(AND(ISNUMBER($G170),$G170&lt;=IF($S170=MesCiclo,InicioCiclo,$S170+MOD(2-WEEKDAY($S170),7))+13),1,IF(ISNUMBER($J170),$J170,$Y170)))</f>
        <v/>
      </c>
      <c r="AA170" s="62">
        <f>IF($V170="","",IF(AND(ISNUMBER($G170),$G170&lt;=IF($S170=MesCiclo,InicioCiclo,$S170+MOD(2-WEEKDAY($S170),7))+20),1,IF(ISNUMBER($K170),$K170,$Z170)))</f>
        <v/>
      </c>
      <c r="AB170" s="62">
        <f>IF($V170="","",IF(AND(ISNUMBER($G170),$G170&lt;=IF($S170=MesCiclo,InicioCiclo,$S170+MOD(2-WEEKDAY($S170),7))+27),1,IF(ISNUMBER($L170),$L170,$AA170)))</f>
        <v/>
      </c>
      <c r="AC170" s="62">
        <f>IF($V170="","",IF(AND(ISNUMBER($G170),$G170&lt;=IF($S170=MesCiclo,InicioCiclo,$S170+MOD(2-WEEKDAY($S170),7))+6),1,IF(N($W170)&gt;0,AVERAGEIFS($Y$5:$Y$1000,$U$5:$U$1000,ROW(),$V$5:$V$1000,"Sub"),$Y170)))</f>
        <v/>
      </c>
      <c r="AD170" s="62">
        <f>IF($V170="","",IF(AND(ISNUMBER($G170),$G170&lt;=IF($S170=MesCiclo,InicioCiclo,$S170+MOD(2-WEEKDAY($S170),7))+13),1,IF(N($W170)&gt;0,AVERAGEIFS($Z$5:$Z$1000,$U$5:$U$1000,ROW(),$V$5:$V$1000,"Sub"),$Z170)))</f>
        <v/>
      </c>
      <c r="AE170" s="62">
        <f>IF($V170="","",IF(AND(ISNUMBER($G170),$G170&lt;=IF($S170=MesCiclo,InicioCiclo,$S170+MOD(2-WEEKDAY($S170),7))+20),1,IF(N($W170)&gt;0,AVERAGEIFS($AA$5:$AA$1000,$U$5:$U$1000,ROW(),$V$5:$V$1000,"Sub"),$AA170)))</f>
        <v/>
      </c>
      <c r="AF170" s="62">
        <f>IF($V170="","",IF(AND(ISNUMBER($G170),$G170&lt;=IF($S170=MesCiclo,InicioCiclo,$S170+MOD(2-WEEKDAY($S170),7))+27),1,IF(N($W170)&gt;0,AVERAGEIFS($AB$5:$AB$1000,$U$5:$U$1000,ROW(),$V$5:$V$1000,"Sub"),$AB170)))</f>
        <v/>
      </c>
      <c r="AG170" s="62">
        <f>IF($V170&lt;&gt;"Macro","",IF(COUNTIFS($S$5:$S$1000,$S170,$V$5:$V$1000,"Macro",$H$5:$H$1000,"&gt;0")=0,1/COUNTIFS($S$5:$S$1000,$S170,$V$5:$V$1000,"Macro"),IF(AND(ISNUMBER($H170),N($H170)&gt;0),$H170,SUMIFS($H$5:$H$1000,$S$5:$S$1000,$S170,$V$5:$V$1000,"Macro")/COUNTIFS($S$5:$S$1000,$S170,$V$5:$V$1000,"Macro",$H$5:$H$1000,"&gt;0"))/(COUNTIFS($S$5:$S$1000,$S170,$V$5:$V$1000,"Macro")*SUMIFS($H$5:$H$1000,$S$5:$S$1000,$S170,$V$5:$V$1000,"Macro")/COUNTIFS($S$5:$S$1000,$S170,$V$5:$V$1000,"Macro",$H$5:$H$1000,"&gt;0"))))</f>
        <v/>
      </c>
      <c r="AH170" s="62" t="n"/>
      <c r="AI170" s="62" t="n"/>
      <c r="AJ170" s="62" t="n"/>
      <c r="AK170" s="62" t="n"/>
      <c r="AL170" s="62">
        <f>IF(LEFT($C170,11)="[Jefatura] ",IFERROR(MATCH("Riesgo Financiero|"&amp;MID($C170,12,500),rDname_ADM,0),0),"")</f>
        <v/>
      </c>
      <c r="AM170" s="62">
        <f>IF(N($AL170)&gt;0,INDEX(rIni_ADM,$AL170),IF(ISNUMBER($E170),$E170,""))</f>
        <v/>
      </c>
      <c r="AN170" s="62">
        <f>IF(N($AL170)&gt;0,INDEX(rLim_ADM,$AL170),IF(ISNUMBER($F170),$F170,""))</f>
        <v/>
      </c>
    </row>
    <row r="171">
      <c r="A171" s="56">
        <f>IF(NOT((COUNTA($B171:$D171)+COUNTA($G171:$L171)+COUNTA($Q171))&gt;0),"",IF($V171="Macro",COUNTIFS($V$5:$V171,"Macro",$S$5:$S171,$S171),IF(N($U171)=0,"?",COUNTIFS(INDEX($V$5:$V$1000,1):INDEX($V$5:$V$1000,$U171-4),"Macro",INDEX($S$5:$S$1000,1):INDEX($S$5:$S$1000,$U171-4),INDEX($S$5:$S$1000,$U171-4))&amp;"."&amp;COUNTIFS($U$5:$U171,$U171,$V$5:$V171,"Sub"))))</f>
        <v/>
      </c>
      <c r="B171" s="57" t="n"/>
      <c r="C171" s="58" t="n"/>
      <c r="D171" s="58" t="n"/>
      <c r="E171" s="59">
        <f>IF(N($AL171)&gt;0,INDEX(rIni_ADM,$AL171),"")</f>
        <v/>
      </c>
      <c r="F171" s="59">
        <f>IF(N($AL171)&gt;0,INDEX(rLim_ADM,$AL171),"")</f>
        <v/>
      </c>
      <c r="G171" s="59" t="n"/>
      <c r="H171" s="60" t="n"/>
      <c r="I171" s="60" t="n"/>
      <c r="J171" s="60" t="n"/>
      <c r="K171" s="60" t="n"/>
      <c r="L171" s="60" t="n"/>
      <c r="M171" s="61">
        <f>IF(NOT((COUNTA($B171:$D171)+COUNTA($G171:$L171)+COUNTA($Q171))&gt;0),"",IF(ISNUMBER($G171),1,IF(N($W171)&gt;0,AVERAGEIFS($X$5:$X$1000,$U$5:$U$1000,ROW(),$V$5:$V$1000,"Sub"),$X171)))</f>
        <v/>
      </c>
      <c r="N171" s="56">
        <f>IF($M171="","",IF($M171&gt;=1,"Completado",IF($M171&gt;0,"En curso","Pendiente")))</f>
        <v/>
      </c>
      <c r="O171" s="56">
        <f>IF(NOT((COUNTA($B171:$D171)+COUNTA($G171:$L171)+COUNTA($Q171))&gt;0),"",IF(ISNUMBER($G171),IF(AND(ISNUMBER($AN171),$G171&gt;$AN171),"Cumplida con "&amp;($G171-$AN171)&amp;IF($G171-$AN171=1," día"," días")&amp;" de retraso","Cumplida"),IF(N($M171)&gt;=1,"Cumplida",IF(NOT(ISNUMBER($AN171)),"Sin fecha límite",IF($AN171&lt;FechaRef,"Vencida hace "&amp;(FechaRef-$AN171)&amp;IF(FechaRef-$AN171=1," día"," días"),IF($AN171=FechaRef,"Vence hoy",IF($AN171-FechaRef&lt;=DiasAlerta,"Vence en "&amp;($AN171-FechaRef)&amp;IF($AN171-FechaRef=1," día"," días"),"En plazo")))))))</f>
        <v/>
      </c>
      <c r="P171" s="62" t="n"/>
      <c r="Q171" s="58" t="n"/>
      <c r="R171" s="63">
        <f>IF(NOT((COUNTA($B171:$D171)+COUNTA($G171:$L171)+COUNTA($Q171))&gt;0),"",IF((IF($C171="","Falta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",""))="","✔ OK","⚠ "&amp;LEFT(IF($C171="","Falta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",""),LEN(IF($C171="","Falta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",""))-3)))</f>
        <v/>
      </c>
      <c r="S171" s="64">
        <f>IF(NOT((COUNTA($B171:$D171)+COUNTA($G171:$L171)+COUNTA($Q171))&gt;0),"",IF(AND($V171="Sub",N($U171)&gt;0),IF(ISNUMBER(INDEX($AM$5:$AM$1000,$U171-4)),DATE(YEAR(INDEX($AM$5:$AM$1000,$U171-4)),MONTH(INDEX($AM$5:$AM$1000,$U171-4)),1),IF(ISNUMBER(INDEX($AN$5:$AN$1000,$U171-4)),DATE(YEAR(INDEX($AN$5:$AN$1000,$U171-4)),MONTH(INDEX($AN$5:$AN$1000,$U171-4)),1),MesCiclo)),IF(ISNUMBER($AM171),DATE(YEAR($AM171),MONTH($AM171),1),IF(ISNUMBER($AN171),DATE(YEAR($AN171),MONTH($AN171),1),MesCiclo))))</f>
        <v/>
      </c>
      <c r="T171" s="62">
        <f>IF(OR($S171="",$S171&lt;&gt;MesCiclo),"",COUNTIF($S$5:$S171,MesCiclo))</f>
        <v/>
      </c>
      <c r="U171" s="62">
        <f>IF($V171="","",IF($V171="Macro",ROW(),IFERROR(LOOKUP(2,1/($V$5:$V171="Macro"),ROW($V$5:$V171)),0)))</f>
        <v/>
      </c>
      <c r="V171" s="62">
        <f>IF(NOT((COUNTA($B171:$D171)+COUNTA($G171:$L171)+COUNTA($Q171))&gt;0),"",IF($B171="Subactividad","Sub","Macro"))</f>
        <v/>
      </c>
      <c r="W171" s="62">
        <f>IF($V171="Macro",COUNTIFS($U$5:$U$1000,ROW(),$V$5:$V$1000,"Sub"),"")</f>
        <v/>
      </c>
      <c r="X171" s="62">
        <f>IF($V171="","",IF(ISNUMBER($G171),1,IFERROR(LOOKUP(2,1/($I171:$L171&lt;&gt;""),$I171:$L171),0)))</f>
        <v/>
      </c>
      <c r="Y171" s="62">
        <f>IF($V171="","",IF(AND(ISNUMBER($G171),$G171&lt;=IF($S171=MesCiclo,InicioCiclo,$S171+MOD(2-WEEKDAY($S171),7))+6),1,IF(ISNUMBER($I171),$I171,0)))</f>
        <v/>
      </c>
      <c r="Z171" s="62">
        <f>IF($V171="","",IF(AND(ISNUMBER($G171),$G171&lt;=IF($S171=MesCiclo,InicioCiclo,$S171+MOD(2-WEEKDAY($S171),7))+13),1,IF(ISNUMBER($J171),$J171,$Y171)))</f>
        <v/>
      </c>
      <c r="AA171" s="62">
        <f>IF($V171="","",IF(AND(ISNUMBER($G171),$G171&lt;=IF($S171=MesCiclo,InicioCiclo,$S171+MOD(2-WEEKDAY($S171),7))+20),1,IF(ISNUMBER($K171),$K171,$Z171)))</f>
        <v/>
      </c>
      <c r="AB171" s="62">
        <f>IF($V171="","",IF(AND(ISNUMBER($G171),$G171&lt;=IF($S171=MesCiclo,InicioCiclo,$S171+MOD(2-WEEKDAY($S171),7))+27),1,IF(ISNUMBER($L171),$L171,$AA171)))</f>
        <v/>
      </c>
      <c r="AC171" s="62">
        <f>IF($V171="","",IF(AND(ISNUMBER($G171),$G171&lt;=IF($S171=MesCiclo,InicioCiclo,$S171+MOD(2-WEEKDAY($S171),7))+6),1,IF(N($W171)&gt;0,AVERAGEIFS($Y$5:$Y$1000,$U$5:$U$1000,ROW(),$V$5:$V$1000,"Sub"),$Y171)))</f>
        <v/>
      </c>
      <c r="AD171" s="62">
        <f>IF($V171="","",IF(AND(ISNUMBER($G171),$G171&lt;=IF($S171=MesCiclo,InicioCiclo,$S171+MOD(2-WEEKDAY($S171),7))+13),1,IF(N($W171)&gt;0,AVERAGEIFS($Z$5:$Z$1000,$U$5:$U$1000,ROW(),$V$5:$V$1000,"Sub"),$Z171)))</f>
        <v/>
      </c>
      <c r="AE171" s="62">
        <f>IF($V171="","",IF(AND(ISNUMBER($G171),$G171&lt;=IF($S171=MesCiclo,InicioCiclo,$S171+MOD(2-WEEKDAY($S171),7))+20),1,IF(N($W171)&gt;0,AVERAGEIFS($AA$5:$AA$1000,$U$5:$U$1000,ROW(),$V$5:$V$1000,"Sub"),$AA171)))</f>
        <v/>
      </c>
      <c r="AF171" s="62">
        <f>IF($V171="","",IF(AND(ISNUMBER($G171),$G171&lt;=IF($S171=MesCiclo,InicioCiclo,$S171+MOD(2-WEEKDAY($S171),7))+27),1,IF(N($W171)&gt;0,AVERAGEIFS($AB$5:$AB$1000,$U$5:$U$1000,ROW(),$V$5:$V$1000,"Sub"),$AB171)))</f>
        <v/>
      </c>
      <c r="AG171" s="62">
        <f>IF($V171&lt;&gt;"Macro","",IF(COUNTIFS($S$5:$S$1000,$S171,$V$5:$V$1000,"Macro",$H$5:$H$1000,"&gt;0")=0,1/COUNTIFS($S$5:$S$1000,$S171,$V$5:$V$1000,"Macro"),IF(AND(ISNUMBER($H171),N($H171)&gt;0),$H171,SUMIFS($H$5:$H$1000,$S$5:$S$1000,$S171,$V$5:$V$1000,"Macro")/COUNTIFS($S$5:$S$1000,$S171,$V$5:$V$1000,"Macro",$H$5:$H$1000,"&gt;0"))/(COUNTIFS($S$5:$S$1000,$S171,$V$5:$V$1000,"Macro")*SUMIFS($H$5:$H$1000,$S$5:$S$1000,$S171,$V$5:$V$1000,"Macro")/COUNTIFS($S$5:$S$1000,$S171,$V$5:$V$1000,"Macro",$H$5:$H$1000,"&gt;0"))))</f>
        <v/>
      </c>
      <c r="AH171" s="62" t="n"/>
      <c r="AI171" s="62" t="n"/>
      <c r="AJ171" s="62" t="n"/>
      <c r="AK171" s="62" t="n"/>
      <c r="AL171" s="62">
        <f>IF(LEFT($C171,11)="[Jefatura] ",IFERROR(MATCH("Riesgo Financiero|"&amp;MID($C171,12,500),rDname_ADM,0),0),"")</f>
        <v/>
      </c>
      <c r="AM171" s="62">
        <f>IF(N($AL171)&gt;0,INDEX(rIni_ADM,$AL171),IF(ISNUMBER($E171),$E171,""))</f>
        <v/>
      </c>
      <c r="AN171" s="62">
        <f>IF(N($AL171)&gt;0,INDEX(rLim_ADM,$AL171),IF(ISNUMBER($F171),$F171,""))</f>
        <v/>
      </c>
    </row>
    <row r="172">
      <c r="A172" s="56">
        <f>IF(NOT((COUNTA($B172:$D172)+COUNTA($G172:$L172)+COUNTA($Q172))&gt;0),"",IF($V172="Macro",COUNTIFS($V$5:$V172,"Macro",$S$5:$S172,$S172),IF(N($U172)=0,"?",COUNTIFS(INDEX($V$5:$V$1000,1):INDEX($V$5:$V$1000,$U172-4),"Macro",INDEX($S$5:$S$1000,1):INDEX($S$5:$S$1000,$U172-4),INDEX($S$5:$S$1000,$U172-4))&amp;"."&amp;COUNTIFS($U$5:$U172,$U172,$V$5:$V172,"Sub"))))</f>
        <v/>
      </c>
      <c r="B172" s="57" t="n"/>
      <c r="C172" s="58" t="n"/>
      <c r="D172" s="58" t="n"/>
      <c r="E172" s="59">
        <f>IF(N($AL172)&gt;0,INDEX(rIni_ADM,$AL172),"")</f>
        <v/>
      </c>
      <c r="F172" s="59">
        <f>IF(N($AL172)&gt;0,INDEX(rLim_ADM,$AL172),"")</f>
        <v/>
      </c>
      <c r="G172" s="59" t="n"/>
      <c r="H172" s="60" t="n"/>
      <c r="I172" s="60" t="n"/>
      <c r="J172" s="60" t="n"/>
      <c r="K172" s="60" t="n"/>
      <c r="L172" s="60" t="n"/>
      <c r="M172" s="61">
        <f>IF(NOT((COUNTA($B172:$D172)+COUNTA($G172:$L172)+COUNTA($Q172))&gt;0),"",IF(ISNUMBER($G172),1,IF(N($W172)&gt;0,AVERAGEIFS($X$5:$X$1000,$U$5:$U$1000,ROW(),$V$5:$V$1000,"Sub"),$X172)))</f>
        <v/>
      </c>
      <c r="N172" s="56">
        <f>IF($M172="","",IF($M172&gt;=1,"Completado",IF($M172&gt;0,"En curso","Pendiente")))</f>
        <v/>
      </c>
      <c r="O172" s="56">
        <f>IF(NOT((COUNTA($B172:$D172)+COUNTA($G172:$L172)+COUNTA($Q172))&gt;0),"",IF(ISNUMBER($G172),IF(AND(ISNUMBER($AN172),$G172&gt;$AN172),"Cumplida con "&amp;($G172-$AN172)&amp;IF($G172-$AN172=1," día"," días")&amp;" de retraso","Cumplida"),IF(N($M172)&gt;=1,"Cumplida",IF(NOT(ISNUMBER($AN172)),"Sin fecha límite",IF($AN172&lt;FechaRef,"Vencida hace "&amp;(FechaRef-$AN172)&amp;IF(FechaRef-$AN172=1," día"," días"),IF($AN172=FechaRef,"Vence hoy",IF($AN172-FechaRef&lt;=DiasAlerta,"Vence en "&amp;($AN172-FechaRef)&amp;IF($AN172-FechaRef=1," día"," días"),"En plazo")))))))</f>
        <v/>
      </c>
      <c r="P172" s="62" t="n"/>
      <c r="Q172" s="58" t="n"/>
      <c r="R172" s="63">
        <f>IF(NOT((COUNTA($B172:$D172)+COUNTA($G172:$L172)+COUNTA($Q172))&gt;0),"",IF((IF($C172="","Falta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",""))="","✔ OK","⚠ "&amp;LEFT(IF($C172="","Falta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",""),LEN(IF($C172="","Falta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",""))-3)))</f>
        <v/>
      </c>
      <c r="S172" s="64">
        <f>IF(NOT((COUNTA($B172:$D172)+COUNTA($G172:$L172)+COUNTA($Q172))&gt;0),"",IF(AND($V172="Sub",N($U172)&gt;0),IF(ISNUMBER(INDEX($AM$5:$AM$1000,$U172-4)),DATE(YEAR(INDEX($AM$5:$AM$1000,$U172-4)),MONTH(INDEX($AM$5:$AM$1000,$U172-4)),1),IF(ISNUMBER(INDEX($AN$5:$AN$1000,$U172-4)),DATE(YEAR(INDEX($AN$5:$AN$1000,$U172-4)),MONTH(INDEX($AN$5:$AN$1000,$U172-4)),1),MesCiclo)),IF(ISNUMBER($AM172),DATE(YEAR($AM172),MONTH($AM172),1),IF(ISNUMBER($AN172),DATE(YEAR($AN172),MONTH($AN172),1),MesCiclo))))</f>
        <v/>
      </c>
      <c r="T172" s="62">
        <f>IF(OR($S172="",$S172&lt;&gt;MesCiclo),"",COUNTIF($S$5:$S172,MesCiclo))</f>
        <v/>
      </c>
      <c r="U172" s="62">
        <f>IF($V172="","",IF($V172="Macro",ROW(),IFERROR(LOOKUP(2,1/($V$5:$V172="Macro"),ROW($V$5:$V172)),0)))</f>
        <v/>
      </c>
      <c r="V172" s="62">
        <f>IF(NOT((COUNTA($B172:$D172)+COUNTA($G172:$L172)+COUNTA($Q172))&gt;0),"",IF($B172="Subactividad","Sub","Macro"))</f>
        <v/>
      </c>
      <c r="W172" s="62">
        <f>IF($V172="Macro",COUNTIFS($U$5:$U$1000,ROW(),$V$5:$V$1000,"Sub"),"")</f>
        <v/>
      </c>
      <c r="X172" s="62">
        <f>IF($V172="","",IF(ISNUMBER($G172),1,IFERROR(LOOKUP(2,1/($I172:$L172&lt;&gt;""),$I172:$L172),0)))</f>
        <v/>
      </c>
      <c r="Y172" s="62">
        <f>IF($V172="","",IF(AND(ISNUMBER($G172),$G172&lt;=IF($S172=MesCiclo,InicioCiclo,$S172+MOD(2-WEEKDAY($S172),7))+6),1,IF(ISNUMBER($I172),$I172,0)))</f>
        <v/>
      </c>
      <c r="Z172" s="62">
        <f>IF($V172="","",IF(AND(ISNUMBER($G172),$G172&lt;=IF($S172=MesCiclo,InicioCiclo,$S172+MOD(2-WEEKDAY($S172),7))+13),1,IF(ISNUMBER($J172),$J172,$Y172)))</f>
        <v/>
      </c>
      <c r="AA172" s="62">
        <f>IF($V172="","",IF(AND(ISNUMBER($G172),$G172&lt;=IF($S172=MesCiclo,InicioCiclo,$S172+MOD(2-WEEKDAY($S172),7))+20),1,IF(ISNUMBER($K172),$K172,$Z172)))</f>
        <v/>
      </c>
      <c r="AB172" s="62">
        <f>IF($V172="","",IF(AND(ISNUMBER($G172),$G172&lt;=IF($S172=MesCiclo,InicioCiclo,$S172+MOD(2-WEEKDAY($S172),7))+27),1,IF(ISNUMBER($L172),$L172,$AA172)))</f>
        <v/>
      </c>
      <c r="AC172" s="62">
        <f>IF($V172="","",IF(AND(ISNUMBER($G172),$G172&lt;=IF($S172=MesCiclo,InicioCiclo,$S172+MOD(2-WEEKDAY($S172),7))+6),1,IF(N($W172)&gt;0,AVERAGEIFS($Y$5:$Y$1000,$U$5:$U$1000,ROW(),$V$5:$V$1000,"Sub"),$Y172)))</f>
        <v/>
      </c>
      <c r="AD172" s="62">
        <f>IF($V172="","",IF(AND(ISNUMBER($G172),$G172&lt;=IF($S172=MesCiclo,InicioCiclo,$S172+MOD(2-WEEKDAY($S172),7))+13),1,IF(N($W172)&gt;0,AVERAGEIFS($Z$5:$Z$1000,$U$5:$U$1000,ROW(),$V$5:$V$1000,"Sub"),$Z172)))</f>
        <v/>
      </c>
      <c r="AE172" s="62">
        <f>IF($V172="","",IF(AND(ISNUMBER($G172),$G172&lt;=IF($S172=MesCiclo,InicioCiclo,$S172+MOD(2-WEEKDAY($S172),7))+20),1,IF(N($W172)&gt;0,AVERAGEIFS($AA$5:$AA$1000,$U$5:$U$1000,ROW(),$V$5:$V$1000,"Sub"),$AA172)))</f>
        <v/>
      </c>
      <c r="AF172" s="62">
        <f>IF($V172="","",IF(AND(ISNUMBER($G172),$G172&lt;=IF($S172=MesCiclo,InicioCiclo,$S172+MOD(2-WEEKDAY($S172),7))+27),1,IF(N($W172)&gt;0,AVERAGEIFS($AB$5:$AB$1000,$U$5:$U$1000,ROW(),$V$5:$V$1000,"Sub"),$AB172)))</f>
        <v/>
      </c>
      <c r="AG172" s="62">
        <f>IF($V172&lt;&gt;"Macro","",IF(COUNTIFS($S$5:$S$1000,$S172,$V$5:$V$1000,"Macro",$H$5:$H$1000,"&gt;0")=0,1/COUNTIFS($S$5:$S$1000,$S172,$V$5:$V$1000,"Macro"),IF(AND(ISNUMBER($H172),N($H172)&gt;0),$H172,SUMIFS($H$5:$H$1000,$S$5:$S$1000,$S172,$V$5:$V$1000,"Macro")/COUNTIFS($S$5:$S$1000,$S172,$V$5:$V$1000,"Macro",$H$5:$H$1000,"&gt;0"))/(COUNTIFS($S$5:$S$1000,$S172,$V$5:$V$1000,"Macro")*SUMIFS($H$5:$H$1000,$S$5:$S$1000,$S172,$V$5:$V$1000,"Macro")/COUNTIFS($S$5:$S$1000,$S172,$V$5:$V$1000,"Macro",$H$5:$H$1000,"&gt;0"))))</f>
        <v/>
      </c>
      <c r="AH172" s="62" t="n"/>
      <c r="AI172" s="62" t="n"/>
      <c r="AJ172" s="62" t="n"/>
      <c r="AK172" s="62" t="n"/>
      <c r="AL172" s="62">
        <f>IF(LEFT($C172,11)="[Jefatura] ",IFERROR(MATCH("Riesgo Financiero|"&amp;MID($C172,12,500),rDname_ADM,0),0),"")</f>
        <v/>
      </c>
      <c r="AM172" s="62">
        <f>IF(N($AL172)&gt;0,INDEX(rIni_ADM,$AL172),IF(ISNUMBER($E172),$E172,""))</f>
        <v/>
      </c>
      <c r="AN172" s="62">
        <f>IF(N($AL172)&gt;0,INDEX(rLim_ADM,$AL172),IF(ISNUMBER($F172),$F172,""))</f>
        <v/>
      </c>
    </row>
    <row r="173">
      <c r="A173" s="56">
        <f>IF(NOT((COUNTA($B173:$D173)+COUNTA($G173:$L173)+COUNTA($Q173))&gt;0),"",IF($V173="Macro",COUNTIFS($V$5:$V173,"Macro",$S$5:$S173,$S173),IF(N($U173)=0,"?",COUNTIFS(INDEX($V$5:$V$1000,1):INDEX($V$5:$V$1000,$U173-4),"Macro",INDEX($S$5:$S$1000,1):INDEX($S$5:$S$1000,$U173-4),INDEX($S$5:$S$1000,$U173-4))&amp;"."&amp;COUNTIFS($U$5:$U173,$U173,$V$5:$V173,"Sub"))))</f>
        <v/>
      </c>
      <c r="B173" s="57" t="n"/>
      <c r="C173" s="58" t="n"/>
      <c r="D173" s="58" t="n"/>
      <c r="E173" s="59">
        <f>IF(N($AL173)&gt;0,INDEX(rIni_ADM,$AL173),"")</f>
        <v/>
      </c>
      <c r="F173" s="59">
        <f>IF(N($AL173)&gt;0,INDEX(rLim_ADM,$AL173),"")</f>
        <v/>
      </c>
      <c r="G173" s="59" t="n"/>
      <c r="H173" s="60" t="n"/>
      <c r="I173" s="60" t="n"/>
      <c r="J173" s="60" t="n"/>
      <c r="K173" s="60" t="n"/>
      <c r="L173" s="60" t="n"/>
      <c r="M173" s="61">
        <f>IF(NOT((COUNTA($B173:$D173)+COUNTA($G173:$L173)+COUNTA($Q173))&gt;0),"",IF(ISNUMBER($G173),1,IF(N($W173)&gt;0,AVERAGEIFS($X$5:$X$1000,$U$5:$U$1000,ROW(),$V$5:$V$1000,"Sub"),$X173)))</f>
        <v/>
      </c>
      <c r="N173" s="56">
        <f>IF($M173="","",IF($M173&gt;=1,"Completado",IF($M173&gt;0,"En curso","Pendiente")))</f>
        <v/>
      </c>
      <c r="O173" s="56">
        <f>IF(NOT((COUNTA($B173:$D173)+COUNTA($G173:$L173)+COUNTA($Q173))&gt;0),"",IF(ISNUMBER($G173),IF(AND(ISNUMBER($AN173),$G173&gt;$AN173),"Cumplida con "&amp;($G173-$AN173)&amp;IF($G173-$AN173=1," día"," días")&amp;" de retraso","Cumplida"),IF(N($M173)&gt;=1,"Cumplida",IF(NOT(ISNUMBER($AN173)),"Sin fecha límite",IF($AN173&lt;FechaRef,"Vencida hace "&amp;(FechaRef-$AN173)&amp;IF(FechaRef-$AN173=1," día"," días"),IF($AN173=FechaRef,"Vence hoy",IF($AN173-FechaRef&lt;=DiasAlerta,"Vence en "&amp;($AN173-FechaRef)&amp;IF($AN173-FechaRef=1," día"," días"),"En plazo")))))))</f>
        <v/>
      </c>
      <c r="P173" s="62" t="n"/>
      <c r="Q173" s="58" t="n"/>
      <c r="R173" s="63">
        <f>IF(NOT((COUNTA($B173:$D173)+COUNTA($G173:$L173)+COUNTA($Q173))&gt;0),"",IF((IF($C173="","Falta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",""))="","✔ OK","⚠ "&amp;LEFT(IF($C173="","Falta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",""),LEN(IF($C173="","Falta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",""))-3)))</f>
        <v/>
      </c>
      <c r="S173" s="64">
        <f>IF(NOT((COUNTA($B173:$D173)+COUNTA($G173:$L173)+COUNTA($Q173))&gt;0),"",IF(AND($V173="Sub",N($U173)&gt;0),IF(ISNUMBER(INDEX($AM$5:$AM$1000,$U173-4)),DATE(YEAR(INDEX($AM$5:$AM$1000,$U173-4)),MONTH(INDEX($AM$5:$AM$1000,$U173-4)),1),IF(ISNUMBER(INDEX($AN$5:$AN$1000,$U173-4)),DATE(YEAR(INDEX($AN$5:$AN$1000,$U173-4)),MONTH(INDEX($AN$5:$AN$1000,$U173-4)),1),MesCiclo)),IF(ISNUMBER($AM173),DATE(YEAR($AM173),MONTH($AM173),1),IF(ISNUMBER($AN173),DATE(YEAR($AN173),MONTH($AN173),1),MesCiclo))))</f>
        <v/>
      </c>
      <c r="T173" s="62">
        <f>IF(OR($S173="",$S173&lt;&gt;MesCiclo),"",COUNTIF($S$5:$S173,MesCiclo))</f>
        <v/>
      </c>
      <c r="U173" s="62">
        <f>IF($V173="","",IF($V173="Macro",ROW(),IFERROR(LOOKUP(2,1/($V$5:$V173="Macro"),ROW($V$5:$V173)),0)))</f>
        <v/>
      </c>
      <c r="V173" s="62">
        <f>IF(NOT((COUNTA($B173:$D173)+COUNTA($G173:$L173)+COUNTA($Q173))&gt;0),"",IF($B173="Subactividad","Sub","Macro"))</f>
        <v/>
      </c>
      <c r="W173" s="62">
        <f>IF($V173="Macro",COUNTIFS($U$5:$U$1000,ROW(),$V$5:$V$1000,"Sub"),"")</f>
        <v/>
      </c>
      <c r="X173" s="62">
        <f>IF($V173="","",IF(ISNUMBER($G173),1,IFERROR(LOOKUP(2,1/($I173:$L173&lt;&gt;""),$I173:$L173),0)))</f>
        <v/>
      </c>
      <c r="Y173" s="62">
        <f>IF($V173="","",IF(AND(ISNUMBER($G173),$G173&lt;=IF($S173=MesCiclo,InicioCiclo,$S173+MOD(2-WEEKDAY($S173),7))+6),1,IF(ISNUMBER($I173),$I173,0)))</f>
        <v/>
      </c>
      <c r="Z173" s="62">
        <f>IF($V173="","",IF(AND(ISNUMBER($G173),$G173&lt;=IF($S173=MesCiclo,InicioCiclo,$S173+MOD(2-WEEKDAY($S173),7))+13),1,IF(ISNUMBER($J173),$J173,$Y173)))</f>
        <v/>
      </c>
      <c r="AA173" s="62">
        <f>IF($V173="","",IF(AND(ISNUMBER($G173),$G173&lt;=IF($S173=MesCiclo,InicioCiclo,$S173+MOD(2-WEEKDAY($S173),7))+20),1,IF(ISNUMBER($K173),$K173,$Z173)))</f>
        <v/>
      </c>
      <c r="AB173" s="62">
        <f>IF($V173="","",IF(AND(ISNUMBER($G173),$G173&lt;=IF($S173=MesCiclo,InicioCiclo,$S173+MOD(2-WEEKDAY($S173),7))+27),1,IF(ISNUMBER($L173),$L173,$AA173)))</f>
        <v/>
      </c>
      <c r="AC173" s="62">
        <f>IF($V173="","",IF(AND(ISNUMBER($G173),$G173&lt;=IF($S173=MesCiclo,InicioCiclo,$S173+MOD(2-WEEKDAY($S173),7))+6),1,IF(N($W173)&gt;0,AVERAGEIFS($Y$5:$Y$1000,$U$5:$U$1000,ROW(),$V$5:$V$1000,"Sub"),$Y173)))</f>
        <v/>
      </c>
      <c r="AD173" s="62">
        <f>IF($V173="","",IF(AND(ISNUMBER($G173),$G173&lt;=IF($S173=MesCiclo,InicioCiclo,$S173+MOD(2-WEEKDAY($S173),7))+13),1,IF(N($W173)&gt;0,AVERAGEIFS($Z$5:$Z$1000,$U$5:$U$1000,ROW(),$V$5:$V$1000,"Sub"),$Z173)))</f>
        <v/>
      </c>
      <c r="AE173" s="62">
        <f>IF($V173="","",IF(AND(ISNUMBER($G173),$G173&lt;=IF($S173=MesCiclo,InicioCiclo,$S173+MOD(2-WEEKDAY($S173),7))+20),1,IF(N($W173)&gt;0,AVERAGEIFS($AA$5:$AA$1000,$U$5:$U$1000,ROW(),$V$5:$V$1000,"Sub"),$AA173)))</f>
        <v/>
      </c>
      <c r="AF173" s="62">
        <f>IF($V173="","",IF(AND(ISNUMBER($G173),$G173&lt;=IF($S173=MesCiclo,InicioCiclo,$S173+MOD(2-WEEKDAY($S173),7))+27),1,IF(N($W173)&gt;0,AVERAGEIFS($AB$5:$AB$1000,$U$5:$U$1000,ROW(),$V$5:$V$1000,"Sub"),$AB173)))</f>
        <v/>
      </c>
      <c r="AG173" s="62">
        <f>IF($V173&lt;&gt;"Macro","",IF(COUNTIFS($S$5:$S$1000,$S173,$V$5:$V$1000,"Macro",$H$5:$H$1000,"&gt;0")=0,1/COUNTIFS($S$5:$S$1000,$S173,$V$5:$V$1000,"Macro"),IF(AND(ISNUMBER($H173),N($H173)&gt;0),$H173,SUMIFS($H$5:$H$1000,$S$5:$S$1000,$S173,$V$5:$V$1000,"Macro")/COUNTIFS($S$5:$S$1000,$S173,$V$5:$V$1000,"Macro",$H$5:$H$1000,"&gt;0"))/(COUNTIFS($S$5:$S$1000,$S173,$V$5:$V$1000,"Macro")*SUMIFS($H$5:$H$1000,$S$5:$S$1000,$S173,$V$5:$V$1000,"Macro")/COUNTIFS($S$5:$S$1000,$S173,$V$5:$V$1000,"Macro",$H$5:$H$1000,"&gt;0"))))</f>
        <v/>
      </c>
      <c r="AH173" s="62" t="n"/>
      <c r="AI173" s="62" t="n"/>
      <c r="AJ173" s="62" t="n"/>
      <c r="AK173" s="62" t="n"/>
      <c r="AL173" s="62">
        <f>IF(LEFT($C173,11)="[Jefatura] ",IFERROR(MATCH("Riesgo Financiero|"&amp;MID($C173,12,500),rDname_ADM,0),0),"")</f>
        <v/>
      </c>
      <c r="AM173" s="62">
        <f>IF(N($AL173)&gt;0,INDEX(rIni_ADM,$AL173),IF(ISNUMBER($E173),$E173,""))</f>
        <v/>
      </c>
      <c r="AN173" s="62">
        <f>IF(N($AL173)&gt;0,INDEX(rLim_ADM,$AL173),IF(ISNUMBER($F173),$F173,""))</f>
        <v/>
      </c>
    </row>
    <row r="174">
      <c r="A174" s="56">
        <f>IF(NOT((COUNTA($B174:$D174)+COUNTA($G174:$L174)+COUNTA($Q174))&gt;0),"",IF($V174="Macro",COUNTIFS($V$5:$V174,"Macro",$S$5:$S174,$S174),IF(N($U174)=0,"?",COUNTIFS(INDEX($V$5:$V$1000,1):INDEX($V$5:$V$1000,$U174-4),"Macro",INDEX($S$5:$S$1000,1):INDEX($S$5:$S$1000,$U174-4),INDEX($S$5:$S$1000,$U174-4))&amp;"."&amp;COUNTIFS($U$5:$U174,$U174,$V$5:$V174,"Sub"))))</f>
        <v/>
      </c>
      <c r="B174" s="57" t="n"/>
      <c r="C174" s="58" t="n"/>
      <c r="D174" s="58" t="n"/>
      <c r="E174" s="59">
        <f>IF(N($AL174)&gt;0,INDEX(rIni_ADM,$AL174),"")</f>
        <v/>
      </c>
      <c r="F174" s="59">
        <f>IF(N($AL174)&gt;0,INDEX(rLim_ADM,$AL174),"")</f>
        <v/>
      </c>
      <c r="G174" s="59" t="n"/>
      <c r="H174" s="60" t="n"/>
      <c r="I174" s="60" t="n"/>
      <c r="J174" s="60" t="n"/>
      <c r="K174" s="60" t="n"/>
      <c r="L174" s="60" t="n"/>
      <c r="M174" s="61">
        <f>IF(NOT((COUNTA($B174:$D174)+COUNTA($G174:$L174)+COUNTA($Q174))&gt;0),"",IF(ISNUMBER($G174),1,IF(N($W174)&gt;0,AVERAGEIFS($X$5:$X$1000,$U$5:$U$1000,ROW(),$V$5:$V$1000,"Sub"),$X174)))</f>
        <v/>
      </c>
      <c r="N174" s="56">
        <f>IF($M174="","",IF($M174&gt;=1,"Completado",IF($M174&gt;0,"En curso","Pendiente")))</f>
        <v/>
      </c>
      <c r="O174" s="56">
        <f>IF(NOT((COUNTA($B174:$D174)+COUNTA($G174:$L174)+COUNTA($Q174))&gt;0),"",IF(ISNUMBER($G174),IF(AND(ISNUMBER($AN174),$G174&gt;$AN174),"Cumplida con "&amp;($G174-$AN174)&amp;IF($G174-$AN174=1," día"," días")&amp;" de retraso","Cumplida"),IF(N($M174)&gt;=1,"Cumplida",IF(NOT(ISNUMBER($AN174)),"Sin fecha límite",IF($AN174&lt;FechaRef,"Vencida hace "&amp;(FechaRef-$AN174)&amp;IF(FechaRef-$AN174=1," día"," días"),IF($AN174=FechaRef,"Vence hoy",IF($AN174-FechaRef&lt;=DiasAlerta,"Vence en "&amp;($AN174-FechaRef)&amp;IF($AN174-FechaRef=1," día"," días"),"En plazo")))))))</f>
        <v/>
      </c>
      <c r="P174" s="62" t="n"/>
      <c r="Q174" s="58" t="n"/>
      <c r="R174" s="63">
        <f>IF(NOT((COUNTA($B174:$D174)+COUNTA($G174:$L174)+COUNTA($Q174))&gt;0),"",IF((IF($C174="","Falta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",""))="","✔ OK","⚠ "&amp;LEFT(IF($C174="","Falta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",""),LEN(IF($C174="","Falta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",""))-3)))</f>
        <v/>
      </c>
      <c r="S174" s="64">
        <f>IF(NOT((COUNTA($B174:$D174)+COUNTA($G174:$L174)+COUNTA($Q174))&gt;0),"",IF(AND($V174="Sub",N($U174)&gt;0),IF(ISNUMBER(INDEX($AM$5:$AM$1000,$U174-4)),DATE(YEAR(INDEX($AM$5:$AM$1000,$U174-4)),MONTH(INDEX($AM$5:$AM$1000,$U174-4)),1),IF(ISNUMBER(INDEX($AN$5:$AN$1000,$U174-4)),DATE(YEAR(INDEX($AN$5:$AN$1000,$U174-4)),MONTH(INDEX($AN$5:$AN$1000,$U174-4)),1),MesCiclo)),IF(ISNUMBER($AM174),DATE(YEAR($AM174),MONTH($AM174),1),IF(ISNUMBER($AN174),DATE(YEAR($AN174),MONTH($AN174),1),MesCiclo))))</f>
        <v/>
      </c>
      <c r="T174" s="62">
        <f>IF(OR($S174="",$S174&lt;&gt;MesCiclo),"",COUNTIF($S$5:$S174,MesCiclo))</f>
        <v/>
      </c>
      <c r="U174" s="62">
        <f>IF($V174="","",IF($V174="Macro",ROW(),IFERROR(LOOKUP(2,1/($V$5:$V174="Macro"),ROW($V$5:$V174)),0)))</f>
        <v/>
      </c>
      <c r="V174" s="62">
        <f>IF(NOT((COUNTA($B174:$D174)+COUNTA($G174:$L174)+COUNTA($Q174))&gt;0),"",IF($B174="Subactividad","Sub","Macro"))</f>
        <v/>
      </c>
      <c r="W174" s="62">
        <f>IF($V174="Macro",COUNTIFS($U$5:$U$1000,ROW(),$V$5:$V$1000,"Sub"),"")</f>
        <v/>
      </c>
      <c r="X174" s="62">
        <f>IF($V174="","",IF(ISNUMBER($G174),1,IFERROR(LOOKUP(2,1/($I174:$L174&lt;&gt;""),$I174:$L174),0)))</f>
        <v/>
      </c>
      <c r="Y174" s="62">
        <f>IF($V174="","",IF(AND(ISNUMBER($G174),$G174&lt;=IF($S174=MesCiclo,InicioCiclo,$S174+MOD(2-WEEKDAY($S174),7))+6),1,IF(ISNUMBER($I174),$I174,0)))</f>
        <v/>
      </c>
      <c r="Z174" s="62">
        <f>IF($V174="","",IF(AND(ISNUMBER($G174),$G174&lt;=IF($S174=MesCiclo,InicioCiclo,$S174+MOD(2-WEEKDAY($S174),7))+13),1,IF(ISNUMBER($J174),$J174,$Y174)))</f>
        <v/>
      </c>
      <c r="AA174" s="62">
        <f>IF($V174="","",IF(AND(ISNUMBER($G174),$G174&lt;=IF($S174=MesCiclo,InicioCiclo,$S174+MOD(2-WEEKDAY($S174),7))+20),1,IF(ISNUMBER($K174),$K174,$Z174)))</f>
        <v/>
      </c>
      <c r="AB174" s="62">
        <f>IF($V174="","",IF(AND(ISNUMBER($G174),$G174&lt;=IF($S174=MesCiclo,InicioCiclo,$S174+MOD(2-WEEKDAY($S174),7))+27),1,IF(ISNUMBER($L174),$L174,$AA174)))</f>
        <v/>
      </c>
      <c r="AC174" s="62">
        <f>IF($V174="","",IF(AND(ISNUMBER($G174),$G174&lt;=IF($S174=MesCiclo,InicioCiclo,$S174+MOD(2-WEEKDAY($S174),7))+6),1,IF(N($W174)&gt;0,AVERAGEIFS($Y$5:$Y$1000,$U$5:$U$1000,ROW(),$V$5:$V$1000,"Sub"),$Y174)))</f>
        <v/>
      </c>
      <c r="AD174" s="62">
        <f>IF($V174="","",IF(AND(ISNUMBER($G174),$G174&lt;=IF($S174=MesCiclo,InicioCiclo,$S174+MOD(2-WEEKDAY($S174),7))+13),1,IF(N($W174)&gt;0,AVERAGEIFS($Z$5:$Z$1000,$U$5:$U$1000,ROW(),$V$5:$V$1000,"Sub"),$Z174)))</f>
        <v/>
      </c>
      <c r="AE174" s="62">
        <f>IF($V174="","",IF(AND(ISNUMBER($G174),$G174&lt;=IF($S174=MesCiclo,InicioCiclo,$S174+MOD(2-WEEKDAY($S174),7))+20),1,IF(N($W174)&gt;0,AVERAGEIFS($AA$5:$AA$1000,$U$5:$U$1000,ROW(),$V$5:$V$1000,"Sub"),$AA174)))</f>
        <v/>
      </c>
      <c r="AF174" s="62">
        <f>IF($V174="","",IF(AND(ISNUMBER($G174),$G174&lt;=IF($S174=MesCiclo,InicioCiclo,$S174+MOD(2-WEEKDAY($S174),7))+27),1,IF(N($W174)&gt;0,AVERAGEIFS($AB$5:$AB$1000,$U$5:$U$1000,ROW(),$V$5:$V$1000,"Sub"),$AB174)))</f>
        <v/>
      </c>
      <c r="AG174" s="62">
        <f>IF($V174&lt;&gt;"Macro","",IF(COUNTIFS($S$5:$S$1000,$S174,$V$5:$V$1000,"Macro",$H$5:$H$1000,"&gt;0")=0,1/COUNTIFS($S$5:$S$1000,$S174,$V$5:$V$1000,"Macro"),IF(AND(ISNUMBER($H174),N($H174)&gt;0),$H174,SUMIFS($H$5:$H$1000,$S$5:$S$1000,$S174,$V$5:$V$1000,"Macro")/COUNTIFS($S$5:$S$1000,$S174,$V$5:$V$1000,"Macro",$H$5:$H$1000,"&gt;0"))/(COUNTIFS($S$5:$S$1000,$S174,$V$5:$V$1000,"Macro")*SUMIFS($H$5:$H$1000,$S$5:$S$1000,$S174,$V$5:$V$1000,"Macro")/COUNTIFS($S$5:$S$1000,$S174,$V$5:$V$1000,"Macro",$H$5:$H$1000,"&gt;0"))))</f>
        <v/>
      </c>
      <c r="AH174" s="62" t="n"/>
      <c r="AI174" s="62" t="n"/>
      <c r="AJ174" s="62" t="n"/>
      <c r="AK174" s="62" t="n"/>
      <c r="AL174" s="62">
        <f>IF(LEFT($C174,11)="[Jefatura] ",IFERROR(MATCH("Riesgo Financiero|"&amp;MID($C174,12,500),rDname_ADM,0),0),"")</f>
        <v/>
      </c>
      <c r="AM174" s="62">
        <f>IF(N($AL174)&gt;0,INDEX(rIni_ADM,$AL174),IF(ISNUMBER($E174),$E174,""))</f>
        <v/>
      </c>
      <c r="AN174" s="62">
        <f>IF(N($AL174)&gt;0,INDEX(rLim_ADM,$AL174),IF(ISNUMBER($F174),$F174,""))</f>
        <v/>
      </c>
    </row>
    <row r="175">
      <c r="A175" s="56">
        <f>IF(NOT((COUNTA($B175:$D175)+COUNTA($G175:$L175)+COUNTA($Q175))&gt;0),"",IF($V175="Macro",COUNTIFS($V$5:$V175,"Macro",$S$5:$S175,$S175),IF(N($U175)=0,"?",COUNTIFS(INDEX($V$5:$V$1000,1):INDEX($V$5:$V$1000,$U175-4),"Macro",INDEX($S$5:$S$1000,1):INDEX($S$5:$S$1000,$U175-4),INDEX($S$5:$S$1000,$U175-4))&amp;"."&amp;COUNTIFS($U$5:$U175,$U175,$V$5:$V175,"Sub"))))</f>
        <v/>
      </c>
      <c r="B175" s="57" t="n"/>
      <c r="C175" s="58" t="n"/>
      <c r="D175" s="58" t="n"/>
      <c r="E175" s="59">
        <f>IF(N($AL175)&gt;0,INDEX(rIni_ADM,$AL175),"")</f>
        <v/>
      </c>
      <c r="F175" s="59">
        <f>IF(N($AL175)&gt;0,INDEX(rLim_ADM,$AL175),"")</f>
        <v/>
      </c>
      <c r="G175" s="59" t="n"/>
      <c r="H175" s="60" t="n"/>
      <c r="I175" s="60" t="n"/>
      <c r="J175" s="60" t="n"/>
      <c r="K175" s="60" t="n"/>
      <c r="L175" s="60" t="n"/>
      <c r="M175" s="61">
        <f>IF(NOT((COUNTA($B175:$D175)+COUNTA($G175:$L175)+COUNTA($Q175))&gt;0),"",IF(ISNUMBER($G175),1,IF(N($W175)&gt;0,AVERAGEIFS($X$5:$X$1000,$U$5:$U$1000,ROW(),$V$5:$V$1000,"Sub"),$X175)))</f>
        <v/>
      </c>
      <c r="N175" s="56">
        <f>IF($M175="","",IF($M175&gt;=1,"Completado",IF($M175&gt;0,"En curso","Pendiente")))</f>
        <v/>
      </c>
      <c r="O175" s="56">
        <f>IF(NOT((COUNTA($B175:$D175)+COUNTA($G175:$L175)+COUNTA($Q175))&gt;0),"",IF(ISNUMBER($G175),IF(AND(ISNUMBER($AN175),$G175&gt;$AN175),"Cumplida con "&amp;($G175-$AN175)&amp;IF($G175-$AN175=1," día"," días")&amp;" de retraso","Cumplida"),IF(N($M175)&gt;=1,"Cumplida",IF(NOT(ISNUMBER($AN175)),"Sin fecha límite",IF($AN175&lt;FechaRef,"Vencida hace "&amp;(FechaRef-$AN175)&amp;IF(FechaRef-$AN175=1," día"," días"),IF($AN175=FechaRef,"Vence hoy",IF($AN175-FechaRef&lt;=DiasAlerta,"Vence en "&amp;($AN175-FechaRef)&amp;IF($AN175-FechaRef=1," día"," días"),"En plazo")))))))</f>
        <v/>
      </c>
      <c r="P175" s="62" t="n"/>
      <c r="Q175" s="58" t="n"/>
      <c r="R175" s="63">
        <f>IF(NOT((COUNTA($B175:$D175)+COUNTA($G175:$L175)+COUNTA($Q175))&gt;0),"",IF((IF($C175="","Falta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",""))="","✔ OK","⚠ "&amp;LEFT(IF($C175="","Falta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",""),LEN(IF($C175="","Falta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",""))-3)))</f>
        <v/>
      </c>
      <c r="S175" s="64">
        <f>IF(NOT((COUNTA($B175:$D175)+COUNTA($G175:$L175)+COUNTA($Q175))&gt;0),"",IF(AND($V175="Sub",N($U175)&gt;0),IF(ISNUMBER(INDEX($AM$5:$AM$1000,$U175-4)),DATE(YEAR(INDEX($AM$5:$AM$1000,$U175-4)),MONTH(INDEX($AM$5:$AM$1000,$U175-4)),1),IF(ISNUMBER(INDEX($AN$5:$AN$1000,$U175-4)),DATE(YEAR(INDEX($AN$5:$AN$1000,$U175-4)),MONTH(INDEX($AN$5:$AN$1000,$U175-4)),1),MesCiclo)),IF(ISNUMBER($AM175),DATE(YEAR($AM175),MONTH($AM175),1),IF(ISNUMBER($AN175),DATE(YEAR($AN175),MONTH($AN175),1),MesCiclo))))</f>
        <v/>
      </c>
      <c r="T175" s="62">
        <f>IF(OR($S175="",$S175&lt;&gt;MesCiclo),"",COUNTIF($S$5:$S175,MesCiclo))</f>
        <v/>
      </c>
      <c r="U175" s="62">
        <f>IF($V175="","",IF($V175="Macro",ROW(),IFERROR(LOOKUP(2,1/($V$5:$V175="Macro"),ROW($V$5:$V175)),0)))</f>
        <v/>
      </c>
      <c r="V175" s="62">
        <f>IF(NOT((COUNTA($B175:$D175)+COUNTA($G175:$L175)+COUNTA($Q175))&gt;0),"",IF($B175="Subactividad","Sub","Macro"))</f>
        <v/>
      </c>
      <c r="W175" s="62">
        <f>IF($V175="Macro",COUNTIFS($U$5:$U$1000,ROW(),$V$5:$V$1000,"Sub"),"")</f>
        <v/>
      </c>
      <c r="X175" s="62">
        <f>IF($V175="","",IF(ISNUMBER($G175),1,IFERROR(LOOKUP(2,1/($I175:$L175&lt;&gt;""),$I175:$L175),0)))</f>
        <v/>
      </c>
      <c r="Y175" s="62">
        <f>IF($V175="","",IF(AND(ISNUMBER($G175),$G175&lt;=IF($S175=MesCiclo,InicioCiclo,$S175+MOD(2-WEEKDAY($S175),7))+6),1,IF(ISNUMBER($I175),$I175,0)))</f>
        <v/>
      </c>
      <c r="Z175" s="62">
        <f>IF($V175="","",IF(AND(ISNUMBER($G175),$G175&lt;=IF($S175=MesCiclo,InicioCiclo,$S175+MOD(2-WEEKDAY($S175),7))+13),1,IF(ISNUMBER($J175),$J175,$Y175)))</f>
        <v/>
      </c>
      <c r="AA175" s="62">
        <f>IF($V175="","",IF(AND(ISNUMBER($G175),$G175&lt;=IF($S175=MesCiclo,InicioCiclo,$S175+MOD(2-WEEKDAY($S175),7))+20),1,IF(ISNUMBER($K175),$K175,$Z175)))</f>
        <v/>
      </c>
      <c r="AB175" s="62">
        <f>IF($V175="","",IF(AND(ISNUMBER($G175),$G175&lt;=IF($S175=MesCiclo,InicioCiclo,$S175+MOD(2-WEEKDAY($S175),7))+27),1,IF(ISNUMBER($L175),$L175,$AA175)))</f>
        <v/>
      </c>
      <c r="AC175" s="62">
        <f>IF($V175="","",IF(AND(ISNUMBER($G175),$G175&lt;=IF($S175=MesCiclo,InicioCiclo,$S175+MOD(2-WEEKDAY($S175),7))+6),1,IF(N($W175)&gt;0,AVERAGEIFS($Y$5:$Y$1000,$U$5:$U$1000,ROW(),$V$5:$V$1000,"Sub"),$Y175)))</f>
        <v/>
      </c>
      <c r="AD175" s="62">
        <f>IF($V175="","",IF(AND(ISNUMBER($G175),$G175&lt;=IF($S175=MesCiclo,InicioCiclo,$S175+MOD(2-WEEKDAY($S175),7))+13),1,IF(N($W175)&gt;0,AVERAGEIFS($Z$5:$Z$1000,$U$5:$U$1000,ROW(),$V$5:$V$1000,"Sub"),$Z175)))</f>
        <v/>
      </c>
      <c r="AE175" s="62">
        <f>IF($V175="","",IF(AND(ISNUMBER($G175),$G175&lt;=IF($S175=MesCiclo,InicioCiclo,$S175+MOD(2-WEEKDAY($S175),7))+20),1,IF(N($W175)&gt;0,AVERAGEIFS($AA$5:$AA$1000,$U$5:$U$1000,ROW(),$V$5:$V$1000,"Sub"),$AA175)))</f>
        <v/>
      </c>
      <c r="AF175" s="62">
        <f>IF($V175="","",IF(AND(ISNUMBER($G175),$G175&lt;=IF($S175=MesCiclo,InicioCiclo,$S175+MOD(2-WEEKDAY($S175),7))+27),1,IF(N($W175)&gt;0,AVERAGEIFS($AB$5:$AB$1000,$U$5:$U$1000,ROW(),$V$5:$V$1000,"Sub"),$AB175)))</f>
        <v/>
      </c>
      <c r="AG175" s="62">
        <f>IF($V175&lt;&gt;"Macro","",IF(COUNTIFS($S$5:$S$1000,$S175,$V$5:$V$1000,"Macro",$H$5:$H$1000,"&gt;0")=0,1/COUNTIFS($S$5:$S$1000,$S175,$V$5:$V$1000,"Macro"),IF(AND(ISNUMBER($H175),N($H175)&gt;0),$H175,SUMIFS($H$5:$H$1000,$S$5:$S$1000,$S175,$V$5:$V$1000,"Macro")/COUNTIFS($S$5:$S$1000,$S175,$V$5:$V$1000,"Macro",$H$5:$H$1000,"&gt;0"))/(COUNTIFS($S$5:$S$1000,$S175,$V$5:$V$1000,"Macro")*SUMIFS($H$5:$H$1000,$S$5:$S$1000,$S175,$V$5:$V$1000,"Macro")/COUNTIFS($S$5:$S$1000,$S175,$V$5:$V$1000,"Macro",$H$5:$H$1000,"&gt;0"))))</f>
        <v/>
      </c>
      <c r="AH175" s="62" t="n"/>
      <c r="AI175" s="62" t="n"/>
      <c r="AJ175" s="62" t="n"/>
      <c r="AK175" s="62" t="n"/>
      <c r="AL175" s="62">
        <f>IF(LEFT($C175,11)="[Jefatura] ",IFERROR(MATCH("Riesgo Financiero|"&amp;MID($C175,12,500),rDname_ADM,0),0),"")</f>
        <v/>
      </c>
      <c r="AM175" s="62">
        <f>IF(N($AL175)&gt;0,INDEX(rIni_ADM,$AL175),IF(ISNUMBER($E175),$E175,""))</f>
        <v/>
      </c>
      <c r="AN175" s="62">
        <f>IF(N($AL175)&gt;0,INDEX(rLim_ADM,$AL175),IF(ISNUMBER($F175),$F175,""))</f>
        <v/>
      </c>
    </row>
    <row r="176">
      <c r="A176" s="56">
        <f>IF(NOT((COUNTA($B176:$D176)+COUNTA($G176:$L176)+COUNTA($Q176))&gt;0),"",IF($V176="Macro",COUNTIFS($V$5:$V176,"Macro",$S$5:$S176,$S176),IF(N($U176)=0,"?",COUNTIFS(INDEX($V$5:$V$1000,1):INDEX($V$5:$V$1000,$U176-4),"Macro",INDEX($S$5:$S$1000,1):INDEX($S$5:$S$1000,$U176-4),INDEX($S$5:$S$1000,$U176-4))&amp;"."&amp;COUNTIFS($U$5:$U176,$U176,$V$5:$V176,"Sub"))))</f>
        <v/>
      </c>
      <c r="B176" s="57" t="n"/>
      <c r="C176" s="58" t="n"/>
      <c r="D176" s="58" t="n"/>
      <c r="E176" s="59">
        <f>IF(N($AL176)&gt;0,INDEX(rIni_ADM,$AL176),"")</f>
        <v/>
      </c>
      <c r="F176" s="59">
        <f>IF(N($AL176)&gt;0,INDEX(rLim_ADM,$AL176),"")</f>
        <v/>
      </c>
      <c r="G176" s="59" t="n"/>
      <c r="H176" s="60" t="n"/>
      <c r="I176" s="60" t="n"/>
      <c r="J176" s="60" t="n"/>
      <c r="K176" s="60" t="n"/>
      <c r="L176" s="60" t="n"/>
      <c r="M176" s="61">
        <f>IF(NOT((COUNTA($B176:$D176)+COUNTA($G176:$L176)+COUNTA($Q176))&gt;0),"",IF(ISNUMBER($G176),1,IF(N($W176)&gt;0,AVERAGEIFS($X$5:$X$1000,$U$5:$U$1000,ROW(),$V$5:$V$1000,"Sub"),$X176)))</f>
        <v/>
      </c>
      <c r="N176" s="56">
        <f>IF($M176="","",IF($M176&gt;=1,"Completado",IF($M176&gt;0,"En curso","Pendiente")))</f>
        <v/>
      </c>
      <c r="O176" s="56">
        <f>IF(NOT((COUNTA($B176:$D176)+COUNTA($G176:$L176)+COUNTA($Q176))&gt;0),"",IF(ISNUMBER($G176),IF(AND(ISNUMBER($AN176),$G176&gt;$AN176),"Cumplida con "&amp;($G176-$AN176)&amp;IF($G176-$AN176=1," día"," días")&amp;" de retraso","Cumplida"),IF(N($M176)&gt;=1,"Cumplida",IF(NOT(ISNUMBER($AN176)),"Sin fecha límite",IF($AN176&lt;FechaRef,"Vencida hace "&amp;(FechaRef-$AN176)&amp;IF(FechaRef-$AN176=1," día"," días"),IF($AN176=FechaRef,"Vence hoy",IF($AN176-FechaRef&lt;=DiasAlerta,"Vence en "&amp;($AN176-FechaRef)&amp;IF($AN176-FechaRef=1," día"," días"),"En plazo")))))))</f>
        <v/>
      </c>
      <c r="P176" s="62" t="n"/>
      <c r="Q176" s="58" t="n"/>
      <c r="R176" s="63">
        <f>IF(NOT((COUNTA($B176:$D176)+COUNTA($G176:$L176)+COUNTA($Q176))&gt;0),"",IF((IF($C176="","Falta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",""))="","✔ OK","⚠ "&amp;LEFT(IF($C176="","Falta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",""),LEN(IF($C176="","Falta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",""))-3)))</f>
        <v/>
      </c>
      <c r="S176" s="64">
        <f>IF(NOT((COUNTA($B176:$D176)+COUNTA($G176:$L176)+COUNTA($Q176))&gt;0),"",IF(AND($V176="Sub",N($U176)&gt;0),IF(ISNUMBER(INDEX($AM$5:$AM$1000,$U176-4)),DATE(YEAR(INDEX($AM$5:$AM$1000,$U176-4)),MONTH(INDEX($AM$5:$AM$1000,$U176-4)),1),IF(ISNUMBER(INDEX($AN$5:$AN$1000,$U176-4)),DATE(YEAR(INDEX($AN$5:$AN$1000,$U176-4)),MONTH(INDEX($AN$5:$AN$1000,$U176-4)),1),MesCiclo)),IF(ISNUMBER($AM176),DATE(YEAR($AM176),MONTH($AM176),1),IF(ISNUMBER($AN176),DATE(YEAR($AN176),MONTH($AN176),1),MesCiclo))))</f>
        <v/>
      </c>
      <c r="T176" s="62">
        <f>IF(OR($S176="",$S176&lt;&gt;MesCiclo),"",COUNTIF($S$5:$S176,MesCiclo))</f>
        <v/>
      </c>
      <c r="U176" s="62">
        <f>IF($V176="","",IF($V176="Macro",ROW(),IFERROR(LOOKUP(2,1/($V$5:$V176="Macro"),ROW($V$5:$V176)),0)))</f>
        <v/>
      </c>
      <c r="V176" s="62">
        <f>IF(NOT((COUNTA($B176:$D176)+COUNTA($G176:$L176)+COUNTA($Q176))&gt;0),"",IF($B176="Subactividad","Sub","Macro"))</f>
        <v/>
      </c>
      <c r="W176" s="62">
        <f>IF($V176="Macro",COUNTIFS($U$5:$U$1000,ROW(),$V$5:$V$1000,"Sub"),"")</f>
        <v/>
      </c>
      <c r="X176" s="62">
        <f>IF($V176="","",IF(ISNUMBER($G176),1,IFERROR(LOOKUP(2,1/($I176:$L176&lt;&gt;""),$I176:$L176),0)))</f>
        <v/>
      </c>
      <c r="Y176" s="62">
        <f>IF($V176="","",IF(AND(ISNUMBER($G176),$G176&lt;=IF($S176=MesCiclo,InicioCiclo,$S176+MOD(2-WEEKDAY($S176),7))+6),1,IF(ISNUMBER($I176),$I176,0)))</f>
        <v/>
      </c>
      <c r="Z176" s="62">
        <f>IF($V176="","",IF(AND(ISNUMBER($G176),$G176&lt;=IF($S176=MesCiclo,InicioCiclo,$S176+MOD(2-WEEKDAY($S176),7))+13),1,IF(ISNUMBER($J176),$J176,$Y176)))</f>
        <v/>
      </c>
      <c r="AA176" s="62">
        <f>IF($V176="","",IF(AND(ISNUMBER($G176),$G176&lt;=IF($S176=MesCiclo,InicioCiclo,$S176+MOD(2-WEEKDAY($S176),7))+20),1,IF(ISNUMBER($K176),$K176,$Z176)))</f>
        <v/>
      </c>
      <c r="AB176" s="62">
        <f>IF($V176="","",IF(AND(ISNUMBER($G176),$G176&lt;=IF($S176=MesCiclo,InicioCiclo,$S176+MOD(2-WEEKDAY($S176),7))+27),1,IF(ISNUMBER($L176),$L176,$AA176)))</f>
        <v/>
      </c>
      <c r="AC176" s="62">
        <f>IF($V176="","",IF(AND(ISNUMBER($G176),$G176&lt;=IF($S176=MesCiclo,InicioCiclo,$S176+MOD(2-WEEKDAY($S176),7))+6),1,IF(N($W176)&gt;0,AVERAGEIFS($Y$5:$Y$1000,$U$5:$U$1000,ROW(),$V$5:$V$1000,"Sub"),$Y176)))</f>
        <v/>
      </c>
      <c r="AD176" s="62">
        <f>IF($V176="","",IF(AND(ISNUMBER($G176),$G176&lt;=IF($S176=MesCiclo,InicioCiclo,$S176+MOD(2-WEEKDAY($S176),7))+13),1,IF(N($W176)&gt;0,AVERAGEIFS($Z$5:$Z$1000,$U$5:$U$1000,ROW(),$V$5:$V$1000,"Sub"),$Z176)))</f>
        <v/>
      </c>
      <c r="AE176" s="62">
        <f>IF($V176="","",IF(AND(ISNUMBER($G176),$G176&lt;=IF($S176=MesCiclo,InicioCiclo,$S176+MOD(2-WEEKDAY($S176),7))+20),1,IF(N($W176)&gt;0,AVERAGEIFS($AA$5:$AA$1000,$U$5:$U$1000,ROW(),$V$5:$V$1000,"Sub"),$AA176)))</f>
        <v/>
      </c>
      <c r="AF176" s="62">
        <f>IF($V176="","",IF(AND(ISNUMBER($G176),$G176&lt;=IF($S176=MesCiclo,InicioCiclo,$S176+MOD(2-WEEKDAY($S176),7))+27),1,IF(N($W176)&gt;0,AVERAGEIFS($AB$5:$AB$1000,$U$5:$U$1000,ROW(),$V$5:$V$1000,"Sub"),$AB176)))</f>
        <v/>
      </c>
      <c r="AG176" s="62">
        <f>IF($V176&lt;&gt;"Macro","",IF(COUNTIFS($S$5:$S$1000,$S176,$V$5:$V$1000,"Macro",$H$5:$H$1000,"&gt;0")=0,1/COUNTIFS($S$5:$S$1000,$S176,$V$5:$V$1000,"Macro"),IF(AND(ISNUMBER($H176),N($H176)&gt;0),$H176,SUMIFS($H$5:$H$1000,$S$5:$S$1000,$S176,$V$5:$V$1000,"Macro")/COUNTIFS($S$5:$S$1000,$S176,$V$5:$V$1000,"Macro",$H$5:$H$1000,"&gt;0"))/(COUNTIFS($S$5:$S$1000,$S176,$V$5:$V$1000,"Macro")*SUMIFS($H$5:$H$1000,$S$5:$S$1000,$S176,$V$5:$V$1000,"Macro")/COUNTIFS($S$5:$S$1000,$S176,$V$5:$V$1000,"Macro",$H$5:$H$1000,"&gt;0"))))</f>
        <v/>
      </c>
      <c r="AH176" s="62" t="n"/>
      <c r="AI176" s="62" t="n"/>
      <c r="AJ176" s="62" t="n"/>
      <c r="AK176" s="62" t="n"/>
      <c r="AL176" s="62">
        <f>IF(LEFT($C176,11)="[Jefatura] ",IFERROR(MATCH("Riesgo Financiero|"&amp;MID($C176,12,500),rDname_ADM,0),0),"")</f>
        <v/>
      </c>
      <c r="AM176" s="62">
        <f>IF(N($AL176)&gt;0,INDEX(rIni_ADM,$AL176),IF(ISNUMBER($E176),$E176,""))</f>
        <v/>
      </c>
      <c r="AN176" s="62">
        <f>IF(N($AL176)&gt;0,INDEX(rLim_ADM,$AL176),IF(ISNUMBER($F176),$F176,""))</f>
        <v/>
      </c>
    </row>
    <row r="177">
      <c r="A177" s="56">
        <f>IF(NOT((COUNTA($B177:$D177)+COUNTA($G177:$L177)+COUNTA($Q177))&gt;0),"",IF($V177="Macro",COUNTIFS($V$5:$V177,"Macro",$S$5:$S177,$S177),IF(N($U177)=0,"?",COUNTIFS(INDEX($V$5:$V$1000,1):INDEX($V$5:$V$1000,$U177-4),"Macro",INDEX($S$5:$S$1000,1):INDEX($S$5:$S$1000,$U177-4),INDEX($S$5:$S$1000,$U177-4))&amp;"."&amp;COUNTIFS($U$5:$U177,$U177,$V$5:$V177,"Sub"))))</f>
        <v/>
      </c>
      <c r="B177" s="57" t="n"/>
      <c r="C177" s="58" t="n"/>
      <c r="D177" s="58" t="n"/>
      <c r="E177" s="59">
        <f>IF(N($AL177)&gt;0,INDEX(rIni_ADM,$AL177),"")</f>
        <v/>
      </c>
      <c r="F177" s="59">
        <f>IF(N($AL177)&gt;0,INDEX(rLim_ADM,$AL177),"")</f>
        <v/>
      </c>
      <c r="G177" s="59" t="n"/>
      <c r="H177" s="60" t="n"/>
      <c r="I177" s="60" t="n"/>
      <c r="J177" s="60" t="n"/>
      <c r="K177" s="60" t="n"/>
      <c r="L177" s="60" t="n"/>
      <c r="M177" s="61">
        <f>IF(NOT((COUNTA($B177:$D177)+COUNTA($G177:$L177)+COUNTA($Q177))&gt;0),"",IF(ISNUMBER($G177),1,IF(N($W177)&gt;0,AVERAGEIFS($X$5:$X$1000,$U$5:$U$1000,ROW(),$V$5:$V$1000,"Sub"),$X177)))</f>
        <v/>
      </c>
      <c r="N177" s="56">
        <f>IF($M177="","",IF($M177&gt;=1,"Completado",IF($M177&gt;0,"En curso","Pendiente")))</f>
        <v/>
      </c>
      <c r="O177" s="56">
        <f>IF(NOT((COUNTA($B177:$D177)+COUNTA($G177:$L177)+COUNTA($Q177))&gt;0),"",IF(ISNUMBER($G177),IF(AND(ISNUMBER($AN177),$G177&gt;$AN177),"Cumplida con "&amp;($G177-$AN177)&amp;IF($G177-$AN177=1," día"," días")&amp;" de retraso","Cumplida"),IF(N($M177)&gt;=1,"Cumplida",IF(NOT(ISNUMBER($AN177)),"Sin fecha límite",IF($AN177&lt;FechaRef,"Vencida hace "&amp;(FechaRef-$AN177)&amp;IF(FechaRef-$AN177=1," día"," días"),IF($AN177=FechaRef,"Vence hoy",IF($AN177-FechaRef&lt;=DiasAlerta,"Vence en "&amp;($AN177-FechaRef)&amp;IF($AN177-FechaRef=1," día"," días"),"En plazo")))))))</f>
        <v/>
      </c>
      <c r="P177" s="62" t="n"/>
      <c r="Q177" s="58" t="n"/>
      <c r="R177" s="63">
        <f>IF(NOT((COUNTA($B177:$D177)+COUNTA($G177:$L177)+COUNTA($Q177))&gt;0),"",IF((IF($C177="","Falta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",""))="","✔ OK","⚠ "&amp;LEFT(IF($C177="","Falta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",""),LEN(IF($C177="","Falta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",""))-3)))</f>
        <v/>
      </c>
      <c r="S177" s="64">
        <f>IF(NOT((COUNTA($B177:$D177)+COUNTA($G177:$L177)+COUNTA($Q177))&gt;0),"",IF(AND($V177="Sub",N($U177)&gt;0),IF(ISNUMBER(INDEX($AM$5:$AM$1000,$U177-4)),DATE(YEAR(INDEX($AM$5:$AM$1000,$U177-4)),MONTH(INDEX($AM$5:$AM$1000,$U177-4)),1),IF(ISNUMBER(INDEX($AN$5:$AN$1000,$U177-4)),DATE(YEAR(INDEX($AN$5:$AN$1000,$U177-4)),MONTH(INDEX($AN$5:$AN$1000,$U177-4)),1),MesCiclo)),IF(ISNUMBER($AM177),DATE(YEAR($AM177),MONTH($AM177),1),IF(ISNUMBER($AN177),DATE(YEAR($AN177),MONTH($AN177),1),MesCiclo))))</f>
        <v/>
      </c>
      <c r="T177" s="62">
        <f>IF(OR($S177="",$S177&lt;&gt;MesCiclo),"",COUNTIF($S$5:$S177,MesCiclo))</f>
        <v/>
      </c>
      <c r="U177" s="62">
        <f>IF($V177="","",IF($V177="Macro",ROW(),IFERROR(LOOKUP(2,1/($V$5:$V177="Macro"),ROW($V$5:$V177)),0)))</f>
        <v/>
      </c>
      <c r="V177" s="62">
        <f>IF(NOT((COUNTA($B177:$D177)+COUNTA($G177:$L177)+COUNTA($Q177))&gt;0),"",IF($B177="Subactividad","Sub","Macro"))</f>
        <v/>
      </c>
      <c r="W177" s="62">
        <f>IF($V177="Macro",COUNTIFS($U$5:$U$1000,ROW(),$V$5:$V$1000,"Sub"),"")</f>
        <v/>
      </c>
      <c r="X177" s="62">
        <f>IF($V177="","",IF(ISNUMBER($G177),1,IFERROR(LOOKUP(2,1/($I177:$L177&lt;&gt;""),$I177:$L177),0)))</f>
        <v/>
      </c>
      <c r="Y177" s="62">
        <f>IF($V177="","",IF(AND(ISNUMBER($G177),$G177&lt;=IF($S177=MesCiclo,InicioCiclo,$S177+MOD(2-WEEKDAY($S177),7))+6),1,IF(ISNUMBER($I177),$I177,0)))</f>
        <v/>
      </c>
      <c r="Z177" s="62">
        <f>IF($V177="","",IF(AND(ISNUMBER($G177),$G177&lt;=IF($S177=MesCiclo,InicioCiclo,$S177+MOD(2-WEEKDAY($S177),7))+13),1,IF(ISNUMBER($J177),$J177,$Y177)))</f>
        <v/>
      </c>
      <c r="AA177" s="62">
        <f>IF($V177="","",IF(AND(ISNUMBER($G177),$G177&lt;=IF($S177=MesCiclo,InicioCiclo,$S177+MOD(2-WEEKDAY($S177),7))+20),1,IF(ISNUMBER($K177),$K177,$Z177)))</f>
        <v/>
      </c>
      <c r="AB177" s="62">
        <f>IF($V177="","",IF(AND(ISNUMBER($G177),$G177&lt;=IF($S177=MesCiclo,InicioCiclo,$S177+MOD(2-WEEKDAY($S177),7))+27),1,IF(ISNUMBER($L177),$L177,$AA177)))</f>
        <v/>
      </c>
      <c r="AC177" s="62">
        <f>IF($V177="","",IF(AND(ISNUMBER($G177),$G177&lt;=IF($S177=MesCiclo,InicioCiclo,$S177+MOD(2-WEEKDAY($S177),7))+6),1,IF(N($W177)&gt;0,AVERAGEIFS($Y$5:$Y$1000,$U$5:$U$1000,ROW(),$V$5:$V$1000,"Sub"),$Y177)))</f>
        <v/>
      </c>
      <c r="AD177" s="62">
        <f>IF($V177="","",IF(AND(ISNUMBER($G177),$G177&lt;=IF($S177=MesCiclo,InicioCiclo,$S177+MOD(2-WEEKDAY($S177),7))+13),1,IF(N($W177)&gt;0,AVERAGEIFS($Z$5:$Z$1000,$U$5:$U$1000,ROW(),$V$5:$V$1000,"Sub"),$Z177)))</f>
        <v/>
      </c>
      <c r="AE177" s="62">
        <f>IF($V177="","",IF(AND(ISNUMBER($G177),$G177&lt;=IF($S177=MesCiclo,InicioCiclo,$S177+MOD(2-WEEKDAY($S177),7))+20),1,IF(N($W177)&gt;0,AVERAGEIFS($AA$5:$AA$1000,$U$5:$U$1000,ROW(),$V$5:$V$1000,"Sub"),$AA177)))</f>
        <v/>
      </c>
      <c r="AF177" s="62">
        <f>IF($V177="","",IF(AND(ISNUMBER($G177),$G177&lt;=IF($S177=MesCiclo,InicioCiclo,$S177+MOD(2-WEEKDAY($S177),7))+27),1,IF(N($W177)&gt;0,AVERAGEIFS($AB$5:$AB$1000,$U$5:$U$1000,ROW(),$V$5:$V$1000,"Sub"),$AB177)))</f>
        <v/>
      </c>
      <c r="AG177" s="62">
        <f>IF($V177&lt;&gt;"Macro","",IF(COUNTIFS($S$5:$S$1000,$S177,$V$5:$V$1000,"Macro",$H$5:$H$1000,"&gt;0")=0,1/COUNTIFS($S$5:$S$1000,$S177,$V$5:$V$1000,"Macro"),IF(AND(ISNUMBER($H177),N($H177)&gt;0),$H177,SUMIFS($H$5:$H$1000,$S$5:$S$1000,$S177,$V$5:$V$1000,"Macro")/COUNTIFS($S$5:$S$1000,$S177,$V$5:$V$1000,"Macro",$H$5:$H$1000,"&gt;0"))/(COUNTIFS($S$5:$S$1000,$S177,$V$5:$V$1000,"Macro")*SUMIFS($H$5:$H$1000,$S$5:$S$1000,$S177,$V$5:$V$1000,"Macro")/COUNTIFS($S$5:$S$1000,$S177,$V$5:$V$1000,"Macro",$H$5:$H$1000,"&gt;0"))))</f>
        <v/>
      </c>
      <c r="AH177" s="62" t="n"/>
      <c r="AI177" s="62" t="n"/>
      <c r="AJ177" s="62" t="n"/>
      <c r="AK177" s="62" t="n"/>
      <c r="AL177" s="62">
        <f>IF(LEFT($C177,11)="[Jefatura] ",IFERROR(MATCH("Riesgo Financiero|"&amp;MID($C177,12,500),rDname_ADM,0),0),"")</f>
        <v/>
      </c>
      <c r="AM177" s="62">
        <f>IF(N($AL177)&gt;0,INDEX(rIni_ADM,$AL177),IF(ISNUMBER($E177),$E177,""))</f>
        <v/>
      </c>
      <c r="AN177" s="62">
        <f>IF(N($AL177)&gt;0,INDEX(rLim_ADM,$AL177),IF(ISNUMBER($F177),$F177,""))</f>
        <v/>
      </c>
    </row>
    <row r="178">
      <c r="A178" s="56">
        <f>IF(NOT((COUNTA($B178:$D178)+COUNTA($G178:$L178)+COUNTA($Q178))&gt;0),"",IF($V178="Macro",COUNTIFS($V$5:$V178,"Macro",$S$5:$S178,$S178),IF(N($U178)=0,"?",COUNTIFS(INDEX($V$5:$V$1000,1):INDEX($V$5:$V$1000,$U178-4),"Macro",INDEX($S$5:$S$1000,1):INDEX($S$5:$S$1000,$U178-4),INDEX($S$5:$S$1000,$U178-4))&amp;"."&amp;COUNTIFS($U$5:$U178,$U178,$V$5:$V178,"Sub"))))</f>
        <v/>
      </c>
      <c r="B178" s="57" t="n"/>
      <c r="C178" s="58" t="n"/>
      <c r="D178" s="58" t="n"/>
      <c r="E178" s="59">
        <f>IF(N($AL178)&gt;0,INDEX(rIni_ADM,$AL178),"")</f>
        <v/>
      </c>
      <c r="F178" s="59">
        <f>IF(N($AL178)&gt;0,INDEX(rLim_ADM,$AL178),"")</f>
        <v/>
      </c>
      <c r="G178" s="59" t="n"/>
      <c r="H178" s="60" t="n"/>
      <c r="I178" s="60" t="n"/>
      <c r="J178" s="60" t="n"/>
      <c r="K178" s="60" t="n"/>
      <c r="L178" s="60" t="n"/>
      <c r="M178" s="61">
        <f>IF(NOT((COUNTA($B178:$D178)+COUNTA($G178:$L178)+COUNTA($Q178))&gt;0),"",IF(ISNUMBER($G178),1,IF(N($W178)&gt;0,AVERAGEIFS($X$5:$X$1000,$U$5:$U$1000,ROW(),$V$5:$V$1000,"Sub"),$X178)))</f>
        <v/>
      </c>
      <c r="N178" s="56">
        <f>IF($M178="","",IF($M178&gt;=1,"Completado",IF($M178&gt;0,"En curso","Pendiente")))</f>
        <v/>
      </c>
      <c r="O178" s="56">
        <f>IF(NOT((COUNTA($B178:$D178)+COUNTA($G178:$L178)+COUNTA($Q178))&gt;0),"",IF(ISNUMBER($G178),IF(AND(ISNUMBER($AN178),$G178&gt;$AN178),"Cumplida con "&amp;($G178-$AN178)&amp;IF($G178-$AN178=1," día"," días")&amp;" de retraso","Cumplida"),IF(N($M178)&gt;=1,"Cumplida",IF(NOT(ISNUMBER($AN178)),"Sin fecha límite",IF($AN178&lt;FechaRef,"Vencida hace "&amp;(FechaRef-$AN178)&amp;IF(FechaRef-$AN178=1," día"," días"),IF($AN178=FechaRef,"Vence hoy",IF($AN178-FechaRef&lt;=DiasAlerta,"Vence en "&amp;($AN178-FechaRef)&amp;IF($AN178-FechaRef=1," día"," días"),"En plazo")))))))</f>
        <v/>
      </c>
      <c r="P178" s="62" t="n"/>
      <c r="Q178" s="58" t="n"/>
      <c r="R178" s="63">
        <f>IF(NOT((COUNTA($B178:$D178)+COUNTA($G178:$L178)+COUNTA($Q178))&gt;0),"",IF((IF($C178="","Falta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",""))="","✔ OK","⚠ "&amp;LEFT(IF($C178="","Falta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",""),LEN(IF($C178="","Falta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",""))-3)))</f>
        <v/>
      </c>
      <c r="S178" s="64">
        <f>IF(NOT((COUNTA($B178:$D178)+COUNTA($G178:$L178)+COUNTA($Q178))&gt;0),"",IF(AND($V178="Sub",N($U178)&gt;0),IF(ISNUMBER(INDEX($AM$5:$AM$1000,$U178-4)),DATE(YEAR(INDEX($AM$5:$AM$1000,$U178-4)),MONTH(INDEX($AM$5:$AM$1000,$U178-4)),1),IF(ISNUMBER(INDEX($AN$5:$AN$1000,$U178-4)),DATE(YEAR(INDEX($AN$5:$AN$1000,$U178-4)),MONTH(INDEX($AN$5:$AN$1000,$U178-4)),1),MesCiclo)),IF(ISNUMBER($AM178),DATE(YEAR($AM178),MONTH($AM178),1),IF(ISNUMBER($AN178),DATE(YEAR($AN178),MONTH($AN178),1),MesCiclo))))</f>
        <v/>
      </c>
      <c r="T178" s="62">
        <f>IF(OR($S178="",$S178&lt;&gt;MesCiclo),"",COUNTIF($S$5:$S178,MesCiclo))</f>
        <v/>
      </c>
      <c r="U178" s="62">
        <f>IF($V178="","",IF($V178="Macro",ROW(),IFERROR(LOOKUP(2,1/($V$5:$V178="Macro"),ROW($V$5:$V178)),0)))</f>
        <v/>
      </c>
      <c r="V178" s="62">
        <f>IF(NOT((COUNTA($B178:$D178)+COUNTA($G178:$L178)+COUNTA($Q178))&gt;0),"",IF($B178="Subactividad","Sub","Macro"))</f>
        <v/>
      </c>
      <c r="W178" s="62">
        <f>IF($V178="Macro",COUNTIFS($U$5:$U$1000,ROW(),$V$5:$V$1000,"Sub"),"")</f>
        <v/>
      </c>
      <c r="X178" s="62">
        <f>IF($V178="","",IF(ISNUMBER($G178),1,IFERROR(LOOKUP(2,1/($I178:$L178&lt;&gt;""),$I178:$L178),0)))</f>
        <v/>
      </c>
      <c r="Y178" s="62">
        <f>IF($V178="","",IF(AND(ISNUMBER($G178),$G178&lt;=IF($S178=MesCiclo,InicioCiclo,$S178+MOD(2-WEEKDAY($S178),7))+6),1,IF(ISNUMBER($I178),$I178,0)))</f>
        <v/>
      </c>
      <c r="Z178" s="62">
        <f>IF($V178="","",IF(AND(ISNUMBER($G178),$G178&lt;=IF($S178=MesCiclo,InicioCiclo,$S178+MOD(2-WEEKDAY($S178),7))+13),1,IF(ISNUMBER($J178),$J178,$Y178)))</f>
        <v/>
      </c>
      <c r="AA178" s="62">
        <f>IF($V178="","",IF(AND(ISNUMBER($G178),$G178&lt;=IF($S178=MesCiclo,InicioCiclo,$S178+MOD(2-WEEKDAY($S178),7))+20),1,IF(ISNUMBER($K178),$K178,$Z178)))</f>
        <v/>
      </c>
      <c r="AB178" s="62">
        <f>IF($V178="","",IF(AND(ISNUMBER($G178),$G178&lt;=IF($S178=MesCiclo,InicioCiclo,$S178+MOD(2-WEEKDAY($S178),7))+27),1,IF(ISNUMBER($L178),$L178,$AA178)))</f>
        <v/>
      </c>
      <c r="AC178" s="62">
        <f>IF($V178="","",IF(AND(ISNUMBER($G178),$G178&lt;=IF($S178=MesCiclo,InicioCiclo,$S178+MOD(2-WEEKDAY($S178),7))+6),1,IF(N($W178)&gt;0,AVERAGEIFS($Y$5:$Y$1000,$U$5:$U$1000,ROW(),$V$5:$V$1000,"Sub"),$Y178)))</f>
        <v/>
      </c>
      <c r="AD178" s="62">
        <f>IF($V178="","",IF(AND(ISNUMBER($G178),$G178&lt;=IF($S178=MesCiclo,InicioCiclo,$S178+MOD(2-WEEKDAY($S178),7))+13),1,IF(N($W178)&gt;0,AVERAGEIFS($Z$5:$Z$1000,$U$5:$U$1000,ROW(),$V$5:$V$1000,"Sub"),$Z178)))</f>
        <v/>
      </c>
      <c r="AE178" s="62">
        <f>IF($V178="","",IF(AND(ISNUMBER($G178),$G178&lt;=IF($S178=MesCiclo,InicioCiclo,$S178+MOD(2-WEEKDAY($S178),7))+20),1,IF(N($W178)&gt;0,AVERAGEIFS($AA$5:$AA$1000,$U$5:$U$1000,ROW(),$V$5:$V$1000,"Sub"),$AA178)))</f>
        <v/>
      </c>
      <c r="AF178" s="62">
        <f>IF($V178="","",IF(AND(ISNUMBER($G178),$G178&lt;=IF($S178=MesCiclo,InicioCiclo,$S178+MOD(2-WEEKDAY($S178),7))+27),1,IF(N($W178)&gt;0,AVERAGEIFS($AB$5:$AB$1000,$U$5:$U$1000,ROW(),$V$5:$V$1000,"Sub"),$AB178)))</f>
        <v/>
      </c>
      <c r="AG178" s="62">
        <f>IF($V178&lt;&gt;"Macro","",IF(COUNTIFS($S$5:$S$1000,$S178,$V$5:$V$1000,"Macro",$H$5:$H$1000,"&gt;0")=0,1/COUNTIFS($S$5:$S$1000,$S178,$V$5:$V$1000,"Macro"),IF(AND(ISNUMBER($H178),N($H178)&gt;0),$H178,SUMIFS($H$5:$H$1000,$S$5:$S$1000,$S178,$V$5:$V$1000,"Macro")/COUNTIFS($S$5:$S$1000,$S178,$V$5:$V$1000,"Macro",$H$5:$H$1000,"&gt;0"))/(COUNTIFS($S$5:$S$1000,$S178,$V$5:$V$1000,"Macro")*SUMIFS($H$5:$H$1000,$S$5:$S$1000,$S178,$V$5:$V$1000,"Macro")/COUNTIFS($S$5:$S$1000,$S178,$V$5:$V$1000,"Macro",$H$5:$H$1000,"&gt;0"))))</f>
        <v/>
      </c>
      <c r="AH178" s="62" t="n"/>
      <c r="AI178" s="62" t="n"/>
      <c r="AJ178" s="62" t="n"/>
      <c r="AK178" s="62" t="n"/>
      <c r="AL178" s="62">
        <f>IF(LEFT($C178,11)="[Jefatura] ",IFERROR(MATCH("Riesgo Financiero|"&amp;MID($C178,12,500),rDname_ADM,0),0),"")</f>
        <v/>
      </c>
      <c r="AM178" s="62">
        <f>IF(N($AL178)&gt;0,INDEX(rIni_ADM,$AL178),IF(ISNUMBER($E178),$E178,""))</f>
        <v/>
      </c>
      <c r="AN178" s="62">
        <f>IF(N($AL178)&gt;0,INDEX(rLim_ADM,$AL178),IF(ISNUMBER($F178),$F178,""))</f>
        <v/>
      </c>
    </row>
    <row r="179">
      <c r="A179" s="56">
        <f>IF(NOT((COUNTA($B179:$D179)+COUNTA($G179:$L179)+COUNTA($Q179))&gt;0),"",IF($V179="Macro",COUNTIFS($V$5:$V179,"Macro",$S$5:$S179,$S179),IF(N($U179)=0,"?",COUNTIFS(INDEX($V$5:$V$1000,1):INDEX($V$5:$V$1000,$U179-4),"Macro",INDEX($S$5:$S$1000,1):INDEX($S$5:$S$1000,$U179-4),INDEX($S$5:$S$1000,$U179-4))&amp;"."&amp;COUNTIFS($U$5:$U179,$U179,$V$5:$V179,"Sub"))))</f>
        <v/>
      </c>
      <c r="B179" s="57" t="n"/>
      <c r="C179" s="58" t="n"/>
      <c r="D179" s="58" t="n"/>
      <c r="E179" s="59">
        <f>IF(N($AL179)&gt;0,INDEX(rIni_ADM,$AL179),"")</f>
        <v/>
      </c>
      <c r="F179" s="59">
        <f>IF(N($AL179)&gt;0,INDEX(rLim_ADM,$AL179),"")</f>
        <v/>
      </c>
      <c r="G179" s="59" t="n"/>
      <c r="H179" s="60" t="n"/>
      <c r="I179" s="60" t="n"/>
      <c r="J179" s="60" t="n"/>
      <c r="K179" s="60" t="n"/>
      <c r="L179" s="60" t="n"/>
      <c r="M179" s="61">
        <f>IF(NOT((COUNTA($B179:$D179)+COUNTA($G179:$L179)+COUNTA($Q179))&gt;0),"",IF(ISNUMBER($G179),1,IF(N($W179)&gt;0,AVERAGEIFS($X$5:$X$1000,$U$5:$U$1000,ROW(),$V$5:$V$1000,"Sub"),$X179)))</f>
        <v/>
      </c>
      <c r="N179" s="56">
        <f>IF($M179="","",IF($M179&gt;=1,"Completado",IF($M179&gt;0,"En curso","Pendiente")))</f>
        <v/>
      </c>
      <c r="O179" s="56">
        <f>IF(NOT((COUNTA($B179:$D179)+COUNTA($G179:$L179)+COUNTA($Q179))&gt;0),"",IF(ISNUMBER($G179),IF(AND(ISNUMBER($AN179),$G179&gt;$AN179),"Cumplida con "&amp;($G179-$AN179)&amp;IF($G179-$AN179=1," día"," días")&amp;" de retraso","Cumplida"),IF(N($M179)&gt;=1,"Cumplida",IF(NOT(ISNUMBER($AN179)),"Sin fecha límite",IF($AN179&lt;FechaRef,"Vencida hace "&amp;(FechaRef-$AN179)&amp;IF(FechaRef-$AN179=1," día"," días"),IF($AN179=FechaRef,"Vence hoy",IF($AN179-FechaRef&lt;=DiasAlerta,"Vence en "&amp;($AN179-FechaRef)&amp;IF($AN179-FechaRef=1," día"," días"),"En plazo")))))))</f>
        <v/>
      </c>
      <c r="P179" s="62" t="n"/>
      <c r="Q179" s="58" t="n"/>
      <c r="R179" s="63">
        <f>IF(NOT((COUNTA($B179:$D179)+COUNTA($G179:$L179)+COUNTA($Q179))&gt;0),"",IF((IF($C179="","Falta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",""))="","✔ OK","⚠ "&amp;LEFT(IF($C179="","Falta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",""),LEN(IF($C179="","Falta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",""))-3)))</f>
        <v/>
      </c>
      <c r="S179" s="64">
        <f>IF(NOT((COUNTA($B179:$D179)+COUNTA($G179:$L179)+COUNTA($Q179))&gt;0),"",IF(AND($V179="Sub",N($U179)&gt;0),IF(ISNUMBER(INDEX($AM$5:$AM$1000,$U179-4)),DATE(YEAR(INDEX($AM$5:$AM$1000,$U179-4)),MONTH(INDEX($AM$5:$AM$1000,$U179-4)),1),IF(ISNUMBER(INDEX($AN$5:$AN$1000,$U179-4)),DATE(YEAR(INDEX($AN$5:$AN$1000,$U179-4)),MONTH(INDEX($AN$5:$AN$1000,$U179-4)),1),MesCiclo)),IF(ISNUMBER($AM179),DATE(YEAR($AM179),MONTH($AM179),1),IF(ISNUMBER($AN179),DATE(YEAR($AN179),MONTH($AN179),1),MesCiclo))))</f>
        <v/>
      </c>
      <c r="T179" s="62">
        <f>IF(OR($S179="",$S179&lt;&gt;MesCiclo),"",COUNTIF($S$5:$S179,MesCiclo))</f>
        <v/>
      </c>
      <c r="U179" s="62">
        <f>IF($V179="","",IF($V179="Macro",ROW(),IFERROR(LOOKUP(2,1/($V$5:$V179="Macro"),ROW($V$5:$V179)),0)))</f>
        <v/>
      </c>
      <c r="V179" s="62">
        <f>IF(NOT((COUNTA($B179:$D179)+COUNTA($G179:$L179)+COUNTA($Q179))&gt;0),"",IF($B179="Subactividad","Sub","Macro"))</f>
        <v/>
      </c>
      <c r="W179" s="62">
        <f>IF($V179="Macro",COUNTIFS($U$5:$U$1000,ROW(),$V$5:$V$1000,"Sub"),"")</f>
        <v/>
      </c>
      <c r="X179" s="62">
        <f>IF($V179="","",IF(ISNUMBER($G179),1,IFERROR(LOOKUP(2,1/($I179:$L179&lt;&gt;""),$I179:$L179),0)))</f>
        <v/>
      </c>
      <c r="Y179" s="62">
        <f>IF($V179="","",IF(AND(ISNUMBER($G179),$G179&lt;=IF($S179=MesCiclo,InicioCiclo,$S179+MOD(2-WEEKDAY($S179),7))+6),1,IF(ISNUMBER($I179),$I179,0)))</f>
        <v/>
      </c>
      <c r="Z179" s="62">
        <f>IF($V179="","",IF(AND(ISNUMBER($G179),$G179&lt;=IF($S179=MesCiclo,InicioCiclo,$S179+MOD(2-WEEKDAY($S179),7))+13),1,IF(ISNUMBER($J179),$J179,$Y179)))</f>
        <v/>
      </c>
      <c r="AA179" s="62">
        <f>IF($V179="","",IF(AND(ISNUMBER($G179),$G179&lt;=IF($S179=MesCiclo,InicioCiclo,$S179+MOD(2-WEEKDAY($S179),7))+20),1,IF(ISNUMBER($K179),$K179,$Z179)))</f>
        <v/>
      </c>
      <c r="AB179" s="62">
        <f>IF($V179="","",IF(AND(ISNUMBER($G179),$G179&lt;=IF($S179=MesCiclo,InicioCiclo,$S179+MOD(2-WEEKDAY($S179),7))+27),1,IF(ISNUMBER($L179),$L179,$AA179)))</f>
        <v/>
      </c>
      <c r="AC179" s="62">
        <f>IF($V179="","",IF(AND(ISNUMBER($G179),$G179&lt;=IF($S179=MesCiclo,InicioCiclo,$S179+MOD(2-WEEKDAY($S179),7))+6),1,IF(N($W179)&gt;0,AVERAGEIFS($Y$5:$Y$1000,$U$5:$U$1000,ROW(),$V$5:$V$1000,"Sub"),$Y179)))</f>
        <v/>
      </c>
      <c r="AD179" s="62">
        <f>IF($V179="","",IF(AND(ISNUMBER($G179),$G179&lt;=IF($S179=MesCiclo,InicioCiclo,$S179+MOD(2-WEEKDAY($S179),7))+13),1,IF(N($W179)&gt;0,AVERAGEIFS($Z$5:$Z$1000,$U$5:$U$1000,ROW(),$V$5:$V$1000,"Sub"),$Z179)))</f>
        <v/>
      </c>
      <c r="AE179" s="62">
        <f>IF($V179="","",IF(AND(ISNUMBER($G179),$G179&lt;=IF($S179=MesCiclo,InicioCiclo,$S179+MOD(2-WEEKDAY($S179),7))+20),1,IF(N($W179)&gt;0,AVERAGEIFS($AA$5:$AA$1000,$U$5:$U$1000,ROW(),$V$5:$V$1000,"Sub"),$AA179)))</f>
        <v/>
      </c>
      <c r="AF179" s="62">
        <f>IF($V179="","",IF(AND(ISNUMBER($G179),$G179&lt;=IF($S179=MesCiclo,InicioCiclo,$S179+MOD(2-WEEKDAY($S179),7))+27),1,IF(N($W179)&gt;0,AVERAGEIFS($AB$5:$AB$1000,$U$5:$U$1000,ROW(),$V$5:$V$1000,"Sub"),$AB179)))</f>
        <v/>
      </c>
      <c r="AG179" s="62">
        <f>IF($V179&lt;&gt;"Macro","",IF(COUNTIFS($S$5:$S$1000,$S179,$V$5:$V$1000,"Macro",$H$5:$H$1000,"&gt;0")=0,1/COUNTIFS($S$5:$S$1000,$S179,$V$5:$V$1000,"Macro"),IF(AND(ISNUMBER($H179),N($H179)&gt;0),$H179,SUMIFS($H$5:$H$1000,$S$5:$S$1000,$S179,$V$5:$V$1000,"Macro")/COUNTIFS($S$5:$S$1000,$S179,$V$5:$V$1000,"Macro",$H$5:$H$1000,"&gt;0"))/(COUNTIFS($S$5:$S$1000,$S179,$V$5:$V$1000,"Macro")*SUMIFS($H$5:$H$1000,$S$5:$S$1000,$S179,$V$5:$V$1000,"Macro")/COUNTIFS($S$5:$S$1000,$S179,$V$5:$V$1000,"Macro",$H$5:$H$1000,"&gt;0"))))</f>
        <v/>
      </c>
      <c r="AH179" s="62" t="n"/>
      <c r="AI179" s="62" t="n"/>
      <c r="AJ179" s="62" t="n"/>
      <c r="AK179" s="62" t="n"/>
      <c r="AL179" s="62">
        <f>IF(LEFT($C179,11)="[Jefatura] ",IFERROR(MATCH("Riesgo Financiero|"&amp;MID($C179,12,500),rDname_ADM,0),0),"")</f>
        <v/>
      </c>
      <c r="AM179" s="62">
        <f>IF(N($AL179)&gt;0,INDEX(rIni_ADM,$AL179),IF(ISNUMBER($E179),$E179,""))</f>
        <v/>
      </c>
      <c r="AN179" s="62">
        <f>IF(N($AL179)&gt;0,INDEX(rLim_ADM,$AL179),IF(ISNUMBER($F179),$F179,""))</f>
        <v/>
      </c>
    </row>
    <row r="180">
      <c r="A180" s="56">
        <f>IF(NOT((COUNTA($B180:$D180)+COUNTA($G180:$L180)+COUNTA($Q180))&gt;0),"",IF($V180="Macro",COUNTIFS($V$5:$V180,"Macro",$S$5:$S180,$S180),IF(N($U180)=0,"?",COUNTIFS(INDEX($V$5:$V$1000,1):INDEX($V$5:$V$1000,$U180-4),"Macro",INDEX($S$5:$S$1000,1):INDEX($S$5:$S$1000,$U180-4),INDEX($S$5:$S$1000,$U180-4))&amp;"."&amp;COUNTIFS($U$5:$U180,$U180,$V$5:$V180,"Sub"))))</f>
        <v/>
      </c>
      <c r="B180" s="57" t="n"/>
      <c r="C180" s="58" t="n"/>
      <c r="D180" s="58" t="n"/>
      <c r="E180" s="59">
        <f>IF(N($AL180)&gt;0,INDEX(rIni_ADM,$AL180),"")</f>
        <v/>
      </c>
      <c r="F180" s="59">
        <f>IF(N($AL180)&gt;0,INDEX(rLim_ADM,$AL180),"")</f>
        <v/>
      </c>
      <c r="G180" s="59" t="n"/>
      <c r="H180" s="60" t="n"/>
      <c r="I180" s="60" t="n"/>
      <c r="J180" s="60" t="n"/>
      <c r="K180" s="60" t="n"/>
      <c r="L180" s="60" t="n"/>
      <c r="M180" s="61">
        <f>IF(NOT((COUNTA($B180:$D180)+COUNTA($G180:$L180)+COUNTA($Q180))&gt;0),"",IF(ISNUMBER($G180),1,IF(N($W180)&gt;0,AVERAGEIFS($X$5:$X$1000,$U$5:$U$1000,ROW(),$V$5:$V$1000,"Sub"),$X180)))</f>
        <v/>
      </c>
      <c r="N180" s="56">
        <f>IF($M180="","",IF($M180&gt;=1,"Completado",IF($M180&gt;0,"En curso","Pendiente")))</f>
        <v/>
      </c>
      <c r="O180" s="56">
        <f>IF(NOT((COUNTA($B180:$D180)+COUNTA($G180:$L180)+COUNTA($Q180))&gt;0),"",IF(ISNUMBER($G180),IF(AND(ISNUMBER($AN180),$G180&gt;$AN180),"Cumplida con "&amp;($G180-$AN180)&amp;IF($G180-$AN180=1," día"," días")&amp;" de retraso","Cumplida"),IF(N($M180)&gt;=1,"Cumplida",IF(NOT(ISNUMBER($AN180)),"Sin fecha límite",IF($AN180&lt;FechaRef,"Vencida hace "&amp;(FechaRef-$AN180)&amp;IF(FechaRef-$AN180=1," día"," días"),IF($AN180=FechaRef,"Vence hoy",IF($AN180-FechaRef&lt;=DiasAlerta,"Vence en "&amp;($AN180-FechaRef)&amp;IF($AN180-FechaRef=1," día"," días"),"En plazo")))))))</f>
        <v/>
      </c>
      <c r="P180" s="62" t="n"/>
      <c r="Q180" s="58" t="n"/>
      <c r="R180" s="63">
        <f>IF(NOT((COUNTA($B180:$D180)+COUNTA($G180:$L180)+COUNTA($Q180))&gt;0),"",IF((IF($C180="","Falta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",""))="","✔ OK","⚠ "&amp;LEFT(IF($C180="","Falta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",""),LEN(IF($C180="","Falta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",""))-3)))</f>
        <v/>
      </c>
      <c r="S180" s="64">
        <f>IF(NOT((COUNTA($B180:$D180)+COUNTA($G180:$L180)+COUNTA($Q180))&gt;0),"",IF(AND($V180="Sub",N($U180)&gt;0),IF(ISNUMBER(INDEX($AM$5:$AM$1000,$U180-4)),DATE(YEAR(INDEX($AM$5:$AM$1000,$U180-4)),MONTH(INDEX($AM$5:$AM$1000,$U180-4)),1),IF(ISNUMBER(INDEX($AN$5:$AN$1000,$U180-4)),DATE(YEAR(INDEX($AN$5:$AN$1000,$U180-4)),MONTH(INDEX($AN$5:$AN$1000,$U180-4)),1),MesCiclo)),IF(ISNUMBER($AM180),DATE(YEAR($AM180),MONTH($AM180),1),IF(ISNUMBER($AN180),DATE(YEAR($AN180),MONTH($AN180),1),MesCiclo))))</f>
        <v/>
      </c>
      <c r="T180" s="62">
        <f>IF(OR($S180="",$S180&lt;&gt;MesCiclo),"",COUNTIF($S$5:$S180,MesCiclo))</f>
        <v/>
      </c>
      <c r="U180" s="62">
        <f>IF($V180="","",IF($V180="Macro",ROW(),IFERROR(LOOKUP(2,1/($V$5:$V180="Macro"),ROW($V$5:$V180)),0)))</f>
        <v/>
      </c>
      <c r="V180" s="62">
        <f>IF(NOT((COUNTA($B180:$D180)+COUNTA($G180:$L180)+COUNTA($Q180))&gt;0),"",IF($B180="Subactividad","Sub","Macro"))</f>
        <v/>
      </c>
      <c r="W180" s="62">
        <f>IF($V180="Macro",COUNTIFS($U$5:$U$1000,ROW(),$V$5:$V$1000,"Sub"),"")</f>
        <v/>
      </c>
      <c r="X180" s="62">
        <f>IF($V180="","",IF(ISNUMBER($G180),1,IFERROR(LOOKUP(2,1/($I180:$L180&lt;&gt;""),$I180:$L180),0)))</f>
        <v/>
      </c>
      <c r="Y180" s="62">
        <f>IF($V180="","",IF(AND(ISNUMBER($G180),$G180&lt;=IF($S180=MesCiclo,InicioCiclo,$S180+MOD(2-WEEKDAY($S180),7))+6),1,IF(ISNUMBER($I180),$I180,0)))</f>
        <v/>
      </c>
      <c r="Z180" s="62">
        <f>IF($V180="","",IF(AND(ISNUMBER($G180),$G180&lt;=IF($S180=MesCiclo,InicioCiclo,$S180+MOD(2-WEEKDAY($S180),7))+13),1,IF(ISNUMBER($J180),$J180,$Y180)))</f>
        <v/>
      </c>
      <c r="AA180" s="62">
        <f>IF($V180="","",IF(AND(ISNUMBER($G180),$G180&lt;=IF($S180=MesCiclo,InicioCiclo,$S180+MOD(2-WEEKDAY($S180),7))+20),1,IF(ISNUMBER($K180),$K180,$Z180)))</f>
        <v/>
      </c>
      <c r="AB180" s="62">
        <f>IF($V180="","",IF(AND(ISNUMBER($G180),$G180&lt;=IF($S180=MesCiclo,InicioCiclo,$S180+MOD(2-WEEKDAY($S180),7))+27),1,IF(ISNUMBER($L180),$L180,$AA180)))</f>
        <v/>
      </c>
      <c r="AC180" s="62">
        <f>IF($V180="","",IF(AND(ISNUMBER($G180),$G180&lt;=IF($S180=MesCiclo,InicioCiclo,$S180+MOD(2-WEEKDAY($S180),7))+6),1,IF(N($W180)&gt;0,AVERAGEIFS($Y$5:$Y$1000,$U$5:$U$1000,ROW(),$V$5:$V$1000,"Sub"),$Y180)))</f>
        <v/>
      </c>
      <c r="AD180" s="62">
        <f>IF($V180="","",IF(AND(ISNUMBER($G180),$G180&lt;=IF($S180=MesCiclo,InicioCiclo,$S180+MOD(2-WEEKDAY($S180),7))+13),1,IF(N($W180)&gt;0,AVERAGEIFS($Z$5:$Z$1000,$U$5:$U$1000,ROW(),$V$5:$V$1000,"Sub"),$Z180)))</f>
        <v/>
      </c>
      <c r="AE180" s="62">
        <f>IF($V180="","",IF(AND(ISNUMBER($G180),$G180&lt;=IF($S180=MesCiclo,InicioCiclo,$S180+MOD(2-WEEKDAY($S180),7))+20),1,IF(N($W180)&gt;0,AVERAGEIFS($AA$5:$AA$1000,$U$5:$U$1000,ROW(),$V$5:$V$1000,"Sub"),$AA180)))</f>
        <v/>
      </c>
      <c r="AF180" s="62">
        <f>IF($V180="","",IF(AND(ISNUMBER($G180),$G180&lt;=IF($S180=MesCiclo,InicioCiclo,$S180+MOD(2-WEEKDAY($S180),7))+27),1,IF(N($W180)&gt;0,AVERAGEIFS($AB$5:$AB$1000,$U$5:$U$1000,ROW(),$V$5:$V$1000,"Sub"),$AB180)))</f>
        <v/>
      </c>
      <c r="AG180" s="62">
        <f>IF($V180&lt;&gt;"Macro","",IF(COUNTIFS($S$5:$S$1000,$S180,$V$5:$V$1000,"Macro",$H$5:$H$1000,"&gt;0")=0,1/COUNTIFS($S$5:$S$1000,$S180,$V$5:$V$1000,"Macro"),IF(AND(ISNUMBER($H180),N($H180)&gt;0),$H180,SUMIFS($H$5:$H$1000,$S$5:$S$1000,$S180,$V$5:$V$1000,"Macro")/COUNTIFS($S$5:$S$1000,$S180,$V$5:$V$1000,"Macro",$H$5:$H$1000,"&gt;0"))/(COUNTIFS($S$5:$S$1000,$S180,$V$5:$V$1000,"Macro")*SUMIFS($H$5:$H$1000,$S$5:$S$1000,$S180,$V$5:$V$1000,"Macro")/COUNTIFS($S$5:$S$1000,$S180,$V$5:$V$1000,"Macro",$H$5:$H$1000,"&gt;0"))))</f>
        <v/>
      </c>
      <c r="AH180" s="62" t="n"/>
      <c r="AI180" s="62" t="n"/>
      <c r="AJ180" s="62" t="n"/>
      <c r="AK180" s="62" t="n"/>
      <c r="AL180" s="62">
        <f>IF(LEFT($C180,11)="[Jefatura] ",IFERROR(MATCH("Riesgo Financiero|"&amp;MID($C180,12,500),rDname_ADM,0),0),"")</f>
        <v/>
      </c>
      <c r="AM180" s="62">
        <f>IF(N($AL180)&gt;0,INDEX(rIni_ADM,$AL180),IF(ISNUMBER($E180),$E180,""))</f>
        <v/>
      </c>
      <c r="AN180" s="62">
        <f>IF(N($AL180)&gt;0,INDEX(rLim_ADM,$AL180),IF(ISNUMBER($F180),$F180,""))</f>
        <v/>
      </c>
    </row>
    <row r="181">
      <c r="A181" s="56">
        <f>IF(NOT((COUNTA($B181:$D181)+COUNTA($G181:$L181)+COUNTA($Q181))&gt;0),"",IF($V181="Macro",COUNTIFS($V$5:$V181,"Macro",$S$5:$S181,$S181),IF(N($U181)=0,"?",COUNTIFS(INDEX($V$5:$V$1000,1):INDEX($V$5:$V$1000,$U181-4),"Macro",INDEX($S$5:$S$1000,1):INDEX($S$5:$S$1000,$U181-4),INDEX($S$5:$S$1000,$U181-4))&amp;"."&amp;COUNTIFS($U$5:$U181,$U181,$V$5:$V181,"Sub"))))</f>
        <v/>
      </c>
      <c r="B181" s="57" t="n"/>
      <c r="C181" s="58" t="n"/>
      <c r="D181" s="58" t="n"/>
      <c r="E181" s="59">
        <f>IF(N($AL181)&gt;0,INDEX(rIni_ADM,$AL181),"")</f>
        <v/>
      </c>
      <c r="F181" s="59">
        <f>IF(N($AL181)&gt;0,INDEX(rLim_ADM,$AL181),"")</f>
        <v/>
      </c>
      <c r="G181" s="59" t="n"/>
      <c r="H181" s="60" t="n"/>
      <c r="I181" s="60" t="n"/>
      <c r="J181" s="60" t="n"/>
      <c r="K181" s="60" t="n"/>
      <c r="L181" s="60" t="n"/>
      <c r="M181" s="61">
        <f>IF(NOT((COUNTA($B181:$D181)+COUNTA($G181:$L181)+COUNTA($Q181))&gt;0),"",IF(ISNUMBER($G181),1,IF(N($W181)&gt;0,AVERAGEIFS($X$5:$X$1000,$U$5:$U$1000,ROW(),$V$5:$V$1000,"Sub"),$X181)))</f>
        <v/>
      </c>
      <c r="N181" s="56">
        <f>IF($M181="","",IF($M181&gt;=1,"Completado",IF($M181&gt;0,"En curso","Pendiente")))</f>
        <v/>
      </c>
      <c r="O181" s="56">
        <f>IF(NOT((COUNTA($B181:$D181)+COUNTA($G181:$L181)+COUNTA($Q181))&gt;0),"",IF(ISNUMBER($G181),IF(AND(ISNUMBER($AN181),$G181&gt;$AN181),"Cumplida con "&amp;($G181-$AN181)&amp;IF($G181-$AN181=1," día"," días")&amp;" de retraso","Cumplida"),IF(N($M181)&gt;=1,"Cumplida",IF(NOT(ISNUMBER($AN181)),"Sin fecha límite",IF($AN181&lt;FechaRef,"Vencida hace "&amp;(FechaRef-$AN181)&amp;IF(FechaRef-$AN181=1," día"," días"),IF($AN181=FechaRef,"Vence hoy",IF($AN181-FechaRef&lt;=DiasAlerta,"Vence en "&amp;($AN181-FechaRef)&amp;IF($AN181-FechaRef=1," día"," días"),"En plazo")))))))</f>
        <v/>
      </c>
      <c r="P181" s="62" t="n"/>
      <c r="Q181" s="58" t="n"/>
      <c r="R181" s="63">
        <f>IF(NOT((COUNTA($B181:$D181)+COUNTA($G181:$L181)+COUNTA($Q181))&gt;0),"",IF((IF($C181="","Falta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",""))="","✔ OK","⚠ "&amp;LEFT(IF($C181="","Falta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",""),LEN(IF($C181="","Falta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",""))-3)))</f>
        <v/>
      </c>
      <c r="S181" s="64">
        <f>IF(NOT((COUNTA($B181:$D181)+COUNTA($G181:$L181)+COUNTA($Q181))&gt;0),"",IF(AND($V181="Sub",N($U181)&gt;0),IF(ISNUMBER(INDEX($AM$5:$AM$1000,$U181-4)),DATE(YEAR(INDEX($AM$5:$AM$1000,$U181-4)),MONTH(INDEX($AM$5:$AM$1000,$U181-4)),1),IF(ISNUMBER(INDEX($AN$5:$AN$1000,$U181-4)),DATE(YEAR(INDEX($AN$5:$AN$1000,$U181-4)),MONTH(INDEX($AN$5:$AN$1000,$U181-4)),1),MesCiclo)),IF(ISNUMBER($AM181),DATE(YEAR($AM181),MONTH($AM181),1),IF(ISNUMBER($AN181),DATE(YEAR($AN181),MONTH($AN181),1),MesCiclo))))</f>
        <v/>
      </c>
      <c r="T181" s="62">
        <f>IF(OR($S181="",$S181&lt;&gt;MesCiclo),"",COUNTIF($S$5:$S181,MesCiclo))</f>
        <v/>
      </c>
      <c r="U181" s="62">
        <f>IF($V181="","",IF($V181="Macro",ROW(),IFERROR(LOOKUP(2,1/($V$5:$V181="Macro"),ROW($V$5:$V181)),0)))</f>
        <v/>
      </c>
      <c r="V181" s="62">
        <f>IF(NOT((COUNTA($B181:$D181)+COUNTA($G181:$L181)+COUNTA($Q181))&gt;0),"",IF($B181="Subactividad","Sub","Macro"))</f>
        <v/>
      </c>
      <c r="W181" s="62">
        <f>IF($V181="Macro",COUNTIFS($U$5:$U$1000,ROW(),$V$5:$V$1000,"Sub"),"")</f>
        <v/>
      </c>
      <c r="X181" s="62">
        <f>IF($V181="","",IF(ISNUMBER($G181),1,IFERROR(LOOKUP(2,1/($I181:$L181&lt;&gt;""),$I181:$L181),0)))</f>
        <v/>
      </c>
      <c r="Y181" s="62">
        <f>IF($V181="","",IF(AND(ISNUMBER($G181),$G181&lt;=IF($S181=MesCiclo,InicioCiclo,$S181+MOD(2-WEEKDAY($S181),7))+6),1,IF(ISNUMBER($I181),$I181,0)))</f>
        <v/>
      </c>
      <c r="Z181" s="62">
        <f>IF($V181="","",IF(AND(ISNUMBER($G181),$G181&lt;=IF($S181=MesCiclo,InicioCiclo,$S181+MOD(2-WEEKDAY($S181),7))+13),1,IF(ISNUMBER($J181),$J181,$Y181)))</f>
        <v/>
      </c>
      <c r="AA181" s="62">
        <f>IF($V181="","",IF(AND(ISNUMBER($G181),$G181&lt;=IF($S181=MesCiclo,InicioCiclo,$S181+MOD(2-WEEKDAY($S181),7))+20),1,IF(ISNUMBER($K181),$K181,$Z181)))</f>
        <v/>
      </c>
      <c r="AB181" s="62">
        <f>IF($V181="","",IF(AND(ISNUMBER($G181),$G181&lt;=IF($S181=MesCiclo,InicioCiclo,$S181+MOD(2-WEEKDAY($S181),7))+27),1,IF(ISNUMBER($L181),$L181,$AA181)))</f>
        <v/>
      </c>
      <c r="AC181" s="62">
        <f>IF($V181="","",IF(AND(ISNUMBER($G181),$G181&lt;=IF($S181=MesCiclo,InicioCiclo,$S181+MOD(2-WEEKDAY($S181),7))+6),1,IF(N($W181)&gt;0,AVERAGEIFS($Y$5:$Y$1000,$U$5:$U$1000,ROW(),$V$5:$V$1000,"Sub"),$Y181)))</f>
        <v/>
      </c>
      <c r="AD181" s="62">
        <f>IF($V181="","",IF(AND(ISNUMBER($G181),$G181&lt;=IF($S181=MesCiclo,InicioCiclo,$S181+MOD(2-WEEKDAY($S181),7))+13),1,IF(N($W181)&gt;0,AVERAGEIFS($Z$5:$Z$1000,$U$5:$U$1000,ROW(),$V$5:$V$1000,"Sub"),$Z181)))</f>
        <v/>
      </c>
      <c r="AE181" s="62">
        <f>IF($V181="","",IF(AND(ISNUMBER($G181),$G181&lt;=IF($S181=MesCiclo,InicioCiclo,$S181+MOD(2-WEEKDAY($S181),7))+20),1,IF(N($W181)&gt;0,AVERAGEIFS($AA$5:$AA$1000,$U$5:$U$1000,ROW(),$V$5:$V$1000,"Sub"),$AA181)))</f>
        <v/>
      </c>
      <c r="AF181" s="62">
        <f>IF($V181="","",IF(AND(ISNUMBER($G181),$G181&lt;=IF($S181=MesCiclo,InicioCiclo,$S181+MOD(2-WEEKDAY($S181),7))+27),1,IF(N($W181)&gt;0,AVERAGEIFS($AB$5:$AB$1000,$U$5:$U$1000,ROW(),$V$5:$V$1000,"Sub"),$AB181)))</f>
        <v/>
      </c>
      <c r="AG181" s="62">
        <f>IF($V181&lt;&gt;"Macro","",IF(COUNTIFS($S$5:$S$1000,$S181,$V$5:$V$1000,"Macro",$H$5:$H$1000,"&gt;0")=0,1/COUNTIFS($S$5:$S$1000,$S181,$V$5:$V$1000,"Macro"),IF(AND(ISNUMBER($H181),N($H181)&gt;0),$H181,SUMIFS($H$5:$H$1000,$S$5:$S$1000,$S181,$V$5:$V$1000,"Macro")/COUNTIFS($S$5:$S$1000,$S181,$V$5:$V$1000,"Macro",$H$5:$H$1000,"&gt;0"))/(COUNTIFS($S$5:$S$1000,$S181,$V$5:$V$1000,"Macro")*SUMIFS($H$5:$H$1000,$S$5:$S$1000,$S181,$V$5:$V$1000,"Macro")/COUNTIFS($S$5:$S$1000,$S181,$V$5:$V$1000,"Macro",$H$5:$H$1000,"&gt;0"))))</f>
        <v/>
      </c>
      <c r="AH181" s="62" t="n"/>
      <c r="AI181" s="62" t="n"/>
      <c r="AJ181" s="62" t="n"/>
      <c r="AK181" s="62" t="n"/>
      <c r="AL181" s="62">
        <f>IF(LEFT($C181,11)="[Jefatura] ",IFERROR(MATCH("Riesgo Financiero|"&amp;MID($C181,12,500),rDname_ADM,0),0),"")</f>
        <v/>
      </c>
      <c r="AM181" s="62">
        <f>IF(N($AL181)&gt;0,INDEX(rIni_ADM,$AL181),IF(ISNUMBER($E181),$E181,""))</f>
        <v/>
      </c>
      <c r="AN181" s="62">
        <f>IF(N($AL181)&gt;0,INDEX(rLim_ADM,$AL181),IF(ISNUMBER($F181),$F181,""))</f>
        <v/>
      </c>
    </row>
    <row r="182">
      <c r="A182" s="56">
        <f>IF(NOT((COUNTA($B182:$D182)+COUNTA($G182:$L182)+COUNTA($Q182))&gt;0),"",IF($V182="Macro",COUNTIFS($V$5:$V182,"Macro",$S$5:$S182,$S182),IF(N($U182)=0,"?",COUNTIFS(INDEX($V$5:$V$1000,1):INDEX($V$5:$V$1000,$U182-4),"Macro",INDEX($S$5:$S$1000,1):INDEX($S$5:$S$1000,$U182-4),INDEX($S$5:$S$1000,$U182-4))&amp;"."&amp;COUNTIFS($U$5:$U182,$U182,$V$5:$V182,"Sub"))))</f>
        <v/>
      </c>
      <c r="B182" s="57" t="n"/>
      <c r="C182" s="58" t="n"/>
      <c r="D182" s="58" t="n"/>
      <c r="E182" s="59">
        <f>IF(N($AL182)&gt;0,INDEX(rIni_ADM,$AL182),"")</f>
        <v/>
      </c>
      <c r="F182" s="59">
        <f>IF(N($AL182)&gt;0,INDEX(rLim_ADM,$AL182),"")</f>
        <v/>
      </c>
      <c r="G182" s="59" t="n"/>
      <c r="H182" s="60" t="n"/>
      <c r="I182" s="60" t="n"/>
      <c r="J182" s="60" t="n"/>
      <c r="K182" s="60" t="n"/>
      <c r="L182" s="60" t="n"/>
      <c r="M182" s="61">
        <f>IF(NOT((COUNTA($B182:$D182)+COUNTA($G182:$L182)+COUNTA($Q182))&gt;0),"",IF(ISNUMBER($G182),1,IF(N($W182)&gt;0,AVERAGEIFS($X$5:$X$1000,$U$5:$U$1000,ROW(),$V$5:$V$1000,"Sub"),$X182)))</f>
        <v/>
      </c>
      <c r="N182" s="56">
        <f>IF($M182="","",IF($M182&gt;=1,"Completado",IF($M182&gt;0,"En curso","Pendiente")))</f>
        <v/>
      </c>
      <c r="O182" s="56">
        <f>IF(NOT((COUNTA($B182:$D182)+COUNTA($G182:$L182)+COUNTA($Q182))&gt;0),"",IF(ISNUMBER($G182),IF(AND(ISNUMBER($AN182),$G182&gt;$AN182),"Cumplida con "&amp;($G182-$AN182)&amp;IF($G182-$AN182=1," día"," días")&amp;" de retraso","Cumplida"),IF(N($M182)&gt;=1,"Cumplida",IF(NOT(ISNUMBER($AN182)),"Sin fecha límite",IF($AN182&lt;FechaRef,"Vencida hace "&amp;(FechaRef-$AN182)&amp;IF(FechaRef-$AN182=1," día"," días"),IF($AN182=FechaRef,"Vence hoy",IF($AN182-FechaRef&lt;=DiasAlerta,"Vence en "&amp;($AN182-FechaRef)&amp;IF($AN182-FechaRef=1," día"," días"),"En plazo")))))))</f>
        <v/>
      </c>
      <c r="P182" s="62" t="n"/>
      <c r="Q182" s="58" t="n"/>
      <c r="R182" s="63">
        <f>IF(NOT((COUNTA($B182:$D182)+COUNTA($G182:$L182)+COUNTA($Q182))&gt;0),"",IF((IF($C182="","Falta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",""))="","✔ OK","⚠ "&amp;LEFT(IF($C182="","Falta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",""),LEN(IF($C182="","Falta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",""))-3)))</f>
        <v/>
      </c>
      <c r="S182" s="64">
        <f>IF(NOT((COUNTA($B182:$D182)+COUNTA($G182:$L182)+COUNTA($Q182))&gt;0),"",IF(AND($V182="Sub",N($U182)&gt;0),IF(ISNUMBER(INDEX($AM$5:$AM$1000,$U182-4)),DATE(YEAR(INDEX($AM$5:$AM$1000,$U182-4)),MONTH(INDEX($AM$5:$AM$1000,$U182-4)),1),IF(ISNUMBER(INDEX($AN$5:$AN$1000,$U182-4)),DATE(YEAR(INDEX($AN$5:$AN$1000,$U182-4)),MONTH(INDEX($AN$5:$AN$1000,$U182-4)),1),MesCiclo)),IF(ISNUMBER($AM182),DATE(YEAR($AM182),MONTH($AM182),1),IF(ISNUMBER($AN182),DATE(YEAR($AN182),MONTH($AN182),1),MesCiclo))))</f>
        <v/>
      </c>
      <c r="T182" s="62">
        <f>IF(OR($S182="",$S182&lt;&gt;MesCiclo),"",COUNTIF($S$5:$S182,MesCiclo))</f>
        <v/>
      </c>
      <c r="U182" s="62">
        <f>IF($V182="","",IF($V182="Macro",ROW(),IFERROR(LOOKUP(2,1/($V$5:$V182="Macro"),ROW($V$5:$V182)),0)))</f>
        <v/>
      </c>
      <c r="V182" s="62">
        <f>IF(NOT((COUNTA($B182:$D182)+COUNTA($G182:$L182)+COUNTA($Q182))&gt;0),"",IF($B182="Subactividad","Sub","Macro"))</f>
        <v/>
      </c>
      <c r="W182" s="62">
        <f>IF($V182="Macro",COUNTIFS($U$5:$U$1000,ROW(),$V$5:$V$1000,"Sub"),"")</f>
        <v/>
      </c>
      <c r="X182" s="62">
        <f>IF($V182="","",IF(ISNUMBER($G182),1,IFERROR(LOOKUP(2,1/($I182:$L182&lt;&gt;""),$I182:$L182),0)))</f>
        <v/>
      </c>
      <c r="Y182" s="62">
        <f>IF($V182="","",IF(AND(ISNUMBER($G182),$G182&lt;=IF($S182=MesCiclo,InicioCiclo,$S182+MOD(2-WEEKDAY($S182),7))+6),1,IF(ISNUMBER($I182),$I182,0)))</f>
        <v/>
      </c>
      <c r="Z182" s="62">
        <f>IF($V182="","",IF(AND(ISNUMBER($G182),$G182&lt;=IF($S182=MesCiclo,InicioCiclo,$S182+MOD(2-WEEKDAY($S182),7))+13),1,IF(ISNUMBER($J182),$J182,$Y182)))</f>
        <v/>
      </c>
      <c r="AA182" s="62">
        <f>IF($V182="","",IF(AND(ISNUMBER($G182),$G182&lt;=IF($S182=MesCiclo,InicioCiclo,$S182+MOD(2-WEEKDAY($S182),7))+20),1,IF(ISNUMBER($K182),$K182,$Z182)))</f>
        <v/>
      </c>
      <c r="AB182" s="62">
        <f>IF($V182="","",IF(AND(ISNUMBER($G182),$G182&lt;=IF($S182=MesCiclo,InicioCiclo,$S182+MOD(2-WEEKDAY($S182),7))+27),1,IF(ISNUMBER($L182),$L182,$AA182)))</f>
        <v/>
      </c>
      <c r="AC182" s="62">
        <f>IF($V182="","",IF(AND(ISNUMBER($G182),$G182&lt;=IF($S182=MesCiclo,InicioCiclo,$S182+MOD(2-WEEKDAY($S182),7))+6),1,IF(N($W182)&gt;0,AVERAGEIFS($Y$5:$Y$1000,$U$5:$U$1000,ROW(),$V$5:$V$1000,"Sub"),$Y182)))</f>
        <v/>
      </c>
      <c r="AD182" s="62">
        <f>IF($V182="","",IF(AND(ISNUMBER($G182),$G182&lt;=IF($S182=MesCiclo,InicioCiclo,$S182+MOD(2-WEEKDAY($S182),7))+13),1,IF(N($W182)&gt;0,AVERAGEIFS($Z$5:$Z$1000,$U$5:$U$1000,ROW(),$V$5:$V$1000,"Sub"),$Z182)))</f>
        <v/>
      </c>
      <c r="AE182" s="62">
        <f>IF($V182="","",IF(AND(ISNUMBER($G182),$G182&lt;=IF($S182=MesCiclo,InicioCiclo,$S182+MOD(2-WEEKDAY($S182),7))+20),1,IF(N($W182)&gt;0,AVERAGEIFS($AA$5:$AA$1000,$U$5:$U$1000,ROW(),$V$5:$V$1000,"Sub"),$AA182)))</f>
        <v/>
      </c>
      <c r="AF182" s="62">
        <f>IF($V182="","",IF(AND(ISNUMBER($G182),$G182&lt;=IF($S182=MesCiclo,InicioCiclo,$S182+MOD(2-WEEKDAY($S182),7))+27),1,IF(N($W182)&gt;0,AVERAGEIFS($AB$5:$AB$1000,$U$5:$U$1000,ROW(),$V$5:$V$1000,"Sub"),$AB182)))</f>
        <v/>
      </c>
      <c r="AG182" s="62">
        <f>IF($V182&lt;&gt;"Macro","",IF(COUNTIFS($S$5:$S$1000,$S182,$V$5:$V$1000,"Macro",$H$5:$H$1000,"&gt;0")=0,1/COUNTIFS($S$5:$S$1000,$S182,$V$5:$V$1000,"Macro"),IF(AND(ISNUMBER($H182),N($H182)&gt;0),$H182,SUMIFS($H$5:$H$1000,$S$5:$S$1000,$S182,$V$5:$V$1000,"Macro")/COUNTIFS($S$5:$S$1000,$S182,$V$5:$V$1000,"Macro",$H$5:$H$1000,"&gt;0"))/(COUNTIFS($S$5:$S$1000,$S182,$V$5:$V$1000,"Macro")*SUMIFS($H$5:$H$1000,$S$5:$S$1000,$S182,$V$5:$V$1000,"Macro")/COUNTIFS($S$5:$S$1000,$S182,$V$5:$V$1000,"Macro",$H$5:$H$1000,"&gt;0"))))</f>
        <v/>
      </c>
      <c r="AH182" s="62" t="n"/>
      <c r="AI182" s="62" t="n"/>
      <c r="AJ182" s="62" t="n"/>
      <c r="AK182" s="62" t="n"/>
      <c r="AL182" s="62">
        <f>IF(LEFT($C182,11)="[Jefatura] ",IFERROR(MATCH("Riesgo Financiero|"&amp;MID($C182,12,500),rDname_ADM,0),0),"")</f>
        <v/>
      </c>
      <c r="AM182" s="62">
        <f>IF(N($AL182)&gt;0,INDEX(rIni_ADM,$AL182),IF(ISNUMBER($E182),$E182,""))</f>
        <v/>
      </c>
      <c r="AN182" s="62">
        <f>IF(N($AL182)&gt;0,INDEX(rLim_ADM,$AL182),IF(ISNUMBER($F182),$F182,""))</f>
        <v/>
      </c>
    </row>
    <row r="183">
      <c r="A183" s="56">
        <f>IF(NOT((COUNTA($B183:$D183)+COUNTA($G183:$L183)+COUNTA($Q183))&gt;0),"",IF($V183="Macro",COUNTIFS($V$5:$V183,"Macro",$S$5:$S183,$S183),IF(N($U183)=0,"?",COUNTIFS(INDEX($V$5:$V$1000,1):INDEX($V$5:$V$1000,$U183-4),"Macro",INDEX($S$5:$S$1000,1):INDEX($S$5:$S$1000,$U183-4),INDEX($S$5:$S$1000,$U183-4))&amp;"."&amp;COUNTIFS($U$5:$U183,$U183,$V$5:$V183,"Sub"))))</f>
        <v/>
      </c>
      <c r="B183" s="57" t="n"/>
      <c r="C183" s="58" t="n"/>
      <c r="D183" s="58" t="n"/>
      <c r="E183" s="59">
        <f>IF(N($AL183)&gt;0,INDEX(rIni_ADM,$AL183),"")</f>
        <v/>
      </c>
      <c r="F183" s="59">
        <f>IF(N($AL183)&gt;0,INDEX(rLim_ADM,$AL183),"")</f>
        <v/>
      </c>
      <c r="G183" s="59" t="n"/>
      <c r="H183" s="60" t="n"/>
      <c r="I183" s="60" t="n"/>
      <c r="J183" s="60" t="n"/>
      <c r="K183" s="60" t="n"/>
      <c r="L183" s="60" t="n"/>
      <c r="M183" s="61">
        <f>IF(NOT((COUNTA($B183:$D183)+COUNTA($G183:$L183)+COUNTA($Q183))&gt;0),"",IF(ISNUMBER($G183),1,IF(N($W183)&gt;0,AVERAGEIFS($X$5:$X$1000,$U$5:$U$1000,ROW(),$V$5:$V$1000,"Sub"),$X183)))</f>
        <v/>
      </c>
      <c r="N183" s="56">
        <f>IF($M183="","",IF($M183&gt;=1,"Completado",IF($M183&gt;0,"En curso","Pendiente")))</f>
        <v/>
      </c>
      <c r="O183" s="56">
        <f>IF(NOT((COUNTA($B183:$D183)+COUNTA($G183:$L183)+COUNTA($Q183))&gt;0),"",IF(ISNUMBER($G183),IF(AND(ISNUMBER($AN183),$G183&gt;$AN183),"Cumplida con "&amp;($G183-$AN183)&amp;IF($G183-$AN183=1," día"," días")&amp;" de retraso","Cumplida"),IF(N($M183)&gt;=1,"Cumplida",IF(NOT(ISNUMBER($AN183)),"Sin fecha límite",IF($AN183&lt;FechaRef,"Vencida hace "&amp;(FechaRef-$AN183)&amp;IF(FechaRef-$AN183=1," día"," días"),IF($AN183=FechaRef,"Vence hoy",IF($AN183-FechaRef&lt;=DiasAlerta,"Vence en "&amp;($AN183-FechaRef)&amp;IF($AN183-FechaRef=1," día"," días"),"En plazo")))))))</f>
        <v/>
      </c>
      <c r="P183" s="62" t="n"/>
      <c r="Q183" s="58" t="n"/>
      <c r="R183" s="63">
        <f>IF(NOT((COUNTA($B183:$D183)+COUNTA($G183:$L183)+COUNTA($Q183))&gt;0),"",IF((IF($C183="","Falta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",""))="","✔ OK","⚠ "&amp;LEFT(IF($C183="","Falta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",""),LEN(IF($C183="","Falta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",""))-3)))</f>
        <v/>
      </c>
      <c r="S183" s="64">
        <f>IF(NOT((COUNTA($B183:$D183)+COUNTA($G183:$L183)+COUNTA($Q183))&gt;0),"",IF(AND($V183="Sub",N($U183)&gt;0),IF(ISNUMBER(INDEX($AM$5:$AM$1000,$U183-4)),DATE(YEAR(INDEX($AM$5:$AM$1000,$U183-4)),MONTH(INDEX($AM$5:$AM$1000,$U183-4)),1),IF(ISNUMBER(INDEX($AN$5:$AN$1000,$U183-4)),DATE(YEAR(INDEX($AN$5:$AN$1000,$U183-4)),MONTH(INDEX($AN$5:$AN$1000,$U183-4)),1),MesCiclo)),IF(ISNUMBER($AM183),DATE(YEAR($AM183),MONTH($AM183),1),IF(ISNUMBER($AN183),DATE(YEAR($AN183),MONTH($AN183),1),MesCiclo))))</f>
        <v/>
      </c>
      <c r="T183" s="62">
        <f>IF(OR($S183="",$S183&lt;&gt;MesCiclo),"",COUNTIF($S$5:$S183,MesCiclo))</f>
        <v/>
      </c>
      <c r="U183" s="62">
        <f>IF($V183="","",IF($V183="Macro",ROW(),IFERROR(LOOKUP(2,1/($V$5:$V183="Macro"),ROW($V$5:$V183)),0)))</f>
        <v/>
      </c>
      <c r="V183" s="62">
        <f>IF(NOT((COUNTA($B183:$D183)+COUNTA($G183:$L183)+COUNTA($Q183))&gt;0),"",IF($B183="Subactividad","Sub","Macro"))</f>
        <v/>
      </c>
      <c r="W183" s="62">
        <f>IF($V183="Macro",COUNTIFS($U$5:$U$1000,ROW(),$V$5:$V$1000,"Sub"),"")</f>
        <v/>
      </c>
      <c r="X183" s="62">
        <f>IF($V183="","",IF(ISNUMBER($G183),1,IFERROR(LOOKUP(2,1/($I183:$L183&lt;&gt;""),$I183:$L183),0)))</f>
        <v/>
      </c>
      <c r="Y183" s="62">
        <f>IF($V183="","",IF(AND(ISNUMBER($G183),$G183&lt;=IF($S183=MesCiclo,InicioCiclo,$S183+MOD(2-WEEKDAY($S183),7))+6),1,IF(ISNUMBER($I183),$I183,0)))</f>
        <v/>
      </c>
      <c r="Z183" s="62">
        <f>IF($V183="","",IF(AND(ISNUMBER($G183),$G183&lt;=IF($S183=MesCiclo,InicioCiclo,$S183+MOD(2-WEEKDAY($S183),7))+13),1,IF(ISNUMBER($J183),$J183,$Y183)))</f>
        <v/>
      </c>
      <c r="AA183" s="62">
        <f>IF($V183="","",IF(AND(ISNUMBER($G183),$G183&lt;=IF($S183=MesCiclo,InicioCiclo,$S183+MOD(2-WEEKDAY($S183),7))+20),1,IF(ISNUMBER($K183),$K183,$Z183)))</f>
        <v/>
      </c>
      <c r="AB183" s="62">
        <f>IF($V183="","",IF(AND(ISNUMBER($G183),$G183&lt;=IF($S183=MesCiclo,InicioCiclo,$S183+MOD(2-WEEKDAY($S183),7))+27),1,IF(ISNUMBER($L183),$L183,$AA183)))</f>
        <v/>
      </c>
      <c r="AC183" s="62">
        <f>IF($V183="","",IF(AND(ISNUMBER($G183),$G183&lt;=IF($S183=MesCiclo,InicioCiclo,$S183+MOD(2-WEEKDAY($S183),7))+6),1,IF(N($W183)&gt;0,AVERAGEIFS($Y$5:$Y$1000,$U$5:$U$1000,ROW(),$V$5:$V$1000,"Sub"),$Y183)))</f>
        <v/>
      </c>
      <c r="AD183" s="62">
        <f>IF($V183="","",IF(AND(ISNUMBER($G183),$G183&lt;=IF($S183=MesCiclo,InicioCiclo,$S183+MOD(2-WEEKDAY($S183),7))+13),1,IF(N($W183)&gt;0,AVERAGEIFS($Z$5:$Z$1000,$U$5:$U$1000,ROW(),$V$5:$V$1000,"Sub"),$Z183)))</f>
        <v/>
      </c>
      <c r="AE183" s="62">
        <f>IF($V183="","",IF(AND(ISNUMBER($G183),$G183&lt;=IF($S183=MesCiclo,InicioCiclo,$S183+MOD(2-WEEKDAY($S183),7))+20),1,IF(N($W183)&gt;0,AVERAGEIFS($AA$5:$AA$1000,$U$5:$U$1000,ROW(),$V$5:$V$1000,"Sub"),$AA183)))</f>
        <v/>
      </c>
      <c r="AF183" s="62">
        <f>IF($V183="","",IF(AND(ISNUMBER($G183),$G183&lt;=IF($S183=MesCiclo,InicioCiclo,$S183+MOD(2-WEEKDAY($S183),7))+27),1,IF(N($W183)&gt;0,AVERAGEIFS($AB$5:$AB$1000,$U$5:$U$1000,ROW(),$V$5:$V$1000,"Sub"),$AB183)))</f>
        <v/>
      </c>
      <c r="AG183" s="62">
        <f>IF($V183&lt;&gt;"Macro","",IF(COUNTIFS($S$5:$S$1000,$S183,$V$5:$V$1000,"Macro",$H$5:$H$1000,"&gt;0")=0,1/COUNTIFS($S$5:$S$1000,$S183,$V$5:$V$1000,"Macro"),IF(AND(ISNUMBER($H183),N($H183)&gt;0),$H183,SUMIFS($H$5:$H$1000,$S$5:$S$1000,$S183,$V$5:$V$1000,"Macro")/COUNTIFS($S$5:$S$1000,$S183,$V$5:$V$1000,"Macro",$H$5:$H$1000,"&gt;0"))/(COUNTIFS($S$5:$S$1000,$S183,$V$5:$V$1000,"Macro")*SUMIFS($H$5:$H$1000,$S$5:$S$1000,$S183,$V$5:$V$1000,"Macro")/COUNTIFS($S$5:$S$1000,$S183,$V$5:$V$1000,"Macro",$H$5:$H$1000,"&gt;0"))))</f>
        <v/>
      </c>
      <c r="AH183" s="62" t="n"/>
      <c r="AI183" s="62" t="n"/>
      <c r="AJ183" s="62" t="n"/>
      <c r="AK183" s="62" t="n"/>
      <c r="AL183" s="62">
        <f>IF(LEFT($C183,11)="[Jefatura] ",IFERROR(MATCH("Riesgo Financiero|"&amp;MID($C183,12,500),rDname_ADM,0),0),"")</f>
        <v/>
      </c>
      <c r="AM183" s="62">
        <f>IF(N($AL183)&gt;0,INDEX(rIni_ADM,$AL183),IF(ISNUMBER($E183),$E183,""))</f>
        <v/>
      </c>
      <c r="AN183" s="62">
        <f>IF(N($AL183)&gt;0,INDEX(rLim_ADM,$AL183),IF(ISNUMBER($F183),$F183,""))</f>
        <v/>
      </c>
    </row>
    <row r="184">
      <c r="A184" s="56">
        <f>IF(NOT((COUNTA($B184:$D184)+COUNTA($G184:$L184)+COUNTA($Q184))&gt;0),"",IF($V184="Macro",COUNTIFS($V$5:$V184,"Macro",$S$5:$S184,$S184),IF(N($U184)=0,"?",COUNTIFS(INDEX($V$5:$V$1000,1):INDEX($V$5:$V$1000,$U184-4),"Macro",INDEX($S$5:$S$1000,1):INDEX($S$5:$S$1000,$U184-4),INDEX($S$5:$S$1000,$U184-4))&amp;"."&amp;COUNTIFS($U$5:$U184,$U184,$V$5:$V184,"Sub"))))</f>
        <v/>
      </c>
      <c r="B184" s="57" t="n"/>
      <c r="C184" s="58" t="n"/>
      <c r="D184" s="58" t="n"/>
      <c r="E184" s="59">
        <f>IF(N($AL184)&gt;0,INDEX(rIni_ADM,$AL184),"")</f>
        <v/>
      </c>
      <c r="F184" s="59">
        <f>IF(N($AL184)&gt;0,INDEX(rLim_ADM,$AL184),"")</f>
        <v/>
      </c>
      <c r="G184" s="59" t="n"/>
      <c r="H184" s="60" t="n"/>
      <c r="I184" s="60" t="n"/>
      <c r="J184" s="60" t="n"/>
      <c r="K184" s="60" t="n"/>
      <c r="L184" s="60" t="n"/>
      <c r="M184" s="61">
        <f>IF(NOT((COUNTA($B184:$D184)+COUNTA($G184:$L184)+COUNTA($Q184))&gt;0),"",IF(ISNUMBER($G184),1,IF(N($W184)&gt;0,AVERAGEIFS($X$5:$X$1000,$U$5:$U$1000,ROW(),$V$5:$V$1000,"Sub"),$X184)))</f>
        <v/>
      </c>
      <c r="N184" s="56">
        <f>IF($M184="","",IF($M184&gt;=1,"Completado",IF($M184&gt;0,"En curso","Pendiente")))</f>
        <v/>
      </c>
      <c r="O184" s="56">
        <f>IF(NOT((COUNTA($B184:$D184)+COUNTA($G184:$L184)+COUNTA($Q184))&gt;0),"",IF(ISNUMBER($G184),IF(AND(ISNUMBER($AN184),$G184&gt;$AN184),"Cumplida con "&amp;($G184-$AN184)&amp;IF($G184-$AN184=1," día"," días")&amp;" de retraso","Cumplida"),IF(N($M184)&gt;=1,"Cumplida",IF(NOT(ISNUMBER($AN184)),"Sin fecha límite",IF($AN184&lt;FechaRef,"Vencida hace "&amp;(FechaRef-$AN184)&amp;IF(FechaRef-$AN184=1," día"," días"),IF($AN184=FechaRef,"Vence hoy",IF($AN184-FechaRef&lt;=DiasAlerta,"Vence en "&amp;($AN184-FechaRef)&amp;IF($AN184-FechaRef=1," día"," días"),"En plazo")))))))</f>
        <v/>
      </c>
      <c r="P184" s="62" t="n"/>
      <c r="Q184" s="58" t="n"/>
      <c r="R184" s="63">
        <f>IF(NOT((COUNTA($B184:$D184)+COUNTA($G184:$L184)+COUNTA($Q184))&gt;0),"",IF((IF($C184="","Falta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",""))="","✔ OK","⚠ "&amp;LEFT(IF($C184="","Falta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",""),LEN(IF($C184="","Falta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",""))-3)))</f>
        <v/>
      </c>
      <c r="S184" s="64">
        <f>IF(NOT((COUNTA($B184:$D184)+COUNTA($G184:$L184)+COUNTA($Q184))&gt;0),"",IF(AND($V184="Sub",N($U184)&gt;0),IF(ISNUMBER(INDEX($AM$5:$AM$1000,$U184-4)),DATE(YEAR(INDEX($AM$5:$AM$1000,$U184-4)),MONTH(INDEX($AM$5:$AM$1000,$U184-4)),1),IF(ISNUMBER(INDEX($AN$5:$AN$1000,$U184-4)),DATE(YEAR(INDEX($AN$5:$AN$1000,$U184-4)),MONTH(INDEX($AN$5:$AN$1000,$U184-4)),1),MesCiclo)),IF(ISNUMBER($AM184),DATE(YEAR($AM184),MONTH($AM184),1),IF(ISNUMBER($AN184),DATE(YEAR($AN184),MONTH($AN184),1),MesCiclo))))</f>
        <v/>
      </c>
      <c r="T184" s="62">
        <f>IF(OR($S184="",$S184&lt;&gt;MesCiclo),"",COUNTIF($S$5:$S184,MesCiclo))</f>
        <v/>
      </c>
      <c r="U184" s="62">
        <f>IF($V184="","",IF($V184="Macro",ROW(),IFERROR(LOOKUP(2,1/($V$5:$V184="Macro"),ROW($V$5:$V184)),0)))</f>
        <v/>
      </c>
      <c r="V184" s="62">
        <f>IF(NOT((COUNTA($B184:$D184)+COUNTA($G184:$L184)+COUNTA($Q184))&gt;0),"",IF($B184="Subactividad","Sub","Macro"))</f>
        <v/>
      </c>
      <c r="W184" s="62">
        <f>IF($V184="Macro",COUNTIFS($U$5:$U$1000,ROW(),$V$5:$V$1000,"Sub"),"")</f>
        <v/>
      </c>
      <c r="X184" s="62">
        <f>IF($V184="","",IF(ISNUMBER($G184),1,IFERROR(LOOKUP(2,1/($I184:$L184&lt;&gt;""),$I184:$L184),0)))</f>
        <v/>
      </c>
      <c r="Y184" s="62">
        <f>IF($V184="","",IF(AND(ISNUMBER($G184),$G184&lt;=IF($S184=MesCiclo,InicioCiclo,$S184+MOD(2-WEEKDAY($S184),7))+6),1,IF(ISNUMBER($I184),$I184,0)))</f>
        <v/>
      </c>
      <c r="Z184" s="62">
        <f>IF($V184="","",IF(AND(ISNUMBER($G184),$G184&lt;=IF($S184=MesCiclo,InicioCiclo,$S184+MOD(2-WEEKDAY($S184),7))+13),1,IF(ISNUMBER($J184),$J184,$Y184)))</f>
        <v/>
      </c>
      <c r="AA184" s="62">
        <f>IF($V184="","",IF(AND(ISNUMBER($G184),$G184&lt;=IF($S184=MesCiclo,InicioCiclo,$S184+MOD(2-WEEKDAY($S184),7))+20),1,IF(ISNUMBER($K184),$K184,$Z184)))</f>
        <v/>
      </c>
      <c r="AB184" s="62">
        <f>IF($V184="","",IF(AND(ISNUMBER($G184),$G184&lt;=IF($S184=MesCiclo,InicioCiclo,$S184+MOD(2-WEEKDAY($S184),7))+27),1,IF(ISNUMBER($L184),$L184,$AA184)))</f>
        <v/>
      </c>
      <c r="AC184" s="62">
        <f>IF($V184="","",IF(AND(ISNUMBER($G184),$G184&lt;=IF($S184=MesCiclo,InicioCiclo,$S184+MOD(2-WEEKDAY($S184),7))+6),1,IF(N($W184)&gt;0,AVERAGEIFS($Y$5:$Y$1000,$U$5:$U$1000,ROW(),$V$5:$V$1000,"Sub"),$Y184)))</f>
        <v/>
      </c>
      <c r="AD184" s="62">
        <f>IF($V184="","",IF(AND(ISNUMBER($G184),$G184&lt;=IF($S184=MesCiclo,InicioCiclo,$S184+MOD(2-WEEKDAY($S184),7))+13),1,IF(N($W184)&gt;0,AVERAGEIFS($Z$5:$Z$1000,$U$5:$U$1000,ROW(),$V$5:$V$1000,"Sub"),$Z184)))</f>
        <v/>
      </c>
      <c r="AE184" s="62">
        <f>IF($V184="","",IF(AND(ISNUMBER($G184),$G184&lt;=IF($S184=MesCiclo,InicioCiclo,$S184+MOD(2-WEEKDAY($S184),7))+20),1,IF(N($W184)&gt;0,AVERAGEIFS($AA$5:$AA$1000,$U$5:$U$1000,ROW(),$V$5:$V$1000,"Sub"),$AA184)))</f>
        <v/>
      </c>
      <c r="AF184" s="62">
        <f>IF($V184="","",IF(AND(ISNUMBER($G184),$G184&lt;=IF($S184=MesCiclo,InicioCiclo,$S184+MOD(2-WEEKDAY($S184),7))+27),1,IF(N($W184)&gt;0,AVERAGEIFS($AB$5:$AB$1000,$U$5:$U$1000,ROW(),$V$5:$V$1000,"Sub"),$AB184)))</f>
        <v/>
      </c>
      <c r="AG184" s="62">
        <f>IF($V184&lt;&gt;"Macro","",IF(COUNTIFS($S$5:$S$1000,$S184,$V$5:$V$1000,"Macro",$H$5:$H$1000,"&gt;0")=0,1/COUNTIFS($S$5:$S$1000,$S184,$V$5:$V$1000,"Macro"),IF(AND(ISNUMBER($H184),N($H184)&gt;0),$H184,SUMIFS($H$5:$H$1000,$S$5:$S$1000,$S184,$V$5:$V$1000,"Macro")/COUNTIFS($S$5:$S$1000,$S184,$V$5:$V$1000,"Macro",$H$5:$H$1000,"&gt;0"))/(COUNTIFS($S$5:$S$1000,$S184,$V$5:$V$1000,"Macro")*SUMIFS($H$5:$H$1000,$S$5:$S$1000,$S184,$V$5:$V$1000,"Macro")/COUNTIFS($S$5:$S$1000,$S184,$V$5:$V$1000,"Macro",$H$5:$H$1000,"&gt;0"))))</f>
        <v/>
      </c>
      <c r="AH184" s="62" t="n"/>
      <c r="AI184" s="62" t="n"/>
      <c r="AJ184" s="62" t="n"/>
      <c r="AK184" s="62" t="n"/>
      <c r="AL184" s="62">
        <f>IF(LEFT($C184,11)="[Jefatura] ",IFERROR(MATCH("Riesgo Financiero|"&amp;MID($C184,12,500),rDname_ADM,0),0),"")</f>
        <v/>
      </c>
      <c r="AM184" s="62">
        <f>IF(N($AL184)&gt;0,INDEX(rIni_ADM,$AL184),IF(ISNUMBER($E184),$E184,""))</f>
        <v/>
      </c>
      <c r="AN184" s="62">
        <f>IF(N($AL184)&gt;0,INDEX(rLim_ADM,$AL184),IF(ISNUMBER($F184),$F184,""))</f>
        <v/>
      </c>
    </row>
    <row r="185">
      <c r="A185" s="56">
        <f>IF(NOT((COUNTA($B185:$D185)+COUNTA($G185:$L185)+COUNTA($Q185))&gt;0),"",IF($V185="Macro",COUNTIFS($V$5:$V185,"Macro",$S$5:$S185,$S185),IF(N($U185)=0,"?",COUNTIFS(INDEX($V$5:$V$1000,1):INDEX($V$5:$V$1000,$U185-4),"Macro",INDEX($S$5:$S$1000,1):INDEX($S$5:$S$1000,$U185-4),INDEX($S$5:$S$1000,$U185-4))&amp;"."&amp;COUNTIFS($U$5:$U185,$U185,$V$5:$V185,"Sub"))))</f>
        <v/>
      </c>
      <c r="B185" s="57" t="n"/>
      <c r="C185" s="58" t="n"/>
      <c r="D185" s="58" t="n"/>
      <c r="E185" s="59">
        <f>IF(N($AL185)&gt;0,INDEX(rIni_ADM,$AL185),"")</f>
        <v/>
      </c>
      <c r="F185" s="59">
        <f>IF(N($AL185)&gt;0,INDEX(rLim_ADM,$AL185),"")</f>
        <v/>
      </c>
      <c r="G185" s="59" t="n"/>
      <c r="H185" s="60" t="n"/>
      <c r="I185" s="60" t="n"/>
      <c r="J185" s="60" t="n"/>
      <c r="K185" s="60" t="n"/>
      <c r="L185" s="60" t="n"/>
      <c r="M185" s="61">
        <f>IF(NOT((COUNTA($B185:$D185)+COUNTA($G185:$L185)+COUNTA($Q185))&gt;0),"",IF(ISNUMBER($G185),1,IF(N($W185)&gt;0,AVERAGEIFS($X$5:$X$1000,$U$5:$U$1000,ROW(),$V$5:$V$1000,"Sub"),$X185)))</f>
        <v/>
      </c>
      <c r="N185" s="56">
        <f>IF($M185="","",IF($M185&gt;=1,"Completado",IF($M185&gt;0,"En curso","Pendiente")))</f>
        <v/>
      </c>
      <c r="O185" s="56">
        <f>IF(NOT((COUNTA($B185:$D185)+COUNTA($G185:$L185)+COUNTA($Q185))&gt;0),"",IF(ISNUMBER($G185),IF(AND(ISNUMBER($AN185),$G185&gt;$AN185),"Cumplida con "&amp;($G185-$AN185)&amp;IF($G185-$AN185=1," día"," días")&amp;" de retraso","Cumplida"),IF(N($M185)&gt;=1,"Cumplida",IF(NOT(ISNUMBER($AN185)),"Sin fecha límite",IF($AN185&lt;FechaRef,"Vencida hace "&amp;(FechaRef-$AN185)&amp;IF(FechaRef-$AN185=1," día"," días"),IF($AN185=FechaRef,"Vence hoy",IF($AN185-FechaRef&lt;=DiasAlerta,"Vence en "&amp;($AN185-FechaRef)&amp;IF($AN185-FechaRef=1," día"," días"),"En plazo")))))))</f>
        <v/>
      </c>
      <c r="P185" s="62" t="n"/>
      <c r="Q185" s="58" t="n"/>
      <c r="R185" s="63">
        <f>IF(NOT((COUNTA($B185:$D185)+COUNTA($G185:$L185)+COUNTA($Q185))&gt;0),"",IF((IF($C185="","Falta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",""))="","✔ OK","⚠ "&amp;LEFT(IF($C185="","Falta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",""),LEN(IF($C185="","Falta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",""))-3)))</f>
        <v/>
      </c>
      <c r="S185" s="64">
        <f>IF(NOT((COUNTA($B185:$D185)+COUNTA($G185:$L185)+COUNTA($Q185))&gt;0),"",IF(AND($V185="Sub",N($U185)&gt;0),IF(ISNUMBER(INDEX($AM$5:$AM$1000,$U185-4)),DATE(YEAR(INDEX($AM$5:$AM$1000,$U185-4)),MONTH(INDEX($AM$5:$AM$1000,$U185-4)),1),IF(ISNUMBER(INDEX($AN$5:$AN$1000,$U185-4)),DATE(YEAR(INDEX($AN$5:$AN$1000,$U185-4)),MONTH(INDEX($AN$5:$AN$1000,$U185-4)),1),MesCiclo)),IF(ISNUMBER($AM185),DATE(YEAR($AM185),MONTH($AM185),1),IF(ISNUMBER($AN185),DATE(YEAR($AN185),MONTH($AN185),1),MesCiclo))))</f>
        <v/>
      </c>
      <c r="T185" s="62">
        <f>IF(OR($S185="",$S185&lt;&gt;MesCiclo),"",COUNTIF($S$5:$S185,MesCiclo))</f>
        <v/>
      </c>
      <c r="U185" s="62">
        <f>IF($V185="","",IF($V185="Macro",ROW(),IFERROR(LOOKUP(2,1/($V$5:$V185="Macro"),ROW($V$5:$V185)),0)))</f>
        <v/>
      </c>
      <c r="V185" s="62">
        <f>IF(NOT((COUNTA($B185:$D185)+COUNTA($G185:$L185)+COUNTA($Q185))&gt;0),"",IF($B185="Subactividad","Sub","Macro"))</f>
        <v/>
      </c>
      <c r="W185" s="62">
        <f>IF($V185="Macro",COUNTIFS($U$5:$U$1000,ROW(),$V$5:$V$1000,"Sub"),"")</f>
        <v/>
      </c>
      <c r="X185" s="62">
        <f>IF($V185="","",IF(ISNUMBER($G185),1,IFERROR(LOOKUP(2,1/($I185:$L185&lt;&gt;""),$I185:$L185),0)))</f>
        <v/>
      </c>
      <c r="Y185" s="62">
        <f>IF($V185="","",IF(AND(ISNUMBER($G185),$G185&lt;=IF($S185=MesCiclo,InicioCiclo,$S185+MOD(2-WEEKDAY($S185),7))+6),1,IF(ISNUMBER($I185),$I185,0)))</f>
        <v/>
      </c>
      <c r="Z185" s="62">
        <f>IF($V185="","",IF(AND(ISNUMBER($G185),$G185&lt;=IF($S185=MesCiclo,InicioCiclo,$S185+MOD(2-WEEKDAY($S185),7))+13),1,IF(ISNUMBER($J185),$J185,$Y185)))</f>
        <v/>
      </c>
      <c r="AA185" s="62">
        <f>IF($V185="","",IF(AND(ISNUMBER($G185),$G185&lt;=IF($S185=MesCiclo,InicioCiclo,$S185+MOD(2-WEEKDAY($S185),7))+20),1,IF(ISNUMBER($K185),$K185,$Z185)))</f>
        <v/>
      </c>
      <c r="AB185" s="62">
        <f>IF($V185="","",IF(AND(ISNUMBER($G185),$G185&lt;=IF($S185=MesCiclo,InicioCiclo,$S185+MOD(2-WEEKDAY($S185),7))+27),1,IF(ISNUMBER($L185),$L185,$AA185)))</f>
        <v/>
      </c>
      <c r="AC185" s="62">
        <f>IF($V185="","",IF(AND(ISNUMBER($G185),$G185&lt;=IF($S185=MesCiclo,InicioCiclo,$S185+MOD(2-WEEKDAY($S185),7))+6),1,IF(N($W185)&gt;0,AVERAGEIFS($Y$5:$Y$1000,$U$5:$U$1000,ROW(),$V$5:$V$1000,"Sub"),$Y185)))</f>
        <v/>
      </c>
      <c r="AD185" s="62">
        <f>IF($V185="","",IF(AND(ISNUMBER($G185),$G185&lt;=IF($S185=MesCiclo,InicioCiclo,$S185+MOD(2-WEEKDAY($S185),7))+13),1,IF(N($W185)&gt;0,AVERAGEIFS($Z$5:$Z$1000,$U$5:$U$1000,ROW(),$V$5:$V$1000,"Sub"),$Z185)))</f>
        <v/>
      </c>
      <c r="AE185" s="62">
        <f>IF($V185="","",IF(AND(ISNUMBER($G185),$G185&lt;=IF($S185=MesCiclo,InicioCiclo,$S185+MOD(2-WEEKDAY($S185),7))+20),1,IF(N($W185)&gt;0,AVERAGEIFS($AA$5:$AA$1000,$U$5:$U$1000,ROW(),$V$5:$V$1000,"Sub"),$AA185)))</f>
        <v/>
      </c>
      <c r="AF185" s="62">
        <f>IF($V185="","",IF(AND(ISNUMBER($G185),$G185&lt;=IF($S185=MesCiclo,InicioCiclo,$S185+MOD(2-WEEKDAY($S185),7))+27),1,IF(N($W185)&gt;0,AVERAGEIFS($AB$5:$AB$1000,$U$5:$U$1000,ROW(),$V$5:$V$1000,"Sub"),$AB185)))</f>
        <v/>
      </c>
      <c r="AG185" s="62">
        <f>IF($V185&lt;&gt;"Macro","",IF(COUNTIFS($S$5:$S$1000,$S185,$V$5:$V$1000,"Macro",$H$5:$H$1000,"&gt;0")=0,1/COUNTIFS($S$5:$S$1000,$S185,$V$5:$V$1000,"Macro"),IF(AND(ISNUMBER($H185),N($H185)&gt;0),$H185,SUMIFS($H$5:$H$1000,$S$5:$S$1000,$S185,$V$5:$V$1000,"Macro")/COUNTIFS($S$5:$S$1000,$S185,$V$5:$V$1000,"Macro",$H$5:$H$1000,"&gt;0"))/(COUNTIFS($S$5:$S$1000,$S185,$V$5:$V$1000,"Macro")*SUMIFS($H$5:$H$1000,$S$5:$S$1000,$S185,$V$5:$V$1000,"Macro")/COUNTIFS($S$5:$S$1000,$S185,$V$5:$V$1000,"Macro",$H$5:$H$1000,"&gt;0"))))</f>
        <v/>
      </c>
      <c r="AH185" s="62" t="n"/>
      <c r="AI185" s="62" t="n"/>
      <c r="AJ185" s="62" t="n"/>
      <c r="AK185" s="62" t="n"/>
      <c r="AL185" s="62">
        <f>IF(LEFT($C185,11)="[Jefatura] ",IFERROR(MATCH("Riesgo Financiero|"&amp;MID($C185,12,500),rDname_ADM,0),0),"")</f>
        <v/>
      </c>
      <c r="AM185" s="62">
        <f>IF(N($AL185)&gt;0,INDEX(rIni_ADM,$AL185),IF(ISNUMBER($E185),$E185,""))</f>
        <v/>
      </c>
      <c r="AN185" s="62">
        <f>IF(N($AL185)&gt;0,INDEX(rLim_ADM,$AL185),IF(ISNUMBER($F185),$F185,""))</f>
        <v/>
      </c>
    </row>
    <row r="186">
      <c r="A186" s="56">
        <f>IF(NOT((COUNTA($B186:$D186)+COUNTA($G186:$L186)+COUNTA($Q186))&gt;0),"",IF($V186="Macro",COUNTIFS($V$5:$V186,"Macro",$S$5:$S186,$S186),IF(N($U186)=0,"?",COUNTIFS(INDEX($V$5:$V$1000,1):INDEX($V$5:$V$1000,$U186-4),"Macro",INDEX($S$5:$S$1000,1):INDEX($S$5:$S$1000,$U186-4),INDEX($S$5:$S$1000,$U186-4))&amp;"."&amp;COUNTIFS($U$5:$U186,$U186,$V$5:$V186,"Sub"))))</f>
        <v/>
      </c>
      <c r="B186" s="57" t="n"/>
      <c r="C186" s="58" t="n"/>
      <c r="D186" s="58" t="n"/>
      <c r="E186" s="59">
        <f>IF(N($AL186)&gt;0,INDEX(rIni_ADM,$AL186),"")</f>
        <v/>
      </c>
      <c r="F186" s="59">
        <f>IF(N($AL186)&gt;0,INDEX(rLim_ADM,$AL186),"")</f>
        <v/>
      </c>
      <c r="G186" s="59" t="n"/>
      <c r="H186" s="60" t="n"/>
      <c r="I186" s="60" t="n"/>
      <c r="J186" s="60" t="n"/>
      <c r="K186" s="60" t="n"/>
      <c r="L186" s="60" t="n"/>
      <c r="M186" s="61">
        <f>IF(NOT((COUNTA($B186:$D186)+COUNTA($G186:$L186)+COUNTA($Q186))&gt;0),"",IF(ISNUMBER($G186),1,IF(N($W186)&gt;0,AVERAGEIFS($X$5:$X$1000,$U$5:$U$1000,ROW(),$V$5:$V$1000,"Sub"),$X186)))</f>
        <v/>
      </c>
      <c r="N186" s="56">
        <f>IF($M186="","",IF($M186&gt;=1,"Completado",IF($M186&gt;0,"En curso","Pendiente")))</f>
        <v/>
      </c>
      <c r="O186" s="56">
        <f>IF(NOT((COUNTA($B186:$D186)+COUNTA($G186:$L186)+COUNTA($Q186))&gt;0),"",IF(ISNUMBER($G186),IF(AND(ISNUMBER($AN186),$G186&gt;$AN186),"Cumplida con "&amp;($G186-$AN186)&amp;IF($G186-$AN186=1," día"," días")&amp;" de retraso","Cumplida"),IF(N($M186)&gt;=1,"Cumplida",IF(NOT(ISNUMBER($AN186)),"Sin fecha límite",IF($AN186&lt;FechaRef,"Vencida hace "&amp;(FechaRef-$AN186)&amp;IF(FechaRef-$AN186=1," día"," días"),IF($AN186=FechaRef,"Vence hoy",IF($AN186-FechaRef&lt;=DiasAlerta,"Vence en "&amp;($AN186-FechaRef)&amp;IF($AN186-FechaRef=1," día"," días"),"En plazo")))))))</f>
        <v/>
      </c>
      <c r="P186" s="62" t="n"/>
      <c r="Q186" s="58" t="n"/>
      <c r="R186" s="63">
        <f>IF(NOT((COUNTA($B186:$D186)+COUNTA($G186:$L186)+COUNTA($Q186))&gt;0),"",IF((IF($C186="","Falta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",""))="","✔ OK","⚠ "&amp;LEFT(IF($C186="","Falta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",""),LEN(IF($C186="","Falta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",""))-3)))</f>
        <v/>
      </c>
      <c r="S186" s="64">
        <f>IF(NOT((COUNTA($B186:$D186)+COUNTA($G186:$L186)+COUNTA($Q186))&gt;0),"",IF(AND($V186="Sub",N($U186)&gt;0),IF(ISNUMBER(INDEX($AM$5:$AM$1000,$U186-4)),DATE(YEAR(INDEX($AM$5:$AM$1000,$U186-4)),MONTH(INDEX($AM$5:$AM$1000,$U186-4)),1),IF(ISNUMBER(INDEX($AN$5:$AN$1000,$U186-4)),DATE(YEAR(INDEX($AN$5:$AN$1000,$U186-4)),MONTH(INDEX($AN$5:$AN$1000,$U186-4)),1),MesCiclo)),IF(ISNUMBER($AM186),DATE(YEAR($AM186),MONTH($AM186),1),IF(ISNUMBER($AN186),DATE(YEAR($AN186),MONTH($AN186),1),MesCiclo))))</f>
        <v/>
      </c>
      <c r="T186" s="62">
        <f>IF(OR($S186="",$S186&lt;&gt;MesCiclo),"",COUNTIF($S$5:$S186,MesCiclo))</f>
        <v/>
      </c>
      <c r="U186" s="62">
        <f>IF($V186="","",IF($V186="Macro",ROW(),IFERROR(LOOKUP(2,1/($V$5:$V186="Macro"),ROW($V$5:$V186)),0)))</f>
        <v/>
      </c>
      <c r="V186" s="62">
        <f>IF(NOT((COUNTA($B186:$D186)+COUNTA($G186:$L186)+COUNTA($Q186))&gt;0),"",IF($B186="Subactividad","Sub","Macro"))</f>
        <v/>
      </c>
      <c r="W186" s="62">
        <f>IF($V186="Macro",COUNTIFS($U$5:$U$1000,ROW(),$V$5:$V$1000,"Sub"),"")</f>
        <v/>
      </c>
      <c r="X186" s="62">
        <f>IF($V186="","",IF(ISNUMBER($G186),1,IFERROR(LOOKUP(2,1/($I186:$L186&lt;&gt;""),$I186:$L186),0)))</f>
        <v/>
      </c>
      <c r="Y186" s="62">
        <f>IF($V186="","",IF(AND(ISNUMBER($G186),$G186&lt;=IF($S186=MesCiclo,InicioCiclo,$S186+MOD(2-WEEKDAY($S186),7))+6),1,IF(ISNUMBER($I186),$I186,0)))</f>
        <v/>
      </c>
      <c r="Z186" s="62">
        <f>IF($V186="","",IF(AND(ISNUMBER($G186),$G186&lt;=IF($S186=MesCiclo,InicioCiclo,$S186+MOD(2-WEEKDAY($S186),7))+13),1,IF(ISNUMBER($J186),$J186,$Y186)))</f>
        <v/>
      </c>
      <c r="AA186" s="62">
        <f>IF($V186="","",IF(AND(ISNUMBER($G186),$G186&lt;=IF($S186=MesCiclo,InicioCiclo,$S186+MOD(2-WEEKDAY($S186),7))+20),1,IF(ISNUMBER($K186),$K186,$Z186)))</f>
        <v/>
      </c>
      <c r="AB186" s="62">
        <f>IF($V186="","",IF(AND(ISNUMBER($G186),$G186&lt;=IF($S186=MesCiclo,InicioCiclo,$S186+MOD(2-WEEKDAY($S186),7))+27),1,IF(ISNUMBER($L186),$L186,$AA186)))</f>
        <v/>
      </c>
      <c r="AC186" s="62">
        <f>IF($V186="","",IF(AND(ISNUMBER($G186),$G186&lt;=IF($S186=MesCiclo,InicioCiclo,$S186+MOD(2-WEEKDAY($S186),7))+6),1,IF(N($W186)&gt;0,AVERAGEIFS($Y$5:$Y$1000,$U$5:$U$1000,ROW(),$V$5:$V$1000,"Sub"),$Y186)))</f>
        <v/>
      </c>
      <c r="AD186" s="62">
        <f>IF($V186="","",IF(AND(ISNUMBER($G186),$G186&lt;=IF($S186=MesCiclo,InicioCiclo,$S186+MOD(2-WEEKDAY($S186),7))+13),1,IF(N($W186)&gt;0,AVERAGEIFS($Z$5:$Z$1000,$U$5:$U$1000,ROW(),$V$5:$V$1000,"Sub"),$Z186)))</f>
        <v/>
      </c>
      <c r="AE186" s="62">
        <f>IF($V186="","",IF(AND(ISNUMBER($G186),$G186&lt;=IF($S186=MesCiclo,InicioCiclo,$S186+MOD(2-WEEKDAY($S186),7))+20),1,IF(N($W186)&gt;0,AVERAGEIFS($AA$5:$AA$1000,$U$5:$U$1000,ROW(),$V$5:$V$1000,"Sub"),$AA186)))</f>
        <v/>
      </c>
      <c r="AF186" s="62">
        <f>IF($V186="","",IF(AND(ISNUMBER($G186),$G186&lt;=IF($S186=MesCiclo,InicioCiclo,$S186+MOD(2-WEEKDAY($S186),7))+27),1,IF(N($W186)&gt;0,AVERAGEIFS($AB$5:$AB$1000,$U$5:$U$1000,ROW(),$V$5:$V$1000,"Sub"),$AB186)))</f>
        <v/>
      </c>
      <c r="AG186" s="62">
        <f>IF($V186&lt;&gt;"Macro","",IF(COUNTIFS($S$5:$S$1000,$S186,$V$5:$V$1000,"Macro",$H$5:$H$1000,"&gt;0")=0,1/COUNTIFS($S$5:$S$1000,$S186,$V$5:$V$1000,"Macro"),IF(AND(ISNUMBER($H186),N($H186)&gt;0),$H186,SUMIFS($H$5:$H$1000,$S$5:$S$1000,$S186,$V$5:$V$1000,"Macro")/COUNTIFS($S$5:$S$1000,$S186,$V$5:$V$1000,"Macro",$H$5:$H$1000,"&gt;0"))/(COUNTIFS($S$5:$S$1000,$S186,$V$5:$V$1000,"Macro")*SUMIFS($H$5:$H$1000,$S$5:$S$1000,$S186,$V$5:$V$1000,"Macro")/COUNTIFS($S$5:$S$1000,$S186,$V$5:$V$1000,"Macro",$H$5:$H$1000,"&gt;0"))))</f>
        <v/>
      </c>
      <c r="AH186" s="62" t="n"/>
      <c r="AI186" s="62" t="n"/>
      <c r="AJ186" s="62" t="n"/>
      <c r="AK186" s="62" t="n"/>
      <c r="AL186" s="62">
        <f>IF(LEFT($C186,11)="[Jefatura] ",IFERROR(MATCH("Riesgo Financiero|"&amp;MID($C186,12,500),rDname_ADM,0),0),"")</f>
        <v/>
      </c>
      <c r="AM186" s="62">
        <f>IF(N($AL186)&gt;0,INDEX(rIni_ADM,$AL186),IF(ISNUMBER($E186),$E186,""))</f>
        <v/>
      </c>
      <c r="AN186" s="62">
        <f>IF(N($AL186)&gt;0,INDEX(rLim_ADM,$AL186),IF(ISNUMBER($F186),$F186,""))</f>
        <v/>
      </c>
    </row>
    <row r="187">
      <c r="A187" s="56">
        <f>IF(NOT((COUNTA($B187:$D187)+COUNTA($G187:$L187)+COUNTA($Q187))&gt;0),"",IF($V187="Macro",COUNTIFS($V$5:$V187,"Macro",$S$5:$S187,$S187),IF(N($U187)=0,"?",COUNTIFS(INDEX($V$5:$V$1000,1):INDEX($V$5:$V$1000,$U187-4),"Macro",INDEX($S$5:$S$1000,1):INDEX($S$5:$S$1000,$U187-4),INDEX($S$5:$S$1000,$U187-4))&amp;"."&amp;COUNTIFS($U$5:$U187,$U187,$V$5:$V187,"Sub"))))</f>
        <v/>
      </c>
      <c r="B187" s="57" t="n"/>
      <c r="C187" s="58" t="n"/>
      <c r="D187" s="58" t="n"/>
      <c r="E187" s="59">
        <f>IF(N($AL187)&gt;0,INDEX(rIni_ADM,$AL187),"")</f>
        <v/>
      </c>
      <c r="F187" s="59">
        <f>IF(N($AL187)&gt;0,INDEX(rLim_ADM,$AL187),"")</f>
        <v/>
      </c>
      <c r="G187" s="59" t="n"/>
      <c r="H187" s="60" t="n"/>
      <c r="I187" s="60" t="n"/>
      <c r="J187" s="60" t="n"/>
      <c r="K187" s="60" t="n"/>
      <c r="L187" s="60" t="n"/>
      <c r="M187" s="61">
        <f>IF(NOT((COUNTA($B187:$D187)+COUNTA($G187:$L187)+COUNTA($Q187))&gt;0),"",IF(ISNUMBER($G187),1,IF(N($W187)&gt;0,AVERAGEIFS($X$5:$X$1000,$U$5:$U$1000,ROW(),$V$5:$V$1000,"Sub"),$X187)))</f>
        <v/>
      </c>
      <c r="N187" s="56">
        <f>IF($M187="","",IF($M187&gt;=1,"Completado",IF($M187&gt;0,"En curso","Pendiente")))</f>
        <v/>
      </c>
      <c r="O187" s="56">
        <f>IF(NOT((COUNTA($B187:$D187)+COUNTA($G187:$L187)+COUNTA($Q187))&gt;0),"",IF(ISNUMBER($G187),IF(AND(ISNUMBER($AN187),$G187&gt;$AN187),"Cumplida con "&amp;($G187-$AN187)&amp;IF($G187-$AN187=1," día"," días")&amp;" de retraso","Cumplida"),IF(N($M187)&gt;=1,"Cumplida",IF(NOT(ISNUMBER($AN187)),"Sin fecha límite",IF($AN187&lt;FechaRef,"Vencida hace "&amp;(FechaRef-$AN187)&amp;IF(FechaRef-$AN187=1," día"," días"),IF($AN187=FechaRef,"Vence hoy",IF($AN187-FechaRef&lt;=DiasAlerta,"Vence en "&amp;($AN187-FechaRef)&amp;IF($AN187-FechaRef=1," día"," días"),"En plazo")))))))</f>
        <v/>
      </c>
      <c r="P187" s="62" t="n"/>
      <c r="Q187" s="58" t="n"/>
      <c r="R187" s="63">
        <f>IF(NOT((COUNTA($B187:$D187)+COUNTA($G187:$L187)+COUNTA($Q187))&gt;0),"",IF((IF($C187="","Falta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",""))="","✔ OK","⚠ "&amp;LEFT(IF($C187="","Falta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",""),LEN(IF($C187="","Falta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",""))-3)))</f>
        <v/>
      </c>
      <c r="S187" s="64">
        <f>IF(NOT((COUNTA($B187:$D187)+COUNTA($G187:$L187)+COUNTA($Q187))&gt;0),"",IF(AND($V187="Sub",N($U187)&gt;0),IF(ISNUMBER(INDEX($AM$5:$AM$1000,$U187-4)),DATE(YEAR(INDEX($AM$5:$AM$1000,$U187-4)),MONTH(INDEX($AM$5:$AM$1000,$U187-4)),1),IF(ISNUMBER(INDEX($AN$5:$AN$1000,$U187-4)),DATE(YEAR(INDEX($AN$5:$AN$1000,$U187-4)),MONTH(INDEX($AN$5:$AN$1000,$U187-4)),1),MesCiclo)),IF(ISNUMBER($AM187),DATE(YEAR($AM187),MONTH($AM187),1),IF(ISNUMBER($AN187),DATE(YEAR($AN187),MONTH($AN187),1),MesCiclo))))</f>
        <v/>
      </c>
      <c r="T187" s="62">
        <f>IF(OR($S187="",$S187&lt;&gt;MesCiclo),"",COUNTIF($S$5:$S187,MesCiclo))</f>
        <v/>
      </c>
      <c r="U187" s="62">
        <f>IF($V187="","",IF($V187="Macro",ROW(),IFERROR(LOOKUP(2,1/($V$5:$V187="Macro"),ROW($V$5:$V187)),0)))</f>
        <v/>
      </c>
      <c r="V187" s="62">
        <f>IF(NOT((COUNTA($B187:$D187)+COUNTA($G187:$L187)+COUNTA($Q187))&gt;0),"",IF($B187="Subactividad","Sub","Macro"))</f>
        <v/>
      </c>
      <c r="W187" s="62">
        <f>IF($V187="Macro",COUNTIFS($U$5:$U$1000,ROW(),$V$5:$V$1000,"Sub"),"")</f>
        <v/>
      </c>
      <c r="X187" s="62">
        <f>IF($V187="","",IF(ISNUMBER($G187),1,IFERROR(LOOKUP(2,1/($I187:$L187&lt;&gt;""),$I187:$L187),0)))</f>
        <v/>
      </c>
      <c r="Y187" s="62">
        <f>IF($V187="","",IF(AND(ISNUMBER($G187),$G187&lt;=IF($S187=MesCiclo,InicioCiclo,$S187+MOD(2-WEEKDAY($S187),7))+6),1,IF(ISNUMBER($I187),$I187,0)))</f>
        <v/>
      </c>
      <c r="Z187" s="62">
        <f>IF($V187="","",IF(AND(ISNUMBER($G187),$G187&lt;=IF($S187=MesCiclo,InicioCiclo,$S187+MOD(2-WEEKDAY($S187),7))+13),1,IF(ISNUMBER($J187),$J187,$Y187)))</f>
        <v/>
      </c>
      <c r="AA187" s="62">
        <f>IF($V187="","",IF(AND(ISNUMBER($G187),$G187&lt;=IF($S187=MesCiclo,InicioCiclo,$S187+MOD(2-WEEKDAY($S187),7))+20),1,IF(ISNUMBER($K187),$K187,$Z187)))</f>
        <v/>
      </c>
      <c r="AB187" s="62">
        <f>IF($V187="","",IF(AND(ISNUMBER($G187),$G187&lt;=IF($S187=MesCiclo,InicioCiclo,$S187+MOD(2-WEEKDAY($S187),7))+27),1,IF(ISNUMBER($L187),$L187,$AA187)))</f>
        <v/>
      </c>
      <c r="AC187" s="62">
        <f>IF($V187="","",IF(AND(ISNUMBER($G187),$G187&lt;=IF($S187=MesCiclo,InicioCiclo,$S187+MOD(2-WEEKDAY($S187),7))+6),1,IF(N($W187)&gt;0,AVERAGEIFS($Y$5:$Y$1000,$U$5:$U$1000,ROW(),$V$5:$V$1000,"Sub"),$Y187)))</f>
        <v/>
      </c>
      <c r="AD187" s="62">
        <f>IF($V187="","",IF(AND(ISNUMBER($G187),$G187&lt;=IF($S187=MesCiclo,InicioCiclo,$S187+MOD(2-WEEKDAY($S187),7))+13),1,IF(N($W187)&gt;0,AVERAGEIFS($Z$5:$Z$1000,$U$5:$U$1000,ROW(),$V$5:$V$1000,"Sub"),$Z187)))</f>
        <v/>
      </c>
      <c r="AE187" s="62">
        <f>IF($V187="","",IF(AND(ISNUMBER($G187),$G187&lt;=IF($S187=MesCiclo,InicioCiclo,$S187+MOD(2-WEEKDAY($S187),7))+20),1,IF(N($W187)&gt;0,AVERAGEIFS($AA$5:$AA$1000,$U$5:$U$1000,ROW(),$V$5:$V$1000,"Sub"),$AA187)))</f>
        <v/>
      </c>
      <c r="AF187" s="62">
        <f>IF($V187="","",IF(AND(ISNUMBER($G187),$G187&lt;=IF($S187=MesCiclo,InicioCiclo,$S187+MOD(2-WEEKDAY($S187),7))+27),1,IF(N($W187)&gt;0,AVERAGEIFS($AB$5:$AB$1000,$U$5:$U$1000,ROW(),$V$5:$V$1000,"Sub"),$AB187)))</f>
        <v/>
      </c>
      <c r="AG187" s="62">
        <f>IF($V187&lt;&gt;"Macro","",IF(COUNTIFS($S$5:$S$1000,$S187,$V$5:$V$1000,"Macro",$H$5:$H$1000,"&gt;0")=0,1/COUNTIFS($S$5:$S$1000,$S187,$V$5:$V$1000,"Macro"),IF(AND(ISNUMBER($H187),N($H187)&gt;0),$H187,SUMIFS($H$5:$H$1000,$S$5:$S$1000,$S187,$V$5:$V$1000,"Macro")/COUNTIFS($S$5:$S$1000,$S187,$V$5:$V$1000,"Macro",$H$5:$H$1000,"&gt;0"))/(COUNTIFS($S$5:$S$1000,$S187,$V$5:$V$1000,"Macro")*SUMIFS($H$5:$H$1000,$S$5:$S$1000,$S187,$V$5:$V$1000,"Macro")/COUNTIFS($S$5:$S$1000,$S187,$V$5:$V$1000,"Macro",$H$5:$H$1000,"&gt;0"))))</f>
        <v/>
      </c>
      <c r="AH187" s="62" t="n"/>
      <c r="AI187" s="62" t="n"/>
      <c r="AJ187" s="62" t="n"/>
      <c r="AK187" s="62" t="n"/>
      <c r="AL187" s="62">
        <f>IF(LEFT($C187,11)="[Jefatura] ",IFERROR(MATCH("Riesgo Financiero|"&amp;MID($C187,12,500),rDname_ADM,0),0),"")</f>
        <v/>
      </c>
      <c r="AM187" s="62">
        <f>IF(N($AL187)&gt;0,INDEX(rIni_ADM,$AL187),IF(ISNUMBER($E187),$E187,""))</f>
        <v/>
      </c>
      <c r="AN187" s="62">
        <f>IF(N($AL187)&gt;0,INDEX(rLim_ADM,$AL187),IF(ISNUMBER($F187),$F187,""))</f>
        <v/>
      </c>
    </row>
    <row r="188">
      <c r="A188" s="56">
        <f>IF(NOT((COUNTA($B188:$D188)+COUNTA($G188:$L188)+COUNTA($Q188))&gt;0),"",IF($V188="Macro",COUNTIFS($V$5:$V188,"Macro",$S$5:$S188,$S188),IF(N($U188)=0,"?",COUNTIFS(INDEX($V$5:$V$1000,1):INDEX($V$5:$V$1000,$U188-4),"Macro",INDEX($S$5:$S$1000,1):INDEX($S$5:$S$1000,$U188-4),INDEX($S$5:$S$1000,$U188-4))&amp;"."&amp;COUNTIFS($U$5:$U188,$U188,$V$5:$V188,"Sub"))))</f>
        <v/>
      </c>
      <c r="B188" s="57" t="n"/>
      <c r="C188" s="58" t="n"/>
      <c r="D188" s="58" t="n"/>
      <c r="E188" s="59">
        <f>IF(N($AL188)&gt;0,INDEX(rIni_ADM,$AL188),"")</f>
        <v/>
      </c>
      <c r="F188" s="59">
        <f>IF(N($AL188)&gt;0,INDEX(rLim_ADM,$AL188),"")</f>
        <v/>
      </c>
      <c r="G188" s="59" t="n"/>
      <c r="H188" s="60" t="n"/>
      <c r="I188" s="60" t="n"/>
      <c r="J188" s="60" t="n"/>
      <c r="K188" s="60" t="n"/>
      <c r="L188" s="60" t="n"/>
      <c r="M188" s="61">
        <f>IF(NOT((COUNTA($B188:$D188)+COUNTA($G188:$L188)+COUNTA($Q188))&gt;0),"",IF(ISNUMBER($G188),1,IF(N($W188)&gt;0,AVERAGEIFS($X$5:$X$1000,$U$5:$U$1000,ROW(),$V$5:$V$1000,"Sub"),$X188)))</f>
        <v/>
      </c>
      <c r="N188" s="56">
        <f>IF($M188="","",IF($M188&gt;=1,"Completado",IF($M188&gt;0,"En curso","Pendiente")))</f>
        <v/>
      </c>
      <c r="O188" s="56">
        <f>IF(NOT((COUNTA($B188:$D188)+COUNTA($G188:$L188)+COUNTA($Q188))&gt;0),"",IF(ISNUMBER($G188),IF(AND(ISNUMBER($AN188),$G188&gt;$AN188),"Cumplida con "&amp;($G188-$AN188)&amp;IF($G188-$AN188=1," día"," días")&amp;" de retraso","Cumplida"),IF(N($M188)&gt;=1,"Cumplida",IF(NOT(ISNUMBER($AN188)),"Sin fecha límite",IF($AN188&lt;FechaRef,"Vencida hace "&amp;(FechaRef-$AN188)&amp;IF(FechaRef-$AN188=1," día"," días"),IF($AN188=FechaRef,"Vence hoy",IF($AN188-FechaRef&lt;=DiasAlerta,"Vence en "&amp;($AN188-FechaRef)&amp;IF($AN188-FechaRef=1," día"," días"),"En plazo")))))))</f>
        <v/>
      </c>
      <c r="P188" s="62" t="n"/>
      <c r="Q188" s="58" t="n"/>
      <c r="R188" s="63">
        <f>IF(NOT((COUNTA($B188:$D188)+COUNTA($G188:$L188)+COUNTA($Q188))&gt;0),"",IF((IF($C188="","Falta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",""))="","✔ OK","⚠ "&amp;LEFT(IF($C188="","Falta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",""),LEN(IF($C188="","Falta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",""))-3)))</f>
        <v/>
      </c>
      <c r="S188" s="64">
        <f>IF(NOT((COUNTA($B188:$D188)+COUNTA($G188:$L188)+COUNTA($Q188))&gt;0),"",IF(AND($V188="Sub",N($U188)&gt;0),IF(ISNUMBER(INDEX($AM$5:$AM$1000,$U188-4)),DATE(YEAR(INDEX($AM$5:$AM$1000,$U188-4)),MONTH(INDEX($AM$5:$AM$1000,$U188-4)),1),IF(ISNUMBER(INDEX($AN$5:$AN$1000,$U188-4)),DATE(YEAR(INDEX($AN$5:$AN$1000,$U188-4)),MONTH(INDEX($AN$5:$AN$1000,$U188-4)),1),MesCiclo)),IF(ISNUMBER($AM188),DATE(YEAR($AM188),MONTH($AM188),1),IF(ISNUMBER($AN188),DATE(YEAR($AN188),MONTH($AN188),1),MesCiclo))))</f>
        <v/>
      </c>
      <c r="T188" s="62">
        <f>IF(OR($S188="",$S188&lt;&gt;MesCiclo),"",COUNTIF($S$5:$S188,MesCiclo))</f>
        <v/>
      </c>
      <c r="U188" s="62">
        <f>IF($V188="","",IF($V188="Macro",ROW(),IFERROR(LOOKUP(2,1/($V$5:$V188="Macro"),ROW($V$5:$V188)),0)))</f>
        <v/>
      </c>
      <c r="V188" s="62">
        <f>IF(NOT((COUNTA($B188:$D188)+COUNTA($G188:$L188)+COUNTA($Q188))&gt;0),"",IF($B188="Subactividad","Sub","Macro"))</f>
        <v/>
      </c>
      <c r="W188" s="62">
        <f>IF($V188="Macro",COUNTIFS($U$5:$U$1000,ROW(),$V$5:$V$1000,"Sub"),"")</f>
        <v/>
      </c>
      <c r="X188" s="62">
        <f>IF($V188="","",IF(ISNUMBER($G188),1,IFERROR(LOOKUP(2,1/($I188:$L188&lt;&gt;""),$I188:$L188),0)))</f>
        <v/>
      </c>
      <c r="Y188" s="62">
        <f>IF($V188="","",IF(AND(ISNUMBER($G188),$G188&lt;=IF($S188=MesCiclo,InicioCiclo,$S188+MOD(2-WEEKDAY($S188),7))+6),1,IF(ISNUMBER($I188),$I188,0)))</f>
        <v/>
      </c>
      <c r="Z188" s="62">
        <f>IF($V188="","",IF(AND(ISNUMBER($G188),$G188&lt;=IF($S188=MesCiclo,InicioCiclo,$S188+MOD(2-WEEKDAY($S188),7))+13),1,IF(ISNUMBER($J188),$J188,$Y188)))</f>
        <v/>
      </c>
      <c r="AA188" s="62">
        <f>IF($V188="","",IF(AND(ISNUMBER($G188),$G188&lt;=IF($S188=MesCiclo,InicioCiclo,$S188+MOD(2-WEEKDAY($S188),7))+20),1,IF(ISNUMBER($K188),$K188,$Z188)))</f>
        <v/>
      </c>
      <c r="AB188" s="62">
        <f>IF($V188="","",IF(AND(ISNUMBER($G188),$G188&lt;=IF($S188=MesCiclo,InicioCiclo,$S188+MOD(2-WEEKDAY($S188),7))+27),1,IF(ISNUMBER($L188),$L188,$AA188)))</f>
        <v/>
      </c>
      <c r="AC188" s="62">
        <f>IF($V188="","",IF(AND(ISNUMBER($G188),$G188&lt;=IF($S188=MesCiclo,InicioCiclo,$S188+MOD(2-WEEKDAY($S188),7))+6),1,IF(N($W188)&gt;0,AVERAGEIFS($Y$5:$Y$1000,$U$5:$U$1000,ROW(),$V$5:$V$1000,"Sub"),$Y188)))</f>
        <v/>
      </c>
      <c r="AD188" s="62">
        <f>IF($V188="","",IF(AND(ISNUMBER($G188),$G188&lt;=IF($S188=MesCiclo,InicioCiclo,$S188+MOD(2-WEEKDAY($S188),7))+13),1,IF(N($W188)&gt;0,AVERAGEIFS($Z$5:$Z$1000,$U$5:$U$1000,ROW(),$V$5:$V$1000,"Sub"),$Z188)))</f>
        <v/>
      </c>
      <c r="AE188" s="62">
        <f>IF($V188="","",IF(AND(ISNUMBER($G188),$G188&lt;=IF($S188=MesCiclo,InicioCiclo,$S188+MOD(2-WEEKDAY($S188),7))+20),1,IF(N($W188)&gt;0,AVERAGEIFS($AA$5:$AA$1000,$U$5:$U$1000,ROW(),$V$5:$V$1000,"Sub"),$AA188)))</f>
        <v/>
      </c>
      <c r="AF188" s="62">
        <f>IF($V188="","",IF(AND(ISNUMBER($G188),$G188&lt;=IF($S188=MesCiclo,InicioCiclo,$S188+MOD(2-WEEKDAY($S188),7))+27),1,IF(N($W188)&gt;0,AVERAGEIFS($AB$5:$AB$1000,$U$5:$U$1000,ROW(),$V$5:$V$1000,"Sub"),$AB188)))</f>
        <v/>
      </c>
      <c r="AG188" s="62">
        <f>IF($V188&lt;&gt;"Macro","",IF(COUNTIFS($S$5:$S$1000,$S188,$V$5:$V$1000,"Macro",$H$5:$H$1000,"&gt;0")=0,1/COUNTIFS($S$5:$S$1000,$S188,$V$5:$V$1000,"Macro"),IF(AND(ISNUMBER($H188),N($H188)&gt;0),$H188,SUMIFS($H$5:$H$1000,$S$5:$S$1000,$S188,$V$5:$V$1000,"Macro")/COUNTIFS($S$5:$S$1000,$S188,$V$5:$V$1000,"Macro",$H$5:$H$1000,"&gt;0"))/(COUNTIFS($S$5:$S$1000,$S188,$V$5:$V$1000,"Macro")*SUMIFS($H$5:$H$1000,$S$5:$S$1000,$S188,$V$5:$V$1000,"Macro")/COUNTIFS($S$5:$S$1000,$S188,$V$5:$V$1000,"Macro",$H$5:$H$1000,"&gt;0"))))</f>
        <v/>
      </c>
      <c r="AH188" s="62" t="n"/>
      <c r="AI188" s="62" t="n"/>
      <c r="AJ188" s="62" t="n"/>
      <c r="AK188" s="62" t="n"/>
      <c r="AL188" s="62">
        <f>IF(LEFT($C188,11)="[Jefatura] ",IFERROR(MATCH("Riesgo Financiero|"&amp;MID($C188,12,500),rDname_ADM,0),0),"")</f>
        <v/>
      </c>
      <c r="AM188" s="62">
        <f>IF(N($AL188)&gt;0,INDEX(rIni_ADM,$AL188),IF(ISNUMBER($E188),$E188,""))</f>
        <v/>
      </c>
      <c r="AN188" s="62">
        <f>IF(N($AL188)&gt;0,INDEX(rLim_ADM,$AL188),IF(ISNUMBER($F188),$F188,""))</f>
        <v/>
      </c>
    </row>
    <row r="189">
      <c r="A189" s="56">
        <f>IF(NOT((COUNTA($B189:$D189)+COUNTA($G189:$L189)+COUNTA($Q189))&gt;0),"",IF($V189="Macro",COUNTIFS($V$5:$V189,"Macro",$S$5:$S189,$S189),IF(N($U189)=0,"?",COUNTIFS(INDEX($V$5:$V$1000,1):INDEX($V$5:$V$1000,$U189-4),"Macro",INDEX($S$5:$S$1000,1):INDEX($S$5:$S$1000,$U189-4),INDEX($S$5:$S$1000,$U189-4))&amp;"."&amp;COUNTIFS($U$5:$U189,$U189,$V$5:$V189,"Sub"))))</f>
        <v/>
      </c>
      <c r="B189" s="57" t="n"/>
      <c r="C189" s="58" t="n"/>
      <c r="D189" s="58" t="n"/>
      <c r="E189" s="59">
        <f>IF(N($AL189)&gt;0,INDEX(rIni_ADM,$AL189),"")</f>
        <v/>
      </c>
      <c r="F189" s="59">
        <f>IF(N($AL189)&gt;0,INDEX(rLim_ADM,$AL189),"")</f>
        <v/>
      </c>
      <c r="G189" s="59" t="n"/>
      <c r="H189" s="60" t="n"/>
      <c r="I189" s="60" t="n"/>
      <c r="J189" s="60" t="n"/>
      <c r="K189" s="60" t="n"/>
      <c r="L189" s="60" t="n"/>
      <c r="M189" s="61">
        <f>IF(NOT((COUNTA($B189:$D189)+COUNTA($G189:$L189)+COUNTA($Q189))&gt;0),"",IF(ISNUMBER($G189),1,IF(N($W189)&gt;0,AVERAGEIFS($X$5:$X$1000,$U$5:$U$1000,ROW(),$V$5:$V$1000,"Sub"),$X189)))</f>
        <v/>
      </c>
      <c r="N189" s="56">
        <f>IF($M189="","",IF($M189&gt;=1,"Completado",IF($M189&gt;0,"En curso","Pendiente")))</f>
        <v/>
      </c>
      <c r="O189" s="56">
        <f>IF(NOT((COUNTA($B189:$D189)+COUNTA($G189:$L189)+COUNTA($Q189))&gt;0),"",IF(ISNUMBER($G189),IF(AND(ISNUMBER($AN189),$G189&gt;$AN189),"Cumplida con "&amp;($G189-$AN189)&amp;IF($G189-$AN189=1," día"," días")&amp;" de retraso","Cumplida"),IF(N($M189)&gt;=1,"Cumplida",IF(NOT(ISNUMBER($AN189)),"Sin fecha límite",IF($AN189&lt;FechaRef,"Vencida hace "&amp;(FechaRef-$AN189)&amp;IF(FechaRef-$AN189=1," día"," días"),IF($AN189=FechaRef,"Vence hoy",IF($AN189-FechaRef&lt;=DiasAlerta,"Vence en "&amp;($AN189-FechaRef)&amp;IF($AN189-FechaRef=1," día"," días"),"En plazo")))))))</f>
        <v/>
      </c>
      <c r="P189" s="62" t="n"/>
      <c r="Q189" s="58" t="n"/>
      <c r="R189" s="63">
        <f>IF(NOT((COUNTA($B189:$D189)+COUNTA($G189:$L189)+COUNTA($Q189))&gt;0),"",IF((IF($C189="","Falta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",""))="","✔ OK","⚠ "&amp;LEFT(IF($C189="","Falta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",""),LEN(IF($C189="","Falta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",""))-3)))</f>
        <v/>
      </c>
      <c r="S189" s="64">
        <f>IF(NOT((COUNTA($B189:$D189)+COUNTA($G189:$L189)+COUNTA($Q189))&gt;0),"",IF(AND($V189="Sub",N($U189)&gt;0),IF(ISNUMBER(INDEX($AM$5:$AM$1000,$U189-4)),DATE(YEAR(INDEX($AM$5:$AM$1000,$U189-4)),MONTH(INDEX($AM$5:$AM$1000,$U189-4)),1),IF(ISNUMBER(INDEX($AN$5:$AN$1000,$U189-4)),DATE(YEAR(INDEX($AN$5:$AN$1000,$U189-4)),MONTH(INDEX($AN$5:$AN$1000,$U189-4)),1),MesCiclo)),IF(ISNUMBER($AM189),DATE(YEAR($AM189),MONTH($AM189),1),IF(ISNUMBER($AN189),DATE(YEAR($AN189),MONTH($AN189),1),MesCiclo))))</f>
        <v/>
      </c>
      <c r="T189" s="62">
        <f>IF(OR($S189="",$S189&lt;&gt;MesCiclo),"",COUNTIF($S$5:$S189,MesCiclo))</f>
        <v/>
      </c>
      <c r="U189" s="62">
        <f>IF($V189="","",IF($V189="Macro",ROW(),IFERROR(LOOKUP(2,1/($V$5:$V189="Macro"),ROW($V$5:$V189)),0)))</f>
        <v/>
      </c>
      <c r="V189" s="62">
        <f>IF(NOT((COUNTA($B189:$D189)+COUNTA($G189:$L189)+COUNTA($Q189))&gt;0),"",IF($B189="Subactividad","Sub","Macro"))</f>
        <v/>
      </c>
      <c r="W189" s="62">
        <f>IF($V189="Macro",COUNTIFS($U$5:$U$1000,ROW(),$V$5:$V$1000,"Sub"),"")</f>
        <v/>
      </c>
      <c r="X189" s="62">
        <f>IF($V189="","",IF(ISNUMBER($G189),1,IFERROR(LOOKUP(2,1/($I189:$L189&lt;&gt;""),$I189:$L189),0)))</f>
        <v/>
      </c>
      <c r="Y189" s="62">
        <f>IF($V189="","",IF(AND(ISNUMBER($G189),$G189&lt;=IF($S189=MesCiclo,InicioCiclo,$S189+MOD(2-WEEKDAY($S189),7))+6),1,IF(ISNUMBER($I189),$I189,0)))</f>
        <v/>
      </c>
      <c r="Z189" s="62">
        <f>IF($V189="","",IF(AND(ISNUMBER($G189),$G189&lt;=IF($S189=MesCiclo,InicioCiclo,$S189+MOD(2-WEEKDAY($S189),7))+13),1,IF(ISNUMBER($J189),$J189,$Y189)))</f>
        <v/>
      </c>
      <c r="AA189" s="62">
        <f>IF($V189="","",IF(AND(ISNUMBER($G189),$G189&lt;=IF($S189=MesCiclo,InicioCiclo,$S189+MOD(2-WEEKDAY($S189),7))+20),1,IF(ISNUMBER($K189),$K189,$Z189)))</f>
        <v/>
      </c>
      <c r="AB189" s="62">
        <f>IF($V189="","",IF(AND(ISNUMBER($G189),$G189&lt;=IF($S189=MesCiclo,InicioCiclo,$S189+MOD(2-WEEKDAY($S189),7))+27),1,IF(ISNUMBER($L189),$L189,$AA189)))</f>
        <v/>
      </c>
      <c r="AC189" s="62">
        <f>IF($V189="","",IF(AND(ISNUMBER($G189),$G189&lt;=IF($S189=MesCiclo,InicioCiclo,$S189+MOD(2-WEEKDAY($S189),7))+6),1,IF(N($W189)&gt;0,AVERAGEIFS($Y$5:$Y$1000,$U$5:$U$1000,ROW(),$V$5:$V$1000,"Sub"),$Y189)))</f>
        <v/>
      </c>
      <c r="AD189" s="62">
        <f>IF($V189="","",IF(AND(ISNUMBER($G189),$G189&lt;=IF($S189=MesCiclo,InicioCiclo,$S189+MOD(2-WEEKDAY($S189),7))+13),1,IF(N($W189)&gt;0,AVERAGEIFS($Z$5:$Z$1000,$U$5:$U$1000,ROW(),$V$5:$V$1000,"Sub"),$Z189)))</f>
        <v/>
      </c>
      <c r="AE189" s="62">
        <f>IF($V189="","",IF(AND(ISNUMBER($G189),$G189&lt;=IF($S189=MesCiclo,InicioCiclo,$S189+MOD(2-WEEKDAY($S189),7))+20),1,IF(N($W189)&gt;0,AVERAGEIFS($AA$5:$AA$1000,$U$5:$U$1000,ROW(),$V$5:$V$1000,"Sub"),$AA189)))</f>
        <v/>
      </c>
      <c r="AF189" s="62">
        <f>IF($V189="","",IF(AND(ISNUMBER($G189),$G189&lt;=IF($S189=MesCiclo,InicioCiclo,$S189+MOD(2-WEEKDAY($S189),7))+27),1,IF(N($W189)&gt;0,AVERAGEIFS($AB$5:$AB$1000,$U$5:$U$1000,ROW(),$V$5:$V$1000,"Sub"),$AB189)))</f>
        <v/>
      </c>
      <c r="AG189" s="62">
        <f>IF($V189&lt;&gt;"Macro","",IF(COUNTIFS($S$5:$S$1000,$S189,$V$5:$V$1000,"Macro",$H$5:$H$1000,"&gt;0")=0,1/COUNTIFS($S$5:$S$1000,$S189,$V$5:$V$1000,"Macro"),IF(AND(ISNUMBER($H189),N($H189)&gt;0),$H189,SUMIFS($H$5:$H$1000,$S$5:$S$1000,$S189,$V$5:$V$1000,"Macro")/COUNTIFS($S$5:$S$1000,$S189,$V$5:$V$1000,"Macro",$H$5:$H$1000,"&gt;0"))/(COUNTIFS($S$5:$S$1000,$S189,$V$5:$V$1000,"Macro")*SUMIFS($H$5:$H$1000,$S$5:$S$1000,$S189,$V$5:$V$1000,"Macro")/COUNTIFS($S$5:$S$1000,$S189,$V$5:$V$1000,"Macro",$H$5:$H$1000,"&gt;0"))))</f>
        <v/>
      </c>
      <c r="AH189" s="62" t="n"/>
      <c r="AI189" s="62" t="n"/>
      <c r="AJ189" s="62" t="n"/>
      <c r="AK189" s="62" t="n"/>
      <c r="AL189" s="62">
        <f>IF(LEFT($C189,11)="[Jefatura] ",IFERROR(MATCH("Riesgo Financiero|"&amp;MID($C189,12,500),rDname_ADM,0),0),"")</f>
        <v/>
      </c>
      <c r="AM189" s="62">
        <f>IF(N($AL189)&gt;0,INDEX(rIni_ADM,$AL189),IF(ISNUMBER($E189),$E189,""))</f>
        <v/>
      </c>
      <c r="AN189" s="62">
        <f>IF(N($AL189)&gt;0,INDEX(rLim_ADM,$AL189),IF(ISNUMBER($F189),$F189,""))</f>
        <v/>
      </c>
    </row>
    <row r="190">
      <c r="A190" s="56">
        <f>IF(NOT((COUNTA($B190:$D190)+COUNTA($G190:$L190)+COUNTA($Q190))&gt;0),"",IF($V190="Macro",COUNTIFS($V$5:$V190,"Macro",$S$5:$S190,$S190),IF(N($U190)=0,"?",COUNTIFS(INDEX($V$5:$V$1000,1):INDEX($V$5:$V$1000,$U190-4),"Macro",INDEX($S$5:$S$1000,1):INDEX($S$5:$S$1000,$U190-4),INDEX($S$5:$S$1000,$U190-4))&amp;"."&amp;COUNTIFS($U$5:$U190,$U190,$V$5:$V190,"Sub"))))</f>
        <v/>
      </c>
      <c r="B190" s="57" t="n"/>
      <c r="C190" s="58" t="n"/>
      <c r="D190" s="58" t="n"/>
      <c r="E190" s="59">
        <f>IF(N($AL190)&gt;0,INDEX(rIni_ADM,$AL190),"")</f>
        <v/>
      </c>
      <c r="F190" s="59">
        <f>IF(N($AL190)&gt;0,INDEX(rLim_ADM,$AL190),"")</f>
        <v/>
      </c>
      <c r="G190" s="59" t="n"/>
      <c r="H190" s="60" t="n"/>
      <c r="I190" s="60" t="n"/>
      <c r="J190" s="60" t="n"/>
      <c r="K190" s="60" t="n"/>
      <c r="L190" s="60" t="n"/>
      <c r="M190" s="61">
        <f>IF(NOT((COUNTA($B190:$D190)+COUNTA($G190:$L190)+COUNTA($Q190))&gt;0),"",IF(ISNUMBER($G190),1,IF(N($W190)&gt;0,AVERAGEIFS($X$5:$X$1000,$U$5:$U$1000,ROW(),$V$5:$V$1000,"Sub"),$X190)))</f>
        <v/>
      </c>
      <c r="N190" s="56">
        <f>IF($M190="","",IF($M190&gt;=1,"Completado",IF($M190&gt;0,"En curso","Pendiente")))</f>
        <v/>
      </c>
      <c r="O190" s="56">
        <f>IF(NOT((COUNTA($B190:$D190)+COUNTA($G190:$L190)+COUNTA($Q190))&gt;0),"",IF(ISNUMBER($G190),IF(AND(ISNUMBER($AN190),$G190&gt;$AN190),"Cumplida con "&amp;($G190-$AN190)&amp;IF($G190-$AN190=1," día"," días")&amp;" de retraso","Cumplida"),IF(N($M190)&gt;=1,"Cumplida",IF(NOT(ISNUMBER($AN190)),"Sin fecha límite",IF($AN190&lt;FechaRef,"Vencida hace "&amp;(FechaRef-$AN190)&amp;IF(FechaRef-$AN190=1," día"," días"),IF($AN190=FechaRef,"Vence hoy",IF($AN190-FechaRef&lt;=DiasAlerta,"Vence en "&amp;($AN190-FechaRef)&amp;IF($AN190-FechaRef=1," día"," días"),"En plazo")))))))</f>
        <v/>
      </c>
      <c r="P190" s="62" t="n"/>
      <c r="Q190" s="58" t="n"/>
      <c r="R190" s="63">
        <f>IF(NOT((COUNTA($B190:$D190)+COUNTA($G190:$L190)+COUNTA($Q190))&gt;0),"",IF((IF($C190="","Falta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",""))="","✔ OK","⚠ "&amp;LEFT(IF($C190="","Falta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",""),LEN(IF($C190="","Falta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",""))-3)))</f>
        <v/>
      </c>
      <c r="S190" s="64">
        <f>IF(NOT((COUNTA($B190:$D190)+COUNTA($G190:$L190)+COUNTA($Q190))&gt;0),"",IF(AND($V190="Sub",N($U190)&gt;0),IF(ISNUMBER(INDEX($AM$5:$AM$1000,$U190-4)),DATE(YEAR(INDEX($AM$5:$AM$1000,$U190-4)),MONTH(INDEX($AM$5:$AM$1000,$U190-4)),1),IF(ISNUMBER(INDEX($AN$5:$AN$1000,$U190-4)),DATE(YEAR(INDEX($AN$5:$AN$1000,$U190-4)),MONTH(INDEX($AN$5:$AN$1000,$U190-4)),1),MesCiclo)),IF(ISNUMBER($AM190),DATE(YEAR($AM190),MONTH($AM190),1),IF(ISNUMBER($AN190),DATE(YEAR($AN190),MONTH($AN190),1),MesCiclo))))</f>
        <v/>
      </c>
      <c r="T190" s="62">
        <f>IF(OR($S190="",$S190&lt;&gt;MesCiclo),"",COUNTIF($S$5:$S190,MesCiclo))</f>
        <v/>
      </c>
      <c r="U190" s="62">
        <f>IF($V190="","",IF($V190="Macro",ROW(),IFERROR(LOOKUP(2,1/($V$5:$V190="Macro"),ROW($V$5:$V190)),0)))</f>
        <v/>
      </c>
      <c r="V190" s="62">
        <f>IF(NOT((COUNTA($B190:$D190)+COUNTA($G190:$L190)+COUNTA($Q190))&gt;0),"",IF($B190="Subactividad","Sub","Macro"))</f>
        <v/>
      </c>
      <c r="W190" s="62">
        <f>IF($V190="Macro",COUNTIFS($U$5:$U$1000,ROW(),$V$5:$V$1000,"Sub"),"")</f>
        <v/>
      </c>
      <c r="X190" s="62">
        <f>IF($V190="","",IF(ISNUMBER($G190),1,IFERROR(LOOKUP(2,1/($I190:$L190&lt;&gt;""),$I190:$L190),0)))</f>
        <v/>
      </c>
      <c r="Y190" s="62">
        <f>IF($V190="","",IF(AND(ISNUMBER($G190),$G190&lt;=IF($S190=MesCiclo,InicioCiclo,$S190+MOD(2-WEEKDAY($S190),7))+6),1,IF(ISNUMBER($I190),$I190,0)))</f>
        <v/>
      </c>
      <c r="Z190" s="62">
        <f>IF($V190="","",IF(AND(ISNUMBER($G190),$G190&lt;=IF($S190=MesCiclo,InicioCiclo,$S190+MOD(2-WEEKDAY($S190),7))+13),1,IF(ISNUMBER($J190),$J190,$Y190)))</f>
        <v/>
      </c>
      <c r="AA190" s="62">
        <f>IF($V190="","",IF(AND(ISNUMBER($G190),$G190&lt;=IF($S190=MesCiclo,InicioCiclo,$S190+MOD(2-WEEKDAY($S190),7))+20),1,IF(ISNUMBER($K190),$K190,$Z190)))</f>
        <v/>
      </c>
      <c r="AB190" s="62">
        <f>IF($V190="","",IF(AND(ISNUMBER($G190),$G190&lt;=IF($S190=MesCiclo,InicioCiclo,$S190+MOD(2-WEEKDAY($S190),7))+27),1,IF(ISNUMBER($L190),$L190,$AA190)))</f>
        <v/>
      </c>
      <c r="AC190" s="62">
        <f>IF($V190="","",IF(AND(ISNUMBER($G190),$G190&lt;=IF($S190=MesCiclo,InicioCiclo,$S190+MOD(2-WEEKDAY($S190),7))+6),1,IF(N($W190)&gt;0,AVERAGEIFS($Y$5:$Y$1000,$U$5:$U$1000,ROW(),$V$5:$V$1000,"Sub"),$Y190)))</f>
        <v/>
      </c>
      <c r="AD190" s="62">
        <f>IF($V190="","",IF(AND(ISNUMBER($G190),$G190&lt;=IF($S190=MesCiclo,InicioCiclo,$S190+MOD(2-WEEKDAY($S190),7))+13),1,IF(N($W190)&gt;0,AVERAGEIFS($Z$5:$Z$1000,$U$5:$U$1000,ROW(),$V$5:$V$1000,"Sub"),$Z190)))</f>
        <v/>
      </c>
      <c r="AE190" s="62">
        <f>IF($V190="","",IF(AND(ISNUMBER($G190),$G190&lt;=IF($S190=MesCiclo,InicioCiclo,$S190+MOD(2-WEEKDAY($S190),7))+20),1,IF(N($W190)&gt;0,AVERAGEIFS($AA$5:$AA$1000,$U$5:$U$1000,ROW(),$V$5:$V$1000,"Sub"),$AA190)))</f>
        <v/>
      </c>
      <c r="AF190" s="62">
        <f>IF($V190="","",IF(AND(ISNUMBER($G190),$G190&lt;=IF($S190=MesCiclo,InicioCiclo,$S190+MOD(2-WEEKDAY($S190),7))+27),1,IF(N($W190)&gt;0,AVERAGEIFS($AB$5:$AB$1000,$U$5:$U$1000,ROW(),$V$5:$V$1000,"Sub"),$AB190)))</f>
        <v/>
      </c>
      <c r="AG190" s="62">
        <f>IF($V190&lt;&gt;"Macro","",IF(COUNTIFS($S$5:$S$1000,$S190,$V$5:$V$1000,"Macro",$H$5:$H$1000,"&gt;0")=0,1/COUNTIFS($S$5:$S$1000,$S190,$V$5:$V$1000,"Macro"),IF(AND(ISNUMBER($H190),N($H190)&gt;0),$H190,SUMIFS($H$5:$H$1000,$S$5:$S$1000,$S190,$V$5:$V$1000,"Macro")/COUNTIFS($S$5:$S$1000,$S190,$V$5:$V$1000,"Macro",$H$5:$H$1000,"&gt;0"))/(COUNTIFS($S$5:$S$1000,$S190,$V$5:$V$1000,"Macro")*SUMIFS($H$5:$H$1000,$S$5:$S$1000,$S190,$V$5:$V$1000,"Macro")/COUNTIFS($S$5:$S$1000,$S190,$V$5:$V$1000,"Macro",$H$5:$H$1000,"&gt;0"))))</f>
        <v/>
      </c>
      <c r="AH190" s="62" t="n"/>
      <c r="AI190" s="62" t="n"/>
      <c r="AJ190" s="62" t="n"/>
      <c r="AK190" s="62" t="n"/>
      <c r="AL190" s="62">
        <f>IF(LEFT($C190,11)="[Jefatura] ",IFERROR(MATCH("Riesgo Financiero|"&amp;MID($C190,12,500),rDname_ADM,0),0),"")</f>
        <v/>
      </c>
      <c r="AM190" s="62">
        <f>IF(N($AL190)&gt;0,INDEX(rIni_ADM,$AL190),IF(ISNUMBER($E190),$E190,""))</f>
        <v/>
      </c>
      <c r="AN190" s="62">
        <f>IF(N($AL190)&gt;0,INDEX(rLim_ADM,$AL190),IF(ISNUMBER($F190),$F190,""))</f>
        <v/>
      </c>
    </row>
    <row r="191">
      <c r="A191" s="56">
        <f>IF(NOT((COUNTA($B191:$D191)+COUNTA($G191:$L191)+COUNTA($Q191))&gt;0),"",IF($V191="Macro",COUNTIFS($V$5:$V191,"Macro",$S$5:$S191,$S191),IF(N($U191)=0,"?",COUNTIFS(INDEX($V$5:$V$1000,1):INDEX($V$5:$V$1000,$U191-4),"Macro",INDEX($S$5:$S$1000,1):INDEX($S$5:$S$1000,$U191-4),INDEX($S$5:$S$1000,$U191-4))&amp;"."&amp;COUNTIFS($U$5:$U191,$U191,$V$5:$V191,"Sub"))))</f>
        <v/>
      </c>
      <c r="B191" s="57" t="n"/>
      <c r="C191" s="58" t="n"/>
      <c r="D191" s="58" t="n"/>
      <c r="E191" s="59">
        <f>IF(N($AL191)&gt;0,INDEX(rIni_ADM,$AL191),"")</f>
        <v/>
      </c>
      <c r="F191" s="59">
        <f>IF(N($AL191)&gt;0,INDEX(rLim_ADM,$AL191),"")</f>
        <v/>
      </c>
      <c r="G191" s="59" t="n"/>
      <c r="H191" s="60" t="n"/>
      <c r="I191" s="60" t="n"/>
      <c r="J191" s="60" t="n"/>
      <c r="K191" s="60" t="n"/>
      <c r="L191" s="60" t="n"/>
      <c r="M191" s="61">
        <f>IF(NOT((COUNTA($B191:$D191)+COUNTA($G191:$L191)+COUNTA($Q191))&gt;0),"",IF(ISNUMBER($G191),1,IF(N($W191)&gt;0,AVERAGEIFS($X$5:$X$1000,$U$5:$U$1000,ROW(),$V$5:$V$1000,"Sub"),$X191)))</f>
        <v/>
      </c>
      <c r="N191" s="56">
        <f>IF($M191="","",IF($M191&gt;=1,"Completado",IF($M191&gt;0,"En curso","Pendiente")))</f>
        <v/>
      </c>
      <c r="O191" s="56">
        <f>IF(NOT((COUNTA($B191:$D191)+COUNTA($G191:$L191)+COUNTA($Q191))&gt;0),"",IF(ISNUMBER($G191),IF(AND(ISNUMBER($AN191),$G191&gt;$AN191),"Cumplida con "&amp;($G191-$AN191)&amp;IF($G191-$AN191=1," día"," días")&amp;" de retraso","Cumplida"),IF(N($M191)&gt;=1,"Cumplida",IF(NOT(ISNUMBER($AN191)),"Sin fecha límite",IF($AN191&lt;FechaRef,"Vencida hace "&amp;(FechaRef-$AN191)&amp;IF(FechaRef-$AN191=1," día"," días"),IF($AN191=FechaRef,"Vence hoy",IF($AN191-FechaRef&lt;=DiasAlerta,"Vence en "&amp;($AN191-FechaRef)&amp;IF($AN191-FechaRef=1," día"," días"),"En plazo")))))))</f>
        <v/>
      </c>
      <c r="P191" s="62" t="n"/>
      <c r="Q191" s="58" t="n"/>
      <c r="R191" s="63">
        <f>IF(NOT((COUNTA($B191:$D191)+COUNTA($G191:$L191)+COUNTA($Q191))&gt;0),"",IF((IF($C191="","Falta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",""))="","✔ OK","⚠ "&amp;LEFT(IF($C191="","Falta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",""),LEN(IF($C191="","Falta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",""))-3)))</f>
        <v/>
      </c>
      <c r="S191" s="64">
        <f>IF(NOT((COUNTA($B191:$D191)+COUNTA($G191:$L191)+COUNTA($Q191))&gt;0),"",IF(AND($V191="Sub",N($U191)&gt;0),IF(ISNUMBER(INDEX($AM$5:$AM$1000,$U191-4)),DATE(YEAR(INDEX($AM$5:$AM$1000,$U191-4)),MONTH(INDEX($AM$5:$AM$1000,$U191-4)),1),IF(ISNUMBER(INDEX($AN$5:$AN$1000,$U191-4)),DATE(YEAR(INDEX($AN$5:$AN$1000,$U191-4)),MONTH(INDEX($AN$5:$AN$1000,$U191-4)),1),MesCiclo)),IF(ISNUMBER($AM191),DATE(YEAR($AM191),MONTH($AM191),1),IF(ISNUMBER($AN191),DATE(YEAR($AN191),MONTH($AN191),1),MesCiclo))))</f>
        <v/>
      </c>
      <c r="T191" s="62">
        <f>IF(OR($S191="",$S191&lt;&gt;MesCiclo),"",COUNTIF($S$5:$S191,MesCiclo))</f>
        <v/>
      </c>
      <c r="U191" s="62">
        <f>IF($V191="","",IF($V191="Macro",ROW(),IFERROR(LOOKUP(2,1/($V$5:$V191="Macro"),ROW($V$5:$V191)),0)))</f>
        <v/>
      </c>
      <c r="V191" s="62">
        <f>IF(NOT((COUNTA($B191:$D191)+COUNTA($G191:$L191)+COUNTA($Q191))&gt;0),"",IF($B191="Subactividad","Sub","Macro"))</f>
        <v/>
      </c>
      <c r="W191" s="62">
        <f>IF($V191="Macro",COUNTIFS($U$5:$U$1000,ROW(),$V$5:$V$1000,"Sub"),"")</f>
        <v/>
      </c>
      <c r="X191" s="62">
        <f>IF($V191="","",IF(ISNUMBER($G191),1,IFERROR(LOOKUP(2,1/($I191:$L191&lt;&gt;""),$I191:$L191),0)))</f>
        <v/>
      </c>
      <c r="Y191" s="62">
        <f>IF($V191="","",IF(AND(ISNUMBER($G191),$G191&lt;=IF($S191=MesCiclo,InicioCiclo,$S191+MOD(2-WEEKDAY($S191),7))+6),1,IF(ISNUMBER($I191),$I191,0)))</f>
        <v/>
      </c>
      <c r="Z191" s="62">
        <f>IF($V191="","",IF(AND(ISNUMBER($G191),$G191&lt;=IF($S191=MesCiclo,InicioCiclo,$S191+MOD(2-WEEKDAY($S191),7))+13),1,IF(ISNUMBER($J191),$J191,$Y191)))</f>
        <v/>
      </c>
      <c r="AA191" s="62">
        <f>IF($V191="","",IF(AND(ISNUMBER($G191),$G191&lt;=IF($S191=MesCiclo,InicioCiclo,$S191+MOD(2-WEEKDAY($S191),7))+20),1,IF(ISNUMBER($K191),$K191,$Z191)))</f>
        <v/>
      </c>
      <c r="AB191" s="62">
        <f>IF($V191="","",IF(AND(ISNUMBER($G191),$G191&lt;=IF($S191=MesCiclo,InicioCiclo,$S191+MOD(2-WEEKDAY($S191),7))+27),1,IF(ISNUMBER($L191),$L191,$AA191)))</f>
        <v/>
      </c>
      <c r="AC191" s="62">
        <f>IF($V191="","",IF(AND(ISNUMBER($G191),$G191&lt;=IF($S191=MesCiclo,InicioCiclo,$S191+MOD(2-WEEKDAY($S191),7))+6),1,IF(N($W191)&gt;0,AVERAGEIFS($Y$5:$Y$1000,$U$5:$U$1000,ROW(),$V$5:$V$1000,"Sub"),$Y191)))</f>
        <v/>
      </c>
      <c r="AD191" s="62">
        <f>IF($V191="","",IF(AND(ISNUMBER($G191),$G191&lt;=IF($S191=MesCiclo,InicioCiclo,$S191+MOD(2-WEEKDAY($S191),7))+13),1,IF(N($W191)&gt;0,AVERAGEIFS($Z$5:$Z$1000,$U$5:$U$1000,ROW(),$V$5:$V$1000,"Sub"),$Z191)))</f>
        <v/>
      </c>
      <c r="AE191" s="62">
        <f>IF($V191="","",IF(AND(ISNUMBER($G191),$G191&lt;=IF($S191=MesCiclo,InicioCiclo,$S191+MOD(2-WEEKDAY($S191),7))+20),1,IF(N($W191)&gt;0,AVERAGEIFS($AA$5:$AA$1000,$U$5:$U$1000,ROW(),$V$5:$V$1000,"Sub"),$AA191)))</f>
        <v/>
      </c>
      <c r="AF191" s="62">
        <f>IF($V191="","",IF(AND(ISNUMBER($G191),$G191&lt;=IF($S191=MesCiclo,InicioCiclo,$S191+MOD(2-WEEKDAY($S191),7))+27),1,IF(N($W191)&gt;0,AVERAGEIFS($AB$5:$AB$1000,$U$5:$U$1000,ROW(),$V$5:$V$1000,"Sub"),$AB191)))</f>
        <v/>
      </c>
      <c r="AG191" s="62">
        <f>IF($V191&lt;&gt;"Macro","",IF(COUNTIFS($S$5:$S$1000,$S191,$V$5:$V$1000,"Macro",$H$5:$H$1000,"&gt;0")=0,1/COUNTIFS($S$5:$S$1000,$S191,$V$5:$V$1000,"Macro"),IF(AND(ISNUMBER($H191),N($H191)&gt;0),$H191,SUMIFS($H$5:$H$1000,$S$5:$S$1000,$S191,$V$5:$V$1000,"Macro")/COUNTIFS($S$5:$S$1000,$S191,$V$5:$V$1000,"Macro",$H$5:$H$1000,"&gt;0"))/(COUNTIFS($S$5:$S$1000,$S191,$V$5:$V$1000,"Macro")*SUMIFS($H$5:$H$1000,$S$5:$S$1000,$S191,$V$5:$V$1000,"Macro")/COUNTIFS($S$5:$S$1000,$S191,$V$5:$V$1000,"Macro",$H$5:$H$1000,"&gt;0"))))</f>
        <v/>
      </c>
      <c r="AH191" s="62" t="n"/>
      <c r="AI191" s="62" t="n"/>
      <c r="AJ191" s="62" t="n"/>
      <c r="AK191" s="62" t="n"/>
      <c r="AL191" s="62">
        <f>IF(LEFT($C191,11)="[Jefatura] ",IFERROR(MATCH("Riesgo Financiero|"&amp;MID($C191,12,500),rDname_ADM,0),0),"")</f>
        <v/>
      </c>
      <c r="AM191" s="62">
        <f>IF(N($AL191)&gt;0,INDEX(rIni_ADM,$AL191),IF(ISNUMBER($E191),$E191,""))</f>
        <v/>
      </c>
      <c r="AN191" s="62">
        <f>IF(N($AL191)&gt;0,INDEX(rLim_ADM,$AL191),IF(ISNUMBER($F191),$F191,""))</f>
        <v/>
      </c>
    </row>
    <row r="192">
      <c r="A192" s="56">
        <f>IF(NOT((COUNTA($B192:$D192)+COUNTA($G192:$L192)+COUNTA($Q192))&gt;0),"",IF($V192="Macro",COUNTIFS($V$5:$V192,"Macro",$S$5:$S192,$S192),IF(N($U192)=0,"?",COUNTIFS(INDEX($V$5:$V$1000,1):INDEX($V$5:$V$1000,$U192-4),"Macro",INDEX($S$5:$S$1000,1):INDEX($S$5:$S$1000,$U192-4),INDEX($S$5:$S$1000,$U192-4))&amp;"."&amp;COUNTIFS($U$5:$U192,$U192,$V$5:$V192,"Sub"))))</f>
        <v/>
      </c>
      <c r="B192" s="57" t="n"/>
      <c r="C192" s="58" t="n"/>
      <c r="D192" s="58" t="n"/>
      <c r="E192" s="59">
        <f>IF(N($AL192)&gt;0,INDEX(rIni_ADM,$AL192),"")</f>
        <v/>
      </c>
      <c r="F192" s="59">
        <f>IF(N($AL192)&gt;0,INDEX(rLim_ADM,$AL192),"")</f>
        <v/>
      </c>
      <c r="G192" s="59" t="n"/>
      <c r="H192" s="60" t="n"/>
      <c r="I192" s="60" t="n"/>
      <c r="J192" s="60" t="n"/>
      <c r="K192" s="60" t="n"/>
      <c r="L192" s="60" t="n"/>
      <c r="M192" s="61">
        <f>IF(NOT((COUNTA($B192:$D192)+COUNTA($G192:$L192)+COUNTA($Q192))&gt;0),"",IF(ISNUMBER($G192),1,IF(N($W192)&gt;0,AVERAGEIFS($X$5:$X$1000,$U$5:$U$1000,ROW(),$V$5:$V$1000,"Sub"),$X192)))</f>
        <v/>
      </c>
      <c r="N192" s="56">
        <f>IF($M192="","",IF($M192&gt;=1,"Completado",IF($M192&gt;0,"En curso","Pendiente")))</f>
        <v/>
      </c>
      <c r="O192" s="56">
        <f>IF(NOT((COUNTA($B192:$D192)+COUNTA($G192:$L192)+COUNTA($Q192))&gt;0),"",IF(ISNUMBER($G192),IF(AND(ISNUMBER($AN192),$G192&gt;$AN192),"Cumplida con "&amp;($G192-$AN192)&amp;IF($G192-$AN192=1," día"," días")&amp;" de retraso","Cumplida"),IF(N($M192)&gt;=1,"Cumplida",IF(NOT(ISNUMBER($AN192)),"Sin fecha límite",IF($AN192&lt;FechaRef,"Vencida hace "&amp;(FechaRef-$AN192)&amp;IF(FechaRef-$AN192=1," día"," días"),IF($AN192=FechaRef,"Vence hoy",IF($AN192-FechaRef&lt;=DiasAlerta,"Vence en "&amp;($AN192-FechaRef)&amp;IF($AN192-FechaRef=1," día"," días"),"En plazo")))))))</f>
        <v/>
      </c>
      <c r="P192" s="62" t="n"/>
      <c r="Q192" s="58" t="n"/>
      <c r="R192" s="63">
        <f>IF(NOT((COUNTA($B192:$D192)+COUNTA($G192:$L192)+COUNTA($Q192))&gt;0),"",IF((IF($C192="","Falta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",""))="","✔ OK","⚠ "&amp;LEFT(IF($C192="","Falta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",""),LEN(IF($C192="","Falta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",""))-3)))</f>
        <v/>
      </c>
      <c r="S192" s="64">
        <f>IF(NOT((COUNTA($B192:$D192)+COUNTA($G192:$L192)+COUNTA($Q192))&gt;0),"",IF(AND($V192="Sub",N($U192)&gt;0),IF(ISNUMBER(INDEX($AM$5:$AM$1000,$U192-4)),DATE(YEAR(INDEX($AM$5:$AM$1000,$U192-4)),MONTH(INDEX($AM$5:$AM$1000,$U192-4)),1),IF(ISNUMBER(INDEX($AN$5:$AN$1000,$U192-4)),DATE(YEAR(INDEX($AN$5:$AN$1000,$U192-4)),MONTH(INDEX($AN$5:$AN$1000,$U192-4)),1),MesCiclo)),IF(ISNUMBER($AM192),DATE(YEAR($AM192),MONTH($AM192),1),IF(ISNUMBER($AN192),DATE(YEAR($AN192),MONTH($AN192),1),MesCiclo))))</f>
        <v/>
      </c>
      <c r="T192" s="62">
        <f>IF(OR($S192="",$S192&lt;&gt;MesCiclo),"",COUNTIF($S$5:$S192,MesCiclo))</f>
        <v/>
      </c>
      <c r="U192" s="62">
        <f>IF($V192="","",IF($V192="Macro",ROW(),IFERROR(LOOKUP(2,1/($V$5:$V192="Macro"),ROW($V$5:$V192)),0)))</f>
        <v/>
      </c>
      <c r="V192" s="62">
        <f>IF(NOT((COUNTA($B192:$D192)+COUNTA($G192:$L192)+COUNTA($Q192))&gt;0),"",IF($B192="Subactividad","Sub","Macro"))</f>
        <v/>
      </c>
      <c r="W192" s="62">
        <f>IF($V192="Macro",COUNTIFS($U$5:$U$1000,ROW(),$V$5:$V$1000,"Sub"),"")</f>
        <v/>
      </c>
      <c r="X192" s="62">
        <f>IF($V192="","",IF(ISNUMBER($G192),1,IFERROR(LOOKUP(2,1/($I192:$L192&lt;&gt;""),$I192:$L192),0)))</f>
        <v/>
      </c>
      <c r="Y192" s="62">
        <f>IF($V192="","",IF(AND(ISNUMBER($G192),$G192&lt;=IF($S192=MesCiclo,InicioCiclo,$S192+MOD(2-WEEKDAY($S192),7))+6),1,IF(ISNUMBER($I192),$I192,0)))</f>
        <v/>
      </c>
      <c r="Z192" s="62">
        <f>IF($V192="","",IF(AND(ISNUMBER($G192),$G192&lt;=IF($S192=MesCiclo,InicioCiclo,$S192+MOD(2-WEEKDAY($S192),7))+13),1,IF(ISNUMBER($J192),$J192,$Y192)))</f>
        <v/>
      </c>
      <c r="AA192" s="62">
        <f>IF($V192="","",IF(AND(ISNUMBER($G192),$G192&lt;=IF($S192=MesCiclo,InicioCiclo,$S192+MOD(2-WEEKDAY($S192),7))+20),1,IF(ISNUMBER($K192),$K192,$Z192)))</f>
        <v/>
      </c>
      <c r="AB192" s="62">
        <f>IF($V192="","",IF(AND(ISNUMBER($G192),$G192&lt;=IF($S192=MesCiclo,InicioCiclo,$S192+MOD(2-WEEKDAY($S192),7))+27),1,IF(ISNUMBER($L192),$L192,$AA192)))</f>
        <v/>
      </c>
      <c r="AC192" s="62">
        <f>IF($V192="","",IF(AND(ISNUMBER($G192),$G192&lt;=IF($S192=MesCiclo,InicioCiclo,$S192+MOD(2-WEEKDAY($S192),7))+6),1,IF(N($W192)&gt;0,AVERAGEIFS($Y$5:$Y$1000,$U$5:$U$1000,ROW(),$V$5:$V$1000,"Sub"),$Y192)))</f>
        <v/>
      </c>
      <c r="AD192" s="62">
        <f>IF($V192="","",IF(AND(ISNUMBER($G192),$G192&lt;=IF($S192=MesCiclo,InicioCiclo,$S192+MOD(2-WEEKDAY($S192),7))+13),1,IF(N($W192)&gt;0,AVERAGEIFS($Z$5:$Z$1000,$U$5:$U$1000,ROW(),$V$5:$V$1000,"Sub"),$Z192)))</f>
        <v/>
      </c>
      <c r="AE192" s="62">
        <f>IF($V192="","",IF(AND(ISNUMBER($G192),$G192&lt;=IF($S192=MesCiclo,InicioCiclo,$S192+MOD(2-WEEKDAY($S192),7))+20),1,IF(N($W192)&gt;0,AVERAGEIFS($AA$5:$AA$1000,$U$5:$U$1000,ROW(),$V$5:$V$1000,"Sub"),$AA192)))</f>
        <v/>
      </c>
      <c r="AF192" s="62">
        <f>IF($V192="","",IF(AND(ISNUMBER($G192),$G192&lt;=IF($S192=MesCiclo,InicioCiclo,$S192+MOD(2-WEEKDAY($S192),7))+27),1,IF(N($W192)&gt;0,AVERAGEIFS($AB$5:$AB$1000,$U$5:$U$1000,ROW(),$V$5:$V$1000,"Sub"),$AB192)))</f>
        <v/>
      </c>
      <c r="AG192" s="62">
        <f>IF($V192&lt;&gt;"Macro","",IF(COUNTIFS($S$5:$S$1000,$S192,$V$5:$V$1000,"Macro",$H$5:$H$1000,"&gt;0")=0,1/COUNTIFS($S$5:$S$1000,$S192,$V$5:$V$1000,"Macro"),IF(AND(ISNUMBER($H192),N($H192)&gt;0),$H192,SUMIFS($H$5:$H$1000,$S$5:$S$1000,$S192,$V$5:$V$1000,"Macro")/COUNTIFS($S$5:$S$1000,$S192,$V$5:$V$1000,"Macro",$H$5:$H$1000,"&gt;0"))/(COUNTIFS($S$5:$S$1000,$S192,$V$5:$V$1000,"Macro")*SUMIFS($H$5:$H$1000,$S$5:$S$1000,$S192,$V$5:$V$1000,"Macro")/COUNTIFS($S$5:$S$1000,$S192,$V$5:$V$1000,"Macro",$H$5:$H$1000,"&gt;0"))))</f>
        <v/>
      </c>
      <c r="AH192" s="62" t="n"/>
      <c r="AI192" s="62" t="n"/>
      <c r="AJ192" s="62" t="n"/>
      <c r="AK192" s="62" t="n"/>
      <c r="AL192" s="62">
        <f>IF(LEFT($C192,11)="[Jefatura] ",IFERROR(MATCH("Riesgo Financiero|"&amp;MID($C192,12,500),rDname_ADM,0),0),"")</f>
        <v/>
      </c>
      <c r="AM192" s="62">
        <f>IF(N($AL192)&gt;0,INDEX(rIni_ADM,$AL192),IF(ISNUMBER($E192),$E192,""))</f>
        <v/>
      </c>
      <c r="AN192" s="62">
        <f>IF(N($AL192)&gt;0,INDEX(rLim_ADM,$AL192),IF(ISNUMBER($F192),$F192,""))</f>
        <v/>
      </c>
    </row>
    <row r="193">
      <c r="A193" s="56">
        <f>IF(NOT((COUNTA($B193:$D193)+COUNTA($G193:$L193)+COUNTA($Q193))&gt;0),"",IF($V193="Macro",COUNTIFS($V$5:$V193,"Macro",$S$5:$S193,$S193),IF(N($U193)=0,"?",COUNTIFS(INDEX($V$5:$V$1000,1):INDEX($V$5:$V$1000,$U193-4),"Macro",INDEX($S$5:$S$1000,1):INDEX($S$5:$S$1000,$U193-4),INDEX($S$5:$S$1000,$U193-4))&amp;"."&amp;COUNTIFS($U$5:$U193,$U193,$V$5:$V193,"Sub"))))</f>
        <v/>
      </c>
      <c r="B193" s="57" t="n"/>
      <c r="C193" s="58" t="n"/>
      <c r="D193" s="58" t="n"/>
      <c r="E193" s="59">
        <f>IF(N($AL193)&gt;0,INDEX(rIni_ADM,$AL193),"")</f>
        <v/>
      </c>
      <c r="F193" s="59">
        <f>IF(N($AL193)&gt;0,INDEX(rLim_ADM,$AL193),"")</f>
        <v/>
      </c>
      <c r="G193" s="59" t="n"/>
      <c r="H193" s="60" t="n"/>
      <c r="I193" s="60" t="n"/>
      <c r="J193" s="60" t="n"/>
      <c r="K193" s="60" t="n"/>
      <c r="L193" s="60" t="n"/>
      <c r="M193" s="61">
        <f>IF(NOT((COUNTA($B193:$D193)+COUNTA($G193:$L193)+COUNTA($Q193))&gt;0),"",IF(ISNUMBER($G193),1,IF(N($W193)&gt;0,AVERAGEIFS($X$5:$X$1000,$U$5:$U$1000,ROW(),$V$5:$V$1000,"Sub"),$X193)))</f>
        <v/>
      </c>
      <c r="N193" s="56">
        <f>IF($M193="","",IF($M193&gt;=1,"Completado",IF($M193&gt;0,"En curso","Pendiente")))</f>
        <v/>
      </c>
      <c r="O193" s="56">
        <f>IF(NOT((COUNTA($B193:$D193)+COUNTA($G193:$L193)+COUNTA($Q193))&gt;0),"",IF(ISNUMBER($G193),IF(AND(ISNUMBER($AN193),$G193&gt;$AN193),"Cumplida con "&amp;($G193-$AN193)&amp;IF($G193-$AN193=1," día"," días")&amp;" de retraso","Cumplida"),IF(N($M193)&gt;=1,"Cumplida",IF(NOT(ISNUMBER($AN193)),"Sin fecha límite",IF($AN193&lt;FechaRef,"Vencida hace "&amp;(FechaRef-$AN193)&amp;IF(FechaRef-$AN193=1," día"," días"),IF($AN193=FechaRef,"Vence hoy",IF($AN193-FechaRef&lt;=DiasAlerta,"Vence en "&amp;($AN193-FechaRef)&amp;IF($AN193-FechaRef=1," día"," días"),"En plazo")))))))</f>
        <v/>
      </c>
      <c r="P193" s="62" t="n"/>
      <c r="Q193" s="58" t="n"/>
      <c r="R193" s="63">
        <f>IF(NOT((COUNTA($B193:$D193)+COUNTA($G193:$L193)+COUNTA($Q193))&gt;0),"",IF((IF($C193="","Falta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",""))="","✔ OK","⚠ "&amp;LEFT(IF($C193="","Falta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",""),LEN(IF($C193="","Falta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",""))-3)))</f>
        <v/>
      </c>
      <c r="S193" s="64">
        <f>IF(NOT((COUNTA($B193:$D193)+COUNTA($G193:$L193)+COUNTA($Q193))&gt;0),"",IF(AND($V193="Sub",N($U193)&gt;0),IF(ISNUMBER(INDEX($AM$5:$AM$1000,$U193-4)),DATE(YEAR(INDEX($AM$5:$AM$1000,$U193-4)),MONTH(INDEX($AM$5:$AM$1000,$U193-4)),1),IF(ISNUMBER(INDEX($AN$5:$AN$1000,$U193-4)),DATE(YEAR(INDEX($AN$5:$AN$1000,$U193-4)),MONTH(INDEX($AN$5:$AN$1000,$U193-4)),1),MesCiclo)),IF(ISNUMBER($AM193),DATE(YEAR($AM193),MONTH($AM193),1),IF(ISNUMBER($AN193),DATE(YEAR($AN193),MONTH($AN193),1),MesCiclo))))</f>
        <v/>
      </c>
      <c r="T193" s="62">
        <f>IF(OR($S193="",$S193&lt;&gt;MesCiclo),"",COUNTIF($S$5:$S193,MesCiclo))</f>
        <v/>
      </c>
      <c r="U193" s="62">
        <f>IF($V193="","",IF($V193="Macro",ROW(),IFERROR(LOOKUP(2,1/($V$5:$V193="Macro"),ROW($V$5:$V193)),0)))</f>
        <v/>
      </c>
      <c r="V193" s="62">
        <f>IF(NOT((COUNTA($B193:$D193)+COUNTA($G193:$L193)+COUNTA($Q193))&gt;0),"",IF($B193="Subactividad","Sub","Macro"))</f>
        <v/>
      </c>
      <c r="W193" s="62">
        <f>IF($V193="Macro",COUNTIFS($U$5:$U$1000,ROW(),$V$5:$V$1000,"Sub"),"")</f>
        <v/>
      </c>
      <c r="X193" s="62">
        <f>IF($V193="","",IF(ISNUMBER($G193),1,IFERROR(LOOKUP(2,1/($I193:$L193&lt;&gt;""),$I193:$L193),0)))</f>
        <v/>
      </c>
      <c r="Y193" s="62">
        <f>IF($V193="","",IF(AND(ISNUMBER($G193),$G193&lt;=IF($S193=MesCiclo,InicioCiclo,$S193+MOD(2-WEEKDAY($S193),7))+6),1,IF(ISNUMBER($I193),$I193,0)))</f>
        <v/>
      </c>
      <c r="Z193" s="62">
        <f>IF($V193="","",IF(AND(ISNUMBER($G193),$G193&lt;=IF($S193=MesCiclo,InicioCiclo,$S193+MOD(2-WEEKDAY($S193),7))+13),1,IF(ISNUMBER($J193),$J193,$Y193)))</f>
        <v/>
      </c>
      <c r="AA193" s="62">
        <f>IF($V193="","",IF(AND(ISNUMBER($G193),$G193&lt;=IF($S193=MesCiclo,InicioCiclo,$S193+MOD(2-WEEKDAY($S193),7))+20),1,IF(ISNUMBER($K193),$K193,$Z193)))</f>
        <v/>
      </c>
      <c r="AB193" s="62">
        <f>IF($V193="","",IF(AND(ISNUMBER($G193),$G193&lt;=IF($S193=MesCiclo,InicioCiclo,$S193+MOD(2-WEEKDAY($S193),7))+27),1,IF(ISNUMBER($L193),$L193,$AA193)))</f>
        <v/>
      </c>
      <c r="AC193" s="62">
        <f>IF($V193="","",IF(AND(ISNUMBER($G193),$G193&lt;=IF($S193=MesCiclo,InicioCiclo,$S193+MOD(2-WEEKDAY($S193),7))+6),1,IF(N($W193)&gt;0,AVERAGEIFS($Y$5:$Y$1000,$U$5:$U$1000,ROW(),$V$5:$V$1000,"Sub"),$Y193)))</f>
        <v/>
      </c>
      <c r="AD193" s="62">
        <f>IF($V193="","",IF(AND(ISNUMBER($G193),$G193&lt;=IF($S193=MesCiclo,InicioCiclo,$S193+MOD(2-WEEKDAY($S193),7))+13),1,IF(N($W193)&gt;0,AVERAGEIFS($Z$5:$Z$1000,$U$5:$U$1000,ROW(),$V$5:$V$1000,"Sub"),$Z193)))</f>
        <v/>
      </c>
      <c r="AE193" s="62">
        <f>IF($V193="","",IF(AND(ISNUMBER($G193),$G193&lt;=IF($S193=MesCiclo,InicioCiclo,$S193+MOD(2-WEEKDAY($S193),7))+20),1,IF(N($W193)&gt;0,AVERAGEIFS($AA$5:$AA$1000,$U$5:$U$1000,ROW(),$V$5:$V$1000,"Sub"),$AA193)))</f>
        <v/>
      </c>
      <c r="AF193" s="62">
        <f>IF($V193="","",IF(AND(ISNUMBER($G193),$G193&lt;=IF($S193=MesCiclo,InicioCiclo,$S193+MOD(2-WEEKDAY($S193),7))+27),1,IF(N($W193)&gt;0,AVERAGEIFS($AB$5:$AB$1000,$U$5:$U$1000,ROW(),$V$5:$V$1000,"Sub"),$AB193)))</f>
        <v/>
      </c>
      <c r="AG193" s="62">
        <f>IF($V193&lt;&gt;"Macro","",IF(COUNTIFS($S$5:$S$1000,$S193,$V$5:$V$1000,"Macro",$H$5:$H$1000,"&gt;0")=0,1/COUNTIFS($S$5:$S$1000,$S193,$V$5:$V$1000,"Macro"),IF(AND(ISNUMBER($H193),N($H193)&gt;0),$H193,SUMIFS($H$5:$H$1000,$S$5:$S$1000,$S193,$V$5:$V$1000,"Macro")/COUNTIFS($S$5:$S$1000,$S193,$V$5:$V$1000,"Macro",$H$5:$H$1000,"&gt;0"))/(COUNTIFS($S$5:$S$1000,$S193,$V$5:$V$1000,"Macro")*SUMIFS($H$5:$H$1000,$S$5:$S$1000,$S193,$V$5:$V$1000,"Macro")/COUNTIFS($S$5:$S$1000,$S193,$V$5:$V$1000,"Macro",$H$5:$H$1000,"&gt;0"))))</f>
        <v/>
      </c>
      <c r="AH193" s="62" t="n"/>
      <c r="AI193" s="62" t="n"/>
      <c r="AJ193" s="62" t="n"/>
      <c r="AK193" s="62" t="n"/>
      <c r="AL193" s="62">
        <f>IF(LEFT($C193,11)="[Jefatura] ",IFERROR(MATCH("Riesgo Financiero|"&amp;MID($C193,12,500),rDname_ADM,0),0),"")</f>
        <v/>
      </c>
      <c r="AM193" s="62">
        <f>IF(N($AL193)&gt;0,INDEX(rIni_ADM,$AL193),IF(ISNUMBER($E193),$E193,""))</f>
        <v/>
      </c>
      <c r="AN193" s="62">
        <f>IF(N($AL193)&gt;0,INDEX(rLim_ADM,$AL193),IF(ISNUMBER($F193),$F193,""))</f>
        <v/>
      </c>
    </row>
    <row r="194">
      <c r="A194" s="56">
        <f>IF(NOT((COUNTA($B194:$D194)+COUNTA($G194:$L194)+COUNTA($Q194))&gt;0),"",IF($V194="Macro",COUNTIFS($V$5:$V194,"Macro",$S$5:$S194,$S194),IF(N($U194)=0,"?",COUNTIFS(INDEX($V$5:$V$1000,1):INDEX($V$5:$V$1000,$U194-4),"Macro",INDEX($S$5:$S$1000,1):INDEX($S$5:$S$1000,$U194-4),INDEX($S$5:$S$1000,$U194-4))&amp;"."&amp;COUNTIFS($U$5:$U194,$U194,$V$5:$V194,"Sub"))))</f>
        <v/>
      </c>
      <c r="B194" s="57" t="n"/>
      <c r="C194" s="58" t="n"/>
      <c r="D194" s="58" t="n"/>
      <c r="E194" s="59">
        <f>IF(N($AL194)&gt;0,INDEX(rIni_ADM,$AL194),"")</f>
        <v/>
      </c>
      <c r="F194" s="59">
        <f>IF(N($AL194)&gt;0,INDEX(rLim_ADM,$AL194),"")</f>
        <v/>
      </c>
      <c r="G194" s="59" t="n"/>
      <c r="H194" s="60" t="n"/>
      <c r="I194" s="60" t="n"/>
      <c r="J194" s="60" t="n"/>
      <c r="K194" s="60" t="n"/>
      <c r="L194" s="60" t="n"/>
      <c r="M194" s="61">
        <f>IF(NOT((COUNTA($B194:$D194)+COUNTA($G194:$L194)+COUNTA($Q194))&gt;0),"",IF(ISNUMBER($G194),1,IF(N($W194)&gt;0,AVERAGEIFS($X$5:$X$1000,$U$5:$U$1000,ROW(),$V$5:$V$1000,"Sub"),$X194)))</f>
        <v/>
      </c>
      <c r="N194" s="56">
        <f>IF($M194="","",IF($M194&gt;=1,"Completado",IF($M194&gt;0,"En curso","Pendiente")))</f>
        <v/>
      </c>
      <c r="O194" s="56">
        <f>IF(NOT((COUNTA($B194:$D194)+COUNTA($G194:$L194)+COUNTA($Q194))&gt;0),"",IF(ISNUMBER($G194),IF(AND(ISNUMBER($AN194),$G194&gt;$AN194),"Cumplida con "&amp;($G194-$AN194)&amp;IF($G194-$AN194=1," día"," días")&amp;" de retraso","Cumplida"),IF(N($M194)&gt;=1,"Cumplida",IF(NOT(ISNUMBER($AN194)),"Sin fecha límite",IF($AN194&lt;FechaRef,"Vencida hace "&amp;(FechaRef-$AN194)&amp;IF(FechaRef-$AN194=1," día"," días"),IF($AN194=FechaRef,"Vence hoy",IF($AN194-FechaRef&lt;=DiasAlerta,"Vence en "&amp;($AN194-FechaRef)&amp;IF($AN194-FechaRef=1," día"," días"),"En plazo")))))))</f>
        <v/>
      </c>
      <c r="P194" s="62" t="n"/>
      <c r="Q194" s="58" t="n"/>
      <c r="R194" s="63">
        <f>IF(NOT((COUNTA($B194:$D194)+COUNTA($G194:$L194)+COUNTA($Q194))&gt;0),"",IF((IF($C194="","Falta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",""))="","✔ OK","⚠ "&amp;LEFT(IF($C194="","Falta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",""),LEN(IF($C194="","Falta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",""))-3)))</f>
        <v/>
      </c>
      <c r="S194" s="64">
        <f>IF(NOT((COUNTA($B194:$D194)+COUNTA($G194:$L194)+COUNTA($Q194))&gt;0),"",IF(AND($V194="Sub",N($U194)&gt;0),IF(ISNUMBER(INDEX($AM$5:$AM$1000,$U194-4)),DATE(YEAR(INDEX($AM$5:$AM$1000,$U194-4)),MONTH(INDEX($AM$5:$AM$1000,$U194-4)),1),IF(ISNUMBER(INDEX($AN$5:$AN$1000,$U194-4)),DATE(YEAR(INDEX($AN$5:$AN$1000,$U194-4)),MONTH(INDEX($AN$5:$AN$1000,$U194-4)),1),MesCiclo)),IF(ISNUMBER($AM194),DATE(YEAR($AM194),MONTH($AM194),1),IF(ISNUMBER($AN194),DATE(YEAR($AN194),MONTH($AN194),1),MesCiclo))))</f>
        <v/>
      </c>
      <c r="T194" s="62">
        <f>IF(OR($S194="",$S194&lt;&gt;MesCiclo),"",COUNTIF($S$5:$S194,MesCiclo))</f>
        <v/>
      </c>
      <c r="U194" s="62">
        <f>IF($V194="","",IF($V194="Macro",ROW(),IFERROR(LOOKUP(2,1/($V$5:$V194="Macro"),ROW($V$5:$V194)),0)))</f>
        <v/>
      </c>
      <c r="V194" s="62">
        <f>IF(NOT((COUNTA($B194:$D194)+COUNTA($G194:$L194)+COUNTA($Q194))&gt;0),"",IF($B194="Subactividad","Sub","Macro"))</f>
        <v/>
      </c>
      <c r="W194" s="62">
        <f>IF($V194="Macro",COUNTIFS($U$5:$U$1000,ROW(),$V$5:$V$1000,"Sub"),"")</f>
        <v/>
      </c>
      <c r="X194" s="62">
        <f>IF($V194="","",IF(ISNUMBER($G194),1,IFERROR(LOOKUP(2,1/($I194:$L194&lt;&gt;""),$I194:$L194),0)))</f>
        <v/>
      </c>
      <c r="Y194" s="62">
        <f>IF($V194="","",IF(AND(ISNUMBER($G194),$G194&lt;=IF($S194=MesCiclo,InicioCiclo,$S194+MOD(2-WEEKDAY($S194),7))+6),1,IF(ISNUMBER($I194),$I194,0)))</f>
        <v/>
      </c>
      <c r="Z194" s="62">
        <f>IF($V194="","",IF(AND(ISNUMBER($G194),$G194&lt;=IF($S194=MesCiclo,InicioCiclo,$S194+MOD(2-WEEKDAY($S194),7))+13),1,IF(ISNUMBER($J194),$J194,$Y194)))</f>
        <v/>
      </c>
      <c r="AA194" s="62">
        <f>IF($V194="","",IF(AND(ISNUMBER($G194),$G194&lt;=IF($S194=MesCiclo,InicioCiclo,$S194+MOD(2-WEEKDAY($S194),7))+20),1,IF(ISNUMBER($K194),$K194,$Z194)))</f>
        <v/>
      </c>
      <c r="AB194" s="62">
        <f>IF($V194="","",IF(AND(ISNUMBER($G194),$G194&lt;=IF($S194=MesCiclo,InicioCiclo,$S194+MOD(2-WEEKDAY($S194),7))+27),1,IF(ISNUMBER($L194),$L194,$AA194)))</f>
        <v/>
      </c>
      <c r="AC194" s="62">
        <f>IF($V194="","",IF(AND(ISNUMBER($G194),$G194&lt;=IF($S194=MesCiclo,InicioCiclo,$S194+MOD(2-WEEKDAY($S194),7))+6),1,IF(N($W194)&gt;0,AVERAGEIFS($Y$5:$Y$1000,$U$5:$U$1000,ROW(),$V$5:$V$1000,"Sub"),$Y194)))</f>
        <v/>
      </c>
      <c r="AD194" s="62">
        <f>IF($V194="","",IF(AND(ISNUMBER($G194),$G194&lt;=IF($S194=MesCiclo,InicioCiclo,$S194+MOD(2-WEEKDAY($S194),7))+13),1,IF(N($W194)&gt;0,AVERAGEIFS($Z$5:$Z$1000,$U$5:$U$1000,ROW(),$V$5:$V$1000,"Sub"),$Z194)))</f>
        <v/>
      </c>
      <c r="AE194" s="62">
        <f>IF($V194="","",IF(AND(ISNUMBER($G194),$G194&lt;=IF($S194=MesCiclo,InicioCiclo,$S194+MOD(2-WEEKDAY($S194),7))+20),1,IF(N($W194)&gt;0,AVERAGEIFS($AA$5:$AA$1000,$U$5:$U$1000,ROW(),$V$5:$V$1000,"Sub"),$AA194)))</f>
        <v/>
      </c>
      <c r="AF194" s="62">
        <f>IF($V194="","",IF(AND(ISNUMBER($G194),$G194&lt;=IF($S194=MesCiclo,InicioCiclo,$S194+MOD(2-WEEKDAY($S194),7))+27),1,IF(N($W194)&gt;0,AVERAGEIFS($AB$5:$AB$1000,$U$5:$U$1000,ROW(),$V$5:$V$1000,"Sub"),$AB194)))</f>
        <v/>
      </c>
      <c r="AG194" s="62">
        <f>IF($V194&lt;&gt;"Macro","",IF(COUNTIFS($S$5:$S$1000,$S194,$V$5:$V$1000,"Macro",$H$5:$H$1000,"&gt;0")=0,1/COUNTIFS($S$5:$S$1000,$S194,$V$5:$V$1000,"Macro"),IF(AND(ISNUMBER($H194),N($H194)&gt;0),$H194,SUMIFS($H$5:$H$1000,$S$5:$S$1000,$S194,$V$5:$V$1000,"Macro")/COUNTIFS($S$5:$S$1000,$S194,$V$5:$V$1000,"Macro",$H$5:$H$1000,"&gt;0"))/(COUNTIFS($S$5:$S$1000,$S194,$V$5:$V$1000,"Macro")*SUMIFS($H$5:$H$1000,$S$5:$S$1000,$S194,$V$5:$V$1000,"Macro")/COUNTIFS($S$5:$S$1000,$S194,$V$5:$V$1000,"Macro",$H$5:$H$1000,"&gt;0"))))</f>
        <v/>
      </c>
      <c r="AH194" s="62" t="n"/>
      <c r="AI194" s="62" t="n"/>
      <c r="AJ194" s="62" t="n"/>
      <c r="AK194" s="62" t="n"/>
      <c r="AL194" s="62">
        <f>IF(LEFT($C194,11)="[Jefatura] ",IFERROR(MATCH("Riesgo Financiero|"&amp;MID($C194,12,500),rDname_ADM,0),0),"")</f>
        <v/>
      </c>
      <c r="AM194" s="62">
        <f>IF(N($AL194)&gt;0,INDEX(rIni_ADM,$AL194),IF(ISNUMBER($E194),$E194,""))</f>
        <v/>
      </c>
      <c r="AN194" s="62">
        <f>IF(N($AL194)&gt;0,INDEX(rLim_ADM,$AL194),IF(ISNUMBER($F194),$F194,""))</f>
        <v/>
      </c>
    </row>
    <row r="195">
      <c r="A195" s="56">
        <f>IF(NOT((COUNTA($B195:$D195)+COUNTA($G195:$L195)+COUNTA($Q195))&gt;0),"",IF($V195="Macro",COUNTIFS($V$5:$V195,"Macro",$S$5:$S195,$S195),IF(N($U195)=0,"?",COUNTIFS(INDEX($V$5:$V$1000,1):INDEX($V$5:$V$1000,$U195-4),"Macro",INDEX($S$5:$S$1000,1):INDEX($S$5:$S$1000,$U195-4),INDEX($S$5:$S$1000,$U195-4))&amp;"."&amp;COUNTIFS($U$5:$U195,$U195,$V$5:$V195,"Sub"))))</f>
        <v/>
      </c>
      <c r="B195" s="57" t="n"/>
      <c r="C195" s="58" t="n"/>
      <c r="D195" s="58" t="n"/>
      <c r="E195" s="59">
        <f>IF(N($AL195)&gt;0,INDEX(rIni_ADM,$AL195),"")</f>
        <v/>
      </c>
      <c r="F195" s="59">
        <f>IF(N($AL195)&gt;0,INDEX(rLim_ADM,$AL195),"")</f>
        <v/>
      </c>
      <c r="G195" s="59" t="n"/>
      <c r="H195" s="60" t="n"/>
      <c r="I195" s="60" t="n"/>
      <c r="J195" s="60" t="n"/>
      <c r="K195" s="60" t="n"/>
      <c r="L195" s="60" t="n"/>
      <c r="M195" s="61">
        <f>IF(NOT((COUNTA($B195:$D195)+COUNTA($G195:$L195)+COUNTA($Q195))&gt;0),"",IF(ISNUMBER($G195),1,IF(N($W195)&gt;0,AVERAGEIFS($X$5:$X$1000,$U$5:$U$1000,ROW(),$V$5:$V$1000,"Sub"),$X195)))</f>
        <v/>
      </c>
      <c r="N195" s="56">
        <f>IF($M195="","",IF($M195&gt;=1,"Completado",IF($M195&gt;0,"En curso","Pendiente")))</f>
        <v/>
      </c>
      <c r="O195" s="56">
        <f>IF(NOT((COUNTA($B195:$D195)+COUNTA($G195:$L195)+COUNTA($Q195))&gt;0),"",IF(ISNUMBER($G195),IF(AND(ISNUMBER($AN195),$G195&gt;$AN195),"Cumplida con "&amp;($G195-$AN195)&amp;IF($G195-$AN195=1," día"," días")&amp;" de retraso","Cumplida"),IF(N($M195)&gt;=1,"Cumplida",IF(NOT(ISNUMBER($AN195)),"Sin fecha límite",IF($AN195&lt;FechaRef,"Vencida hace "&amp;(FechaRef-$AN195)&amp;IF(FechaRef-$AN195=1," día"," días"),IF($AN195=FechaRef,"Vence hoy",IF($AN195-FechaRef&lt;=DiasAlerta,"Vence en "&amp;($AN195-FechaRef)&amp;IF($AN195-FechaRef=1," día"," días"),"En plazo")))))))</f>
        <v/>
      </c>
      <c r="P195" s="62" t="n"/>
      <c r="Q195" s="58" t="n"/>
      <c r="R195" s="63">
        <f>IF(NOT((COUNTA($B195:$D195)+COUNTA($G195:$L195)+COUNTA($Q195))&gt;0),"",IF((IF($C195="","Falta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",""))="","✔ OK","⚠ "&amp;LEFT(IF($C195="","Falta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",""),LEN(IF($C195="","Falta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",""))-3)))</f>
        <v/>
      </c>
      <c r="S195" s="64">
        <f>IF(NOT((COUNTA($B195:$D195)+COUNTA($G195:$L195)+COUNTA($Q195))&gt;0),"",IF(AND($V195="Sub",N($U195)&gt;0),IF(ISNUMBER(INDEX($AM$5:$AM$1000,$U195-4)),DATE(YEAR(INDEX($AM$5:$AM$1000,$U195-4)),MONTH(INDEX($AM$5:$AM$1000,$U195-4)),1),IF(ISNUMBER(INDEX($AN$5:$AN$1000,$U195-4)),DATE(YEAR(INDEX($AN$5:$AN$1000,$U195-4)),MONTH(INDEX($AN$5:$AN$1000,$U195-4)),1),MesCiclo)),IF(ISNUMBER($AM195),DATE(YEAR($AM195),MONTH($AM195),1),IF(ISNUMBER($AN195),DATE(YEAR($AN195),MONTH($AN195),1),MesCiclo))))</f>
        <v/>
      </c>
      <c r="T195" s="62">
        <f>IF(OR($S195="",$S195&lt;&gt;MesCiclo),"",COUNTIF($S$5:$S195,MesCiclo))</f>
        <v/>
      </c>
      <c r="U195" s="62">
        <f>IF($V195="","",IF($V195="Macro",ROW(),IFERROR(LOOKUP(2,1/($V$5:$V195="Macro"),ROW($V$5:$V195)),0)))</f>
        <v/>
      </c>
      <c r="V195" s="62">
        <f>IF(NOT((COUNTA($B195:$D195)+COUNTA($G195:$L195)+COUNTA($Q195))&gt;0),"",IF($B195="Subactividad","Sub","Macro"))</f>
        <v/>
      </c>
      <c r="W195" s="62">
        <f>IF($V195="Macro",COUNTIFS($U$5:$U$1000,ROW(),$V$5:$V$1000,"Sub"),"")</f>
        <v/>
      </c>
      <c r="X195" s="62">
        <f>IF($V195="","",IF(ISNUMBER($G195),1,IFERROR(LOOKUP(2,1/($I195:$L195&lt;&gt;""),$I195:$L195),0)))</f>
        <v/>
      </c>
      <c r="Y195" s="62">
        <f>IF($V195="","",IF(AND(ISNUMBER($G195),$G195&lt;=IF($S195=MesCiclo,InicioCiclo,$S195+MOD(2-WEEKDAY($S195),7))+6),1,IF(ISNUMBER($I195),$I195,0)))</f>
        <v/>
      </c>
      <c r="Z195" s="62">
        <f>IF($V195="","",IF(AND(ISNUMBER($G195),$G195&lt;=IF($S195=MesCiclo,InicioCiclo,$S195+MOD(2-WEEKDAY($S195),7))+13),1,IF(ISNUMBER($J195),$J195,$Y195)))</f>
        <v/>
      </c>
      <c r="AA195" s="62">
        <f>IF($V195="","",IF(AND(ISNUMBER($G195),$G195&lt;=IF($S195=MesCiclo,InicioCiclo,$S195+MOD(2-WEEKDAY($S195),7))+20),1,IF(ISNUMBER($K195),$K195,$Z195)))</f>
        <v/>
      </c>
      <c r="AB195" s="62">
        <f>IF($V195="","",IF(AND(ISNUMBER($G195),$G195&lt;=IF($S195=MesCiclo,InicioCiclo,$S195+MOD(2-WEEKDAY($S195),7))+27),1,IF(ISNUMBER($L195),$L195,$AA195)))</f>
        <v/>
      </c>
      <c r="AC195" s="62">
        <f>IF($V195="","",IF(AND(ISNUMBER($G195),$G195&lt;=IF($S195=MesCiclo,InicioCiclo,$S195+MOD(2-WEEKDAY($S195),7))+6),1,IF(N($W195)&gt;0,AVERAGEIFS($Y$5:$Y$1000,$U$5:$U$1000,ROW(),$V$5:$V$1000,"Sub"),$Y195)))</f>
        <v/>
      </c>
      <c r="AD195" s="62">
        <f>IF($V195="","",IF(AND(ISNUMBER($G195),$G195&lt;=IF($S195=MesCiclo,InicioCiclo,$S195+MOD(2-WEEKDAY($S195),7))+13),1,IF(N($W195)&gt;0,AVERAGEIFS($Z$5:$Z$1000,$U$5:$U$1000,ROW(),$V$5:$V$1000,"Sub"),$Z195)))</f>
        <v/>
      </c>
      <c r="AE195" s="62">
        <f>IF($V195="","",IF(AND(ISNUMBER($G195),$G195&lt;=IF($S195=MesCiclo,InicioCiclo,$S195+MOD(2-WEEKDAY($S195),7))+20),1,IF(N($W195)&gt;0,AVERAGEIFS($AA$5:$AA$1000,$U$5:$U$1000,ROW(),$V$5:$V$1000,"Sub"),$AA195)))</f>
        <v/>
      </c>
      <c r="AF195" s="62">
        <f>IF($V195="","",IF(AND(ISNUMBER($G195),$G195&lt;=IF($S195=MesCiclo,InicioCiclo,$S195+MOD(2-WEEKDAY($S195),7))+27),1,IF(N($W195)&gt;0,AVERAGEIFS($AB$5:$AB$1000,$U$5:$U$1000,ROW(),$V$5:$V$1000,"Sub"),$AB195)))</f>
        <v/>
      </c>
      <c r="AG195" s="62">
        <f>IF($V195&lt;&gt;"Macro","",IF(COUNTIFS($S$5:$S$1000,$S195,$V$5:$V$1000,"Macro",$H$5:$H$1000,"&gt;0")=0,1/COUNTIFS($S$5:$S$1000,$S195,$V$5:$V$1000,"Macro"),IF(AND(ISNUMBER($H195),N($H195)&gt;0),$H195,SUMIFS($H$5:$H$1000,$S$5:$S$1000,$S195,$V$5:$V$1000,"Macro")/COUNTIFS($S$5:$S$1000,$S195,$V$5:$V$1000,"Macro",$H$5:$H$1000,"&gt;0"))/(COUNTIFS($S$5:$S$1000,$S195,$V$5:$V$1000,"Macro")*SUMIFS($H$5:$H$1000,$S$5:$S$1000,$S195,$V$5:$V$1000,"Macro")/COUNTIFS($S$5:$S$1000,$S195,$V$5:$V$1000,"Macro",$H$5:$H$1000,"&gt;0"))))</f>
        <v/>
      </c>
      <c r="AH195" s="62" t="n"/>
      <c r="AI195" s="62" t="n"/>
      <c r="AJ195" s="62" t="n"/>
      <c r="AK195" s="62" t="n"/>
      <c r="AL195" s="62">
        <f>IF(LEFT($C195,11)="[Jefatura] ",IFERROR(MATCH("Riesgo Financiero|"&amp;MID($C195,12,500),rDname_ADM,0),0),"")</f>
        <v/>
      </c>
      <c r="AM195" s="62">
        <f>IF(N($AL195)&gt;0,INDEX(rIni_ADM,$AL195),IF(ISNUMBER($E195),$E195,""))</f>
        <v/>
      </c>
      <c r="AN195" s="62">
        <f>IF(N($AL195)&gt;0,INDEX(rLim_ADM,$AL195),IF(ISNUMBER($F195),$F195,""))</f>
        <v/>
      </c>
    </row>
    <row r="196">
      <c r="A196" s="56">
        <f>IF(NOT((COUNTA($B196:$D196)+COUNTA($G196:$L196)+COUNTA($Q196))&gt;0),"",IF($V196="Macro",COUNTIFS($V$5:$V196,"Macro",$S$5:$S196,$S196),IF(N($U196)=0,"?",COUNTIFS(INDEX($V$5:$V$1000,1):INDEX($V$5:$V$1000,$U196-4),"Macro",INDEX($S$5:$S$1000,1):INDEX($S$5:$S$1000,$U196-4),INDEX($S$5:$S$1000,$U196-4))&amp;"."&amp;COUNTIFS($U$5:$U196,$U196,$V$5:$V196,"Sub"))))</f>
        <v/>
      </c>
      <c r="B196" s="57" t="n"/>
      <c r="C196" s="58" t="n"/>
      <c r="D196" s="58" t="n"/>
      <c r="E196" s="59">
        <f>IF(N($AL196)&gt;0,INDEX(rIni_ADM,$AL196),"")</f>
        <v/>
      </c>
      <c r="F196" s="59">
        <f>IF(N($AL196)&gt;0,INDEX(rLim_ADM,$AL196),"")</f>
        <v/>
      </c>
      <c r="G196" s="59" t="n"/>
      <c r="H196" s="60" t="n"/>
      <c r="I196" s="60" t="n"/>
      <c r="J196" s="60" t="n"/>
      <c r="K196" s="60" t="n"/>
      <c r="L196" s="60" t="n"/>
      <c r="M196" s="61">
        <f>IF(NOT((COUNTA($B196:$D196)+COUNTA($G196:$L196)+COUNTA($Q196))&gt;0),"",IF(ISNUMBER($G196),1,IF(N($W196)&gt;0,AVERAGEIFS($X$5:$X$1000,$U$5:$U$1000,ROW(),$V$5:$V$1000,"Sub"),$X196)))</f>
        <v/>
      </c>
      <c r="N196" s="56">
        <f>IF($M196="","",IF($M196&gt;=1,"Completado",IF($M196&gt;0,"En curso","Pendiente")))</f>
        <v/>
      </c>
      <c r="O196" s="56">
        <f>IF(NOT((COUNTA($B196:$D196)+COUNTA($G196:$L196)+COUNTA($Q196))&gt;0),"",IF(ISNUMBER($G196),IF(AND(ISNUMBER($AN196),$G196&gt;$AN196),"Cumplida con "&amp;($G196-$AN196)&amp;IF($G196-$AN196=1," día"," días")&amp;" de retraso","Cumplida"),IF(N($M196)&gt;=1,"Cumplida",IF(NOT(ISNUMBER($AN196)),"Sin fecha límite",IF($AN196&lt;FechaRef,"Vencida hace "&amp;(FechaRef-$AN196)&amp;IF(FechaRef-$AN196=1," día"," días"),IF($AN196=FechaRef,"Vence hoy",IF($AN196-FechaRef&lt;=DiasAlerta,"Vence en "&amp;($AN196-FechaRef)&amp;IF($AN196-FechaRef=1," día"," días"),"En plazo")))))))</f>
        <v/>
      </c>
      <c r="P196" s="62" t="n"/>
      <c r="Q196" s="58" t="n"/>
      <c r="R196" s="63">
        <f>IF(NOT((COUNTA($B196:$D196)+COUNTA($G196:$L196)+COUNTA($Q196))&gt;0),"",IF((IF($C196="","Falta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",""))="","✔ OK","⚠ "&amp;LEFT(IF($C196="","Falta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",""),LEN(IF($C196="","Falta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",""))-3)))</f>
        <v/>
      </c>
      <c r="S196" s="64">
        <f>IF(NOT((COUNTA($B196:$D196)+COUNTA($G196:$L196)+COUNTA($Q196))&gt;0),"",IF(AND($V196="Sub",N($U196)&gt;0),IF(ISNUMBER(INDEX($AM$5:$AM$1000,$U196-4)),DATE(YEAR(INDEX($AM$5:$AM$1000,$U196-4)),MONTH(INDEX($AM$5:$AM$1000,$U196-4)),1),IF(ISNUMBER(INDEX($AN$5:$AN$1000,$U196-4)),DATE(YEAR(INDEX($AN$5:$AN$1000,$U196-4)),MONTH(INDEX($AN$5:$AN$1000,$U196-4)),1),MesCiclo)),IF(ISNUMBER($AM196),DATE(YEAR($AM196),MONTH($AM196),1),IF(ISNUMBER($AN196),DATE(YEAR($AN196),MONTH($AN196),1),MesCiclo))))</f>
        <v/>
      </c>
      <c r="T196" s="62">
        <f>IF(OR($S196="",$S196&lt;&gt;MesCiclo),"",COUNTIF($S$5:$S196,MesCiclo))</f>
        <v/>
      </c>
      <c r="U196" s="62">
        <f>IF($V196="","",IF($V196="Macro",ROW(),IFERROR(LOOKUP(2,1/($V$5:$V196="Macro"),ROW($V$5:$V196)),0)))</f>
        <v/>
      </c>
      <c r="V196" s="62">
        <f>IF(NOT((COUNTA($B196:$D196)+COUNTA($G196:$L196)+COUNTA($Q196))&gt;0),"",IF($B196="Subactividad","Sub","Macro"))</f>
        <v/>
      </c>
      <c r="W196" s="62">
        <f>IF($V196="Macro",COUNTIFS($U$5:$U$1000,ROW(),$V$5:$V$1000,"Sub"),"")</f>
        <v/>
      </c>
      <c r="X196" s="62">
        <f>IF($V196="","",IF(ISNUMBER($G196),1,IFERROR(LOOKUP(2,1/($I196:$L196&lt;&gt;""),$I196:$L196),0)))</f>
        <v/>
      </c>
      <c r="Y196" s="62">
        <f>IF($V196="","",IF(AND(ISNUMBER($G196),$G196&lt;=IF($S196=MesCiclo,InicioCiclo,$S196+MOD(2-WEEKDAY($S196),7))+6),1,IF(ISNUMBER($I196),$I196,0)))</f>
        <v/>
      </c>
      <c r="Z196" s="62">
        <f>IF($V196="","",IF(AND(ISNUMBER($G196),$G196&lt;=IF($S196=MesCiclo,InicioCiclo,$S196+MOD(2-WEEKDAY($S196),7))+13),1,IF(ISNUMBER($J196),$J196,$Y196)))</f>
        <v/>
      </c>
      <c r="AA196" s="62">
        <f>IF($V196="","",IF(AND(ISNUMBER($G196),$G196&lt;=IF($S196=MesCiclo,InicioCiclo,$S196+MOD(2-WEEKDAY($S196),7))+20),1,IF(ISNUMBER($K196),$K196,$Z196)))</f>
        <v/>
      </c>
      <c r="AB196" s="62">
        <f>IF($V196="","",IF(AND(ISNUMBER($G196),$G196&lt;=IF($S196=MesCiclo,InicioCiclo,$S196+MOD(2-WEEKDAY($S196),7))+27),1,IF(ISNUMBER($L196),$L196,$AA196)))</f>
        <v/>
      </c>
      <c r="AC196" s="62">
        <f>IF($V196="","",IF(AND(ISNUMBER($G196),$G196&lt;=IF($S196=MesCiclo,InicioCiclo,$S196+MOD(2-WEEKDAY($S196),7))+6),1,IF(N($W196)&gt;0,AVERAGEIFS($Y$5:$Y$1000,$U$5:$U$1000,ROW(),$V$5:$V$1000,"Sub"),$Y196)))</f>
        <v/>
      </c>
      <c r="AD196" s="62">
        <f>IF($V196="","",IF(AND(ISNUMBER($G196),$G196&lt;=IF($S196=MesCiclo,InicioCiclo,$S196+MOD(2-WEEKDAY($S196),7))+13),1,IF(N($W196)&gt;0,AVERAGEIFS($Z$5:$Z$1000,$U$5:$U$1000,ROW(),$V$5:$V$1000,"Sub"),$Z196)))</f>
        <v/>
      </c>
      <c r="AE196" s="62">
        <f>IF($V196="","",IF(AND(ISNUMBER($G196),$G196&lt;=IF($S196=MesCiclo,InicioCiclo,$S196+MOD(2-WEEKDAY($S196),7))+20),1,IF(N($W196)&gt;0,AVERAGEIFS($AA$5:$AA$1000,$U$5:$U$1000,ROW(),$V$5:$V$1000,"Sub"),$AA196)))</f>
        <v/>
      </c>
      <c r="AF196" s="62">
        <f>IF($V196="","",IF(AND(ISNUMBER($G196),$G196&lt;=IF($S196=MesCiclo,InicioCiclo,$S196+MOD(2-WEEKDAY($S196),7))+27),1,IF(N($W196)&gt;0,AVERAGEIFS($AB$5:$AB$1000,$U$5:$U$1000,ROW(),$V$5:$V$1000,"Sub"),$AB196)))</f>
        <v/>
      </c>
      <c r="AG196" s="62">
        <f>IF($V196&lt;&gt;"Macro","",IF(COUNTIFS($S$5:$S$1000,$S196,$V$5:$V$1000,"Macro",$H$5:$H$1000,"&gt;0")=0,1/COUNTIFS($S$5:$S$1000,$S196,$V$5:$V$1000,"Macro"),IF(AND(ISNUMBER($H196),N($H196)&gt;0),$H196,SUMIFS($H$5:$H$1000,$S$5:$S$1000,$S196,$V$5:$V$1000,"Macro")/COUNTIFS($S$5:$S$1000,$S196,$V$5:$V$1000,"Macro",$H$5:$H$1000,"&gt;0"))/(COUNTIFS($S$5:$S$1000,$S196,$V$5:$V$1000,"Macro")*SUMIFS($H$5:$H$1000,$S$5:$S$1000,$S196,$V$5:$V$1000,"Macro")/COUNTIFS($S$5:$S$1000,$S196,$V$5:$V$1000,"Macro",$H$5:$H$1000,"&gt;0"))))</f>
        <v/>
      </c>
      <c r="AH196" s="62" t="n"/>
      <c r="AI196" s="62" t="n"/>
      <c r="AJ196" s="62" t="n"/>
      <c r="AK196" s="62" t="n"/>
      <c r="AL196" s="62">
        <f>IF(LEFT($C196,11)="[Jefatura] ",IFERROR(MATCH("Riesgo Financiero|"&amp;MID($C196,12,500),rDname_ADM,0),0),"")</f>
        <v/>
      </c>
      <c r="AM196" s="62">
        <f>IF(N($AL196)&gt;0,INDEX(rIni_ADM,$AL196),IF(ISNUMBER($E196),$E196,""))</f>
        <v/>
      </c>
      <c r="AN196" s="62">
        <f>IF(N($AL196)&gt;0,INDEX(rLim_ADM,$AL196),IF(ISNUMBER($F196),$F196,""))</f>
        <v/>
      </c>
    </row>
    <row r="197">
      <c r="A197" s="56">
        <f>IF(NOT((COUNTA($B197:$D197)+COUNTA($G197:$L197)+COUNTA($Q197))&gt;0),"",IF($V197="Macro",COUNTIFS($V$5:$V197,"Macro",$S$5:$S197,$S197),IF(N($U197)=0,"?",COUNTIFS(INDEX($V$5:$V$1000,1):INDEX($V$5:$V$1000,$U197-4),"Macro",INDEX($S$5:$S$1000,1):INDEX($S$5:$S$1000,$U197-4),INDEX($S$5:$S$1000,$U197-4))&amp;"."&amp;COUNTIFS($U$5:$U197,$U197,$V$5:$V197,"Sub"))))</f>
        <v/>
      </c>
      <c r="B197" s="57" t="n"/>
      <c r="C197" s="58" t="n"/>
      <c r="D197" s="58" t="n"/>
      <c r="E197" s="59">
        <f>IF(N($AL197)&gt;0,INDEX(rIni_ADM,$AL197),"")</f>
        <v/>
      </c>
      <c r="F197" s="59">
        <f>IF(N($AL197)&gt;0,INDEX(rLim_ADM,$AL197),"")</f>
        <v/>
      </c>
      <c r="G197" s="59" t="n"/>
      <c r="H197" s="60" t="n"/>
      <c r="I197" s="60" t="n"/>
      <c r="J197" s="60" t="n"/>
      <c r="K197" s="60" t="n"/>
      <c r="L197" s="60" t="n"/>
      <c r="M197" s="61">
        <f>IF(NOT((COUNTA($B197:$D197)+COUNTA($G197:$L197)+COUNTA($Q197))&gt;0),"",IF(ISNUMBER($G197),1,IF(N($W197)&gt;0,AVERAGEIFS($X$5:$X$1000,$U$5:$U$1000,ROW(),$V$5:$V$1000,"Sub"),$X197)))</f>
        <v/>
      </c>
      <c r="N197" s="56">
        <f>IF($M197="","",IF($M197&gt;=1,"Completado",IF($M197&gt;0,"En curso","Pendiente")))</f>
        <v/>
      </c>
      <c r="O197" s="56">
        <f>IF(NOT((COUNTA($B197:$D197)+COUNTA($G197:$L197)+COUNTA($Q197))&gt;0),"",IF(ISNUMBER($G197),IF(AND(ISNUMBER($AN197),$G197&gt;$AN197),"Cumplida con "&amp;($G197-$AN197)&amp;IF($G197-$AN197=1," día"," días")&amp;" de retraso","Cumplida"),IF(N($M197)&gt;=1,"Cumplida",IF(NOT(ISNUMBER($AN197)),"Sin fecha límite",IF($AN197&lt;FechaRef,"Vencida hace "&amp;(FechaRef-$AN197)&amp;IF(FechaRef-$AN197=1," día"," días"),IF($AN197=FechaRef,"Vence hoy",IF($AN197-FechaRef&lt;=DiasAlerta,"Vence en "&amp;($AN197-FechaRef)&amp;IF($AN197-FechaRef=1," día"," días"),"En plazo")))))))</f>
        <v/>
      </c>
      <c r="P197" s="62" t="n"/>
      <c r="Q197" s="58" t="n"/>
      <c r="R197" s="63">
        <f>IF(NOT((COUNTA($B197:$D197)+COUNTA($G197:$L197)+COUNTA($Q197))&gt;0),"",IF((IF($C197="","Falta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",""))="","✔ OK","⚠ "&amp;LEFT(IF($C197="","Falta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",""),LEN(IF($C197="","Falta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",""))-3)))</f>
        <v/>
      </c>
      <c r="S197" s="64">
        <f>IF(NOT((COUNTA($B197:$D197)+COUNTA($G197:$L197)+COUNTA($Q197))&gt;0),"",IF(AND($V197="Sub",N($U197)&gt;0),IF(ISNUMBER(INDEX($AM$5:$AM$1000,$U197-4)),DATE(YEAR(INDEX($AM$5:$AM$1000,$U197-4)),MONTH(INDEX($AM$5:$AM$1000,$U197-4)),1),IF(ISNUMBER(INDEX($AN$5:$AN$1000,$U197-4)),DATE(YEAR(INDEX($AN$5:$AN$1000,$U197-4)),MONTH(INDEX($AN$5:$AN$1000,$U197-4)),1),MesCiclo)),IF(ISNUMBER($AM197),DATE(YEAR($AM197),MONTH($AM197),1),IF(ISNUMBER($AN197),DATE(YEAR($AN197),MONTH($AN197),1),MesCiclo))))</f>
        <v/>
      </c>
      <c r="T197" s="62">
        <f>IF(OR($S197="",$S197&lt;&gt;MesCiclo),"",COUNTIF($S$5:$S197,MesCiclo))</f>
        <v/>
      </c>
      <c r="U197" s="62">
        <f>IF($V197="","",IF($V197="Macro",ROW(),IFERROR(LOOKUP(2,1/($V$5:$V197="Macro"),ROW($V$5:$V197)),0)))</f>
        <v/>
      </c>
      <c r="V197" s="62">
        <f>IF(NOT((COUNTA($B197:$D197)+COUNTA($G197:$L197)+COUNTA($Q197))&gt;0),"",IF($B197="Subactividad","Sub","Macro"))</f>
        <v/>
      </c>
      <c r="W197" s="62">
        <f>IF($V197="Macro",COUNTIFS($U$5:$U$1000,ROW(),$V$5:$V$1000,"Sub"),"")</f>
        <v/>
      </c>
      <c r="X197" s="62">
        <f>IF($V197="","",IF(ISNUMBER($G197),1,IFERROR(LOOKUP(2,1/($I197:$L197&lt;&gt;""),$I197:$L197),0)))</f>
        <v/>
      </c>
      <c r="Y197" s="62">
        <f>IF($V197="","",IF(AND(ISNUMBER($G197),$G197&lt;=IF($S197=MesCiclo,InicioCiclo,$S197+MOD(2-WEEKDAY($S197),7))+6),1,IF(ISNUMBER($I197),$I197,0)))</f>
        <v/>
      </c>
      <c r="Z197" s="62">
        <f>IF($V197="","",IF(AND(ISNUMBER($G197),$G197&lt;=IF($S197=MesCiclo,InicioCiclo,$S197+MOD(2-WEEKDAY($S197),7))+13),1,IF(ISNUMBER($J197),$J197,$Y197)))</f>
        <v/>
      </c>
      <c r="AA197" s="62">
        <f>IF($V197="","",IF(AND(ISNUMBER($G197),$G197&lt;=IF($S197=MesCiclo,InicioCiclo,$S197+MOD(2-WEEKDAY($S197),7))+20),1,IF(ISNUMBER($K197),$K197,$Z197)))</f>
        <v/>
      </c>
      <c r="AB197" s="62">
        <f>IF($V197="","",IF(AND(ISNUMBER($G197),$G197&lt;=IF($S197=MesCiclo,InicioCiclo,$S197+MOD(2-WEEKDAY($S197),7))+27),1,IF(ISNUMBER($L197),$L197,$AA197)))</f>
        <v/>
      </c>
      <c r="AC197" s="62">
        <f>IF($V197="","",IF(AND(ISNUMBER($G197),$G197&lt;=IF($S197=MesCiclo,InicioCiclo,$S197+MOD(2-WEEKDAY($S197),7))+6),1,IF(N($W197)&gt;0,AVERAGEIFS($Y$5:$Y$1000,$U$5:$U$1000,ROW(),$V$5:$V$1000,"Sub"),$Y197)))</f>
        <v/>
      </c>
      <c r="AD197" s="62">
        <f>IF($V197="","",IF(AND(ISNUMBER($G197),$G197&lt;=IF($S197=MesCiclo,InicioCiclo,$S197+MOD(2-WEEKDAY($S197),7))+13),1,IF(N($W197)&gt;0,AVERAGEIFS($Z$5:$Z$1000,$U$5:$U$1000,ROW(),$V$5:$V$1000,"Sub"),$Z197)))</f>
        <v/>
      </c>
      <c r="AE197" s="62">
        <f>IF($V197="","",IF(AND(ISNUMBER($G197),$G197&lt;=IF($S197=MesCiclo,InicioCiclo,$S197+MOD(2-WEEKDAY($S197),7))+20),1,IF(N($W197)&gt;0,AVERAGEIFS($AA$5:$AA$1000,$U$5:$U$1000,ROW(),$V$5:$V$1000,"Sub"),$AA197)))</f>
        <v/>
      </c>
      <c r="AF197" s="62">
        <f>IF($V197="","",IF(AND(ISNUMBER($G197),$G197&lt;=IF($S197=MesCiclo,InicioCiclo,$S197+MOD(2-WEEKDAY($S197),7))+27),1,IF(N($W197)&gt;0,AVERAGEIFS($AB$5:$AB$1000,$U$5:$U$1000,ROW(),$V$5:$V$1000,"Sub"),$AB197)))</f>
        <v/>
      </c>
      <c r="AG197" s="62">
        <f>IF($V197&lt;&gt;"Macro","",IF(COUNTIFS($S$5:$S$1000,$S197,$V$5:$V$1000,"Macro",$H$5:$H$1000,"&gt;0")=0,1/COUNTIFS($S$5:$S$1000,$S197,$V$5:$V$1000,"Macro"),IF(AND(ISNUMBER($H197),N($H197)&gt;0),$H197,SUMIFS($H$5:$H$1000,$S$5:$S$1000,$S197,$V$5:$V$1000,"Macro")/COUNTIFS($S$5:$S$1000,$S197,$V$5:$V$1000,"Macro",$H$5:$H$1000,"&gt;0"))/(COUNTIFS($S$5:$S$1000,$S197,$V$5:$V$1000,"Macro")*SUMIFS($H$5:$H$1000,$S$5:$S$1000,$S197,$V$5:$V$1000,"Macro")/COUNTIFS($S$5:$S$1000,$S197,$V$5:$V$1000,"Macro",$H$5:$H$1000,"&gt;0"))))</f>
        <v/>
      </c>
      <c r="AH197" s="62" t="n"/>
      <c r="AI197" s="62" t="n"/>
      <c r="AJ197" s="62" t="n"/>
      <c r="AK197" s="62" t="n"/>
      <c r="AL197" s="62">
        <f>IF(LEFT($C197,11)="[Jefatura] ",IFERROR(MATCH("Riesgo Financiero|"&amp;MID($C197,12,500),rDname_ADM,0),0),"")</f>
        <v/>
      </c>
      <c r="AM197" s="62">
        <f>IF(N($AL197)&gt;0,INDEX(rIni_ADM,$AL197),IF(ISNUMBER($E197),$E197,""))</f>
        <v/>
      </c>
      <c r="AN197" s="62">
        <f>IF(N($AL197)&gt;0,INDEX(rLim_ADM,$AL197),IF(ISNUMBER($F197),$F197,""))</f>
        <v/>
      </c>
    </row>
    <row r="198">
      <c r="A198" s="56">
        <f>IF(NOT((COUNTA($B198:$D198)+COUNTA($G198:$L198)+COUNTA($Q198))&gt;0),"",IF($V198="Macro",COUNTIFS($V$5:$V198,"Macro",$S$5:$S198,$S198),IF(N($U198)=0,"?",COUNTIFS(INDEX($V$5:$V$1000,1):INDEX($V$5:$V$1000,$U198-4),"Macro",INDEX($S$5:$S$1000,1):INDEX($S$5:$S$1000,$U198-4),INDEX($S$5:$S$1000,$U198-4))&amp;"."&amp;COUNTIFS($U$5:$U198,$U198,$V$5:$V198,"Sub"))))</f>
        <v/>
      </c>
      <c r="B198" s="57" t="n"/>
      <c r="C198" s="58" t="n"/>
      <c r="D198" s="58" t="n"/>
      <c r="E198" s="59">
        <f>IF(N($AL198)&gt;0,INDEX(rIni_ADM,$AL198),"")</f>
        <v/>
      </c>
      <c r="F198" s="59">
        <f>IF(N($AL198)&gt;0,INDEX(rLim_ADM,$AL198),"")</f>
        <v/>
      </c>
      <c r="G198" s="59" t="n"/>
      <c r="H198" s="60" t="n"/>
      <c r="I198" s="60" t="n"/>
      <c r="J198" s="60" t="n"/>
      <c r="K198" s="60" t="n"/>
      <c r="L198" s="60" t="n"/>
      <c r="M198" s="61">
        <f>IF(NOT((COUNTA($B198:$D198)+COUNTA($G198:$L198)+COUNTA($Q198))&gt;0),"",IF(ISNUMBER($G198),1,IF(N($W198)&gt;0,AVERAGEIFS($X$5:$X$1000,$U$5:$U$1000,ROW(),$V$5:$V$1000,"Sub"),$X198)))</f>
        <v/>
      </c>
      <c r="N198" s="56">
        <f>IF($M198="","",IF($M198&gt;=1,"Completado",IF($M198&gt;0,"En curso","Pendiente")))</f>
        <v/>
      </c>
      <c r="O198" s="56">
        <f>IF(NOT((COUNTA($B198:$D198)+COUNTA($G198:$L198)+COUNTA($Q198))&gt;0),"",IF(ISNUMBER($G198),IF(AND(ISNUMBER($AN198),$G198&gt;$AN198),"Cumplida con "&amp;($G198-$AN198)&amp;IF($G198-$AN198=1," día"," días")&amp;" de retraso","Cumplida"),IF(N($M198)&gt;=1,"Cumplida",IF(NOT(ISNUMBER($AN198)),"Sin fecha límite",IF($AN198&lt;FechaRef,"Vencida hace "&amp;(FechaRef-$AN198)&amp;IF(FechaRef-$AN198=1," día"," días"),IF($AN198=FechaRef,"Vence hoy",IF($AN198-FechaRef&lt;=DiasAlerta,"Vence en "&amp;($AN198-FechaRef)&amp;IF($AN198-FechaRef=1," día"," días"),"En plazo")))))))</f>
        <v/>
      </c>
      <c r="P198" s="62" t="n"/>
      <c r="Q198" s="58" t="n"/>
      <c r="R198" s="63">
        <f>IF(NOT((COUNTA($B198:$D198)+COUNTA($G198:$L198)+COUNTA($Q198))&gt;0),"",IF((IF($C198="","Falta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",""))="","✔ OK","⚠ "&amp;LEFT(IF($C198="","Falta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",""),LEN(IF($C198="","Falta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",""))-3)))</f>
        <v/>
      </c>
      <c r="S198" s="64">
        <f>IF(NOT((COUNTA($B198:$D198)+COUNTA($G198:$L198)+COUNTA($Q198))&gt;0),"",IF(AND($V198="Sub",N($U198)&gt;0),IF(ISNUMBER(INDEX($AM$5:$AM$1000,$U198-4)),DATE(YEAR(INDEX($AM$5:$AM$1000,$U198-4)),MONTH(INDEX($AM$5:$AM$1000,$U198-4)),1),IF(ISNUMBER(INDEX($AN$5:$AN$1000,$U198-4)),DATE(YEAR(INDEX($AN$5:$AN$1000,$U198-4)),MONTH(INDEX($AN$5:$AN$1000,$U198-4)),1),MesCiclo)),IF(ISNUMBER($AM198),DATE(YEAR($AM198),MONTH($AM198),1),IF(ISNUMBER($AN198),DATE(YEAR($AN198),MONTH($AN198),1),MesCiclo))))</f>
        <v/>
      </c>
      <c r="T198" s="62">
        <f>IF(OR($S198="",$S198&lt;&gt;MesCiclo),"",COUNTIF($S$5:$S198,MesCiclo))</f>
        <v/>
      </c>
      <c r="U198" s="62">
        <f>IF($V198="","",IF($V198="Macro",ROW(),IFERROR(LOOKUP(2,1/($V$5:$V198="Macro"),ROW($V$5:$V198)),0)))</f>
        <v/>
      </c>
      <c r="V198" s="62">
        <f>IF(NOT((COUNTA($B198:$D198)+COUNTA($G198:$L198)+COUNTA($Q198))&gt;0),"",IF($B198="Subactividad","Sub","Macro"))</f>
        <v/>
      </c>
      <c r="W198" s="62">
        <f>IF($V198="Macro",COUNTIFS($U$5:$U$1000,ROW(),$V$5:$V$1000,"Sub"),"")</f>
        <v/>
      </c>
      <c r="X198" s="62">
        <f>IF($V198="","",IF(ISNUMBER($G198),1,IFERROR(LOOKUP(2,1/($I198:$L198&lt;&gt;""),$I198:$L198),0)))</f>
        <v/>
      </c>
      <c r="Y198" s="62">
        <f>IF($V198="","",IF(AND(ISNUMBER($G198),$G198&lt;=IF($S198=MesCiclo,InicioCiclo,$S198+MOD(2-WEEKDAY($S198),7))+6),1,IF(ISNUMBER($I198),$I198,0)))</f>
        <v/>
      </c>
      <c r="Z198" s="62">
        <f>IF($V198="","",IF(AND(ISNUMBER($G198),$G198&lt;=IF($S198=MesCiclo,InicioCiclo,$S198+MOD(2-WEEKDAY($S198),7))+13),1,IF(ISNUMBER($J198),$J198,$Y198)))</f>
        <v/>
      </c>
      <c r="AA198" s="62">
        <f>IF($V198="","",IF(AND(ISNUMBER($G198),$G198&lt;=IF($S198=MesCiclo,InicioCiclo,$S198+MOD(2-WEEKDAY($S198),7))+20),1,IF(ISNUMBER($K198),$K198,$Z198)))</f>
        <v/>
      </c>
      <c r="AB198" s="62">
        <f>IF($V198="","",IF(AND(ISNUMBER($G198),$G198&lt;=IF($S198=MesCiclo,InicioCiclo,$S198+MOD(2-WEEKDAY($S198),7))+27),1,IF(ISNUMBER($L198),$L198,$AA198)))</f>
        <v/>
      </c>
      <c r="AC198" s="62">
        <f>IF($V198="","",IF(AND(ISNUMBER($G198),$G198&lt;=IF($S198=MesCiclo,InicioCiclo,$S198+MOD(2-WEEKDAY($S198),7))+6),1,IF(N($W198)&gt;0,AVERAGEIFS($Y$5:$Y$1000,$U$5:$U$1000,ROW(),$V$5:$V$1000,"Sub"),$Y198)))</f>
        <v/>
      </c>
      <c r="AD198" s="62">
        <f>IF($V198="","",IF(AND(ISNUMBER($G198),$G198&lt;=IF($S198=MesCiclo,InicioCiclo,$S198+MOD(2-WEEKDAY($S198),7))+13),1,IF(N($W198)&gt;0,AVERAGEIFS($Z$5:$Z$1000,$U$5:$U$1000,ROW(),$V$5:$V$1000,"Sub"),$Z198)))</f>
        <v/>
      </c>
      <c r="AE198" s="62">
        <f>IF($V198="","",IF(AND(ISNUMBER($G198),$G198&lt;=IF($S198=MesCiclo,InicioCiclo,$S198+MOD(2-WEEKDAY($S198),7))+20),1,IF(N($W198)&gt;0,AVERAGEIFS($AA$5:$AA$1000,$U$5:$U$1000,ROW(),$V$5:$V$1000,"Sub"),$AA198)))</f>
        <v/>
      </c>
      <c r="AF198" s="62">
        <f>IF($V198="","",IF(AND(ISNUMBER($G198),$G198&lt;=IF($S198=MesCiclo,InicioCiclo,$S198+MOD(2-WEEKDAY($S198),7))+27),1,IF(N($W198)&gt;0,AVERAGEIFS($AB$5:$AB$1000,$U$5:$U$1000,ROW(),$V$5:$V$1000,"Sub"),$AB198)))</f>
        <v/>
      </c>
      <c r="AG198" s="62">
        <f>IF($V198&lt;&gt;"Macro","",IF(COUNTIFS($S$5:$S$1000,$S198,$V$5:$V$1000,"Macro",$H$5:$H$1000,"&gt;0")=0,1/COUNTIFS($S$5:$S$1000,$S198,$V$5:$V$1000,"Macro"),IF(AND(ISNUMBER($H198),N($H198)&gt;0),$H198,SUMIFS($H$5:$H$1000,$S$5:$S$1000,$S198,$V$5:$V$1000,"Macro")/COUNTIFS($S$5:$S$1000,$S198,$V$5:$V$1000,"Macro",$H$5:$H$1000,"&gt;0"))/(COUNTIFS($S$5:$S$1000,$S198,$V$5:$V$1000,"Macro")*SUMIFS($H$5:$H$1000,$S$5:$S$1000,$S198,$V$5:$V$1000,"Macro")/COUNTIFS($S$5:$S$1000,$S198,$V$5:$V$1000,"Macro",$H$5:$H$1000,"&gt;0"))))</f>
        <v/>
      </c>
      <c r="AH198" s="62" t="n"/>
      <c r="AI198" s="62" t="n"/>
      <c r="AJ198" s="62" t="n"/>
      <c r="AK198" s="62" t="n"/>
      <c r="AL198" s="62">
        <f>IF(LEFT($C198,11)="[Jefatura] ",IFERROR(MATCH("Riesgo Financiero|"&amp;MID($C198,12,500),rDname_ADM,0),0),"")</f>
        <v/>
      </c>
      <c r="AM198" s="62">
        <f>IF(N($AL198)&gt;0,INDEX(rIni_ADM,$AL198),IF(ISNUMBER($E198),$E198,""))</f>
        <v/>
      </c>
      <c r="AN198" s="62">
        <f>IF(N($AL198)&gt;0,INDEX(rLim_ADM,$AL198),IF(ISNUMBER($F198),$F198,""))</f>
        <v/>
      </c>
    </row>
    <row r="199">
      <c r="A199" s="56">
        <f>IF(NOT((COUNTA($B199:$D199)+COUNTA($G199:$L199)+COUNTA($Q199))&gt;0),"",IF($V199="Macro",COUNTIFS($V$5:$V199,"Macro",$S$5:$S199,$S199),IF(N($U199)=0,"?",COUNTIFS(INDEX($V$5:$V$1000,1):INDEX($V$5:$V$1000,$U199-4),"Macro",INDEX($S$5:$S$1000,1):INDEX($S$5:$S$1000,$U199-4),INDEX($S$5:$S$1000,$U199-4))&amp;"."&amp;COUNTIFS($U$5:$U199,$U199,$V$5:$V199,"Sub"))))</f>
        <v/>
      </c>
      <c r="B199" s="57" t="n"/>
      <c r="C199" s="58" t="n"/>
      <c r="D199" s="58" t="n"/>
      <c r="E199" s="59">
        <f>IF(N($AL199)&gt;0,INDEX(rIni_ADM,$AL199),"")</f>
        <v/>
      </c>
      <c r="F199" s="59">
        <f>IF(N($AL199)&gt;0,INDEX(rLim_ADM,$AL199),"")</f>
        <v/>
      </c>
      <c r="G199" s="59" t="n"/>
      <c r="H199" s="60" t="n"/>
      <c r="I199" s="60" t="n"/>
      <c r="J199" s="60" t="n"/>
      <c r="K199" s="60" t="n"/>
      <c r="L199" s="60" t="n"/>
      <c r="M199" s="61">
        <f>IF(NOT((COUNTA($B199:$D199)+COUNTA($G199:$L199)+COUNTA($Q199))&gt;0),"",IF(ISNUMBER($G199),1,IF(N($W199)&gt;0,AVERAGEIFS($X$5:$X$1000,$U$5:$U$1000,ROW(),$V$5:$V$1000,"Sub"),$X199)))</f>
        <v/>
      </c>
      <c r="N199" s="56">
        <f>IF($M199="","",IF($M199&gt;=1,"Completado",IF($M199&gt;0,"En curso","Pendiente")))</f>
        <v/>
      </c>
      <c r="O199" s="56">
        <f>IF(NOT((COUNTA($B199:$D199)+COUNTA($G199:$L199)+COUNTA($Q199))&gt;0),"",IF(ISNUMBER($G199),IF(AND(ISNUMBER($AN199),$G199&gt;$AN199),"Cumplida con "&amp;($G199-$AN199)&amp;IF($G199-$AN199=1," día"," días")&amp;" de retraso","Cumplida"),IF(N($M199)&gt;=1,"Cumplida",IF(NOT(ISNUMBER($AN199)),"Sin fecha límite",IF($AN199&lt;FechaRef,"Vencida hace "&amp;(FechaRef-$AN199)&amp;IF(FechaRef-$AN199=1," día"," días"),IF($AN199=FechaRef,"Vence hoy",IF($AN199-FechaRef&lt;=DiasAlerta,"Vence en "&amp;($AN199-FechaRef)&amp;IF($AN199-FechaRef=1," día"," días"),"En plazo")))))))</f>
        <v/>
      </c>
      <c r="P199" s="62" t="n"/>
      <c r="Q199" s="58" t="n"/>
      <c r="R199" s="63">
        <f>IF(NOT((COUNTA($B199:$D199)+COUNTA($G199:$L199)+COUNTA($Q199))&gt;0),"",IF((IF($C199="","Falta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",""))="","✔ OK","⚠ "&amp;LEFT(IF($C199="","Falta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",""),LEN(IF($C199="","Falta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",""))-3)))</f>
        <v/>
      </c>
      <c r="S199" s="64">
        <f>IF(NOT((COUNTA($B199:$D199)+COUNTA($G199:$L199)+COUNTA($Q199))&gt;0),"",IF(AND($V199="Sub",N($U199)&gt;0),IF(ISNUMBER(INDEX($AM$5:$AM$1000,$U199-4)),DATE(YEAR(INDEX($AM$5:$AM$1000,$U199-4)),MONTH(INDEX($AM$5:$AM$1000,$U199-4)),1),IF(ISNUMBER(INDEX($AN$5:$AN$1000,$U199-4)),DATE(YEAR(INDEX($AN$5:$AN$1000,$U199-4)),MONTH(INDEX($AN$5:$AN$1000,$U199-4)),1),MesCiclo)),IF(ISNUMBER($AM199),DATE(YEAR($AM199),MONTH($AM199),1),IF(ISNUMBER($AN199),DATE(YEAR($AN199),MONTH($AN199),1),MesCiclo))))</f>
        <v/>
      </c>
      <c r="T199" s="62">
        <f>IF(OR($S199="",$S199&lt;&gt;MesCiclo),"",COUNTIF($S$5:$S199,MesCiclo))</f>
        <v/>
      </c>
      <c r="U199" s="62">
        <f>IF($V199="","",IF($V199="Macro",ROW(),IFERROR(LOOKUP(2,1/($V$5:$V199="Macro"),ROW($V$5:$V199)),0)))</f>
        <v/>
      </c>
      <c r="V199" s="62">
        <f>IF(NOT((COUNTA($B199:$D199)+COUNTA($G199:$L199)+COUNTA($Q199))&gt;0),"",IF($B199="Subactividad","Sub","Macro"))</f>
        <v/>
      </c>
      <c r="W199" s="62">
        <f>IF($V199="Macro",COUNTIFS($U$5:$U$1000,ROW(),$V$5:$V$1000,"Sub"),"")</f>
        <v/>
      </c>
      <c r="X199" s="62">
        <f>IF($V199="","",IF(ISNUMBER($G199),1,IFERROR(LOOKUP(2,1/($I199:$L199&lt;&gt;""),$I199:$L199),0)))</f>
        <v/>
      </c>
      <c r="Y199" s="62">
        <f>IF($V199="","",IF(AND(ISNUMBER($G199),$G199&lt;=IF($S199=MesCiclo,InicioCiclo,$S199+MOD(2-WEEKDAY($S199),7))+6),1,IF(ISNUMBER($I199),$I199,0)))</f>
        <v/>
      </c>
      <c r="Z199" s="62">
        <f>IF($V199="","",IF(AND(ISNUMBER($G199),$G199&lt;=IF($S199=MesCiclo,InicioCiclo,$S199+MOD(2-WEEKDAY($S199),7))+13),1,IF(ISNUMBER($J199),$J199,$Y199)))</f>
        <v/>
      </c>
      <c r="AA199" s="62">
        <f>IF($V199="","",IF(AND(ISNUMBER($G199),$G199&lt;=IF($S199=MesCiclo,InicioCiclo,$S199+MOD(2-WEEKDAY($S199),7))+20),1,IF(ISNUMBER($K199),$K199,$Z199)))</f>
        <v/>
      </c>
      <c r="AB199" s="62">
        <f>IF($V199="","",IF(AND(ISNUMBER($G199),$G199&lt;=IF($S199=MesCiclo,InicioCiclo,$S199+MOD(2-WEEKDAY($S199),7))+27),1,IF(ISNUMBER($L199),$L199,$AA199)))</f>
        <v/>
      </c>
      <c r="AC199" s="62">
        <f>IF($V199="","",IF(AND(ISNUMBER($G199),$G199&lt;=IF($S199=MesCiclo,InicioCiclo,$S199+MOD(2-WEEKDAY($S199),7))+6),1,IF(N($W199)&gt;0,AVERAGEIFS($Y$5:$Y$1000,$U$5:$U$1000,ROW(),$V$5:$V$1000,"Sub"),$Y199)))</f>
        <v/>
      </c>
      <c r="AD199" s="62">
        <f>IF($V199="","",IF(AND(ISNUMBER($G199),$G199&lt;=IF($S199=MesCiclo,InicioCiclo,$S199+MOD(2-WEEKDAY($S199),7))+13),1,IF(N($W199)&gt;0,AVERAGEIFS($Z$5:$Z$1000,$U$5:$U$1000,ROW(),$V$5:$V$1000,"Sub"),$Z199)))</f>
        <v/>
      </c>
      <c r="AE199" s="62">
        <f>IF($V199="","",IF(AND(ISNUMBER($G199),$G199&lt;=IF($S199=MesCiclo,InicioCiclo,$S199+MOD(2-WEEKDAY($S199),7))+20),1,IF(N($W199)&gt;0,AVERAGEIFS($AA$5:$AA$1000,$U$5:$U$1000,ROW(),$V$5:$V$1000,"Sub"),$AA199)))</f>
        <v/>
      </c>
      <c r="AF199" s="62">
        <f>IF($V199="","",IF(AND(ISNUMBER($G199),$G199&lt;=IF($S199=MesCiclo,InicioCiclo,$S199+MOD(2-WEEKDAY($S199),7))+27),1,IF(N($W199)&gt;0,AVERAGEIFS($AB$5:$AB$1000,$U$5:$U$1000,ROW(),$V$5:$V$1000,"Sub"),$AB199)))</f>
        <v/>
      </c>
      <c r="AG199" s="62">
        <f>IF($V199&lt;&gt;"Macro","",IF(COUNTIFS($S$5:$S$1000,$S199,$V$5:$V$1000,"Macro",$H$5:$H$1000,"&gt;0")=0,1/COUNTIFS($S$5:$S$1000,$S199,$V$5:$V$1000,"Macro"),IF(AND(ISNUMBER($H199),N($H199)&gt;0),$H199,SUMIFS($H$5:$H$1000,$S$5:$S$1000,$S199,$V$5:$V$1000,"Macro")/COUNTIFS($S$5:$S$1000,$S199,$V$5:$V$1000,"Macro",$H$5:$H$1000,"&gt;0"))/(COUNTIFS($S$5:$S$1000,$S199,$V$5:$V$1000,"Macro")*SUMIFS($H$5:$H$1000,$S$5:$S$1000,$S199,$V$5:$V$1000,"Macro")/COUNTIFS($S$5:$S$1000,$S199,$V$5:$V$1000,"Macro",$H$5:$H$1000,"&gt;0"))))</f>
        <v/>
      </c>
      <c r="AH199" s="62" t="n"/>
      <c r="AI199" s="62" t="n"/>
      <c r="AJ199" s="62" t="n"/>
      <c r="AK199" s="62" t="n"/>
      <c r="AL199" s="62">
        <f>IF(LEFT($C199,11)="[Jefatura] ",IFERROR(MATCH("Riesgo Financiero|"&amp;MID($C199,12,500),rDname_ADM,0),0),"")</f>
        <v/>
      </c>
      <c r="AM199" s="62">
        <f>IF(N($AL199)&gt;0,INDEX(rIni_ADM,$AL199),IF(ISNUMBER($E199),$E199,""))</f>
        <v/>
      </c>
      <c r="AN199" s="62">
        <f>IF(N($AL199)&gt;0,INDEX(rLim_ADM,$AL199),IF(ISNUMBER($F199),$F199,""))</f>
        <v/>
      </c>
    </row>
    <row r="200">
      <c r="A200" s="56">
        <f>IF(NOT((COUNTA($B200:$D200)+COUNTA($G200:$L200)+COUNTA($Q200))&gt;0),"",IF($V200="Macro",COUNTIFS($V$5:$V200,"Macro",$S$5:$S200,$S200),IF(N($U200)=0,"?",COUNTIFS(INDEX($V$5:$V$1000,1):INDEX($V$5:$V$1000,$U200-4),"Macro",INDEX($S$5:$S$1000,1):INDEX($S$5:$S$1000,$U200-4),INDEX($S$5:$S$1000,$U200-4))&amp;"."&amp;COUNTIFS($U$5:$U200,$U200,$V$5:$V200,"Sub"))))</f>
        <v/>
      </c>
      <c r="B200" s="57" t="n"/>
      <c r="C200" s="58" t="n"/>
      <c r="D200" s="58" t="n"/>
      <c r="E200" s="59">
        <f>IF(N($AL200)&gt;0,INDEX(rIni_ADM,$AL200),"")</f>
        <v/>
      </c>
      <c r="F200" s="59">
        <f>IF(N($AL200)&gt;0,INDEX(rLim_ADM,$AL200),"")</f>
        <v/>
      </c>
      <c r="G200" s="59" t="n"/>
      <c r="H200" s="60" t="n"/>
      <c r="I200" s="60" t="n"/>
      <c r="J200" s="60" t="n"/>
      <c r="K200" s="60" t="n"/>
      <c r="L200" s="60" t="n"/>
      <c r="M200" s="61">
        <f>IF(NOT((COUNTA($B200:$D200)+COUNTA($G200:$L200)+COUNTA($Q200))&gt;0),"",IF(ISNUMBER($G200),1,IF(N($W200)&gt;0,AVERAGEIFS($X$5:$X$1000,$U$5:$U$1000,ROW(),$V$5:$V$1000,"Sub"),$X200)))</f>
        <v/>
      </c>
      <c r="N200" s="56">
        <f>IF($M200="","",IF($M200&gt;=1,"Completado",IF($M200&gt;0,"En curso","Pendiente")))</f>
        <v/>
      </c>
      <c r="O200" s="56">
        <f>IF(NOT((COUNTA($B200:$D200)+COUNTA($G200:$L200)+COUNTA($Q200))&gt;0),"",IF(ISNUMBER($G200),IF(AND(ISNUMBER($AN200),$G200&gt;$AN200),"Cumplida con "&amp;($G200-$AN200)&amp;IF($G200-$AN200=1," día"," días")&amp;" de retraso","Cumplida"),IF(N($M200)&gt;=1,"Cumplida",IF(NOT(ISNUMBER($AN200)),"Sin fecha límite",IF($AN200&lt;FechaRef,"Vencida hace "&amp;(FechaRef-$AN200)&amp;IF(FechaRef-$AN200=1," día"," días"),IF($AN200=FechaRef,"Vence hoy",IF($AN200-FechaRef&lt;=DiasAlerta,"Vence en "&amp;($AN200-FechaRef)&amp;IF($AN200-FechaRef=1," día"," días"),"En plazo")))))))</f>
        <v/>
      </c>
      <c r="P200" s="62" t="n"/>
      <c r="Q200" s="58" t="n"/>
      <c r="R200" s="63">
        <f>IF(NOT((COUNTA($B200:$D200)+COUNTA($G200:$L200)+COUNTA($Q200))&gt;0),"",IF((IF($C200="","Falta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",""))="","✔ OK","⚠ "&amp;LEFT(IF($C200="","Falta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",""),LEN(IF($C200="","Falta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",""))-3)))</f>
        <v/>
      </c>
      <c r="S200" s="64">
        <f>IF(NOT((COUNTA($B200:$D200)+COUNTA($G200:$L200)+COUNTA($Q200))&gt;0),"",IF(AND($V200="Sub",N($U200)&gt;0),IF(ISNUMBER(INDEX($AM$5:$AM$1000,$U200-4)),DATE(YEAR(INDEX($AM$5:$AM$1000,$U200-4)),MONTH(INDEX($AM$5:$AM$1000,$U200-4)),1),IF(ISNUMBER(INDEX($AN$5:$AN$1000,$U200-4)),DATE(YEAR(INDEX($AN$5:$AN$1000,$U200-4)),MONTH(INDEX($AN$5:$AN$1000,$U200-4)),1),MesCiclo)),IF(ISNUMBER($AM200),DATE(YEAR($AM200),MONTH($AM200),1),IF(ISNUMBER($AN200),DATE(YEAR($AN200),MONTH($AN200),1),MesCiclo))))</f>
        <v/>
      </c>
      <c r="T200" s="62">
        <f>IF(OR($S200="",$S200&lt;&gt;MesCiclo),"",COUNTIF($S$5:$S200,MesCiclo))</f>
        <v/>
      </c>
      <c r="U200" s="62">
        <f>IF($V200="","",IF($V200="Macro",ROW(),IFERROR(LOOKUP(2,1/($V$5:$V200="Macro"),ROW($V$5:$V200)),0)))</f>
        <v/>
      </c>
      <c r="V200" s="62">
        <f>IF(NOT((COUNTA($B200:$D200)+COUNTA($G200:$L200)+COUNTA($Q200))&gt;0),"",IF($B200="Subactividad","Sub","Macro"))</f>
        <v/>
      </c>
      <c r="W200" s="62">
        <f>IF($V200="Macro",COUNTIFS($U$5:$U$1000,ROW(),$V$5:$V$1000,"Sub"),"")</f>
        <v/>
      </c>
      <c r="X200" s="62">
        <f>IF($V200="","",IF(ISNUMBER($G200),1,IFERROR(LOOKUP(2,1/($I200:$L200&lt;&gt;""),$I200:$L200),0)))</f>
        <v/>
      </c>
      <c r="Y200" s="62">
        <f>IF($V200="","",IF(AND(ISNUMBER($G200),$G200&lt;=IF($S200=MesCiclo,InicioCiclo,$S200+MOD(2-WEEKDAY($S200),7))+6),1,IF(ISNUMBER($I200),$I200,0)))</f>
        <v/>
      </c>
      <c r="Z200" s="62">
        <f>IF($V200="","",IF(AND(ISNUMBER($G200),$G200&lt;=IF($S200=MesCiclo,InicioCiclo,$S200+MOD(2-WEEKDAY($S200),7))+13),1,IF(ISNUMBER($J200),$J200,$Y200)))</f>
        <v/>
      </c>
      <c r="AA200" s="62">
        <f>IF($V200="","",IF(AND(ISNUMBER($G200),$G200&lt;=IF($S200=MesCiclo,InicioCiclo,$S200+MOD(2-WEEKDAY($S200),7))+20),1,IF(ISNUMBER($K200),$K200,$Z200)))</f>
        <v/>
      </c>
      <c r="AB200" s="62">
        <f>IF($V200="","",IF(AND(ISNUMBER($G200),$G200&lt;=IF($S200=MesCiclo,InicioCiclo,$S200+MOD(2-WEEKDAY($S200),7))+27),1,IF(ISNUMBER($L200),$L200,$AA200)))</f>
        <v/>
      </c>
      <c r="AC200" s="62">
        <f>IF($V200="","",IF(AND(ISNUMBER($G200),$G200&lt;=IF($S200=MesCiclo,InicioCiclo,$S200+MOD(2-WEEKDAY($S200),7))+6),1,IF(N($W200)&gt;0,AVERAGEIFS($Y$5:$Y$1000,$U$5:$U$1000,ROW(),$V$5:$V$1000,"Sub"),$Y200)))</f>
        <v/>
      </c>
      <c r="AD200" s="62">
        <f>IF($V200="","",IF(AND(ISNUMBER($G200),$G200&lt;=IF($S200=MesCiclo,InicioCiclo,$S200+MOD(2-WEEKDAY($S200),7))+13),1,IF(N($W200)&gt;0,AVERAGEIFS($Z$5:$Z$1000,$U$5:$U$1000,ROW(),$V$5:$V$1000,"Sub"),$Z200)))</f>
        <v/>
      </c>
      <c r="AE200" s="62">
        <f>IF($V200="","",IF(AND(ISNUMBER($G200),$G200&lt;=IF($S200=MesCiclo,InicioCiclo,$S200+MOD(2-WEEKDAY($S200),7))+20),1,IF(N($W200)&gt;0,AVERAGEIFS($AA$5:$AA$1000,$U$5:$U$1000,ROW(),$V$5:$V$1000,"Sub"),$AA200)))</f>
        <v/>
      </c>
      <c r="AF200" s="62">
        <f>IF($V200="","",IF(AND(ISNUMBER($G200),$G200&lt;=IF($S200=MesCiclo,InicioCiclo,$S200+MOD(2-WEEKDAY($S200),7))+27),1,IF(N($W200)&gt;0,AVERAGEIFS($AB$5:$AB$1000,$U$5:$U$1000,ROW(),$V$5:$V$1000,"Sub"),$AB200)))</f>
        <v/>
      </c>
      <c r="AG200" s="62">
        <f>IF($V200&lt;&gt;"Macro","",IF(COUNTIFS($S$5:$S$1000,$S200,$V$5:$V$1000,"Macro",$H$5:$H$1000,"&gt;0")=0,1/COUNTIFS($S$5:$S$1000,$S200,$V$5:$V$1000,"Macro"),IF(AND(ISNUMBER($H200),N($H200)&gt;0),$H200,SUMIFS($H$5:$H$1000,$S$5:$S$1000,$S200,$V$5:$V$1000,"Macro")/COUNTIFS($S$5:$S$1000,$S200,$V$5:$V$1000,"Macro",$H$5:$H$1000,"&gt;0"))/(COUNTIFS($S$5:$S$1000,$S200,$V$5:$V$1000,"Macro")*SUMIFS($H$5:$H$1000,$S$5:$S$1000,$S200,$V$5:$V$1000,"Macro")/COUNTIFS($S$5:$S$1000,$S200,$V$5:$V$1000,"Macro",$H$5:$H$1000,"&gt;0"))))</f>
        <v/>
      </c>
      <c r="AH200" s="62" t="n"/>
      <c r="AI200" s="62" t="n"/>
      <c r="AJ200" s="62" t="n"/>
      <c r="AK200" s="62" t="n"/>
      <c r="AL200" s="62">
        <f>IF(LEFT($C200,11)="[Jefatura] ",IFERROR(MATCH("Riesgo Financiero|"&amp;MID($C200,12,500),rDname_ADM,0),0),"")</f>
        <v/>
      </c>
      <c r="AM200" s="62">
        <f>IF(N($AL200)&gt;0,INDEX(rIni_ADM,$AL200),IF(ISNUMBER($E200),$E200,""))</f>
        <v/>
      </c>
      <c r="AN200" s="62">
        <f>IF(N($AL200)&gt;0,INDEX(rLim_ADM,$AL200),IF(ISNUMBER($F200),$F200,""))</f>
        <v/>
      </c>
    </row>
    <row r="201">
      <c r="A201" s="56">
        <f>IF(NOT((COUNTA($B201:$D201)+COUNTA($G201:$L201)+COUNTA($Q201))&gt;0),"",IF($V201="Macro",COUNTIFS($V$5:$V201,"Macro",$S$5:$S201,$S201),IF(N($U201)=0,"?",COUNTIFS(INDEX($V$5:$V$1000,1):INDEX($V$5:$V$1000,$U201-4),"Macro",INDEX($S$5:$S$1000,1):INDEX($S$5:$S$1000,$U201-4),INDEX($S$5:$S$1000,$U201-4))&amp;"."&amp;COUNTIFS($U$5:$U201,$U201,$V$5:$V201,"Sub"))))</f>
        <v/>
      </c>
      <c r="B201" s="57" t="n"/>
      <c r="C201" s="58" t="n"/>
      <c r="D201" s="58" t="n"/>
      <c r="E201" s="59">
        <f>IF(N($AL201)&gt;0,INDEX(rIni_ADM,$AL201),"")</f>
        <v/>
      </c>
      <c r="F201" s="59">
        <f>IF(N($AL201)&gt;0,INDEX(rLim_ADM,$AL201),"")</f>
        <v/>
      </c>
      <c r="G201" s="59" t="n"/>
      <c r="H201" s="60" t="n"/>
      <c r="I201" s="60" t="n"/>
      <c r="J201" s="60" t="n"/>
      <c r="K201" s="60" t="n"/>
      <c r="L201" s="60" t="n"/>
      <c r="M201" s="61">
        <f>IF(NOT((COUNTA($B201:$D201)+COUNTA($G201:$L201)+COUNTA($Q201))&gt;0),"",IF(ISNUMBER($G201),1,IF(N($W201)&gt;0,AVERAGEIFS($X$5:$X$1000,$U$5:$U$1000,ROW(),$V$5:$V$1000,"Sub"),$X201)))</f>
        <v/>
      </c>
      <c r="N201" s="56">
        <f>IF($M201="","",IF($M201&gt;=1,"Completado",IF($M201&gt;0,"En curso","Pendiente")))</f>
        <v/>
      </c>
      <c r="O201" s="56">
        <f>IF(NOT((COUNTA($B201:$D201)+COUNTA($G201:$L201)+COUNTA($Q201))&gt;0),"",IF(ISNUMBER($G201),IF(AND(ISNUMBER($AN201),$G201&gt;$AN201),"Cumplida con "&amp;($G201-$AN201)&amp;IF($G201-$AN201=1," día"," días")&amp;" de retraso","Cumplida"),IF(N($M201)&gt;=1,"Cumplida",IF(NOT(ISNUMBER($AN201)),"Sin fecha límite",IF($AN201&lt;FechaRef,"Vencida hace "&amp;(FechaRef-$AN201)&amp;IF(FechaRef-$AN201=1," día"," días"),IF($AN201=FechaRef,"Vence hoy",IF($AN201-FechaRef&lt;=DiasAlerta,"Vence en "&amp;($AN201-FechaRef)&amp;IF($AN201-FechaRef=1," día"," días"),"En plazo")))))))</f>
        <v/>
      </c>
      <c r="P201" s="62" t="n"/>
      <c r="Q201" s="58" t="n"/>
      <c r="R201" s="63">
        <f>IF(NOT((COUNTA($B201:$D201)+COUNTA($G201:$L201)+COUNTA($Q201))&gt;0),"",IF((IF($C201="","Falta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",""))="","✔ OK","⚠ "&amp;LEFT(IF($C201="","Falta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",""),LEN(IF($C201="","Falta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",""))-3)))</f>
        <v/>
      </c>
      <c r="S201" s="64">
        <f>IF(NOT((COUNTA($B201:$D201)+COUNTA($G201:$L201)+COUNTA($Q201))&gt;0),"",IF(AND($V201="Sub",N($U201)&gt;0),IF(ISNUMBER(INDEX($AM$5:$AM$1000,$U201-4)),DATE(YEAR(INDEX($AM$5:$AM$1000,$U201-4)),MONTH(INDEX($AM$5:$AM$1000,$U201-4)),1),IF(ISNUMBER(INDEX($AN$5:$AN$1000,$U201-4)),DATE(YEAR(INDEX($AN$5:$AN$1000,$U201-4)),MONTH(INDEX($AN$5:$AN$1000,$U201-4)),1),MesCiclo)),IF(ISNUMBER($AM201),DATE(YEAR($AM201),MONTH($AM201),1),IF(ISNUMBER($AN201),DATE(YEAR($AN201),MONTH($AN201),1),MesCiclo))))</f>
        <v/>
      </c>
      <c r="T201" s="62">
        <f>IF(OR($S201="",$S201&lt;&gt;MesCiclo),"",COUNTIF($S$5:$S201,MesCiclo))</f>
        <v/>
      </c>
      <c r="U201" s="62">
        <f>IF($V201="","",IF($V201="Macro",ROW(),IFERROR(LOOKUP(2,1/($V$5:$V201="Macro"),ROW($V$5:$V201)),0)))</f>
        <v/>
      </c>
      <c r="V201" s="62">
        <f>IF(NOT((COUNTA($B201:$D201)+COUNTA($G201:$L201)+COUNTA($Q201))&gt;0),"",IF($B201="Subactividad","Sub","Macro"))</f>
        <v/>
      </c>
      <c r="W201" s="62">
        <f>IF($V201="Macro",COUNTIFS($U$5:$U$1000,ROW(),$V$5:$V$1000,"Sub"),"")</f>
        <v/>
      </c>
      <c r="X201" s="62">
        <f>IF($V201="","",IF(ISNUMBER($G201),1,IFERROR(LOOKUP(2,1/($I201:$L201&lt;&gt;""),$I201:$L201),0)))</f>
        <v/>
      </c>
      <c r="Y201" s="62">
        <f>IF($V201="","",IF(AND(ISNUMBER($G201),$G201&lt;=IF($S201=MesCiclo,InicioCiclo,$S201+MOD(2-WEEKDAY($S201),7))+6),1,IF(ISNUMBER($I201),$I201,0)))</f>
        <v/>
      </c>
      <c r="Z201" s="62">
        <f>IF($V201="","",IF(AND(ISNUMBER($G201),$G201&lt;=IF($S201=MesCiclo,InicioCiclo,$S201+MOD(2-WEEKDAY($S201),7))+13),1,IF(ISNUMBER($J201),$J201,$Y201)))</f>
        <v/>
      </c>
      <c r="AA201" s="62">
        <f>IF($V201="","",IF(AND(ISNUMBER($G201),$G201&lt;=IF($S201=MesCiclo,InicioCiclo,$S201+MOD(2-WEEKDAY($S201),7))+20),1,IF(ISNUMBER($K201),$K201,$Z201)))</f>
        <v/>
      </c>
      <c r="AB201" s="62">
        <f>IF($V201="","",IF(AND(ISNUMBER($G201),$G201&lt;=IF($S201=MesCiclo,InicioCiclo,$S201+MOD(2-WEEKDAY($S201),7))+27),1,IF(ISNUMBER($L201),$L201,$AA201)))</f>
        <v/>
      </c>
      <c r="AC201" s="62">
        <f>IF($V201="","",IF(AND(ISNUMBER($G201),$G201&lt;=IF($S201=MesCiclo,InicioCiclo,$S201+MOD(2-WEEKDAY($S201),7))+6),1,IF(N($W201)&gt;0,AVERAGEIFS($Y$5:$Y$1000,$U$5:$U$1000,ROW(),$V$5:$V$1000,"Sub"),$Y201)))</f>
        <v/>
      </c>
      <c r="AD201" s="62">
        <f>IF($V201="","",IF(AND(ISNUMBER($G201),$G201&lt;=IF($S201=MesCiclo,InicioCiclo,$S201+MOD(2-WEEKDAY($S201),7))+13),1,IF(N($W201)&gt;0,AVERAGEIFS($Z$5:$Z$1000,$U$5:$U$1000,ROW(),$V$5:$V$1000,"Sub"),$Z201)))</f>
        <v/>
      </c>
      <c r="AE201" s="62">
        <f>IF($V201="","",IF(AND(ISNUMBER($G201),$G201&lt;=IF($S201=MesCiclo,InicioCiclo,$S201+MOD(2-WEEKDAY($S201),7))+20),1,IF(N($W201)&gt;0,AVERAGEIFS($AA$5:$AA$1000,$U$5:$U$1000,ROW(),$V$5:$V$1000,"Sub"),$AA201)))</f>
        <v/>
      </c>
      <c r="AF201" s="62">
        <f>IF($V201="","",IF(AND(ISNUMBER($G201),$G201&lt;=IF($S201=MesCiclo,InicioCiclo,$S201+MOD(2-WEEKDAY($S201),7))+27),1,IF(N($W201)&gt;0,AVERAGEIFS($AB$5:$AB$1000,$U$5:$U$1000,ROW(),$V$5:$V$1000,"Sub"),$AB201)))</f>
        <v/>
      </c>
      <c r="AG201" s="62">
        <f>IF($V201&lt;&gt;"Macro","",IF(COUNTIFS($S$5:$S$1000,$S201,$V$5:$V$1000,"Macro",$H$5:$H$1000,"&gt;0")=0,1/COUNTIFS($S$5:$S$1000,$S201,$V$5:$V$1000,"Macro"),IF(AND(ISNUMBER($H201),N($H201)&gt;0),$H201,SUMIFS($H$5:$H$1000,$S$5:$S$1000,$S201,$V$5:$V$1000,"Macro")/COUNTIFS($S$5:$S$1000,$S201,$V$5:$V$1000,"Macro",$H$5:$H$1000,"&gt;0"))/(COUNTIFS($S$5:$S$1000,$S201,$V$5:$V$1000,"Macro")*SUMIFS($H$5:$H$1000,$S$5:$S$1000,$S201,$V$5:$V$1000,"Macro")/COUNTIFS($S$5:$S$1000,$S201,$V$5:$V$1000,"Macro",$H$5:$H$1000,"&gt;0"))))</f>
        <v/>
      </c>
      <c r="AH201" s="62" t="n"/>
      <c r="AI201" s="62" t="n"/>
      <c r="AJ201" s="62" t="n"/>
      <c r="AK201" s="62" t="n"/>
      <c r="AL201" s="62">
        <f>IF(LEFT($C201,11)="[Jefatura] ",IFERROR(MATCH("Riesgo Financiero|"&amp;MID($C201,12,500),rDname_ADM,0),0),"")</f>
        <v/>
      </c>
      <c r="AM201" s="62">
        <f>IF(N($AL201)&gt;0,INDEX(rIni_ADM,$AL201),IF(ISNUMBER($E201),$E201,""))</f>
        <v/>
      </c>
      <c r="AN201" s="62">
        <f>IF(N($AL201)&gt;0,INDEX(rLim_ADM,$AL201),IF(ISNUMBER($F201),$F201,""))</f>
        <v/>
      </c>
    </row>
    <row r="202">
      <c r="A202" s="56">
        <f>IF(NOT((COUNTA($B202:$D202)+COUNTA($G202:$L202)+COUNTA($Q202))&gt;0),"",IF($V202="Macro",COUNTIFS($V$5:$V202,"Macro",$S$5:$S202,$S202),IF(N($U202)=0,"?",COUNTIFS(INDEX($V$5:$V$1000,1):INDEX($V$5:$V$1000,$U202-4),"Macro",INDEX($S$5:$S$1000,1):INDEX($S$5:$S$1000,$U202-4),INDEX($S$5:$S$1000,$U202-4))&amp;"."&amp;COUNTIFS($U$5:$U202,$U202,$V$5:$V202,"Sub"))))</f>
        <v/>
      </c>
      <c r="B202" s="57" t="n"/>
      <c r="C202" s="58" t="n"/>
      <c r="D202" s="58" t="n"/>
      <c r="E202" s="59">
        <f>IF(N($AL202)&gt;0,INDEX(rIni_ADM,$AL202),"")</f>
        <v/>
      </c>
      <c r="F202" s="59">
        <f>IF(N($AL202)&gt;0,INDEX(rLim_ADM,$AL202),"")</f>
        <v/>
      </c>
      <c r="G202" s="59" t="n"/>
      <c r="H202" s="60" t="n"/>
      <c r="I202" s="60" t="n"/>
      <c r="J202" s="60" t="n"/>
      <c r="K202" s="60" t="n"/>
      <c r="L202" s="60" t="n"/>
      <c r="M202" s="61">
        <f>IF(NOT((COUNTA($B202:$D202)+COUNTA($G202:$L202)+COUNTA($Q202))&gt;0),"",IF(ISNUMBER($G202),1,IF(N($W202)&gt;0,AVERAGEIFS($X$5:$X$1000,$U$5:$U$1000,ROW(),$V$5:$V$1000,"Sub"),$X202)))</f>
        <v/>
      </c>
      <c r="N202" s="56">
        <f>IF($M202="","",IF($M202&gt;=1,"Completado",IF($M202&gt;0,"En curso","Pendiente")))</f>
        <v/>
      </c>
      <c r="O202" s="56">
        <f>IF(NOT((COUNTA($B202:$D202)+COUNTA($G202:$L202)+COUNTA($Q202))&gt;0),"",IF(ISNUMBER($G202),IF(AND(ISNUMBER($AN202),$G202&gt;$AN202),"Cumplida con "&amp;($G202-$AN202)&amp;IF($G202-$AN202=1," día"," días")&amp;" de retraso","Cumplida"),IF(N($M202)&gt;=1,"Cumplida",IF(NOT(ISNUMBER($AN202)),"Sin fecha límite",IF($AN202&lt;FechaRef,"Vencida hace "&amp;(FechaRef-$AN202)&amp;IF(FechaRef-$AN202=1," día"," días"),IF($AN202=FechaRef,"Vence hoy",IF($AN202-FechaRef&lt;=DiasAlerta,"Vence en "&amp;($AN202-FechaRef)&amp;IF($AN202-FechaRef=1," día"," días"),"En plazo")))))))</f>
        <v/>
      </c>
      <c r="P202" s="62" t="n"/>
      <c r="Q202" s="58" t="n"/>
      <c r="R202" s="63">
        <f>IF(NOT((COUNTA($B202:$D202)+COUNTA($G202:$L202)+COUNTA($Q202))&gt;0),"",IF((IF($C202="","Falta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",""))="","✔ OK","⚠ "&amp;LEFT(IF($C202="","Falta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",""),LEN(IF($C202="","Falta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",""))-3)))</f>
        <v/>
      </c>
      <c r="S202" s="64">
        <f>IF(NOT((COUNTA($B202:$D202)+COUNTA($G202:$L202)+COUNTA($Q202))&gt;0),"",IF(AND($V202="Sub",N($U202)&gt;0),IF(ISNUMBER(INDEX($AM$5:$AM$1000,$U202-4)),DATE(YEAR(INDEX($AM$5:$AM$1000,$U202-4)),MONTH(INDEX($AM$5:$AM$1000,$U202-4)),1),IF(ISNUMBER(INDEX($AN$5:$AN$1000,$U202-4)),DATE(YEAR(INDEX($AN$5:$AN$1000,$U202-4)),MONTH(INDEX($AN$5:$AN$1000,$U202-4)),1),MesCiclo)),IF(ISNUMBER($AM202),DATE(YEAR($AM202),MONTH($AM202),1),IF(ISNUMBER($AN202),DATE(YEAR($AN202),MONTH($AN202),1),MesCiclo))))</f>
        <v/>
      </c>
      <c r="T202" s="62">
        <f>IF(OR($S202="",$S202&lt;&gt;MesCiclo),"",COUNTIF($S$5:$S202,MesCiclo))</f>
        <v/>
      </c>
      <c r="U202" s="62">
        <f>IF($V202="","",IF($V202="Macro",ROW(),IFERROR(LOOKUP(2,1/($V$5:$V202="Macro"),ROW($V$5:$V202)),0)))</f>
        <v/>
      </c>
      <c r="V202" s="62">
        <f>IF(NOT((COUNTA($B202:$D202)+COUNTA($G202:$L202)+COUNTA($Q202))&gt;0),"",IF($B202="Subactividad","Sub","Macro"))</f>
        <v/>
      </c>
      <c r="W202" s="62">
        <f>IF($V202="Macro",COUNTIFS($U$5:$U$1000,ROW(),$V$5:$V$1000,"Sub"),"")</f>
        <v/>
      </c>
      <c r="X202" s="62">
        <f>IF($V202="","",IF(ISNUMBER($G202),1,IFERROR(LOOKUP(2,1/($I202:$L202&lt;&gt;""),$I202:$L202),0)))</f>
        <v/>
      </c>
      <c r="Y202" s="62">
        <f>IF($V202="","",IF(AND(ISNUMBER($G202),$G202&lt;=IF($S202=MesCiclo,InicioCiclo,$S202+MOD(2-WEEKDAY($S202),7))+6),1,IF(ISNUMBER($I202),$I202,0)))</f>
        <v/>
      </c>
      <c r="Z202" s="62">
        <f>IF($V202="","",IF(AND(ISNUMBER($G202),$G202&lt;=IF($S202=MesCiclo,InicioCiclo,$S202+MOD(2-WEEKDAY($S202),7))+13),1,IF(ISNUMBER($J202),$J202,$Y202)))</f>
        <v/>
      </c>
      <c r="AA202" s="62">
        <f>IF($V202="","",IF(AND(ISNUMBER($G202),$G202&lt;=IF($S202=MesCiclo,InicioCiclo,$S202+MOD(2-WEEKDAY($S202),7))+20),1,IF(ISNUMBER($K202),$K202,$Z202)))</f>
        <v/>
      </c>
      <c r="AB202" s="62">
        <f>IF($V202="","",IF(AND(ISNUMBER($G202),$G202&lt;=IF($S202=MesCiclo,InicioCiclo,$S202+MOD(2-WEEKDAY($S202),7))+27),1,IF(ISNUMBER($L202),$L202,$AA202)))</f>
        <v/>
      </c>
      <c r="AC202" s="62">
        <f>IF($V202="","",IF(AND(ISNUMBER($G202),$G202&lt;=IF($S202=MesCiclo,InicioCiclo,$S202+MOD(2-WEEKDAY($S202),7))+6),1,IF(N($W202)&gt;0,AVERAGEIFS($Y$5:$Y$1000,$U$5:$U$1000,ROW(),$V$5:$V$1000,"Sub"),$Y202)))</f>
        <v/>
      </c>
      <c r="AD202" s="62">
        <f>IF($V202="","",IF(AND(ISNUMBER($G202),$G202&lt;=IF($S202=MesCiclo,InicioCiclo,$S202+MOD(2-WEEKDAY($S202),7))+13),1,IF(N($W202)&gt;0,AVERAGEIFS($Z$5:$Z$1000,$U$5:$U$1000,ROW(),$V$5:$V$1000,"Sub"),$Z202)))</f>
        <v/>
      </c>
      <c r="AE202" s="62">
        <f>IF($V202="","",IF(AND(ISNUMBER($G202),$G202&lt;=IF($S202=MesCiclo,InicioCiclo,$S202+MOD(2-WEEKDAY($S202),7))+20),1,IF(N($W202)&gt;0,AVERAGEIFS($AA$5:$AA$1000,$U$5:$U$1000,ROW(),$V$5:$V$1000,"Sub"),$AA202)))</f>
        <v/>
      </c>
      <c r="AF202" s="62">
        <f>IF($V202="","",IF(AND(ISNUMBER($G202),$G202&lt;=IF($S202=MesCiclo,InicioCiclo,$S202+MOD(2-WEEKDAY($S202),7))+27),1,IF(N($W202)&gt;0,AVERAGEIFS($AB$5:$AB$1000,$U$5:$U$1000,ROW(),$V$5:$V$1000,"Sub"),$AB202)))</f>
        <v/>
      </c>
      <c r="AG202" s="62">
        <f>IF($V202&lt;&gt;"Macro","",IF(COUNTIFS($S$5:$S$1000,$S202,$V$5:$V$1000,"Macro",$H$5:$H$1000,"&gt;0")=0,1/COUNTIFS($S$5:$S$1000,$S202,$V$5:$V$1000,"Macro"),IF(AND(ISNUMBER($H202),N($H202)&gt;0),$H202,SUMIFS($H$5:$H$1000,$S$5:$S$1000,$S202,$V$5:$V$1000,"Macro")/COUNTIFS($S$5:$S$1000,$S202,$V$5:$V$1000,"Macro",$H$5:$H$1000,"&gt;0"))/(COUNTIFS($S$5:$S$1000,$S202,$V$5:$V$1000,"Macro")*SUMIFS($H$5:$H$1000,$S$5:$S$1000,$S202,$V$5:$V$1000,"Macro")/COUNTIFS($S$5:$S$1000,$S202,$V$5:$V$1000,"Macro",$H$5:$H$1000,"&gt;0"))))</f>
        <v/>
      </c>
      <c r="AH202" s="62" t="n"/>
      <c r="AI202" s="62" t="n"/>
      <c r="AJ202" s="62" t="n"/>
      <c r="AK202" s="62" t="n"/>
      <c r="AL202" s="62">
        <f>IF(LEFT($C202,11)="[Jefatura] ",IFERROR(MATCH("Riesgo Financiero|"&amp;MID($C202,12,500),rDname_ADM,0),0),"")</f>
        <v/>
      </c>
      <c r="AM202" s="62">
        <f>IF(N($AL202)&gt;0,INDEX(rIni_ADM,$AL202),IF(ISNUMBER($E202),$E202,""))</f>
        <v/>
      </c>
      <c r="AN202" s="62">
        <f>IF(N($AL202)&gt;0,INDEX(rLim_ADM,$AL202),IF(ISNUMBER($F202),$F202,""))</f>
        <v/>
      </c>
    </row>
    <row r="203">
      <c r="A203" s="56">
        <f>IF(NOT((COUNTA($B203:$D203)+COUNTA($G203:$L203)+COUNTA($Q203))&gt;0),"",IF($V203="Macro",COUNTIFS($V$5:$V203,"Macro",$S$5:$S203,$S203),IF(N($U203)=0,"?",COUNTIFS(INDEX($V$5:$V$1000,1):INDEX($V$5:$V$1000,$U203-4),"Macro",INDEX($S$5:$S$1000,1):INDEX($S$5:$S$1000,$U203-4),INDEX($S$5:$S$1000,$U203-4))&amp;"."&amp;COUNTIFS($U$5:$U203,$U203,$V$5:$V203,"Sub"))))</f>
        <v/>
      </c>
      <c r="B203" s="57" t="n"/>
      <c r="C203" s="58" t="n"/>
      <c r="D203" s="58" t="n"/>
      <c r="E203" s="59">
        <f>IF(N($AL203)&gt;0,INDEX(rIni_ADM,$AL203),"")</f>
        <v/>
      </c>
      <c r="F203" s="59">
        <f>IF(N($AL203)&gt;0,INDEX(rLim_ADM,$AL203),"")</f>
        <v/>
      </c>
      <c r="G203" s="59" t="n"/>
      <c r="H203" s="60" t="n"/>
      <c r="I203" s="60" t="n"/>
      <c r="J203" s="60" t="n"/>
      <c r="K203" s="60" t="n"/>
      <c r="L203" s="60" t="n"/>
      <c r="M203" s="61">
        <f>IF(NOT((COUNTA($B203:$D203)+COUNTA($G203:$L203)+COUNTA($Q203))&gt;0),"",IF(ISNUMBER($G203),1,IF(N($W203)&gt;0,AVERAGEIFS($X$5:$X$1000,$U$5:$U$1000,ROW(),$V$5:$V$1000,"Sub"),$X203)))</f>
        <v/>
      </c>
      <c r="N203" s="56">
        <f>IF($M203="","",IF($M203&gt;=1,"Completado",IF($M203&gt;0,"En curso","Pendiente")))</f>
        <v/>
      </c>
      <c r="O203" s="56">
        <f>IF(NOT((COUNTA($B203:$D203)+COUNTA($G203:$L203)+COUNTA($Q203))&gt;0),"",IF(ISNUMBER($G203),IF(AND(ISNUMBER($AN203),$G203&gt;$AN203),"Cumplida con "&amp;($G203-$AN203)&amp;IF($G203-$AN203=1," día"," días")&amp;" de retraso","Cumplida"),IF(N($M203)&gt;=1,"Cumplida",IF(NOT(ISNUMBER($AN203)),"Sin fecha límite",IF($AN203&lt;FechaRef,"Vencida hace "&amp;(FechaRef-$AN203)&amp;IF(FechaRef-$AN203=1," día"," días"),IF($AN203=FechaRef,"Vence hoy",IF($AN203-FechaRef&lt;=DiasAlerta,"Vence en "&amp;($AN203-FechaRef)&amp;IF($AN203-FechaRef=1," día"," días"),"En plazo")))))))</f>
        <v/>
      </c>
      <c r="P203" s="62" t="n"/>
      <c r="Q203" s="58" t="n"/>
      <c r="R203" s="63">
        <f>IF(NOT((COUNTA($B203:$D203)+COUNTA($G203:$L203)+COUNTA($Q203))&gt;0),"",IF((IF($C203="","Falta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",""))="","✔ OK","⚠ "&amp;LEFT(IF($C203="","Falta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",""),LEN(IF($C203="","Falta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",""))-3)))</f>
        <v/>
      </c>
      <c r="S203" s="64">
        <f>IF(NOT((COUNTA($B203:$D203)+COUNTA($G203:$L203)+COUNTA($Q203))&gt;0),"",IF(AND($V203="Sub",N($U203)&gt;0),IF(ISNUMBER(INDEX($AM$5:$AM$1000,$U203-4)),DATE(YEAR(INDEX($AM$5:$AM$1000,$U203-4)),MONTH(INDEX($AM$5:$AM$1000,$U203-4)),1),IF(ISNUMBER(INDEX($AN$5:$AN$1000,$U203-4)),DATE(YEAR(INDEX($AN$5:$AN$1000,$U203-4)),MONTH(INDEX($AN$5:$AN$1000,$U203-4)),1),MesCiclo)),IF(ISNUMBER($AM203),DATE(YEAR($AM203),MONTH($AM203),1),IF(ISNUMBER($AN203),DATE(YEAR($AN203),MONTH($AN203),1),MesCiclo))))</f>
        <v/>
      </c>
      <c r="T203" s="62">
        <f>IF(OR($S203="",$S203&lt;&gt;MesCiclo),"",COUNTIF($S$5:$S203,MesCiclo))</f>
        <v/>
      </c>
      <c r="U203" s="62">
        <f>IF($V203="","",IF($V203="Macro",ROW(),IFERROR(LOOKUP(2,1/($V$5:$V203="Macro"),ROW($V$5:$V203)),0)))</f>
        <v/>
      </c>
      <c r="V203" s="62">
        <f>IF(NOT((COUNTA($B203:$D203)+COUNTA($G203:$L203)+COUNTA($Q203))&gt;0),"",IF($B203="Subactividad","Sub","Macro"))</f>
        <v/>
      </c>
      <c r="W203" s="62">
        <f>IF($V203="Macro",COUNTIFS($U$5:$U$1000,ROW(),$V$5:$V$1000,"Sub"),"")</f>
        <v/>
      </c>
      <c r="X203" s="62">
        <f>IF($V203="","",IF(ISNUMBER($G203),1,IFERROR(LOOKUP(2,1/($I203:$L203&lt;&gt;""),$I203:$L203),0)))</f>
        <v/>
      </c>
      <c r="Y203" s="62">
        <f>IF($V203="","",IF(AND(ISNUMBER($G203),$G203&lt;=IF($S203=MesCiclo,InicioCiclo,$S203+MOD(2-WEEKDAY($S203),7))+6),1,IF(ISNUMBER($I203),$I203,0)))</f>
        <v/>
      </c>
      <c r="Z203" s="62">
        <f>IF($V203="","",IF(AND(ISNUMBER($G203),$G203&lt;=IF($S203=MesCiclo,InicioCiclo,$S203+MOD(2-WEEKDAY($S203),7))+13),1,IF(ISNUMBER($J203),$J203,$Y203)))</f>
        <v/>
      </c>
      <c r="AA203" s="62">
        <f>IF($V203="","",IF(AND(ISNUMBER($G203),$G203&lt;=IF($S203=MesCiclo,InicioCiclo,$S203+MOD(2-WEEKDAY($S203),7))+20),1,IF(ISNUMBER($K203),$K203,$Z203)))</f>
        <v/>
      </c>
      <c r="AB203" s="62">
        <f>IF($V203="","",IF(AND(ISNUMBER($G203),$G203&lt;=IF($S203=MesCiclo,InicioCiclo,$S203+MOD(2-WEEKDAY($S203),7))+27),1,IF(ISNUMBER($L203),$L203,$AA203)))</f>
        <v/>
      </c>
      <c r="AC203" s="62">
        <f>IF($V203="","",IF(AND(ISNUMBER($G203),$G203&lt;=IF($S203=MesCiclo,InicioCiclo,$S203+MOD(2-WEEKDAY($S203),7))+6),1,IF(N($W203)&gt;0,AVERAGEIFS($Y$5:$Y$1000,$U$5:$U$1000,ROW(),$V$5:$V$1000,"Sub"),$Y203)))</f>
        <v/>
      </c>
      <c r="AD203" s="62">
        <f>IF($V203="","",IF(AND(ISNUMBER($G203),$G203&lt;=IF($S203=MesCiclo,InicioCiclo,$S203+MOD(2-WEEKDAY($S203),7))+13),1,IF(N($W203)&gt;0,AVERAGEIFS($Z$5:$Z$1000,$U$5:$U$1000,ROW(),$V$5:$V$1000,"Sub"),$Z203)))</f>
        <v/>
      </c>
      <c r="AE203" s="62">
        <f>IF($V203="","",IF(AND(ISNUMBER($G203),$G203&lt;=IF($S203=MesCiclo,InicioCiclo,$S203+MOD(2-WEEKDAY($S203),7))+20),1,IF(N($W203)&gt;0,AVERAGEIFS($AA$5:$AA$1000,$U$5:$U$1000,ROW(),$V$5:$V$1000,"Sub"),$AA203)))</f>
        <v/>
      </c>
      <c r="AF203" s="62">
        <f>IF($V203="","",IF(AND(ISNUMBER($G203),$G203&lt;=IF($S203=MesCiclo,InicioCiclo,$S203+MOD(2-WEEKDAY($S203),7))+27),1,IF(N($W203)&gt;0,AVERAGEIFS($AB$5:$AB$1000,$U$5:$U$1000,ROW(),$V$5:$V$1000,"Sub"),$AB203)))</f>
        <v/>
      </c>
      <c r="AG203" s="62">
        <f>IF($V203&lt;&gt;"Macro","",IF(COUNTIFS($S$5:$S$1000,$S203,$V$5:$V$1000,"Macro",$H$5:$H$1000,"&gt;0")=0,1/COUNTIFS($S$5:$S$1000,$S203,$V$5:$V$1000,"Macro"),IF(AND(ISNUMBER($H203),N($H203)&gt;0),$H203,SUMIFS($H$5:$H$1000,$S$5:$S$1000,$S203,$V$5:$V$1000,"Macro")/COUNTIFS($S$5:$S$1000,$S203,$V$5:$V$1000,"Macro",$H$5:$H$1000,"&gt;0"))/(COUNTIFS($S$5:$S$1000,$S203,$V$5:$V$1000,"Macro")*SUMIFS($H$5:$H$1000,$S$5:$S$1000,$S203,$V$5:$V$1000,"Macro")/COUNTIFS($S$5:$S$1000,$S203,$V$5:$V$1000,"Macro",$H$5:$H$1000,"&gt;0"))))</f>
        <v/>
      </c>
      <c r="AH203" s="62" t="n"/>
      <c r="AI203" s="62" t="n"/>
      <c r="AJ203" s="62" t="n"/>
      <c r="AK203" s="62" t="n"/>
      <c r="AL203" s="62">
        <f>IF(LEFT($C203,11)="[Jefatura] ",IFERROR(MATCH("Riesgo Financiero|"&amp;MID($C203,12,500),rDname_ADM,0),0),"")</f>
        <v/>
      </c>
      <c r="AM203" s="62">
        <f>IF(N($AL203)&gt;0,INDEX(rIni_ADM,$AL203),IF(ISNUMBER($E203),$E203,""))</f>
        <v/>
      </c>
      <c r="AN203" s="62">
        <f>IF(N($AL203)&gt;0,INDEX(rLim_ADM,$AL203),IF(ISNUMBER($F203),$F203,""))</f>
        <v/>
      </c>
    </row>
    <row r="204">
      <c r="A204" s="56">
        <f>IF(NOT((COUNTA($B204:$D204)+COUNTA($G204:$L204)+COUNTA($Q204))&gt;0),"",IF($V204="Macro",COUNTIFS($V$5:$V204,"Macro",$S$5:$S204,$S204),IF(N($U204)=0,"?",COUNTIFS(INDEX($V$5:$V$1000,1):INDEX($V$5:$V$1000,$U204-4),"Macro",INDEX($S$5:$S$1000,1):INDEX($S$5:$S$1000,$U204-4),INDEX($S$5:$S$1000,$U204-4))&amp;"."&amp;COUNTIFS($U$5:$U204,$U204,$V$5:$V204,"Sub"))))</f>
        <v/>
      </c>
      <c r="B204" s="57" t="n"/>
      <c r="C204" s="58" t="n"/>
      <c r="D204" s="58" t="n"/>
      <c r="E204" s="59">
        <f>IF(N($AL204)&gt;0,INDEX(rIni_ADM,$AL204),"")</f>
        <v/>
      </c>
      <c r="F204" s="59">
        <f>IF(N($AL204)&gt;0,INDEX(rLim_ADM,$AL204),"")</f>
        <v/>
      </c>
      <c r="G204" s="59" t="n"/>
      <c r="H204" s="60" t="n"/>
      <c r="I204" s="60" t="n"/>
      <c r="J204" s="60" t="n"/>
      <c r="K204" s="60" t="n"/>
      <c r="L204" s="60" t="n"/>
      <c r="M204" s="61">
        <f>IF(NOT((COUNTA($B204:$D204)+COUNTA($G204:$L204)+COUNTA($Q204))&gt;0),"",IF(ISNUMBER($G204),1,IF(N($W204)&gt;0,AVERAGEIFS($X$5:$X$1000,$U$5:$U$1000,ROW(),$V$5:$V$1000,"Sub"),$X204)))</f>
        <v/>
      </c>
      <c r="N204" s="56">
        <f>IF($M204="","",IF($M204&gt;=1,"Completado",IF($M204&gt;0,"En curso","Pendiente")))</f>
        <v/>
      </c>
      <c r="O204" s="56">
        <f>IF(NOT((COUNTA($B204:$D204)+COUNTA($G204:$L204)+COUNTA($Q204))&gt;0),"",IF(ISNUMBER($G204),IF(AND(ISNUMBER($AN204),$G204&gt;$AN204),"Cumplida con "&amp;($G204-$AN204)&amp;IF($G204-$AN204=1," día"," días")&amp;" de retraso","Cumplida"),IF(N($M204)&gt;=1,"Cumplida",IF(NOT(ISNUMBER($AN204)),"Sin fecha límite",IF($AN204&lt;FechaRef,"Vencida hace "&amp;(FechaRef-$AN204)&amp;IF(FechaRef-$AN204=1," día"," días"),IF($AN204=FechaRef,"Vence hoy",IF($AN204-FechaRef&lt;=DiasAlerta,"Vence en "&amp;($AN204-FechaRef)&amp;IF($AN204-FechaRef=1," día"," días"),"En plazo")))))))</f>
        <v/>
      </c>
      <c r="P204" s="62" t="n"/>
      <c r="Q204" s="58" t="n"/>
      <c r="R204" s="63">
        <f>IF(NOT((COUNTA($B204:$D204)+COUNTA($G204:$L204)+COUNTA($Q204))&gt;0),"",IF((IF($C204="","Falta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",""))="","✔ OK","⚠ "&amp;LEFT(IF($C204="","Falta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",""),LEN(IF($C204="","Falta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",""))-3)))</f>
        <v/>
      </c>
      <c r="S204" s="64">
        <f>IF(NOT((COUNTA($B204:$D204)+COUNTA($G204:$L204)+COUNTA($Q204))&gt;0),"",IF(AND($V204="Sub",N($U204)&gt;0),IF(ISNUMBER(INDEX($AM$5:$AM$1000,$U204-4)),DATE(YEAR(INDEX($AM$5:$AM$1000,$U204-4)),MONTH(INDEX($AM$5:$AM$1000,$U204-4)),1),IF(ISNUMBER(INDEX($AN$5:$AN$1000,$U204-4)),DATE(YEAR(INDEX($AN$5:$AN$1000,$U204-4)),MONTH(INDEX($AN$5:$AN$1000,$U204-4)),1),MesCiclo)),IF(ISNUMBER($AM204),DATE(YEAR($AM204),MONTH($AM204),1),IF(ISNUMBER($AN204),DATE(YEAR($AN204),MONTH($AN204),1),MesCiclo))))</f>
        <v/>
      </c>
      <c r="T204" s="62">
        <f>IF(OR($S204="",$S204&lt;&gt;MesCiclo),"",COUNTIF($S$5:$S204,MesCiclo))</f>
        <v/>
      </c>
      <c r="U204" s="62">
        <f>IF($V204="","",IF($V204="Macro",ROW(),IFERROR(LOOKUP(2,1/($V$5:$V204="Macro"),ROW($V$5:$V204)),0)))</f>
        <v/>
      </c>
      <c r="V204" s="62">
        <f>IF(NOT((COUNTA($B204:$D204)+COUNTA($G204:$L204)+COUNTA($Q204))&gt;0),"",IF($B204="Subactividad","Sub","Macro"))</f>
        <v/>
      </c>
      <c r="W204" s="62">
        <f>IF($V204="Macro",COUNTIFS($U$5:$U$1000,ROW(),$V$5:$V$1000,"Sub"),"")</f>
        <v/>
      </c>
      <c r="X204" s="62">
        <f>IF($V204="","",IF(ISNUMBER($G204),1,IFERROR(LOOKUP(2,1/($I204:$L204&lt;&gt;""),$I204:$L204),0)))</f>
        <v/>
      </c>
      <c r="Y204" s="62">
        <f>IF($V204="","",IF(AND(ISNUMBER($G204),$G204&lt;=IF($S204=MesCiclo,InicioCiclo,$S204+MOD(2-WEEKDAY($S204),7))+6),1,IF(ISNUMBER($I204),$I204,0)))</f>
        <v/>
      </c>
      <c r="Z204" s="62">
        <f>IF($V204="","",IF(AND(ISNUMBER($G204),$G204&lt;=IF($S204=MesCiclo,InicioCiclo,$S204+MOD(2-WEEKDAY($S204),7))+13),1,IF(ISNUMBER($J204),$J204,$Y204)))</f>
        <v/>
      </c>
      <c r="AA204" s="62">
        <f>IF($V204="","",IF(AND(ISNUMBER($G204),$G204&lt;=IF($S204=MesCiclo,InicioCiclo,$S204+MOD(2-WEEKDAY($S204),7))+20),1,IF(ISNUMBER($K204),$K204,$Z204)))</f>
        <v/>
      </c>
      <c r="AB204" s="62">
        <f>IF($V204="","",IF(AND(ISNUMBER($G204),$G204&lt;=IF($S204=MesCiclo,InicioCiclo,$S204+MOD(2-WEEKDAY($S204),7))+27),1,IF(ISNUMBER($L204),$L204,$AA204)))</f>
        <v/>
      </c>
      <c r="AC204" s="62">
        <f>IF($V204="","",IF(AND(ISNUMBER($G204),$G204&lt;=IF($S204=MesCiclo,InicioCiclo,$S204+MOD(2-WEEKDAY($S204),7))+6),1,IF(N($W204)&gt;0,AVERAGEIFS($Y$5:$Y$1000,$U$5:$U$1000,ROW(),$V$5:$V$1000,"Sub"),$Y204)))</f>
        <v/>
      </c>
      <c r="AD204" s="62">
        <f>IF($V204="","",IF(AND(ISNUMBER($G204),$G204&lt;=IF($S204=MesCiclo,InicioCiclo,$S204+MOD(2-WEEKDAY($S204),7))+13),1,IF(N($W204)&gt;0,AVERAGEIFS($Z$5:$Z$1000,$U$5:$U$1000,ROW(),$V$5:$V$1000,"Sub"),$Z204)))</f>
        <v/>
      </c>
      <c r="AE204" s="62">
        <f>IF($V204="","",IF(AND(ISNUMBER($G204),$G204&lt;=IF($S204=MesCiclo,InicioCiclo,$S204+MOD(2-WEEKDAY($S204),7))+20),1,IF(N($W204)&gt;0,AVERAGEIFS($AA$5:$AA$1000,$U$5:$U$1000,ROW(),$V$5:$V$1000,"Sub"),$AA204)))</f>
        <v/>
      </c>
      <c r="AF204" s="62">
        <f>IF($V204="","",IF(AND(ISNUMBER($G204),$G204&lt;=IF($S204=MesCiclo,InicioCiclo,$S204+MOD(2-WEEKDAY($S204),7))+27),1,IF(N($W204)&gt;0,AVERAGEIFS($AB$5:$AB$1000,$U$5:$U$1000,ROW(),$V$5:$V$1000,"Sub"),$AB204)))</f>
        <v/>
      </c>
      <c r="AG204" s="62">
        <f>IF($V204&lt;&gt;"Macro","",IF(COUNTIFS($S$5:$S$1000,$S204,$V$5:$V$1000,"Macro",$H$5:$H$1000,"&gt;0")=0,1/COUNTIFS($S$5:$S$1000,$S204,$V$5:$V$1000,"Macro"),IF(AND(ISNUMBER($H204),N($H204)&gt;0),$H204,SUMIFS($H$5:$H$1000,$S$5:$S$1000,$S204,$V$5:$V$1000,"Macro")/COUNTIFS($S$5:$S$1000,$S204,$V$5:$V$1000,"Macro",$H$5:$H$1000,"&gt;0"))/(COUNTIFS($S$5:$S$1000,$S204,$V$5:$V$1000,"Macro")*SUMIFS($H$5:$H$1000,$S$5:$S$1000,$S204,$V$5:$V$1000,"Macro")/COUNTIFS($S$5:$S$1000,$S204,$V$5:$V$1000,"Macro",$H$5:$H$1000,"&gt;0"))))</f>
        <v/>
      </c>
      <c r="AH204" s="62" t="n"/>
      <c r="AI204" s="62" t="n"/>
      <c r="AJ204" s="62" t="n"/>
      <c r="AK204" s="62" t="n"/>
      <c r="AL204" s="62">
        <f>IF(LEFT($C204,11)="[Jefatura] ",IFERROR(MATCH("Riesgo Financiero|"&amp;MID($C204,12,500),rDname_ADM,0),0),"")</f>
        <v/>
      </c>
      <c r="AM204" s="62">
        <f>IF(N($AL204)&gt;0,INDEX(rIni_ADM,$AL204),IF(ISNUMBER($E204),$E204,""))</f>
        <v/>
      </c>
      <c r="AN204" s="62">
        <f>IF(N($AL204)&gt;0,INDEX(rLim_ADM,$AL204),IF(ISNUMBER($F204),$F204,""))</f>
        <v/>
      </c>
    </row>
    <row r="205">
      <c r="A205" s="56">
        <f>IF(NOT((COUNTA($B205:$D205)+COUNTA($G205:$L205)+COUNTA($Q205))&gt;0),"",IF($V205="Macro",COUNTIFS($V$5:$V205,"Macro",$S$5:$S205,$S205),IF(N($U205)=0,"?",COUNTIFS(INDEX($V$5:$V$1000,1):INDEX($V$5:$V$1000,$U205-4),"Macro",INDEX($S$5:$S$1000,1):INDEX($S$5:$S$1000,$U205-4),INDEX($S$5:$S$1000,$U205-4))&amp;"."&amp;COUNTIFS($U$5:$U205,$U205,$V$5:$V205,"Sub"))))</f>
        <v/>
      </c>
      <c r="B205" s="57" t="n"/>
      <c r="C205" s="58" t="n"/>
      <c r="D205" s="58" t="n"/>
      <c r="E205" s="59">
        <f>IF(N($AL205)&gt;0,INDEX(rIni_ADM,$AL205),"")</f>
        <v/>
      </c>
      <c r="F205" s="59">
        <f>IF(N($AL205)&gt;0,INDEX(rLim_ADM,$AL205),"")</f>
        <v/>
      </c>
      <c r="G205" s="59" t="n"/>
      <c r="H205" s="60" t="n"/>
      <c r="I205" s="60" t="n"/>
      <c r="J205" s="60" t="n"/>
      <c r="K205" s="60" t="n"/>
      <c r="L205" s="60" t="n"/>
      <c r="M205" s="61">
        <f>IF(NOT((COUNTA($B205:$D205)+COUNTA($G205:$L205)+COUNTA($Q205))&gt;0),"",IF(ISNUMBER($G205),1,IF(N($W205)&gt;0,AVERAGEIFS($X$5:$X$1000,$U$5:$U$1000,ROW(),$V$5:$V$1000,"Sub"),$X205)))</f>
        <v/>
      </c>
      <c r="N205" s="56">
        <f>IF($M205="","",IF($M205&gt;=1,"Completado",IF($M205&gt;0,"En curso","Pendiente")))</f>
        <v/>
      </c>
      <c r="O205" s="56">
        <f>IF(NOT((COUNTA($B205:$D205)+COUNTA($G205:$L205)+COUNTA($Q205))&gt;0),"",IF(ISNUMBER($G205),IF(AND(ISNUMBER($AN205),$G205&gt;$AN205),"Cumplida con "&amp;($G205-$AN205)&amp;IF($G205-$AN205=1," día"," días")&amp;" de retraso","Cumplida"),IF(N($M205)&gt;=1,"Cumplida",IF(NOT(ISNUMBER($AN205)),"Sin fecha límite",IF($AN205&lt;FechaRef,"Vencida hace "&amp;(FechaRef-$AN205)&amp;IF(FechaRef-$AN205=1," día"," días"),IF($AN205=FechaRef,"Vence hoy",IF($AN205-FechaRef&lt;=DiasAlerta,"Vence en "&amp;($AN205-FechaRef)&amp;IF($AN205-FechaRef=1," día"," días"),"En plazo")))))))</f>
        <v/>
      </c>
      <c r="P205" s="62" t="n"/>
      <c r="Q205" s="58" t="n"/>
      <c r="R205" s="63">
        <f>IF(NOT((COUNTA($B205:$D205)+COUNTA($G205:$L205)+COUNTA($Q205))&gt;0),"",IF((IF($C205="","Falta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",""))="","✔ OK","⚠ "&amp;LEFT(IF($C205="","Falta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",""),LEN(IF($C205="","Falta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",""))-3)))</f>
        <v/>
      </c>
      <c r="S205" s="64">
        <f>IF(NOT((COUNTA($B205:$D205)+COUNTA($G205:$L205)+COUNTA($Q205))&gt;0),"",IF(AND($V205="Sub",N($U205)&gt;0),IF(ISNUMBER(INDEX($AM$5:$AM$1000,$U205-4)),DATE(YEAR(INDEX($AM$5:$AM$1000,$U205-4)),MONTH(INDEX($AM$5:$AM$1000,$U205-4)),1),IF(ISNUMBER(INDEX($AN$5:$AN$1000,$U205-4)),DATE(YEAR(INDEX($AN$5:$AN$1000,$U205-4)),MONTH(INDEX($AN$5:$AN$1000,$U205-4)),1),MesCiclo)),IF(ISNUMBER($AM205),DATE(YEAR($AM205),MONTH($AM205),1),IF(ISNUMBER($AN205),DATE(YEAR($AN205),MONTH($AN205),1),MesCiclo))))</f>
        <v/>
      </c>
      <c r="T205" s="62">
        <f>IF(OR($S205="",$S205&lt;&gt;MesCiclo),"",COUNTIF($S$5:$S205,MesCiclo))</f>
        <v/>
      </c>
      <c r="U205" s="62">
        <f>IF($V205="","",IF($V205="Macro",ROW(),IFERROR(LOOKUP(2,1/($V$5:$V205="Macro"),ROW($V$5:$V205)),0)))</f>
        <v/>
      </c>
      <c r="V205" s="62">
        <f>IF(NOT((COUNTA($B205:$D205)+COUNTA($G205:$L205)+COUNTA($Q205))&gt;0),"",IF($B205="Subactividad","Sub","Macro"))</f>
        <v/>
      </c>
      <c r="W205" s="62">
        <f>IF($V205="Macro",COUNTIFS($U$5:$U$1000,ROW(),$V$5:$V$1000,"Sub"),"")</f>
        <v/>
      </c>
      <c r="X205" s="62">
        <f>IF($V205="","",IF(ISNUMBER($G205),1,IFERROR(LOOKUP(2,1/($I205:$L205&lt;&gt;""),$I205:$L205),0)))</f>
        <v/>
      </c>
      <c r="Y205" s="62">
        <f>IF($V205="","",IF(AND(ISNUMBER($G205),$G205&lt;=IF($S205=MesCiclo,InicioCiclo,$S205+MOD(2-WEEKDAY($S205),7))+6),1,IF(ISNUMBER($I205),$I205,0)))</f>
        <v/>
      </c>
      <c r="Z205" s="62">
        <f>IF($V205="","",IF(AND(ISNUMBER($G205),$G205&lt;=IF($S205=MesCiclo,InicioCiclo,$S205+MOD(2-WEEKDAY($S205),7))+13),1,IF(ISNUMBER($J205),$J205,$Y205)))</f>
        <v/>
      </c>
      <c r="AA205" s="62">
        <f>IF($V205="","",IF(AND(ISNUMBER($G205),$G205&lt;=IF($S205=MesCiclo,InicioCiclo,$S205+MOD(2-WEEKDAY($S205),7))+20),1,IF(ISNUMBER($K205),$K205,$Z205)))</f>
        <v/>
      </c>
      <c r="AB205" s="62">
        <f>IF($V205="","",IF(AND(ISNUMBER($G205),$G205&lt;=IF($S205=MesCiclo,InicioCiclo,$S205+MOD(2-WEEKDAY($S205),7))+27),1,IF(ISNUMBER($L205),$L205,$AA205)))</f>
        <v/>
      </c>
      <c r="AC205" s="62">
        <f>IF($V205="","",IF(AND(ISNUMBER($G205),$G205&lt;=IF($S205=MesCiclo,InicioCiclo,$S205+MOD(2-WEEKDAY($S205),7))+6),1,IF(N($W205)&gt;0,AVERAGEIFS($Y$5:$Y$1000,$U$5:$U$1000,ROW(),$V$5:$V$1000,"Sub"),$Y205)))</f>
        <v/>
      </c>
      <c r="AD205" s="62">
        <f>IF($V205="","",IF(AND(ISNUMBER($G205),$G205&lt;=IF($S205=MesCiclo,InicioCiclo,$S205+MOD(2-WEEKDAY($S205),7))+13),1,IF(N($W205)&gt;0,AVERAGEIFS($Z$5:$Z$1000,$U$5:$U$1000,ROW(),$V$5:$V$1000,"Sub"),$Z205)))</f>
        <v/>
      </c>
      <c r="AE205" s="62">
        <f>IF($V205="","",IF(AND(ISNUMBER($G205),$G205&lt;=IF($S205=MesCiclo,InicioCiclo,$S205+MOD(2-WEEKDAY($S205),7))+20),1,IF(N($W205)&gt;0,AVERAGEIFS($AA$5:$AA$1000,$U$5:$U$1000,ROW(),$V$5:$V$1000,"Sub"),$AA205)))</f>
        <v/>
      </c>
      <c r="AF205" s="62">
        <f>IF($V205="","",IF(AND(ISNUMBER($G205),$G205&lt;=IF($S205=MesCiclo,InicioCiclo,$S205+MOD(2-WEEKDAY($S205),7))+27),1,IF(N($W205)&gt;0,AVERAGEIFS($AB$5:$AB$1000,$U$5:$U$1000,ROW(),$V$5:$V$1000,"Sub"),$AB205)))</f>
        <v/>
      </c>
      <c r="AG205" s="62">
        <f>IF($V205&lt;&gt;"Macro","",IF(COUNTIFS($S$5:$S$1000,$S205,$V$5:$V$1000,"Macro",$H$5:$H$1000,"&gt;0")=0,1/COUNTIFS($S$5:$S$1000,$S205,$V$5:$V$1000,"Macro"),IF(AND(ISNUMBER($H205),N($H205)&gt;0),$H205,SUMIFS($H$5:$H$1000,$S$5:$S$1000,$S205,$V$5:$V$1000,"Macro")/COUNTIFS($S$5:$S$1000,$S205,$V$5:$V$1000,"Macro",$H$5:$H$1000,"&gt;0"))/(COUNTIFS($S$5:$S$1000,$S205,$V$5:$V$1000,"Macro")*SUMIFS($H$5:$H$1000,$S$5:$S$1000,$S205,$V$5:$V$1000,"Macro")/COUNTIFS($S$5:$S$1000,$S205,$V$5:$V$1000,"Macro",$H$5:$H$1000,"&gt;0"))))</f>
        <v/>
      </c>
      <c r="AH205" s="62" t="n"/>
      <c r="AI205" s="62" t="n"/>
      <c r="AJ205" s="62" t="n"/>
      <c r="AK205" s="62" t="n"/>
      <c r="AL205" s="62">
        <f>IF(LEFT($C205,11)="[Jefatura] ",IFERROR(MATCH("Riesgo Financiero|"&amp;MID($C205,12,500),rDname_ADM,0),0),"")</f>
        <v/>
      </c>
      <c r="AM205" s="62">
        <f>IF(N($AL205)&gt;0,INDEX(rIni_ADM,$AL205),IF(ISNUMBER($E205),$E205,""))</f>
        <v/>
      </c>
      <c r="AN205" s="62">
        <f>IF(N($AL205)&gt;0,INDEX(rLim_ADM,$AL205),IF(ISNUMBER($F205),$F205,""))</f>
        <v/>
      </c>
    </row>
    <row r="206">
      <c r="A206" s="56">
        <f>IF(NOT((COUNTA($B206:$D206)+COUNTA($G206:$L206)+COUNTA($Q206))&gt;0),"",IF($V206="Macro",COUNTIFS($V$5:$V206,"Macro",$S$5:$S206,$S206),IF(N($U206)=0,"?",COUNTIFS(INDEX($V$5:$V$1000,1):INDEX($V$5:$V$1000,$U206-4),"Macro",INDEX($S$5:$S$1000,1):INDEX($S$5:$S$1000,$U206-4),INDEX($S$5:$S$1000,$U206-4))&amp;"."&amp;COUNTIFS($U$5:$U206,$U206,$V$5:$V206,"Sub"))))</f>
        <v/>
      </c>
      <c r="B206" s="57" t="n"/>
      <c r="C206" s="58" t="n"/>
      <c r="D206" s="58" t="n"/>
      <c r="E206" s="59">
        <f>IF(N($AL206)&gt;0,INDEX(rIni_ADM,$AL206),"")</f>
        <v/>
      </c>
      <c r="F206" s="59">
        <f>IF(N($AL206)&gt;0,INDEX(rLim_ADM,$AL206),"")</f>
        <v/>
      </c>
      <c r="G206" s="59" t="n"/>
      <c r="H206" s="60" t="n"/>
      <c r="I206" s="60" t="n"/>
      <c r="J206" s="60" t="n"/>
      <c r="K206" s="60" t="n"/>
      <c r="L206" s="60" t="n"/>
      <c r="M206" s="61">
        <f>IF(NOT((COUNTA($B206:$D206)+COUNTA($G206:$L206)+COUNTA($Q206))&gt;0),"",IF(ISNUMBER($G206),1,IF(N($W206)&gt;0,AVERAGEIFS($X$5:$X$1000,$U$5:$U$1000,ROW(),$V$5:$V$1000,"Sub"),$X206)))</f>
        <v/>
      </c>
      <c r="N206" s="56">
        <f>IF($M206="","",IF($M206&gt;=1,"Completado",IF($M206&gt;0,"En curso","Pendiente")))</f>
        <v/>
      </c>
      <c r="O206" s="56">
        <f>IF(NOT((COUNTA($B206:$D206)+COUNTA($G206:$L206)+COUNTA($Q206))&gt;0),"",IF(ISNUMBER($G206),IF(AND(ISNUMBER($AN206),$G206&gt;$AN206),"Cumplida con "&amp;($G206-$AN206)&amp;IF($G206-$AN206=1," día"," días")&amp;" de retraso","Cumplida"),IF(N($M206)&gt;=1,"Cumplida",IF(NOT(ISNUMBER($AN206)),"Sin fecha límite",IF($AN206&lt;FechaRef,"Vencida hace "&amp;(FechaRef-$AN206)&amp;IF(FechaRef-$AN206=1," día"," días"),IF($AN206=FechaRef,"Vence hoy",IF($AN206-FechaRef&lt;=DiasAlerta,"Vence en "&amp;($AN206-FechaRef)&amp;IF($AN206-FechaRef=1," día"," días"),"En plazo")))))))</f>
        <v/>
      </c>
      <c r="P206" s="62" t="n"/>
      <c r="Q206" s="58" t="n"/>
      <c r="R206" s="63">
        <f>IF(NOT((COUNTA($B206:$D206)+COUNTA($G206:$L206)+COUNTA($Q206))&gt;0),"",IF((IF($C206="","Falta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",""))="","✔ OK","⚠ "&amp;LEFT(IF($C206="","Falta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",""),LEN(IF($C206="","Falta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",""))-3)))</f>
        <v/>
      </c>
      <c r="S206" s="64">
        <f>IF(NOT((COUNTA($B206:$D206)+COUNTA($G206:$L206)+COUNTA($Q206))&gt;0),"",IF(AND($V206="Sub",N($U206)&gt;0),IF(ISNUMBER(INDEX($AM$5:$AM$1000,$U206-4)),DATE(YEAR(INDEX($AM$5:$AM$1000,$U206-4)),MONTH(INDEX($AM$5:$AM$1000,$U206-4)),1),IF(ISNUMBER(INDEX($AN$5:$AN$1000,$U206-4)),DATE(YEAR(INDEX($AN$5:$AN$1000,$U206-4)),MONTH(INDEX($AN$5:$AN$1000,$U206-4)),1),MesCiclo)),IF(ISNUMBER($AM206),DATE(YEAR($AM206),MONTH($AM206),1),IF(ISNUMBER($AN206),DATE(YEAR($AN206),MONTH($AN206),1),MesCiclo))))</f>
        <v/>
      </c>
      <c r="T206" s="62">
        <f>IF(OR($S206="",$S206&lt;&gt;MesCiclo),"",COUNTIF($S$5:$S206,MesCiclo))</f>
        <v/>
      </c>
      <c r="U206" s="62">
        <f>IF($V206="","",IF($V206="Macro",ROW(),IFERROR(LOOKUP(2,1/($V$5:$V206="Macro"),ROW($V$5:$V206)),0)))</f>
        <v/>
      </c>
      <c r="V206" s="62">
        <f>IF(NOT((COUNTA($B206:$D206)+COUNTA($G206:$L206)+COUNTA($Q206))&gt;0),"",IF($B206="Subactividad","Sub","Macro"))</f>
        <v/>
      </c>
      <c r="W206" s="62">
        <f>IF($V206="Macro",COUNTIFS($U$5:$U$1000,ROW(),$V$5:$V$1000,"Sub"),"")</f>
        <v/>
      </c>
      <c r="X206" s="62">
        <f>IF($V206="","",IF(ISNUMBER($G206),1,IFERROR(LOOKUP(2,1/($I206:$L206&lt;&gt;""),$I206:$L206),0)))</f>
        <v/>
      </c>
      <c r="Y206" s="62">
        <f>IF($V206="","",IF(AND(ISNUMBER($G206),$G206&lt;=IF($S206=MesCiclo,InicioCiclo,$S206+MOD(2-WEEKDAY($S206),7))+6),1,IF(ISNUMBER($I206),$I206,0)))</f>
        <v/>
      </c>
      <c r="Z206" s="62">
        <f>IF($V206="","",IF(AND(ISNUMBER($G206),$G206&lt;=IF($S206=MesCiclo,InicioCiclo,$S206+MOD(2-WEEKDAY($S206),7))+13),1,IF(ISNUMBER($J206),$J206,$Y206)))</f>
        <v/>
      </c>
      <c r="AA206" s="62">
        <f>IF($V206="","",IF(AND(ISNUMBER($G206),$G206&lt;=IF($S206=MesCiclo,InicioCiclo,$S206+MOD(2-WEEKDAY($S206),7))+20),1,IF(ISNUMBER($K206),$K206,$Z206)))</f>
        <v/>
      </c>
      <c r="AB206" s="62">
        <f>IF($V206="","",IF(AND(ISNUMBER($G206),$G206&lt;=IF($S206=MesCiclo,InicioCiclo,$S206+MOD(2-WEEKDAY($S206),7))+27),1,IF(ISNUMBER($L206),$L206,$AA206)))</f>
        <v/>
      </c>
      <c r="AC206" s="62">
        <f>IF($V206="","",IF(AND(ISNUMBER($G206),$G206&lt;=IF($S206=MesCiclo,InicioCiclo,$S206+MOD(2-WEEKDAY($S206),7))+6),1,IF(N($W206)&gt;0,AVERAGEIFS($Y$5:$Y$1000,$U$5:$U$1000,ROW(),$V$5:$V$1000,"Sub"),$Y206)))</f>
        <v/>
      </c>
      <c r="AD206" s="62">
        <f>IF($V206="","",IF(AND(ISNUMBER($G206),$G206&lt;=IF($S206=MesCiclo,InicioCiclo,$S206+MOD(2-WEEKDAY($S206),7))+13),1,IF(N($W206)&gt;0,AVERAGEIFS($Z$5:$Z$1000,$U$5:$U$1000,ROW(),$V$5:$V$1000,"Sub"),$Z206)))</f>
        <v/>
      </c>
      <c r="AE206" s="62">
        <f>IF($V206="","",IF(AND(ISNUMBER($G206),$G206&lt;=IF($S206=MesCiclo,InicioCiclo,$S206+MOD(2-WEEKDAY($S206),7))+20),1,IF(N($W206)&gt;0,AVERAGEIFS($AA$5:$AA$1000,$U$5:$U$1000,ROW(),$V$5:$V$1000,"Sub"),$AA206)))</f>
        <v/>
      </c>
      <c r="AF206" s="62">
        <f>IF($V206="","",IF(AND(ISNUMBER($G206),$G206&lt;=IF($S206=MesCiclo,InicioCiclo,$S206+MOD(2-WEEKDAY($S206),7))+27),1,IF(N($W206)&gt;0,AVERAGEIFS($AB$5:$AB$1000,$U$5:$U$1000,ROW(),$V$5:$V$1000,"Sub"),$AB206)))</f>
        <v/>
      </c>
      <c r="AG206" s="62">
        <f>IF($V206&lt;&gt;"Macro","",IF(COUNTIFS($S$5:$S$1000,$S206,$V$5:$V$1000,"Macro",$H$5:$H$1000,"&gt;0")=0,1/COUNTIFS($S$5:$S$1000,$S206,$V$5:$V$1000,"Macro"),IF(AND(ISNUMBER($H206),N($H206)&gt;0),$H206,SUMIFS($H$5:$H$1000,$S$5:$S$1000,$S206,$V$5:$V$1000,"Macro")/COUNTIFS($S$5:$S$1000,$S206,$V$5:$V$1000,"Macro",$H$5:$H$1000,"&gt;0"))/(COUNTIFS($S$5:$S$1000,$S206,$V$5:$V$1000,"Macro")*SUMIFS($H$5:$H$1000,$S$5:$S$1000,$S206,$V$5:$V$1000,"Macro")/COUNTIFS($S$5:$S$1000,$S206,$V$5:$V$1000,"Macro",$H$5:$H$1000,"&gt;0"))))</f>
        <v/>
      </c>
      <c r="AH206" s="62" t="n"/>
      <c r="AI206" s="62" t="n"/>
      <c r="AJ206" s="62" t="n"/>
      <c r="AK206" s="62" t="n"/>
      <c r="AL206" s="62">
        <f>IF(LEFT($C206,11)="[Jefatura] ",IFERROR(MATCH("Riesgo Financiero|"&amp;MID($C206,12,500),rDname_ADM,0),0),"")</f>
        <v/>
      </c>
      <c r="AM206" s="62">
        <f>IF(N($AL206)&gt;0,INDEX(rIni_ADM,$AL206),IF(ISNUMBER($E206),$E206,""))</f>
        <v/>
      </c>
      <c r="AN206" s="62">
        <f>IF(N($AL206)&gt;0,INDEX(rLim_ADM,$AL206),IF(ISNUMBER($F206),$F206,""))</f>
        <v/>
      </c>
    </row>
    <row r="207">
      <c r="A207" s="56">
        <f>IF(NOT((COUNTA($B207:$D207)+COUNTA($G207:$L207)+COUNTA($Q207))&gt;0),"",IF($V207="Macro",COUNTIFS($V$5:$V207,"Macro",$S$5:$S207,$S207),IF(N($U207)=0,"?",COUNTIFS(INDEX($V$5:$V$1000,1):INDEX($V$5:$V$1000,$U207-4),"Macro",INDEX($S$5:$S$1000,1):INDEX($S$5:$S$1000,$U207-4),INDEX($S$5:$S$1000,$U207-4))&amp;"."&amp;COUNTIFS($U$5:$U207,$U207,$V$5:$V207,"Sub"))))</f>
        <v/>
      </c>
      <c r="B207" s="57" t="n"/>
      <c r="C207" s="58" t="n"/>
      <c r="D207" s="58" t="n"/>
      <c r="E207" s="59">
        <f>IF(N($AL207)&gt;0,INDEX(rIni_ADM,$AL207),"")</f>
        <v/>
      </c>
      <c r="F207" s="59">
        <f>IF(N($AL207)&gt;0,INDEX(rLim_ADM,$AL207),"")</f>
        <v/>
      </c>
      <c r="G207" s="59" t="n"/>
      <c r="H207" s="60" t="n"/>
      <c r="I207" s="60" t="n"/>
      <c r="J207" s="60" t="n"/>
      <c r="K207" s="60" t="n"/>
      <c r="L207" s="60" t="n"/>
      <c r="M207" s="61">
        <f>IF(NOT((COUNTA($B207:$D207)+COUNTA($G207:$L207)+COUNTA($Q207))&gt;0),"",IF(ISNUMBER($G207),1,IF(N($W207)&gt;0,AVERAGEIFS($X$5:$X$1000,$U$5:$U$1000,ROW(),$V$5:$V$1000,"Sub"),$X207)))</f>
        <v/>
      </c>
      <c r="N207" s="56">
        <f>IF($M207="","",IF($M207&gt;=1,"Completado",IF($M207&gt;0,"En curso","Pendiente")))</f>
        <v/>
      </c>
      <c r="O207" s="56">
        <f>IF(NOT((COUNTA($B207:$D207)+COUNTA($G207:$L207)+COUNTA($Q207))&gt;0),"",IF(ISNUMBER($G207),IF(AND(ISNUMBER($AN207),$G207&gt;$AN207),"Cumplida con "&amp;($G207-$AN207)&amp;IF($G207-$AN207=1," día"," días")&amp;" de retraso","Cumplida"),IF(N($M207)&gt;=1,"Cumplida",IF(NOT(ISNUMBER($AN207)),"Sin fecha límite",IF($AN207&lt;FechaRef,"Vencida hace "&amp;(FechaRef-$AN207)&amp;IF(FechaRef-$AN207=1," día"," días"),IF($AN207=FechaRef,"Vence hoy",IF($AN207-FechaRef&lt;=DiasAlerta,"Vence en "&amp;($AN207-FechaRef)&amp;IF($AN207-FechaRef=1," día"," días"),"En plazo")))))))</f>
        <v/>
      </c>
      <c r="P207" s="62" t="n"/>
      <c r="Q207" s="58" t="n"/>
      <c r="R207" s="63">
        <f>IF(NOT((COUNTA($B207:$D207)+COUNTA($G207:$L207)+COUNTA($Q207))&gt;0),"",IF((IF($C207="","Falta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",""))="","✔ OK","⚠ "&amp;LEFT(IF($C207="","Falta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",""),LEN(IF($C207="","Falta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",""))-3)))</f>
        <v/>
      </c>
      <c r="S207" s="64">
        <f>IF(NOT((COUNTA($B207:$D207)+COUNTA($G207:$L207)+COUNTA($Q207))&gt;0),"",IF(AND($V207="Sub",N($U207)&gt;0),IF(ISNUMBER(INDEX($AM$5:$AM$1000,$U207-4)),DATE(YEAR(INDEX($AM$5:$AM$1000,$U207-4)),MONTH(INDEX($AM$5:$AM$1000,$U207-4)),1),IF(ISNUMBER(INDEX($AN$5:$AN$1000,$U207-4)),DATE(YEAR(INDEX($AN$5:$AN$1000,$U207-4)),MONTH(INDEX($AN$5:$AN$1000,$U207-4)),1),MesCiclo)),IF(ISNUMBER($AM207),DATE(YEAR($AM207),MONTH($AM207),1),IF(ISNUMBER($AN207),DATE(YEAR($AN207),MONTH($AN207),1),MesCiclo))))</f>
        <v/>
      </c>
      <c r="T207" s="62">
        <f>IF(OR($S207="",$S207&lt;&gt;MesCiclo),"",COUNTIF($S$5:$S207,MesCiclo))</f>
        <v/>
      </c>
      <c r="U207" s="62">
        <f>IF($V207="","",IF($V207="Macro",ROW(),IFERROR(LOOKUP(2,1/($V$5:$V207="Macro"),ROW($V$5:$V207)),0)))</f>
        <v/>
      </c>
      <c r="V207" s="62">
        <f>IF(NOT((COUNTA($B207:$D207)+COUNTA($G207:$L207)+COUNTA($Q207))&gt;0),"",IF($B207="Subactividad","Sub","Macro"))</f>
        <v/>
      </c>
      <c r="W207" s="62">
        <f>IF($V207="Macro",COUNTIFS($U$5:$U$1000,ROW(),$V$5:$V$1000,"Sub"),"")</f>
        <v/>
      </c>
      <c r="X207" s="62">
        <f>IF($V207="","",IF(ISNUMBER($G207),1,IFERROR(LOOKUP(2,1/($I207:$L207&lt;&gt;""),$I207:$L207),0)))</f>
        <v/>
      </c>
      <c r="Y207" s="62">
        <f>IF($V207="","",IF(AND(ISNUMBER($G207),$G207&lt;=IF($S207=MesCiclo,InicioCiclo,$S207+MOD(2-WEEKDAY($S207),7))+6),1,IF(ISNUMBER($I207),$I207,0)))</f>
        <v/>
      </c>
      <c r="Z207" s="62">
        <f>IF($V207="","",IF(AND(ISNUMBER($G207),$G207&lt;=IF($S207=MesCiclo,InicioCiclo,$S207+MOD(2-WEEKDAY($S207),7))+13),1,IF(ISNUMBER($J207),$J207,$Y207)))</f>
        <v/>
      </c>
      <c r="AA207" s="62">
        <f>IF($V207="","",IF(AND(ISNUMBER($G207),$G207&lt;=IF($S207=MesCiclo,InicioCiclo,$S207+MOD(2-WEEKDAY($S207),7))+20),1,IF(ISNUMBER($K207),$K207,$Z207)))</f>
        <v/>
      </c>
      <c r="AB207" s="62">
        <f>IF($V207="","",IF(AND(ISNUMBER($G207),$G207&lt;=IF($S207=MesCiclo,InicioCiclo,$S207+MOD(2-WEEKDAY($S207),7))+27),1,IF(ISNUMBER($L207),$L207,$AA207)))</f>
        <v/>
      </c>
      <c r="AC207" s="62">
        <f>IF($V207="","",IF(AND(ISNUMBER($G207),$G207&lt;=IF($S207=MesCiclo,InicioCiclo,$S207+MOD(2-WEEKDAY($S207),7))+6),1,IF(N($W207)&gt;0,AVERAGEIFS($Y$5:$Y$1000,$U$5:$U$1000,ROW(),$V$5:$V$1000,"Sub"),$Y207)))</f>
        <v/>
      </c>
      <c r="AD207" s="62">
        <f>IF($V207="","",IF(AND(ISNUMBER($G207),$G207&lt;=IF($S207=MesCiclo,InicioCiclo,$S207+MOD(2-WEEKDAY($S207),7))+13),1,IF(N($W207)&gt;0,AVERAGEIFS($Z$5:$Z$1000,$U$5:$U$1000,ROW(),$V$5:$V$1000,"Sub"),$Z207)))</f>
        <v/>
      </c>
      <c r="AE207" s="62">
        <f>IF($V207="","",IF(AND(ISNUMBER($G207),$G207&lt;=IF($S207=MesCiclo,InicioCiclo,$S207+MOD(2-WEEKDAY($S207),7))+20),1,IF(N($W207)&gt;0,AVERAGEIFS($AA$5:$AA$1000,$U$5:$U$1000,ROW(),$V$5:$V$1000,"Sub"),$AA207)))</f>
        <v/>
      </c>
      <c r="AF207" s="62">
        <f>IF($V207="","",IF(AND(ISNUMBER($G207),$G207&lt;=IF($S207=MesCiclo,InicioCiclo,$S207+MOD(2-WEEKDAY($S207),7))+27),1,IF(N($W207)&gt;0,AVERAGEIFS($AB$5:$AB$1000,$U$5:$U$1000,ROW(),$V$5:$V$1000,"Sub"),$AB207)))</f>
        <v/>
      </c>
      <c r="AG207" s="62">
        <f>IF($V207&lt;&gt;"Macro","",IF(COUNTIFS($S$5:$S$1000,$S207,$V$5:$V$1000,"Macro",$H$5:$H$1000,"&gt;0")=0,1/COUNTIFS($S$5:$S$1000,$S207,$V$5:$V$1000,"Macro"),IF(AND(ISNUMBER($H207),N($H207)&gt;0),$H207,SUMIFS($H$5:$H$1000,$S$5:$S$1000,$S207,$V$5:$V$1000,"Macro")/COUNTIFS($S$5:$S$1000,$S207,$V$5:$V$1000,"Macro",$H$5:$H$1000,"&gt;0"))/(COUNTIFS($S$5:$S$1000,$S207,$V$5:$V$1000,"Macro")*SUMIFS($H$5:$H$1000,$S$5:$S$1000,$S207,$V$5:$V$1000,"Macro")/COUNTIFS($S$5:$S$1000,$S207,$V$5:$V$1000,"Macro",$H$5:$H$1000,"&gt;0"))))</f>
        <v/>
      </c>
      <c r="AH207" s="62" t="n"/>
      <c r="AI207" s="62" t="n"/>
      <c r="AJ207" s="62" t="n"/>
      <c r="AK207" s="62" t="n"/>
      <c r="AL207" s="62">
        <f>IF(LEFT($C207,11)="[Jefatura] ",IFERROR(MATCH("Riesgo Financiero|"&amp;MID($C207,12,500),rDname_ADM,0),0),"")</f>
        <v/>
      </c>
      <c r="AM207" s="62">
        <f>IF(N($AL207)&gt;0,INDEX(rIni_ADM,$AL207),IF(ISNUMBER($E207),$E207,""))</f>
        <v/>
      </c>
      <c r="AN207" s="62">
        <f>IF(N($AL207)&gt;0,INDEX(rLim_ADM,$AL207),IF(ISNUMBER($F207),$F207,""))</f>
        <v/>
      </c>
    </row>
    <row r="208">
      <c r="A208" s="56">
        <f>IF(NOT((COUNTA($B208:$D208)+COUNTA($G208:$L208)+COUNTA($Q208))&gt;0),"",IF($V208="Macro",COUNTIFS($V$5:$V208,"Macro",$S$5:$S208,$S208),IF(N($U208)=0,"?",COUNTIFS(INDEX($V$5:$V$1000,1):INDEX($V$5:$V$1000,$U208-4),"Macro",INDEX($S$5:$S$1000,1):INDEX($S$5:$S$1000,$U208-4),INDEX($S$5:$S$1000,$U208-4))&amp;"."&amp;COUNTIFS($U$5:$U208,$U208,$V$5:$V208,"Sub"))))</f>
        <v/>
      </c>
      <c r="B208" s="57" t="n"/>
      <c r="C208" s="58" t="n"/>
      <c r="D208" s="58" t="n"/>
      <c r="E208" s="59">
        <f>IF(N($AL208)&gt;0,INDEX(rIni_ADM,$AL208),"")</f>
        <v/>
      </c>
      <c r="F208" s="59">
        <f>IF(N($AL208)&gt;0,INDEX(rLim_ADM,$AL208),"")</f>
        <v/>
      </c>
      <c r="G208" s="59" t="n"/>
      <c r="H208" s="60" t="n"/>
      <c r="I208" s="60" t="n"/>
      <c r="J208" s="60" t="n"/>
      <c r="K208" s="60" t="n"/>
      <c r="L208" s="60" t="n"/>
      <c r="M208" s="61">
        <f>IF(NOT((COUNTA($B208:$D208)+COUNTA($G208:$L208)+COUNTA($Q208))&gt;0),"",IF(ISNUMBER($G208),1,IF(N($W208)&gt;0,AVERAGEIFS($X$5:$X$1000,$U$5:$U$1000,ROW(),$V$5:$V$1000,"Sub"),$X208)))</f>
        <v/>
      </c>
      <c r="N208" s="56">
        <f>IF($M208="","",IF($M208&gt;=1,"Completado",IF($M208&gt;0,"En curso","Pendiente")))</f>
        <v/>
      </c>
      <c r="O208" s="56">
        <f>IF(NOT((COUNTA($B208:$D208)+COUNTA($G208:$L208)+COUNTA($Q208))&gt;0),"",IF(ISNUMBER($G208),IF(AND(ISNUMBER($AN208),$G208&gt;$AN208),"Cumplida con "&amp;($G208-$AN208)&amp;IF($G208-$AN208=1," día"," días")&amp;" de retraso","Cumplida"),IF(N($M208)&gt;=1,"Cumplida",IF(NOT(ISNUMBER($AN208)),"Sin fecha límite",IF($AN208&lt;FechaRef,"Vencida hace "&amp;(FechaRef-$AN208)&amp;IF(FechaRef-$AN208=1," día"," días"),IF($AN208=FechaRef,"Vence hoy",IF($AN208-FechaRef&lt;=DiasAlerta,"Vence en "&amp;($AN208-FechaRef)&amp;IF($AN208-FechaRef=1," día"," días"),"En plazo")))))))</f>
        <v/>
      </c>
      <c r="P208" s="62" t="n"/>
      <c r="Q208" s="58" t="n"/>
      <c r="R208" s="63">
        <f>IF(NOT((COUNTA($B208:$D208)+COUNTA($G208:$L208)+COUNTA($Q208))&gt;0),"",IF((IF($C208="","Falta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",""))="","✔ OK","⚠ "&amp;LEFT(IF($C208="","Falta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",""),LEN(IF($C208="","Falta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",""))-3)))</f>
        <v/>
      </c>
      <c r="S208" s="64">
        <f>IF(NOT((COUNTA($B208:$D208)+COUNTA($G208:$L208)+COUNTA($Q208))&gt;0),"",IF(AND($V208="Sub",N($U208)&gt;0),IF(ISNUMBER(INDEX($AM$5:$AM$1000,$U208-4)),DATE(YEAR(INDEX($AM$5:$AM$1000,$U208-4)),MONTH(INDEX($AM$5:$AM$1000,$U208-4)),1),IF(ISNUMBER(INDEX($AN$5:$AN$1000,$U208-4)),DATE(YEAR(INDEX($AN$5:$AN$1000,$U208-4)),MONTH(INDEX($AN$5:$AN$1000,$U208-4)),1),MesCiclo)),IF(ISNUMBER($AM208),DATE(YEAR($AM208),MONTH($AM208),1),IF(ISNUMBER($AN208),DATE(YEAR($AN208),MONTH($AN208),1),MesCiclo))))</f>
        <v/>
      </c>
      <c r="T208" s="62">
        <f>IF(OR($S208="",$S208&lt;&gt;MesCiclo),"",COUNTIF($S$5:$S208,MesCiclo))</f>
        <v/>
      </c>
      <c r="U208" s="62">
        <f>IF($V208="","",IF($V208="Macro",ROW(),IFERROR(LOOKUP(2,1/($V$5:$V208="Macro"),ROW($V$5:$V208)),0)))</f>
        <v/>
      </c>
      <c r="V208" s="62">
        <f>IF(NOT((COUNTA($B208:$D208)+COUNTA($G208:$L208)+COUNTA($Q208))&gt;0),"",IF($B208="Subactividad","Sub","Macro"))</f>
        <v/>
      </c>
      <c r="W208" s="62">
        <f>IF($V208="Macro",COUNTIFS($U$5:$U$1000,ROW(),$V$5:$V$1000,"Sub"),"")</f>
        <v/>
      </c>
      <c r="X208" s="62">
        <f>IF($V208="","",IF(ISNUMBER($G208),1,IFERROR(LOOKUP(2,1/($I208:$L208&lt;&gt;""),$I208:$L208),0)))</f>
        <v/>
      </c>
      <c r="Y208" s="62">
        <f>IF($V208="","",IF(AND(ISNUMBER($G208),$G208&lt;=IF($S208=MesCiclo,InicioCiclo,$S208+MOD(2-WEEKDAY($S208),7))+6),1,IF(ISNUMBER($I208),$I208,0)))</f>
        <v/>
      </c>
      <c r="Z208" s="62">
        <f>IF($V208="","",IF(AND(ISNUMBER($G208),$G208&lt;=IF($S208=MesCiclo,InicioCiclo,$S208+MOD(2-WEEKDAY($S208),7))+13),1,IF(ISNUMBER($J208),$J208,$Y208)))</f>
        <v/>
      </c>
      <c r="AA208" s="62">
        <f>IF($V208="","",IF(AND(ISNUMBER($G208),$G208&lt;=IF($S208=MesCiclo,InicioCiclo,$S208+MOD(2-WEEKDAY($S208),7))+20),1,IF(ISNUMBER($K208),$K208,$Z208)))</f>
        <v/>
      </c>
      <c r="AB208" s="62">
        <f>IF($V208="","",IF(AND(ISNUMBER($G208),$G208&lt;=IF($S208=MesCiclo,InicioCiclo,$S208+MOD(2-WEEKDAY($S208),7))+27),1,IF(ISNUMBER($L208),$L208,$AA208)))</f>
        <v/>
      </c>
      <c r="AC208" s="62">
        <f>IF($V208="","",IF(AND(ISNUMBER($G208),$G208&lt;=IF($S208=MesCiclo,InicioCiclo,$S208+MOD(2-WEEKDAY($S208),7))+6),1,IF(N($W208)&gt;0,AVERAGEIFS($Y$5:$Y$1000,$U$5:$U$1000,ROW(),$V$5:$V$1000,"Sub"),$Y208)))</f>
        <v/>
      </c>
      <c r="AD208" s="62">
        <f>IF($V208="","",IF(AND(ISNUMBER($G208),$G208&lt;=IF($S208=MesCiclo,InicioCiclo,$S208+MOD(2-WEEKDAY($S208),7))+13),1,IF(N($W208)&gt;0,AVERAGEIFS($Z$5:$Z$1000,$U$5:$U$1000,ROW(),$V$5:$V$1000,"Sub"),$Z208)))</f>
        <v/>
      </c>
      <c r="AE208" s="62">
        <f>IF($V208="","",IF(AND(ISNUMBER($G208),$G208&lt;=IF($S208=MesCiclo,InicioCiclo,$S208+MOD(2-WEEKDAY($S208),7))+20),1,IF(N($W208)&gt;0,AVERAGEIFS($AA$5:$AA$1000,$U$5:$U$1000,ROW(),$V$5:$V$1000,"Sub"),$AA208)))</f>
        <v/>
      </c>
      <c r="AF208" s="62">
        <f>IF($V208="","",IF(AND(ISNUMBER($G208),$G208&lt;=IF($S208=MesCiclo,InicioCiclo,$S208+MOD(2-WEEKDAY($S208),7))+27),1,IF(N($W208)&gt;0,AVERAGEIFS($AB$5:$AB$1000,$U$5:$U$1000,ROW(),$V$5:$V$1000,"Sub"),$AB208)))</f>
        <v/>
      </c>
      <c r="AG208" s="62">
        <f>IF($V208&lt;&gt;"Macro","",IF(COUNTIFS($S$5:$S$1000,$S208,$V$5:$V$1000,"Macro",$H$5:$H$1000,"&gt;0")=0,1/COUNTIFS($S$5:$S$1000,$S208,$V$5:$V$1000,"Macro"),IF(AND(ISNUMBER($H208),N($H208)&gt;0),$H208,SUMIFS($H$5:$H$1000,$S$5:$S$1000,$S208,$V$5:$V$1000,"Macro")/COUNTIFS($S$5:$S$1000,$S208,$V$5:$V$1000,"Macro",$H$5:$H$1000,"&gt;0"))/(COUNTIFS($S$5:$S$1000,$S208,$V$5:$V$1000,"Macro")*SUMIFS($H$5:$H$1000,$S$5:$S$1000,$S208,$V$5:$V$1000,"Macro")/COUNTIFS($S$5:$S$1000,$S208,$V$5:$V$1000,"Macro",$H$5:$H$1000,"&gt;0"))))</f>
        <v/>
      </c>
      <c r="AH208" s="62" t="n"/>
      <c r="AI208" s="62" t="n"/>
      <c r="AJ208" s="62" t="n"/>
      <c r="AK208" s="62" t="n"/>
      <c r="AL208" s="62">
        <f>IF(LEFT($C208,11)="[Jefatura] ",IFERROR(MATCH("Riesgo Financiero|"&amp;MID($C208,12,500),rDname_ADM,0),0),"")</f>
        <v/>
      </c>
      <c r="AM208" s="62">
        <f>IF(N($AL208)&gt;0,INDEX(rIni_ADM,$AL208),IF(ISNUMBER($E208),$E208,""))</f>
        <v/>
      </c>
      <c r="AN208" s="62">
        <f>IF(N($AL208)&gt;0,INDEX(rLim_ADM,$AL208),IF(ISNUMBER($F208),$F208,""))</f>
        <v/>
      </c>
    </row>
    <row r="209">
      <c r="A209" s="56">
        <f>IF(NOT((COUNTA($B209:$D209)+COUNTA($G209:$L209)+COUNTA($Q209))&gt;0),"",IF($V209="Macro",COUNTIFS($V$5:$V209,"Macro",$S$5:$S209,$S209),IF(N($U209)=0,"?",COUNTIFS(INDEX($V$5:$V$1000,1):INDEX($V$5:$V$1000,$U209-4),"Macro",INDEX($S$5:$S$1000,1):INDEX($S$5:$S$1000,$U209-4),INDEX($S$5:$S$1000,$U209-4))&amp;"."&amp;COUNTIFS($U$5:$U209,$U209,$V$5:$V209,"Sub"))))</f>
        <v/>
      </c>
      <c r="B209" s="57" t="n"/>
      <c r="C209" s="58" t="n"/>
      <c r="D209" s="58" t="n"/>
      <c r="E209" s="59">
        <f>IF(N($AL209)&gt;0,INDEX(rIni_ADM,$AL209),"")</f>
        <v/>
      </c>
      <c r="F209" s="59">
        <f>IF(N($AL209)&gt;0,INDEX(rLim_ADM,$AL209),"")</f>
        <v/>
      </c>
      <c r="G209" s="59" t="n"/>
      <c r="H209" s="60" t="n"/>
      <c r="I209" s="60" t="n"/>
      <c r="J209" s="60" t="n"/>
      <c r="K209" s="60" t="n"/>
      <c r="L209" s="60" t="n"/>
      <c r="M209" s="61">
        <f>IF(NOT((COUNTA($B209:$D209)+COUNTA($G209:$L209)+COUNTA($Q209))&gt;0),"",IF(ISNUMBER($G209),1,IF(N($W209)&gt;0,AVERAGEIFS($X$5:$X$1000,$U$5:$U$1000,ROW(),$V$5:$V$1000,"Sub"),$X209)))</f>
        <v/>
      </c>
      <c r="N209" s="56">
        <f>IF($M209="","",IF($M209&gt;=1,"Completado",IF($M209&gt;0,"En curso","Pendiente")))</f>
        <v/>
      </c>
      <c r="O209" s="56">
        <f>IF(NOT((COUNTA($B209:$D209)+COUNTA($G209:$L209)+COUNTA($Q209))&gt;0),"",IF(ISNUMBER($G209),IF(AND(ISNUMBER($AN209),$G209&gt;$AN209),"Cumplida con "&amp;($G209-$AN209)&amp;IF($G209-$AN209=1," día"," días")&amp;" de retraso","Cumplida"),IF(N($M209)&gt;=1,"Cumplida",IF(NOT(ISNUMBER($AN209)),"Sin fecha límite",IF($AN209&lt;FechaRef,"Vencida hace "&amp;(FechaRef-$AN209)&amp;IF(FechaRef-$AN209=1," día"," días"),IF($AN209=FechaRef,"Vence hoy",IF($AN209-FechaRef&lt;=DiasAlerta,"Vence en "&amp;($AN209-FechaRef)&amp;IF($AN209-FechaRef=1," día"," días"),"En plazo")))))))</f>
        <v/>
      </c>
      <c r="P209" s="62" t="n"/>
      <c r="Q209" s="58" t="n"/>
      <c r="R209" s="63">
        <f>IF(NOT((COUNTA($B209:$D209)+COUNTA($G209:$L209)+COUNTA($Q209))&gt;0),"",IF((IF($C209="","Falta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",""))="","✔ OK","⚠ "&amp;LEFT(IF($C209="","Falta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",""),LEN(IF($C209="","Falta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",""))-3)))</f>
        <v/>
      </c>
      <c r="S209" s="64">
        <f>IF(NOT((COUNTA($B209:$D209)+COUNTA($G209:$L209)+COUNTA($Q209))&gt;0),"",IF(AND($V209="Sub",N($U209)&gt;0),IF(ISNUMBER(INDEX($AM$5:$AM$1000,$U209-4)),DATE(YEAR(INDEX($AM$5:$AM$1000,$U209-4)),MONTH(INDEX($AM$5:$AM$1000,$U209-4)),1),IF(ISNUMBER(INDEX($AN$5:$AN$1000,$U209-4)),DATE(YEAR(INDEX($AN$5:$AN$1000,$U209-4)),MONTH(INDEX($AN$5:$AN$1000,$U209-4)),1),MesCiclo)),IF(ISNUMBER($AM209),DATE(YEAR($AM209),MONTH($AM209),1),IF(ISNUMBER($AN209),DATE(YEAR($AN209),MONTH($AN209),1),MesCiclo))))</f>
        <v/>
      </c>
      <c r="T209" s="62">
        <f>IF(OR($S209="",$S209&lt;&gt;MesCiclo),"",COUNTIF($S$5:$S209,MesCiclo))</f>
        <v/>
      </c>
      <c r="U209" s="62">
        <f>IF($V209="","",IF($V209="Macro",ROW(),IFERROR(LOOKUP(2,1/($V$5:$V209="Macro"),ROW($V$5:$V209)),0)))</f>
        <v/>
      </c>
      <c r="V209" s="62">
        <f>IF(NOT((COUNTA($B209:$D209)+COUNTA($G209:$L209)+COUNTA($Q209))&gt;0),"",IF($B209="Subactividad","Sub","Macro"))</f>
        <v/>
      </c>
      <c r="W209" s="62">
        <f>IF($V209="Macro",COUNTIFS($U$5:$U$1000,ROW(),$V$5:$V$1000,"Sub"),"")</f>
        <v/>
      </c>
      <c r="X209" s="62">
        <f>IF($V209="","",IF(ISNUMBER($G209),1,IFERROR(LOOKUP(2,1/($I209:$L209&lt;&gt;""),$I209:$L209),0)))</f>
        <v/>
      </c>
      <c r="Y209" s="62">
        <f>IF($V209="","",IF(AND(ISNUMBER($G209),$G209&lt;=IF($S209=MesCiclo,InicioCiclo,$S209+MOD(2-WEEKDAY($S209),7))+6),1,IF(ISNUMBER($I209),$I209,0)))</f>
        <v/>
      </c>
      <c r="Z209" s="62">
        <f>IF($V209="","",IF(AND(ISNUMBER($G209),$G209&lt;=IF($S209=MesCiclo,InicioCiclo,$S209+MOD(2-WEEKDAY($S209),7))+13),1,IF(ISNUMBER($J209),$J209,$Y209)))</f>
        <v/>
      </c>
      <c r="AA209" s="62">
        <f>IF($V209="","",IF(AND(ISNUMBER($G209),$G209&lt;=IF($S209=MesCiclo,InicioCiclo,$S209+MOD(2-WEEKDAY($S209),7))+20),1,IF(ISNUMBER($K209),$K209,$Z209)))</f>
        <v/>
      </c>
      <c r="AB209" s="62">
        <f>IF($V209="","",IF(AND(ISNUMBER($G209),$G209&lt;=IF($S209=MesCiclo,InicioCiclo,$S209+MOD(2-WEEKDAY($S209),7))+27),1,IF(ISNUMBER($L209),$L209,$AA209)))</f>
        <v/>
      </c>
      <c r="AC209" s="62">
        <f>IF($V209="","",IF(AND(ISNUMBER($G209),$G209&lt;=IF($S209=MesCiclo,InicioCiclo,$S209+MOD(2-WEEKDAY($S209),7))+6),1,IF(N($W209)&gt;0,AVERAGEIFS($Y$5:$Y$1000,$U$5:$U$1000,ROW(),$V$5:$V$1000,"Sub"),$Y209)))</f>
        <v/>
      </c>
      <c r="AD209" s="62">
        <f>IF($V209="","",IF(AND(ISNUMBER($G209),$G209&lt;=IF($S209=MesCiclo,InicioCiclo,$S209+MOD(2-WEEKDAY($S209),7))+13),1,IF(N($W209)&gt;0,AVERAGEIFS($Z$5:$Z$1000,$U$5:$U$1000,ROW(),$V$5:$V$1000,"Sub"),$Z209)))</f>
        <v/>
      </c>
      <c r="AE209" s="62">
        <f>IF($V209="","",IF(AND(ISNUMBER($G209),$G209&lt;=IF($S209=MesCiclo,InicioCiclo,$S209+MOD(2-WEEKDAY($S209),7))+20),1,IF(N($W209)&gt;0,AVERAGEIFS($AA$5:$AA$1000,$U$5:$U$1000,ROW(),$V$5:$V$1000,"Sub"),$AA209)))</f>
        <v/>
      </c>
      <c r="AF209" s="62">
        <f>IF($V209="","",IF(AND(ISNUMBER($G209),$G209&lt;=IF($S209=MesCiclo,InicioCiclo,$S209+MOD(2-WEEKDAY($S209),7))+27),1,IF(N($W209)&gt;0,AVERAGEIFS($AB$5:$AB$1000,$U$5:$U$1000,ROW(),$V$5:$V$1000,"Sub"),$AB209)))</f>
        <v/>
      </c>
      <c r="AG209" s="62">
        <f>IF($V209&lt;&gt;"Macro","",IF(COUNTIFS($S$5:$S$1000,$S209,$V$5:$V$1000,"Macro",$H$5:$H$1000,"&gt;0")=0,1/COUNTIFS($S$5:$S$1000,$S209,$V$5:$V$1000,"Macro"),IF(AND(ISNUMBER($H209),N($H209)&gt;0),$H209,SUMIFS($H$5:$H$1000,$S$5:$S$1000,$S209,$V$5:$V$1000,"Macro")/COUNTIFS($S$5:$S$1000,$S209,$V$5:$V$1000,"Macro",$H$5:$H$1000,"&gt;0"))/(COUNTIFS($S$5:$S$1000,$S209,$V$5:$V$1000,"Macro")*SUMIFS($H$5:$H$1000,$S$5:$S$1000,$S209,$V$5:$V$1000,"Macro")/COUNTIFS($S$5:$S$1000,$S209,$V$5:$V$1000,"Macro",$H$5:$H$1000,"&gt;0"))))</f>
        <v/>
      </c>
      <c r="AH209" s="62" t="n"/>
      <c r="AI209" s="62" t="n"/>
      <c r="AJ209" s="62" t="n"/>
      <c r="AK209" s="62" t="n"/>
      <c r="AL209" s="62">
        <f>IF(LEFT($C209,11)="[Jefatura] ",IFERROR(MATCH("Riesgo Financiero|"&amp;MID($C209,12,500),rDname_ADM,0),0),"")</f>
        <v/>
      </c>
      <c r="AM209" s="62">
        <f>IF(N($AL209)&gt;0,INDEX(rIni_ADM,$AL209),IF(ISNUMBER($E209),$E209,""))</f>
        <v/>
      </c>
      <c r="AN209" s="62">
        <f>IF(N($AL209)&gt;0,INDEX(rLim_ADM,$AL209),IF(ISNUMBER($F209),$F209,""))</f>
        <v/>
      </c>
    </row>
    <row r="210">
      <c r="A210" s="56">
        <f>IF(NOT((COUNTA($B210:$D210)+COUNTA($G210:$L210)+COUNTA($Q210))&gt;0),"",IF($V210="Macro",COUNTIFS($V$5:$V210,"Macro",$S$5:$S210,$S210),IF(N($U210)=0,"?",COUNTIFS(INDEX($V$5:$V$1000,1):INDEX($V$5:$V$1000,$U210-4),"Macro",INDEX($S$5:$S$1000,1):INDEX($S$5:$S$1000,$U210-4),INDEX($S$5:$S$1000,$U210-4))&amp;"."&amp;COUNTIFS($U$5:$U210,$U210,$V$5:$V210,"Sub"))))</f>
        <v/>
      </c>
      <c r="B210" s="57" t="n"/>
      <c r="C210" s="58" t="n"/>
      <c r="D210" s="58" t="n"/>
      <c r="E210" s="59">
        <f>IF(N($AL210)&gt;0,INDEX(rIni_ADM,$AL210),"")</f>
        <v/>
      </c>
      <c r="F210" s="59">
        <f>IF(N($AL210)&gt;0,INDEX(rLim_ADM,$AL210),"")</f>
        <v/>
      </c>
      <c r="G210" s="59" t="n"/>
      <c r="H210" s="60" t="n"/>
      <c r="I210" s="60" t="n"/>
      <c r="J210" s="60" t="n"/>
      <c r="K210" s="60" t="n"/>
      <c r="L210" s="60" t="n"/>
      <c r="M210" s="61">
        <f>IF(NOT((COUNTA($B210:$D210)+COUNTA($G210:$L210)+COUNTA($Q210))&gt;0),"",IF(ISNUMBER($G210),1,IF(N($W210)&gt;0,AVERAGEIFS($X$5:$X$1000,$U$5:$U$1000,ROW(),$V$5:$V$1000,"Sub"),$X210)))</f>
        <v/>
      </c>
      <c r="N210" s="56">
        <f>IF($M210="","",IF($M210&gt;=1,"Completado",IF($M210&gt;0,"En curso","Pendiente")))</f>
        <v/>
      </c>
      <c r="O210" s="56">
        <f>IF(NOT((COUNTA($B210:$D210)+COUNTA($G210:$L210)+COUNTA($Q210))&gt;0),"",IF(ISNUMBER($G210),IF(AND(ISNUMBER($AN210),$G210&gt;$AN210),"Cumplida con "&amp;($G210-$AN210)&amp;IF($G210-$AN210=1," día"," días")&amp;" de retraso","Cumplida"),IF(N($M210)&gt;=1,"Cumplida",IF(NOT(ISNUMBER($AN210)),"Sin fecha límite",IF($AN210&lt;FechaRef,"Vencida hace "&amp;(FechaRef-$AN210)&amp;IF(FechaRef-$AN210=1," día"," días"),IF($AN210=FechaRef,"Vence hoy",IF($AN210-FechaRef&lt;=DiasAlerta,"Vence en "&amp;($AN210-FechaRef)&amp;IF($AN210-FechaRef=1," día"," días"),"En plazo")))))))</f>
        <v/>
      </c>
      <c r="P210" s="62" t="n"/>
      <c r="Q210" s="58" t="n"/>
      <c r="R210" s="63">
        <f>IF(NOT((COUNTA($B210:$D210)+COUNTA($G210:$L210)+COUNTA($Q210))&gt;0),"",IF((IF($C210="","Falta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",""))="","✔ OK","⚠ "&amp;LEFT(IF($C210="","Falta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",""),LEN(IF($C210="","Falta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",""))-3)))</f>
        <v/>
      </c>
      <c r="S210" s="64">
        <f>IF(NOT((COUNTA($B210:$D210)+COUNTA($G210:$L210)+COUNTA($Q210))&gt;0),"",IF(AND($V210="Sub",N($U210)&gt;0),IF(ISNUMBER(INDEX($AM$5:$AM$1000,$U210-4)),DATE(YEAR(INDEX($AM$5:$AM$1000,$U210-4)),MONTH(INDEX($AM$5:$AM$1000,$U210-4)),1),IF(ISNUMBER(INDEX($AN$5:$AN$1000,$U210-4)),DATE(YEAR(INDEX($AN$5:$AN$1000,$U210-4)),MONTH(INDEX($AN$5:$AN$1000,$U210-4)),1),MesCiclo)),IF(ISNUMBER($AM210),DATE(YEAR($AM210),MONTH($AM210),1),IF(ISNUMBER($AN210),DATE(YEAR($AN210),MONTH($AN210),1),MesCiclo))))</f>
        <v/>
      </c>
      <c r="T210" s="62">
        <f>IF(OR($S210="",$S210&lt;&gt;MesCiclo),"",COUNTIF($S$5:$S210,MesCiclo))</f>
        <v/>
      </c>
      <c r="U210" s="62">
        <f>IF($V210="","",IF($V210="Macro",ROW(),IFERROR(LOOKUP(2,1/($V$5:$V210="Macro"),ROW($V$5:$V210)),0)))</f>
        <v/>
      </c>
      <c r="V210" s="62">
        <f>IF(NOT((COUNTA($B210:$D210)+COUNTA($G210:$L210)+COUNTA($Q210))&gt;0),"",IF($B210="Subactividad","Sub","Macro"))</f>
        <v/>
      </c>
      <c r="W210" s="62">
        <f>IF($V210="Macro",COUNTIFS($U$5:$U$1000,ROW(),$V$5:$V$1000,"Sub"),"")</f>
        <v/>
      </c>
      <c r="X210" s="62">
        <f>IF($V210="","",IF(ISNUMBER($G210),1,IFERROR(LOOKUP(2,1/($I210:$L210&lt;&gt;""),$I210:$L210),0)))</f>
        <v/>
      </c>
      <c r="Y210" s="62">
        <f>IF($V210="","",IF(AND(ISNUMBER($G210),$G210&lt;=IF($S210=MesCiclo,InicioCiclo,$S210+MOD(2-WEEKDAY($S210),7))+6),1,IF(ISNUMBER($I210),$I210,0)))</f>
        <v/>
      </c>
      <c r="Z210" s="62">
        <f>IF($V210="","",IF(AND(ISNUMBER($G210),$G210&lt;=IF($S210=MesCiclo,InicioCiclo,$S210+MOD(2-WEEKDAY($S210),7))+13),1,IF(ISNUMBER($J210),$J210,$Y210)))</f>
        <v/>
      </c>
      <c r="AA210" s="62">
        <f>IF($V210="","",IF(AND(ISNUMBER($G210),$G210&lt;=IF($S210=MesCiclo,InicioCiclo,$S210+MOD(2-WEEKDAY($S210),7))+20),1,IF(ISNUMBER($K210),$K210,$Z210)))</f>
        <v/>
      </c>
      <c r="AB210" s="62">
        <f>IF($V210="","",IF(AND(ISNUMBER($G210),$G210&lt;=IF($S210=MesCiclo,InicioCiclo,$S210+MOD(2-WEEKDAY($S210),7))+27),1,IF(ISNUMBER($L210),$L210,$AA210)))</f>
        <v/>
      </c>
      <c r="AC210" s="62">
        <f>IF($V210="","",IF(AND(ISNUMBER($G210),$G210&lt;=IF($S210=MesCiclo,InicioCiclo,$S210+MOD(2-WEEKDAY($S210),7))+6),1,IF(N($W210)&gt;0,AVERAGEIFS($Y$5:$Y$1000,$U$5:$U$1000,ROW(),$V$5:$V$1000,"Sub"),$Y210)))</f>
        <v/>
      </c>
      <c r="AD210" s="62">
        <f>IF($V210="","",IF(AND(ISNUMBER($G210),$G210&lt;=IF($S210=MesCiclo,InicioCiclo,$S210+MOD(2-WEEKDAY($S210),7))+13),1,IF(N($W210)&gt;0,AVERAGEIFS($Z$5:$Z$1000,$U$5:$U$1000,ROW(),$V$5:$V$1000,"Sub"),$Z210)))</f>
        <v/>
      </c>
      <c r="AE210" s="62">
        <f>IF($V210="","",IF(AND(ISNUMBER($G210),$G210&lt;=IF($S210=MesCiclo,InicioCiclo,$S210+MOD(2-WEEKDAY($S210),7))+20),1,IF(N($W210)&gt;0,AVERAGEIFS($AA$5:$AA$1000,$U$5:$U$1000,ROW(),$V$5:$V$1000,"Sub"),$AA210)))</f>
        <v/>
      </c>
      <c r="AF210" s="62">
        <f>IF($V210="","",IF(AND(ISNUMBER($G210),$G210&lt;=IF($S210=MesCiclo,InicioCiclo,$S210+MOD(2-WEEKDAY($S210),7))+27),1,IF(N($W210)&gt;0,AVERAGEIFS($AB$5:$AB$1000,$U$5:$U$1000,ROW(),$V$5:$V$1000,"Sub"),$AB210)))</f>
        <v/>
      </c>
      <c r="AG210" s="62">
        <f>IF($V210&lt;&gt;"Macro","",IF(COUNTIFS($S$5:$S$1000,$S210,$V$5:$V$1000,"Macro",$H$5:$H$1000,"&gt;0")=0,1/COUNTIFS($S$5:$S$1000,$S210,$V$5:$V$1000,"Macro"),IF(AND(ISNUMBER($H210),N($H210)&gt;0),$H210,SUMIFS($H$5:$H$1000,$S$5:$S$1000,$S210,$V$5:$V$1000,"Macro")/COUNTIFS($S$5:$S$1000,$S210,$V$5:$V$1000,"Macro",$H$5:$H$1000,"&gt;0"))/(COUNTIFS($S$5:$S$1000,$S210,$V$5:$V$1000,"Macro")*SUMIFS($H$5:$H$1000,$S$5:$S$1000,$S210,$V$5:$V$1000,"Macro")/COUNTIFS($S$5:$S$1000,$S210,$V$5:$V$1000,"Macro",$H$5:$H$1000,"&gt;0"))))</f>
        <v/>
      </c>
      <c r="AH210" s="62" t="n"/>
      <c r="AI210" s="62" t="n"/>
      <c r="AJ210" s="62" t="n"/>
      <c r="AK210" s="62" t="n"/>
      <c r="AL210" s="62">
        <f>IF(LEFT($C210,11)="[Jefatura] ",IFERROR(MATCH("Riesgo Financiero|"&amp;MID($C210,12,500),rDname_ADM,0),0),"")</f>
        <v/>
      </c>
      <c r="AM210" s="62">
        <f>IF(N($AL210)&gt;0,INDEX(rIni_ADM,$AL210),IF(ISNUMBER($E210),$E210,""))</f>
        <v/>
      </c>
      <c r="AN210" s="62">
        <f>IF(N($AL210)&gt;0,INDEX(rLim_ADM,$AL210),IF(ISNUMBER($F210),$F210,""))</f>
        <v/>
      </c>
    </row>
    <row r="211">
      <c r="A211" s="56">
        <f>IF(NOT((COUNTA($B211:$D211)+COUNTA($G211:$L211)+COUNTA($Q211))&gt;0),"",IF($V211="Macro",COUNTIFS($V$5:$V211,"Macro",$S$5:$S211,$S211),IF(N($U211)=0,"?",COUNTIFS(INDEX($V$5:$V$1000,1):INDEX($V$5:$V$1000,$U211-4),"Macro",INDEX($S$5:$S$1000,1):INDEX($S$5:$S$1000,$U211-4),INDEX($S$5:$S$1000,$U211-4))&amp;"."&amp;COUNTIFS($U$5:$U211,$U211,$V$5:$V211,"Sub"))))</f>
        <v/>
      </c>
      <c r="B211" s="57" t="n"/>
      <c r="C211" s="58" t="n"/>
      <c r="D211" s="58" t="n"/>
      <c r="E211" s="59">
        <f>IF(N($AL211)&gt;0,INDEX(rIni_ADM,$AL211),"")</f>
        <v/>
      </c>
      <c r="F211" s="59">
        <f>IF(N($AL211)&gt;0,INDEX(rLim_ADM,$AL211),"")</f>
        <v/>
      </c>
      <c r="G211" s="59" t="n"/>
      <c r="H211" s="60" t="n"/>
      <c r="I211" s="60" t="n"/>
      <c r="J211" s="60" t="n"/>
      <c r="K211" s="60" t="n"/>
      <c r="L211" s="60" t="n"/>
      <c r="M211" s="61">
        <f>IF(NOT((COUNTA($B211:$D211)+COUNTA($G211:$L211)+COUNTA($Q211))&gt;0),"",IF(ISNUMBER($G211),1,IF(N($W211)&gt;0,AVERAGEIFS($X$5:$X$1000,$U$5:$U$1000,ROW(),$V$5:$V$1000,"Sub"),$X211)))</f>
        <v/>
      </c>
      <c r="N211" s="56">
        <f>IF($M211="","",IF($M211&gt;=1,"Completado",IF($M211&gt;0,"En curso","Pendiente")))</f>
        <v/>
      </c>
      <c r="O211" s="56">
        <f>IF(NOT((COUNTA($B211:$D211)+COUNTA($G211:$L211)+COUNTA($Q211))&gt;0),"",IF(ISNUMBER($G211),IF(AND(ISNUMBER($AN211),$G211&gt;$AN211),"Cumplida con "&amp;($G211-$AN211)&amp;IF($G211-$AN211=1," día"," días")&amp;" de retraso","Cumplida"),IF(N($M211)&gt;=1,"Cumplida",IF(NOT(ISNUMBER($AN211)),"Sin fecha límite",IF($AN211&lt;FechaRef,"Vencida hace "&amp;(FechaRef-$AN211)&amp;IF(FechaRef-$AN211=1," día"," días"),IF($AN211=FechaRef,"Vence hoy",IF($AN211-FechaRef&lt;=DiasAlerta,"Vence en "&amp;($AN211-FechaRef)&amp;IF($AN211-FechaRef=1," día"," días"),"En plazo")))))))</f>
        <v/>
      </c>
      <c r="P211" s="62" t="n"/>
      <c r="Q211" s="58" t="n"/>
      <c r="R211" s="63">
        <f>IF(NOT((COUNTA($B211:$D211)+COUNTA($G211:$L211)+COUNTA($Q211))&gt;0),"",IF((IF($C211="","Falta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",""))="","✔ OK","⚠ "&amp;LEFT(IF($C211="","Falta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",""),LEN(IF($C211="","Falta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",""))-3)))</f>
        <v/>
      </c>
      <c r="S211" s="64">
        <f>IF(NOT((COUNTA($B211:$D211)+COUNTA($G211:$L211)+COUNTA($Q211))&gt;0),"",IF(AND($V211="Sub",N($U211)&gt;0),IF(ISNUMBER(INDEX($AM$5:$AM$1000,$U211-4)),DATE(YEAR(INDEX($AM$5:$AM$1000,$U211-4)),MONTH(INDEX($AM$5:$AM$1000,$U211-4)),1),IF(ISNUMBER(INDEX($AN$5:$AN$1000,$U211-4)),DATE(YEAR(INDEX($AN$5:$AN$1000,$U211-4)),MONTH(INDEX($AN$5:$AN$1000,$U211-4)),1),MesCiclo)),IF(ISNUMBER($AM211),DATE(YEAR($AM211),MONTH($AM211),1),IF(ISNUMBER($AN211),DATE(YEAR($AN211),MONTH($AN211),1),MesCiclo))))</f>
        <v/>
      </c>
      <c r="T211" s="62">
        <f>IF(OR($S211="",$S211&lt;&gt;MesCiclo),"",COUNTIF($S$5:$S211,MesCiclo))</f>
        <v/>
      </c>
      <c r="U211" s="62">
        <f>IF($V211="","",IF($V211="Macro",ROW(),IFERROR(LOOKUP(2,1/($V$5:$V211="Macro"),ROW($V$5:$V211)),0)))</f>
        <v/>
      </c>
      <c r="V211" s="62">
        <f>IF(NOT((COUNTA($B211:$D211)+COUNTA($G211:$L211)+COUNTA($Q211))&gt;0),"",IF($B211="Subactividad","Sub","Macro"))</f>
        <v/>
      </c>
      <c r="W211" s="62">
        <f>IF($V211="Macro",COUNTIFS($U$5:$U$1000,ROW(),$V$5:$V$1000,"Sub"),"")</f>
        <v/>
      </c>
      <c r="X211" s="62">
        <f>IF($V211="","",IF(ISNUMBER($G211),1,IFERROR(LOOKUP(2,1/($I211:$L211&lt;&gt;""),$I211:$L211),0)))</f>
        <v/>
      </c>
      <c r="Y211" s="62">
        <f>IF($V211="","",IF(AND(ISNUMBER($G211),$G211&lt;=IF($S211=MesCiclo,InicioCiclo,$S211+MOD(2-WEEKDAY($S211),7))+6),1,IF(ISNUMBER($I211),$I211,0)))</f>
        <v/>
      </c>
      <c r="Z211" s="62">
        <f>IF($V211="","",IF(AND(ISNUMBER($G211),$G211&lt;=IF($S211=MesCiclo,InicioCiclo,$S211+MOD(2-WEEKDAY($S211),7))+13),1,IF(ISNUMBER($J211),$J211,$Y211)))</f>
        <v/>
      </c>
      <c r="AA211" s="62">
        <f>IF($V211="","",IF(AND(ISNUMBER($G211),$G211&lt;=IF($S211=MesCiclo,InicioCiclo,$S211+MOD(2-WEEKDAY($S211),7))+20),1,IF(ISNUMBER($K211),$K211,$Z211)))</f>
        <v/>
      </c>
      <c r="AB211" s="62">
        <f>IF($V211="","",IF(AND(ISNUMBER($G211),$G211&lt;=IF($S211=MesCiclo,InicioCiclo,$S211+MOD(2-WEEKDAY($S211),7))+27),1,IF(ISNUMBER($L211),$L211,$AA211)))</f>
        <v/>
      </c>
      <c r="AC211" s="62">
        <f>IF($V211="","",IF(AND(ISNUMBER($G211),$G211&lt;=IF($S211=MesCiclo,InicioCiclo,$S211+MOD(2-WEEKDAY($S211),7))+6),1,IF(N($W211)&gt;0,AVERAGEIFS($Y$5:$Y$1000,$U$5:$U$1000,ROW(),$V$5:$V$1000,"Sub"),$Y211)))</f>
        <v/>
      </c>
      <c r="AD211" s="62">
        <f>IF($V211="","",IF(AND(ISNUMBER($G211),$G211&lt;=IF($S211=MesCiclo,InicioCiclo,$S211+MOD(2-WEEKDAY($S211),7))+13),1,IF(N($W211)&gt;0,AVERAGEIFS($Z$5:$Z$1000,$U$5:$U$1000,ROW(),$V$5:$V$1000,"Sub"),$Z211)))</f>
        <v/>
      </c>
      <c r="AE211" s="62">
        <f>IF($V211="","",IF(AND(ISNUMBER($G211),$G211&lt;=IF($S211=MesCiclo,InicioCiclo,$S211+MOD(2-WEEKDAY($S211),7))+20),1,IF(N($W211)&gt;0,AVERAGEIFS($AA$5:$AA$1000,$U$5:$U$1000,ROW(),$V$5:$V$1000,"Sub"),$AA211)))</f>
        <v/>
      </c>
      <c r="AF211" s="62">
        <f>IF($V211="","",IF(AND(ISNUMBER($G211),$G211&lt;=IF($S211=MesCiclo,InicioCiclo,$S211+MOD(2-WEEKDAY($S211),7))+27),1,IF(N($W211)&gt;0,AVERAGEIFS($AB$5:$AB$1000,$U$5:$U$1000,ROW(),$V$5:$V$1000,"Sub"),$AB211)))</f>
        <v/>
      </c>
      <c r="AG211" s="62">
        <f>IF($V211&lt;&gt;"Macro","",IF(COUNTIFS($S$5:$S$1000,$S211,$V$5:$V$1000,"Macro",$H$5:$H$1000,"&gt;0")=0,1/COUNTIFS($S$5:$S$1000,$S211,$V$5:$V$1000,"Macro"),IF(AND(ISNUMBER($H211),N($H211)&gt;0),$H211,SUMIFS($H$5:$H$1000,$S$5:$S$1000,$S211,$V$5:$V$1000,"Macro")/COUNTIFS($S$5:$S$1000,$S211,$V$5:$V$1000,"Macro",$H$5:$H$1000,"&gt;0"))/(COUNTIFS($S$5:$S$1000,$S211,$V$5:$V$1000,"Macro")*SUMIFS($H$5:$H$1000,$S$5:$S$1000,$S211,$V$5:$V$1000,"Macro")/COUNTIFS($S$5:$S$1000,$S211,$V$5:$V$1000,"Macro",$H$5:$H$1000,"&gt;0"))))</f>
        <v/>
      </c>
      <c r="AH211" s="62" t="n"/>
      <c r="AI211" s="62" t="n"/>
      <c r="AJ211" s="62" t="n"/>
      <c r="AK211" s="62" t="n"/>
      <c r="AL211" s="62">
        <f>IF(LEFT($C211,11)="[Jefatura] ",IFERROR(MATCH("Riesgo Financiero|"&amp;MID($C211,12,500),rDname_ADM,0),0),"")</f>
        <v/>
      </c>
      <c r="AM211" s="62">
        <f>IF(N($AL211)&gt;0,INDEX(rIni_ADM,$AL211),IF(ISNUMBER($E211),$E211,""))</f>
        <v/>
      </c>
      <c r="AN211" s="62">
        <f>IF(N($AL211)&gt;0,INDEX(rLim_ADM,$AL211),IF(ISNUMBER($F211),$F211,""))</f>
        <v/>
      </c>
    </row>
    <row r="212">
      <c r="A212" s="56">
        <f>IF(NOT((COUNTA($B212:$D212)+COUNTA($G212:$L212)+COUNTA($Q212))&gt;0),"",IF($V212="Macro",COUNTIFS($V$5:$V212,"Macro",$S$5:$S212,$S212),IF(N($U212)=0,"?",COUNTIFS(INDEX($V$5:$V$1000,1):INDEX($V$5:$V$1000,$U212-4),"Macro",INDEX($S$5:$S$1000,1):INDEX($S$5:$S$1000,$U212-4),INDEX($S$5:$S$1000,$U212-4))&amp;"."&amp;COUNTIFS($U$5:$U212,$U212,$V$5:$V212,"Sub"))))</f>
        <v/>
      </c>
      <c r="B212" s="57" t="n"/>
      <c r="C212" s="58" t="n"/>
      <c r="D212" s="58" t="n"/>
      <c r="E212" s="59">
        <f>IF(N($AL212)&gt;0,INDEX(rIni_ADM,$AL212),"")</f>
        <v/>
      </c>
      <c r="F212" s="59">
        <f>IF(N($AL212)&gt;0,INDEX(rLim_ADM,$AL212),"")</f>
        <v/>
      </c>
      <c r="G212" s="59" t="n"/>
      <c r="H212" s="60" t="n"/>
      <c r="I212" s="60" t="n"/>
      <c r="J212" s="60" t="n"/>
      <c r="K212" s="60" t="n"/>
      <c r="L212" s="60" t="n"/>
      <c r="M212" s="61">
        <f>IF(NOT((COUNTA($B212:$D212)+COUNTA($G212:$L212)+COUNTA($Q212))&gt;0),"",IF(ISNUMBER($G212),1,IF(N($W212)&gt;0,AVERAGEIFS($X$5:$X$1000,$U$5:$U$1000,ROW(),$V$5:$V$1000,"Sub"),$X212)))</f>
        <v/>
      </c>
      <c r="N212" s="56">
        <f>IF($M212="","",IF($M212&gt;=1,"Completado",IF($M212&gt;0,"En curso","Pendiente")))</f>
        <v/>
      </c>
      <c r="O212" s="56">
        <f>IF(NOT((COUNTA($B212:$D212)+COUNTA($G212:$L212)+COUNTA($Q212))&gt;0),"",IF(ISNUMBER($G212),IF(AND(ISNUMBER($AN212),$G212&gt;$AN212),"Cumplida con "&amp;($G212-$AN212)&amp;IF($G212-$AN212=1," día"," días")&amp;" de retraso","Cumplida"),IF(N($M212)&gt;=1,"Cumplida",IF(NOT(ISNUMBER($AN212)),"Sin fecha límite",IF($AN212&lt;FechaRef,"Vencida hace "&amp;(FechaRef-$AN212)&amp;IF(FechaRef-$AN212=1," día"," días"),IF($AN212=FechaRef,"Vence hoy",IF($AN212-FechaRef&lt;=DiasAlerta,"Vence en "&amp;($AN212-FechaRef)&amp;IF($AN212-FechaRef=1," día"," días"),"En plazo")))))))</f>
        <v/>
      </c>
      <c r="P212" s="62" t="n"/>
      <c r="Q212" s="58" t="n"/>
      <c r="R212" s="63">
        <f>IF(NOT((COUNTA($B212:$D212)+COUNTA($G212:$L212)+COUNTA($Q212))&gt;0),"",IF((IF($C212="","Falta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",""))="","✔ OK","⚠ "&amp;LEFT(IF($C212="","Falta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",""),LEN(IF($C212="","Falta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",""))-3)))</f>
        <v/>
      </c>
      <c r="S212" s="64">
        <f>IF(NOT((COUNTA($B212:$D212)+COUNTA($G212:$L212)+COUNTA($Q212))&gt;0),"",IF(AND($V212="Sub",N($U212)&gt;0),IF(ISNUMBER(INDEX($AM$5:$AM$1000,$U212-4)),DATE(YEAR(INDEX($AM$5:$AM$1000,$U212-4)),MONTH(INDEX($AM$5:$AM$1000,$U212-4)),1),IF(ISNUMBER(INDEX($AN$5:$AN$1000,$U212-4)),DATE(YEAR(INDEX($AN$5:$AN$1000,$U212-4)),MONTH(INDEX($AN$5:$AN$1000,$U212-4)),1),MesCiclo)),IF(ISNUMBER($AM212),DATE(YEAR($AM212),MONTH($AM212),1),IF(ISNUMBER($AN212),DATE(YEAR($AN212),MONTH($AN212),1),MesCiclo))))</f>
        <v/>
      </c>
      <c r="T212" s="62">
        <f>IF(OR($S212="",$S212&lt;&gt;MesCiclo),"",COUNTIF($S$5:$S212,MesCiclo))</f>
        <v/>
      </c>
      <c r="U212" s="62">
        <f>IF($V212="","",IF($V212="Macro",ROW(),IFERROR(LOOKUP(2,1/($V$5:$V212="Macro"),ROW($V$5:$V212)),0)))</f>
        <v/>
      </c>
      <c r="V212" s="62">
        <f>IF(NOT((COUNTA($B212:$D212)+COUNTA($G212:$L212)+COUNTA($Q212))&gt;0),"",IF($B212="Subactividad","Sub","Macro"))</f>
        <v/>
      </c>
      <c r="W212" s="62">
        <f>IF($V212="Macro",COUNTIFS($U$5:$U$1000,ROW(),$V$5:$V$1000,"Sub"),"")</f>
        <v/>
      </c>
      <c r="X212" s="62">
        <f>IF($V212="","",IF(ISNUMBER($G212),1,IFERROR(LOOKUP(2,1/($I212:$L212&lt;&gt;""),$I212:$L212),0)))</f>
        <v/>
      </c>
      <c r="Y212" s="62">
        <f>IF($V212="","",IF(AND(ISNUMBER($G212),$G212&lt;=IF($S212=MesCiclo,InicioCiclo,$S212+MOD(2-WEEKDAY($S212),7))+6),1,IF(ISNUMBER($I212),$I212,0)))</f>
        <v/>
      </c>
      <c r="Z212" s="62">
        <f>IF($V212="","",IF(AND(ISNUMBER($G212),$G212&lt;=IF($S212=MesCiclo,InicioCiclo,$S212+MOD(2-WEEKDAY($S212),7))+13),1,IF(ISNUMBER($J212),$J212,$Y212)))</f>
        <v/>
      </c>
      <c r="AA212" s="62">
        <f>IF($V212="","",IF(AND(ISNUMBER($G212),$G212&lt;=IF($S212=MesCiclo,InicioCiclo,$S212+MOD(2-WEEKDAY($S212),7))+20),1,IF(ISNUMBER($K212),$K212,$Z212)))</f>
        <v/>
      </c>
      <c r="AB212" s="62">
        <f>IF($V212="","",IF(AND(ISNUMBER($G212),$G212&lt;=IF($S212=MesCiclo,InicioCiclo,$S212+MOD(2-WEEKDAY($S212),7))+27),1,IF(ISNUMBER($L212),$L212,$AA212)))</f>
        <v/>
      </c>
      <c r="AC212" s="62">
        <f>IF($V212="","",IF(AND(ISNUMBER($G212),$G212&lt;=IF($S212=MesCiclo,InicioCiclo,$S212+MOD(2-WEEKDAY($S212),7))+6),1,IF(N($W212)&gt;0,AVERAGEIFS($Y$5:$Y$1000,$U$5:$U$1000,ROW(),$V$5:$V$1000,"Sub"),$Y212)))</f>
        <v/>
      </c>
      <c r="AD212" s="62">
        <f>IF($V212="","",IF(AND(ISNUMBER($G212),$G212&lt;=IF($S212=MesCiclo,InicioCiclo,$S212+MOD(2-WEEKDAY($S212),7))+13),1,IF(N($W212)&gt;0,AVERAGEIFS($Z$5:$Z$1000,$U$5:$U$1000,ROW(),$V$5:$V$1000,"Sub"),$Z212)))</f>
        <v/>
      </c>
      <c r="AE212" s="62">
        <f>IF($V212="","",IF(AND(ISNUMBER($G212),$G212&lt;=IF($S212=MesCiclo,InicioCiclo,$S212+MOD(2-WEEKDAY($S212),7))+20),1,IF(N($W212)&gt;0,AVERAGEIFS($AA$5:$AA$1000,$U$5:$U$1000,ROW(),$V$5:$V$1000,"Sub"),$AA212)))</f>
        <v/>
      </c>
      <c r="AF212" s="62">
        <f>IF($V212="","",IF(AND(ISNUMBER($G212),$G212&lt;=IF($S212=MesCiclo,InicioCiclo,$S212+MOD(2-WEEKDAY($S212),7))+27),1,IF(N($W212)&gt;0,AVERAGEIFS($AB$5:$AB$1000,$U$5:$U$1000,ROW(),$V$5:$V$1000,"Sub"),$AB212)))</f>
        <v/>
      </c>
      <c r="AG212" s="62">
        <f>IF($V212&lt;&gt;"Macro","",IF(COUNTIFS($S$5:$S$1000,$S212,$V$5:$V$1000,"Macro",$H$5:$H$1000,"&gt;0")=0,1/COUNTIFS($S$5:$S$1000,$S212,$V$5:$V$1000,"Macro"),IF(AND(ISNUMBER($H212),N($H212)&gt;0),$H212,SUMIFS($H$5:$H$1000,$S$5:$S$1000,$S212,$V$5:$V$1000,"Macro")/COUNTIFS($S$5:$S$1000,$S212,$V$5:$V$1000,"Macro",$H$5:$H$1000,"&gt;0"))/(COUNTIFS($S$5:$S$1000,$S212,$V$5:$V$1000,"Macro")*SUMIFS($H$5:$H$1000,$S$5:$S$1000,$S212,$V$5:$V$1000,"Macro")/COUNTIFS($S$5:$S$1000,$S212,$V$5:$V$1000,"Macro",$H$5:$H$1000,"&gt;0"))))</f>
        <v/>
      </c>
      <c r="AH212" s="62" t="n"/>
      <c r="AI212" s="62" t="n"/>
      <c r="AJ212" s="62" t="n"/>
      <c r="AK212" s="62" t="n"/>
      <c r="AL212" s="62">
        <f>IF(LEFT($C212,11)="[Jefatura] ",IFERROR(MATCH("Riesgo Financiero|"&amp;MID($C212,12,500),rDname_ADM,0),0),"")</f>
        <v/>
      </c>
      <c r="AM212" s="62">
        <f>IF(N($AL212)&gt;0,INDEX(rIni_ADM,$AL212),IF(ISNUMBER($E212),$E212,""))</f>
        <v/>
      </c>
      <c r="AN212" s="62">
        <f>IF(N($AL212)&gt;0,INDEX(rLim_ADM,$AL212),IF(ISNUMBER($F212),$F212,""))</f>
        <v/>
      </c>
    </row>
    <row r="213">
      <c r="A213" s="56">
        <f>IF(NOT((COUNTA($B213:$D213)+COUNTA($G213:$L213)+COUNTA($Q213))&gt;0),"",IF($V213="Macro",COUNTIFS($V$5:$V213,"Macro",$S$5:$S213,$S213),IF(N($U213)=0,"?",COUNTIFS(INDEX($V$5:$V$1000,1):INDEX($V$5:$V$1000,$U213-4),"Macro",INDEX($S$5:$S$1000,1):INDEX($S$5:$S$1000,$U213-4),INDEX($S$5:$S$1000,$U213-4))&amp;"."&amp;COUNTIFS($U$5:$U213,$U213,$V$5:$V213,"Sub"))))</f>
        <v/>
      </c>
      <c r="B213" s="57" t="n"/>
      <c r="C213" s="58" t="n"/>
      <c r="D213" s="58" t="n"/>
      <c r="E213" s="59">
        <f>IF(N($AL213)&gt;0,INDEX(rIni_ADM,$AL213),"")</f>
        <v/>
      </c>
      <c r="F213" s="59">
        <f>IF(N($AL213)&gt;0,INDEX(rLim_ADM,$AL213),"")</f>
        <v/>
      </c>
      <c r="G213" s="59" t="n"/>
      <c r="H213" s="60" t="n"/>
      <c r="I213" s="60" t="n"/>
      <c r="J213" s="60" t="n"/>
      <c r="K213" s="60" t="n"/>
      <c r="L213" s="60" t="n"/>
      <c r="M213" s="61">
        <f>IF(NOT((COUNTA($B213:$D213)+COUNTA($G213:$L213)+COUNTA($Q213))&gt;0),"",IF(ISNUMBER($G213),1,IF(N($W213)&gt;0,AVERAGEIFS($X$5:$X$1000,$U$5:$U$1000,ROW(),$V$5:$V$1000,"Sub"),$X213)))</f>
        <v/>
      </c>
      <c r="N213" s="56">
        <f>IF($M213="","",IF($M213&gt;=1,"Completado",IF($M213&gt;0,"En curso","Pendiente")))</f>
        <v/>
      </c>
      <c r="O213" s="56">
        <f>IF(NOT((COUNTA($B213:$D213)+COUNTA($G213:$L213)+COUNTA($Q213))&gt;0),"",IF(ISNUMBER($G213),IF(AND(ISNUMBER($AN213),$G213&gt;$AN213),"Cumplida con "&amp;($G213-$AN213)&amp;IF($G213-$AN213=1," día"," días")&amp;" de retraso","Cumplida"),IF(N($M213)&gt;=1,"Cumplida",IF(NOT(ISNUMBER($AN213)),"Sin fecha límite",IF($AN213&lt;FechaRef,"Vencida hace "&amp;(FechaRef-$AN213)&amp;IF(FechaRef-$AN213=1," día"," días"),IF($AN213=FechaRef,"Vence hoy",IF($AN213-FechaRef&lt;=DiasAlerta,"Vence en "&amp;($AN213-FechaRef)&amp;IF($AN213-FechaRef=1," día"," días"),"En plazo")))))))</f>
        <v/>
      </c>
      <c r="P213" s="62" t="n"/>
      <c r="Q213" s="58" t="n"/>
      <c r="R213" s="63">
        <f>IF(NOT((COUNTA($B213:$D213)+COUNTA($G213:$L213)+COUNTA($Q213))&gt;0),"",IF((IF($C213="","Falta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",""))="","✔ OK","⚠ "&amp;LEFT(IF($C213="","Falta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",""),LEN(IF($C213="","Falta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",""))-3)))</f>
        <v/>
      </c>
      <c r="S213" s="64">
        <f>IF(NOT((COUNTA($B213:$D213)+COUNTA($G213:$L213)+COUNTA($Q213))&gt;0),"",IF(AND($V213="Sub",N($U213)&gt;0),IF(ISNUMBER(INDEX($AM$5:$AM$1000,$U213-4)),DATE(YEAR(INDEX($AM$5:$AM$1000,$U213-4)),MONTH(INDEX($AM$5:$AM$1000,$U213-4)),1),IF(ISNUMBER(INDEX($AN$5:$AN$1000,$U213-4)),DATE(YEAR(INDEX($AN$5:$AN$1000,$U213-4)),MONTH(INDEX($AN$5:$AN$1000,$U213-4)),1),MesCiclo)),IF(ISNUMBER($AM213),DATE(YEAR($AM213),MONTH($AM213),1),IF(ISNUMBER($AN213),DATE(YEAR($AN213),MONTH($AN213),1),MesCiclo))))</f>
        <v/>
      </c>
      <c r="T213" s="62">
        <f>IF(OR($S213="",$S213&lt;&gt;MesCiclo),"",COUNTIF($S$5:$S213,MesCiclo))</f>
        <v/>
      </c>
      <c r="U213" s="62">
        <f>IF($V213="","",IF($V213="Macro",ROW(),IFERROR(LOOKUP(2,1/($V$5:$V213="Macro"),ROW($V$5:$V213)),0)))</f>
        <v/>
      </c>
      <c r="V213" s="62">
        <f>IF(NOT((COUNTA($B213:$D213)+COUNTA($G213:$L213)+COUNTA($Q213))&gt;0),"",IF($B213="Subactividad","Sub","Macro"))</f>
        <v/>
      </c>
      <c r="W213" s="62">
        <f>IF($V213="Macro",COUNTIFS($U$5:$U$1000,ROW(),$V$5:$V$1000,"Sub"),"")</f>
        <v/>
      </c>
      <c r="X213" s="62">
        <f>IF($V213="","",IF(ISNUMBER($G213),1,IFERROR(LOOKUP(2,1/($I213:$L213&lt;&gt;""),$I213:$L213),0)))</f>
        <v/>
      </c>
      <c r="Y213" s="62">
        <f>IF($V213="","",IF(AND(ISNUMBER($G213),$G213&lt;=IF($S213=MesCiclo,InicioCiclo,$S213+MOD(2-WEEKDAY($S213),7))+6),1,IF(ISNUMBER($I213),$I213,0)))</f>
        <v/>
      </c>
      <c r="Z213" s="62">
        <f>IF($V213="","",IF(AND(ISNUMBER($G213),$G213&lt;=IF($S213=MesCiclo,InicioCiclo,$S213+MOD(2-WEEKDAY($S213),7))+13),1,IF(ISNUMBER($J213),$J213,$Y213)))</f>
        <v/>
      </c>
      <c r="AA213" s="62">
        <f>IF($V213="","",IF(AND(ISNUMBER($G213),$G213&lt;=IF($S213=MesCiclo,InicioCiclo,$S213+MOD(2-WEEKDAY($S213),7))+20),1,IF(ISNUMBER($K213),$K213,$Z213)))</f>
        <v/>
      </c>
      <c r="AB213" s="62">
        <f>IF($V213="","",IF(AND(ISNUMBER($G213),$G213&lt;=IF($S213=MesCiclo,InicioCiclo,$S213+MOD(2-WEEKDAY($S213),7))+27),1,IF(ISNUMBER($L213),$L213,$AA213)))</f>
        <v/>
      </c>
      <c r="AC213" s="62">
        <f>IF($V213="","",IF(AND(ISNUMBER($G213),$G213&lt;=IF($S213=MesCiclo,InicioCiclo,$S213+MOD(2-WEEKDAY($S213),7))+6),1,IF(N($W213)&gt;0,AVERAGEIFS($Y$5:$Y$1000,$U$5:$U$1000,ROW(),$V$5:$V$1000,"Sub"),$Y213)))</f>
        <v/>
      </c>
      <c r="AD213" s="62">
        <f>IF($V213="","",IF(AND(ISNUMBER($G213),$G213&lt;=IF($S213=MesCiclo,InicioCiclo,$S213+MOD(2-WEEKDAY($S213),7))+13),1,IF(N($W213)&gt;0,AVERAGEIFS($Z$5:$Z$1000,$U$5:$U$1000,ROW(),$V$5:$V$1000,"Sub"),$Z213)))</f>
        <v/>
      </c>
      <c r="AE213" s="62">
        <f>IF($V213="","",IF(AND(ISNUMBER($G213),$G213&lt;=IF($S213=MesCiclo,InicioCiclo,$S213+MOD(2-WEEKDAY($S213),7))+20),1,IF(N($W213)&gt;0,AVERAGEIFS($AA$5:$AA$1000,$U$5:$U$1000,ROW(),$V$5:$V$1000,"Sub"),$AA213)))</f>
        <v/>
      </c>
      <c r="AF213" s="62">
        <f>IF($V213="","",IF(AND(ISNUMBER($G213),$G213&lt;=IF($S213=MesCiclo,InicioCiclo,$S213+MOD(2-WEEKDAY($S213),7))+27),1,IF(N($W213)&gt;0,AVERAGEIFS($AB$5:$AB$1000,$U$5:$U$1000,ROW(),$V$5:$V$1000,"Sub"),$AB213)))</f>
        <v/>
      </c>
      <c r="AG213" s="62">
        <f>IF($V213&lt;&gt;"Macro","",IF(COUNTIFS($S$5:$S$1000,$S213,$V$5:$V$1000,"Macro",$H$5:$H$1000,"&gt;0")=0,1/COUNTIFS($S$5:$S$1000,$S213,$V$5:$V$1000,"Macro"),IF(AND(ISNUMBER($H213),N($H213)&gt;0),$H213,SUMIFS($H$5:$H$1000,$S$5:$S$1000,$S213,$V$5:$V$1000,"Macro")/COUNTIFS($S$5:$S$1000,$S213,$V$5:$V$1000,"Macro",$H$5:$H$1000,"&gt;0"))/(COUNTIFS($S$5:$S$1000,$S213,$V$5:$V$1000,"Macro")*SUMIFS($H$5:$H$1000,$S$5:$S$1000,$S213,$V$5:$V$1000,"Macro")/COUNTIFS($S$5:$S$1000,$S213,$V$5:$V$1000,"Macro",$H$5:$H$1000,"&gt;0"))))</f>
        <v/>
      </c>
      <c r="AH213" s="62" t="n"/>
      <c r="AI213" s="62" t="n"/>
      <c r="AJ213" s="62" t="n"/>
      <c r="AK213" s="62" t="n"/>
      <c r="AL213" s="62">
        <f>IF(LEFT($C213,11)="[Jefatura] ",IFERROR(MATCH("Riesgo Financiero|"&amp;MID($C213,12,500),rDname_ADM,0),0),"")</f>
        <v/>
      </c>
      <c r="AM213" s="62">
        <f>IF(N($AL213)&gt;0,INDEX(rIni_ADM,$AL213),IF(ISNUMBER($E213),$E213,""))</f>
        <v/>
      </c>
      <c r="AN213" s="62">
        <f>IF(N($AL213)&gt;0,INDEX(rLim_ADM,$AL213),IF(ISNUMBER($F213),$F213,""))</f>
        <v/>
      </c>
    </row>
    <row r="214">
      <c r="A214" s="56">
        <f>IF(NOT((COUNTA($B214:$D214)+COUNTA($G214:$L214)+COUNTA($Q214))&gt;0),"",IF($V214="Macro",COUNTIFS($V$5:$V214,"Macro",$S$5:$S214,$S214),IF(N($U214)=0,"?",COUNTIFS(INDEX($V$5:$V$1000,1):INDEX($V$5:$V$1000,$U214-4),"Macro",INDEX($S$5:$S$1000,1):INDEX($S$5:$S$1000,$U214-4),INDEX($S$5:$S$1000,$U214-4))&amp;"."&amp;COUNTIFS($U$5:$U214,$U214,$V$5:$V214,"Sub"))))</f>
        <v/>
      </c>
      <c r="B214" s="57" t="n"/>
      <c r="C214" s="58" t="n"/>
      <c r="D214" s="58" t="n"/>
      <c r="E214" s="59">
        <f>IF(N($AL214)&gt;0,INDEX(rIni_ADM,$AL214),"")</f>
        <v/>
      </c>
      <c r="F214" s="59">
        <f>IF(N($AL214)&gt;0,INDEX(rLim_ADM,$AL214),"")</f>
        <v/>
      </c>
      <c r="G214" s="59" t="n"/>
      <c r="H214" s="60" t="n"/>
      <c r="I214" s="60" t="n"/>
      <c r="J214" s="60" t="n"/>
      <c r="K214" s="60" t="n"/>
      <c r="L214" s="60" t="n"/>
      <c r="M214" s="61">
        <f>IF(NOT((COUNTA($B214:$D214)+COUNTA($G214:$L214)+COUNTA($Q214))&gt;0),"",IF(ISNUMBER($G214),1,IF(N($W214)&gt;0,AVERAGEIFS($X$5:$X$1000,$U$5:$U$1000,ROW(),$V$5:$V$1000,"Sub"),$X214)))</f>
        <v/>
      </c>
      <c r="N214" s="56">
        <f>IF($M214="","",IF($M214&gt;=1,"Completado",IF($M214&gt;0,"En curso","Pendiente")))</f>
        <v/>
      </c>
      <c r="O214" s="56">
        <f>IF(NOT((COUNTA($B214:$D214)+COUNTA($G214:$L214)+COUNTA($Q214))&gt;0),"",IF(ISNUMBER($G214),IF(AND(ISNUMBER($AN214),$G214&gt;$AN214),"Cumplida con "&amp;($G214-$AN214)&amp;IF($G214-$AN214=1," día"," días")&amp;" de retraso","Cumplida"),IF(N($M214)&gt;=1,"Cumplida",IF(NOT(ISNUMBER($AN214)),"Sin fecha límite",IF($AN214&lt;FechaRef,"Vencida hace "&amp;(FechaRef-$AN214)&amp;IF(FechaRef-$AN214=1," día"," días"),IF($AN214=FechaRef,"Vence hoy",IF($AN214-FechaRef&lt;=DiasAlerta,"Vence en "&amp;($AN214-FechaRef)&amp;IF($AN214-FechaRef=1," día"," días"),"En plazo")))))))</f>
        <v/>
      </c>
      <c r="P214" s="62" t="n"/>
      <c r="Q214" s="58" t="n"/>
      <c r="R214" s="63">
        <f>IF(NOT((COUNTA($B214:$D214)+COUNTA($G214:$L214)+COUNTA($Q214))&gt;0),"",IF((IF($C214="","Falta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",""))="","✔ OK","⚠ "&amp;LEFT(IF($C214="","Falta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",""),LEN(IF($C214="","Falta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",""))-3)))</f>
        <v/>
      </c>
      <c r="S214" s="64">
        <f>IF(NOT((COUNTA($B214:$D214)+COUNTA($G214:$L214)+COUNTA($Q214))&gt;0),"",IF(AND($V214="Sub",N($U214)&gt;0),IF(ISNUMBER(INDEX($AM$5:$AM$1000,$U214-4)),DATE(YEAR(INDEX($AM$5:$AM$1000,$U214-4)),MONTH(INDEX($AM$5:$AM$1000,$U214-4)),1),IF(ISNUMBER(INDEX($AN$5:$AN$1000,$U214-4)),DATE(YEAR(INDEX($AN$5:$AN$1000,$U214-4)),MONTH(INDEX($AN$5:$AN$1000,$U214-4)),1),MesCiclo)),IF(ISNUMBER($AM214),DATE(YEAR($AM214),MONTH($AM214),1),IF(ISNUMBER($AN214),DATE(YEAR($AN214),MONTH($AN214),1),MesCiclo))))</f>
        <v/>
      </c>
      <c r="T214" s="62">
        <f>IF(OR($S214="",$S214&lt;&gt;MesCiclo),"",COUNTIF($S$5:$S214,MesCiclo))</f>
        <v/>
      </c>
      <c r="U214" s="62">
        <f>IF($V214="","",IF($V214="Macro",ROW(),IFERROR(LOOKUP(2,1/($V$5:$V214="Macro"),ROW($V$5:$V214)),0)))</f>
        <v/>
      </c>
      <c r="V214" s="62">
        <f>IF(NOT((COUNTA($B214:$D214)+COUNTA($G214:$L214)+COUNTA($Q214))&gt;0),"",IF($B214="Subactividad","Sub","Macro"))</f>
        <v/>
      </c>
      <c r="W214" s="62">
        <f>IF($V214="Macro",COUNTIFS($U$5:$U$1000,ROW(),$V$5:$V$1000,"Sub"),"")</f>
        <v/>
      </c>
      <c r="X214" s="62">
        <f>IF($V214="","",IF(ISNUMBER($G214),1,IFERROR(LOOKUP(2,1/($I214:$L214&lt;&gt;""),$I214:$L214),0)))</f>
        <v/>
      </c>
      <c r="Y214" s="62">
        <f>IF($V214="","",IF(AND(ISNUMBER($G214),$G214&lt;=IF($S214=MesCiclo,InicioCiclo,$S214+MOD(2-WEEKDAY($S214),7))+6),1,IF(ISNUMBER($I214),$I214,0)))</f>
        <v/>
      </c>
      <c r="Z214" s="62">
        <f>IF($V214="","",IF(AND(ISNUMBER($G214),$G214&lt;=IF($S214=MesCiclo,InicioCiclo,$S214+MOD(2-WEEKDAY($S214),7))+13),1,IF(ISNUMBER($J214),$J214,$Y214)))</f>
        <v/>
      </c>
      <c r="AA214" s="62">
        <f>IF($V214="","",IF(AND(ISNUMBER($G214),$G214&lt;=IF($S214=MesCiclo,InicioCiclo,$S214+MOD(2-WEEKDAY($S214),7))+20),1,IF(ISNUMBER($K214),$K214,$Z214)))</f>
        <v/>
      </c>
      <c r="AB214" s="62">
        <f>IF($V214="","",IF(AND(ISNUMBER($G214),$G214&lt;=IF($S214=MesCiclo,InicioCiclo,$S214+MOD(2-WEEKDAY($S214),7))+27),1,IF(ISNUMBER($L214),$L214,$AA214)))</f>
        <v/>
      </c>
      <c r="AC214" s="62">
        <f>IF($V214="","",IF(AND(ISNUMBER($G214),$G214&lt;=IF($S214=MesCiclo,InicioCiclo,$S214+MOD(2-WEEKDAY($S214),7))+6),1,IF(N($W214)&gt;0,AVERAGEIFS($Y$5:$Y$1000,$U$5:$U$1000,ROW(),$V$5:$V$1000,"Sub"),$Y214)))</f>
        <v/>
      </c>
      <c r="AD214" s="62">
        <f>IF($V214="","",IF(AND(ISNUMBER($G214),$G214&lt;=IF($S214=MesCiclo,InicioCiclo,$S214+MOD(2-WEEKDAY($S214),7))+13),1,IF(N($W214)&gt;0,AVERAGEIFS($Z$5:$Z$1000,$U$5:$U$1000,ROW(),$V$5:$V$1000,"Sub"),$Z214)))</f>
        <v/>
      </c>
      <c r="AE214" s="62">
        <f>IF($V214="","",IF(AND(ISNUMBER($G214),$G214&lt;=IF($S214=MesCiclo,InicioCiclo,$S214+MOD(2-WEEKDAY($S214),7))+20),1,IF(N($W214)&gt;0,AVERAGEIFS($AA$5:$AA$1000,$U$5:$U$1000,ROW(),$V$5:$V$1000,"Sub"),$AA214)))</f>
        <v/>
      </c>
      <c r="AF214" s="62">
        <f>IF($V214="","",IF(AND(ISNUMBER($G214),$G214&lt;=IF($S214=MesCiclo,InicioCiclo,$S214+MOD(2-WEEKDAY($S214),7))+27),1,IF(N($W214)&gt;0,AVERAGEIFS($AB$5:$AB$1000,$U$5:$U$1000,ROW(),$V$5:$V$1000,"Sub"),$AB214)))</f>
        <v/>
      </c>
      <c r="AG214" s="62">
        <f>IF($V214&lt;&gt;"Macro","",IF(COUNTIFS($S$5:$S$1000,$S214,$V$5:$V$1000,"Macro",$H$5:$H$1000,"&gt;0")=0,1/COUNTIFS($S$5:$S$1000,$S214,$V$5:$V$1000,"Macro"),IF(AND(ISNUMBER($H214),N($H214)&gt;0),$H214,SUMIFS($H$5:$H$1000,$S$5:$S$1000,$S214,$V$5:$V$1000,"Macro")/COUNTIFS($S$5:$S$1000,$S214,$V$5:$V$1000,"Macro",$H$5:$H$1000,"&gt;0"))/(COUNTIFS($S$5:$S$1000,$S214,$V$5:$V$1000,"Macro")*SUMIFS($H$5:$H$1000,$S$5:$S$1000,$S214,$V$5:$V$1000,"Macro")/COUNTIFS($S$5:$S$1000,$S214,$V$5:$V$1000,"Macro",$H$5:$H$1000,"&gt;0"))))</f>
        <v/>
      </c>
      <c r="AH214" s="62" t="n"/>
      <c r="AI214" s="62" t="n"/>
      <c r="AJ214" s="62" t="n"/>
      <c r="AK214" s="62" t="n"/>
      <c r="AL214" s="62">
        <f>IF(LEFT($C214,11)="[Jefatura] ",IFERROR(MATCH("Riesgo Financiero|"&amp;MID($C214,12,500),rDname_ADM,0),0),"")</f>
        <v/>
      </c>
      <c r="AM214" s="62">
        <f>IF(N($AL214)&gt;0,INDEX(rIni_ADM,$AL214),IF(ISNUMBER($E214),$E214,""))</f>
        <v/>
      </c>
      <c r="AN214" s="62">
        <f>IF(N($AL214)&gt;0,INDEX(rLim_ADM,$AL214),IF(ISNUMBER($F214),$F214,""))</f>
        <v/>
      </c>
    </row>
    <row r="215">
      <c r="A215" s="56">
        <f>IF(NOT((COUNTA($B215:$D215)+COUNTA($G215:$L215)+COUNTA($Q215))&gt;0),"",IF($V215="Macro",COUNTIFS($V$5:$V215,"Macro",$S$5:$S215,$S215),IF(N($U215)=0,"?",COUNTIFS(INDEX($V$5:$V$1000,1):INDEX($V$5:$V$1000,$U215-4),"Macro",INDEX($S$5:$S$1000,1):INDEX($S$5:$S$1000,$U215-4),INDEX($S$5:$S$1000,$U215-4))&amp;"."&amp;COUNTIFS($U$5:$U215,$U215,$V$5:$V215,"Sub"))))</f>
        <v/>
      </c>
      <c r="B215" s="57" t="n"/>
      <c r="C215" s="58" t="n"/>
      <c r="D215" s="58" t="n"/>
      <c r="E215" s="59">
        <f>IF(N($AL215)&gt;0,INDEX(rIni_ADM,$AL215),"")</f>
        <v/>
      </c>
      <c r="F215" s="59">
        <f>IF(N($AL215)&gt;0,INDEX(rLim_ADM,$AL215),"")</f>
        <v/>
      </c>
      <c r="G215" s="59" t="n"/>
      <c r="H215" s="60" t="n"/>
      <c r="I215" s="60" t="n"/>
      <c r="J215" s="60" t="n"/>
      <c r="K215" s="60" t="n"/>
      <c r="L215" s="60" t="n"/>
      <c r="M215" s="61">
        <f>IF(NOT((COUNTA($B215:$D215)+COUNTA($G215:$L215)+COUNTA($Q215))&gt;0),"",IF(ISNUMBER($G215),1,IF(N($W215)&gt;0,AVERAGEIFS($X$5:$X$1000,$U$5:$U$1000,ROW(),$V$5:$V$1000,"Sub"),$X215)))</f>
        <v/>
      </c>
      <c r="N215" s="56">
        <f>IF($M215="","",IF($M215&gt;=1,"Completado",IF($M215&gt;0,"En curso","Pendiente")))</f>
        <v/>
      </c>
      <c r="O215" s="56">
        <f>IF(NOT((COUNTA($B215:$D215)+COUNTA($G215:$L215)+COUNTA($Q215))&gt;0),"",IF(ISNUMBER($G215),IF(AND(ISNUMBER($AN215),$G215&gt;$AN215),"Cumplida con "&amp;($G215-$AN215)&amp;IF($G215-$AN215=1," día"," días")&amp;" de retraso","Cumplida"),IF(N($M215)&gt;=1,"Cumplida",IF(NOT(ISNUMBER($AN215)),"Sin fecha límite",IF($AN215&lt;FechaRef,"Vencida hace "&amp;(FechaRef-$AN215)&amp;IF(FechaRef-$AN215=1," día"," días"),IF($AN215=FechaRef,"Vence hoy",IF($AN215-FechaRef&lt;=DiasAlerta,"Vence en "&amp;($AN215-FechaRef)&amp;IF($AN215-FechaRef=1," día"," días"),"En plazo")))))))</f>
        <v/>
      </c>
      <c r="P215" s="62" t="n"/>
      <c r="Q215" s="58" t="n"/>
      <c r="R215" s="63">
        <f>IF(NOT((COUNTA($B215:$D215)+COUNTA($G215:$L215)+COUNTA($Q215))&gt;0),"",IF((IF($C215="","Falta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",""))="","✔ OK","⚠ "&amp;LEFT(IF($C215="","Falta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",""),LEN(IF($C215="","Falta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",""))-3)))</f>
        <v/>
      </c>
      <c r="S215" s="64">
        <f>IF(NOT((COUNTA($B215:$D215)+COUNTA($G215:$L215)+COUNTA($Q215))&gt;0),"",IF(AND($V215="Sub",N($U215)&gt;0),IF(ISNUMBER(INDEX($AM$5:$AM$1000,$U215-4)),DATE(YEAR(INDEX($AM$5:$AM$1000,$U215-4)),MONTH(INDEX($AM$5:$AM$1000,$U215-4)),1),IF(ISNUMBER(INDEX($AN$5:$AN$1000,$U215-4)),DATE(YEAR(INDEX($AN$5:$AN$1000,$U215-4)),MONTH(INDEX($AN$5:$AN$1000,$U215-4)),1),MesCiclo)),IF(ISNUMBER($AM215),DATE(YEAR($AM215),MONTH($AM215),1),IF(ISNUMBER($AN215),DATE(YEAR($AN215),MONTH($AN215),1),MesCiclo))))</f>
        <v/>
      </c>
      <c r="T215" s="62">
        <f>IF(OR($S215="",$S215&lt;&gt;MesCiclo),"",COUNTIF($S$5:$S215,MesCiclo))</f>
        <v/>
      </c>
      <c r="U215" s="62">
        <f>IF($V215="","",IF($V215="Macro",ROW(),IFERROR(LOOKUP(2,1/($V$5:$V215="Macro"),ROW($V$5:$V215)),0)))</f>
        <v/>
      </c>
      <c r="V215" s="62">
        <f>IF(NOT((COUNTA($B215:$D215)+COUNTA($G215:$L215)+COUNTA($Q215))&gt;0),"",IF($B215="Subactividad","Sub","Macro"))</f>
        <v/>
      </c>
      <c r="W215" s="62">
        <f>IF($V215="Macro",COUNTIFS($U$5:$U$1000,ROW(),$V$5:$V$1000,"Sub"),"")</f>
        <v/>
      </c>
      <c r="X215" s="62">
        <f>IF($V215="","",IF(ISNUMBER($G215),1,IFERROR(LOOKUP(2,1/($I215:$L215&lt;&gt;""),$I215:$L215),0)))</f>
        <v/>
      </c>
      <c r="Y215" s="62">
        <f>IF($V215="","",IF(AND(ISNUMBER($G215),$G215&lt;=IF($S215=MesCiclo,InicioCiclo,$S215+MOD(2-WEEKDAY($S215),7))+6),1,IF(ISNUMBER($I215),$I215,0)))</f>
        <v/>
      </c>
      <c r="Z215" s="62">
        <f>IF($V215="","",IF(AND(ISNUMBER($G215),$G215&lt;=IF($S215=MesCiclo,InicioCiclo,$S215+MOD(2-WEEKDAY($S215),7))+13),1,IF(ISNUMBER($J215),$J215,$Y215)))</f>
        <v/>
      </c>
      <c r="AA215" s="62">
        <f>IF($V215="","",IF(AND(ISNUMBER($G215),$G215&lt;=IF($S215=MesCiclo,InicioCiclo,$S215+MOD(2-WEEKDAY($S215),7))+20),1,IF(ISNUMBER($K215),$K215,$Z215)))</f>
        <v/>
      </c>
      <c r="AB215" s="62">
        <f>IF($V215="","",IF(AND(ISNUMBER($G215),$G215&lt;=IF($S215=MesCiclo,InicioCiclo,$S215+MOD(2-WEEKDAY($S215),7))+27),1,IF(ISNUMBER($L215),$L215,$AA215)))</f>
        <v/>
      </c>
      <c r="AC215" s="62">
        <f>IF($V215="","",IF(AND(ISNUMBER($G215),$G215&lt;=IF($S215=MesCiclo,InicioCiclo,$S215+MOD(2-WEEKDAY($S215),7))+6),1,IF(N($W215)&gt;0,AVERAGEIFS($Y$5:$Y$1000,$U$5:$U$1000,ROW(),$V$5:$V$1000,"Sub"),$Y215)))</f>
        <v/>
      </c>
      <c r="AD215" s="62">
        <f>IF($V215="","",IF(AND(ISNUMBER($G215),$G215&lt;=IF($S215=MesCiclo,InicioCiclo,$S215+MOD(2-WEEKDAY($S215),7))+13),1,IF(N($W215)&gt;0,AVERAGEIFS($Z$5:$Z$1000,$U$5:$U$1000,ROW(),$V$5:$V$1000,"Sub"),$Z215)))</f>
        <v/>
      </c>
      <c r="AE215" s="62">
        <f>IF($V215="","",IF(AND(ISNUMBER($G215),$G215&lt;=IF($S215=MesCiclo,InicioCiclo,$S215+MOD(2-WEEKDAY($S215),7))+20),1,IF(N($W215)&gt;0,AVERAGEIFS($AA$5:$AA$1000,$U$5:$U$1000,ROW(),$V$5:$V$1000,"Sub"),$AA215)))</f>
        <v/>
      </c>
      <c r="AF215" s="62">
        <f>IF($V215="","",IF(AND(ISNUMBER($G215),$G215&lt;=IF($S215=MesCiclo,InicioCiclo,$S215+MOD(2-WEEKDAY($S215),7))+27),1,IF(N($W215)&gt;0,AVERAGEIFS($AB$5:$AB$1000,$U$5:$U$1000,ROW(),$V$5:$V$1000,"Sub"),$AB215)))</f>
        <v/>
      </c>
      <c r="AG215" s="62">
        <f>IF($V215&lt;&gt;"Macro","",IF(COUNTIFS($S$5:$S$1000,$S215,$V$5:$V$1000,"Macro",$H$5:$H$1000,"&gt;0")=0,1/COUNTIFS($S$5:$S$1000,$S215,$V$5:$V$1000,"Macro"),IF(AND(ISNUMBER($H215),N($H215)&gt;0),$H215,SUMIFS($H$5:$H$1000,$S$5:$S$1000,$S215,$V$5:$V$1000,"Macro")/COUNTIFS($S$5:$S$1000,$S215,$V$5:$V$1000,"Macro",$H$5:$H$1000,"&gt;0"))/(COUNTIFS($S$5:$S$1000,$S215,$V$5:$V$1000,"Macro")*SUMIFS($H$5:$H$1000,$S$5:$S$1000,$S215,$V$5:$V$1000,"Macro")/COUNTIFS($S$5:$S$1000,$S215,$V$5:$V$1000,"Macro",$H$5:$H$1000,"&gt;0"))))</f>
        <v/>
      </c>
      <c r="AH215" s="62" t="n"/>
      <c r="AI215" s="62" t="n"/>
      <c r="AJ215" s="62" t="n"/>
      <c r="AK215" s="62" t="n"/>
      <c r="AL215" s="62">
        <f>IF(LEFT($C215,11)="[Jefatura] ",IFERROR(MATCH("Riesgo Financiero|"&amp;MID($C215,12,500),rDname_ADM,0),0),"")</f>
        <v/>
      </c>
      <c r="AM215" s="62">
        <f>IF(N($AL215)&gt;0,INDEX(rIni_ADM,$AL215),IF(ISNUMBER($E215),$E215,""))</f>
        <v/>
      </c>
      <c r="AN215" s="62">
        <f>IF(N($AL215)&gt;0,INDEX(rLim_ADM,$AL215),IF(ISNUMBER($F215),$F215,""))</f>
        <v/>
      </c>
    </row>
    <row r="216">
      <c r="A216" s="56">
        <f>IF(NOT((COUNTA($B216:$D216)+COUNTA($G216:$L216)+COUNTA($Q216))&gt;0),"",IF($V216="Macro",COUNTIFS($V$5:$V216,"Macro",$S$5:$S216,$S216),IF(N($U216)=0,"?",COUNTIFS(INDEX($V$5:$V$1000,1):INDEX($V$5:$V$1000,$U216-4),"Macro",INDEX($S$5:$S$1000,1):INDEX($S$5:$S$1000,$U216-4),INDEX($S$5:$S$1000,$U216-4))&amp;"."&amp;COUNTIFS($U$5:$U216,$U216,$V$5:$V216,"Sub"))))</f>
        <v/>
      </c>
      <c r="B216" s="57" t="n"/>
      <c r="C216" s="58" t="n"/>
      <c r="D216" s="58" t="n"/>
      <c r="E216" s="59">
        <f>IF(N($AL216)&gt;0,INDEX(rIni_ADM,$AL216),"")</f>
        <v/>
      </c>
      <c r="F216" s="59">
        <f>IF(N($AL216)&gt;0,INDEX(rLim_ADM,$AL216),"")</f>
        <v/>
      </c>
      <c r="G216" s="59" t="n"/>
      <c r="H216" s="60" t="n"/>
      <c r="I216" s="60" t="n"/>
      <c r="J216" s="60" t="n"/>
      <c r="K216" s="60" t="n"/>
      <c r="L216" s="60" t="n"/>
      <c r="M216" s="61">
        <f>IF(NOT((COUNTA($B216:$D216)+COUNTA($G216:$L216)+COUNTA($Q216))&gt;0),"",IF(ISNUMBER($G216),1,IF(N($W216)&gt;0,AVERAGEIFS($X$5:$X$1000,$U$5:$U$1000,ROW(),$V$5:$V$1000,"Sub"),$X216)))</f>
        <v/>
      </c>
      <c r="N216" s="56">
        <f>IF($M216="","",IF($M216&gt;=1,"Completado",IF($M216&gt;0,"En curso","Pendiente")))</f>
        <v/>
      </c>
      <c r="O216" s="56">
        <f>IF(NOT((COUNTA($B216:$D216)+COUNTA($G216:$L216)+COUNTA($Q216))&gt;0),"",IF(ISNUMBER($G216),IF(AND(ISNUMBER($AN216),$G216&gt;$AN216),"Cumplida con "&amp;($G216-$AN216)&amp;IF($G216-$AN216=1," día"," días")&amp;" de retraso","Cumplida"),IF(N($M216)&gt;=1,"Cumplida",IF(NOT(ISNUMBER($AN216)),"Sin fecha límite",IF($AN216&lt;FechaRef,"Vencida hace "&amp;(FechaRef-$AN216)&amp;IF(FechaRef-$AN216=1," día"," días"),IF($AN216=FechaRef,"Vence hoy",IF($AN216-FechaRef&lt;=DiasAlerta,"Vence en "&amp;($AN216-FechaRef)&amp;IF($AN216-FechaRef=1," día"," días"),"En plazo")))))))</f>
        <v/>
      </c>
      <c r="P216" s="62" t="n"/>
      <c r="Q216" s="58" t="n"/>
      <c r="R216" s="63">
        <f>IF(NOT((COUNTA($B216:$D216)+COUNTA($G216:$L216)+COUNTA($Q216))&gt;0),"",IF((IF($C216="","Falta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",""))="","✔ OK","⚠ "&amp;LEFT(IF($C216="","Falta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",""),LEN(IF($C216="","Falta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",""))-3)))</f>
        <v/>
      </c>
      <c r="S216" s="64">
        <f>IF(NOT((COUNTA($B216:$D216)+COUNTA($G216:$L216)+COUNTA($Q216))&gt;0),"",IF(AND($V216="Sub",N($U216)&gt;0),IF(ISNUMBER(INDEX($AM$5:$AM$1000,$U216-4)),DATE(YEAR(INDEX($AM$5:$AM$1000,$U216-4)),MONTH(INDEX($AM$5:$AM$1000,$U216-4)),1),IF(ISNUMBER(INDEX($AN$5:$AN$1000,$U216-4)),DATE(YEAR(INDEX($AN$5:$AN$1000,$U216-4)),MONTH(INDEX($AN$5:$AN$1000,$U216-4)),1),MesCiclo)),IF(ISNUMBER($AM216),DATE(YEAR($AM216),MONTH($AM216),1),IF(ISNUMBER($AN216),DATE(YEAR($AN216),MONTH($AN216),1),MesCiclo))))</f>
        <v/>
      </c>
      <c r="T216" s="62">
        <f>IF(OR($S216="",$S216&lt;&gt;MesCiclo),"",COUNTIF($S$5:$S216,MesCiclo))</f>
        <v/>
      </c>
      <c r="U216" s="62">
        <f>IF($V216="","",IF($V216="Macro",ROW(),IFERROR(LOOKUP(2,1/($V$5:$V216="Macro"),ROW($V$5:$V216)),0)))</f>
        <v/>
      </c>
      <c r="V216" s="62">
        <f>IF(NOT((COUNTA($B216:$D216)+COUNTA($G216:$L216)+COUNTA($Q216))&gt;0),"",IF($B216="Subactividad","Sub","Macro"))</f>
        <v/>
      </c>
      <c r="W216" s="62">
        <f>IF($V216="Macro",COUNTIFS($U$5:$U$1000,ROW(),$V$5:$V$1000,"Sub"),"")</f>
        <v/>
      </c>
      <c r="X216" s="62">
        <f>IF($V216="","",IF(ISNUMBER($G216),1,IFERROR(LOOKUP(2,1/($I216:$L216&lt;&gt;""),$I216:$L216),0)))</f>
        <v/>
      </c>
      <c r="Y216" s="62">
        <f>IF($V216="","",IF(AND(ISNUMBER($G216),$G216&lt;=IF($S216=MesCiclo,InicioCiclo,$S216+MOD(2-WEEKDAY($S216),7))+6),1,IF(ISNUMBER($I216),$I216,0)))</f>
        <v/>
      </c>
      <c r="Z216" s="62">
        <f>IF($V216="","",IF(AND(ISNUMBER($G216),$G216&lt;=IF($S216=MesCiclo,InicioCiclo,$S216+MOD(2-WEEKDAY($S216),7))+13),1,IF(ISNUMBER($J216),$J216,$Y216)))</f>
        <v/>
      </c>
      <c r="AA216" s="62">
        <f>IF($V216="","",IF(AND(ISNUMBER($G216),$G216&lt;=IF($S216=MesCiclo,InicioCiclo,$S216+MOD(2-WEEKDAY($S216),7))+20),1,IF(ISNUMBER($K216),$K216,$Z216)))</f>
        <v/>
      </c>
      <c r="AB216" s="62">
        <f>IF($V216="","",IF(AND(ISNUMBER($G216),$G216&lt;=IF($S216=MesCiclo,InicioCiclo,$S216+MOD(2-WEEKDAY($S216),7))+27),1,IF(ISNUMBER($L216),$L216,$AA216)))</f>
        <v/>
      </c>
      <c r="AC216" s="62">
        <f>IF($V216="","",IF(AND(ISNUMBER($G216),$G216&lt;=IF($S216=MesCiclo,InicioCiclo,$S216+MOD(2-WEEKDAY($S216),7))+6),1,IF(N($W216)&gt;0,AVERAGEIFS($Y$5:$Y$1000,$U$5:$U$1000,ROW(),$V$5:$V$1000,"Sub"),$Y216)))</f>
        <v/>
      </c>
      <c r="AD216" s="62">
        <f>IF($V216="","",IF(AND(ISNUMBER($G216),$G216&lt;=IF($S216=MesCiclo,InicioCiclo,$S216+MOD(2-WEEKDAY($S216),7))+13),1,IF(N($W216)&gt;0,AVERAGEIFS($Z$5:$Z$1000,$U$5:$U$1000,ROW(),$V$5:$V$1000,"Sub"),$Z216)))</f>
        <v/>
      </c>
      <c r="AE216" s="62">
        <f>IF($V216="","",IF(AND(ISNUMBER($G216),$G216&lt;=IF($S216=MesCiclo,InicioCiclo,$S216+MOD(2-WEEKDAY($S216),7))+20),1,IF(N($W216)&gt;0,AVERAGEIFS($AA$5:$AA$1000,$U$5:$U$1000,ROW(),$V$5:$V$1000,"Sub"),$AA216)))</f>
        <v/>
      </c>
      <c r="AF216" s="62">
        <f>IF($V216="","",IF(AND(ISNUMBER($G216),$G216&lt;=IF($S216=MesCiclo,InicioCiclo,$S216+MOD(2-WEEKDAY($S216),7))+27),1,IF(N($W216)&gt;0,AVERAGEIFS($AB$5:$AB$1000,$U$5:$U$1000,ROW(),$V$5:$V$1000,"Sub"),$AB216)))</f>
        <v/>
      </c>
      <c r="AG216" s="62">
        <f>IF($V216&lt;&gt;"Macro","",IF(COUNTIFS($S$5:$S$1000,$S216,$V$5:$V$1000,"Macro",$H$5:$H$1000,"&gt;0")=0,1/COUNTIFS($S$5:$S$1000,$S216,$V$5:$V$1000,"Macro"),IF(AND(ISNUMBER($H216),N($H216)&gt;0),$H216,SUMIFS($H$5:$H$1000,$S$5:$S$1000,$S216,$V$5:$V$1000,"Macro")/COUNTIFS($S$5:$S$1000,$S216,$V$5:$V$1000,"Macro",$H$5:$H$1000,"&gt;0"))/(COUNTIFS($S$5:$S$1000,$S216,$V$5:$V$1000,"Macro")*SUMIFS($H$5:$H$1000,$S$5:$S$1000,$S216,$V$5:$V$1000,"Macro")/COUNTIFS($S$5:$S$1000,$S216,$V$5:$V$1000,"Macro",$H$5:$H$1000,"&gt;0"))))</f>
        <v/>
      </c>
      <c r="AH216" s="62" t="n"/>
      <c r="AI216" s="62" t="n"/>
      <c r="AJ216" s="62" t="n"/>
      <c r="AK216" s="62" t="n"/>
      <c r="AL216" s="62">
        <f>IF(LEFT($C216,11)="[Jefatura] ",IFERROR(MATCH("Riesgo Financiero|"&amp;MID($C216,12,500),rDname_ADM,0),0),"")</f>
        <v/>
      </c>
      <c r="AM216" s="62">
        <f>IF(N($AL216)&gt;0,INDEX(rIni_ADM,$AL216),IF(ISNUMBER($E216),$E216,""))</f>
        <v/>
      </c>
      <c r="AN216" s="62">
        <f>IF(N($AL216)&gt;0,INDEX(rLim_ADM,$AL216),IF(ISNUMBER($F216),$F216,""))</f>
        <v/>
      </c>
    </row>
    <row r="217">
      <c r="A217" s="56">
        <f>IF(NOT((COUNTA($B217:$D217)+COUNTA($G217:$L217)+COUNTA($Q217))&gt;0),"",IF($V217="Macro",COUNTIFS($V$5:$V217,"Macro",$S$5:$S217,$S217),IF(N($U217)=0,"?",COUNTIFS(INDEX($V$5:$V$1000,1):INDEX($V$5:$V$1000,$U217-4),"Macro",INDEX($S$5:$S$1000,1):INDEX($S$5:$S$1000,$U217-4),INDEX($S$5:$S$1000,$U217-4))&amp;"."&amp;COUNTIFS($U$5:$U217,$U217,$V$5:$V217,"Sub"))))</f>
        <v/>
      </c>
      <c r="B217" s="57" t="n"/>
      <c r="C217" s="58" t="n"/>
      <c r="D217" s="58" t="n"/>
      <c r="E217" s="59">
        <f>IF(N($AL217)&gt;0,INDEX(rIni_ADM,$AL217),"")</f>
        <v/>
      </c>
      <c r="F217" s="59">
        <f>IF(N($AL217)&gt;0,INDEX(rLim_ADM,$AL217),"")</f>
        <v/>
      </c>
      <c r="G217" s="59" t="n"/>
      <c r="H217" s="60" t="n"/>
      <c r="I217" s="60" t="n"/>
      <c r="J217" s="60" t="n"/>
      <c r="K217" s="60" t="n"/>
      <c r="L217" s="60" t="n"/>
      <c r="M217" s="61">
        <f>IF(NOT((COUNTA($B217:$D217)+COUNTA($G217:$L217)+COUNTA($Q217))&gt;0),"",IF(ISNUMBER($G217),1,IF(N($W217)&gt;0,AVERAGEIFS($X$5:$X$1000,$U$5:$U$1000,ROW(),$V$5:$V$1000,"Sub"),$X217)))</f>
        <v/>
      </c>
      <c r="N217" s="56">
        <f>IF($M217="","",IF($M217&gt;=1,"Completado",IF($M217&gt;0,"En curso","Pendiente")))</f>
        <v/>
      </c>
      <c r="O217" s="56">
        <f>IF(NOT((COUNTA($B217:$D217)+COUNTA($G217:$L217)+COUNTA($Q217))&gt;0),"",IF(ISNUMBER($G217),IF(AND(ISNUMBER($AN217),$G217&gt;$AN217),"Cumplida con "&amp;($G217-$AN217)&amp;IF($G217-$AN217=1," día"," días")&amp;" de retraso","Cumplida"),IF(N($M217)&gt;=1,"Cumplida",IF(NOT(ISNUMBER($AN217)),"Sin fecha límite",IF($AN217&lt;FechaRef,"Vencida hace "&amp;(FechaRef-$AN217)&amp;IF(FechaRef-$AN217=1," día"," días"),IF($AN217=FechaRef,"Vence hoy",IF($AN217-FechaRef&lt;=DiasAlerta,"Vence en "&amp;($AN217-FechaRef)&amp;IF($AN217-FechaRef=1," día"," días"),"En plazo")))))))</f>
        <v/>
      </c>
      <c r="P217" s="62" t="n"/>
      <c r="Q217" s="58" t="n"/>
      <c r="R217" s="63">
        <f>IF(NOT((COUNTA($B217:$D217)+COUNTA($G217:$L217)+COUNTA($Q217))&gt;0),"",IF((IF($C217="","Falta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",""))="","✔ OK","⚠ "&amp;LEFT(IF($C217="","Falta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",""),LEN(IF($C217="","Falta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",""))-3)))</f>
        <v/>
      </c>
      <c r="S217" s="64">
        <f>IF(NOT((COUNTA($B217:$D217)+COUNTA($G217:$L217)+COUNTA($Q217))&gt;0),"",IF(AND($V217="Sub",N($U217)&gt;0),IF(ISNUMBER(INDEX($AM$5:$AM$1000,$U217-4)),DATE(YEAR(INDEX($AM$5:$AM$1000,$U217-4)),MONTH(INDEX($AM$5:$AM$1000,$U217-4)),1),IF(ISNUMBER(INDEX($AN$5:$AN$1000,$U217-4)),DATE(YEAR(INDEX($AN$5:$AN$1000,$U217-4)),MONTH(INDEX($AN$5:$AN$1000,$U217-4)),1),MesCiclo)),IF(ISNUMBER($AM217),DATE(YEAR($AM217),MONTH($AM217),1),IF(ISNUMBER($AN217),DATE(YEAR($AN217),MONTH($AN217),1),MesCiclo))))</f>
        <v/>
      </c>
      <c r="T217" s="62">
        <f>IF(OR($S217="",$S217&lt;&gt;MesCiclo),"",COUNTIF($S$5:$S217,MesCiclo))</f>
        <v/>
      </c>
      <c r="U217" s="62">
        <f>IF($V217="","",IF($V217="Macro",ROW(),IFERROR(LOOKUP(2,1/($V$5:$V217="Macro"),ROW($V$5:$V217)),0)))</f>
        <v/>
      </c>
      <c r="V217" s="62">
        <f>IF(NOT((COUNTA($B217:$D217)+COUNTA($G217:$L217)+COUNTA($Q217))&gt;0),"",IF($B217="Subactividad","Sub","Macro"))</f>
        <v/>
      </c>
      <c r="W217" s="62">
        <f>IF($V217="Macro",COUNTIFS($U$5:$U$1000,ROW(),$V$5:$V$1000,"Sub"),"")</f>
        <v/>
      </c>
      <c r="X217" s="62">
        <f>IF($V217="","",IF(ISNUMBER($G217),1,IFERROR(LOOKUP(2,1/($I217:$L217&lt;&gt;""),$I217:$L217),0)))</f>
        <v/>
      </c>
      <c r="Y217" s="62">
        <f>IF($V217="","",IF(AND(ISNUMBER($G217),$G217&lt;=IF($S217=MesCiclo,InicioCiclo,$S217+MOD(2-WEEKDAY($S217),7))+6),1,IF(ISNUMBER($I217),$I217,0)))</f>
        <v/>
      </c>
      <c r="Z217" s="62">
        <f>IF($V217="","",IF(AND(ISNUMBER($G217),$G217&lt;=IF($S217=MesCiclo,InicioCiclo,$S217+MOD(2-WEEKDAY($S217),7))+13),1,IF(ISNUMBER($J217),$J217,$Y217)))</f>
        <v/>
      </c>
      <c r="AA217" s="62">
        <f>IF($V217="","",IF(AND(ISNUMBER($G217),$G217&lt;=IF($S217=MesCiclo,InicioCiclo,$S217+MOD(2-WEEKDAY($S217),7))+20),1,IF(ISNUMBER($K217),$K217,$Z217)))</f>
        <v/>
      </c>
      <c r="AB217" s="62">
        <f>IF($V217="","",IF(AND(ISNUMBER($G217),$G217&lt;=IF($S217=MesCiclo,InicioCiclo,$S217+MOD(2-WEEKDAY($S217),7))+27),1,IF(ISNUMBER($L217),$L217,$AA217)))</f>
        <v/>
      </c>
      <c r="AC217" s="62">
        <f>IF($V217="","",IF(AND(ISNUMBER($G217),$G217&lt;=IF($S217=MesCiclo,InicioCiclo,$S217+MOD(2-WEEKDAY($S217),7))+6),1,IF(N($W217)&gt;0,AVERAGEIFS($Y$5:$Y$1000,$U$5:$U$1000,ROW(),$V$5:$V$1000,"Sub"),$Y217)))</f>
        <v/>
      </c>
      <c r="AD217" s="62">
        <f>IF($V217="","",IF(AND(ISNUMBER($G217),$G217&lt;=IF($S217=MesCiclo,InicioCiclo,$S217+MOD(2-WEEKDAY($S217),7))+13),1,IF(N($W217)&gt;0,AVERAGEIFS($Z$5:$Z$1000,$U$5:$U$1000,ROW(),$V$5:$V$1000,"Sub"),$Z217)))</f>
        <v/>
      </c>
      <c r="AE217" s="62">
        <f>IF($V217="","",IF(AND(ISNUMBER($G217),$G217&lt;=IF($S217=MesCiclo,InicioCiclo,$S217+MOD(2-WEEKDAY($S217),7))+20),1,IF(N($W217)&gt;0,AVERAGEIFS($AA$5:$AA$1000,$U$5:$U$1000,ROW(),$V$5:$V$1000,"Sub"),$AA217)))</f>
        <v/>
      </c>
      <c r="AF217" s="62">
        <f>IF($V217="","",IF(AND(ISNUMBER($G217),$G217&lt;=IF($S217=MesCiclo,InicioCiclo,$S217+MOD(2-WEEKDAY($S217),7))+27),1,IF(N($W217)&gt;0,AVERAGEIFS($AB$5:$AB$1000,$U$5:$U$1000,ROW(),$V$5:$V$1000,"Sub"),$AB217)))</f>
        <v/>
      </c>
      <c r="AG217" s="62">
        <f>IF($V217&lt;&gt;"Macro","",IF(COUNTIFS($S$5:$S$1000,$S217,$V$5:$V$1000,"Macro",$H$5:$H$1000,"&gt;0")=0,1/COUNTIFS($S$5:$S$1000,$S217,$V$5:$V$1000,"Macro"),IF(AND(ISNUMBER($H217),N($H217)&gt;0),$H217,SUMIFS($H$5:$H$1000,$S$5:$S$1000,$S217,$V$5:$V$1000,"Macro")/COUNTIFS($S$5:$S$1000,$S217,$V$5:$V$1000,"Macro",$H$5:$H$1000,"&gt;0"))/(COUNTIFS($S$5:$S$1000,$S217,$V$5:$V$1000,"Macro")*SUMIFS($H$5:$H$1000,$S$5:$S$1000,$S217,$V$5:$V$1000,"Macro")/COUNTIFS($S$5:$S$1000,$S217,$V$5:$V$1000,"Macro",$H$5:$H$1000,"&gt;0"))))</f>
        <v/>
      </c>
      <c r="AH217" s="62" t="n"/>
      <c r="AI217" s="62" t="n"/>
      <c r="AJ217" s="62" t="n"/>
      <c r="AK217" s="62" t="n"/>
      <c r="AL217" s="62">
        <f>IF(LEFT($C217,11)="[Jefatura] ",IFERROR(MATCH("Riesgo Financiero|"&amp;MID($C217,12,500),rDname_ADM,0),0),"")</f>
        <v/>
      </c>
      <c r="AM217" s="62">
        <f>IF(N($AL217)&gt;0,INDEX(rIni_ADM,$AL217),IF(ISNUMBER($E217),$E217,""))</f>
        <v/>
      </c>
      <c r="AN217" s="62">
        <f>IF(N($AL217)&gt;0,INDEX(rLim_ADM,$AL217),IF(ISNUMBER($F217),$F217,""))</f>
        <v/>
      </c>
    </row>
    <row r="218">
      <c r="A218" s="56">
        <f>IF(NOT((COUNTA($B218:$D218)+COUNTA($G218:$L218)+COUNTA($Q218))&gt;0),"",IF($V218="Macro",COUNTIFS($V$5:$V218,"Macro",$S$5:$S218,$S218),IF(N($U218)=0,"?",COUNTIFS(INDEX($V$5:$V$1000,1):INDEX($V$5:$V$1000,$U218-4),"Macro",INDEX($S$5:$S$1000,1):INDEX($S$5:$S$1000,$U218-4),INDEX($S$5:$S$1000,$U218-4))&amp;"."&amp;COUNTIFS($U$5:$U218,$U218,$V$5:$V218,"Sub"))))</f>
        <v/>
      </c>
      <c r="B218" s="57" t="n"/>
      <c r="C218" s="58" t="n"/>
      <c r="D218" s="58" t="n"/>
      <c r="E218" s="59">
        <f>IF(N($AL218)&gt;0,INDEX(rIni_ADM,$AL218),"")</f>
        <v/>
      </c>
      <c r="F218" s="59">
        <f>IF(N($AL218)&gt;0,INDEX(rLim_ADM,$AL218),"")</f>
        <v/>
      </c>
      <c r="G218" s="59" t="n"/>
      <c r="H218" s="60" t="n"/>
      <c r="I218" s="60" t="n"/>
      <c r="J218" s="60" t="n"/>
      <c r="K218" s="60" t="n"/>
      <c r="L218" s="60" t="n"/>
      <c r="M218" s="61">
        <f>IF(NOT((COUNTA($B218:$D218)+COUNTA($G218:$L218)+COUNTA($Q218))&gt;0),"",IF(ISNUMBER($G218),1,IF(N($W218)&gt;0,AVERAGEIFS($X$5:$X$1000,$U$5:$U$1000,ROW(),$V$5:$V$1000,"Sub"),$X218)))</f>
        <v/>
      </c>
      <c r="N218" s="56">
        <f>IF($M218="","",IF($M218&gt;=1,"Completado",IF($M218&gt;0,"En curso","Pendiente")))</f>
        <v/>
      </c>
      <c r="O218" s="56">
        <f>IF(NOT((COUNTA($B218:$D218)+COUNTA($G218:$L218)+COUNTA($Q218))&gt;0),"",IF(ISNUMBER($G218),IF(AND(ISNUMBER($AN218),$G218&gt;$AN218),"Cumplida con "&amp;($G218-$AN218)&amp;IF($G218-$AN218=1," día"," días")&amp;" de retraso","Cumplida"),IF(N($M218)&gt;=1,"Cumplida",IF(NOT(ISNUMBER($AN218)),"Sin fecha límite",IF($AN218&lt;FechaRef,"Vencida hace "&amp;(FechaRef-$AN218)&amp;IF(FechaRef-$AN218=1," día"," días"),IF($AN218=FechaRef,"Vence hoy",IF($AN218-FechaRef&lt;=DiasAlerta,"Vence en "&amp;($AN218-FechaRef)&amp;IF($AN218-FechaRef=1," día"," días"),"En plazo")))))))</f>
        <v/>
      </c>
      <c r="P218" s="62" t="n"/>
      <c r="Q218" s="58" t="n"/>
      <c r="R218" s="63">
        <f>IF(NOT((COUNTA($B218:$D218)+COUNTA($G218:$L218)+COUNTA($Q218))&gt;0),"",IF((IF($C218="","Falta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",""))="","✔ OK","⚠ "&amp;LEFT(IF($C218="","Falta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",""),LEN(IF($C218="","Falta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",""))-3)))</f>
        <v/>
      </c>
      <c r="S218" s="64">
        <f>IF(NOT((COUNTA($B218:$D218)+COUNTA($G218:$L218)+COUNTA($Q218))&gt;0),"",IF(AND($V218="Sub",N($U218)&gt;0),IF(ISNUMBER(INDEX($AM$5:$AM$1000,$U218-4)),DATE(YEAR(INDEX($AM$5:$AM$1000,$U218-4)),MONTH(INDEX($AM$5:$AM$1000,$U218-4)),1),IF(ISNUMBER(INDEX($AN$5:$AN$1000,$U218-4)),DATE(YEAR(INDEX($AN$5:$AN$1000,$U218-4)),MONTH(INDEX($AN$5:$AN$1000,$U218-4)),1),MesCiclo)),IF(ISNUMBER($AM218),DATE(YEAR($AM218),MONTH($AM218),1),IF(ISNUMBER($AN218),DATE(YEAR($AN218),MONTH($AN218),1),MesCiclo))))</f>
        <v/>
      </c>
      <c r="T218" s="62">
        <f>IF(OR($S218="",$S218&lt;&gt;MesCiclo),"",COUNTIF($S$5:$S218,MesCiclo))</f>
        <v/>
      </c>
      <c r="U218" s="62">
        <f>IF($V218="","",IF($V218="Macro",ROW(),IFERROR(LOOKUP(2,1/($V$5:$V218="Macro"),ROW($V$5:$V218)),0)))</f>
        <v/>
      </c>
      <c r="V218" s="62">
        <f>IF(NOT((COUNTA($B218:$D218)+COUNTA($G218:$L218)+COUNTA($Q218))&gt;0),"",IF($B218="Subactividad","Sub","Macro"))</f>
        <v/>
      </c>
      <c r="W218" s="62">
        <f>IF($V218="Macro",COUNTIFS($U$5:$U$1000,ROW(),$V$5:$V$1000,"Sub"),"")</f>
        <v/>
      </c>
      <c r="X218" s="62">
        <f>IF($V218="","",IF(ISNUMBER($G218),1,IFERROR(LOOKUP(2,1/($I218:$L218&lt;&gt;""),$I218:$L218),0)))</f>
        <v/>
      </c>
      <c r="Y218" s="62">
        <f>IF($V218="","",IF(AND(ISNUMBER($G218),$G218&lt;=IF($S218=MesCiclo,InicioCiclo,$S218+MOD(2-WEEKDAY($S218),7))+6),1,IF(ISNUMBER($I218),$I218,0)))</f>
        <v/>
      </c>
      <c r="Z218" s="62">
        <f>IF($V218="","",IF(AND(ISNUMBER($G218),$G218&lt;=IF($S218=MesCiclo,InicioCiclo,$S218+MOD(2-WEEKDAY($S218),7))+13),1,IF(ISNUMBER($J218),$J218,$Y218)))</f>
        <v/>
      </c>
      <c r="AA218" s="62">
        <f>IF($V218="","",IF(AND(ISNUMBER($G218),$G218&lt;=IF($S218=MesCiclo,InicioCiclo,$S218+MOD(2-WEEKDAY($S218),7))+20),1,IF(ISNUMBER($K218),$K218,$Z218)))</f>
        <v/>
      </c>
      <c r="AB218" s="62">
        <f>IF($V218="","",IF(AND(ISNUMBER($G218),$G218&lt;=IF($S218=MesCiclo,InicioCiclo,$S218+MOD(2-WEEKDAY($S218),7))+27),1,IF(ISNUMBER($L218),$L218,$AA218)))</f>
        <v/>
      </c>
      <c r="AC218" s="62">
        <f>IF($V218="","",IF(AND(ISNUMBER($G218),$G218&lt;=IF($S218=MesCiclo,InicioCiclo,$S218+MOD(2-WEEKDAY($S218),7))+6),1,IF(N($W218)&gt;0,AVERAGEIFS($Y$5:$Y$1000,$U$5:$U$1000,ROW(),$V$5:$V$1000,"Sub"),$Y218)))</f>
        <v/>
      </c>
      <c r="AD218" s="62">
        <f>IF($V218="","",IF(AND(ISNUMBER($G218),$G218&lt;=IF($S218=MesCiclo,InicioCiclo,$S218+MOD(2-WEEKDAY($S218),7))+13),1,IF(N($W218)&gt;0,AVERAGEIFS($Z$5:$Z$1000,$U$5:$U$1000,ROW(),$V$5:$V$1000,"Sub"),$Z218)))</f>
        <v/>
      </c>
      <c r="AE218" s="62">
        <f>IF($V218="","",IF(AND(ISNUMBER($G218),$G218&lt;=IF($S218=MesCiclo,InicioCiclo,$S218+MOD(2-WEEKDAY($S218),7))+20),1,IF(N($W218)&gt;0,AVERAGEIFS($AA$5:$AA$1000,$U$5:$U$1000,ROW(),$V$5:$V$1000,"Sub"),$AA218)))</f>
        <v/>
      </c>
      <c r="AF218" s="62">
        <f>IF($V218="","",IF(AND(ISNUMBER($G218),$G218&lt;=IF($S218=MesCiclo,InicioCiclo,$S218+MOD(2-WEEKDAY($S218),7))+27),1,IF(N($W218)&gt;0,AVERAGEIFS($AB$5:$AB$1000,$U$5:$U$1000,ROW(),$V$5:$V$1000,"Sub"),$AB218)))</f>
        <v/>
      </c>
      <c r="AG218" s="62">
        <f>IF($V218&lt;&gt;"Macro","",IF(COUNTIFS($S$5:$S$1000,$S218,$V$5:$V$1000,"Macro",$H$5:$H$1000,"&gt;0")=0,1/COUNTIFS($S$5:$S$1000,$S218,$V$5:$V$1000,"Macro"),IF(AND(ISNUMBER($H218),N($H218)&gt;0),$H218,SUMIFS($H$5:$H$1000,$S$5:$S$1000,$S218,$V$5:$V$1000,"Macro")/COUNTIFS($S$5:$S$1000,$S218,$V$5:$V$1000,"Macro",$H$5:$H$1000,"&gt;0"))/(COUNTIFS($S$5:$S$1000,$S218,$V$5:$V$1000,"Macro")*SUMIFS($H$5:$H$1000,$S$5:$S$1000,$S218,$V$5:$V$1000,"Macro")/COUNTIFS($S$5:$S$1000,$S218,$V$5:$V$1000,"Macro",$H$5:$H$1000,"&gt;0"))))</f>
        <v/>
      </c>
      <c r="AH218" s="62" t="n"/>
      <c r="AI218" s="62" t="n"/>
      <c r="AJ218" s="62" t="n"/>
      <c r="AK218" s="62" t="n"/>
      <c r="AL218" s="62">
        <f>IF(LEFT($C218,11)="[Jefatura] ",IFERROR(MATCH("Riesgo Financiero|"&amp;MID($C218,12,500),rDname_ADM,0),0),"")</f>
        <v/>
      </c>
      <c r="AM218" s="62">
        <f>IF(N($AL218)&gt;0,INDEX(rIni_ADM,$AL218),IF(ISNUMBER($E218),$E218,""))</f>
        <v/>
      </c>
      <c r="AN218" s="62">
        <f>IF(N($AL218)&gt;0,INDEX(rLim_ADM,$AL218),IF(ISNUMBER($F218),$F218,""))</f>
        <v/>
      </c>
    </row>
    <row r="219">
      <c r="A219" s="56">
        <f>IF(NOT((COUNTA($B219:$D219)+COUNTA($G219:$L219)+COUNTA($Q219))&gt;0),"",IF($V219="Macro",COUNTIFS($V$5:$V219,"Macro",$S$5:$S219,$S219),IF(N($U219)=0,"?",COUNTIFS(INDEX($V$5:$V$1000,1):INDEX($V$5:$V$1000,$U219-4),"Macro",INDEX($S$5:$S$1000,1):INDEX($S$5:$S$1000,$U219-4),INDEX($S$5:$S$1000,$U219-4))&amp;"."&amp;COUNTIFS($U$5:$U219,$U219,$V$5:$V219,"Sub"))))</f>
        <v/>
      </c>
      <c r="B219" s="57" t="n"/>
      <c r="C219" s="58" t="n"/>
      <c r="D219" s="58" t="n"/>
      <c r="E219" s="59">
        <f>IF(N($AL219)&gt;0,INDEX(rIni_ADM,$AL219),"")</f>
        <v/>
      </c>
      <c r="F219" s="59">
        <f>IF(N($AL219)&gt;0,INDEX(rLim_ADM,$AL219),"")</f>
        <v/>
      </c>
      <c r="G219" s="59" t="n"/>
      <c r="H219" s="60" t="n"/>
      <c r="I219" s="60" t="n"/>
      <c r="J219" s="60" t="n"/>
      <c r="K219" s="60" t="n"/>
      <c r="L219" s="60" t="n"/>
      <c r="M219" s="61">
        <f>IF(NOT((COUNTA($B219:$D219)+COUNTA($G219:$L219)+COUNTA($Q219))&gt;0),"",IF(ISNUMBER($G219),1,IF(N($W219)&gt;0,AVERAGEIFS($X$5:$X$1000,$U$5:$U$1000,ROW(),$V$5:$V$1000,"Sub"),$X219)))</f>
        <v/>
      </c>
      <c r="N219" s="56">
        <f>IF($M219="","",IF($M219&gt;=1,"Completado",IF($M219&gt;0,"En curso","Pendiente")))</f>
        <v/>
      </c>
      <c r="O219" s="56">
        <f>IF(NOT((COUNTA($B219:$D219)+COUNTA($G219:$L219)+COUNTA($Q219))&gt;0),"",IF(ISNUMBER($G219),IF(AND(ISNUMBER($AN219),$G219&gt;$AN219),"Cumplida con "&amp;($G219-$AN219)&amp;IF($G219-$AN219=1," día"," días")&amp;" de retraso","Cumplida"),IF(N($M219)&gt;=1,"Cumplida",IF(NOT(ISNUMBER($AN219)),"Sin fecha límite",IF($AN219&lt;FechaRef,"Vencida hace "&amp;(FechaRef-$AN219)&amp;IF(FechaRef-$AN219=1," día"," días"),IF($AN219=FechaRef,"Vence hoy",IF($AN219-FechaRef&lt;=DiasAlerta,"Vence en "&amp;($AN219-FechaRef)&amp;IF($AN219-FechaRef=1," día"," días"),"En plazo")))))))</f>
        <v/>
      </c>
      <c r="P219" s="62" t="n"/>
      <c r="Q219" s="58" t="n"/>
      <c r="R219" s="63">
        <f>IF(NOT((COUNTA($B219:$D219)+COUNTA($G219:$L219)+COUNTA($Q219))&gt;0),"",IF((IF($C219="","Falta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",""))="","✔ OK","⚠ "&amp;LEFT(IF($C219="","Falta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",""),LEN(IF($C219="","Falta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",""))-3)))</f>
        <v/>
      </c>
      <c r="S219" s="64">
        <f>IF(NOT((COUNTA($B219:$D219)+COUNTA($G219:$L219)+COUNTA($Q219))&gt;0),"",IF(AND($V219="Sub",N($U219)&gt;0),IF(ISNUMBER(INDEX($AM$5:$AM$1000,$U219-4)),DATE(YEAR(INDEX($AM$5:$AM$1000,$U219-4)),MONTH(INDEX($AM$5:$AM$1000,$U219-4)),1),IF(ISNUMBER(INDEX($AN$5:$AN$1000,$U219-4)),DATE(YEAR(INDEX($AN$5:$AN$1000,$U219-4)),MONTH(INDEX($AN$5:$AN$1000,$U219-4)),1),MesCiclo)),IF(ISNUMBER($AM219),DATE(YEAR($AM219),MONTH($AM219),1),IF(ISNUMBER($AN219),DATE(YEAR($AN219),MONTH($AN219),1),MesCiclo))))</f>
        <v/>
      </c>
      <c r="T219" s="62">
        <f>IF(OR($S219="",$S219&lt;&gt;MesCiclo),"",COUNTIF($S$5:$S219,MesCiclo))</f>
        <v/>
      </c>
      <c r="U219" s="62">
        <f>IF($V219="","",IF($V219="Macro",ROW(),IFERROR(LOOKUP(2,1/($V$5:$V219="Macro"),ROW($V$5:$V219)),0)))</f>
        <v/>
      </c>
      <c r="V219" s="62">
        <f>IF(NOT((COUNTA($B219:$D219)+COUNTA($G219:$L219)+COUNTA($Q219))&gt;0),"",IF($B219="Subactividad","Sub","Macro"))</f>
        <v/>
      </c>
      <c r="W219" s="62">
        <f>IF($V219="Macro",COUNTIFS($U$5:$U$1000,ROW(),$V$5:$V$1000,"Sub"),"")</f>
        <v/>
      </c>
      <c r="X219" s="62">
        <f>IF($V219="","",IF(ISNUMBER($G219),1,IFERROR(LOOKUP(2,1/($I219:$L219&lt;&gt;""),$I219:$L219),0)))</f>
        <v/>
      </c>
      <c r="Y219" s="62">
        <f>IF($V219="","",IF(AND(ISNUMBER($G219),$G219&lt;=IF($S219=MesCiclo,InicioCiclo,$S219+MOD(2-WEEKDAY($S219),7))+6),1,IF(ISNUMBER($I219),$I219,0)))</f>
        <v/>
      </c>
      <c r="Z219" s="62">
        <f>IF($V219="","",IF(AND(ISNUMBER($G219),$G219&lt;=IF($S219=MesCiclo,InicioCiclo,$S219+MOD(2-WEEKDAY($S219),7))+13),1,IF(ISNUMBER($J219),$J219,$Y219)))</f>
        <v/>
      </c>
      <c r="AA219" s="62">
        <f>IF($V219="","",IF(AND(ISNUMBER($G219),$G219&lt;=IF($S219=MesCiclo,InicioCiclo,$S219+MOD(2-WEEKDAY($S219),7))+20),1,IF(ISNUMBER($K219),$K219,$Z219)))</f>
        <v/>
      </c>
      <c r="AB219" s="62">
        <f>IF($V219="","",IF(AND(ISNUMBER($G219),$G219&lt;=IF($S219=MesCiclo,InicioCiclo,$S219+MOD(2-WEEKDAY($S219),7))+27),1,IF(ISNUMBER($L219),$L219,$AA219)))</f>
        <v/>
      </c>
      <c r="AC219" s="62">
        <f>IF($V219="","",IF(AND(ISNUMBER($G219),$G219&lt;=IF($S219=MesCiclo,InicioCiclo,$S219+MOD(2-WEEKDAY($S219),7))+6),1,IF(N($W219)&gt;0,AVERAGEIFS($Y$5:$Y$1000,$U$5:$U$1000,ROW(),$V$5:$V$1000,"Sub"),$Y219)))</f>
        <v/>
      </c>
      <c r="AD219" s="62">
        <f>IF($V219="","",IF(AND(ISNUMBER($G219),$G219&lt;=IF($S219=MesCiclo,InicioCiclo,$S219+MOD(2-WEEKDAY($S219),7))+13),1,IF(N($W219)&gt;0,AVERAGEIFS($Z$5:$Z$1000,$U$5:$U$1000,ROW(),$V$5:$V$1000,"Sub"),$Z219)))</f>
        <v/>
      </c>
      <c r="AE219" s="62">
        <f>IF($V219="","",IF(AND(ISNUMBER($G219),$G219&lt;=IF($S219=MesCiclo,InicioCiclo,$S219+MOD(2-WEEKDAY($S219),7))+20),1,IF(N($W219)&gt;0,AVERAGEIFS($AA$5:$AA$1000,$U$5:$U$1000,ROW(),$V$5:$V$1000,"Sub"),$AA219)))</f>
        <v/>
      </c>
      <c r="AF219" s="62">
        <f>IF($V219="","",IF(AND(ISNUMBER($G219),$G219&lt;=IF($S219=MesCiclo,InicioCiclo,$S219+MOD(2-WEEKDAY($S219),7))+27),1,IF(N($W219)&gt;0,AVERAGEIFS($AB$5:$AB$1000,$U$5:$U$1000,ROW(),$V$5:$V$1000,"Sub"),$AB219)))</f>
        <v/>
      </c>
      <c r="AG219" s="62">
        <f>IF($V219&lt;&gt;"Macro","",IF(COUNTIFS($S$5:$S$1000,$S219,$V$5:$V$1000,"Macro",$H$5:$H$1000,"&gt;0")=0,1/COUNTIFS($S$5:$S$1000,$S219,$V$5:$V$1000,"Macro"),IF(AND(ISNUMBER($H219),N($H219)&gt;0),$H219,SUMIFS($H$5:$H$1000,$S$5:$S$1000,$S219,$V$5:$V$1000,"Macro")/COUNTIFS($S$5:$S$1000,$S219,$V$5:$V$1000,"Macro",$H$5:$H$1000,"&gt;0"))/(COUNTIFS($S$5:$S$1000,$S219,$V$5:$V$1000,"Macro")*SUMIFS($H$5:$H$1000,$S$5:$S$1000,$S219,$V$5:$V$1000,"Macro")/COUNTIFS($S$5:$S$1000,$S219,$V$5:$V$1000,"Macro",$H$5:$H$1000,"&gt;0"))))</f>
        <v/>
      </c>
      <c r="AH219" s="62" t="n"/>
      <c r="AI219" s="62" t="n"/>
      <c r="AJ219" s="62" t="n"/>
      <c r="AK219" s="62" t="n"/>
      <c r="AL219" s="62">
        <f>IF(LEFT($C219,11)="[Jefatura] ",IFERROR(MATCH("Riesgo Financiero|"&amp;MID($C219,12,500),rDname_ADM,0),0),"")</f>
        <v/>
      </c>
      <c r="AM219" s="62">
        <f>IF(N($AL219)&gt;0,INDEX(rIni_ADM,$AL219),IF(ISNUMBER($E219),$E219,""))</f>
        <v/>
      </c>
      <c r="AN219" s="62">
        <f>IF(N($AL219)&gt;0,INDEX(rLim_ADM,$AL219),IF(ISNUMBER($F219),$F219,""))</f>
        <v/>
      </c>
    </row>
    <row r="220">
      <c r="A220" s="56">
        <f>IF(NOT((COUNTA($B220:$D220)+COUNTA($G220:$L220)+COUNTA($Q220))&gt;0),"",IF($V220="Macro",COUNTIFS($V$5:$V220,"Macro",$S$5:$S220,$S220),IF(N($U220)=0,"?",COUNTIFS(INDEX($V$5:$V$1000,1):INDEX($V$5:$V$1000,$U220-4),"Macro",INDEX($S$5:$S$1000,1):INDEX($S$5:$S$1000,$U220-4),INDEX($S$5:$S$1000,$U220-4))&amp;"."&amp;COUNTIFS($U$5:$U220,$U220,$V$5:$V220,"Sub"))))</f>
        <v/>
      </c>
      <c r="B220" s="57" t="n"/>
      <c r="C220" s="58" t="n"/>
      <c r="D220" s="58" t="n"/>
      <c r="E220" s="59">
        <f>IF(N($AL220)&gt;0,INDEX(rIni_ADM,$AL220),"")</f>
        <v/>
      </c>
      <c r="F220" s="59">
        <f>IF(N($AL220)&gt;0,INDEX(rLim_ADM,$AL220),"")</f>
        <v/>
      </c>
      <c r="G220" s="59" t="n"/>
      <c r="H220" s="60" t="n"/>
      <c r="I220" s="60" t="n"/>
      <c r="J220" s="60" t="n"/>
      <c r="K220" s="60" t="n"/>
      <c r="L220" s="60" t="n"/>
      <c r="M220" s="61">
        <f>IF(NOT((COUNTA($B220:$D220)+COUNTA($G220:$L220)+COUNTA($Q220))&gt;0),"",IF(ISNUMBER($G220),1,IF(N($W220)&gt;0,AVERAGEIFS($X$5:$X$1000,$U$5:$U$1000,ROW(),$V$5:$V$1000,"Sub"),$X220)))</f>
        <v/>
      </c>
      <c r="N220" s="56">
        <f>IF($M220="","",IF($M220&gt;=1,"Completado",IF($M220&gt;0,"En curso","Pendiente")))</f>
        <v/>
      </c>
      <c r="O220" s="56">
        <f>IF(NOT((COUNTA($B220:$D220)+COUNTA($G220:$L220)+COUNTA($Q220))&gt;0),"",IF(ISNUMBER($G220),IF(AND(ISNUMBER($AN220),$G220&gt;$AN220),"Cumplida con "&amp;($G220-$AN220)&amp;IF($G220-$AN220=1," día"," días")&amp;" de retraso","Cumplida"),IF(N($M220)&gt;=1,"Cumplida",IF(NOT(ISNUMBER($AN220)),"Sin fecha límite",IF($AN220&lt;FechaRef,"Vencida hace "&amp;(FechaRef-$AN220)&amp;IF(FechaRef-$AN220=1," día"," días"),IF($AN220=FechaRef,"Vence hoy",IF($AN220-FechaRef&lt;=DiasAlerta,"Vence en "&amp;($AN220-FechaRef)&amp;IF($AN220-FechaRef=1," día"," días"),"En plazo")))))))</f>
        <v/>
      </c>
      <c r="P220" s="62" t="n"/>
      <c r="Q220" s="58" t="n"/>
      <c r="R220" s="63">
        <f>IF(NOT((COUNTA($B220:$D220)+COUNTA($G220:$L220)+COUNTA($Q220))&gt;0),"",IF((IF($C220="","Falta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",""))="","✔ OK","⚠ "&amp;LEFT(IF($C220="","Falta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",""),LEN(IF($C220="","Falta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",""))-3)))</f>
        <v/>
      </c>
      <c r="S220" s="64">
        <f>IF(NOT((COUNTA($B220:$D220)+COUNTA($G220:$L220)+COUNTA($Q220))&gt;0),"",IF(AND($V220="Sub",N($U220)&gt;0),IF(ISNUMBER(INDEX($AM$5:$AM$1000,$U220-4)),DATE(YEAR(INDEX($AM$5:$AM$1000,$U220-4)),MONTH(INDEX($AM$5:$AM$1000,$U220-4)),1),IF(ISNUMBER(INDEX($AN$5:$AN$1000,$U220-4)),DATE(YEAR(INDEX($AN$5:$AN$1000,$U220-4)),MONTH(INDEX($AN$5:$AN$1000,$U220-4)),1),MesCiclo)),IF(ISNUMBER($AM220),DATE(YEAR($AM220),MONTH($AM220),1),IF(ISNUMBER($AN220),DATE(YEAR($AN220),MONTH($AN220),1),MesCiclo))))</f>
        <v/>
      </c>
      <c r="T220" s="62">
        <f>IF(OR($S220="",$S220&lt;&gt;MesCiclo),"",COUNTIF($S$5:$S220,MesCiclo))</f>
        <v/>
      </c>
      <c r="U220" s="62">
        <f>IF($V220="","",IF($V220="Macro",ROW(),IFERROR(LOOKUP(2,1/($V$5:$V220="Macro"),ROW($V$5:$V220)),0)))</f>
        <v/>
      </c>
      <c r="V220" s="62">
        <f>IF(NOT((COUNTA($B220:$D220)+COUNTA($G220:$L220)+COUNTA($Q220))&gt;0),"",IF($B220="Subactividad","Sub","Macro"))</f>
        <v/>
      </c>
      <c r="W220" s="62">
        <f>IF($V220="Macro",COUNTIFS($U$5:$U$1000,ROW(),$V$5:$V$1000,"Sub"),"")</f>
        <v/>
      </c>
      <c r="X220" s="62">
        <f>IF($V220="","",IF(ISNUMBER($G220),1,IFERROR(LOOKUP(2,1/($I220:$L220&lt;&gt;""),$I220:$L220),0)))</f>
        <v/>
      </c>
      <c r="Y220" s="62">
        <f>IF($V220="","",IF(AND(ISNUMBER($G220),$G220&lt;=IF($S220=MesCiclo,InicioCiclo,$S220+MOD(2-WEEKDAY($S220),7))+6),1,IF(ISNUMBER($I220),$I220,0)))</f>
        <v/>
      </c>
      <c r="Z220" s="62">
        <f>IF($V220="","",IF(AND(ISNUMBER($G220),$G220&lt;=IF($S220=MesCiclo,InicioCiclo,$S220+MOD(2-WEEKDAY($S220),7))+13),1,IF(ISNUMBER($J220),$J220,$Y220)))</f>
        <v/>
      </c>
      <c r="AA220" s="62">
        <f>IF($V220="","",IF(AND(ISNUMBER($G220),$G220&lt;=IF($S220=MesCiclo,InicioCiclo,$S220+MOD(2-WEEKDAY($S220),7))+20),1,IF(ISNUMBER($K220),$K220,$Z220)))</f>
        <v/>
      </c>
      <c r="AB220" s="62">
        <f>IF($V220="","",IF(AND(ISNUMBER($G220),$G220&lt;=IF($S220=MesCiclo,InicioCiclo,$S220+MOD(2-WEEKDAY($S220),7))+27),1,IF(ISNUMBER($L220),$L220,$AA220)))</f>
        <v/>
      </c>
      <c r="AC220" s="62">
        <f>IF($V220="","",IF(AND(ISNUMBER($G220),$G220&lt;=IF($S220=MesCiclo,InicioCiclo,$S220+MOD(2-WEEKDAY($S220),7))+6),1,IF(N($W220)&gt;0,AVERAGEIFS($Y$5:$Y$1000,$U$5:$U$1000,ROW(),$V$5:$V$1000,"Sub"),$Y220)))</f>
        <v/>
      </c>
      <c r="AD220" s="62">
        <f>IF($V220="","",IF(AND(ISNUMBER($G220),$G220&lt;=IF($S220=MesCiclo,InicioCiclo,$S220+MOD(2-WEEKDAY($S220),7))+13),1,IF(N($W220)&gt;0,AVERAGEIFS($Z$5:$Z$1000,$U$5:$U$1000,ROW(),$V$5:$V$1000,"Sub"),$Z220)))</f>
        <v/>
      </c>
      <c r="AE220" s="62">
        <f>IF($V220="","",IF(AND(ISNUMBER($G220),$G220&lt;=IF($S220=MesCiclo,InicioCiclo,$S220+MOD(2-WEEKDAY($S220),7))+20),1,IF(N($W220)&gt;0,AVERAGEIFS($AA$5:$AA$1000,$U$5:$U$1000,ROW(),$V$5:$V$1000,"Sub"),$AA220)))</f>
        <v/>
      </c>
      <c r="AF220" s="62">
        <f>IF($V220="","",IF(AND(ISNUMBER($G220),$G220&lt;=IF($S220=MesCiclo,InicioCiclo,$S220+MOD(2-WEEKDAY($S220),7))+27),1,IF(N($W220)&gt;0,AVERAGEIFS($AB$5:$AB$1000,$U$5:$U$1000,ROW(),$V$5:$V$1000,"Sub"),$AB220)))</f>
        <v/>
      </c>
      <c r="AG220" s="62">
        <f>IF($V220&lt;&gt;"Macro","",IF(COUNTIFS($S$5:$S$1000,$S220,$V$5:$V$1000,"Macro",$H$5:$H$1000,"&gt;0")=0,1/COUNTIFS($S$5:$S$1000,$S220,$V$5:$V$1000,"Macro"),IF(AND(ISNUMBER($H220),N($H220)&gt;0),$H220,SUMIFS($H$5:$H$1000,$S$5:$S$1000,$S220,$V$5:$V$1000,"Macro")/COUNTIFS($S$5:$S$1000,$S220,$V$5:$V$1000,"Macro",$H$5:$H$1000,"&gt;0"))/(COUNTIFS($S$5:$S$1000,$S220,$V$5:$V$1000,"Macro")*SUMIFS($H$5:$H$1000,$S$5:$S$1000,$S220,$V$5:$V$1000,"Macro")/COUNTIFS($S$5:$S$1000,$S220,$V$5:$V$1000,"Macro",$H$5:$H$1000,"&gt;0"))))</f>
        <v/>
      </c>
      <c r="AH220" s="62" t="n"/>
      <c r="AI220" s="62" t="n"/>
      <c r="AJ220" s="62" t="n"/>
      <c r="AK220" s="62" t="n"/>
      <c r="AL220" s="62">
        <f>IF(LEFT($C220,11)="[Jefatura] ",IFERROR(MATCH("Riesgo Financiero|"&amp;MID($C220,12,500),rDname_ADM,0),0),"")</f>
        <v/>
      </c>
      <c r="AM220" s="62">
        <f>IF(N($AL220)&gt;0,INDEX(rIni_ADM,$AL220),IF(ISNUMBER($E220),$E220,""))</f>
        <v/>
      </c>
      <c r="AN220" s="62">
        <f>IF(N($AL220)&gt;0,INDEX(rLim_ADM,$AL220),IF(ISNUMBER($F220),$F220,""))</f>
        <v/>
      </c>
    </row>
    <row r="221">
      <c r="A221" s="56">
        <f>IF(NOT((COUNTA($B221:$D221)+COUNTA($G221:$L221)+COUNTA($Q221))&gt;0),"",IF($V221="Macro",COUNTIFS($V$5:$V221,"Macro",$S$5:$S221,$S221),IF(N($U221)=0,"?",COUNTIFS(INDEX($V$5:$V$1000,1):INDEX($V$5:$V$1000,$U221-4),"Macro",INDEX($S$5:$S$1000,1):INDEX($S$5:$S$1000,$U221-4),INDEX($S$5:$S$1000,$U221-4))&amp;"."&amp;COUNTIFS($U$5:$U221,$U221,$V$5:$V221,"Sub"))))</f>
        <v/>
      </c>
      <c r="B221" s="57" t="n"/>
      <c r="C221" s="58" t="n"/>
      <c r="D221" s="58" t="n"/>
      <c r="E221" s="59">
        <f>IF(N($AL221)&gt;0,INDEX(rIni_ADM,$AL221),"")</f>
        <v/>
      </c>
      <c r="F221" s="59">
        <f>IF(N($AL221)&gt;0,INDEX(rLim_ADM,$AL221),"")</f>
        <v/>
      </c>
      <c r="G221" s="59" t="n"/>
      <c r="H221" s="60" t="n"/>
      <c r="I221" s="60" t="n"/>
      <c r="J221" s="60" t="n"/>
      <c r="K221" s="60" t="n"/>
      <c r="L221" s="60" t="n"/>
      <c r="M221" s="61">
        <f>IF(NOT((COUNTA($B221:$D221)+COUNTA($G221:$L221)+COUNTA($Q221))&gt;0),"",IF(ISNUMBER($G221),1,IF(N($W221)&gt;0,AVERAGEIFS($X$5:$X$1000,$U$5:$U$1000,ROW(),$V$5:$V$1000,"Sub"),$X221)))</f>
        <v/>
      </c>
      <c r="N221" s="56">
        <f>IF($M221="","",IF($M221&gt;=1,"Completado",IF($M221&gt;0,"En curso","Pendiente")))</f>
        <v/>
      </c>
      <c r="O221" s="56">
        <f>IF(NOT((COUNTA($B221:$D221)+COUNTA($G221:$L221)+COUNTA($Q221))&gt;0),"",IF(ISNUMBER($G221),IF(AND(ISNUMBER($AN221),$G221&gt;$AN221),"Cumplida con "&amp;($G221-$AN221)&amp;IF($G221-$AN221=1," día"," días")&amp;" de retraso","Cumplida"),IF(N($M221)&gt;=1,"Cumplida",IF(NOT(ISNUMBER($AN221)),"Sin fecha límite",IF($AN221&lt;FechaRef,"Vencida hace "&amp;(FechaRef-$AN221)&amp;IF(FechaRef-$AN221=1," día"," días"),IF($AN221=FechaRef,"Vence hoy",IF($AN221-FechaRef&lt;=DiasAlerta,"Vence en "&amp;($AN221-FechaRef)&amp;IF($AN221-FechaRef=1," día"," días"),"En plazo")))))))</f>
        <v/>
      </c>
      <c r="P221" s="62" t="n"/>
      <c r="Q221" s="58" t="n"/>
      <c r="R221" s="63">
        <f>IF(NOT((COUNTA($B221:$D221)+COUNTA($G221:$L221)+COUNTA($Q221))&gt;0),"",IF((IF($C221="","Falta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",""))="","✔ OK","⚠ "&amp;LEFT(IF($C221="","Falta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",""),LEN(IF($C221="","Falta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",""))-3)))</f>
        <v/>
      </c>
      <c r="S221" s="64">
        <f>IF(NOT((COUNTA($B221:$D221)+COUNTA($G221:$L221)+COUNTA($Q221))&gt;0),"",IF(AND($V221="Sub",N($U221)&gt;0),IF(ISNUMBER(INDEX($AM$5:$AM$1000,$U221-4)),DATE(YEAR(INDEX($AM$5:$AM$1000,$U221-4)),MONTH(INDEX($AM$5:$AM$1000,$U221-4)),1),IF(ISNUMBER(INDEX($AN$5:$AN$1000,$U221-4)),DATE(YEAR(INDEX($AN$5:$AN$1000,$U221-4)),MONTH(INDEX($AN$5:$AN$1000,$U221-4)),1),MesCiclo)),IF(ISNUMBER($AM221),DATE(YEAR($AM221),MONTH($AM221),1),IF(ISNUMBER($AN221),DATE(YEAR($AN221),MONTH($AN221),1),MesCiclo))))</f>
        <v/>
      </c>
      <c r="T221" s="62">
        <f>IF(OR($S221="",$S221&lt;&gt;MesCiclo),"",COUNTIF($S$5:$S221,MesCiclo))</f>
        <v/>
      </c>
      <c r="U221" s="62">
        <f>IF($V221="","",IF($V221="Macro",ROW(),IFERROR(LOOKUP(2,1/($V$5:$V221="Macro"),ROW($V$5:$V221)),0)))</f>
        <v/>
      </c>
      <c r="V221" s="62">
        <f>IF(NOT((COUNTA($B221:$D221)+COUNTA($G221:$L221)+COUNTA($Q221))&gt;0),"",IF($B221="Subactividad","Sub","Macro"))</f>
        <v/>
      </c>
      <c r="W221" s="62">
        <f>IF($V221="Macro",COUNTIFS($U$5:$U$1000,ROW(),$V$5:$V$1000,"Sub"),"")</f>
        <v/>
      </c>
      <c r="X221" s="62">
        <f>IF($V221="","",IF(ISNUMBER($G221),1,IFERROR(LOOKUP(2,1/($I221:$L221&lt;&gt;""),$I221:$L221),0)))</f>
        <v/>
      </c>
      <c r="Y221" s="62">
        <f>IF($V221="","",IF(AND(ISNUMBER($G221),$G221&lt;=IF($S221=MesCiclo,InicioCiclo,$S221+MOD(2-WEEKDAY($S221),7))+6),1,IF(ISNUMBER($I221),$I221,0)))</f>
        <v/>
      </c>
      <c r="Z221" s="62">
        <f>IF($V221="","",IF(AND(ISNUMBER($G221),$G221&lt;=IF($S221=MesCiclo,InicioCiclo,$S221+MOD(2-WEEKDAY($S221),7))+13),1,IF(ISNUMBER($J221),$J221,$Y221)))</f>
        <v/>
      </c>
      <c r="AA221" s="62">
        <f>IF($V221="","",IF(AND(ISNUMBER($G221),$G221&lt;=IF($S221=MesCiclo,InicioCiclo,$S221+MOD(2-WEEKDAY($S221),7))+20),1,IF(ISNUMBER($K221),$K221,$Z221)))</f>
        <v/>
      </c>
      <c r="AB221" s="62">
        <f>IF($V221="","",IF(AND(ISNUMBER($G221),$G221&lt;=IF($S221=MesCiclo,InicioCiclo,$S221+MOD(2-WEEKDAY($S221),7))+27),1,IF(ISNUMBER($L221),$L221,$AA221)))</f>
        <v/>
      </c>
      <c r="AC221" s="62">
        <f>IF($V221="","",IF(AND(ISNUMBER($G221),$G221&lt;=IF($S221=MesCiclo,InicioCiclo,$S221+MOD(2-WEEKDAY($S221),7))+6),1,IF(N($W221)&gt;0,AVERAGEIFS($Y$5:$Y$1000,$U$5:$U$1000,ROW(),$V$5:$V$1000,"Sub"),$Y221)))</f>
        <v/>
      </c>
      <c r="AD221" s="62">
        <f>IF($V221="","",IF(AND(ISNUMBER($G221),$G221&lt;=IF($S221=MesCiclo,InicioCiclo,$S221+MOD(2-WEEKDAY($S221),7))+13),1,IF(N($W221)&gt;0,AVERAGEIFS($Z$5:$Z$1000,$U$5:$U$1000,ROW(),$V$5:$V$1000,"Sub"),$Z221)))</f>
        <v/>
      </c>
      <c r="AE221" s="62">
        <f>IF($V221="","",IF(AND(ISNUMBER($G221),$G221&lt;=IF($S221=MesCiclo,InicioCiclo,$S221+MOD(2-WEEKDAY($S221),7))+20),1,IF(N($W221)&gt;0,AVERAGEIFS($AA$5:$AA$1000,$U$5:$U$1000,ROW(),$V$5:$V$1000,"Sub"),$AA221)))</f>
        <v/>
      </c>
      <c r="AF221" s="62">
        <f>IF($V221="","",IF(AND(ISNUMBER($G221),$G221&lt;=IF($S221=MesCiclo,InicioCiclo,$S221+MOD(2-WEEKDAY($S221),7))+27),1,IF(N($W221)&gt;0,AVERAGEIFS($AB$5:$AB$1000,$U$5:$U$1000,ROW(),$V$5:$V$1000,"Sub"),$AB221)))</f>
        <v/>
      </c>
      <c r="AG221" s="62">
        <f>IF($V221&lt;&gt;"Macro","",IF(COUNTIFS($S$5:$S$1000,$S221,$V$5:$V$1000,"Macro",$H$5:$H$1000,"&gt;0")=0,1/COUNTIFS($S$5:$S$1000,$S221,$V$5:$V$1000,"Macro"),IF(AND(ISNUMBER($H221),N($H221)&gt;0),$H221,SUMIFS($H$5:$H$1000,$S$5:$S$1000,$S221,$V$5:$V$1000,"Macro")/COUNTIFS($S$5:$S$1000,$S221,$V$5:$V$1000,"Macro",$H$5:$H$1000,"&gt;0"))/(COUNTIFS($S$5:$S$1000,$S221,$V$5:$V$1000,"Macro")*SUMIFS($H$5:$H$1000,$S$5:$S$1000,$S221,$V$5:$V$1000,"Macro")/COUNTIFS($S$5:$S$1000,$S221,$V$5:$V$1000,"Macro",$H$5:$H$1000,"&gt;0"))))</f>
        <v/>
      </c>
      <c r="AH221" s="62" t="n"/>
      <c r="AI221" s="62" t="n"/>
      <c r="AJ221" s="62" t="n"/>
      <c r="AK221" s="62" t="n"/>
      <c r="AL221" s="62">
        <f>IF(LEFT($C221,11)="[Jefatura] ",IFERROR(MATCH("Riesgo Financiero|"&amp;MID($C221,12,500),rDname_ADM,0),0),"")</f>
        <v/>
      </c>
      <c r="AM221" s="62">
        <f>IF(N($AL221)&gt;0,INDEX(rIni_ADM,$AL221),IF(ISNUMBER($E221),$E221,""))</f>
        <v/>
      </c>
      <c r="AN221" s="62">
        <f>IF(N($AL221)&gt;0,INDEX(rLim_ADM,$AL221),IF(ISNUMBER($F221),$F221,""))</f>
        <v/>
      </c>
    </row>
    <row r="222">
      <c r="A222" s="56">
        <f>IF(NOT((COUNTA($B222:$D222)+COUNTA($G222:$L222)+COUNTA($Q222))&gt;0),"",IF($V222="Macro",COUNTIFS($V$5:$V222,"Macro",$S$5:$S222,$S222),IF(N($U222)=0,"?",COUNTIFS(INDEX($V$5:$V$1000,1):INDEX($V$5:$V$1000,$U222-4),"Macro",INDEX($S$5:$S$1000,1):INDEX($S$5:$S$1000,$U222-4),INDEX($S$5:$S$1000,$U222-4))&amp;"."&amp;COUNTIFS($U$5:$U222,$U222,$V$5:$V222,"Sub"))))</f>
        <v/>
      </c>
      <c r="B222" s="57" t="n"/>
      <c r="C222" s="58" t="n"/>
      <c r="D222" s="58" t="n"/>
      <c r="E222" s="59">
        <f>IF(N($AL222)&gt;0,INDEX(rIni_ADM,$AL222),"")</f>
        <v/>
      </c>
      <c r="F222" s="59">
        <f>IF(N($AL222)&gt;0,INDEX(rLim_ADM,$AL222),"")</f>
        <v/>
      </c>
      <c r="G222" s="59" t="n"/>
      <c r="H222" s="60" t="n"/>
      <c r="I222" s="60" t="n"/>
      <c r="J222" s="60" t="n"/>
      <c r="K222" s="60" t="n"/>
      <c r="L222" s="60" t="n"/>
      <c r="M222" s="61">
        <f>IF(NOT((COUNTA($B222:$D222)+COUNTA($G222:$L222)+COUNTA($Q222))&gt;0),"",IF(ISNUMBER($G222),1,IF(N($W222)&gt;0,AVERAGEIFS($X$5:$X$1000,$U$5:$U$1000,ROW(),$V$5:$V$1000,"Sub"),$X222)))</f>
        <v/>
      </c>
      <c r="N222" s="56">
        <f>IF($M222="","",IF($M222&gt;=1,"Completado",IF($M222&gt;0,"En curso","Pendiente")))</f>
        <v/>
      </c>
      <c r="O222" s="56">
        <f>IF(NOT((COUNTA($B222:$D222)+COUNTA($G222:$L222)+COUNTA($Q222))&gt;0),"",IF(ISNUMBER($G222),IF(AND(ISNUMBER($AN222),$G222&gt;$AN222),"Cumplida con "&amp;($G222-$AN222)&amp;IF($G222-$AN222=1," día"," días")&amp;" de retraso","Cumplida"),IF(N($M222)&gt;=1,"Cumplida",IF(NOT(ISNUMBER($AN222)),"Sin fecha límite",IF($AN222&lt;FechaRef,"Vencida hace "&amp;(FechaRef-$AN222)&amp;IF(FechaRef-$AN222=1," día"," días"),IF($AN222=FechaRef,"Vence hoy",IF($AN222-FechaRef&lt;=DiasAlerta,"Vence en "&amp;($AN222-FechaRef)&amp;IF($AN222-FechaRef=1," día"," días"),"En plazo")))))))</f>
        <v/>
      </c>
      <c r="P222" s="62" t="n"/>
      <c r="Q222" s="58" t="n"/>
      <c r="R222" s="63">
        <f>IF(NOT((COUNTA($B222:$D222)+COUNTA($G222:$L222)+COUNTA($Q222))&gt;0),"",IF((IF($C222="","Falta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",""))="","✔ OK","⚠ "&amp;LEFT(IF($C222="","Falta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",""),LEN(IF($C222="","Falta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",""))-3)))</f>
        <v/>
      </c>
      <c r="S222" s="64">
        <f>IF(NOT((COUNTA($B222:$D222)+COUNTA($G222:$L222)+COUNTA($Q222))&gt;0),"",IF(AND($V222="Sub",N($U222)&gt;0),IF(ISNUMBER(INDEX($AM$5:$AM$1000,$U222-4)),DATE(YEAR(INDEX($AM$5:$AM$1000,$U222-4)),MONTH(INDEX($AM$5:$AM$1000,$U222-4)),1),IF(ISNUMBER(INDEX($AN$5:$AN$1000,$U222-4)),DATE(YEAR(INDEX($AN$5:$AN$1000,$U222-4)),MONTH(INDEX($AN$5:$AN$1000,$U222-4)),1),MesCiclo)),IF(ISNUMBER($AM222),DATE(YEAR($AM222),MONTH($AM222),1),IF(ISNUMBER($AN222),DATE(YEAR($AN222),MONTH($AN222),1),MesCiclo))))</f>
        <v/>
      </c>
      <c r="T222" s="62">
        <f>IF(OR($S222="",$S222&lt;&gt;MesCiclo),"",COUNTIF($S$5:$S222,MesCiclo))</f>
        <v/>
      </c>
      <c r="U222" s="62">
        <f>IF($V222="","",IF($V222="Macro",ROW(),IFERROR(LOOKUP(2,1/($V$5:$V222="Macro"),ROW($V$5:$V222)),0)))</f>
        <v/>
      </c>
      <c r="V222" s="62">
        <f>IF(NOT((COUNTA($B222:$D222)+COUNTA($G222:$L222)+COUNTA($Q222))&gt;0),"",IF($B222="Subactividad","Sub","Macro"))</f>
        <v/>
      </c>
      <c r="W222" s="62">
        <f>IF($V222="Macro",COUNTIFS($U$5:$U$1000,ROW(),$V$5:$V$1000,"Sub"),"")</f>
        <v/>
      </c>
      <c r="X222" s="62">
        <f>IF($V222="","",IF(ISNUMBER($G222),1,IFERROR(LOOKUP(2,1/($I222:$L222&lt;&gt;""),$I222:$L222),0)))</f>
        <v/>
      </c>
      <c r="Y222" s="62">
        <f>IF($V222="","",IF(AND(ISNUMBER($G222),$G222&lt;=IF($S222=MesCiclo,InicioCiclo,$S222+MOD(2-WEEKDAY($S222),7))+6),1,IF(ISNUMBER($I222),$I222,0)))</f>
        <v/>
      </c>
      <c r="Z222" s="62">
        <f>IF($V222="","",IF(AND(ISNUMBER($G222),$G222&lt;=IF($S222=MesCiclo,InicioCiclo,$S222+MOD(2-WEEKDAY($S222),7))+13),1,IF(ISNUMBER($J222),$J222,$Y222)))</f>
        <v/>
      </c>
      <c r="AA222" s="62">
        <f>IF($V222="","",IF(AND(ISNUMBER($G222),$G222&lt;=IF($S222=MesCiclo,InicioCiclo,$S222+MOD(2-WEEKDAY($S222),7))+20),1,IF(ISNUMBER($K222),$K222,$Z222)))</f>
        <v/>
      </c>
      <c r="AB222" s="62">
        <f>IF($V222="","",IF(AND(ISNUMBER($G222),$G222&lt;=IF($S222=MesCiclo,InicioCiclo,$S222+MOD(2-WEEKDAY($S222),7))+27),1,IF(ISNUMBER($L222),$L222,$AA222)))</f>
        <v/>
      </c>
      <c r="AC222" s="62">
        <f>IF($V222="","",IF(AND(ISNUMBER($G222),$G222&lt;=IF($S222=MesCiclo,InicioCiclo,$S222+MOD(2-WEEKDAY($S222),7))+6),1,IF(N($W222)&gt;0,AVERAGEIFS($Y$5:$Y$1000,$U$5:$U$1000,ROW(),$V$5:$V$1000,"Sub"),$Y222)))</f>
        <v/>
      </c>
      <c r="AD222" s="62">
        <f>IF($V222="","",IF(AND(ISNUMBER($G222),$G222&lt;=IF($S222=MesCiclo,InicioCiclo,$S222+MOD(2-WEEKDAY($S222),7))+13),1,IF(N($W222)&gt;0,AVERAGEIFS($Z$5:$Z$1000,$U$5:$U$1000,ROW(),$V$5:$V$1000,"Sub"),$Z222)))</f>
        <v/>
      </c>
      <c r="AE222" s="62">
        <f>IF($V222="","",IF(AND(ISNUMBER($G222),$G222&lt;=IF($S222=MesCiclo,InicioCiclo,$S222+MOD(2-WEEKDAY($S222),7))+20),1,IF(N($W222)&gt;0,AVERAGEIFS($AA$5:$AA$1000,$U$5:$U$1000,ROW(),$V$5:$V$1000,"Sub"),$AA222)))</f>
        <v/>
      </c>
      <c r="AF222" s="62">
        <f>IF($V222="","",IF(AND(ISNUMBER($G222),$G222&lt;=IF($S222=MesCiclo,InicioCiclo,$S222+MOD(2-WEEKDAY($S222),7))+27),1,IF(N($W222)&gt;0,AVERAGEIFS($AB$5:$AB$1000,$U$5:$U$1000,ROW(),$V$5:$V$1000,"Sub"),$AB222)))</f>
        <v/>
      </c>
      <c r="AG222" s="62">
        <f>IF($V222&lt;&gt;"Macro","",IF(COUNTIFS($S$5:$S$1000,$S222,$V$5:$V$1000,"Macro",$H$5:$H$1000,"&gt;0")=0,1/COUNTIFS($S$5:$S$1000,$S222,$V$5:$V$1000,"Macro"),IF(AND(ISNUMBER($H222),N($H222)&gt;0),$H222,SUMIFS($H$5:$H$1000,$S$5:$S$1000,$S222,$V$5:$V$1000,"Macro")/COUNTIFS($S$5:$S$1000,$S222,$V$5:$V$1000,"Macro",$H$5:$H$1000,"&gt;0"))/(COUNTIFS($S$5:$S$1000,$S222,$V$5:$V$1000,"Macro")*SUMIFS($H$5:$H$1000,$S$5:$S$1000,$S222,$V$5:$V$1000,"Macro")/COUNTIFS($S$5:$S$1000,$S222,$V$5:$V$1000,"Macro",$H$5:$H$1000,"&gt;0"))))</f>
        <v/>
      </c>
      <c r="AH222" s="62" t="n"/>
      <c r="AI222" s="62" t="n"/>
      <c r="AJ222" s="62" t="n"/>
      <c r="AK222" s="62" t="n"/>
      <c r="AL222" s="62">
        <f>IF(LEFT($C222,11)="[Jefatura] ",IFERROR(MATCH("Riesgo Financiero|"&amp;MID($C222,12,500),rDname_ADM,0),0),"")</f>
        <v/>
      </c>
      <c r="AM222" s="62">
        <f>IF(N($AL222)&gt;0,INDEX(rIni_ADM,$AL222),IF(ISNUMBER($E222),$E222,""))</f>
        <v/>
      </c>
      <c r="AN222" s="62">
        <f>IF(N($AL222)&gt;0,INDEX(rLim_ADM,$AL222),IF(ISNUMBER($F222),$F222,""))</f>
        <v/>
      </c>
    </row>
    <row r="223">
      <c r="A223" s="56">
        <f>IF(NOT((COUNTA($B223:$D223)+COUNTA($G223:$L223)+COUNTA($Q223))&gt;0),"",IF($V223="Macro",COUNTIFS($V$5:$V223,"Macro",$S$5:$S223,$S223),IF(N($U223)=0,"?",COUNTIFS(INDEX($V$5:$V$1000,1):INDEX($V$5:$V$1000,$U223-4),"Macro",INDEX($S$5:$S$1000,1):INDEX($S$5:$S$1000,$U223-4),INDEX($S$5:$S$1000,$U223-4))&amp;"."&amp;COUNTIFS($U$5:$U223,$U223,$V$5:$V223,"Sub"))))</f>
        <v/>
      </c>
      <c r="B223" s="57" t="n"/>
      <c r="C223" s="58" t="n"/>
      <c r="D223" s="58" t="n"/>
      <c r="E223" s="59">
        <f>IF(N($AL223)&gt;0,INDEX(rIni_ADM,$AL223),"")</f>
        <v/>
      </c>
      <c r="F223" s="59">
        <f>IF(N($AL223)&gt;0,INDEX(rLim_ADM,$AL223),"")</f>
        <v/>
      </c>
      <c r="G223" s="59" t="n"/>
      <c r="H223" s="60" t="n"/>
      <c r="I223" s="60" t="n"/>
      <c r="J223" s="60" t="n"/>
      <c r="K223" s="60" t="n"/>
      <c r="L223" s="60" t="n"/>
      <c r="M223" s="61">
        <f>IF(NOT((COUNTA($B223:$D223)+COUNTA($G223:$L223)+COUNTA($Q223))&gt;0),"",IF(ISNUMBER($G223),1,IF(N($W223)&gt;0,AVERAGEIFS($X$5:$X$1000,$U$5:$U$1000,ROW(),$V$5:$V$1000,"Sub"),$X223)))</f>
        <v/>
      </c>
      <c r="N223" s="56">
        <f>IF($M223="","",IF($M223&gt;=1,"Completado",IF($M223&gt;0,"En curso","Pendiente")))</f>
        <v/>
      </c>
      <c r="O223" s="56">
        <f>IF(NOT((COUNTA($B223:$D223)+COUNTA($G223:$L223)+COUNTA($Q223))&gt;0),"",IF(ISNUMBER($G223),IF(AND(ISNUMBER($AN223),$G223&gt;$AN223),"Cumplida con "&amp;($G223-$AN223)&amp;IF($G223-$AN223=1," día"," días")&amp;" de retraso","Cumplida"),IF(N($M223)&gt;=1,"Cumplida",IF(NOT(ISNUMBER($AN223)),"Sin fecha límite",IF($AN223&lt;FechaRef,"Vencida hace "&amp;(FechaRef-$AN223)&amp;IF(FechaRef-$AN223=1," día"," días"),IF($AN223=FechaRef,"Vence hoy",IF($AN223-FechaRef&lt;=DiasAlerta,"Vence en "&amp;($AN223-FechaRef)&amp;IF($AN223-FechaRef=1," día"," días"),"En plazo")))))))</f>
        <v/>
      </c>
      <c r="P223" s="62" t="n"/>
      <c r="Q223" s="58" t="n"/>
      <c r="R223" s="63">
        <f>IF(NOT((COUNTA($B223:$D223)+COUNTA($G223:$L223)+COUNTA($Q223))&gt;0),"",IF((IF($C223="","Falta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",""))="","✔ OK","⚠ "&amp;LEFT(IF($C223="","Falta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",""),LEN(IF($C223="","Falta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",""))-3)))</f>
        <v/>
      </c>
      <c r="S223" s="64">
        <f>IF(NOT((COUNTA($B223:$D223)+COUNTA($G223:$L223)+COUNTA($Q223))&gt;0),"",IF(AND($V223="Sub",N($U223)&gt;0),IF(ISNUMBER(INDEX($AM$5:$AM$1000,$U223-4)),DATE(YEAR(INDEX($AM$5:$AM$1000,$U223-4)),MONTH(INDEX($AM$5:$AM$1000,$U223-4)),1),IF(ISNUMBER(INDEX($AN$5:$AN$1000,$U223-4)),DATE(YEAR(INDEX($AN$5:$AN$1000,$U223-4)),MONTH(INDEX($AN$5:$AN$1000,$U223-4)),1),MesCiclo)),IF(ISNUMBER($AM223),DATE(YEAR($AM223),MONTH($AM223),1),IF(ISNUMBER($AN223),DATE(YEAR($AN223),MONTH($AN223),1),MesCiclo))))</f>
        <v/>
      </c>
      <c r="T223" s="62">
        <f>IF(OR($S223="",$S223&lt;&gt;MesCiclo),"",COUNTIF($S$5:$S223,MesCiclo))</f>
        <v/>
      </c>
      <c r="U223" s="62">
        <f>IF($V223="","",IF($V223="Macro",ROW(),IFERROR(LOOKUP(2,1/($V$5:$V223="Macro"),ROW($V$5:$V223)),0)))</f>
        <v/>
      </c>
      <c r="V223" s="62">
        <f>IF(NOT((COUNTA($B223:$D223)+COUNTA($G223:$L223)+COUNTA($Q223))&gt;0),"",IF($B223="Subactividad","Sub","Macro"))</f>
        <v/>
      </c>
      <c r="W223" s="62">
        <f>IF($V223="Macro",COUNTIFS($U$5:$U$1000,ROW(),$V$5:$V$1000,"Sub"),"")</f>
        <v/>
      </c>
      <c r="X223" s="62">
        <f>IF($V223="","",IF(ISNUMBER($G223),1,IFERROR(LOOKUP(2,1/($I223:$L223&lt;&gt;""),$I223:$L223),0)))</f>
        <v/>
      </c>
      <c r="Y223" s="62">
        <f>IF($V223="","",IF(AND(ISNUMBER($G223),$G223&lt;=IF($S223=MesCiclo,InicioCiclo,$S223+MOD(2-WEEKDAY($S223),7))+6),1,IF(ISNUMBER($I223),$I223,0)))</f>
        <v/>
      </c>
      <c r="Z223" s="62">
        <f>IF($V223="","",IF(AND(ISNUMBER($G223),$G223&lt;=IF($S223=MesCiclo,InicioCiclo,$S223+MOD(2-WEEKDAY($S223),7))+13),1,IF(ISNUMBER($J223),$J223,$Y223)))</f>
        <v/>
      </c>
      <c r="AA223" s="62">
        <f>IF($V223="","",IF(AND(ISNUMBER($G223),$G223&lt;=IF($S223=MesCiclo,InicioCiclo,$S223+MOD(2-WEEKDAY($S223),7))+20),1,IF(ISNUMBER($K223),$K223,$Z223)))</f>
        <v/>
      </c>
      <c r="AB223" s="62">
        <f>IF($V223="","",IF(AND(ISNUMBER($G223),$G223&lt;=IF($S223=MesCiclo,InicioCiclo,$S223+MOD(2-WEEKDAY($S223),7))+27),1,IF(ISNUMBER($L223),$L223,$AA223)))</f>
        <v/>
      </c>
      <c r="AC223" s="62">
        <f>IF($V223="","",IF(AND(ISNUMBER($G223),$G223&lt;=IF($S223=MesCiclo,InicioCiclo,$S223+MOD(2-WEEKDAY($S223),7))+6),1,IF(N($W223)&gt;0,AVERAGEIFS($Y$5:$Y$1000,$U$5:$U$1000,ROW(),$V$5:$V$1000,"Sub"),$Y223)))</f>
        <v/>
      </c>
      <c r="AD223" s="62">
        <f>IF($V223="","",IF(AND(ISNUMBER($G223),$G223&lt;=IF($S223=MesCiclo,InicioCiclo,$S223+MOD(2-WEEKDAY($S223),7))+13),1,IF(N($W223)&gt;0,AVERAGEIFS($Z$5:$Z$1000,$U$5:$U$1000,ROW(),$V$5:$V$1000,"Sub"),$Z223)))</f>
        <v/>
      </c>
      <c r="AE223" s="62">
        <f>IF($V223="","",IF(AND(ISNUMBER($G223),$G223&lt;=IF($S223=MesCiclo,InicioCiclo,$S223+MOD(2-WEEKDAY($S223),7))+20),1,IF(N($W223)&gt;0,AVERAGEIFS($AA$5:$AA$1000,$U$5:$U$1000,ROW(),$V$5:$V$1000,"Sub"),$AA223)))</f>
        <v/>
      </c>
      <c r="AF223" s="62">
        <f>IF($V223="","",IF(AND(ISNUMBER($G223),$G223&lt;=IF($S223=MesCiclo,InicioCiclo,$S223+MOD(2-WEEKDAY($S223),7))+27),1,IF(N($W223)&gt;0,AVERAGEIFS($AB$5:$AB$1000,$U$5:$U$1000,ROW(),$V$5:$V$1000,"Sub"),$AB223)))</f>
        <v/>
      </c>
      <c r="AG223" s="62">
        <f>IF($V223&lt;&gt;"Macro","",IF(COUNTIFS($S$5:$S$1000,$S223,$V$5:$V$1000,"Macro",$H$5:$H$1000,"&gt;0")=0,1/COUNTIFS($S$5:$S$1000,$S223,$V$5:$V$1000,"Macro"),IF(AND(ISNUMBER($H223),N($H223)&gt;0),$H223,SUMIFS($H$5:$H$1000,$S$5:$S$1000,$S223,$V$5:$V$1000,"Macro")/COUNTIFS($S$5:$S$1000,$S223,$V$5:$V$1000,"Macro",$H$5:$H$1000,"&gt;0"))/(COUNTIFS($S$5:$S$1000,$S223,$V$5:$V$1000,"Macro")*SUMIFS($H$5:$H$1000,$S$5:$S$1000,$S223,$V$5:$V$1000,"Macro")/COUNTIFS($S$5:$S$1000,$S223,$V$5:$V$1000,"Macro",$H$5:$H$1000,"&gt;0"))))</f>
        <v/>
      </c>
      <c r="AH223" s="62" t="n"/>
      <c r="AI223" s="62" t="n"/>
      <c r="AJ223" s="62" t="n"/>
      <c r="AK223" s="62" t="n"/>
      <c r="AL223" s="62">
        <f>IF(LEFT($C223,11)="[Jefatura] ",IFERROR(MATCH("Riesgo Financiero|"&amp;MID($C223,12,500),rDname_ADM,0),0),"")</f>
        <v/>
      </c>
      <c r="AM223" s="62">
        <f>IF(N($AL223)&gt;0,INDEX(rIni_ADM,$AL223),IF(ISNUMBER($E223),$E223,""))</f>
        <v/>
      </c>
      <c r="AN223" s="62">
        <f>IF(N($AL223)&gt;0,INDEX(rLim_ADM,$AL223),IF(ISNUMBER($F223),$F223,""))</f>
        <v/>
      </c>
    </row>
    <row r="224">
      <c r="A224" s="56">
        <f>IF(NOT((COUNTA($B224:$D224)+COUNTA($G224:$L224)+COUNTA($Q224))&gt;0),"",IF($V224="Macro",COUNTIFS($V$5:$V224,"Macro",$S$5:$S224,$S224),IF(N($U224)=0,"?",COUNTIFS(INDEX($V$5:$V$1000,1):INDEX($V$5:$V$1000,$U224-4),"Macro",INDEX($S$5:$S$1000,1):INDEX($S$5:$S$1000,$U224-4),INDEX($S$5:$S$1000,$U224-4))&amp;"."&amp;COUNTIFS($U$5:$U224,$U224,$V$5:$V224,"Sub"))))</f>
        <v/>
      </c>
      <c r="B224" s="57" t="n"/>
      <c r="C224" s="58" t="n"/>
      <c r="D224" s="58" t="n"/>
      <c r="E224" s="59">
        <f>IF(N($AL224)&gt;0,INDEX(rIni_ADM,$AL224),"")</f>
        <v/>
      </c>
      <c r="F224" s="59">
        <f>IF(N($AL224)&gt;0,INDEX(rLim_ADM,$AL224),"")</f>
        <v/>
      </c>
      <c r="G224" s="59" t="n"/>
      <c r="H224" s="60" t="n"/>
      <c r="I224" s="60" t="n"/>
      <c r="J224" s="60" t="n"/>
      <c r="K224" s="60" t="n"/>
      <c r="L224" s="60" t="n"/>
      <c r="M224" s="61">
        <f>IF(NOT((COUNTA($B224:$D224)+COUNTA($G224:$L224)+COUNTA($Q224))&gt;0),"",IF(ISNUMBER($G224),1,IF(N($W224)&gt;0,AVERAGEIFS($X$5:$X$1000,$U$5:$U$1000,ROW(),$V$5:$V$1000,"Sub"),$X224)))</f>
        <v/>
      </c>
      <c r="N224" s="56">
        <f>IF($M224="","",IF($M224&gt;=1,"Completado",IF($M224&gt;0,"En curso","Pendiente")))</f>
        <v/>
      </c>
      <c r="O224" s="56">
        <f>IF(NOT((COUNTA($B224:$D224)+COUNTA($G224:$L224)+COUNTA($Q224))&gt;0),"",IF(ISNUMBER($G224),IF(AND(ISNUMBER($AN224),$G224&gt;$AN224),"Cumplida con "&amp;($G224-$AN224)&amp;IF($G224-$AN224=1," día"," días")&amp;" de retraso","Cumplida"),IF(N($M224)&gt;=1,"Cumplida",IF(NOT(ISNUMBER($AN224)),"Sin fecha límite",IF($AN224&lt;FechaRef,"Vencida hace "&amp;(FechaRef-$AN224)&amp;IF(FechaRef-$AN224=1," día"," días"),IF($AN224=FechaRef,"Vence hoy",IF($AN224-FechaRef&lt;=DiasAlerta,"Vence en "&amp;($AN224-FechaRef)&amp;IF($AN224-FechaRef=1," día"," días"),"En plazo")))))))</f>
        <v/>
      </c>
      <c r="P224" s="62" t="n"/>
      <c r="Q224" s="58" t="n"/>
      <c r="R224" s="63">
        <f>IF(NOT((COUNTA($B224:$D224)+COUNTA($G224:$L224)+COUNTA($Q224))&gt;0),"",IF((IF($C224="","Falta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",""))="","✔ OK","⚠ "&amp;LEFT(IF($C224="","Falta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",""),LEN(IF($C224="","Falta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",""))-3)))</f>
        <v/>
      </c>
      <c r="S224" s="64">
        <f>IF(NOT((COUNTA($B224:$D224)+COUNTA($G224:$L224)+COUNTA($Q224))&gt;0),"",IF(AND($V224="Sub",N($U224)&gt;0),IF(ISNUMBER(INDEX($AM$5:$AM$1000,$U224-4)),DATE(YEAR(INDEX($AM$5:$AM$1000,$U224-4)),MONTH(INDEX($AM$5:$AM$1000,$U224-4)),1),IF(ISNUMBER(INDEX($AN$5:$AN$1000,$U224-4)),DATE(YEAR(INDEX($AN$5:$AN$1000,$U224-4)),MONTH(INDEX($AN$5:$AN$1000,$U224-4)),1),MesCiclo)),IF(ISNUMBER($AM224),DATE(YEAR($AM224),MONTH($AM224),1),IF(ISNUMBER($AN224),DATE(YEAR($AN224),MONTH($AN224),1),MesCiclo))))</f>
        <v/>
      </c>
      <c r="T224" s="62">
        <f>IF(OR($S224="",$S224&lt;&gt;MesCiclo),"",COUNTIF($S$5:$S224,MesCiclo))</f>
        <v/>
      </c>
      <c r="U224" s="62">
        <f>IF($V224="","",IF($V224="Macro",ROW(),IFERROR(LOOKUP(2,1/($V$5:$V224="Macro"),ROW($V$5:$V224)),0)))</f>
        <v/>
      </c>
      <c r="V224" s="62">
        <f>IF(NOT((COUNTA($B224:$D224)+COUNTA($G224:$L224)+COUNTA($Q224))&gt;0),"",IF($B224="Subactividad","Sub","Macro"))</f>
        <v/>
      </c>
      <c r="W224" s="62">
        <f>IF($V224="Macro",COUNTIFS($U$5:$U$1000,ROW(),$V$5:$V$1000,"Sub"),"")</f>
        <v/>
      </c>
      <c r="X224" s="62">
        <f>IF($V224="","",IF(ISNUMBER($G224),1,IFERROR(LOOKUP(2,1/($I224:$L224&lt;&gt;""),$I224:$L224),0)))</f>
        <v/>
      </c>
      <c r="Y224" s="62">
        <f>IF($V224="","",IF(AND(ISNUMBER($G224),$G224&lt;=IF($S224=MesCiclo,InicioCiclo,$S224+MOD(2-WEEKDAY($S224),7))+6),1,IF(ISNUMBER($I224),$I224,0)))</f>
        <v/>
      </c>
      <c r="Z224" s="62">
        <f>IF($V224="","",IF(AND(ISNUMBER($G224),$G224&lt;=IF($S224=MesCiclo,InicioCiclo,$S224+MOD(2-WEEKDAY($S224),7))+13),1,IF(ISNUMBER($J224),$J224,$Y224)))</f>
        <v/>
      </c>
      <c r="AA224" s="62">
        <f>IF($V224="","",IF(AND(ISNUMBER($G224),$G224&lt;=IF($S224=MesCiclo,InicioCiclo,$S224+MOD(2-WEEKDAY($S224),7))+20),1,IF(ISNUMBER($K224),$K224,$Z224)))</f>
        <v/>
      </c>
      <c r="AB224" s="62">
        <f>IF($V224="","",IF(AND(ISNUMBER($G224),$G224&lt;=IF($S224=MesCiclo,InicioCiclo,$S224+MOD(2-WEEKDAY($S224),7))+27),1,IF(ISNUMBER($L224),$L224,$AA224)))</f>
        <v/>
      </c>
      <c r="AC224" s="62">
        <f>IF($V224="","",IF(AND(ISNUMBER($G224),$G224&lt;=IF($S224=MesCiclo,InicioCiclo,$S224+MOD(2-WEEKDAY($S224),7))+6),1,IF(N($W224)&gt;0,AVERAGEIFS($Y$5:$Y$1000,$U$5:$U$1000,ROW(),$V$5:$V$1000,"Sub"),$Y224)))</f>
        <v/>
      </c>
      <c r="AD224" s="62">
        <f>IF($V224="","",IF(AND(ISNUMBER($G224),$G224&lt;=IF($S224=MesCiclo,InicioCiclo,$S224+MOD(2-WEEKDAY($S224),7))+13),1,IF(N($W224)&gt;0,AVERAGEIFS($Z$5:$Z$1000,$U$5:$U$1000,ROW(),$V$5:$V$1000,"Sub"),$Z224)))</f>
        <v/>
      </c>
      <c r="AE224" s="62">
        <f>IF($V224="","",IF(AND(ISNUMBER($G224),$G224&lt;=IF($S224=MesCiclo,InicioCiclo,$S224+MOD(2-WEEKDAY($S224),7))+20),1,IF(N($W224)&gt;0,AVERAGEIFS($AA$5:$AA$1000,$U$5:$U$1000,ROW(),$V$5:$V$1000,"Sub"),$AA224)))</f>
        <v/>
      </c>
      <c r="AF224" s="62">
        <f>IF($V224="","",IF(AND(ISNUMBER($G224),$G224&lt;=IF($S224=MesCiclo,InicioCiclo,$S224+MOD(2-WEEKDAY($S224),7))+27),1,IF(N($W224)&gt;0,AVERAGEIFS($AB$5:$AB$1000,$U$5:$U$1000,ROW(),$V$5:$V$1000,"Sub"),$AB224)))</f>
        <v/>
      </c>
      <c r="AG224" s="62">
        <f>IF($V224&lt;&gt;"Macro","",IF(COUNTIFS($S$5:$S$1000,$S224,$V$5:$V$1000,"Macro",$H$5:$H$1000,"&gt;0")=0,1/COUNTIFS($S$5:$S$1000,$S224,$V$5:$V$1000,"Macro"),IF(AND(ISNUMBER($H224),N($H224)&gt;0),$H224,SUMIFS($H$5:$H$1000,$S$5:$S$1000,$S224,$V$5:$V$1000,"Macro")/COUNTIFS($S$5:$S$1000,$S224,$V$5:$V$1000,"Macro",$H$5:$H$1000,"&gt;0"))/(COUNTIFS($S$5:$S$1000,$S224,$V$5:$V$1000,"Macro")*SUMIFS($H$5:$H$1000,$S$5:$S$1000,$S224,$V$5:$V$1000,"Macro")/COUNTIFS($S$5:$S$1000,$S224,$V$5:$V$1000,"Macro",$H$5:$H$1000,"&gt;0"))))</f>
        <v/>
      </c>
      <c r="AH224" s="62" t="n"/>
      <c r="AI224" s="62" t="n"/>
      <c r="AJ224" s="62" t="n"/>
      <c r="AK224" s="62" t="n"/>
      <c r="AL224" s="62">
        <f>IF(LEFT($C224,11)="[Jefatura] ",IFERROR(MATCH("Riesgo Financiero|"&amp;MID($C224,12,500),rDname_ADM,0),0),"")</f>
        <v/>
      </c>
      <c r="AM224" s="62">
        <f>IF(N($AL224)&gt;0,INDEX(rIni_ADM,$AL224),IF(ISNUMBER($E224),$E224,""))</f>
        <v/>
      </c>
      <c r="AN224" s="62">
        <f>IF(N($AL224)&gt;0,INDEX(rLim_ADM,$AL224),IF(ISNUMBER($F224),$F224,""))</f>
        <v/>
      </c>
    </row>
    <row r="225">
      <c r="A225" s="56">
        <f>IF(NOT((COUNTA($B225:$D225)+COUNTA($G225:$L225)+COUNTA($Q225))&gt;0),"",IF($V225="Macro",COUNTIFS($V$5:$V225,"Macro",$S$5:$S225,$S225),IF(N($U225)=0,"?",COUNTIFS(INDEX($V$5:$V$1000,1):INDEX($V$5:$V$1000,$U225-4),"Macro",INDEX($S$5:$S$1000,1):INDEX($S$5:$S$1000,$U225-4),INDEX($S$5:$S$1000,$U225-4))&amp;"."&amp;COUNTIFS($U$5:$U225,$U225,$V$5:$V225,"Sub"))))</f>
        <v/>
      </c>
      <c r="B225" s="57" t="n"/>
      <c r="C225" s="58" t="n"/>
      <c r="D225" s="58" t="n"/>
      <c r="E225" s="59">
        <f>IF(N($AL225)&gt;0,INDEX(rIni_ADM,$AL225),"")</f>
        <v/>
      </c>
      <c r="F225" s="59">
        <f>IF(N($AL225)&gt;0,INDEX(rLim_ADM,$AL225),"")</f>
        <v/>
      </c>
      <c r="G225" s="59" t="n"/>
      <c r="H225" s="60" t="n"/>
      <c r="I225" s="60" t="n"/>
      <c r="J225" s="60" t="n"/>
      <c r="K225" s="60" t="n"/>
      <c r="L225" s="60" t="n"/>
      <c r="M225" s="61">
        <f>IF(NOT((COUNTA($B225:$D225)+COUNTA($G225:$L225)+COUNTA($Q225))&gt;0),"",IF(ISNUMBER($G225),1,IF(N($W225)&gt;0,AVERAGEIFS($X$5:$X$1000,$U$5:$U$1000,ROW(),$V$5:$V$1000,"Sub"),$X225)))</f>
        <v/>
      </c>
      <c r="N225" s="56">
        <f>IF($M225="","",IF($M225&gt;=1,"Completado",IF($M225&gt;0,"En curso","Pendiente")))</f>
        <v/>
      </c>
      <c r="O225" s="56">
        <f>IF(NOT((COUNTA($B225:$D225)+COUNTA($G225:$L225)+COUNTA($Q225))&gt;0),"",IF(ISNUMBER($G225),IF(AND(ISNUMBER($AN225),$G225&gt;$AN225),"Cumplida con "&amp;($G225-$AN225)&amp;IF($G225-$AN225=1," día"," días")&amp;" de retraso","Cumplida"),IF(N($M225)&gt;=1,"Cumplida",IF(NOT(ISNUMBER($AN225)),"Sin fecha límite",IF($AN225&lt;FechaRef,"Vencida hace "&amp;(FechaRef-$AN225)&amp;IF(FechaRef-$AN225=1," día"," días"),IF($AN225=FechaRef,"Vence hoy",IF($AN225-FechaRef&lt;=DiasAlerta,"Vence en "&amp;($AN225-FechaRef)&amp;IF($AN225-FechaRef=1," día"," días"),"En plazo")))))))</f>
        <v/>
      </c>
      <c r="P225" s="62" t="n"/>
      <c r="Q225" s="58" t="n"/>
      <c r="R225" s="63">
        <f>IF(NOT((COUNTA($B225:$D225)+COUNTA($G225:$L225)+COUNTA($Q225))&gt;0),"",IF((IF($C225="","Falta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",""))="","✔ OK","⚠ "&amp;LEFT(IF($C225="","Falta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",""),LEN(IF($C225="","Falta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",""))-3)))</f>
        <v/>
      </c>
      <c r="S225" s="64">
        <f>IF(NOT((COUNTA($B225:$D225)+COUNTA($G225:$L225)+COUNTA($Q225))&gt;0),"",IF(AND($V225="Sub",N($U225)&gt;0),IF(ISNUMBER(INDEX($AM$5:$AM$1000,$U225-4)),DATE(YEAR(INDEX($AM$5:$AM$1000,$U225-4)),MONTH(INDEX($AM$5:$AM$1000,$U225-4)),1),IF(ISNUMBER(INDEX($AN$5:$AN$1000,$U225-4)),DATE(YEAR(INDEX($AN$5:$AN$1000,$U225-4)),MONTH(INDEX($AN$5:$AN$1000,$U225-4)),1),MesCiclo)),IF(ISNUMBER($AM225),DATE(YEAR($AM225),MONTH($AM225),1),IF(ISNUMBER($AN225),DATE(YEAR($AN225),MONTH($AN225),1),MesCiclo))))</f>
        <v/>
      </c>
      <c r="T225" s="62">
        <f>IF(OR($S225="",$S225&lt;&gt;MesCiclo),"",COUNTIF($S$5:$S225,MesCiclo))</f>
        <v/>
      </c>
      <c r="U225" s="62">
        <f>IF($V225="","",IF($V225="Macro",ROW(),IFERROR(LOOKUP(2,1/($V$5:$V225="Macro"),ROW($V$5:$V225)),0)))</f>
        <v/>
      </c>
      <c r="V225" s="62">
        <f>IF(NOT((COUNTA($B225:$D225)+COUNTA($G225:$L225)+COUNTA($Q225))&gt;0),"",IF($B225="Subactividad","Sub","Macro"))</f>
        <v/>
      </c>
      <c r="W225" s="62">
        <f>IF($V225="Macro",COUNTIFS($U$5:$U$1000,ROW(),$V$5:$V$1000,"Sub"),"")</f>
        <v/>
      </c>
      <c r="X225" s="62">
        <f>IF($V225="","",IF(ISNUMBER($G225),1,IFERROR(LOOKUP(2,1/($I225:$L225&lt;&gt;""),$I225:$L225),0)))</f>
        <v/>
      </c>
      <c r="Y225" s="62">
        <f>IF($V225="","",IF(AND(ISNUMBER($G225),$G225&lt;=IF($S225=MesCiclo,InicioCiclo,$S225+MOD(2-WEEKDAY($S225),7))+6),1,IF(ISNUMBER($I225),$I225,0)))</f>
        <v/>
      </c>
      <c r="Z225" s="62">
        <f>IF($V225="","",IF(AND(ISNUMBER($G225),$G225&lt;=IF($S225=MesCiclo,InicioCiclo,$S225+MOD(2-WEEKDAY($S225),7))+13),1,IF(ISNUMBER($J225),$J225,$Y225)))</f>
        <v/>
      </c>
      <c r="AA225" s="62">
        <f>IF($V225="","",IF(AND(ISNUMBER($G225),$G225&lt;=IF($S225=MesCiclo,InicioCiclo,$S225+MOD(2-WEEKDAY($S225),7))+20),1,IF(ISNUMBER($K225),$K225,$Z225)))</f>
        <v/>
      </c>
      <c r="AB225" s="62">
        <f>IF($V225="","",IF(AND(ISNUMBER($G225),$G225&lt;=IF($S225=MesCiclo,InicioCiclo,$S225+MOD(2-WEEKDAY($S225),7))+27),1,IF(ISNUMBER($L225),$L225,$AA225)))</f>
        <v/>
      </c>
      <c r="AC225" s="62">
        <f>IF($V225="","",IF(AND(ISNUMBER($G225),$G225&lt;=IF($S225=MesCiclo,InicioCiclo,$S225+MOD(2-WEEKDAY($S225),7))+6),1,IF(N($W225)&gt;0,AVERAGEIFS($Y$5:$Y$1000,$U$5:$U$1000,ROW(),$V$5:$V$1000,"Sub"),$Y225)))</f>
        <v/>
      </c>
      <c r="AD225" s="62">
        <f>IF($V225="","",IF(AND(ISNUMBER($G225),$G225&lt;=IF($S225=MesCiclo,InicioCiclo,$S225+MOD(2-WEEKDAY($S225),7))+13),1,IF(N($W225)&gt;0,AVERAGEIFS($Z$5:$Z$1000,$U$5:$U$1000,ROW(),$V$5:$V$1000,"Sub"),$Z225)))</f>
        <v/>
      </c>
      <c r="AE225" s="62">
        <f>IF($V225="","",IF(AND(ISNUMBER($G225),$G225&lt;=IF($S225=MesCiclo,InicioCiclo,$S225+MOD(2-WEEKDAY($S225),7))+20),1,IF(N($W225)&gt;0,AVERAGEIFS($AA$5:$AA$1000,$U$5:$U$1000,ROW(),$V$5:$V$1000,"Sub"),$AA225)))</f>
        <v/>
      </c>
      <c r="AF225" s="62">
        <f>IF($V225="","",IF(AND(ISNUMBER($G225),$G225&lt;=IF($S225=MesCiclo,InicioCiclo,$S225+MOD(2-WEEKDAY($S225),7))+27),1,IF(N($W225)&gt;0,AVERAGEIFS($AB$5:$AB$1000,$U$5:$U$1000,ROW(),$V$5:$V$1000,"Sub"),$AB225)))</f>
        <v/>
      </c>
      <c r="AG225" s="62">
        <f>IF($V225&lt;&gt;"Macro","",IF(COUNTIFS($S$5:$S$1000,$S225,$V$5:$V$1000,"Macro",$H$5:$H$1000,"&gt;0")=0,1/COUNTIFS($S$5:$S$1000,$S225,$V$5:$V$1000,"Macro"),IF(AND(ISNUMBER($H225),N($H225)&gt;0),$H225,SUMIFS($H$5:$H$1000,$S$5:$S$1000,$S225,$V$5:$V$1000,"Macro")/COUNTIFS($S$5:$S$1000,$S225,$V$5:$V$1000,"Macro",$H$5:$H$1000,"&gt;0"))/(COUNTIFS($S$5:$S$1000,$S225,$V$5:$V$1000,"Macro")*SUMIFS($H$5:$H$1000,$S$5:$S$1000,$S225,$V$5:$V$1000,"Macro")/COUNTIFS($S$5:$S$1000,$S225,$V$5:$V$1000,"Macro",$H$5:$H$1000,"&gt;0"))))</f>
        <v/>
      </c>
      <c r="AH225" s="62" t="n"/>
      <c r="AI225" s="62" t="n"/>
      <c r="AJ225" s="62" t="n"/>
      <c r="AK225" s="62" t="n"/>
      <c r="AL225" s="62">
        <f>IF(LEFT($C225,11)="[Jefatura] ",IFERROR(MATCH("Riesgo Financiero|"&amp;MID($C225,12,500),rDname_ADM,0),0),"")</f>
        <v/>
      </c>
      <c r="AM225" s="62">
        <f>IF(N($AL225)&gt;0,INDEX(rIni_ADM,$AL225),IF(ISNUMBER($E225),$E225,""))</f>
        <v/>
      </c>
      <c r="AN225" s="62">
        <f>IF(N($AL225)&gt;0,INDEX(rLim_ADM,$AL225),IF(ISNUMBER($F225),$F225,""))</f>
        <v/>
      </c>
    </row>
    <row r="226">
      <c r="A226" s="56">
        <f>IF(NOT((COUNTA($B226:$D226)+COUNTA($G226:$L226)+COUNTA($Q226))&gt;0),"",IF($V226="Macro",COUNTIFS($V$5:$V226,"Macro",$S$5:$S226,$S226),IF(N($U226)=0,"?",COUNTIFS(INDEX($V$5:$V$1000,1):INDEX($V$5:$V$1000,$U226-4),"Macro",INDEX($S$5:$S$1000,1):INDEX($S$5:$S$1000,$U226-4),INDEX($S$5:$S$1000,$U226-4))&amp;"."&amp;COUNTIFS($U$5:$U226,$U226,$V$5:$V226,"Sub"))))</f>
        <v/>
      </c>
      <c r="B226" s="57" t="n"/>
      <c r="C226" s="58" t="n"/>
      <c r="D226" s="58" t="n"/>
      <c r="E226" s="59">
        <f>IF(N($AL226)&gt;0,INDEX(rIni_ADM,$AL226),"")</f>
        <v/>
      </c>
      <c r="F226" s="59">
        <f>IF(N($AL226)&gt;0,INDEX(rLim_ADM,$AL226),"")</f>
        <v/>
      </c>
      <c r="G226" s="59" t="n"/>
      <c r="H226" s="60" t="n"/>
      <c r="I226" s="60" t="n"/>
      <c r="J226" s="60" t="n"/>
      <c r="K226" s="60" t="n"/>
      <c r="L226" s="60" t="n"/>
      <c r="M226" s="61">
        <f>IF(NOT((COUNTA($B226:$D226)+COUNTA($G226:$L226)+COUNTA($Q226))&gt;0),"",IF(ISNUMBER($G226),1,IF(N($W226)&gt;0,AVERAGEIFS($X$5:$X$1000,$U$5:$U$1000,ROW(),$V$5:$V$1000,"Sub"),$X226)))</f>
        <v/>
      </c>
      <c r="N226" s="56">
        <f>IF($M226="","",IF($M226&gt;=1,"Completado",IF($M226&gt;0,"En curso","Pendiente")))</f>
        <v/>
      </c>
      <c r="O226" s="56">
        <f>IF(NOT((COUNTA($B226:$D226)+COUNTA($G226:$L226)+COUNTA($Q226))&gt;0),"",IF(ISNUMBER($G226),IF(AND(ISNUMBER($AN226),$G226&gt;$AN226),"Cumplida con "&amp;($G226-$AN226)&amp;IF($G226-$AN226=1," día"," días")&amp;" de retraso","Cumplida"),IF(N($M226)&gt;=1,"Cumplida",IF(NOT(ISNUMBER($AN226)),"Sin fecha límite",IF($AN226&lt;FechaRef,"Vencida hace "&amp;(FechaRef-$AN226)&amp;IF(FechaRef-$AN226=1," día"," días"),IF($AN226=FechaRef,"Vence hoy",IF($AN226-FechaRef&lt;=DiasAlerta,"Vence en "&amp;($AN226-FechaRef)&amp;IF($AN226-FechaRef=1," día"," días"),"En plazo")))))))</f>
        <v/>
      </c>
      <c r="P226" s="62" t="n"/>
      <c r="Q226" s="58" t="n"/>
      <c r="R226" s="63">
        <f>IF(NOT((COUNTA($B226:$D226)+COUNTA($G226:$L226)+COUNTA($Q226))&gt;0),"",IF((IF($C226="","Falta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",""))="","✔ OK","⚠ "&amp;LEFT(IF($C226="","Falta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",""),LEN(IF($C226="","Falta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",""))-3)))</f>
        <v/>
      </c>
      <c r="S226" s="64">
        <f>IF(NOT((COUNTA($B226:$D226)+COUNTA($G226:$L226)+COUNTA($Q226))&gt;0),"",IF(AND($V226="Sub",N($U226)&gt;0),IF(ISNUMBER(INDEX($AM$5:$AM$1000,$U226-4)),DATE(YEAR(INDEX($AM$5:$AM$1000,$U226-4)),MONTH(INDEX($AM$5:$AM$1000,$U226-4)),1),IF(ISNUMBER(INDEX($AN$5:$AN$1000,$U226-4)),DATE(YEAR(INDEX($AN$5:$AN$1000,$U226-4)),MONTH(INDEX($AN$5:$AN$1000,$U226-4)),1),MesCiclo)),IF(ISNUMBER($AM226),DATE(YEAR($AM226),MONTH($AM226),1),IF(ISNUMBER($AN226),DATE(YEAR($AN226),MONTH($AN226),1),MesCiclo))))</f>
        <v/>
      </c>
      <c r="T226" s="62">
        <f>IF(OR($S226="",$S226&lt;&gt;MesCiclo),"",COUNTIF($S$5:$S226,MesCiclo))</f>
        <v/>
      </c>
      <c r="U226" s="62">
        <f>IF($V226="","",IF($V226="Macro",ROW(),IFERROR(LOOKUP(2,1/($V$5:$V226="Macro"),ROW($V$5:$V226)),0)))</f>
        <v/>
      </c>
      <c r="V226" s="62">
        <f>IF(NOT((COUNTA($B226:$D226)+COUNTA($G226:$L226)+COUNTA($Q226))&gt;0),"",IF($B226="Subactividad","Sub","Macro"))</f>
        <v/>
      </c>
      <c r="W226" s="62">
        <f>IF($V226="Macro",COUNTIFS($U$5:$U$1000,ROW(),$V$5:$V$1000,"Sub"),"")</f>
        <v/>
      </c>
      <c r="X226" s="62">
        <f>IF($V226="","",IF(ISNUMBER($G226),1,IFERROR(LOOKUP(2,1/($I226:$L226&lt;&gt;""),$I226:$L226),0)))</f>
        <v/>
      </c>
      <c r="Y226" s="62">
        <f>IF($V226="","",IF(AND(ISNUMBER($G226),$G226&lt;=IF($S226=MesCiclo,InicioCiclo,$S226+MOD(2-WEEKDAY($S226),7))+6),1,IF(ISNUMBER($I226),$I226,0)))</f>
        <v/>
      </c>
      <c r="Z226" s="62">
        <f>IF($V226="","",IF(AND(ISNUMBER($G226),$G226&lt;=IF($S226=MesCiclo,InicioCiclo,$S226+MOD(2-WEEKDAY($S226),7))+13),1,IF(ISNUMBER($J226),$J226,$Y226)))</f>
        <v/>
      </c>
      <c r="AA226" s="62">
        <f>IF($V226="","",IF(AND(ISNUMBER($G226),$G226&lt;=IF($S226=MesCiclo,InicioCiclo,$S226+MOD(2-WEEKDAY($S226),7))+20),1,IF(ISNUMBER($K226),$K226,$Z226)))</f>
        <v/>
      </c>
      <c r="AB226" s="62">
        <f>IF($V226="","",IF(AND(ISNUMBER($G226),$G226&lt;=IF($S226=MesCiclo,InicioCiclo,$S226+MOD(2-WEEKDAY($S226),7))+27),1,IF(ISNUMBER($L226),$L226,$AA226)))</f>
        <v/>
      </c>
      <c r="AC226" s="62">
        <f>IF($V226="","",IF(AND(ISNUMBER($G226),$G226&lt;=IF($S226=MesCiclo,InicioCiclo,$S226+MOD(2-WEEKDAY($S226),7))+6),1,IF(N($W226)&gt;0,AVERAGEIFS($Y$5:$Y$1000,$U$5:$U$1000,ROW(),$V$5:$V$1000,"Sub"),$Y226)))</f>
        <v/>
      </c>
      <c r="AD226" s="62">
        <f>IF($V226="","",IF(AND(ISNUMBER($G226),$G226&lt;=IF($S226=MesCiclo,InicioCiclo,$S226+MOD(2-WEEKDAY($S226),7))+13),1,IF(N($W226)&gt;0,AVERAGEIFS($Z$5:$Z$1000,$U$5:$U$1000,ROW(),$V$5:$V$1000,"Sub"),$Z226)))</f>
        <v/>
      </c>
      <c r="AE226" s="62">
        <f>IF($V226="","",IF(AND(ISNUMBER($G226),$G226&lt;=IF($S226=MesCiclo,InicioCiclo,$S226+MOD(2-WEEKDAY($S226),7))+20),1,IF(N($W226)&gt;0,AVERAGEIFS($AA$5:$AA$1000,$U$5:$U$1000,ROW(),$V$5:$V$1000,"Sub"),$AA226)))</f>
        <v/>
      </c>
      <c r="AF226" s="62">
        <f>IF($V226="","",IF(AND(ISNUMBER($G226),$G226&lt;=IF($S226=MesCiclo,InicioCiclo,$S226+MOD(2-WEEKDAY($S226),7))+27),1,IF(N($W226)&gt;0,AVERAGEIFS($AB$5:$AB$1000,$U$5:$U$1000,ROW(),$V$5:$V$1000,"Sub"),$AB226)))</f>
        <v/>
      </c>
      <c r="AG226" s="62">
        <f>IF($V226&lt;&gt;"Macro","",IF(COUNTIFS($S$5:$S$1000,$S226,$V$5:$V$1000,"Macro",$H$5:$H$1000,"&gt;0")=0,1/COUNTIFS($S$5:$S$1000,$S226,$V$5:$V$1000,"Macro"),IF(AND(ISNUMBER($H226),N($H226)&gt;0),$H226,SUMIFS($H$5:$H$1000,$S$5:$S$1000,$S226,$V$5:$V$1000,"Macro")/COUNTIFS($S$5:$S$1000,$S226,$V$5:$V$1000,"Macro",$H$5:$H$1000,"&gt;0"))/(COUNTIFS($S$5:$S$1000,$S226,$V$5:$V$1000,"Macro")*SUMIFS($H$5:$H$1000,$S$5:$S$1000,$S226,$V$5:$V$1000,"Macro")/COUNTIFS($S$5:$S$1000,$S226,$V$5:$V$1000,"Macro",$H$5:$H$1000,"&gt;0"))))</f>
        <v/>
      </c>
      <c r="AH226" s="62" t="n"/>
      <c r="AI226" s="62" t="n"/>
      <c r="AJ226" s="62" t="n"/>
      <c r="AK226" s="62" t="n"/>
      <c r="AL226" s="62">
        <f>IF(LEFT($C226,11)="[Jefatura] ",IFERROR(MATCH("Riesgo Financiero|"&amp;MID($C226,12,500),rDname_ADM,0),0),"")</f>
        <v/>
      </c>
      <c r="AM226" s="62">
        <f>IF(N($AL226)&gt;0,INDEX(rIni_ADM,$AL226),IF(ISNUMBER($E226),$E226,""))</f>
        <v/>
      </c>
      <c r="AN226" s="62">
        <f>IF(N($AL226)&gt;0,INDEX(rLim_ADM,$AL226),IF(ISNUMBER($F226),$F226,""))</f>
        <v/>
      </c>
    </row>
    <row r="227">
      <c r="A227" s="56">
        <f>IF(NOT((COUNTA($B227:$D227)+COUNTA($G227:$L227)+COUNTA($Q227))&gt;0),"",IF($V227="Macro",COUNTIFS($V$5:$V227,"Macro",$S$5:$S227,$S227),IF(N($U227)=0,"?",COUNTIFS(INDEX($V$5:$V$1000,1):INDEX($V$5:$V$1000,$U227-4),"Macro",INDEX($S$5:$S$1000,1):INDEX($S$5:$S$1000,$U227-4),INDEX($S$5:$S$1000,$U227-4))&amp;"."&amp;COUNTIFS($U$5:$U227,$U227,$V$5:$V227,"Sub"))))</f>
        <v/>
      </c>
      <c r="B227" s="57" t="n"/>
      <c r="C227" s="58" t="n"/>
      <c r="D227" s="58" t="n"/>
      <c r="E227" s="59">
        <f>IF(N($AL227)&gt;0,INDEX(rIni_ADM,$AL227),"")</f>
        <v/>
      </c>
      <c r="F227" s="59">
        <f>IF(N($AL227)&gt;0,INDEX(rLim_ADM,$AL227),"")</f>
        <v/>
      </c>
      <c r="G227" s="59" t="n"/>
      <c r="H227" s="60" t="n"/>
      <c r="I227" s="60" t="n"/>
      <c r="J227" s="60" t="n"/>
      <c r="K227" s="60" t="n"/>
      <c r="L227" s="60" t="n"/>
      <c r="M227" s="61">
        <f>IF(NOT((COUNTA($B227:$D227)+COUNTA($G227:$L227)+COUNTA($Q227))&gt;0),"",IF(ISNUMBER($G227),1,IF(N($W227)&gt;0,AVERAGEIFS($X$5:$X$1000,$U$5:$U$1000,ROW(),$V$5:$V$1000,"Sub"),$X227)))</f>
        <v/>
      </c>
      <c r="N227" s="56">
        <f>IF($M227="","",IF($M227&gt;=1,"Completado",IF($M227&gt;0,"En curso","Pendiente")))</f>
        <v/>
      </c>
      <c r="O227" s="56">
        <f>IF(NOT((COUNTA($B227:$D227)+COUNTA($G227:$L227)+COUNTA($Q227))&gt;0),"",IF(ISNUMBER($G227),IF(AND(ISNUMBER($AN227),$G227&gt;$AN227),"Cumplida con "&amp;($G227-$AN227)&amp;IF($G227-$AN227=1," día"," días")&amp;" de retraso","Cumplida"),IF(N($M227)&gt;=1,"Cumplida",IF(NOT(ISNUMBER($AN227)),"Sin fecha límite",IF($AN227&lt;FechaRef,"Vencida hace "&amp;(FechaRef-$AN227)&amp;IF(FechaRef-$AN227=1," día"," días"),IF($AN227=FechaRef,"Vence hoy",IF($AN227-FechaRef&lt;=DiasAlerta,"Vence en "&amp;($AN227-FechaRef)&amp;IF($AN227-FechaRef=1," día"," días"),"En plazo")))))))</f>
        <v/>
      </c>
      <c r="P227" s="62" t="n"/>
      <c r="Q227" s="58" t="n"/>
      <c r="R227" s="63">
        <f>IF(NOT((COUNTA($B227:$D227)+COUNTA($G227:$L227)+COUNTA($Q227))&gt;0),"",IF((IF($C227="","Falta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",""))="","✔ OK","⚠ "&amp;LEFT(IF($C227="","Falta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",""),LEN(IF($C227="","Falta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",""))-3)))</f>
        <v/>
      </c>
      <c r="S227" s="64">
        <f>IF(NOT((COUNTA($B227:$D227)+COUNTA($G227:$L227)+COUNTA($Q227))&gt;0),"",IF(AND($V227="Sub",N($U227)&gt;0),IF(ISNUMBER(INDEX($AM$5:$AM$1000,$U227-4)),DATE(YEAR(INDEX($AM$5:$AM$1000,$U227-4)),MONTH(INDEX($AM$5:$AM$1000,$U227-4)),1),IF(ISNUMBER(INDEX($AN$5:$AN$1000,$U227-4)),DATE(YEAR(INDEX($AN$5:$AN$1000,$U227-4)),MONTH(INDEX($AN$5:$AN$1000,$U227-4)),1),MesCiclo)),IF(ISNUMBER($AM227),DATE(YEAR($AM227),MONTH($AM227),1),IF(ISNUMBER($AN227),DATE(YEAR($AN227),MONTH($AN227),1),MesCiclo))))</f>
        <v/>
      </c>
      <c r="T227" s="62">
        <f>IF(OR($S227="",$S227&lt;&gt;MesCiclo),"",COUNTIF($S$5:$S227,MesCiclo))</f>
        <v/>
      </c>
      <c r="U227" s="62">
        <f>IF($V227="","",IF($V227="Macro",ROW(),IFERROR(LOOKUP(2,1/($V$5:$V227="Macro"),ROW($V$5:$V227)),0)))</f>
        <v/>
      </c>
      <c r="V227" s="62">
        <f>IF(NOT((COUNTA($B227:$D227)+COUNTA($G227:$L227)+COUNTA($Q227))&gt;0),"",IF($B227="Subactividad","Sub","Macro"))</f>
        <v/>
      </c>
      <c r="W227" s="62">
        <f>IF($V227="Macro",COUNTIFS($U$5:$U$1000,ROW(),$V$5:$V$1000,"Sub"),"")</f>
        <v/>
      </c>
      <c r="X227" s="62">
        <f>IF($V227="","",IF(ISNUMBER($G227),1,IFERROR(LOOKUP(2,1/($I227:$L227&lt;&gt;""),$I227:$L227),0)))</f>
        <v/>
      </c>
      <c r="Y227" s="62">
        <f>IF($V227="","",IF(AND(ISNUMBER($G227),$G227&lt;=IF($S227=MesCiclo,InicioCiclo,$S227+MOD(2-WEEKDAY($S227),7))+6),1,IF(ISNUMBER($I227),$I227,0)))</f>
        <v/>
      </c>
      <c r="Z227" s="62">
        <f>IF($V227="","",IF(AND(ISNUMBER($G227),$G227&lt;=IF($S227=MesCiclo,InicioCiclo,$S227+MOD(2-WEEKDAY($S227),7))+13),1,IF(ISNUMBER($J227),$J227,$Y227)))</f>
        <v/>
      </c>
      <c r="AA227" s="62">
        <f>IF($V227="","",IF(AND(ISNUMBER($G227),$G227&lt;=IF($S227=MesCiclo,InicioCiclo,$S227+MOD(2-WEEKDAY($S227),7))+20),1,IF(ISNUMBER($K227),$K227,$Z227)))</f>
        <v/>
      </c>
      <c r="AB227" s="62">
        <f>IF($V227="","",IF(AND(ISNUMBER($G227),$G227&lt;=IF($S227=MesCiclo,InicioCiclo,$S227+MOD(2-WEEKDAY($S227),7))+27),1,IF(ISNUMBER($L227),$L227,$AA227)))</f>
        <v/>
      </c>
      <c r="AC227" s="62">
        <f>IF($V227="","",IF(AND(ISNUMBER($G227),$G227&lt;=IF($S227=MesCiclo,InicioCiclo,$S227+MOD(2-WEEKDAY($S227),7))+6),1,IF(N($W227)&gt;0,AVERAGEIFS($Y$5:$Y$1000,$U$5:$U$1000,ROW(),$V$5:$V$1000,"Sub"),$Y227)))</f>
        <v/>
      </c>
      <c r="AD227" s="62">
        <f>IF($V227="","",IF(AND(ISNUMBER($G227),$G227&lt;=IF($S227=MesCiclo,InicioCiclo,$S227+MOD(2-WEEKDAY($S227),7))+13),1,IF(N($W227)&gt;0,AVERAGEIFS($Z$5:$Z$1000,$U$5:$U$1000,ROW(),$V$5:$V$1000,"Sub"),$Z227)))</f>
        <v/>
      </c>
      <c r="AE227" s="62">
        <f>IF($V227="","",IF(AND(ISNUMBER($G227),$G227&lt;=IF($S227=MesCiclo,InicioCiclo,$S227+MOD(2-WEEKDAY($S227),7))+20),1,IF(N($W227)&gt;0,AVERAGEIFS($AA$5:$AA$1000,$U$5:$U$1000,ROW(),$V$5:$V$1000,"Sub"),$AA227)))</f>
        <v/>
      </c>
      <c r="AF227" s="62">
        <f>IF($V227="","",IF(AND(ISNUMBER($G227),$G227&lt;=IF($S227=MesCiclo,InicioCiclo,$S227+MOD(2-WEEKDAY($S227),7))+27),1,IF(N($W227)&gt;0,AVERAGEIFS($AB$5:$AB$1000,$U$5:$U$1000,ROW(),$V$5:$V$1000,"Sub"),$AB227)))</f>
        <v/>
      </c>
      <c r="AG227" s="62">
        <f>IF($V227&lt;&gt;"Macro","",IF(COUNTIFS($S$5:$S$1000,$S227,$V$5:$V$1000,"Macro",$H$5:$H$1000,"&gt;0")=0,1/COUNTIFS($S$5:$S$1000,$S227,$V$5:$V$1000,"Macro"),IF(AND(ISNUMBER($H227),N($H227)&gt;0),$H227,SUMIFS($H$5:$H$1000,$S$5:$S$1000,$S227,$V$5:$V$1000,"Macro")/COUNTIFS($S$5:$S$1000,$S227,$V$5:$V$1000,"Macro",$H$5:$H$1000,"&gt;0"))/(COUNTIFS($S$5:$S$1000,$S227,$V$5:$V$1000,"Macro")*SUMIFS($H$5:$H$1000,$S$5:$S$1000,$S227,$V$5:$V$1000,"Macro")/COUNTIFS($S$5:$S$1000,$S227,$V$5:$V$1000,"Macro",$H$5:$H$1000,"&gt;0"))))</f>
        <v/>
      </c>
      <c r="AH227" s="62" t="n"/>
      <c r="AI227" s="62" t="n"/>
      <c r="AJ227" s="62" t="n"/>
      <c r="AK227" s="62" t="n"/>
      <c r="AL227" s="62">
        <f>IF(LEFT($C227,11)="[Jefatura] ",IFERROR(MATCH("Riesgo Financiero|"&amp;MID($C227,12,500),rDname_ADM,0),0),"")</f>
        <v/>
      </c>
      <c r="AM227" s="62">
        <f>IF(N($AL227)&gt;0,INDEX(rIni_ADM,$AL227),IF(ISNUMBER($E227),$E227,""))</f>
        <v/>
      </c>
      <c r="AN227" s="62">
        <f>IF(N($AL227)&gt;0,INDEX(rLim_ADM,$AL227),IF(ISNUMBER($F227),$F227,""))</f>
        <v/>
      </c>
    </row>
    <row r="228">
      <c r="A228" s="56">
        <f>IF(NOT((COUNTA($B228:$D228)+COUNTA($G228:$L228)+COUNTA($Q228))&gt;0),"",IF($V228="Macro",COUNTIFS($V$5:$V228,"Macro",$S$5:$S228,$S228),IF(N($U228)=0,"?",COUNTIFS(INDEX($V$5:$V$1000,1):INDEX($V$5:$V$1000,$U228-4),"Macro",INDEX($S$5:$S$1000,1):INDEX($S$5:$S$1000,$U228-4),INDEX($S$5:$S$1000,$U228-4))&amp;"."&amp;COUNTIFS($U$5:$U228,$U228,$V$5:$V228,"Sub"))))</f>
        <v/>
      </c>
      <c r="B228" s="57" t="n"/>
      <c r="C228" s="58" t="n"/>
      <c r="D228" s="58" t="n"/>
      <c r="E228" s="59">
        <f>IF(N($AL228)&gt;0,INDEX(rIni_ADM,$AL228),"")</f>
        <v/>
      </c>
      <c r="F228" s="59">
        <f>IF(N($AL228)&gt;0,INDEX(rLim_ADM,$AL228),"")</f>
        <v/>
      </c>
      <c r="G228" s="59" t="n"/>
      <c r="H228" s="60" t="n"/>
      <c r="I228" s="60" t="n"/>
      <c r="J228" s="60" t="n"/>
      <c r="K228" s="60" t="n"/>
      <c r="L228" s="60" t="n"/>
      <c r="M228" s="61">
        <f>IF(NOT((COUNTA($B228:$D228)+COUNTA($G228:$L228)+COUNTA($Q228))&gt;0),"",IF(ISNUMBER($G228),1,IF(N($W228)&gt;0,AVERAGEIFS($X$5:$X$1000,$U$5:$U$1000,ROW(),$V$5:$V$1000,"Sub"),$X228)))</f>
        <v/>
      </c>
      <c r="N228" s="56">
        <f>IF($M228="","",IF($M228&gt;=1,"Completado",IF($M228&gt;0,"En curso","Pendiente")))</f>
        <v/>
      </c>
      <c r="O228" s="56">
        <f>IF(NOT((COUNTA($B228:$D228)+COUNTA($G228:$L228)+COUNTA($Q228))&gt;0),"",IF(ISNUMBER($G228),IF(AND(ISNUMBER($AN228),$G228&gt;$AN228),"Cumplida con "&amp;($G228-$AN228)&amp;IF($G228-$AN228=1," día"," días")&amp;" de retraso","Cumplida"),IF(N($M228)&gt;=1,"Cumplida",IF(NOT(ISNUMBER($AN228)),"Sin fecha límite",IF($AN228&lt;FechaRef,"Vencida hace "&amp;(FechaRef-$AN228)&amp;IF(FechaRef-$AN228=1," día"," días"),IF($AN228=FechaRef,"Vence hoy",IF($AN228-FechaRef&lt;=DiasAlerta,"Vence en "&amp;($AN228-FechaRef)&amp;IF($AN228-FechaRef=1," día"," días"),"En plazo")))))))</f>
        <v/>
      </c>
      <c r="P228" s="62" t="n"/>
      <c r="Q228" s="58" t="n"/>
      <c r="R228" s="63">
        <f>IF(NOT((COUNTA($B228:$D228)+COUNTA($G228:$L228)+COUNTA($Q228))&gt;0),"",IF((IF($C228="","Falta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",""))="","✔ OK","⚠ "&amp;LEFT(IF($C228="","Falta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",""),LEN(IF($C228="","Falta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",""))-3)))</f>
        <v/>
      </c>
      <c r="S228" s="64">
        <f>IF(NOT((COUNTA($B228:$D228)+COUNTA($G228:$L228)+COUNTA($Q228))&gt;0),"",IF(AND($V228="Sub",N($U228)&gt;0),IF(ISNUMBER(INDEX($AM$5:$AM$1000,$U228-4)),DATE(YEAR(INDEX($AM$5:$AM$1000,$U228-4)),MONTH(INDEX($AM$5:$AM$1000,$U228-4)),1),IF(ISNUMBER(INDEX($AN$5:$AN$1000,$U228-4)),DATE(YEAR(INDEX($AN$5:$AN$1000,$U228-4)),MONTH(INDEX($AN$5:$AN$1000,$U228-4)),1),MesCiclo)),IF(ISNUMBER($AM228),DATE(YEAR($AM228),MONTH($AM228),1),IF(ISNUMBER($AN228),DATE(YEAR($AN228),MONTH($AN228),1),MesCiclo))))</f>
        <v/>
      </c>
      <c r="T228" s="62">
        <f>IF(OR($S228="",$S228&lt;&gt;MesCiclo),"",COUNTIF($S$5:$S228,MesCiclo))</f>
        <v/>
      </c>
      <c r="U228" s="62">
        <f>IF($V228="","",IF($V228="Macro",ROW(),IFERROR(LOOKUP(2,1/($V$5:$V228="Macro"),ROW($V$5:$V228)),0)))</f>
        <v/>
      </c>
      <c r="V228" s="62">
        <f>IF(NOT((COUNTA($B228:$D228)+COUNTA($G228:$L228)+COUNTA($Q228))&gt;0),"",IF($B228="Subactividad","Sub","Macro"))</f>
        <v/>
      </c>
      <c r="W228" s="62">
        <f>IF($V228="Macro",COUNTIFS($U$5:$U$1000,ROW(),$V$5:$V$1000,"Sub"),"")</f>
        <v/>
      </c>
      <c r="X228" s="62">
        <f>IF($V228="","",IF(ISNUMBER($G228),1,IFERROR(LOOKUP(2,1/($I228:$L228&lt;&gt;""),$I228:$L228),0)))</f>
        <v/>
      </c>
      <c r="Y228" s="62">
        <f>IF($V228="","",IF(AND(ISNUMBER($G228),$G228&lt;=IF($S228=MesCiclo,InicioCiclo,$S228+MOD(2-WEEKDAY($S228),7))+6),1,IF(ISNUMBER($I228),$I228,0)))</f>
        <v/>
      </c>
      <c r="Z228" s="62">
        <f>IF($V228="","",IF(AND(ISNUMBER($G228),$G228&lt;=IF($S228=MesCiclo,InicioCiclo,$S228+MOD(2-WEEKDAY($S228),7))+13),1,IF(ISNUMBER($J228),$J228,$Y228)))</f>
        <v/>
      </c>
      <c r="AA228" s="62">
        <f>IF($V228="","",IF(AND(ISNUMBER($G228),$G228&lt;=IF($S228=MesCiclo,InicioCiclo,$S228+MOD(2-WEEKDAY($S228),7))+20),1,IF(ISNUMBER($K228),$K228,$Z228)))</f>
        <v/>
      </c>
      <c r="AB228" s="62">
        <f>IF($V228="","",IF(AND(ISNUMBER($G228),$G228&lt;=IF($S228=MesCiclo,InicioCiclo,$S228+MOD(2-WEEKDAY($S228),7))+27),1,IF(ISNUMBER($L228),$L228,$AA228)))</f>
        <v/>
      </c>
      <c r="AC228" s="62">
        <f>IF($V228="","",IF(AND(ISNUMBER($G228),$G228&lt;=IF($S228=MesCiclo,InicioCiclo,$S228+MOD(2-WEEKDAY($S228),7))+6),1,IF(N($W228)&gt;0,AVERAGEIFS($Y$5:$Y$1000,$U$5:$U$1000,ROW(),$V$5:$V$1000,"Sub"),$Y228)))</f>
        <v/>
      </c>
      <c r="AD228" s="62">
        <f>IF($V228="","",IF(AND(ISNUMBER($G228),$G228&lt;=IF($S228=MesCiclo,InicioCiclo,$S228+MOD(2-WEEKDAY($S228),7))+13),1,IF(N($W228)&gt;0,AVERAGEIFS($Z$5:$Z$1000,$U$5:$U$1000,ROW(),$V$5:$V$1000,"Sub"),$Z228)))</f>
        <v/>
      </c>
      <c r="AE228" s="62">
        <f>IF($V228="","",IF(AND(ISNUMBER($G228),$G228&lt;=IF($S228=MesCiclo,InicioCiclo,$S228+MOD(2-WEEKDAY($S228),7))+20),1,IF(N($W228)&gt;0,AVERAGEIFS($AA$5:$AA$1000,$U$5:$U$1000,ROW(),$V$5:$V$1000,"Sub"),$AA228)))</f>
        <v/>
      </c>
      <c r="AF228" s="62">
        <f>IF($V228="","",IF(AND(ISNUMBER($G228),$G228&lt;=IF($S228=MesCiclo,InicioCiclo,$S228+MOD(2-WEEKDAY($S228),7))+27),1,IF(N($W228)&gt;0,AVERAGEIFS($AB$5:$AB$1000,$U$5:$U$1000,ROW(),$V$5:$V$1000,"Sub"),$AB228)))</f>
        <v/>
      </c>
      <c r="AG228" s="62">
        <f>IF($V228&lt;&gt;"Macro","",IF(COUNTIFS($S$5:$S$1000,$S228,$V$5:$V$1000,"Macro",$H$5:$H$1000,"&gt;0")=0,1/COUNTIFS($S$5:$S$1000,$S228,$V$5:$V$1000,"Macro"),IF(AND(ISNUMBER($H228),N($H228)&gt;0),$H228,SUMIFS($H$5:$H$1000,$S$5:$S$1000,$S228,$V$5:$V$1000,"Macro")/COUNTIFS($S$5:$S$1000,$S228,$V$5:$V$1000,"Macro",$H$5:$H$1000,"&gt;0"))/(COUNTIFS($S$5:$S$1000,$S228,$V$5:$V$1000,"Macro")*SUMIFS($H$5:$H$1000,$S$5:$S$1000,$S228,$V$5:$V$1000,"Macro")/COUNTIFS($S$5:$S$1000,$S228,$V$5:$V$1000,"Macro",$H$5:$H$1000,"&gt;0"))))</f>
        <v/>
      </c>
      <c r="AH228" s="62" t="n"/>
      <c r="AI228" s="62" t="n"/>
      <c r="AJ228" s="62" t="n"/>
      <c r="AK228" s="62" t="n"/>
      <c r="AL228" s="62">
        <f>IF(LEFT($C228,11)="[Jefatura] ",IFERROR(MATCH("Riesgo Financiero|"&amp;MID($C228,12,500),rDname_ADM,0),0),"")</f>
        <v/>
      </c>
      <c r="AM228" s="62">
        <f>IF(N($AL228)&gt;0,INDEX(rIni_ADM,$AL228),IF(ISNUMBER($E228),$E228,""))</f>
        <v/>
      </c>
      <c r="AN228" s="62">
        <f>IF(N($AL228)&gt;0,INDEX(rLim_ADM,$AL228),IF(ISNUMBER($F228),$F228,""))</f>
        <v/>
      </c>
    </row>
    <row r="229">
      <c r="A229" s="56">
        <f>IF(NOT((COUNTA($B229:$D229)+COUNTA($G229:$L229)+COUNTA($Q229))&gt;0),"",IF($V229="Macro",COUNTIFS($V$5:$V229,"Macro",$S$5:$S229,$S229),IF(N($U229)=0,"?",COUNTIFS(INDEX($V$5:$V$1000,1):INDEX($V$5:$V$1000,$U229-4),"Macro",INDEX($S$5:$S$1000,1):INDEX($S$5:$S$1000,$U229-4),INDEX($S$5:$S$1000,$U229-4))&amp;"."&amp;COUNTIFS($U$5:$U229,$U229,$V$5:$V229,"Sub"))))</f>
        <v/>
      </c>
      <c r="B229" s="57" t="n"/>
      <c r="C229" s="58" t="n"/>
      <c r="D229" s="58" t="n"/>
      <c r="E229" s="59">
        <f>IF(N($AL229)&gt;0,INDEX(rIni_ADM,$AL229),"")</f>
        <v/>
      </c>
      <c r="F229" s="59">
        <f>IF(N($AL229)&gt;0,INDEX(rLim_ADM,$AL229),"")</f>
        <v/>
      </c>
      <c r="G229" s="59" t="n"/>
      <c r="H229" s="60" t="n"/>
      <c r="I229" s="60" t="n"/>
      <c r="J229" s="60" t="n"/>
      <c r="K229" s="60" t="n"/>
      <c r="L229" s="60" t="n"/>
      <c r="M229" s="61">
        <f>IF(NOT((COUNTA($B229:$D229)+COUNTA($G229:$L229)+COUNTA($Q229))&gt;0),"",IF(ISNUMBER($G229),1,IF(N($W229)&gt;0,AVERAGEIFS($X$5:$X$1000,$U$5:$U$1000,ROW(),$V$5:$V$1000,"Sub"),$X229)))</f>
        <v/>
      </c>
      <c r="N229" s="56">
        <f>IF($M229="","",IF($M229&gt;=1,"Completado",IF($M229&gt;0,"En curso","Pendiente")))</f>
        <v/>
      </c>
      <c r="O229" s="56">
        <f>IF(NOT((COUNTA($B229:$D229)+COUNTA($G229:$L229)+COUNTA($Q229))&gt;0),"",IF(ISNUMBER($G229),IF(AND(ISNUMBER($AN229),$G229&gt;$AN229),"Cumplida con "&amp;($G229-$AN229)&amp;IF($G229-$AN229=1," día"," días")&amp;" de retraso","Cumplida"),IF(N($M229)&gt;=1,"Cumplida",IF(NOT(ISNUMBER($AN229)),"Sin fecha límite",IF($AN229&lt;FechaRef,"Vencida hace "&amp;(FechaRef-$AN229)&amp;IF(FechaRef-$AN229=1," día"," días"),IF($AN229=FechaRef,"Vence hoy",IF($AN229-FechaRef&lt;=DiasAlerta,"Vence en "&amp;($AN229-FechaRef)&amp;IF($AN229-FechaRef=1," día"," días"),"En plazo")))))))</f>
        <v/>
      </c>
      <c r="P229" s="62" t="n"/>
      <c r="Q229" s="58" t="n"/>
      <c r="R229" s="63">
        <f>IF(NOT((COUNTA($B229:$D229)+COUNTA($G229:$L229)+COUNTA($Q229))&gt;0),"",IF((IF($C229="","Falta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",""))="","✔ OK","⚠ "&amp;LEFT(IF($C229="","Falta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",""),LEN(IF($C229="","Falta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",""))-3)))</f>
        <v/>
      </c>
      <c r="S229" s="64">
        <f>IF(NOT((COUNTA($B229:$D229)+COUNTA($G229:$L229)+COUNTA($Q229))&gt;0),"",IF(AND($V229="Sub",N($U229)&gt;0),IF(ISNUMBER(INDEX($AM$5:$AM$1000,$U229-4)),DATE(YEAR(INDEX($AM$5:$AM$1000,$U229-4)),MONTH(INDEX($AM$5:$AM$1000,$U229-4)),1),IF(ISNUMBER(INDEX($AN$5:$AN$1000,$U229-4)),DATE(YEAR(INDEX($AN$5:$AN$1000,$U229-4)),MONTH(INDEX($AN$5:$AN$1000,$U229-4)),1),MesCiclo)),IF(ISNUMBER($AM229),DATE(YEAR($AM229),MONTH($AM229),1),IF(ISNUMBER($AN229),DATE(YEAR($AN229),MONTH($AN229),1),MesCiclo))))</f>
        <v/>
      </c>
      <c r="T229" s="62">
        <f>IF(OR($S229="",$S229&lt;&gt;MesCiclo),"",COUNTIF($S$5:$S229,MesCiclo))</f>
        <v/>
      </c>
      <c r="U229" s="62">
        <f>IF($V229="","",IF($V229="Macro",ROW(),IFERROR(LOOKUP(2,1/($V$5:$V229="Macro"),ROW($V$5:$V229)),0)))</f>
        <v/>
      </c>
      <c r="V229" s="62">
        <f>IF(NOT((COUNTA($B229:$D229)+COUNTA($G229:$L229)+COUNTA($Q229))&gt;0),"",IF($B229="Subactividad","Sub","Macro"))</f>
        <v/>
      </c>
      <c r="W229" s="62">
        <f>IF($V229="Macro",COUNTIFS($U$5:$U$1000,ROW(),$V$5:$V$1000,"Sub"),"")</f>
        <v/>
      </c>
      <c r="X229" s="62">
        <f>IF($V229="","",IF(ISNUMBER($G229),1,IFERROR(LOOKUP(2,1/($I229:$L229&lt;&gt;""),$I229:$L229),0)))</f>
        <v/>
      </c>
      <c r="Y229" s="62">
        <f>IF($V229="","",IF(AND(ISNUMBER($G229),$G229&lt;=IF($S229=MesCiclo,InicioCiclo,$S229+MOD(2-WEEKDAY($S229),7))+6),1,IF(ISNUMBER($I229),$I229,0)))</f>
        <v/>
      </c>
      <c r="Z229" s="62">
        <f>IF($V229="","",IF(AND(ISNUMBER($G229),$G229&lt;=IF($S229=MesCiclo,InicioCiclo,$S229+MOD(2-WEEKDAY($S229),7))+13),1,IF(ISNUMBER($J229),$J229,$Y229)))</f>
        <v/>
      </c>
      <c r="AA229" s="62">
        <f>IF($V229="","",IF(AND(ISNUMBER($G229),$G229&lt;=IF($S229=MesCiclo,InicioCiclo,$S229+MOD(2-WEEKDAY($S229),7))+20),1,IF(ISNUMBER($K229),$K229,$Z229)))</f>
        <v/>
      </c>
      <c r="AB229" s="62">
        <f>IF($V229="","",IF(AND(ISNUMBER($G229),$G229&lt;=IF($S229=MesCiclo,InicioCiclo,$S229+MOD(2-WEEKDAY($S229),7))+27),1,IF(ISNUMBER($L229),$L229,$AA229)))</f>
        <v/>
      </c>
      <c r="AC229" s="62">
        <f>IF($V229="","",IF(AND(ISNUMBER($G229),$G229&lt;=IF($S229=MesCiclo,InicioCiclo,$S229+MOD(2-WEEKDAY($S229),7))+6),1,IF(N($W229)&gt;0,AVERAGEIFS($Y$5:$Y$1000,$U$5:$U$1000,ROW(),$V$5:$V$1000,"Sub"),$Y229)))</f>
        <v/>
      </c>
      <c r="AD229" s="62">
        <f>IF($V229="","",IF(AND(ISNUMBER($G229),$G229&lt;=IF($S229=MesCiclo,InicioCiclo,$S229+MOD(2-WEEKDAY($S229),7))+13),1,IF(N($W229)&gt;0,AVERAGEIFS($Z$5:$Z$1000,$U$5:$U$1000,ROW(),$V$5:$V$1000,"Sub"),$Z229)))</f>
        <v/>
      </c>
      <c r="AE229" s="62">
        <f>IF($V229="","",IF(AND(ISNUMBER($G229),$G229&lt;=IF($S229=MesCiclo,InicioCiclo,$S229+MOD(2-WEEKDAY($S229),7))+20),1,IF(N($W229)&gt;0,AVERAGEIFS($AA$5:$AA$1000,$U$5:$U$1000,ROW(),$V$5:$V$1000,"Sub"),$AA229)))</f>
        <v/>
      </c>
      <c r="AF229" s="62">
        <f>IF($V229="","",IF(AND(ISNUMBER($G229),$G229&lt;=IF($S229=MesCiclo,InicioCiclo,$S229+MOD(2-WEEKDAY($S229),7))+27),1,IF(N($W229)&gt;0,AVERAGEIFS($AB$5:$AB$1000,$U$5:$U$1000,ROW(),$V$5:$V$1000,"Sub"),$AB229)))</f>
        <v/>
      </c>
      <c r="AG229" s="62">
        <f>IF($V229&lt;&gt;"Macro","",IF(COUNTIFS($S$5:$S$1000,$S229,$V$5:$V$1000,"Macro",$H$5:$H$1000,"&gt;0")=0,1/COUNTIFS($S$5:$S$1000,$S229,$V$5:$V$1000,"Macro"),IF(AND(ISNUMBER($H229),N($H229)&gt;0),$H229,SUMIFS($H$5:$H$1000,$S$5:$S$1000,$S229,$V$5:$V$1000,"Macro")/COUNTIFS($S$5:$S$1000,$S229,$V$5:$V$1000,"Macro",$H$5:$H$1000,"&gt;0"))/(COUNTIFS($S$5:$S$1000,$S229,$V$5:$V$1000,"Macro")*SUMIFS($H$5:$H$1000,$S$5:$S$1000,$S229,$V$5:$V$1000,"Macro")/COUNTIFS($S$5:$S$1000,$S229,$V$5:$V$1000,"Macro",$H$5:$H$1000,"&gt;0"))))</f>
        <v/>
      </c>
      <c r="AH229" s="62" t="n"/>
      <c r="AI229" s="62" t="n"/>
      <c r="AJ229" s="62" t="n"/>
      <c r="AK229" s="62" t="n"/>
      <c r="AL229" s="62">
        <f>IF(LEFT($C229,11)="[Jefatura] ",IFERROR(MATCH("Riesgo Financiero|"&amp;MID($C229,12,500),rDname_ADM,0),0),"")</f>
        <v/>
      </c>
      <c r="AM229" s="62">
        <f>IF(N($AL229)&gt;0,INDEX(rIni_ADM,$AL229),IF(ISNUMBER($E229),$E229,""))</f>
        <v/>
      </c>
      <c r="AN229" s="62">
        <f>IF(N($AL229)&gt;0,INDEX(rLim_ADM,$AL229),IF(ISNUMBER($F229),$F229,""))</f>
        <v/>
      </c>
    </row>
    <row r="230">
      <c r="A230" s="56">
        <f>IF(NOT((COUNTA($B230:$D230)+COUNTA($G230:$L230)+COUNTA($Q230))&gt;0),"",IF($V230="Macro",COUNTIFS($V$5:$V230,"Macro",$S$5:$S230,$S230),IF(N($U230)=0,"?",COUNTIFS(INDEX($V$5:$V$1000,1):INDEX($V$5:$V$1000,$U230-4),"Macro",INDEX($S$5:$S$1000,1):INDEX($S$5:$S$1000,$U230-4),INDEX($S$5:$S$1000,$U230-4))&amp;"."&amp;COUNTIFS($U$5:$U230,$U230,$V$5:$V230,"Sub"))))</f>
        <v/>
      </c>
      <c r="B230" s="57" t="n"/>
      <c r="C230" s="58" t="n"/>
      <c r="D230" s="58" t="n"/>
      <c r="E230" s="59">
        <f>IF(N($AL230)&gt;0,INDEX(rIni_ADM,$AL230),"")</f>
        <v/>
      </c>
      <c r="F230" s="59">
        <f>IF(N($AL230)&gt;0,INDEX(rLim_ADM,$AL230),"")</f>
        <v/>
      </c>
      <c r="G230" s="59" t="n"/>
      <c r="H230" s="60" t="n"/>
      <c r="I230" s="60" t="n"/>
      <c r="J230" s="60" t="n"/>
      <c r="K230" s="60" t="n"/>
      <c r="L230" s="60" t="n"/>
      <c r="M230" s="61">
        <f>IF(NOT((COUNTA($B230:$D230)+COUNTA($G230:$L230)+COUNTA($Q230))&gt;0),"",IF(ISNUMBER($G230),1,IF(N($W230)&gt;0,AVERAGEIFS($X$5:$X$1000,$U$5:$U$1000,ROW(),$V$5:$V$1000,"Sub"),$X230)))</f>
        <v/>
      </c>
      <c r="N230" s="56">
        <f>IF($M230="","",IF($M230&gt;=1,"Completado",IF($M230&gt;0,"En curso","Pendiente")))</f>
        <v/>
      </c>
      <c r="O230" s="56">
        <f>IF(NOT((COUNTA($B230:$D230)+COUNTA($G230:$L230)+COUNTA($Q230))&gt;0),"",IF(ISNUMBER($G230),IF(AND(ISNUMBER($AN230),$G230&gt;$AN230),"Cumplida con "&amp;($G230-$AN230)&amp;IF($G230-$AN230=1," día"," días")&amp;" de retraso","Cumplida"),IF(N($M230)&gt;=1,"Cumplida",IF(NOT(ISNUMBER($AN230)),"Sin fecha límite",IF($AN230&lt;FechaRef,"Vencida hace "&amp;(FechaRef-$AN230)&amp;IF(FechaRef-$AN230=1," día"," días"),IF($AN230=FechaRef,"Vence hoy",IF($AN230-FechaRef&lt;=DiasAlerta,"Vence en "&amp;($AN230-FechaRef)&amp;IF($AN230-FechaRef=1," día"," días"),"En plazo")))))))</f>
        <v/>
      </c>
      <c r="P230" s="62" t="n"/>
      <c r="Q230" s="58" t="n"/>
      <c r="R230" s="63">
        <f>IF(NOT((COUNTA($B230:$D230)+COUNTA($G230:$L230)+COUNTA($Q230))&gt;0),"",IF((IF($C230="","Falta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",""))="","✔ OK","⚠ "&amp;LEFT(IF($C230="","Falta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",""),LEN(IF($C230="","Falta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",""))-3)))</f>
        <v/>
      </c>
      <c r="S230" s="64">
        <f>IF(NOT((COUNTA($B230:$D230)+COUNTA($G230:$L230)+COUNTA($Q230))&gt;0),"",IF(AND($V230="Sub",N($U230)&gt;0),IF(ISNUMBER(INDEX($AM$5:$AM$1000,$U230-4)),DATE(YEAR(INDEX($AM$5:$AM$1000,$U230-4)),MONTH(INDEX($AM$5:$AM$1000,$U230-4)),1),IF(ISNUMBER(INDEX($AN$5:$AN$1000,$U230-4)),DATE(YEAR(INDEX($AN$5:$AN$1000,$U230-4)),MONTH(INDEX($AN$5:$AN$1000,$U230-4)),1),MesCiclo)),IF(ISNUMBER($AM230),DATE(YEAR($AM230),MONTH($AM230),1),IF(ISNUMBER($AN230),DATE(YEAR($AN230),MONTH($AN230),1),MesCiclo))))</f>
        <v/>
      </c>
      <c r="T230" s="62">
        <f>IF(OR($S230="",$S230&lt;&gt;MesCiclo),"",COUNTIF($S$5:$S230,MesCiclo))</f>
        <v/>
      </c>
      <c r="U230" s="62">
        <f>IF($V230="","",IF($V230="Macro",ROW(),IFERROR(LOOKUP(2,1/($V$5:$V230="Macro"),ROW($V$5:$V230)),0)))</f>
        <v/>
      </c>
      <c r="V230" s="62">
        <f>IF(NOT((COUNTA($B230:$D230)+COUNTA($G230:$L230)+COUNTA($Q230))&gt;0),"",IF($B230="Subactividad","Sub","Macro"))</f>
        <v/>
      </c>
      <c r="W230" s="62">
        <f>IF($V230="Macro",COUNTIFS($U$5:$U$1000,ROW(),$V$5:$V$1000,"Sub"),"")</f>
        <v/>
      </c>
      <c r="X230" s="62">
        <f>IF($V230="","",IF(ISNUMBER($G230),1,IFERROR(LOOKUP(2,1/($I230:$L230&lt;&gt;""),$I230:$L230),0)))</f>
        <v/>
      </c>
      <c r="Y230" s="62">
        <f>IF($V230="","",IF(AND(ISNUMBER($G230),$G230&lt;=IF($S230=MesCiclo,InicioCiclo,$S230+MOD(2-WEEKDAY($S230),7))+6),1,IF(ISNUMBER($I230),$I230,0)))</f>
        <v/>
      </c>
      <c r="Z230" s="62">
        <f>IF($V230="","",IF(AND(ISNUMBER($G230),$G230&lt;=IF($S230=MesCiclo,InicioCiclo,$S230+MOD(2-WEEKDAY($S230),7))+13),1,IF(ISNUMBER($J230),$J230,$Y230)))</f>
        <v/>
      </c>
      <c r="AA230" s="62">
        <f>IF($V230="","",IF(AND(ISNUMBER($G230),$G230&lt;=IF($S230=MesCiclo,InicioCiclo,$S230+MOD(2-WEEKDAY($S230),7))+20),1,IF(ISNUMBER($K230),$K230,$Z230)))</f>
        <v/>
      </c>
      <c r="AB230" s="62">
        <f>IF($V230="","",IF(AND(ISNUMBER($G230),$G230&lt;=IF($S230=MesCiclo,InicioCiclo,$S230+MOD(2-WEEKDAY($S230),7))+27),1,IF(ISNUMBER($L230),$L230,$AA230)))</f>
        <v/>
      </c>
      <c r="AC230" s="62">
        <f>IF($V230="","",IF(AND(ISNUMBER($G230),$G230&lt;=IF($S230=MesCiclo,InicioCiclo,$S230+MOD(2-WEEKDAY($S230),7))+6),1,IF(N($W230)&gt;0,AVERAGEIFS($Y$5:$Y$1000,$U$5:$U$1000,ROW(),$V$5:$V$1000,"Sub"),$Y230)))</f>
        <v/>
      </c>
      <c r="AD230" s="62">
        <f>IF($V230="","",IF(AND(ISNUMBER($G230),$G230&lt;=IF($S230=MesCiclo,InicioCiclo,$S230+MOD(2-WEEKDAY($S230),7))+13),1,IF(N($W230)&gt;0,AVERAGEIFS($Z$5:$Z$1000,$U$5:$U$1000,ROW(),$V$5:$V$1000,"Sub"),$Z230)))</f>
        <v/>
      </c>
      <c r="AE230" s="62">
        <f>IF($V230="","",IF(AND(ISNUMBER($G230),$G230&lt;=IF($S230=MesCiclo,InicioCiclo,$S230+MOD(2-WEEKDAY($S230),7))+20),1,IF(N($W230)&gt;0,AVERAGEIFS($AA$5:$AA$1000,$U$5:$U$1000,ROW(),$V$5:$V$1000,"Sub"),$AA230)))</f>
        <v/>
      </c>
      <c r="AF230" s="62">
        <f>IF($V230="","",IF(AND(ISNUMBER($G230),$G230&lt;=IF($S230=MesCiclo,InicioCiclo,$S230+MOD(2-WEEKDAY($S230),7))+27),1,IF(N($W230)&gt;0,AVERAGEIFS($AB$5:$AB$1000,$U$5:$U$1000,ROW(),$V$5:$V$1000,"Sub"),$AB230)))</f>
        <v/>
      </c>
      <c r="AG230" s="62">
        <f>IF($V230&lt;&gt;"Macro","",IF(COUNTIFS($S$5:$S$1000,$S230,$V$5:$V$1000,"Macro",$H$5:$H$1000,"&gt;0")=0,1/COUNTIFS($S$5:$S$1000,$S230,$V$5:$V$1000,"Macro"),IF(AND(ISNUMBER($H230),N($H230)&gt;0),$H230,SUMIFS($H$5:$H$1000,$S$5:$S$1000,$S230,$V$5:$V$1000,"Macro")/COUNTIFS($S$5:$S$1000,$S230,$V$5:$V$1000,"Macro",$H$5:$H$1000,"&gt;0"))/(COUNTIFS($S$5:$S$1000,$S230,$V$5:$V$1000,"Macro")*SUMIFS($H$5:$H$1000,$S$5:$S$1000,$S230,$V$5:$V$1000,"Macro")/COUNTIFS($S$5:$S$1000,$S230,$V$5:$V$1000,"Macro",$H$5:$H$1000,"&gt;0"))))</f>
        <v/>
      </c>
      <c r="AH230" s="62" t="n"/>
      <c r="AI230" s="62" t="n"/>
      <c r="AJ230" s="62" t="n"/>
      <c r="AK230" s="62" t="n"/>
      <c r="AL230" s="62">
        <f>IF(LEFT($C230,11)="[Jefatura] ",IFERROR(MATCH("Riesgo Financiero|"&amp;MID($C230,12,500),rDname_ADM,0),0),"")</f>
        <v/>
      </c>
      <c r="AM230" s="62">
        <f>IF(N($AL230)&gt;0,INDEX(rIni_ADM,$AL230),IF(ISNUMBER($E230),$E230,""))</f>
        <v/>
      </c>
      <c r="AN230" s="62">
        <f>IF(N($AL230)&gt;0,INDEX(rLim_ADM,$AL230),IF(ISNUMBER($F230),$F230,""))</f>
        <v/>
      </c>
    </row>
    <row r="231">
      <c r="A231" s="56">
        <f>IF(NOT((COUNTA($B231:$D231)+COUNTA($G231:$L231)+COUNTA($Q231))&gt;0),"",IF($V231="Macro",COUNTIFS($V$5:$V231,"Macro",$S$5:$S231,$S231),IF(N($U231)=0,"?",COUNTIFS(INDEX($V$5:$V$1000,1):INDEX($V$5:$V$1000,$U231-4),"Macro",INDEX($S$5:$S$1000,1):INDEX($S$5:$S$1000,$U231-4),INDEX($S$5:$S$1000,$U231-4))&amp;"."&amp;COUNTIFS($U$5:$U231,$U231,$V$5:$V231,"Sub"))))</f>
        <v/>
      </c>
      <c r="B231" s="57" t="n"/>
      <c r="C231" s="58" t="n"/>
      <c r="D231" s="58" t="n"/>
      <c r="E231" s="59">
        <f>IF(N($AL231)&gt;0,INDEX(rIni_ADM,$AL231),"")</f>
        <v/>
      </c>
      <c r="F231" s="59">
        <f>IF(N($AL231)&gt;0,INDEX(rLim_ADM,$AL231),"")</f>
        <v/>
      </c>
      <c r="G231" s="59" t="n"/>
      <c r="H231" s="60" t="n"/>
      <c r="I231" s="60" t="n"/>
      <c r="J231" s="60" t="n"/>
      <c r="K231" s="60" t="n"/>
      <c r="L231" s="60" t="n"/>
      <c r="M231" s="61">
        <f>IF(NOT((COUNTA($B231:$D231)+COUNTA($G231:$L231)+COUNTA($Q231))&gt;0),"",IF(ISNUMBER($G231),1,IF(N($W231)&gt;0,AVERAGEIFS($X$5:$X$1000,$U$5:$U$1000,ROW(),$V$5:$V$1000,"Sub"),$X231)))</f>
        <v/>
      </c>
      <c r="N231" s="56">
        <f>IF($M231="","",IF($M231&gt;=1,"Completado",IF($M231&gt;0,"En curso","Pendiente")))</f>
        <v/>
      </c>
      <c r="O231" s="56">
        <f>IF(NOT((COUNTA($B231:$D231)+COUNTA($G231:$L231)+COUNTA($Q231))&gt;0),"",IF(ISNUMBER($G231),IF(AND(ISNUMBER($AN231),$G231&gt;$AN231),"Cumplida con "&amp;($G231-$AN231)&amp;IF($G231-$AN231=1," día"," días")&amp;" de retraso","Cumplida"),IF(N($M231)&gt;=1,"Cumplida",IF(NOT(ISNUMBER($AN231)),"Sin fecha límite",IF($AN231&lt;FechaRef,"Vencida hace "&amp;(FechaRef-$AN231)&amp;IF(FechaRef-$AN231=1," día"," días"),IF($AN231=FechaRef,"Vence hoy",IF($AN231-FechaRef&lt;=DiasAlerta,"Vence en "&amp;($AN231-FechaRef)&amp;IF($AN231-FechaRef=1," día"," días"),"En plazo")))))))</f>
        <v/>
      </c>
      <c r="P231" s="62" t="n"/>
      <c r="Q231" s="58" t="n"/>
      <c r="R231" s="63">
        <f>IF(NOT((COUNTA($B231:$D231)+COUNTA($G231:$L231)+COUNTA($Q231))&gt;0),"",IF((IF($C231="","Falta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",""))="","✔ OK","⚠ "&amp;LEFT(IF($C231="","Falta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",""),LEN(IF($C231="","Falta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",""))-3)))</f>
        <v/>
      </c>
      <c r="S231" s="64">
        <f>IF(NOT((COUNTA($B231:$D231)+COUNTA($G231:$L231)+COUNTA($Q231))&gt;0),"",IF(AND($V231="Sub",N($U231)&gt;0),IF(ISNUMBER(INDEX($AM$5:$AM$1000,$U231-4)),DATE(YEAR(INDEX($AM$5:$AM$1000,$U231-4)),MONTH(INDEX($AM$5:$AM$1000,$U231-4)),1),IF(ISNUMBER(INDEX($AN$5:$AN$1000,$U231-4)),DATE(YEAR(INDEX($AN$5:$AN$1000,$U231-4)),MONTH(INDEX($AN$5:$AN$1000,$U231-4)),1),MesCiclo)),IF(ISNUMBER($AM231),DATE(YEAR($AM231),MONTH($AM231),1),IF(ISNUMBER($AN231),DATE(YEAR($AN231),MONTH($AN231),1),MesCiclo))))</f>
        <v/>
      </c>
      <c r="T231" s="62">
        <f>IF(OR($S231="",$S231&lt;&gt;MesCiclo),"",COUNTIF($S$5:$S231,MesCiclo))</f>
        <v/>
      </c>
      <c r="U231" s="62">
        <f>IF($V231="","",IF($V231="Macro",ROW(),IFERROR(LOOKUP(2,1/($V$5:$V231="Macro"),ROW($V$5:$V231)),0)))</f>
        <v/>
      </c>
      <c r="V231" s="62">
        <f>IF(NOT((COUNTA($B231:$D231)+COUNTA($G231:$L231)+COUNTA($Q231))&gt;0),"",IF($B231="Subactividad","Sub","Macro"))</f>
        <v/>
      </c>
      <c r="W231" s="62">
        <f>IF($V231="Macro",COUNTIFS($U$5:$U$1000,ROW(),$V$5:$V$1000,"Sub"),"")</f>
        <v/>
      </c>
      <c r="X231" s="62">
        <f>IF($V231="","",IF(ISNUMBER($G231),1,IFERROR(LOOKUP(2,1/($I231:$L231&lt;&gt;""),$I231:$L231),0)))</f>
        <v/>
      </c>
      <c r="Y231" s="62">
        <f>IF($V231="","",IF(AND(ISNUMBER($G231),$G231&lt;=IF($S231=MesCiclo,InicioCiclo,$S231+MOD(2-WEEKDAY($S231),7))+6),1,IF(ISNUMBER($I231),$I231,0)))</f>
        <v/>
      </c>
      <c r="Z231" s="62">
        <f>IF($V231="","",IF(AND(ISNUMBER($G231),$G231&lt;=IF($S231=MesCiclo,InicioCiclo,$S231+MOD(2-WEEKDAY($S231),7))+13),1,IF(ISNUMBER($J231),$J231,$Y231)))</f>
        <v/>
      </c>
      <c r="AA231" s="62">
        <f>IF($V231="","",IF(AND(ISNUMBER($G231),$G231&lt;=IF($S231=MesCiclo,InicioCiclo,$S231+MOD(2-WEEKDAY($S231),7))+20),1,IF(ISNUMBER($K231),$K231,$Z231)))</f>
        <v/>
      </c>
      <c r="AB231" s="62">
        <f>IF($V231="","",IF(AND(ISNUMBER($G231),$G231&lt;=IF($S231=MesCiclo,InicioCiclo,$S231+MOD(2-WEEKDAY($S231),7))+27),1,IF(ISNUMBER($L231),$L231,$AA231)))</f>
        <v/>
      </c>
      <c r="AC231" s="62">
        <f>IF($V231="","",IF(AND(ISNUMBER($G231),$G231&lt;=IF($S231=MesCiclo,InicioCiclo,$S231+MOD(2-WEEKDAY($S231),7))+6),1,IF(N($W231)&gt;0,AVERAGEIFS($Y$5:$Y$1000,$U$5:$U$1000,ROW(),$V$5:$V$1000,"Sub"),$Y231)))</f>
        <v/>
      </c>
      <c r="AD231" s="62">
        <f>IF($V231="","",IF(AND(ISNUMBER($G231),$G231&lt;=IF($S231=MesCiclo,InicioCiclo,$S231+MOD(2-WEEKDAY($S231),7))+13),1,IF(N($W231)&gt;0,AVERAGEIFS($Z$5:$Z$1000,$U$5:$U$1000,ROW(),$V$5:$V$1000,"Sub"),$Z231)))</f>
        <v/>
      </c>
      <c r="AE231" s="62">
        <f>IF($V231="","",IF(AND(ISNUMBER($G231),$G231&lt;=IF($S231=MesCiclo,InicioCiclo,$S231+MOD(2-WEEKDAY($S231),7))+20),1,IF(N($W231)&gt;0,AVERAGEIFS($AA$5:$AA$1000,$U$5:$U$1000,ROW(),$V$5:$V$1000,"Sub"),$AA231)))</f>
        <v/>
      </c>
      <c r="AF231" s="62">
        <f>IF($V231="","",IF(AND(ISNUMBER($G231),$G231&lt;=IF($S231=MesCiclo,InicioCiclo,$S231+MOD(2-WEEKDAY($S231),7))+27),1,IF(N($W231)&gt;0,AVERAGEIFS($AB$5:$AB$1000,$U$5:$U$1000,ROW(),$V$5:$V$1000,"Sub"),$AB231)))</f>
        <v/>
      </c>
      <c r="AG231" s="62">
        <f>IF($V231&lt;&gt;"Macro","",IF(COUNTIFS($S$5:$S$1000,$S231,$V$5:$V$1000,"Macro",$H$5:$H$1000,"&gt;0")=0,1/COUNTIFS($S$5:$S$1000,$S231,$V$5:$V$1000,"Macro"),IF(AND(ISNUMBER($H231),N($H231)&gt;0),$H231,SUMIFS($H$5:$H$1000,$S$5:$S$1000,$S231,$V$5:$V$1000,"Macro")/COUNTIFS($S$5:$S$1000,$S231,$V$5:$V$1000,"Macro",$H$5:$H$1000,"&gt;0"))/(COUNTIFS($S$5:$S$1000,$S231,$V$5:$V$1000,"Macro")*SUMIFS($H$5:$H$1000,$S$5:$S$1000,$S231,$V$5:$V$1000,"Macro")/COUNTIFS($S$5:$S$1000,$S231,$V$5:$V$1000,"Macro",$H$5:$H$1000,"&gt;0"))))</f>
        <v/>
      </c>
      <c r="AH231" s="62" t="n"/>
      <c r="AI231" s="62" t="n"/>
      <c r="AJ231" s="62" t="n"/>
      <c r="AK231" s="62" t="n"/>
      <c r="AL231" s="62">
        <f>IF(LEFT($C231,11)="[Jefatura] ",IFERROR(MATCH("Riesgo Financiero|"&amp;MID($C231,12,500),rDname_ADM,0),0),"")</f>
        <v/>
      </c>
      <c r="AM231" s="62">
        <f>IF(N($AL231)&gt;0,INDEX(rIni_ADM,$AL231),IF(ISNUMBER($E231),$E231,""))</f>
        <v/>
      </c>
      <c r="AN231" s="62">
        <f>IF(N($AL231)&gt;0,INDEX(rLim_ADM,$AL231),IF(ISNUMBER($F231),$F231,""))</f>
        <v/>
      </c>
    </row>
    <row r="232">
      <c r="A232" s="56">
        <f>IF(NOT((COUNTA($B232:$D232)+COUNTA($G232:$L232)+COUNTA($Q232))&gt;0),"",IF($V232="Macro",COUNTIFS($V$5:$V232,"Macro",$S$5:$S232,$S232),IF(N($U232)=0,"?",COUNTIFS(INDEX($V$5:$V$1000,1):INDEX($V$5:$V$1000,$U232-4),"Macro",INDEX($S$5:$S$1000,1):INDEX($S$5:$S$1000,$U232-4),INDEX($S$5:$S$1000,$U232-4))&amp;"."&amp;COUNTIFS($U$5:$U232,$U232,$V$5:$V232,"Sub"))))</f>
        <v/>
      </c>
      <c r="B232" s="57" t="n"/>
      <c r="C232" s="58" t="n"/>
      <c r="D232" s="58" t="n"/>
      <c r="E232" s="59">
        <f>IF(N($AL232)&gt;0,INDEX(rIni_ADM,$AL232),"")</f>
        <v/>
      </c>
      <c r="F232" s="59">
        <f>IF(N($AL232)&gt;0,INDEX(rLim_ADM,$AL232),"")</f>
        <v/>
      </c>
      <c r="G232" s="59" t="n"/>
      <c r="H232" s="60" t="n"/>
      <c r="I232" s="60" t="n"/>
      <c r="J232" s="60" t="n"/>
      <c r="K232" s="60" t="n"/>
      <c r="L232" s="60" t="n"/>
      <c r="M232" s="61">
        <f>IF(NOT((COUNTA($B232:$D232)+COUNTA($G232:$L232)+COUNTA($Q232))&gt;0),"",IF(ISNUMBER($G232),1,IF(N($W232)&gt;0,AVERAGEIFS($X$5:$X$1000,$U$5:$U$1000,ROW(),$V$5:$V$1000,"Sub"),$X232)))</f>
        <v/>
      </c>
      <c r="N232" s="56">
        <f>IF($M232="","",IF($M232&gt;=1,"Completado",IF($M232&gt;0,"En curso","Pendiente")))</f>
        <v/>
      </c>
      <c r="O232" s="56">
        <f>IF(NOT((COUNTA($B232:$D232)+COUNTA($G232:$L232)+COUNTA($Q232))&gt;0),"",IF(ISNUMBER($G232),IF(AND(ISNUMBER($AN232),$G232&gt;$AN232),"Cumplida con "&amp;($G232-$AN232)&amp;IF($G232-$AN232=1," día"," días")&amp;" de retraso","Cumplida"),IF(N($M232)&gt;=1,"Cumplida",IF(NOT(ISNUMBER($AN232)),"Sin fecha límite",IF($AN232&lt;FechaRef,"Vencida hace "&amp;(FechaRef-$AN232)&amp;IF(FechaRef-$AN232=1," día"," días"),IF($AN232=FechaRef,"Vence hoy",IF($AN232-FechaRef&lt;=DiasAlerta,"Vence en "&amp;($AN232-FechaRef)&amp;IF($AN232-FechaRef=1," día"," días"),"En plazo")))))))</f>
        <v/>
      </c>
      <c r="P232" s="62" t="n"/>
      <c r="Q232" s="58" t="n"/>
      <c r="R232" s="63">
        <f>IF(NOT((COUNTA($B232:$D232)+COUNTA($G232:$L232)+COUNTA($Q232))&gt;0),"",IF((IF($C232="","Falta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",""))="","✔ OK","⚠ "&amp;LEFT(IF($C232="","Falta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",""),LEN(IF($C232="","Falta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",""))-3)))</f>
        <v/>
      </c>
      <c r="S232" s="64">
        <f>IF(NOT((COUNTA($B232:$D232)+COUNTA($G232:$L232)+COUNTA($Q232))&gt;0),"",IF(AND($V232="Sub",N($U232)&gt;0),IF(ISNUMBER(INDEX($AM$5:$AM$1000,$U232-4)),DATE(YEAR(INDEX($AM$5:$AM$1000,$U232-4)),MONTH(INDEX($AM$5:$AM$1000,$U232-4)),1),IF(ISNUMBER(INDEX($AN$5:$AN$1000,$U232-4)),DATE(YEAR(INDEX($AN$5:$AN$1000,$U232-4)),MONTH(INDEX($AN$5:$AN$1000,$U232-4)),1),MesCiclo)),IF(ISNUMBER($AM232),DATE(YEAR($AM232),MONTH($AM232),1),IF(ISNUMBER($AN232),DATE(YEAR($AN232),MONTH($AN232),1),MesCiclo))))</f>
        <v/>
      </c>
      <c r="T232" s="62">
        <f>IF(OR($S232="",$S232&lt;&gt;MesCiclo),"",COUNTIF($S$5:$S232,MesCiclo))</f>
        <v/>
      </c>
      <c r="U232" s="62">
        <f>IF($V232="","",IF($V232="Macro",ROW(),IFERROR(LOOKUP(2,1/($V$5:$V232="Macro"),ROW($V$5:$V232)),0)))</f>
        <v/>
      </c>
      <c r="V232" s="62">
        <f>IF(NOT((COUNTA($B232:$D232)+COUNTA($G232:$L232)+COUNTA($Q232))&gt;0),"",IF($B232="Subactividad","Sub","Macro"))</f>
        <v/>
      </c>
      <c r="W232" s="62">
        <f>IF($V232="Macro",COUNTIFS($U$5:$U$1000,ROW(),$V$5:$V$1000,"Sub"),"")</f>
        <v/>
      </c>
      <c r="X232" s="62">
        <f>IF($V232="","",IF(ISNUMBER($G232),1,IFERROR(LOOKUP(2,1/($I232:$L232&lt;&gt;""),$I232:$L232),0)))</f>
        <v/>
      </c>
      <c r="Y232" s="62">
        <f>IF($V232="","",IF(AND(ISNUMBER($G232),$G232&lt;=IF($S232=MesCiclo,InicioCiclo,$S232+MOD(2-WEEKDAY($S232),7))+6),1,IF(ISNUMBER($I232),$I232,0)))</f>
        <v/>
      </c>
      <c r="Z232" s="62">
        <f>IF($V232="","",IF(AND(ISNUMBER($G232),$G232&lt;=IF($S232=MesCiclo,InicioCiclo,$S232+MOD(2-WEEKDAY($S232),7))+13),1,IF(ISNUMBER($J232),$J232,$Y232)))</f>
        <v/>
      </c>
      <c r="AA232" s="62">
        <f>IF($V232="","",IF(AND(ISNUMBER($G232),$G232&lt;=IF($S232=MesCiclo,InicioCiclo,$S232+MOD(2-WEEKDAY($S232),7))+20),1,IF(ISNUMBER($K232),$K232,$Z232)))</f>
        <v/>
      </c>
      <c r="AB232" s="62">
        <f>IF($V232="","",IF(AND(ISNUMBER($G232),$G232&lt;=IF($S232=MesCiclo,InicioCiclo,$S232+MOD(2-WEEKDAY($S232),7))+27),1,IF(ISNUMBER($L232),$L232,$AA232)))</f>
        <v/>
      </c>
      <c r="AC232" s="62">
        <f>IF($V232="","",IF(AND(ISNUMBER($G232),$G232&lt;=IF($S232=MesCiclo,InicioCiclo,$S232+MOD(2-WEEKDAY($S232),7))+6),1,IF(N($W232)&gt;0,AVERAGEIFS($Y$5:$Y$1000,$U$5:$U$1000,ROW(),$V$5:$V$1000,"Sub"),$Y232)))</f>
        <v/>
      </c>
      <c r="AD232" s="62">
        <f>IF($V232="","",IF(AND(ISNUMBER($G232),$G232&lt;=IF($S232=MesCiclo,InicioCiclo,$S232+MOD(2-WEEKDAY($S232),7))+13),1,IF(N($W232)&gt;0,AVERAGEIFS($Z$5:$Z$1000,$U$5:$U$1000,ROW(),$V$5:$V$1000,"Sub"),$Z232)))</f>
        <v/>
      </c>
      <c r="AE232" s="62">
        <f>IF($V232="","",IF(AND(ISNUMBER($G232),$G232&lt;=IF($S232=MesCiclo,InicioCiclo,$S232+MOD(2-WEEKDAY($S232),7))+20),1,IF(N($W232)&gt;0,AVERAGEIFS($AA$5:$AA$1000,$U$5:$U$1000,ROW(),$V$5:$V$1000,"Sub"),$AA232)))</f>
        <v/>
      </c>
      <c r="AF232" s="62">
        <f>IF($V232="","",IF(AND(ISNUMBER($G232),$G232&lt;=IF($S232=MesCiclo,InicioCiclo,$S232+MOD(2-WEEKDAY($S232),7))+27),1,IF(N($W232)&gt;0,AVERAGEIFS($AB$5:$AB$1000,$U$5:$U$1000,ROW(),$V$5:$V$1000,"Sub"),$AB232)))</f>
        <v/>
      </c>
      <c r="AG232" s="62">
        <f>IF($V232&lt;&gt;"Macro","",IF(COUNTIFS($S$5:$S$1000,$S232,$V$5:$V$1000,"Macro",$H$5:$H$1000,"&gt;0")=0,1/COUNTIFS($S$5:$S$1000,$S232,$V$5:$V$1000,"Macro"),IF(AND(ISNUMBER($H232),N($H232)&gt;0),$H232,SUMIFS($H$5:$H$1000,$S$5:$S$1000,$S232,$V$5:$V$1000,"Macro")/COUNTIFS($S$5:$S$1000,$S232,$V$5:$V$1000,"Macro",$H$5:$H$1000,"&gt;0"))/(COUNTIFS($S$5:$S$1000,$S232,$V$5:$V$1000,"Macro")*SUMIFS($H$5:$H$1000,$S$5:$S$1000,$S232,$V$5:$V$1000,"Macro")/COUNTIFS($S$5:$S$1000,$S232,$V$5:$V$1000,"Macro",$H$5:$H$1000,"&gt;0"))))</f>
        <v/>
      </c>
      <c r="AH232" s="62" t="n"/>
      <c r="AI232" s="62" t="n"/>
      <c r="AJ232" s="62" t="n"/>
      <c r="AK232" s="62" t="n"/>
      <c r="AL232" s="62">
        <f>IF(LEFT($C232,11)="[Jefatura] ",IFERROR(MATCH("Riesgo Financiero|"&amp;MID($C232,12,500),rDname_ADM,0),0),"")</f>
        <v/>
      </c>
      <c r="AM232" s="62">
        <f>IF(N($AL232)&gt;0,INDEX(rIni_ADM,$AL232),IF(ISNUMBER($E232),$E232,""))</f>
        <v/>
      </c>
      <c r="AN232" s="62">
        <f>IF(N($AL232)&gt;0,INDEX(rLim_ADM,$AL232),IF(ISNUMBER($F232),$F232,""))</f>
        <v/>
      </c>
    </row>
    <row r="233">
      <c r="A233" s="56">
        <f>IF(NOT((COUNTA($B233:$D233)+COUNTA($G233:$L233)+COUNTA($Q233))&gt;0),"",IF($V233="Macro",COUNTIFS($V$5:$V233,"Macro",$S$5:$S233,$S233),IF(N($U233)=0,"?",COUNTIFS(INDEX($V$5:$V$1000,1):INDEX($V$5:$V$1000,$U233-4),"Macro",INDEX($S$5:$S$1000,1):INDEX($S$5:$S$1000,$U233-4),INDEX($S$5:$S$1000,$U233-4))&amp;"."&amp;COUNTIFS($U$5:$U233,$U233,$V$5:$V233,"Sub"))))</f>
        <v/>
      </c>
      <c r="B233" s="57" t="n"/>
      <c r="C233" s="58" t="n"/>
      <c r="D233" s="58" t="n"/>
      <c r="E233" s="59">
        <f>IF(N($AL233)&gt;0,INDEX(rIni_ADM,$AL233),"")</f>
        <v/>
      </c>
      <c r="F233" s="59">
        <f>IF(N($AL233)&gt;0,INDEX(rLim_ADM,$AL233),"")</f>
        <v/>
      </c>
      <c r="G233" s="59" t="n"/>
      <c r="H233" s="60" t="n"/>
      <c r="I233" s="60" t="n"/>
      <c r="J233" s="60" t="n"/>
      <c r="K233" s="60" t="n"/>
      <c r="L233" s="60" t="n"/>
      <c r="M233" s="61">
        <f>IF(NOT((COUNTA($B233:$D233)+COUNTA($G233:$L233)+COUNTA($Q233))&gt;0),"",IF(ISNUMBER($G233),1,IF(N($W233)&gt;0,AVERAGEIFS($X$5:$X$1000,$U$5:$U$1000,ROW(),$V$5:$V$1000,"Sub"),$X233)))</f>
        <v/>
      </c>
      <c r="N233" s="56">
        <f>IF($M233="","",IF($M233&gt;=1,"Completado",IF($M233&gt;0,"En curso","Pendiente")))</f>
        <v/>
      </c>
      <c r="O233" s="56">
        <f>IF(NOT((COUNTA($B233:$D233)+COUNTA($G233:$L233)+COUNTA($Q233))&gt;0),"",IF(ISNUMBER($G233),IF(AND(ISNUMBER($AN233),$G233&gt;$AN233),"Cumplida con "&amp;($G233-$AN233)&amp;IF($G233-$AN233=1," día"," días")&amp;" de retraso","Cumplida"),IF(N($M233)&gt;=1,"Cumplida",IF(NOT(ISNUMBER($AN233)),"Sin fecha límite",IF($AN233&lt;FechaRef,"Vencida hace "&amp;(FechaRef-$AN233)&amp;IF(FechaRef-$AN233=1," día"," días"),IF($AN233=FechaRef,"Vence hoy",IF($AN233-FechaRef&lt;=DiasAlerta,"Vence en "&amp;($AN233-FechaRef)&amp;IF($AN233-FechaRef=1," día"," días"),"En plazo")))))))</f>
        <v/>
      </c>
      <c r="P233" s="62" t="n"/>
      <c r="Q233" s="58" t="n"/>
      <c r="R233" s="63">
        <f>IF(NOT((COUNTA($B233:$D233)+COUNTA($G233:$L233)+COUNTA($Q233))&gt;0),"",IF((IF($C233="","Falta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",""))="","✔ OK","⚠ "&amp;LEFT(IF($C233="","Falta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",""),LEN(IF($C233="","Falta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",""))-3)))</f>
        <v/>
      </c>
      <c r="S233" s="64">
        <f>IF(NOT((COUNTA($B233:$D233)+COUNTA($G233:$L233)+COUNTA($Q233))&gt;0),"",IF(AND($V233="Sub",N($U233)&gt;0),IF(ISNUMBER(INDEX($AM$5:$AM$1000,$U233-4)),DATE(YEAR(INDEX($AM$5:$AM$1000,$U233-4)),MONTH(INDEX($AM$5:$AM$1000,$U233-4)),1),IF(ISNUMBER(INDEX($AN$5:$AN$1000,$U233-4)),DATE(YEAR(INDEX($AN$5:$AN$1000,$U233-4)),MONTH(INDEX($AN$5:$AN$1000,$U233-4)),1),MesCiclo)),IF(ISNUMBER($AM233),DATE(YEAR($AM233),MONTH($AM233),1),IF(ISNUMBER($AN233),DATE(YEAR($AN233),MONTH($AN233),1),MesCiclo))))</f>
        <v/>
      </c>
      <c r="T233" s="62">
        <f>IF(OR($S233="",$S233&lt;&gt;MesCiclo),"",COUNTIF($S$5:$S233,MesCiclo))</f>
        <v/>
      </c>
      <c r="U233" s="62">
        <f>IF($V233="","",IF($V233="Macro",ROW(),IFERROR(LOOKUP(2,1/($V$5:$V233="Macro"),ROW($V$5:$V233)),0)))</f>
        <v/>
      </c>
      <c r="V233" s="62">
        <f>IF(NOT((COUNTA($B233:$D233)+COUNTA($G233:$L233)+COUNTA($Q233))&gt;0),"",IF($B233="Subactividad","Sub","Macro"))</f>
        <v/>
      </c>
      <c r="W233" s="62">
        <f>IF($V233="Macro",COUNTIFS($U$5:$U$1000,ROW(),$V$5:$V$1000,"Sub"),"")</f>
        <v/>
      </c>
      <c r="X233" s="62">
        <f>IF($V233="","",IF(ISNUMBER($G233),1,IFERROR(LOOKUP(2,1/($I233:$L233&lt;&gt;""),$I233:$L233),0)))</f>
        <v/>
      </c>
      <c r="Y233" s="62">
        <f>IF($V233="","",IF(AND(ISNUMBER($G233),$G233&lt;=IF($S233=MesCiclo,InicioCiclo,$S233+MOD(2-WEEKDAY($S233),7))+6),1,IF(ISNUMBER($I233),$I233,0)))</f>
        <v/>
      </c>
      <c r="Z233" s="62">
        <f>IF($V233="","",IF(AND(ISNUMBER($G233),$G233&lt;=IF($S233=MesCiclo,InicioCiclo,$S233+MOD(2-WEEKDAY($S233),7))+13),1,IF(ISNUMBER($J233),$J233,$Y233)))</f>
        <v/>
      </c>
      <c r="AA233" s="62">
        <f>IF($V233="","",IF(AND(ISNUMBER($G233),$G233&lt;=IF($S233=MesCiclo,InicioCiclo,$S233+MOD(2-WEEKDAY($S233),7))+20),1,IF(ISNUMBER($K233),$K233,$Z233)))</f>
        <v/>
      </c>
      <c r="AB233" s="62">
        <f>IF($V233="","",IF(AND(ISNUMBER($G233),$G233&lt;=IF($S233=MesCiclo,InicioCiclo,$S233+MOD(2-WEEKDAY($S233),7))+27),1,IF(ISNUMBER($L233),$L233,$AA233)))</f>
        <v/>
      </c>
      <c r="AC233" s="62">
        <f>IF($V233="","",IF(AND(ISNUMBER($G233),$G233&lt;=IF($S233=MesCiclo,InicioCiclo,$S233+MOD(2-WEEKDAY($S233),7))+6),1,IF(N($W233)&gt;0,AVERAGEIFS($Y$5:$Y$1000,$U$5:$U$1000,ROW(),$V$5:$V$1000,"Sub"),$Y233)))</f>
        <v/>
      </c>
      <c r="AD233" s="62">
        <f>IF($V233="","",IF(AND(ISNUMBER($G233),$G233&lt;=IF($S233=MesCiclo,InicioCiclo,$S233+MOD(2-WEEKDAY($S233),7))+13),1,IF(N($W233)&gt;0,AVERAGEIFS($Z$5:$Z$1000,$U$5:$U$1000,ROW(),$V$5:$V$1000,"Sub"),$Z233)))</f>
        <v/>
      </c>
      <c r="AE233" s="62">
        <f>IF($V233="","",IF(AND(ISNUMBER($G233),$G233&lt;=IF($S233=MesCiclo,InicioCiclo,$S233+MOD(2-WEEKDAY($S233),7))+20),1,IF(N($W233)&gt;0,AVERAGEIFS($AA$5:$AA$1000,$U$5:$U$1000,ROW(),$V$5:$V$1000,"Sub"),$AA233)))</f>
        <v/>
      </c>
      <c r="AF233" s="62">
        <f>IF($V233="","",IF(AND(ISNUMBER($G233),$G233&lt;=IF($S233=MesCiclo,InicioCiclo,$S233+MOD(2-WEEKDAY($S233),7))+27),1,IF(N($W233)&gt;0,AVERAGEIFS($AB$5:$AB$1000,$U$5:$U$1000,ROW(),$V$5:$V$1000,"Sub"),$AB233)))</f>
        <v/>
      </c>
      <c r="AG233" s="62">
        <f>IF($V233&lt;&gt;"Macro","",IF(COUNTIFS($S$5:$S$1000,$S233,$V$5:$V$1000,"Macro",$H$5:$H$1000,"&gt;0")=0,1/COUNTIFS($S$5:$S$1000,$S233,$V$5:$V$1000,"Macro"),IF(AND(ISNUMBER($H233),N($H233)&gt;0),$H233,SUMIFS($H$5:$H$1000,$S$5:$S$1000,$S233,$V$5:$V$1000,"Macro")/COUNTIFS($S$5:$S$1000,$S233,$V$5:$V$1000,"Macro",$H$5:$H$1000,"&gt;0"))/(COUNTIFS($S$5:$S$1000,$S233,$V$5:$V$1000,"Macro")*SUMIFS($H$5:$H$1000,$S$5:$S$1000,$S233,$V$5:$V$1000,"Macro")/COUNTIFS($S$5:$S$1000,$S233,$V$5:$V$1000,"Macro",$H$5:$H$1000,"&gt;0"))))</f>
        <v/>
      </c>
      <c r="AH233" s="62" t="n"/>
      <c r="AI233" s="62" t="n"/>
      <c r="AJ233" s="62" t="n"/>
      <c r="AK233" s="62" t="n"/>
      <c r="AL233" s="62">
        <f>IF(LEFT($C233,11)="[Jefatura] ",IFERROR(MATCH("Riesgo Financiero|"&amp;MID($C233,12,500),rDname_ADM,0),0),"")</f>
        <v/>
      </c>
      <c r="AM233" s="62">
        <f>IF(N($AL233)&gt;0,INDEX(rIni_ADM,$AL233),IF(ISNUMBER($E233),$E233,""))</f>
        <v/>
      </c>
      <c r="AN233" s="62">
        <f>IF(N($AL233)&gt;0,INDEX(rLim_ADM,$AL233),IF(ISNUMBER($F233),$F233,""))</f>
        <v/>
      </c>
    </row>
    <row r="234">
      <c r="A234" s="56">
        <f>IF(NOT((COUNTA($B234:$D234)+COUNTA($G234:$L234)+COUNTA($Q234))&gt;0),"",IF($V234="Macro",COUNTIFS($V$5:$V234,"Macro",$S$5:$S234,$S234),IF(N($U234)=0,"?",COUNTIFS(INDEX($V$5:$V$1000,1):INDEX($V$5:$V$1000,$U234-4),"Macro",INDEX($S$5:$S$1000,1):INDEX($S$5:$S$1000,$U234-4),INDEX($S$5:$S$1000,$U234-4))&amp;"."&amp;COUNTIFS($U$5:$U234,$U234,$V$5:$V234,"Sub"))))</f>
        <v/>
      </c>
      <c r="B234" s="57" t="n"/>
      <c r="C234" s="58" t="n"/>
      <c r="D234" s="58" t="n"/>
      <c r="E234" s="59">
        <f>IF(N($AL234)&gt;0,INDEX(rIni_ADM,$AL234),"")</f>
        <v/>
      </c>
      <c r="F234" s="59">
        <f>IF(N($AL234)&gt;0,INDEX(rLim_ADM,$AL234),"")</f>
        <v/>
      </c>
      <c r="G234" s="59" t="n"/>
      <c r="H234" s="60" t="n"/>
      <c r="I234" s="60" t="n"/>
      <c r="J234" s="60" t="n"/>
      <c r="K234" s="60" t="n"/>
      <c r="L234" s="60" t="n"/>
      <c r="M234" s="61">
        <f>IF(NOT((COUNTA($B234:$D234)+COUNTA($G234:$L234)+COUNTA($Q234))&gt;0),"",IF(ISNUMBER($G234),1,IF(N($W234)&gt;0,AVERAGEIFS($X$5:$X$1000,$U$5:$U$1000,ROW(),$V$5:$V$1000,"Sub"),$X234)))</f>
        <v/>
      </c>
      <c r="N234" s="56">
        <f>IF($M234="","",IF($M234&gt;=1,"Completado",IF($M234&gt;0,"En curso","Pendiente")))</f>
        <v/>
      </c>
      <c r="O234" s="56">
        <f>IF(NOT((COUNTA($B234:$D234)+COUNTA($G234:$L234)+COUNTA($Q234))&gt;0),"",IF(ISNUMBER($G234),IF(AND(ISNUMBER($AN234),$G234&gt;$AN234),"Cumplida con "&amp;($G234-$AN234)&amp;IF($G234-$AN234=1," día"," días")&amp;" de retraso","Cumplida"),IF(N($M234)&gt;=1,"Cumplida",IF(NOT(ISNUMBER($AN234)),"Sin fecha límite",IF($AN234&lt;FechaRef,"Vencida hace "&amp;(FechaRef-$AN234)&amp;IF(FechaRef-$AN234=1," día"," días"),IF($AN234=FechaRef,"Vence hoy",IF($AN234-FechaRef&lt;=DiasAlerta,"Vence en "&amp;($AN234-FechaRef)&amp;IF($AN234-FechaRef=1," día"," días"),"En plazo")))))))</f>
        <v/>
      </c>
      <c r="P234" s="62" t="n"/>
      <c r="Q234" s="58" t="n"/>
      <c r="R234" s="63">
        <f>IF(NOT((COUNTA($B234:$D234)+COUNTA($G234:$L234)+COUNTA($Q234))&gt;0),"",IF((IF($C234="","Falta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",""))="","✔ OK","⚠ "&amp;LEFT(IF($C234="","Falta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",""),LEN(IF($C234="","Falta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",""))-3)))</f>
        <v/>
      </c>
      <c r="S234" s="64">
        <f>IF(NOT((COUNTA($B234:$D234)+COUNTA($G234:$L234)+COUNTA($Q234))&gt;0),"",IF(AND($V234="Sub",N($U234)&gt;0),IF(ISNUMBER(INDEX($AM$5:$AM$1000,$U234-4)),DATE(YEAR(INDEX($AM$5:$AM$1000,$U234-4)),MONTH(INDEX($AM$5:$AM$1000,$U234-4)),1),IF(ISNUMBER(INDEX($AN$5:$AN$1000,$U234-4)),DATE(YEAR(INDEX($AN$5:$AN$1000,$U234-4)),MONTH(INDEX($AN$5:$AN$1000,$U234-4)),1),MesCiclo)),IF(ISNUMBER($AM234),DATE(YEAR($AM234),MONTH($AM234),1),IF(ISNUMBER($AN234),DATE(YEAR($AN234),MONTH($AN234),1),MesCiclo))))</f>
        <v/>
      </c>
      <c r="T234" s="62">
        <f>IF(OR($S234="",$S234&lt;&gt;MesCiclo),"",COUNTIF($S$5:$S234,MesCiclo))</f>
        <v/>
      </c>
      <c r="U234" s="62">
        <f>IF($V234="","",IF($V234="Macro",ROW(),IFERROR(LOOKUP(2,1/($V$5:$V234="Macro"),ROW($V$5:$V234)),0)))</f>
        <v/>
      </c>
      <c r="V234" s="62">
        <f>IF(NOT((COUNTA($B234:$D234)+COUNTA($G234:$L234)+COUNTA($Q234))&gt;0),"",IF($B234="Subactividad","Sub","Macro"))</f>
        <v/>
      </c>
      <c r="W234" s="62">
        <f>IF($V234="Macro",COUNTIFS($U$5:$U$1000,ROW(),$V$5:$V$1000,"Sub"),"")</f>
        <v/>
      </c>
      <c r="X234" s="62">
        <f>IF($V234="","",IF(ISNUMBER($G234),1,IFERROR(LOOKUP(2,1/($I234:$L234&lt;&gt;""),$I234:$L234),0)))</f>
        <v/>
      </c>
      <c r="Y234" s="62">
        <f>IF($V234="","",IF(AND(ISNUMBER($G234),$G234&lt;=IF($S234=MesCiclo,InicioCiclo,$S234+MOD(2-WEEKDAY($S234),7))+6),1,IF(ISNUMBER($I234),$I234,0)))</f>
        <v/>
      </c>
      <c r="Z234" s="62">
        <f>IF($V234="","",IF(AND(ISNUMBER($G234),$G234&lt;=IF($S234=MesCiclo,InicioCiclo,$S234+MOD(2-WEEKDAY($S234),7))+13),1,IF(ISNUMBER($J234),$J234,$Y234)))</f>
        <v/>
      </c>
      <c r="AA234" s="62">
        <f>IF($V234="","",IF(AND(ISNUMBER($G234),$G234&lt;=IF($S234=MesCiclo,InicioCiclo,$S234+MOD(2-WEEKDAY($S234),7))+20),1,IF(ISNUMBER($K234),$K234,$Z234)))</f>
        <v/>
      </c>
      <c r="AB234" s="62">
        <f>IF($V234="","",IF(AND(ISNUMBER($G234),$G234&lt;=IF($S234=MesCiclo,InicioCiclo,$S234+MOD(2-WEEKDAY($S234),7))+27),1,IF(ISNUMBER($L234),$L234,$AA234)))</f>
        <v/>
      </c>
      <c r="AC234" s="62">
        <f>IF($V234="","",IF(AND(ISNUMBER($G234),$G234&lt;=IF($S234=MesCiclo,InicioCiclo,$S234+MOD(2-WEEKDAY($S234),7))+6),1,IF(N($W234)&gt;0,AVERAGEIFS($Y$5:$Y$1000,$U$5:$U$1000,ROW(),$V$5:$V$1000,"Sub"),$Y234)))</f>
        <v/>
      </c>
      <c r="AD234" s="62">
        <f>IF($V234="","",IF(AND(ISNUMBER($G234),$G234&lt;=IF($S234=MesCiclo,InicioCiclo,$S234+MOD(2-WEEKDAY($S234),7))+13),1,IF(N($W234)&gt;0,AVERAGEIFS($Z$5:$Z$1000,$U$5:$U$1000,ROW(),$V$5:$V$1000,"Sub"),$Z234)))</f>
        <v/>
      </c>
      <c r="AE234" s="62">
        <f>IF($V234="","",IF(AND(ISNUMBER($G234),$G234&lt;=IF($S234=MesCiclo,InicioCiclo,$S234+MOD(2-WEEKDAY($S234),7))+20),1,IF(N($W234)&gt;0,AVERAGEIFS($AA$5:$AA$1000,$U$5:$U$1000,ROW(),$V$5:$V$1000,"Sub"),$AA234)))</f>
        <v/>
      </c>
      <c r="AF234" s="62">
        <f>IF($V234="","",IF(AND(ISNUMBER($G234),$G234&lt;=IF($S234=MesCiclo,InicioCiclo,$S234+MOD(2-WEEKDAY($S234),7))+27),1,IF(N($W234)&gt;0,AVERAGEIFS($AB$5:$AB$1000,$U$5:$U$1000,ROW(),$V$5:$V$1000,"Sub"),$AB234)))</f>
        <v/>
      </c>
      <c r="AG234" s="62">
        <f>IF($V234&lt;&gt;"Macro","",IF(COUNTIFS($S$5:$S$1000,$S234,$V$5:$V$1000,"Macro",$H$5:$H$1000,"&gt;0")=0,1/COUNTIFS($S$5:$S$1000,$S234,$V$5:$V$1000,"Macro"),IF(AND(ISNUMBER($H234),N($H234)&gt;0),$H234,SUMIFS($H$5:$H$1000,$S$5:$S$1000,$S234,$V$5:$V$1000,"Macro")/COUNTIFS($S$5:$S$1000,$S234,$V$5:$V$1000,"Macro",$H$5:$H$1000,"&gt;0"))/(COUNTIFS($S$5:$S$1000,$S234,$V$5:$V$1000,"Macro")*SUMIFS($H$5:$H$1000,$S$5:$S$1000,$S234,$V$5:$V$1000,"Macro")/COUNTIFS($S$5:$S$1000,$S234,$V$5:$V$1000,"Macro",$H$5:$H$1000,"&gt;0"))))</f>
        <v/>
      </c>
      <c r="AH234" s="62" t="n"/>
      <c r="AI234" s="62" t="n"/>
      <c r="AJ234" s="62" t="n"/>
      <c r="AK234" s="62" t="n"/>
      <c r="AL234" s="62">
        <f>IF(LEFT($C234,11)="[Jefatura] ",IFERROR(MATCH("Riesgo Financiero|"&amp;MID($C234,12,500),rDname_ADM,0),0),"")</f>
        <v/>
      </c>
      <c r="AM234" s="62">
        <f>IF(N($AL234)&gt;0,INDEX(rIni_ADM,$AL234),IF(ISNUMBER($E234),$E234,""))</f>
        <v/>
      </c>
      <c r="AN234" s="62">
        <f>IF(N($AL234)&gt;0,INDEX(rLim_ADM,$AL234),IF(ISNUMBER($F234),$F234,""))</f>
        <v/>
      </c>
    </row>
    <row r="235">
      <c r="A235" s="56">
        <f>IF(NOT((COUNTA($B235:$D235)+COUNTA($G235:$L235)+COUNTA($Q235))&gt;0),"",IF($V235="Macro",COUNTIFS($V$5:$V235,"Macro",$S$5:$S235,$S235),IF(N($U235)=0,"?",COUNTIFS(INDEX($V$5:$V$1000,1):INDEX($V$5:$V$1000,$U235-4),"Macro",INDEX($S$5:$S$1000,1):INDEX($S$5:$S$1000,$U235-4),INDEX($S$5:$S$1000,$U235-4))&amp;"."&amp;COUNTIFS($U$5:$U235,$U235,$V$5:$V235,"Sub"))))</f>
        <v/>
      </c>
      <c r="B235" s="57" t="n"/>
      <c r="C235" s="58" t="n"/>
      <c r="D235" s="58" t="n"/>
      <c r="E235" s="59">
        <f>IF(N($AL235)&gt;0,INDEX(rIni_ADM,$AL235),"")</f>
        <v/>
      </c>
      <c r="F235" s="59">
        <f>IF(N($AL235)&gt;0,INDEX(rLim_ADM,$AL235),"")</f>
        <v/>
      </c>
      <c r="G235" s="59" t="n"/>
      <c r="H235" s="60" t="n"/>
      <c r="I235" s="60" t="n"/>
      <c r="J235" s="60" t="n"/>
      <c r="K235" s="60" t="n"/>
      <c r="L235" s="60" t="n"/>
      <c r="M235" s="61">
        <f>IF(NOT((COUNTA($B235:$D235)+COUNTA($G235:$L235)+COUNTA($Q235))&gt;0),"",IF(ISNUMBER($G235),1,IF(N($W235)&gt;0,AVERAGEIFS($X$5:$X$1000,$U$5:$U$1000,ROW(),$V$5:$V$1000,"Sub"),$X235)))</f>
        <v/>
      </c>
      <c r="N235" s="56">
        <f>IF($M235="","",IF($M235&gt;=1,"Completado",IF($M235&gt;0,"En curso","Pendiente")))</f>
        <v/>
      </c>
      <c r="O235" s="56">
        <f>IF(NOT((COUNTA($B235:$D235)+COUNTA($G235:$L235)+COUNTA($Q235))&gt;0),"",IF(ISNUMBER($G235),IF(AND(ISNUMBER($AN235),$G235&gt;$AN235),"Cumplida con "&amp;($G235-$AN235)&amp;IF($G235-$AN235=1," día"," días")&amp;" de retraso","Cumplida"),IF(N($M235)&gt;=1,"Cumplida",IF(NOT(ISNUMBER($AN235)),"Sin fecha límite",IF($AN235&lt;FechaRef,"Vencida hace "&amp;(FechaRef-$AN235)&amp;IF(FechaRef-$AN235=1," día"," días"),IF($AN235=FechaRef,"Vence hoy",IF($AN235-FechaRef&lt;=DiasAlerta,"Vence en "&amp;($AN235-FechaRef)&amp;IF($AN235-FechaRef=1," día"," días"),"En plazo")))))))</f>
        <v/>
      </c>
      <c r="P235" s="62" t="n"/>
      <c r="Q235" s="58" t="n"/>
      <c r="R235" s="63">
        <f>IF(NOT((COUNTA($B235:$D235)+COUNTA($G235:$L235)+COUNTA($Q235))&gt;0),"",IF((IF($C235="","Falta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",""))="","✔ OK","⚠ "&amp;LEFT(IF($C235="","Falta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",""),LEN(IF($C235="","Falta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",""))-3)))</f>
        <v/>
      </c>
      <c r="S235" s="64">
        <f>IF(NOT((COUNTA($B235:$D235)+COUNTA($G235:$L235)+COUNTA($Q235))&gt;0),"",IF(AND($V235="Sub",N($U235)&gt;0),IF(ISNUMBER(INDEX($AM$5:$AM$1000,$U235-4)),DATE(YEAR(INDEX($AM$5:$AM$1000,$U235-4)),MONTH(INDEX($AM$5:$AM$1000,$U235-4)),1),IF(ISNUMBER(INDEX($AN$5:$AN$1000,$U235-4)),DATE(YEAR(INDEX($AN$5:$AN$1000,$U235-4)),MONTH(INDEX($AN$5:$AN$1000,$U235-4)),1),MesCiclo)),IF(ISNUMBER($AM235),DATE(YEAR($AM235),MONTH($AM235),1),IF(ISNUMBER($AN235),DATE(YEAR($AN235),MONTH($AN235),1),MesCiclo))))</f>
        <v/>
      </c>
      <c r="T235" s="62">
        <f>IF(OR($S235="",$S235&lt;&gt;MesCiclo),"",COUNTIF($S$5:$S235,MesCiclo))</f>
        <v/>
      </c>
      <c r="U235" s="62">
        <f>IF($V235="","",IF($V235="Macro",ROW(),IFERROR(LOOKUP(2,1/($V$5:$V235="Macro"),ROW($V$5:$V235)),0)))</f>
        <v/>
      </c>
      <c r="V235" s="62">
        <f>IF(NOT((COUNTA($B235:$D235)+COUNTA($G235:$L235)+COUNTA($Q235))&gt;0),"",IF($B235="Subactividad","Sub","Macro"))</f>
        <v/>
      </c>
      <c r="W235" s="62">
        <f>IF($V235="Macro",COUNTIFS($U$5:$U$1000,ROW(),$V$5:$V$1000,"Sub"),"")</f>
        <v/>
      </c>
      <c r="X235" s="62">
        <f>IF($V235="","",IF(ISNUMBER($G235),1,IFERROR(LOOKUP(2,1/($I235:$L235&lt;&gt;""),$I235:$L235),0)))</f>
        <v/>
      </c>
      <c r="Y235" s="62">
        <f>IF($V235="","",IF(AND(ISNUMBER($G235),$G235&lt;=IF($S235=MesCiclo,InicioCiclo,$S235+MOD(2-WEEKDAY($S235),7))+6),1,IF(ISNUMBER($I235),$I235,0)))</f>
        <v/>
      </c>
      <c r="Z235" s="62">
        <f>IF($V235="","",IF(AND(ISNUMBER($G235),$G235&lt;=IF($S235=MesCiclo,InicioCiclo,$S235+MOD(2-WEEKDAY($S235),7))+13),1,IF(ISNUMBER($J235),$J235,$Y235)))</f>
        <v/>
      </c>
      <c r="AA235" s="62">
        <f>IF($V235="","",IF(AND(ISNUMBER($G235),$G235&lt;=IF($S235=MesCiclo,InicioCiclo,$S235+MOD(2-WEEKDAY($S235),7))+20),1,IF(ISNUMBER($K235),$K235,$Z235)))</f>
        <v/>
      </c>
      <c r="AB235" s="62">
        <f>IF($V235="","",IF(AND(ISNUMBER($G235),$G235&lt;=IF($S235=MesCiclo,InicioCiclo,$S235+MOD(2-WEEKDAY($S235),7))+27),1,IF(ISNUMBER($L235),$L235,$AA235)))</f>
        <v/>
      </c>
      <c r="AC235" s="62">
        <f>IF($V235="","",IF(AND(ISNUMBER($G235),$G235&lt;=IF($S235=MesCiclo,InicioCiclo,$S235+MOD(2-WEEKDAY($S235),7))+6),1,IF(N($W235)&gt;0,AVERAGEIFS($Y$5:$Y$1000,$U$5:$U$1000,ROW(),$V$5:$V$1000,"Sub"),$Y235)))</f>
        <v/>
      </c>
      <c r="AD235" s="62">
        <f>IF($V235="","",IF(AND(ISNUMBER($G235),$G235&lt;=IF($S235=MesCiclo,InicioCiclo,$S235+MOD(2-WEEKDAY($S235),7))+13),1,IF(N($W235)&gt;0,AVERAGEIFS($Z$5:$Z$1000,$U$5:$U$1000,ROW(),$V$5:$V$1000,"Sub"),$Z235)))</f>
        <v/>
      </c>
      <c r="AE235" s="62">
        <f>IF($V235="","",IF(AND(ISNUMBER($G235),$G235&lt;=IF($S235=MesCiclo,InicioCiclo,$S235+MOD(2-WEEKDAY($S235),7))+20),1,IF(N($W235)&gt;0,AVERAGEIFS($AA$5:$AA$1000,$U$5:$U$1000,ROW(),$V$5:$V$1000,"Sub"),$AA235)))</f>
        <v/>
      </c>
      <c r="AF235" s="62">
        <f>IF($V235="","",IF(AND(ISNUMBER($G235),$G235&lt;=IF($S235=MesCiclo,InicioCiclo,$S235+MOD(2-WEEKDAY($S235),7))+27),1,IF(N($W235)&gt;0,AVERAGEIFS($AB$5:$AB$1000,$U$5:$U$1000,ROW(),$V$5:$V$1000,"Sub"),$AB235)))</f>
        <v/>
      </c>
      <c r="AG235" s="62">
        <f>IF($V235&lt;&gt;"Macro","",IF(COUNTIFS($S$5:$S$1000,$S235,$V$5:$V$1000,"Macro",$H$5:$H$1000,"&gt;0")=0,1/COUNTIFS($S$5:$S$1000,$S235,$V$5:$V$1000,"Macro"),IF(AND(ISNUMBER($H235),N($H235)&gt;0),$H235,SUMIFS($H$5:$H$1000,$S$5:$S$1000,$S235,$V$5:$V$1000,"Macro")/COUNTIFS($S$5:$S$1000,$S235,$V$5:$V$1000,"Macro",$H$5:$H$1000,"&gt;0"))/(COUNTIFS($S$5:$S$1000,$S235,$V$5:$V$1000,"Macro")*SUMIFS($H$5:$H$1000,$S$5:$S$1000,$S235,$V$5:$V$1000,"Macro")/COUNTIFS($S$5:$S$1000,$S235,$V$5:$V$1000,"Macro",$H$5:$H$1000,"&gt;0"))))</f>
        <v/>
      </c>
      <c r="AH235" s="62" t="n"/>
      <c r="AI235" s="62" t="n"/>
      <c r="AJ235" s="62" t="n"/>
      <c r="AK235" s="62" t="n"/>
      <c r="AL235" s="62">
        <f>IF(LEFT($C235,11)="[Jefatura] ",IFERROR(MATCH("Riesgo Financiero|"&amp;MID($C235,12,500),rDname_ADM,0),0),"")</f>
        <v/>
      </c>
      <c r="AM235" s="62">
        <f>IF(N($AL235)&gt;0,INDEX(rIni_ADM,$AL235),IF(ISNUMBER($E235),$E235,""))</f>
        <v/>
      </c>
      <c r="AN235" s="62">
        <f>IF(N($AL235)&gt;0,INDEX(rLim_ADM,$AL235),IF(ISNUMBER($F235),$F235,""))</f>
        <v/>
      </c>
    </row>
    <row r="236">
      <c r="A236" s="56">
        <f>IF(NOT((COUNTA($B236:$D236)+COUNTA($G236:$L236)+COUNTA($Q236))&gt;0),"",IF($V236="Macro",COUNTIFS($V$5:$V236,"Macro",$S$5:$S236,$S236),IF(N($U236)=0,"?",COUNTIFS(INDEX($V$5:$V$1000,1):INDEX($V$5:$V$1000,$U236-4),"Macro",INDEX($S$5:$S$1000,1):INDEX($S$5:$S$1000,$U236-4),INDEX($S$5:$S$1000,$U236-4))&amp;"."&amp;COUNTIFS($U$5:$U236,$U236,$V$5:$V236,"Sub"))))</f>
        <v/>
      </c>
      <c r="B236" s="57" t="n"/>
      <c r="C236" s="58" t="n"/>
      <c r="D236" s="58" t="n"/>
      <c r="E236" s="59">
        <f>IF(N($AL236)&gt;0,INDEX(rIni_ADM,$AL236),"")</f>
        <v/>
      </c>
      <c r="F236" s="59">
        <f>IF(N($AL236)&gt;0,INDEX(rLim_ADM,$AL236),"")</f>
        <v/>
      </c>
      <c r="G236" s="59" t="n"/>
      <c r="H236" s="60" t="n"/>
      <c r="I236" s="60" t="n"/>
      <c r="J236" s="60" t="n"/>
      <c r="K236" s="60" t="n"/>
      <c r="L236" s="60" t="n"/>
      <c r="M236" s="61">
        <f>IF(NOT((COUNTA($B236:$D236)+COUNTA($G236:$L236)+COUNTA($Q236))&gt;0),"",IF(ISNUMBER($G236),1,IF(N($W236)&gt;0,AVERAGEIFS($X$5:$X$1000,$U$5:$U$1000,ROW(),$V$5:$V$1000,"Sub"),$X236)))</f>
        <v/>
      </c>
      <c r="N236" s="56">
        <f>IF($M236="","",IF($M236&gt;=1,"Completado",IF($M236&gt;0,"En curso","Pendiente")))</f>
        <v/>
      </c>
      <c r="O236" s="56">
        <f>IF(NOT((COUNTA($B236:$D236)+COUNTA($G236:$L236)+COUNTA($Q236))&gt;0),"",IF(ISNUMBER($G236),IF(AND(ISNUMBER($AN236),$G236&gt;$AN236),"Cumplida con "&amp;($G236-$AN236)&amp;IF($G236-$AN236=1," día"," días")&amp;" de retraso","Cumplida"),IF(N($M236)&gt;=1,"Cumplida",IF(NOT(ISNUMBER($AN236)),"Sin fecha límite",IF($AN236&lt;FechaRef,"Vencida hace "&amp;(FechaRef-$AN236)&amp;IF(FechaRef-$AN236=1," día"," días"),IF($AN236=FechaRef,"Vence hoy",IF($AN236-FechaRef&lt;=DiasAlerta,"Vence en "&amp;($AN236-FechaRef)&amp;IF($AN236-FechaRef=1," día"," días"),"En plazo")))))))</f>
        <v/>
      </c>
      <c r="P236" s="62" t="n"/>
      <c r="Q236" s="58" t="n"/>
      <c r="R236" s="63">
        <f>IF(NOT((COUNTA($B236:$D236)+COUNTA($G236:$L236)+COUNTA($Q236))&gt;0),"",IF((IF($C236="","Falta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",""))="","✔ OK","⚠ "&amp;LEFT(IF($C236="","Falta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",""),LEN(IF($C236="","Falta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",""))-3)))</f>
        <v/>
      </c>
      <c r="S236" s="64">
        <f>IF(NOT((COUNTA($B236:$D236)+COUNTA($G236:$L236)+COUNTA($Q236))&gt;0),"",IF(AND($V236="Sub",N($U236)&gt;0),IF(ISNUMBER(INDEX($AM$5:$AM$1000,$U236-4)),DATE(YEAR(INDEX($AM$5:$AM$1000,$U236-4)),MONTH(INDEX($AM$5:$AM$1000,$U236-4)),1),IF(ISNUMBER(INDEX($AN$5:$AN$1000,$U236-4)),DATE(YEAR(INDEX($AN$5:$AN$1000,$U236-4)),MONTH(INDEX($AN$5:$AN$1000,$U236-4)),1),MesCiclo)),IF(ISNUMBER($AM236),DATE(YEAR($AM236),MONTH($AM236),1),IF(ISNUMBER($AN236),DATE(YEAR($AN236),MONTH($AN236),1),MesCiclo))))</f>
        <v/>
      </c>
      <c r="T236" s="62">
        <f>IF(OR($S236="",$S236&lt;&gt;MesCiclo),"",COUNTIF($S$5:$S236,MesCiclo))</f>
        <v/>
      </c>
      <c r="U236" s="62">
        <f>IF($V236="","",IF($V236="Macro",ROW(),IFERROR(LOOKUP(2,1/($V$5:$V236="Macro"),ROW($V$5:$V236)),0)))</f>
        <v/>
      </c>
      <c r="V236" s="62">
        <f>IF(NOT((COUNTA($B236:$D236)+COUNTA($G236:$L236)+COUNTA($Q236))&gt;0),"",IF($B236="Subactividad","Sub","Macro"))</f>
        <v/>
      </c>
      <c r="W236" s="62">
        <f>IF($V236="Macro",COUNTIFS($U$5:$U$1000,ROW(),$V$5:$V$1000,"Sub"),"")</f>
        <v/>
      </c>
      <c r="X236" s="62">
        <f>IF($V236="","",IF(ISNUMBER($G236),1,IFERROR(LOOKUP(2,1/($I236:$L236&lt;&gt;""),$I236:$L236),0)))</f>
        <v/>
      </c>
      <c r="Y236" s="62">
        <f>IF($V236="","",IF(AND(ISNUMBER($G236),$G236&lt;=IF($S236=MesCiclo,InicioCiclo,$S236+MOD(2-WEEKDAY($S236),7))+6),1,IF(ISNUMBER($I236),$I236,0)))</f>
        <v/>
      </c>
      <c r="Z236" s="62">
        <f>IF($V236="","",IF(AND(ISNUMBER($G236),$G236&lt;=IF($S236=MesCiclo,InicioCiclo,$S236+MOD(2-WEEKDAY($S236),7))+13),1,IF(ISNUMBER($J236),$J236,$Y236)))</f>
        <v/>
      </c>
      <c r="AA236" s="62">
        <f>IF($V236="","",IF(AND(ISNUMBER($G236),$G236&lt;=IF($S236=MesCiclo,InicioCiclo,$S236+MOD(2-WEEKDAY($S236),7))+20),1,IF(ISNUMBER($K236),$K236,$Z236)))</f>
        <v/>
      </c>
      <c r="AB236" s="62">
        <f>IF($V236="","",IF(AND(ISNUMBER($G236),$G236&lt;=IF($S236=MesCiclo,InicioCiclo,$S236+MOD(2-WEEKDAY($S236),7))+27),1,IF(ISNUMBER($L236),$L236,$AA236)))</f>
        <v/>
      </c>
      <c r="AC236" s="62">
        <f>IF($V236="","",IF(AND(ISNUMBER($G236),$G236&lt;=IF($S236=MesCiclo,InicioCiclo,$S236+MOD(2-WEEKDAY($S236),7))+6),1,IF(N($W236)&gt;0,AVERAGEIFS($Y$5:$Y$1000,$U$5:$U$1000,ROW(),$V$5:$V$1000,"Sub"),$Y236)))</f>
        <v/>
      </c>
      <c r="AD236" s="62">
        <f>IF($V236="","",IF(AND(ISNUMBER($G236),$G236&lt;=IF($S236=MesCiclo,InicioCiclo,$S236+MOD(2-WEEKDAY($S236),7))+13),1,IF(N($W236)&gt;0,AVERAGEIFS($Z$5:$Z$1000,$U$5:$U$1000,ROW(),$V$5:$V$1000,"Sub"),$Z236)))</f>
        <v/>
      </c>
      <c r="AE236" s="62">
        <f>IF($V236="","",IF(AND(ISNUMBER($G236),$G236&lt;=IF($S236=MesCiclo,InicioCiclo,$S236+MOD(2-WEEKDAY($S236),7))+20),1,IF(N($W236)&gt;0,AVERAGEIFS($AA$5:$AA$1000,$U$5:$U$1000,ROW(),$V$5:$V$1000,"Sub"),$AA236)))</f>
        <v/>
      </c>
      <c r="AF236" s="62">
        <f>IF($V236="","",IF(AND(ISNUMBER($G236),$G236&lt;=IF($S236=MesCiclo,InicioCiclo,$S236+MOD(2-WEEKDAY($S236),7))+27),1,IF(N($W236)&gt;0,AVERAGEIFS($AB$5:$AB$1000,$U$5:$U$1000,ROW(),$V$5:$V$1000,"Sub"),$AB236)))</f>
        <v/>
      </c>
      <c r="AG236" s="62">
        <f>IF($V236&lt;&gt;"Macro","",IF(COUNTIFS($S$5:$S$1000,$S236,$V$5:$V$1000,"Macro",$H$5:$H$1000,"&gt;0")=0,1/COUNTIFS($S$5:$S$1000,$S236,$V$5:$V$1000,"Macro"),IF(AND(ISNUMBER($H236),N($H236)&gt;0),$H236,SUMIFS($H$5:$H$1000,$S$5:$S$1000,$S236,$V$5:$V$1000,"Macro")/COUNTIFS($S$5:$S$1000,$S236,$V$5:$V$1000,"Macro",$H$5:$H$1000,"&gt;0"))/(COUNTIFS($S$5:$S$1000,$S236,$V$5:$V$1000,"Macro")*SUMIFS($H$5:$H$1000,$S$5:$S$1000,$S236,$V$5:$V$1000,"Macro")/COUNTIFS($S$5:$S$1000,$S236,$V$5:$V$1000,"Macro",$H$5:$H$1000,"&gt;0"))))</f>
        <v/>
      </c>
      <c r="AH236" s="62" t="n"/>
      <c r="AI236" s="62" t="n"/>
      <c r="AJ236" s="62" t="n"/>
      <c r="AK236" s="62" t="n"/>
      <c r="AL236" s="62">
        <f>IF(LEFT($C236,11)="[Jefatura] ",IFERROR(MATCH("Riesgo Financiero|"&amp;MID($C236,12,500),rDname_ADM,0),0),"")</f>
        <v/>
      </c>
      <c r="AM236" s="62">
        <f>IF(N($AL236)&gt;0,INDEX(rIni_ADM,$AL236),IF(ISNUMBER($E236),$E236,""))</f>
        <v/>
      </c>
      <c r="AN236" s="62">
        <f>IF(N($AL236)&gt;0,INDEX(rLim_ADM,$AL236),IF(ISNUMBER($F236),$F236,""))</f>
        <v/>
      </c>
    </row>
    <row r="237">
      <c r="A237" s="56">
        <f>IF(NOT((COUNTA($B237:$D237)+COUNTA($G237:$L237)+COUNTA($Q237))&gt;0),"",IF($V237="Macro",COUNTIFS($V$5:$V237,"Macro",$S$5:$S237,$S237),IF(N($U237)=0,"?",COUNTIFS(INDEX($V$5:$V$1000,1):INDEX($V$5:$V$1000,$U237-4),"Macro",INDEX($S$5:$S$1000,1):INDEX($S$5:$S$1000,$U237-4),INDEX($S$5:$S$1000,$U237-4))&amp;"."&amp;COUNTIFS($U$5:$U237,$U237,$V$5:$V237,"Sub"))))</f>
        <v/>
      </c>
      <c r="B237" s="57" t="n"/>
      <c r="C237" s="58" t="n"/>
      <c r="D237" s="58" t="n"/>
      <c r="E237" s="59">
        <f>IF(N($AL237)&gt;0,INDEX(rIni_ADM,$AL237),"")</f>
        <v/>
      </c>
      <c r="F237" s="59">
        <f>IF(N($AL237)&gt;0,INDEX(rLim_ADM,$AL237),"")</f>
        <v/>
      </c>
      <c r="G237" s="59" t="n"/>
      <c r="H237" s="60" t="n"/>
      <c r="I237" s="60" t="n"/>
      <c r="J237" s="60" t="n"/>
      <c r="K237" s="60" t="n"/>
      <c r="L237" s="60" t="n"/>
      <c r="M237" s="61">
        <f>IF(NOT((COUNTA($B237:$D237)+COUNTA($G237:$L237)+COUNTA($Q237))&gt;0),"",IF(ISNUMBER($G237),1,IF(N($W237)&gt;0,AVERAGEIFS($X$5:$X$1000,$U$5:$U$1000,ROW(),$V$5:$V$1000,"Sub"),$X237)))</f>
        <v/>
      </c>
      <c r="N237" s="56">
        <f>IF($M237="","",IF($M237&gt;=1,"Completado",IF($M237&gt;0,"En curso","Pendiente")))</f>
        <v/>
      </c>
      <c r="O237" s="56">
        <f>IF(NOT((COUNTA($B237:$D237)+COUNTA($G237:$L237)+COUNTA($Q237))&gt;0),"",IF(ISNUMBER($G237),IF(AND(ISNUMBER($AN237),$G237&gt;$AN237),"Cumplida con "&amp;($G237-$AN237)&amp;IF($G237-$AN237=1," día"," días")&amp;" de retraso","Cumplida"),IF(N($M237)&gt;=1,"Cumplida",IF(NOT(ISNUMBER($AN237)),"Sin fecha límite",IF($AN237&lt;FechaRef,"Vencida hace "&amp;(FechaRef-$AN237)&amp;IF(FechaRef-$AN237=1," día"," días"),IF($AN237=FechaRef,"Vence hoy",IF($AN237-FechaRef&lt;=DiasAlerta,"Vence en "&amp;($AN237-FechaRef)&amp;IF($AN237-FechaRef=1," día"," días"),"En plazo")))))))</f>
        <v/>
      </c>
      <c r="P237" s="62" t="n"/>
      <c r="Q237" s="58" t="n"/>
      <c r="R237" s="63">
        <f>IF(NOT((COUNTA($B237:$D237)+COUNTA($G237:$L237)+COUNTA($Q237))&gt;0),"",IF((IF($C237="","Falta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",""))="","✔ OK","⚠ "&amp;LEFT(IF($C237="","Falta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",""),LEN(IF($C237="","Falta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",""))-3)))</f>
        <v/>
      </c>
      <c r="S237" s="64">
        <f>IF(NOT((COUNTA($B237:$D237)+COUNTA($G237:$L237)+COUNTA($Q237))&gt;0),"",IF(AND($V237="Sub",N($U237)&gt;0),IF(ISNUMBER(INDEX($AM$5:$AM$1000,$U237-4)),DATE(YEAR(INDEX($AM$5:$AM$1000,$U237-4)),MONTH(INDEX($AM$5:$AM$1000,$U237-4)),1),IF(ISNUMBER(INDEX($AN$5:$AN$1000,$U237-4)),DATE(YEAR(INDEX($AN$5:$AN$1000,$U237-4)),MONTH(INDEX($AN$5:$AN$1000,$U237-4)),1),MesCiclo)),IF(ISNUMBER($AM237),DATE(YEAR($AM237),MONTH($AM237),1),IF(ISNUMBER($AN237),DATE(YEAR($AN237),MONTH($AN237),1),MesCiclo))))</f>
        <v/>
      </c>
      <c r="T237" s="62">
        <f>IF(OR($S237="",$S237&lt;&gt;MesCiclo),"",COUNTIF($S$5:$S237,MesCiclo))</f>
        <v/>
      </c>
      <c r="U237" s="62">
        <f>IF($V237="","",IF($V237="Macro",ROW(),IFERROR(LOOKUP(2,1/($V$5:$V237="Macro"),ROW($V$5:$V237)),0)))</f>
        <v/>
      </c>
      <c r="V237" s="62">
        <f>IF(NOT((COUNTA($B237:$D237)+COUNTA($G237:$L237)+COUNTA($Q237))&gt;0),"",IF($B237="Subactividad","Sub","Macro"))</f>
        <v/>
      </c>
      <c r="W237" s="62">
        <f>IF($V237="Macro",COUNTIFS($U$5:$U$1000,ROW(),$V$5:$V$1000,"Sub"),"")</f>
        <v/>
      </c>
      <c r="X237" s="62">
        <f>IF($V237="","",IF(ISNUMBER($G237),1,IFERROR(LOOKUP(2,1/($I237:$L237&lt;&gt;""),$I237:$L237),0)))</f>
        <v/>
      </c>
      <c r="Y237" s="62">
        <f>IF($V237="","",IF(AND(ISNUMBER($G237),$G237&lt;=IF($S237=MesCiclo,InicioCiclo,$S237+MOD(2-WEEKDAY($S237),7))+6),1,IF(ISNUMBER($I237),$I237,0)))</f>
        <v/>
      </c>
      <c r="Z237" s="62">
        <f>IF($V237="","",IF(AND(ISNUMBER($G237),$G237&lt;=IF($S237=MesCiclo,InicioCiclo,$S237+MOD(2-WEEKDAY($S237),7))+13),1,IF(ISNUMBER($J237),$J237,$Y237)))</f>
        <v/>
      </c>
      <c r="AA237" s="62">
        <f>IF($V237="","",IF(AND(ISNUMBER($G237),$G237&lt;=IF($S237=MesCiclo,InicioCiclo,$S237+MOD(2-WEEKDAY($S237),7))+20),1,IF(ISNUMBER($K237),$K237,$Z237)))</f>
        <v/>
      </c>
      <c r="AB237" s="62">
        <f>IF($V237="","",IF(AND(ISNUMBER($G237),$G237&lt;=IF($S237=MesCiclo,InicioCiclo,$S237+MOD(2-WEEKDAY($S237),7))+27),1,IF(ISNUMBER($L237),$L237,$AA237)))</f>
        <v/>
      </c>
      <c r="AC237" s="62">
        <f>IF($V237="","",IF(AND(ISNUMBER($G237),$G237&lt;=IF($S237=MesCiclo,InicioCiclo,$S237+MOD(2-WEEKDAY($S237),7))+6),1,IF(N($W237)&gt;0,AVERAGEIFS($Y$5:$Y$1000,$U$5:$U$1000,ROW(),$V$5:$V$1000,"Sub"),$Y237)))</f>
        <v/>
      </c>
      <c r="AD237" s="62">
        <f>IF($V237="","",IF(AND(ISNUMBER($G237),$G237&lt;=IF($S237=MesCiclo,InicioCiclo,$S237+MOD(2-WEEKDAY($S237),7))+13),1,IF(N($W237)&gt;0,AVERAGEIFS($Z$5:$Z$1000,$U$5:$U$1000,ROW(),$V$5:$V$1000,"Sub"),$Z237)))</f>
        <v/>
      </c>
      <c r="AE237" s="62">
        <f>IF($V237="","",IF(AND(ISNUMBER($G237),$G237&lt;=IF($S237=MesCiclo,InicioCiclo,$S237+MOD(2-WEEKDAY($S237),7))+20),1,IF(N($W237)&gt;0,AVERAGEIFS($AA$5:$AA$1000,$U$5:$U$1000,ROW(),$V$5:$V$1000,"Sub"),$AA237)))</f>
        <v/>
      </c>
      <c r="AF237" s="62">
        <f>IF($V237="","",IF(AND(ISNUMBER($G237),$G237&lt;=IF($S237=MesCiclo,InicioCiclo,$S237+MOD(2-WEEKDAY($S237),7))+27),1,IF(N($W237)&gt;0,AVERAGEIFS($AB$5:$AB$1000,$U$5:$U$1000,ROW(),$V$5:$V$1000,"Sub"),$AB237)))</f>
        <v/>
      </c>
      <c r="AG237" s="62">
        <f>IF($V237&lt;&gt;"Macro","",IF(COUNTIFS($S$5:$S$1000,$S237,$V$5:$V$1000,"Macro",$H$5:$H$1000,"&gt;0")=0,1/COUNTIFS($S$5:$S$1000,$S237,$V$5:$V$1000,"Macro"),IF(AND(ISNUMBER($H237),N($H237)&gt;0),$H237,SUMIFS($H$5:$H$1000,$S$5:$S$1000,$S237,$V$5:$V$1000,"Macro")/COUNTIFS($S$5:$S$1000,$S237,$V$5:$V$1000,"Macro",$H$5:$H$1000,"&gt;0"))/(COUNTIFS($S$5:$S$1000,$S237,$V$5:$V$1000,"Macro")*SUMIFS($H$5:$H$1000,$S$5:$S$1000,$S237,$V$5:$V$1000,"Macro")/COUNTIFS($S$5:$S$1000,$S237,$V$5:$V$1000,"Macro",$H$5:$H$1000,"&gt;0"))))</f>
        <v/>
      </c>
      <c r="AH237" s="62" t="n"/>
      <c r="AI237" s="62" t="n"/>
      <c r="AJ237" s="62" t="n"/>
      <c r="AK237" s="62" t="n"/>
      <c r="AL237" s="62">
        <f>IF(LEFT($C237,11)="[Jefatura] ",IFERROR(MATCH("Riesgo Financiero|"&amp;MID($C237,12,500),rDname_ADM,0),0),"")</f>
        <v/>
      </c>
      <c r="AM237" s="62">
        <f>IF(N($AL237)&gt;0,INDEX(rIni_ADM,$AL237),IF(ISNUMBER($E237),$E237,""))</f>
        <v/>
      </c>
      <c r="AN237" s="62">
        <f>IF(N($AL237)&gt;0,INDEX(rLim_ADM,$AL237),IF(ISNUMBER($F237),$F237,""))</f>
        <v/>
      </c>
    </row>
    <row r="238">
      <c r="A238" s="56">
        <f>IF(NOT((COUNTA($B238:$D238)+COUNTA($G238:$L238)+COUNTA($Q238))&gt;0),"",IF($V238="Macro",COUNTIFS($V$5:$V238,"Macro",$S$5:$S238,$S238),IF(N($U238)=0,"?",COUNTIFS(INDEX($V$5:$V$1000,1):INDEX($V$5:$V$1000,$U238-4),"Macro",INDEX($S$5:$S$1000,1):INDEX($S$5:$S$1000,$U238-4),INDEX($S$5:$S$1000,$U238-4))&amp;"."&amp;COUNTIFS($U$5:$U238,$U238,$V$5:$V238,"Sub"))))</f>
        <v/>
      </c>
      <c r="B238" s="57" t="n"/>
      <c r="C238" s="58" t="n"/>
      <c r="D238" s="58" t="n"/>
      <c r="E238" s="59">
        <f>IF(N($AL238)&gt;0,INDEX(rIni_ADM,$AL238),"")</f>
        <v/>
      </c>
      <c r="F238" s="59">
        <f>IF(N($AL238)&gt;0,INDEX(rLim_ADM,$AL238),"")</f>
        <v/>
      </c>
      <c r="G238" s="59" t="n"/>
      <c r="H238" s="60" t="n"/>
      <c r="I238" s="60" t="n"/>
      <c r="J238" s="60" t="n"/>
      <c r="K238" s="60" t="n"/>
      <c r="L238" s="60" t="n"/>
      <c r="M238" s="61">
        <f>IF(NOT((COUNTA($B238:$D238)+COUNTA($G238:$L238)+COUNTA($Q238))&gt;0),"",IF(ISNUMBER($G238),1,IF(N($W238)&gt;0,AVERAGEIFS($X$5:$X$1000,$U$5:$U$1000,ROW(),$V$5:$V$1000,"Sub"),$X238)))</f>
        <v/>
      </c>
      <c r="N238" s="56">
        <f>IF($M238="","",IF($M238&gt;=1,"Completado",IF($M238&gt;0,"En curso","Pendiente")))</f>
        <v/>
      </c>
      <c r="O238" s="56">
        <f>IF(NOT((COUNTA($B238:$D238)+COUNTA($G238:$L238)+COUNTA($Q238))&gt;0),"",IF(ISNUMBER($G238),IF(AND(ISNUMBER($AN238),$G238&gt;$AN238),"Cumplida con "&amp;($G238-$AN238)&amp;IF($G238-$AN238=1," día"," días")&amp;" de retraso","Cumplida"),IF(N($M238)&gt;=1,"Cumplida",IF(NOT(ISNUMBER($AN238)),"Sin fecha límite",IF($AN238&lt;FechaRef,"Vencida hace "&amp;(FechaRef-$AN238)&amp;IF(FechaRef-$AN238=1," día"," días"),IF($AN238=FechaRef,"Vence hoy",IF($AN238-FechaRef&lt;=DiasAlerta,"Vence en "&amp;($AN238-FechaRef)&amp;IF($AN238-FechaRef=1," día"," días"),"En plazo")))))))</f>
        <v/>
      </c>
      <c r="P238" s="62" t="n"/>
      <c r="Q238" s="58" t="n"/>
      <c r="R238" s="63">
        <f>IF(NOT((COUNTA($B238:$D238)+COUNTA($G238:$L238)+COUNTA($Q238))&gt;0),"",IF((IF($C238="","Falta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",""))="","✔ OK","⚠ "&amp;LEFT(IF($C238="","Falta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",""),LEN(IF($C238="","Falta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",""))-3)))</f>
        <v/>
      </c>
      <c r="S238" s="64">
        <f>IF(NOT((COUNTA($B238:$D238)+COUNTA($G238:$L238)+COUNTA($Q238))&gt;0),"",IF(AND($V238="Sub",N($U238)&gt;0),IF(ISNUMBER(INDEX($AM$5:$AM$1000,$U238-4)),DATE(YEAR(INDEX($AM$5:$AM$1000,$U238-4)),MONTH(INDEX($AM$5:$AM$1000,$U238-4)),1),IF(ISNUMBER(INDEX($AN$5:$AN$1000,$U238-4)),DATE(YEAR(INDEX($AN$5:$AN$1000,$U238-4)),MONTH(INDEX($AN$5:$AN$1000,$U238-4)),1),MesCiclo)),IF(ISNUMBER($AM238),DATE(YEAR($AM238),MONTH($AM238),1),IF(ISNUMBER($AN238),DATE(YEAR($AN238),MONTH($AN238),1),MesCiclo))))</f>
        <v/>
      </c>
      <c r="T238" s="62">
        <f>IF(OR($S238="",$S238&lt;&gt;MesCiclo),"",COUNTIF($S$5:$S238,MesCiclo))</f>
        <v/>
      </c>
      <c r="U238" s="62">
        <f>IF($V238="","",IF($V238="Macro",ROW(),IFERROR(LOOKUP(2,1/($V$5:$V238="Macro"),ROW($V$5:$V238)),0)))</f>
        <v/>
      </c>
      <c r="V238" s="62">
        <f>IF(NOT((COUNTA($B238:$D238)+COUNTA($G238:$L238)+COUNTA($Q238))&gt;0),"",IF($B238="Subactividad","Sub","Macro"))</f>
        <v/>
      </c>
      <c r="W238" s="62">
        <f>IF($V238="Macro",COUNTIFS($U$5:$U$1000,ROW(),$V$5:$V$1000,"Sub"),"")</f>
        <v/>
      </c>
      <c r="X238" s="62">
        <f>IF($V238="","",IF(ISNUMBER($G238),1,IFERROR(LOOKUP(2,1/($I238:$L238&lt;&gt;""),$I238:$L238),0)))</f>
        <v/>
      </c>
      <c r="Y238" s="62">
        <f>IF($V238="","",IF(AND(ISNUMBER($G238),$G238&lt;=IF($S238=MesCiclo,InicioCiclo,$S238+MOD(2-WEEKDAY($S238),7))+6),1,IF(ISNUMBER($I238),$I238,0)))</f>
        <v/>
      </c>
      <c r="Z238" s="62">
        <f>IF($V238="","",IF(AND(ISNUMBER($G238),$G238&lt;=IF($S238=MesCiclo,InicioCiclo,$S238+MOD(2-WEEKDAY($S238),7))+13),1,IF(ISNUMBER($J238),$J238,$Y238)))</f>
        <v/>
      </c>
      <c r="AA238" s="62">
        <f>IF($V238="","",IF(AND(ISNUMBER($G238),$G238&lt;=IF($S238=MesCiclo,InicioCiclo,$S238+MOD(2-WEEKDAY($S238),7))+20),1,IF(ISNUMBER($K238),$K238,$Z238)))</f>
        <v/>
      </c>
      <c r="AB238" s="62">
        <f>IF($V238="","",IF(AND(ISNUMBER($G238),$G238&lt;=IF($S238=MesCiclo,InicioCiclo,$S238+MOD(2-WEEKDAY($S238),7))+27),1,IF(ISNUMBER($L238),$L238,$AA238)))</f>
        <v/>
      </c>
      <c r="AC238" s="62">
        <f>IF($V238="","",IF(AND(ISNUMBER($G238),$G238&lt;=IF($S238=MesCiclo,InicioCiclo,$S238+MOD(2-WEEKDAY($S238),7))+6),1,IF(N($W238)&gt;0,AVERAGEIFS($Y$5:$Y$1000,$U$5:$U$1000,ROW(),$V$5:$V$1000,"Sub"),$Y238)))</f>
        <v/>
      </c>
      <c r="AD238" s="62">
        <f>IF($V238="","",IF(AND(ISNUMBER($G238),$G238&lt;=IF($S238=MesCiclo,InicioCiclo,$S238+MOD(2-WEEKDAY($S238),7))+13),1,IF(N($W238)&gt;0,AVERAGEIFS($Z$5:$Z$1000,$U$5:$U$1000,ROW(),$V$5:$V$1000,"Sub"),$Z238)))</f>
        <v/>
      </c>
      <c r="AE238" s="62">
        <f>IF($V238="","",IF(AND(ISNUMBER($G238),$G238&lt;=IF($S238=MesCiclo,InicioCiclo,$S238+MOD(2-WEEKDAY($S238),7))+20),1,IF(N($W238)&gt;0,AVERAGEIFS($AA$5:$AA$1000,$U$5:$U$1000,ROW(),$V$5:$V$1000,"Sub"),$AA238)))</f>
        <v/>
      </c>
      <c r="AF238" s="62">
        <f>IF($V238="","",IF(AND(ISNUMBER($G238),$G238&lt;=IF($S238=MesCiclo,InicioCiclo,$S238+MOD(2-WEEKDAY($S238),7))+27),1,IF(N($W238)&gt;0,AVERAGEIFS($AB$5:$AB$1000,$U$5:$U$1000,ROW(),$V$5:$V$1000,"Sub"),$AB238)))</f>
        <v/>
      </c>
      <c r="AG238" s="62">
        <f>IF($V238&lt;&gt;"Macro","",IF(COUNTIFS($S$5:$S$1000,$S238,$V$5:$V$1000,"Macro",$H$5:$H$1000,"&gt;0")=0,1/COUNTIFS($S$5:$S$1000,$S238,$V$5:$V$1000,"Macro"),IF(AND(ISNUMBER($H238),N($H238)&gt;0),$H238,SUMIFS($H$5:$H$1000,$S$5:$S$1000,$S238,$V$5:$V$1000,"Macro")/COUNTIFS($S$5:$S$1000,$S238,$V$5:$V$1000,"Macro",$H$5:$H$1000,"&gt;0"))/(COUNTIFS($S$5:$S$1000,$S238,$V$5:$V$1000,"Macro")*SUMIFS($H$5:$H$1000,$S$5:$S$1000,$S238,$V$5:$V$1000,"Macro")/COUNTIFS($S$5:$S$1000,$S238,$V$5:$V$1000,"Macro",$H$5:$H$1000,"&gt;0"))))</f>
        <v/>
      </c>
      <c r="AH238" s="62" t="n"/>
      <c r="AI238" s="62" t="n"/>
      <c r="AJ238" s="62" t="n"/>
      <c r="AK238" s="62" t="n"/>
      <c r="AL238" s="62">
        <f>IF(LEFT($C238,11)="[Jefatura] ",IFERROR(MATCH("Riesgo Financiero|"&amp;MID($C238,12,500),rDname_ADM,0),0),"")</f>
        <v/>
      </c>
      <c r="AM238" s="62">
        <f>IF(N($AL238)&gt;0,INDEX(rIni_ADM,$AL238),IF(ISNUMBER($E238),$E238,""))</f>
        <v/>
      </c>
      <c r="AN238" s="62">
        <f>IF(N($AL238)&gt;0,INDEX(rLim_ADM,$AL238),IF(ISNUMBER($F238),$F238,""))</f>
        <v/>
      </c>
    </row>
    <row r="239">
      <c r="A239" s="56">
        <f>IF(NOT((COUNTA($B239:$D239)+COUNTA($G239:$L239)+COUNTA($Q239))&gt;0),"",IF($V239="Macro",COUNTIFS($V$5:$V239,"Macro",$S$5:$S239,$S239),IF(N($U239)=0,"?",COUNTIFS(INDEX($V$5:$V$1000,1):INDEX($V$5:$V$1000,$U239-4),"Macro",INDEX($S$5:$S$1000,1):INDEX($S$5:$S$1000,$U239-4),INDEX($S$5:$S$1000,$U239-4))&amp;"."&amp;COUNTIFS($U$5:$U239,$U239,$V$5:$V239,"Sub"))))</f>
        <v/>
      </c>
      <c r="B239" s="57" t="n"/>
      <c r="C239" s="58" t="n"/>
      <c r="D239" s="58" t="n"/>
      <c r="E239" s="59">
        <f>IF(N($AL239)&gt;0,INDEX(rIni_ADM,$AL239),"")</f>
        <v/>
      </c>
      <c r="F239" s="59">
        <f>IF(N($AL239)&gt;0,INDEX(rLim_ADM,$AL239),"")</f>
        <v/>
      </c>
      <c r="G239" s="59" t="n"/>
      <c r="H239" s="60" t="n"/>
      <c r="I239" s="60" t="n"/>
      <c r="J239" s="60" t="n"/>
      <c r="K239" s="60" t="n"/>
      <c r="L239" s="60" t="n"/>
      <c r="M239" s="61">
        <f>IF(NOT((COUNTA($B239:$D239)+COUNTA($G239:$L239)+COUNTA($Q239))&gt;0),"",IF(ISNUMBER($G239),1,IF(N($W239)&gt;0,AVERAGEIFS($X$5:$X$1000,$U$5:$U$1000,ROW(),$V$5:$V$1000,"Sub"),$X239)))</f>
        <v/>
      </c>
      <c r="N239" s="56">
        <f>IF($M239="","",IF($M239&gt;=1,"Completado",IF($M239&gt;0,"En curso","Pendiente")))</f>
        <v/>
      </c>
      <c r="O239" s="56">
        <f>IF(NOT((COUNTA($B239:$D239)+COUNTA($G239:$L239)+COUNTA($Q239))&gt;0),"",IF(ISNUMBER($G239),IF(AND(ISNUMBER($AN239),$G239&gt;$AN239),"Cumplida con "&amp;($G239-$AN239)&amp;IF($G239-$AN239=1," día"," días")&amp;" de retraso","Cumplida"),IF(N($M239)&gt;=1,"Cumplida",IF(NOT(ISNUMBER($AN239)),"Sin fecha límite",IF($AN239&lt;FechaRef,"Vencida hace "&amp;(FechaRef-$AN239)&amp;IF(FechaRef-$AN239=1," día"," días"),IF($AN239=FechaRef,"Vence hoy",IF($AN239-FechaRef&lt;=DiasAlerta,"Vence en "&amp;($AN239-FechaRef)&amp;IF($AN239-FechaRef=1," día"," días"),"En plazo")))))))</f>
        <v/>
      </c>
      <c r="P239" s="62" t="n"/>
      <c r="Q239" s="58" t="n"/>
      <c r="R239" s="63">
        <f>IF(NOT((COUNTA($B239:$D239)+COUNTA($G239:$L239)+COUNTA($Q239))&gt;0),"",IF((IF($C239="","Falta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",""))="","✔ OK","⚠ "&amp;LEFT(IF($C239="","Falta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",""),LEN(IF($C239="","Falta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",""))-3)))</f>
        <v/>
      </c>
      <c r="S239" s="64">
        <f>IF(NOT((COUNTA($B239:$D239)+COUNTA($G239:$L239)+COUNTA($Q239))&gt;0),"",IF(AND($V239="Sub",N($U239)&gt;0),IF(ISNUMBER(INDEX($AM$5:$AM$1000,$U239-4)),DATE(YEAR(INDEX($AM$5:$AM$1000,$U239-4)),MONTH(INDEX($AM$5:$AM$1000,$U239-4)),1),IF(ISNUMBER(INDEX($AN$5:$AN$1000,$U239-4)),DATE(YEAR(INDEX($AN$5:$AN$1000,$U239-4)),MONTH(INDEX($AN$5:$AN$1000,$U239-4)),1),MesCiclo)),IF(ISNUMBER($AM239),DATE(YEAR($AM239),MONTH($AM239),1),IF(ISNUMBER($AN239),DATE(YEAR($AN239),MONTH($AN239),1),MesCiclo))))</f>
        <v/>
      </c>
      <c r="T239" s="62">
        <f>IF(OR($S239="",$S239&lt;&gt;MesCiclo),"",COUNTIF($S$5:$S239,MesCiclo))</f>
        <v/>
      </c>
      <c r="U239" s="62">
        <f>IF($V239="","",IF($V239="Macro",ROW(),IFERROR(LOOKUP(2,1/($V$5:$V239="Macro"),ROW($V$5:$V239)),0)))</f>
        <v/>
      </c>
      <c r="V239" s="62">
        <f>IF(NOT((COUNTA($B239:$D239)+COUNTA($G239:$L239)+COUNTA($Q239))&gt;0),"",IF($B239="Subactividad","Sub","Macro"))</f>
        <v/>
      </c>
      <c r="W239" s="62">
        <f>IF($V239="Macro",COUNTIFS($U$5:$U$1000,ROW(),$V$5:$V$1000,"Sub"),"")</f>
        <v/>
      </c>
      <c r="X239" s="62">
        <f>IF($V239="","",IF(ISNUMBER($G239),1,IFERROR(LOOKUP(2,1/($I239:$L239&lt;&gt;""),$I239:$L239),0)))</f>
        <v/>
      </c>
      <c r="Y239" s="62">
        <f>IF($V239="","",IF(AND(ISNUMBER($G239),$G239&lt;=IF($S239=MesCiclo,InicioCiclo,$S239+MOD(2-WEEKDAY($S239),7))+6),1,IF(ISNUMBER($I239),$I239,0)))</f>
        <v/>
      </c>
      <c r="Z239" s="62">
        <f>IF($V239="","",IF(AND(ISNUMBER($G239),$G239&lt;=IF($S239=MesCiclo,InicioCiclo,$S239+MOD(2-WEEKDAY($S239),7))+13),1,IF(ISNUMBER($J239),$J239,$Y239)))</f>
        <v/>
      </c>
      <c r="AA239" s="62">
        <f>IF($V239="","",IF(AND(ISNUMBER($G239),$G239&lt;=IF($S239=MesCiclo,InicioCiclo,$S239+MOD(2-WEEKDAY($S239),7))+20),1,IF(ISNUMBER($K239),$K239,$Z239)))</f>
        <v/>
      </c>
      <c r="AB239" s="62">
        <f>IF($V239="","",IF(AND(ISNUMBER($G239),$G239&lt;=IF($S239=MesCiclo,InicioCiclo,$S239+MOD(2-WEEKDAY($S239),7))+27),1,IF(ISNUMBER($L239),$L239,$AA239)))</f>
        <v/>
      </c>
      <c r="AC239" s="62">
        <f>IF($V239="","",IF(AND(ISNUMBER($G239),$G239&lt;=IF($S239=MesCiclo,InicioCiclo,$S239+MOD(2-WEEKDAY($S239),7))+6),1,IF(N($W239)&gt;0,AVERAGEIFS($Y$5:$Y$1000,$U$5:$U$1000,ROW(),$V$5:$V$1000,"Sub"),$Y239)))</f>
        <v/>
      </c>
      <c r="AD239" s="62">
        <f>IF($V239="","",IF(AND(ISNUMBER($G239),$G239&lt;=IF($S239=MesCiclo,InicioCiclo,$S239+MOD(2-WEEKDAY($S239),7))+13),1,IF(N($W239)&gt;0,AVERAGEIFS($Z$5:$Z$1000,$U$5:$U$1000,ROW(),$V$5:$V$1000,"Sub"),$Z239)))</f>
        <v/>
      </c>
      <c r="AE239" s="62">
        <f>IF($V239="","",IF(AND(ISNUMBER($G239),$G239&lt;=IF($S239=MesCiclo,InicioCiclo,$S239+MOD(2-WEEKDAY($S239),7))+20),1,IF(N($W239)&gt;0,AVERAGEIFS($AA$5:$AA$1000,$U$5:$U$1000,ROW(),$V$5:$V$1000,"Sub"),$AA239)))</f>
        <v/>
      </c>
      <c r="AF239" s="62">
        <f>IF($V239="","",IF(AND(ISNUMBER($G239),$G239&lt;=IF($S239=MesCiclo,InicioCiclo,$S239+MOD(2-WEEKDAY($S239),7))+27),1,IF(N($W239)&gt;0,AVERAGEIFS($AB$5:$AB$1000,$U$5:$U$1000,ROW(),$V$5:$V$1000,"Sub"),$AB239)))</f>
        <v/>
      </c>
      <c r="AG239" s="62">
        <f>IF($V239&lt;&gt;"Macro","",IF(COUNTIFS($S$5:$S$1000,$S239,$V$5:$V$1000,"Macro",$H$5:$H$1000,"&gt;0")=0,1/COUNTIFS($S$5:$S$1000,$S239,$V$5:$V$1000,"Macro"),IF(AND(ISNUMBER($H239),N($H239)&gt;0),$H239,SUMIFS($H$5:$H$1000,$S$5:$S$1000,$S239,$V$5:$V$1000,"Macro")/COUNTIFS($S$5:$S$1000,$S239,$V$5:$V$1000,"Macro",$H$5:$H$1000,"&gt;0"))/(COUNTIFS($S$5:$S$1000,$S239,$V$5:$V$1000,"Macro")*SUMIFS($H$5:$H$1000,$S$5:$S$1000,$S239,$V$5:$V$1000,"Macro")/COUNTIFS($S$5:$S$1000,$S239,$V$5:$V$1000,"Macro",$H$5:$H$1000,"&gt;0"))))</f>
        <v/>
      </c>
      <c r="AH239" s="62" t="n"/>
      <c r="AI239" s="62" t="n"/>
      <c r="AJ239" s="62" t="n"/>
      <c r="AK239" s="62" t="n"/>
      <c r="AL239" s="62">
        <f>IF(LEFT($C239,11)="[Jefatura] ",IFERROR(MATCH("Riesgo Financiero|"&amp;MID($C239,12,500),rDname_ADM,0),0),"")</f>
        <v/>
      </c>
      <c r="AM239" s="62">
        <f>IF(N($AL239)&gt;0,INDEX(rIni_ADM,$AL239),IF(ISNUMBER($E239),$E239,""))</f>
        <v/>
      </c>
      <c r="AN239" s="62">
        <f>IF(N($AL239)&gt;0,INDEX(rLim_ADM,$AL239),IF(ISNUMBER($F239),$F239,""))</f>
        <v/>
      </c>
    </row>
    <row r="240">
      <c r="A240" s="56">
        <f>IF(NOT((COUNTA($B240:$D240)+COUNTA($G240:$L240)+COUNTA($Q240))&gt;0),"",IF($V240="Macro",COUNTIFS($V$5:$V240,"Macro",$S$5:$S240,$S240),IF(N($U240)=0,"?",COUNTIFS(INDEX($V$5:$V$1000,1):INDEX($V$5:$V$1000,$U240-4),"Macro",INDEX($S$5:$S$1000,1):INDEX($S$5:$S$1000,$U240-4),INDEX($S$5:$S$1000,$U240-4))&amp;"."&amp;COUNTIFS($U$5:$U240,$U240,$V$5:$V240,"Sub"))))</f>
        <v/>
      </c>
      <c r="B240" s="57" t="n"/>
      <c r="C240" s="58" t="n"/>
      <c r="D240" s="58" t="n"/>
      <c r="E240" s="59">
        <f>IF(N($AL240)&gt;0,INDEX(rIni_ADM,$AL240),"")</f>
        <v/>
      </c>
      <c r="F240" s="59">
        <f>IF(N($AL240)&gt;0,INDEX(rLim_ADM,$AL240),"")</f>
        <v/>
      </c>
      <c r="G240" s="59" t="n"/>
      <c r="H240" s="60" t="n"/>
      <c r="I240" s="60" t="n"/>
      <c r="J240" s="60" t="n"/>
      <c r="K240" s="60" t="n"/>
      <c r="L240" s="60" t="n"/>
      <c r="M240" s="61">
        <f>IF(NOT((COUNTA($B240:$D240)+COUNTA($G240:$L240)+COUNTA($Q240))&gt;0),"",IF(ISNUMBER($G240),1,IF(N($W240)&gt;0,AVERAGEIFS($X$5:$X$1000,$U$5:$U$1000,ROW(),$V$5:$V$1000,"Sub"),$X240)))</f>
        <v/>
      </c>
      <c r="N240" s="56">
        <f>IF($M240="","",IF($M240&gt;=1,"Completado",IF($M240&gt;0,"En curso","Pendiente")))</f>
        <v/>
      </c>
      <c r="O240" s="56">
        <f>IF(NOT((COUNTA($B240:$D240)+COUNTA($G240:$L240)+COUNTA($Q240))&gt;0),"",IF(ISNUMBER($G240),IF(AND(ISNUMBER($AN240),$G240&gt;$AN240),"Cumplida con "&amp;($G240-$AN240)&amp;IF($G240-$AN240=1," día"," días")&amp;" de retraso","Cumplida"),IF(N($M240)&gt;=1,"Cumplida",IF(NOT(ISNUMBER($AN240)),"Sin fecha límite",IF($AN240&lt;FechaRef,"Vencida hace "&amp;(FechaRef-$AN240)&amp;IF(FechaRef-$AN240=1," día"," días"),IF($AN240=FechaRef,"Vence hoy",IF($AN240-FechaRef&lt;=DiasAlerta,"Vence en "&amp;($AN240-FechaRef)&amp;IF($AN240-FechaRef=1," día"," días"),"En plazo")))))))</f>
        <v/>
      </c>
      <c r="P240" s="62" t="n"/>
      <c r="Q240" s="58" t="n"/>
      <c r="R240" s="63">
        <f>IF(NOT((COUNTA($B240:$D240)+COUNTA($G240:$L240)+COUNTA($Q240))&gt;0),"",IF((IF($C240="","Falta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",""))="","✔ OK","⚠ "&amp;LEFT(IF($C240="","Falta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",""),LEN(IF($C240="","Falta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",""))-3)))</f>
        <v/>
      </c>
      <c r="S240" s="64">
        <f>IF(NOT((COUNTA($B240:$D240)+COUNTA($G240:$L240)+COUNTA($Q240))&gt;0),"",IF(AND($V240="Sub",N($U240)&gt;0),IF(ISNUMBER(INDEX($AM$5:$AM$1000,$U240-4)),DATE(YEAR(INDEX($AM$5:$AM$1000,$U240-4)),MONTH(INDEX($AM$5:$AM$1000,$U240-4)),1),IF(ISNUMBER(INDEX($AN$5:$AN$1000,$U240-4)),DATE(YEAR(INDEX($AN$5:$AN$1000,$U240-4)),MONTH(INDEX($AN$5:$AN$1000,$U240-4)),1),MesCiclo)),IF(ISNUMBER($AM240),DATE(YEAR($AM240),MONTH($AM240),1),IF(ISNUMBER($AN240),DATE(YEAR($AN240),MONTH($AN240),1),MesCiclo))))</f>
        <v/>
      </c>
      <c r="T240" s="62">
        <f>IF(OR($S240="",$S240&lt;&gt;MesCiclo),"",COUNTIF($S$5:$S240,MesCiclo))</f>
        <v/>
      </c>
      <c r="U240" s="62">
        <f>IF($V240="","",IF($V240="Macro",ROW(),IFERROR(LOOKUP(2,1/($V$5:$V240="Macro"),ROW($V$5:$V240)),0)))</f>
        <v/>
      </c>
      <c r="V240" s="62">
        <f>IF(NOT((COUNTA($B240:$D240)+COUNTA($G240:$L240)+COUNTA($Q240))&gt;0),"",IF($B240="Subactividad","Sub","Macro"))</f>
        <v/>
      </c>
      <c r="W240" s="62">
        <f>IF($V240="Macro",COUNTIFS($U$5:$U$1000,ROW(),$V$5:$V$1000,"Sub"),"")</f>
        <v/>
      </c>
      <c r="X240" s="62">
        <f>IF($V240="","",IF(ISNUMBER($G240),1,IFERROR(LOOKUP(2,1/($I240:$L240&lt;&gt;""),$I240:$L240),0)))</f>
        <v/>
      </c>
      <c r="Y240" s="62">
        <f>IF($V240="","",IF(AND(ISNUMBER($G240),$G240&lt;=IF($S240=MesCiclo,InicioCiclo,$S240+MOD(2-WEEKDAY($S240),7))+6),1,IF(ISNUMBER($I240),$I240,0)))</f>
        <v/>
      </c>
      <c r="Z240" s="62">
        <f>IF($V240="","",IF(AND(ISNUMBER($G240),$G240&lt;=IF($S240=MesCiclo,InicioCiclo,$S240+MOD(2-WEEKDAY($S240),7))+13),1,IF(ISNUMBER($J240),$J240,$Y240)))</f>
        <v/>
      </c>
      <c r="AA240" s="62">
        <f>IF($V240="","",IF(AND(ISNUMBER($G240),$G240&lt;=IF($S240=MesCiclo,InicioCiclo,$S240+MOD(2-WEEKDAY($S240),7))+20),1,IF(ISNUMBER($K240),$K240,$Z240)))</f>
        <v/>
      </c>
      <c r="AB240" s="62">
        <f>IF($V240="","",IF(AND(ISNUMBER($G240),$G240&lt;=IF($S240=MesCiclo,InicioCiclo,$S240+MOD(2-WEEKDAY($S240),7))+27),1,IF(ISNUMBER($L240),$L240,$AA240)))</f>
        <v/>
      </c>
      <c r="AC240" s="62">
        <f>IF($V240="","",IF(AND(ISNUMBER($G240),$G240&lt;=IF($S240=MesCiclo,InicioCiclo,$S240+MOD(2-WEEKDAY($S240),7))+6),1,IF(N($W240)&gt;0,AVERAGEIFS($Y$5:$Y$1000,$U$5:$U$1000,ROW(),$V$5:$V$1000,"Sub"),$Y240)))</f>
        <v/>
      </c>
      <c r="AD240" s="62">
        <f>IF($V240="","",IF(AND(ISNUMBER($G240),$G240&lt;=IF($S240=MesCiclo,InicioCiclo,$S240+MOD(2-WEEKDAY($S240),7))+13),1,IF(N($W240)&gt;0,AVERAGEIFS($Z$5:$Z$1000,$U$5:$U$1000,ROW(),$V$5:$V$1000,"Sub"),$Z240)))</f>
        <v/>
      </c>
      <c r="AE240" s="62">
        <f>IF($V240="","",IF(AND(ISNUMBER($G240),$G240&lt;=IF($S240=MesCiclo,InicioCiclo,$S240+MOD(2-WEEKDAY($S240),7))+20),1,IF(N($W240)&gt;0,AVERAGEIFS($AA$5:$AA$1000,$U$5:$U$1000,ROW(),$V$5:$V$1000,"Sub"),$AA240)))</f>
        <v/>
      </c>
      <c r="AF240" s="62">
        <f>IF($V240="","",IF(AND(ISNUMBER($G240),$G240&lt;=IF($S240=MesCiclo,InicioCiclo,$S240+MOD(2-WEEKDAY($S240),7))+27),1,IF(N($W240)&gt;0,AVERAGEIFS($AB$5:$AB$1000,$U$5:$U$1000,ROW(),$V$5:$V$1000,"Sub"),$AB240)))</f>
        <v/>
      </c>
      <c r="AG240" s="62">
        <f>IF($V240&lt;&gt;"Macro","",IF(COUNTIFS($S$5:$S$1000,$S240,$V$5:$V$1000,"Macro",$H$5:$H$1000,"&gt;0")=0,1/COUNTIFS($S$5:$S$1000,$S240,$V$5:$V$1000,"Macro"),IF(AND(ISNUMBER($H240),N($H240)&gt;0),$H240,SUMIFS($H$5:$H$1000,$S$5:$S$1000,$S240,$V$5:$V$1000,"Macro")/COUNTIFS($S$5:$S$1000,$S240,$V$5:$V$1000,"Macro",$H$5:$H$1000,"&gt;0"))/(COUNTIFS($S$5:$S$1000,$S240,$V$5:$V$1000,"Macro")*SUMIFS($H$5:$H$1000,$S$5:$S$1000,$S240,$V$5:$V$1000,"Macro")/COUNTIFS($S$5:$S$1000,$S240,$V$5:$V$1000,"Macro",$H$5:$H$1000,"&gt;0"))))</f>
        <v/>
      </c>
      <c r="AH240" s="62" t="n"/>
      <c r="AI240" s="62" t="n"/>
      <c r="AJ240" s="62" t="n"/>
      <c r="AK240" s="62" t="n"/>
      <c r="AL240" s="62">
        <f>IF(LEFT($C240,11)="[Jefatura] ",IFERROR(MATCH("Riesgo Financiero|"&amp;MID($C240,12,500),rDname_ADM,0),0),"")</f>
        <v/>
      </c>
      <c r="AM240" s="62">
        <f>IF(N($AL240)&gt;0,INDEX(rIni_ADM,$AL240),IF(ISNUMBER($E240),$E240,""))</f>
        <v/>
      </c>
      <c r="AN240" s="62">
        <f>IF(N($AL240)&gt;0,INDEX(rLim_ADM,$AL240),IF(ISNUMBER($F240),$F240,""))</f>
        <v/>
      </c>
    </row>
    <row r="241">
      <c r="A241" s="56">
        <f>IF(NOT((COUNTA($B241:$D241)+COUNTA($G241:$L241)+COUNTA($Q241))&gt;0),"",IF($V241="Macro",COUNTIFS($V$5:$V241,"Macro",$S$5:$S241,$S241),IF(N($U241)=0,"?",COUNTIFS(INDEX($V$5:$V$1000,1):INDEX($V$5:$V$1000,$U241-4),"Macro",INDEX($S$5:$S$1000,1):INDEX($S$5:$S$1000,$U241-4),INDEX($S$5:$S$1000,$U241-4))&amp;"."&amp;COUNTIFS($U$5:$U241,$U241,$V$5:$V241,"Sub"))))</f>
        <v/>
      </c>
      <c r="B241" s="57" t="n"/>
      <c r="C241" s="58" t="n"/>
      <c r="D241" s="58" t="n"/>
      <c r="E241" s="59">
        <f>IF(N($AL241)&gt;0,INDEX(rIni_ADM,$AL241),"")</f>
        <v/>
      </c>
      <c r="F241" s="59">
        <f>IF(N($AL241)&gt;0,INDEX(rLim_ADM,$AL241),"")</f>
        <v/>
      </c>
      <c r="G241" s="59" t="n"/>
      <c r="H241" s="60" t="n"/>
      <c r="I241" s="60" t="n"/>
      <c r="J241" s="60" t="n"/>
      <c r="K241" s="60" t="n"/>
      <c r="L241" s="60" t="n"/>
      <c r="M241" s="61">
        <f>IF(NOT((COUNTA($B241:$D241)+COUNTA($G241:$L241)+COUNTA($Q241))&gt;0),"",IF(ISNUMBER($G241),1,IF(N($W241)&gt;0,AVERAGEIFS($X$5:$X$1000,$U$5:$U$1000,ROW(),$V$5:$V$1000,"Sub"),$X241)))</f>
        <v/>
      </c>
      <c r="N241" s="56">
        <f>IF($M241="","",IF($M241&gt;=1,"Completado",IF($M241&gt;0,"En curso","Pendiente")))</f>
        <v/>
      </c>
      <c r="O241" s="56">
        <f>IF(NOT((COUNTA($B241:$D241)+COUNTA($G241:$L241)+COUNTA($Q241))&gt;0),"",IF(ISNUMBER($G241),IF(AND(ISNUMBER($AN241),$G241&gt;$AN241),"Cumplida con "&amp;($G241-$AN241)&amp;IF($G241-$AN241=1," día"," días")&amp;" de retraso","Cumplida"),IF(N($M241)&gt;=1,"Cumplida",IF(NOT(ISNUMBER($AN241)),"Sin fecha límite",IF($AN241&lt;FechaRef,"Vencida hace "&amp;(FechaRef-$AN241)&amp;IF(FechaRef-$AN241=1," día"," días"),IF($AN241=FechaRef,"Vence hoy",IF($AN241-FechaRef&lt;=DiasAlerta,"Vence en "&amp;($AN241-FechaRef)&amp;IF($AN241-FechaRef=1," día"," días"),"En plazo")))))))</f>
        <v/>
      </c>
      <c r="P241" s="62" t="n"/>
      <c r="Q241" s="58" t="n"/>
      <c r="R241" s="63">
        <f>IF(NOT((COUNTA($B241:$D241)+COUNTA($G241:$L241)+COUNTA($Q241))&gt;0),"",IF((IF($C241="","Falta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",""))="","✔ OK","⚠ "&amp;LEFT(IF($C241="","Falta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",""),LEN(IF($C241="","Falta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",""))-3)))</f>
        <v/>
      </c>
      <c r="S241" s="64">
        <f>IF(NOT((COUNTA($B241:$D241)+COUNTA($G241:$L241)+COUNTA($Q241))&gt;0),"",IF(AND($V241="Sub",N($U241)&gt;0),IF(ISNUMBER(INDEX($AM$5:$AM$1000,$U241-4)),DATE(YEAR(INDEX($AM$5:$AM$1000,$U241-4)),MONTH(INDEX($AM$5:$AM$1000,$U241-4)),1),IF(ISNUMBER(INDEX($AN$5:$AN$1000,$U241-4)),DATE(YEAR(INDEX($AN$5:$AN$1000,$U241-4)),MONTH(INDEX($AN$5:$AN$1000,$U241-4)),1),MesCiclo)),IF(ISNUMBER($AM241),DATE(YEAR($AM241),MONTH($AM241),1),IF(ISNUMBER($AN241),DATE(YEAR($AN241),MONTH($AN241),1),MesCiclo))))</f>
        <v/>
      </c>
      <c r="T241" s="62">
        <f>IF(OR($S241="",$S241&lt;&gt;MesCiclo),"",COUNTIF($S$5:$S241,MesCiclo))</f>
        <v/>
      </c>
      <c r="U241" s="62">
        <f>IF($V241="","",IF($V241="Macro",ROW(),IFERROR(LOOKUP(2,1/($V$5:$V241="Macro"),ROW($V$5:$V241)),0)))</f>
        <v/>
      </c>
      <c r="V241" s="62">
        <f>IF(NOT((COUNTA($B241:$D241)+COUNTA($G241:$L241)+COUNTA($Q241))&gt;0),"",IF($B241="Subactividad","Sub","Macro"))</f>
        <v/>
      </c>
      <c r="W241" s="62">
        <f>IF($V241="Macro",COUNTIFS($U$5:$U$1000,ROW(),$V$5:$V$1000,"Sub"),"")</f>
        <v/>
      </c>
      <c r="X241" s="62">
        <f>IF($V241="","",IF(ISNUMBER($G241),1,IFERROR(LOOKUP(2,1/($I241:$L241&lt;&gt;""),$I241:$L241),0)))</f>
        <v/>
      </c>
      <c r="Y241" s="62">
        <f>IF($V241="","",IF(AND(ISNUMBER($G241),$G241&lt;=IF($S241=MesCiclo,InicioCiclo,$S241+MOD(2-WEEKDAY($S241),7))+6),1,IF(ISNUMBER($I241),$I241,0)))</f>
        <v/>
      </c>
      <c r="Z241" s="62">
        <f>IF($V241="","",IF(AND(ISNUMBER($G241),$G241&lt;=IF($S241=MesCiclo,InicioCiclo,$S241+MOD(2-WEEKDAY($S241),7))+13),1,IF(ISNUMBER($J241),$J241,$Y241)))</f>
        <v/>
      </c>
      <c r="AA241" s="62">
        <f>IF($V241="","",IF(AND(ISNUMBER($G241),$G241&lt;=IF($S241=MesCiclo,InicioCiclo,$S241+MOD(2-WEEKDAY($S241),7))+20),1,IF(ISNUMBER($K241),$K241,$Z241)))</f>
        <v/>
      </c>
      <c r="AB241" s="62">
        <f>IF($V241="","",IF(AND(ISNUMBER($G241),$G241&lt;=IF($S241=MesCiclo,InicioCiclo,$S241+MOD(2-WEEKDAY($S241),7))+27),1,IF(ISNUMBER($L241),$L241,$AA241)))</f>
        <v/>
      </c>
      <c r="AC241" s="62">
        <f>IF($V241="","",IF(AND(ISNUMBER($G241),$G241&lt;=IF($S241=MesCiclo,InicioCiclo,$S241+MOD(2-WEEKDAY($S241),7))+6),1,IF(N($W241)&gt;0,AVERAGEIFS($Y$5:$Y$1000,$U$5:$U$1000,ROW(),$V$5:$V$1000,"Sub"),$Y241)))</f>
        <v/>
      </c>
      <c r="AD241" s="62">
        <f>IF($V241="","",IF(AND(ISNUMBER($G241),$G241&lt;=IF($S241=MesCiclo,InicioCiclo,$S241+MOD(2-WEEKDAY($S241),7))+13),1,IF(N($W241)&gt;0,AVERAGEIFS($Z$5:$Z$1000,$U$5:$U$1000,ROW(),$V$5:$V$1000,"Sub"),$Z241)))</f>
        <v/>
      </c>
      <c r="AE241" s="62">
        <f>IF($V241="","",IF(AND(ISNUMBER($G241),$G241&lt;=IF($S241=MesCiclo,InicioCiclo,$S241+MOD(2-WEEKDAY($S241),7))+20),1,IF(N($W241)&gt;0,AVERAGEIFS($AA$5:$AA$1000,$U$5:$U$1000,ROW(),$V$5:$V$1000,"Sub"),$AA241)))</f>
        <v/>
      </c>
      <c r="AF241" s="62">
        <f>IF($V241="","",IF(AND(ISNUMBER($G241),$G241&lt;=IF($S241=MesCiclo,InicioCiclo,$S241+MOD(2-WEEKDAY($S241),7))+27),1,IF(N($W241)&gt;0,AVERAGEIFS($AB$5:$AB$1000,$U$5:$U$1000,ROW(),$V$5:$V$1000,"Sub"),$AB241)))</f>
        <v/>
      </c>
      <c r="AG241" s="62">
        <f>IF($V241&lt;&gt;"Macro","",IF(COUNTIFS($S$5:$S$1000,$S241,$V$5:$V$1000,"Macro",$H$5:$H$1000,"&gt;0")=0,1/COUNTIFS($S$5:$S$1000,$S241,$V$5:$V$1000,"Macro"),IF(AND(ISNUMBER($H241),N($H241)&gt;0),$H241,SUMIFS($H$5:$H$1000,$S$5:$S$1000,$S241,$V$5:$V$1000,"Macro")/COUNTIFS($S$5:$S$1000,$S241,$V$5:$V$1000,"Macro",$H$5:$H$1000,"&gt;0"))/(COUNTIFS($S$5:$S$1000,$S241,$V$5:$V$1000,"Macro")*SUMIFS($H$5:$H$1000,$S$5:$S$1000,$S241,$V$5:$V$1000,"Macro")/COUNTIFS($S$5:$S$1000,$S241,$V$5:$V$1000,"Macro",$H$5:$H$1000,"&gt;0"))))</f>
        <v/>
      </c>
      <c r="AH241" s="62" t="n"/>
      <c r="AI241" s="62" t="n"/>
      <c r="AJ241" s="62" t="n"/>
      <c r="AK241" s="62" t="n"/>
      <c r="AL241" s="62">
        <f>IF(LEFT($C241,11)="[Jefatura] ",IFERROR(MATCH("Riesgo Financiero|"&amp;MID($C241,12,500),rDname_ADM,0),0),"")</f>
        <v/>
      </c>
      <c r="AM241" s="62">
        <f>IF(N($AL241)&gt;0,INDEX(rIni_ADM,$AL241),IF(ISNUMBER($E241),$E241,""))</f>
        <v/>
      </c>
      <c r="AN241" s="62">
        <f>IF(N($AL241)&gt;0,INDEX(rLim_ADM,$AL241),IF(ISNUMBER($F241),$F241,""))</f>
        <v/>
      </c>
    </row>
    <row r="242">
      <c r="A242" s="56">
        <f>IF(NOT((COUNTA($B242:$D242)+COUNTA($G242:$L242)+COUNTA($Q242))&gt;0),"",IF($V242="Macro",COUNTIFS($V$5:$V242,"Macro",$S$5:$S242,$S242),IF(N($U242)=0,"?",COUNTIFS(INDEX($V$5:$V$1000,1):INDEX($V$5:$V$1000,$U242-4),"Macro",INDEX($S$5:$S$1000,1):INDEX($S$5:$S$1000,$U242-4),INDEX($S$5:$S$1000,$U242-4))&amp;"."&amp;COUNTIFS($U$5:$U242,$U242,$V$5:$V242,"Sub"))))</f>
        <v/>
      </c>
      <c r="B242" s="57" t="n"/>
      <c r="C242" s="58" t="n"/>
      <c r="D242" s="58" t="n"/>
      <c r="E242" s="59">
        <f>IF(N($AL242)&gt;0,INDEX(rIni_ADM,$AL242),"")</f>
        <v/>
      </c>
      <c r="F242" s="59">
        <f>IF(N($AL242)&gt;0,INDEX(rLim_ADM,$AL242),"")</f>
        <v/>
      </c>
      <c r="G242" s="59" t="n"/>
      <c r="H242" s="60" t="n"/>
      <c r="I242" s="60" t="n"/>
      <c r="J242" s="60" t="n"/>
      <c r="K242" s="60" t="n"/>
      <c r="L242" s="60" t="n"/>
      <c r="M242" s="61">
        <f>IF(NOT((COUNTA($B242:$D242)+COUNTA($G242:$L242)+COUNTA($Q242))&gt;0),"",IF(ISNUMBER($G242),1,IF(N($W242)&gt;0,AVERAGEIFS($X$5:$X$1000,$U$5:$U$1000,ROW(),$V$5:$V$1000,"Sub"),$X242)))</f>
        <v/>
      </c>
      <c r="N242" s="56">
        <f>IF($M242="","",IF($M242&gt;=1,"Completado",IF($M242&gt;0,"En curso","Pendiente")))</f>
        <v/>
      </c>
      <c r="O242" s="56">
        <f>IF(NOT((COUNTA($B242:$D242)+COUNTA($G242:$L242)+COUNTA($Q242))&gt;0),"",IF(ISNUMBER($G242),IF(AND(ISNUMBER($AN242),$G242&gt;$AN242),"Cumplida con "&amp;($G242-$AN242)&amp;IF($G242-$AN242=1," día"," días")&amp;" de retraso","Cumplida"),IF(N($M242)&gt;=1,"Cumplida",IF(NOT(ISNUMBER($AN242)),"Sin fecha límite",IF($AN242&lt;FechaRef,"Vencida hace "&amp;(FechaRef-$AN242)&amp;IF(FechaRef-$AN242=1," día"," días"),IF($AN242=FechaRef,"Vence hoy",IF($AN242-FechaRef&lt;=DiasAlerta,"Vence en "&amp;($AN242-FechaRef)&amp;IF($AN242-FechaRef=1," día"," días"),"En plazo")))))))</f>
        <v/>
      </c>
      <c r="P242" s="62" t="n"/>
      <c r="Q242" s="58" t="n"/>
      <c r="R242" s="63">
        <f>IF(NOT((COUNTA($B242:$D242)+COUNTA($G242:$L242)+COUNTA($Q242))&gt;0),"",IF((IF($C242="","Falta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",""))="","✔ OK","⚠ "&amp;LEFT(IF($C242="","Falta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",""),LEN(IF($C242="","Falta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",""))-3)))</f>
        <v/>
      </c>
      <c r="S242" s="64">
        <f>IF(NOT((COUNTA($B242:$D242)+COUNTA($G242:$L242)+COUNTA($Q242))&gt;0),"",IF(AND($V242="Sub",N($U242)&gt;0),IF(ISNUMBER(INDEX($AM$5:$AM$1000,$U242-4)),DATE(YEAR(INDEX($AM$5:$AM$1000,$U242-4)),MONTH(INDEX($AM$5:$AM$1000,$U242-4)),1),IF(ISNUMBER(INDEX($AN$5:$AN$1000,$U242-4)),DATE(YEAR(INDEX($AN$5:$AN$1000,$U242-4)),MONTH(INDEX($AN$5:$AN$1000,$U242-4)),1),MesCiclo)),IF(ISNUMBER($AM242),DATE(YEAR($AM242),MONTH($AM242),1),IF(ISNUMBER($AN242),DATE(YEAR($AN242),MONTH($AN242),1),MesCiclo))))</f>
        <v/>
      </c>
      <c r="T242" s="62">
        <f>IF(OR($S242="",$S242&lt;&gt;MesCiclo),"",COUNTIF($S$5:$S242,MesCiclo))</f>
        <v/>
      </c>
      <c r="U242" s="62">
        <f>IF($V242="","",IF($V242="Macro",ROW(),IFERROR(LOOKUP(2,1/($V$5:$V242="Macro"),ROW($V$5:$V242)),0)))</f>
        <v/>
      </c>
      <c r="V242" s="62">
        <f>IF(NOT((COUNTA($B242:$D242)+COUNTA($G242:$L242)+COUNTA($Q242))&gt;0),"",IF($B242="Subactividad","Sub","Macro"))</f>
        <v/>
      </c>
      <c r="W242" s="62">
        <f>IF($V242="Macro",COUNTIFS($U$5:$U$1000,ROW(),$V$5:$V$1000,"Sub"),"")</f>
        <v/>
      </c>
      <c r="X242" s="62">
        <f>IF($V242="","",IF(ISNUMBER($G242),1,IFERROR(LOOKUP(2,1/($I242:$L242&lt;&gt;""),$I242:$L242),0)))</f>
        <v/>
      </c>
      <c r="Y242" s="62">
        <f>IF($V242="","",IF(AND(ISNUMBER($G242),$G242&lt;=IF($S242=MesCiclo,InicioCiclo,$S242+MOD(2-WEEKDAY($S242),7))+6),1,IF(ISNUMBER($I242),$I242,0)))</f>
        <v/>
      </c>
      <c r="Z242" s="62">
        <f>IF($V242="","",IF(AND(ISNUMBER($G242),$G242&lt;=IF($S242=MesCiclo,InicioCiclo,$S242+MOD(2-WEEKDAY($S242),7))+13),1,IF(ISNUMBER($J242),$J242,$Y242)))</f>
        <v/>
      </c>
      <c r="AA242" s="62">
        <f>IF($V242="","",IF(AND(ISNUMBER($G242),$G242&lt;=IF($S242=MesCiclo,InicioCiclo,$S242+MOD(2-WEEKDAY($S242),7))+20),1,IF(ISNUMBER($K242),$K242,$Z242)))</f>
        <v/>
      </c>
      <c r="AB242" s="62">
        <f>IF($V242="","",IF(AND(ISNUMBER($G242),$G242&lt;=IF($S242=MesCiclo,InicioCiclo,$S242+MOD(2-WEEKDAY($S242),7))+27),1,IF(ISNUMBER($L242),$L242,$AA242)))</f>
        <v/>
      </c>
      <c r="AC242" s="62">
        <f>IF($V242="","",IF(AND(ISNUMBER($G242),$G242&lt;=IF($S242=MesCiclo,InicioCiclo,$S242+MOD(2-WEEKDAY($S242),7))+6),1,IF(N($W242)&gt;0,AVERAGEIFS($Y$5:$Y$1000,$U$5:$U$1000,ROW(),$V$5:$V$1000,"Sub"),$Y242)))</f>
        <v/>
      </c>
      <c r="AD242" s="62">
        <f>IF($V242="","",IF(AND(ISNUMBER($G242),$G242&lt;=IF($S242=MesCiclo,InicioCiclo,$S242+MOD(2-WEEKDAY($S242),7))+13),1,IF(N($W242)&gt;0,AVERAGEIFS($Z$5:$Z$1000,$U$5:$U$1000,ROW(),$V$5:$V$1000,"Sub"),$Z242)))</f>
        <v/>
      </c>
      <c r="AE242" s="62">
        <f>IF($V242="","",IF(AND(ISNUMBER($G242),$G242&lt;=IF($S242=MesCiclo,InicioCiclo,$S242+MOD(2-WEEKDAY($S242),7))+20),1,IF(N($W242)&gt;0,AVERAGEIFS($AA$5:$AA$1000,$U$5:$U$1000,ROW(),$V$5:$V$1000,"Sub"),$AA242)))</f>
        <v/>
      </c>
      <c r="AF242" s="62">
        <f>IF($V242="","",IF(AND(ISNUMBER($G242),$G242&lt;=IF($S242=MesCiclo,InicioCiclo,$S242+MOD(2-WEEKDAY($S242),7))+27),1,IF(N($W242)&gt;0,AVERAGEIFS($AB$5:$AB$1000,$U$5:$U$1000,ROW(),$V$5:$V$1000,"Sub"),$AB242)))</f>
        <v/>
      </c>
      <c r="AG242" s="62">
        <f>IF($V242&lt;&gt;"Macro","",IF(COUNTIFS($S$5:$S$1000,$S242,$V$5:$V$1000,"Macro",$H$5:$H$1000,"&gt;0")=0,1/COUNTIFS($S$5:$S$1000,$S242,$V$5:$V$1000,"Macro"),IF(AND(ISNUMBER($H242),N($H242)&gt;0),$H242,SUMIFS($H$5:$H$1000,$S$5:$S$1000,$S242,$V$5:$V$1000,"Macro")/COUNTIFS($S$5:$S$1000,$S242,$V$5:$V$1000,"Macro",$H$5:$H$1000,"&gt;0"))/(COUNTIFS($S$5:$S$1000,$S242,$V$5:$V$1000,"Macro")*SUMIFS($H$5:$H$1000,$S$5:$S$1000,$S242,$V$5:$V$1000,"Macro")/COUNTIFS($S$5:$S$1000,$S242,$V$5:$V$1000,"Macro",$H$5:$H$1000,"&gt;0"))))</f>
        <v/>
      </c>
      <c r="AH242" s="62" t="n"/>
      <c r="AI242" s="62" t="n"/>
      <c r="AJ242" s="62" t="n"/>
      <c r="AK242" s="62" t="n"/>
      <c r="AL242" s="62">
        <f>IF(LEFT($C242,11)="[Jefatura] ",IFERROR(MATCH("Riesgo Financiero|"&amp;MID($C242,12,500),rDname_ADM,0),0),"")</f>
        <v/>
      </c>
      <c r="AM242" s="62">
        <f>IF(N($AL242)&gt;0,INDEX(rIni_ADM,$AL242),IF(ISNUMBER($E242),$E242,""))</f>
        <v/>
      </c>
      <c r="AN242" s="62">
        <f>IF(N($AL242)&gt;0,INDEX(rLim_ADM,$AL242),IF(ISNUMBER($F242),$F242,""))</f>
        <v/>
      </c>
    </row>
    <row r="243">
      <c r="A243" s="56">
        <f>IF(NOT((COUNTA($B243:$D243)+COUNTA($G243:$L243)+COUNTA($Q243))&gt;0),"",IF($V243="Macro",COUNTIFS($V$5:$V243,"Macro",$S$5:$S243,$S243),IF(N($U243)=0,"?",COUNTIFS(INDEX($V$5:$V$1000,1):INDEX($V$5:$V$1000,$U243-4),"Macro",INDEX($S$5:$S$1000,1):INDEX($S$5:$S$1000,$U243-4),INDEX($S$5:$S$1000,$U243-4))&amp;"."&amp;COUNTIFS($U$5:$U243,$U243,$V$5:$V243,"Sub"))))</f>
        <v/>
      </c>
      <c r="B243" s="57" t="n"/>
      <c r="C243" s="58" t="n"/>
      <c r="D243" s="58" t="n"/>
      <c r="E243" s="59">
        <f>IF(N($AL243)&gt;0,INDEX(rIni_ADM,$AL243),"")</f>
        <v/>
      </c>
      <c r="F243" s="59">
        <f>IF(N($AL243)&gt;0,INDEX(rLim_ADM,$AL243),"")</f>
        <v/>
      </c>
      <c r="G243" s="59" t="n"/>
      <c r="H243" s="60" t="n"/>
      <c r="I243" s="60" t="n"/>
      <c r="J243" s="60" t="n"/>
      <c r="K243" s="60" t="n"/>
      <c r="L243" s="60" t="n"/>
      <c r="M243" s="61">
        <f>IF(NOT((COUNTA($B243:$D243)+COUNTA($G243:$L243)+COUNTA($Q243))&gt;0),"",IF(ISNUMBER($G243),1,IF(N($W243)&gt;0,AVERAGEIFS($X$5:$X$1000,$U$5:$U$1000,ROW(),$V$5:$V$1000,"Sub"),$X243)))</f>
        <v/>
      </c>
      <c r="N243" s="56">
        <f>IF($M243="","",IF($M243&gt;=1,"Completado",IF($M243&gt;0,"En curso","Pendiente")))</f>
        <v/>
      </c>
      <c r="O243" s="56">
        <f>IF(NOT((COUNTA($B243:$D243)+COUNTA($G243:$L243)+COUNTA($Q243))&gt;0),"",IF(ISNUMBER($G243),IF(AND(ISNUMBER($AN243),$G243&gt;$AN243),"Cumplida con "&amp;($G243-$AN243)&amp;IF($G243-$AN243=1," día"," días")&amp;" de retraso","Cumplida"),IF(N($M243)&gt;=1,"Cumplida",IF(NOT(ISNUMBER($AN243)),"Sin fecha límite",IF($AN243&lt;FechaRef,"Vencida hace "&amp;(FechaRef-$AN243)&amp;IF(FechaRef-$AN243=1," día"," días"),IF($AN243=FechaRef,"Vence hoy",IF($AN243-FechaRef&lt;=DiasAlerta,"Vence en "&amp;($AN243-FechaRef)&amp;IF($AN243-FechaRef=1," día"," días"),"En plazo")))))))</f>
        <v/>
      </c>
      <c r="P243" s="62" t="n"/>
      <c r="Q243" s="58" t="n"/>
      <c r="R243" s="63">
        <f>IF(NOT((COUNTA($B243:$D243)+COUNTA($G243:$L243)+COUNTA($Q243))&gt;0),"",IF((IF($C243="","Falta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",""))="","✔ OK","⚠ "&amp;LEFT(IF($C243="","Falta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",""),LEN(IF($C243="","Falta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",""))-3)))</f>
        <v/>
      </c>
      <c r="S243" s="64">
        <f>IF(NOT((COUNTA($B243:$D243)+COUNTA($G243:$L243)+COUNTA($Q243))&gt;0),"",IF(AND($V243="Sub",N($U243)&gt;0),IF(ISNUMBER(INDEX($AM$5:$AM$1000,$U243-4)),DATE(YEAR(INDEX($AM$5:$AM$1000,$U243-4)),MONTH(INDEX($AM$5:$AM$1000,$U243-4)),1),IF(ISNUMBER(INDEX($AN$5:$AN$1000,$U243-4)),DATE(YEAR(INDEX($AN$5:$AN$1000,$U243-4)),MONTH(INDEX($AN$5:$AN$1000,$U243-4)),1),MesCiclo)),IF(ISNUMBER($AM243),DATE(YEAR($AM243),MONTH($AM243),1),IF(ISNUMBER($AN243),DATE(YEAR($AN243),MONTH($AN243),1),MesCiclo))))</f>
        <v/>
      </c>
      <c r="T243" s="62">
        <f>IF(OR($S243="",$S243&lt;&gt;MesCiclo),"",COUNTIF($S$5:$S243,MesCiclo))</f>
        <v/>
      </c>
      <c r="U243" s="62">
        <f>IF($V243="","",IF($V243="Macro",ROW(),IFERROR(LOOKUP(2,1/($V$5:$V243="Macro"),ROW($V$5:$V243)),0)))</f>
        <v/>
      </c>
      <c r="V243" s="62">
        <f>IF(NOT((COUNTA($B243:$D243)+COUNTA($G243:$L243)+COUNTA($Q243))&gt;0),"",IF($B243="Subactividad","Sub","Macro"))</f>
        <v/>
      </c>
      <c r="W243" s="62">
        <f>IF($V243="Macro",COUNTIFS($U$5:$U$1000,ROW(),$V$5:$V$1000,"Sub"),"")</f>
        <v/>
      </c>
      <c r="X243" s="62">
        <f>IF($V243="","",IF(ISNUMBER($G243),1,IFERROR(LOOKUP(2,1/($I243:$L243&lt;&gt;""),$I243:$L243),0)))</f>
        <v/>
      </c>
      <c r="Y243" s="62">
        <f>IF($V243="","",IF(AND(ISNUMBER($G243),$G243&lt;=IF($S243=MesCiclo,InicioCiclo,$S243+MOD(2-WEEKDAY($S243),7))+6),1,IF(ISNUMBER($I243),$I243,0)))</f>
        <v/>
      </c>
      <c r="Z243" s="62">
        <f>IF($V243="","",IF(AND(ISNUMBER($G243),$G243&lt;=IF($S243=MesCiclo,InicioCiclo,$S243+MOD(2-WEEKDAY($S243),7))+13),1,IF(ISNUMBER($J243),$J243,$Y243)))</f>
        <v/>
      </c>
      <c r="AA243" s="62">
        <f>IF($V243="","",IF(AND(ISNUMBER($G243),$G243&lt;=IF($S243=MesCiclo,InicioCiclo,$S243+MOD(2-WEEKDAY($S243),7))+20),1,IF(ISNUMBER($K243),$K243,$Z243)))</f>
        <v/>
      </c>
      <c r="AB243" s="62">
        <f>IF($V243="","",IF(AND(ISNUMBER($G243),$G243&lt;=IF($S243=MesCiclo,InicioCiclo,$S243+MOD(2-WEEKDAY($S243),7))+27),1,IF(ISNUMBER($L243),$L243,$AA243)))</f>
        <v/>
      </c>
      <c r="AC243" s="62">
        <f>IF($V243="","",IF(AND(ISNUMBER($G243),$G243&lt;=IF($S243=MesCiclo,InicioCiclo,$S243+MOD(2-WEEKDAY($S243),7))+6),1,IF(N($W243)&gt;0,AVERAGEIFS($Y$5:$Y$1000,$U$5:$U$1000,ROW(),$V$5:$V$1000,"Sub"),$Y243)))</f>
        <v/>
      </c>
      <c r="AD243" s="62">
        <f>IF($V243="","",IF(AND(ISNUMBER($G243),$G243&lt;=IF($S243=MesCiclo,InicioCiclo,$S243+MOD(2-WEEKDAY($S243),7))+13),1,IF(N($W243)&gt;0,AVERAGEIFS($Z$5:$Z$1000,$U$5:$U$1000,ROW(),$V$5:$V$1000,"Sub"),$Z243)))</f>
        <v/>
      </c>
      <c r="AE243" s="62">
        <f>IF($V243="","",IF(AND(ISNUMBER($G243),$G243&lt;=IF($S243=MesCiclo,InicioCiclo,$S243+MOD(2-WEEKDAY($S243),7))+20),1,IF(N($W243)&gt;0,AVERAGEIFS($AA$5:$AA$1000,$U$5:$U$1000,ROW(),$V$5:$V$1000,"Sub"),$AA243)))</f>
        <v/>
      </c>
      <c r="AF243" s="62">
        <f>IF($V243="","",IF(AND(ISNUMBER($G243),$G243&lt;=IF($S243=MesCiclo,InicioCiclo,$S243+MOD(2-WEEKDAY($S243),7))+27),1,IF(N($W243)&gt;0,AVERAGEIFS($AB$5:$AB$1000,$U$5:$U$1000,ROW(),$V$5:$V$1000,"Sub"),$AB243)))</f>
        <v/>
      </c>
      <c r="AG243" s="62">
        <f>IF($V243&lt;&gt;"Macro","",IF(COUNTIFS($S$5:$S$1000,$S243,$V$5:$V$1000,"Macro",$H$5:$H$1000,"&gt;0")=0,1/COUNTIFS($S$5:$S$1000,$S243,$V$5:$V$1000,"Macro"),IF(AND(ISNUMBER($H243),N($H243)&gt;0),$H243,SUMIFS($H$5:$H$1000,$S$5:$S$1000,$S243,$V$5:$V$1000,"Macro")/COUNTIFS($S$5:$S$1000,$S243,$V$5:$V$1000,"Macro",$H$5:$H$1000,"&gt;0"))/(COUNTIFS($S$5:$S$1000,$S243,$V$5:$V$1000,"Macro")*SUMIFS($H$5:$H$1000,$S$5:$S$1000,$S243,$V$5:$V$1000,"Macro")/COUNTIFS($S$5:$S$1000,$S243,$V$5:$V$1000,"Macro",$H$5:$H$1000,"&gt;0"))))</f>
        <v/>
      </c>
      <c r="AH243" s="62" t="n"/>
      <c r="AI243" s="62" t="n"/>
      <c r="AJ243" s="62" t="n"/>
      <c r="AK243" s="62" t="n"/>
      <c r="AL243" s="62">
        <f>IF(LEFT($C243,11)="[Jefatura] ",IFERROR(MATCH("Riesgo Financiero|"&amp;MID($C243,12,500),rDname_ADM,0),0),"")</f>
        <v/>
      </c>
      <c r="AM243" s="62">
        <f>IF(N($AL243)&gt;0,INDEX(rIni_ADM,$AL243),IF(ISNUMBER($E243),$E243,""))</f>
        <v/>
      </c>
      <c r="AN243" s="62">
        <f>IF(N($AL243)&gt;0,INDEX(rLim_ADM,$AL243),IF(ISNUMBER($F243),$F243,""))</f>
        <v/>
      </c>
    </row>
    <row r="244">
      <c r="A244" s="56">
        <f>IF(NOT((COUNTA($B244:$D244)+COUNTA($G244:$L244)+COUNTA($Q244))&gt;0),"",IF($V244="Macro",COUNTIFS($V$5:$V244,"Macro",$S$5:$S244,$S244),IF(N($U244)=0,"?",COUNTIFS(INDEX($V$5:$V$1000,1):INDEX($V$5:$V$1000,$U244-4),"Macro",INDEX($S$5:$S$1000,1):INDEX($S$5:$S$1000,$U244-4),INDEX($S$5:$S$1000,$U244-4))&amp;"."&amp;COUNTIFS($U$5:$U244,$U244,$V$5:$V244,"Sub"))))</f>
        <v/>
      </c>
      <c r="B244" s="57" t="n"/>
      <c r="C244" s="58" t="n"/>
      <c r="D244" s="58" t="n"/>
      <c r="E244" s="59">
        <f>IF(N($AL244)&gt;0,INDEX(rIni_ADM,$AL244),"")</f>
        <v/>
      </c>
      <c r="F244" s="59">
        <f>IF(N($AL244)&gt;0,INDEX(rLim_ADM,$AL244),"")</f>
        <v/>
      </c>
      <c r="G244" s="59" t="n"/>
      <c r="H244" s="60" t="n"/>
      <c r="I244" s="60" t="n"/>
      <c r="J244" s="60" t="n"/>
      <c r="K244" s="60" t="n"/>
      <c r="L244" s="60" t="n"/>
      <c r="M244" s="61">
        <f>IF(NOT((COUNTA($B244:$D244)+COUNTA($G244:$L244)+COUNTA($Q244))&gt;0),"",IF(ISNUMBER($G244),1,IF(N($W244)&gt;0,AVERAGEIFS($X$5:$X$1000,$U$5:$U$1000,ROW(),$V$5:$V$1000,"Sub"),$X244)))</f>
        <v/>
      </c>
      <c r="N244" s="56">
        <f>IF($M244="","",IF($M244&gt;=1,"Completado",IF($M244&gt;0,"En curso","Pendiente")))</f>
        <v/>
      </c>
      <c r="O244" s="56">
        <f>IF(NOT((COUNTA($B244:$D244)+COUNTA($G244:$L244)+COUNTA($Q244))&gt;0),"",IF(ISNUMBER($G244),IF(AND(ISNUMBER($AN244),$G244&gt;$AN244),"Cumplida con "&amp;($G244-$AN244)&amp;IF($G244-$AN244=1," día"," días")&amp;" de retraso","Cumplida"),IF(N($M244)&gt;=1,"Cumplida",IF(NOT(ISNUMBER($AN244)),"Sin fecha límite",IF($AN244&lt;FechaRef,"Vencida hace "&amp;(FechaRef-$AN244)&amp;IF(FechaRef-$AN244=1," día"," días"),IF($AN244=FechaRef,"Vence hoy",IF($AN244-FechaRef&lt;=DiasAlerta,"Vence en "&amp;($AN244-FechaRef)&amp;IF($AN244-FechaRef=1," día"," días"),"En plazo")))))))</f>
        <v/>
      </c>
      <c r="P244" s="62" t="n"/>
      <c r="Q244" s="58" t="n"/>
      <c r="R244" s="63">
        <f>IF(NOT((COUNTA($B244:$D244)+COUNTA($G244:$L244)+COUNTA($Q244))&gt;0),"",IF((IF($C244="","Falta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",""))="","✔ OK","⚠ "&amp;LEFT(IF($C244="","Falta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",""),LEN(IF($C244="","Falta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",""))-3)))</f>
        <v/>
      </c>
      <c r="S244" s="64">
        <f>IF(NOT((COUNTA($B244:$D244)+COUNTA($G244:$L244)+COUNTA($Q244))&gt;0),"",IF(AND($V244="Sub",N($U244)&gt;0),IF(ISNUMBER(INDEX($AM$5:$AM$1000,$U244-4)),DATE(YEAR(INDEX($AM$5:$AM$1000,$U244-4)),MONTH(INDEX($AM$5:$AM$1000,$U244-4)),1),IF(ISNUMBER(INDEX($AN$5:$AN$1000,$U244-4)),DATE(YEAR(INDEX($AN$5:$AN$1000,$U244-4)),MONTH(INDEX($AN$5:$AN$1000,$U244-4)),1),MesCiclo)),IF(ISNUMBER($AM244),DATE(YEAR($AM244),MONTH($AM244),1),IF(ISNUMBER($AN244),DATE(YEAR($AN244),MONTH($AN244),1),MesCiclo))))</f>
        <v/>
      </c>
      <c r="T244" s="62">
        <f>IF(OR($S244="",$S244&lt;&gt;MesCiclo),"",COUNTIF($S$5:$S244,MesCiclo))</f>
        <v/>
      </c>
      <c r="U244" s="62">
        <f>IF($V244="","",IF($V244="Macro",ROW(),IFERROR(LOOKUP(2,1/($V$5:$V244="Macro"),ROW($V$5:$V244)),0)))</f>
        <v/>
      </c>
      <c r="V244" s="62">
        <f>IF(NOT((COUNTA($B244:$D244)+COUNTA($G244:$L244)+COUNTA($Q244))&gt;0),"",IF($B244="Subactividad","Sub","Macro"))</f>
        <v/>
      </c>
      <c r="W244" s="62">
        <f>IF($V244="Macro",COUNTIFS($U$5:$U$1000,ROW(),$V$5:$V$1000,"Sub"),"")</f>
        <v/>
      </c>
      <c r="X244" s="62">
        <f>IF($V244="","",IF(ISNUMBER($G244),1,IFERROR(LOOKUP(2,1/($I244:$L244&lt;&gt;""),$I244:$L244),0)))</f>
        <v/>
      </c>
      <c r="Y244" s="62">
        <f>IF($V244="","",IF(AND(ISNUMBER($G244),$G244&lt;=IF($S244=MesCiclo,InicioCiclo,$S244+MOD(2-WEEKDAY($S244),7))+6),1,IF(ISNUMBER($I244),$I244,0)))</f>
        <v/>
      </c>
      <c r="Z244" s="62">
        <f>IF($V244="","",IF(AND(ISNUMBER($G244),$G244&lt;=IF($S244=MesCiclo,InicioCiclo,$S244+MOD(2-WEEKDAY($S244),7))+13),1,IF(ISNUMBER($J244),$J244,$Y244)))</f>
        <v/>
      </c>
      <c r="AA244" s="62">
        <f>IF($V244="","",IF(AND(ISNUMBER($G244),$G244&lt;=IF($S244=MesCiclo,InicioCiclo,$S244+MOD(2-WEEKDAY($S244),7))+20),1,IF(ISNUMBER($K244),$K244,$Z244)))</f>
        <v/>
      </c>
      <c r="AB244" s="62">
        <f>IF($V244="","",IF(AND(ISNUMBER($G244),$G244&lt;=IF($S244=MesCiclo,InicioCiclo,$S244+MOD(2-WEEKDAY($S244),7))+27),1,IF(ISNUMBER($L244),$L244,$AA244)))</f>
        <v/>
      </c>
      <c r="AC244" s="62">
        <f>IF($V244="","",IF(AND(ISNUMBER($G244),$G244&lt;=IF($S244=MesCiclo,InicioCiclo,$S244+MOD(2-WEEKDAY($S244),7))+6),1,IF(N($W244)&gt;0,AVERAGEIFS($Y$5:$Y$1000,$U$5:$U$1000,ROW(),$V$5:$V$1000,"Sub"),$Y244)))</f>
        <v/>
      </c>
      <c r="AD244" s="62">
        <f>IF($V244="","",IF(AND(ISNUMBER($G244),$G244&lt;=IF($S244=MesCiclo,InicioCiclo,$S244+MOD(2-WEEKDAY($S244),7))+13),1,IF(N($W244)&gt;0,AVERAGEIFS($Z$5:$Z$1000,$U$5:$U$1000,ROW(),$V$5:$V$1000,"Sub"),$Z244)))</f>
        <v/>
      </c>
      <c r="AE244" s="62">
        <f>IF($V244="","",IF(AND(ISNUMBER($G244),$G244&lt;=IF($S244=MesCiclo,InicioCiclo,$S244+MOD(2-WEEKDAY($S244),7))+20),1,IF(N($W244)&gt;0,AVERAGEIFS($AA$5:$AA$1000,$U$5:$U$1000,ROW(),$V$5:$V$1000,"Sub"),$AA244)))</f>
        <v/>
      </c>
      <c r="AF244" s="62">
        <f>IF($V244="","",IF(AND(ISNUMBER($G244),$G244&lt;=IF($S244=MesCiclo,InicioCiclo,$S244+MOD(2-WEEKDAY($S244),7))+27),1,IF(N($W244)&gt;0,AVERAGEIFS($AB$5:$AB$1000,$U$5:$U$1000,ROW(),$V$5:$V$1000,"Sub"),$AB244)))</f>
        <v/>
      </c>
      <c r="AG244" s="62">
        <f>IF($V244&lt;&gt;"Macro","",IF(COUNTIFS($S$5:$S$1000,$S244,$V$5:$V$1000,"Macro",$H$5:$H$1000,"&gt;0")=0,1/COUNTIFS($S$5:$S$1000,$S244,$V$5:$V$1000,"Macro"),IF(AND(ISNUMBER($H244),N($H244)&gt;0),$H244,SUMIFS($H$5:$H$1000,$S$5:$S$1000,$S244,$V$5:$V$1000,"Macro")/COUNTIFS($S$5:$S$1000,$S244,$V$5:$V$1000,"Macro",$H$5:$H$1000,"&gt;0"))/(COUNTIFS($S$5:$S$1000,$S244,$V$5:$V$1000,"Macro")*SUMIFS($H$5:$H$1000,$S$5:$S$1000,$S244,$V$5:$V$1000,"Macro")/COUNTIFS($S$5:$S$1000,$S244,$V$5:$V$1000,"Macro",$H$5:$H$1000,"&gt;0"))))</f>
        <v/>
      </c>
      <c r="AH244" s="62" t="n"/>
      <c r="AI244" s="62" t="n"/>
      <c r="AJ244" s="62" t="n"/>
      <c r="AK244" s="62" t="n"/>
      <c r="AL244" s="62">
        <f>IF(LEFT($C244,11)="[Jefatura] ",IFERROR(MATCH("Riesgo Financiero|"&amp;MID($C244,12,500),rDname_ADM,0),0),"")</f>
        <v/>
      </c>
      <c r="AM244" s="62">
        <f>IF(N($AL244)&gt;0,INDEX(rIni_ADM,$AL244),IF(ISNUMBER($E244),$E244,""))</f>
        <v/>
      </c>
      <c r="AN244" s="62">
        <f>IF(N($AL244)&gt;0,INDEX(rLim_ADM,$AL244),IF(ISNUMBER($F244),$F244,""))</f>
        <v/>
      </c>
    </row>
    <row r="245">
      <c r="A245" s="56">
        <f>IF(NOT((COUNTA($B245:$D245)+COUNTA($G245:$L245)+COUNTA($Q245))&gt;0),"",IF($V245="Macro",COUNTIFS($V$5:$V245,"Macro",$S$5:$S245,$S245),IF(N($U245)=0,"?",COUNTIFS(INDEX($V$5:$V$1000,1):INDEX($V$5:$V$1000,$U245-4),"Macro",INDEX($S$5:$S$1000,1):INDEX($S$5:$S$1000,$U245-4),INDEX($S$5:$S$1000,$U245-4))&amp;"."&amp;COUNTIFS($U$5:$U245,$U245,$V$5:$V245,"Sub"))))</f>
        <v/>
      </c>
      <c r="B245" s="57" t="n"/>
      <c r="C245" s="58" t="n"/>
      <c r="D245" s="58" t="n"/>
      <c r="E245" s="59">
        <f>IF(N($AL245)&gt;0,INDEX(rIni_ADM,$AL245),"")</f>
        <v/>
      </c>
      <c r="F245" s="59">
        <f>IF(N($AL245)&gt;0,INDEX(rLim_ADM,$AL245),"")</f>
        <v/>
      </c>
      <c r="G245" s="59" t="n"/>
      <c r="H245" s="60" t="n"/>
      <c r="I245" s="60" t="n"/>
      <c r="J245" s="60" t="n"/>
      <c r="K245" s="60" t="n"/>
      <c r="L245" s="60" t="n"/>
      <c r="M245" s="61">
        <f>IF(NOT((COUNTA($B245:$D245)+COUNTA($G245:$L245)+COUNTA($Q245))&gt;0),"",IF(ISNUMBER($G245),1,IF(N($W245)&gt;0,AVERAGEIFS($X$5:$X$1000,$U$5:$U$1000,ROW(),$V$5:$V$1000,"Sub"),$X245)))</f>
        <v/>
      </c>
      <c r="N245" s="56">
        <f>IF($M245="","",IF($M245&gt;=1,"Completado",IF($M245&gt;0,"En curso","Pendiente")))</f>
        <v/>
      </c>
      <c r="O245" s="56">
        <f>IF(NOT((COUNTA($B245:$D245)+COUNTA($G245:$L245)+COUNTA($Q245))&gt;0),"",IF(ISNUMBER($G245),IF(AND(ISNUMBER($AN245),$G245&gt;$AN245),"Cumplida con "&amp;($G245-$AN245)&amp;IF($G245-$AN245=1," día"," días")&amp;" de retraso","Cumplida"),IF(N($M245)&gt;=1,"Cumplida",IF(NOT(ISNUMBER($AN245)),"Sin fecha límite",IF($AN245&lt;FechaRef,"Vencida hace "&amp;(FechaRef-$AN245)&amp;IF(FechaRef-$AN245=1," día"," días"),IF($AN245=FechaRef,"Vence hoy",IF($AN245-FechaRef&lt;=DiasAlerta,"Vence en "&amp;($AN245-FechaRef)&amp;IF($AN245-FechaRef=1," día"," días"),"En plazo")))))))</f>
        <v/>
      </c>
      <c r="P245" s="62" t="n"/>
      <c r="Q245" s="58" t="n"/>
      <c r="R245" s="63">
        <f>IF(NOT((COUNTA($B245:$D245)+COUNTA($G245:$L245)+COUNTA($Q245))&gt;0),"",IF((IF($C245="","Falta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",""))="","✔ OK","⚠ "&amp;LEFT(IF($C245="","Falta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",""),LEN(IF($C245="","Falta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",""))-3)))</f>
        <v/>
      </c>
      <c r="S245" s="64">
        <f>IF(NOT((COUNTA($B245:$D245)+COUNTA($G245:$L245)+COUNTA($Q245))&gt;0),"",IF(AND($V245="Sub",N($U245)&gt;0),IF(ISNUMBER(INDEX($AM$5:$AM$1000,$U245-4)),DATE(YEAR(INDEX($AM$5:$AM$1000,$U245-4)),MONTH(INDEX($AM$5:$AM$1000,$U245-4)),1),IF(ISNUMBER(INDEX($AN$5:$AN$1000,$U245-4)),DATE(YEAR(INDEX($AN$5:$AN$1000,$U245-4)),MONTH(INDEX($AN$5:$AN$1000,$U245-4)),1),MesCiclo)),IF(ISNUMBER($AM245),DATE(YEAR($AM245),MONTH($AM245),1),IF(ISNUMBER($AN245),DATE(YEAR($AN245),MONTH($AN245),1),MesCiclo))))</f>
        <v/>
      </c>
      <c r="T245" s="62">
        <f>IF(OR($S245="",$S245&lt;&gt;MesCiclo),"",COUNTIF($S$5:$S245,MesCiclo))</f>
        <v/>
      </c>
      <c r="U245" s="62">
        <f>IF($V245="","",IF($V245="Macro",ROW(),IFERROR(LOOKUP(2,1/($V$5:$V245="Macro"),ROW($V$5:$V245)),0)))</f>
        <v/>
      </c>
      <c r="V245" s="62">
        <f>IF(NOT((COUNTA($B245:$D245)+COUNTA($G245:$L245)+COUNTA($Q245))&gt;0),"",IF($B245="Subactividad","Sub","Macro"))</f>
        <v/>
      </c>
      <c r="W245" s="62">
        <f>IF($V245="Macro",COUNTIFS($U$5:$U$1000,ROW(),$V$5:$V$1000,"Sub"),"")</f>
        <v/>
      </c>
      <c r="X245" s="62">
        <f>IF($V245="","",IF(ISNUMBER($G245),1,IFERROR(LOOKUP(2,1/($I245:$L245&lt;&gt;""),$I245:$L245),0)))</f>
        <v/>
      </c>
      <c r="Y245" s="62">
        <f>IF($V245="","",IF(AND(ISNUMBER($G245),$G245&lt;=IF($S245=MesCiclo,InicioCiclo,$S245+MOD(2-WEEKDAY($S245),7))+6),1,IF(ISNUMBER($I245),$I245,0)))</f>
        <v/>
      </c>
      <c r="Z245" s="62">
        <f>IF($V245="","",IF(AND(ISNUMBER($G245),$G245&lt;=IF($S245=MesCiclo,InicioCiclo,$S245+MOD(2-WEEKDAY($S245),7))+13),1,IF(ISNUMBER($J245),$J245,$Y245)))</f>
        <v/>
      </c>
      <c r="AA245" s="62">
        <f>IF($V245="","",IF(AND(ISNUMBER($G245),$G245&lt;=IF($S245=MesCiclo,InicioCiclo,$S245+MOD(2-WEEKDAY($S245),7))+20),1,IF(ISNUMBER($K245),$K245,$Z245)))</f>
        <v/>
      </c>
      <c r="AB245" s="62">
        <f>IF($V245="","",IF(AND(ISNUMBER($G245),$G245&lt;=IF($S245=MesCiclo,InicioCiclo,$S245+MOD(2-WEEKDAY($S245),7))+27),1,IF(ISNUMBER($L245),$L245,$AA245)))</f>
        <v/>
      </c>
      <c r="AC245" s="62">
        <f>IF($V245="","",IF(AND(ISNUMBER($G245),$G245&lt;=IF($S245=MesCiclo,InicioCiclo,$S245+MOD(2-WEEKDAY($S245),7))+6),1,IF(N($W245)&gt;0,AVERAGEIFS($Y$5:$Y$1000,$U$5:$U$1000,ROW(),$V$5:$V$1000,"Sub"),$Y245)))</f>
        <v/>
      </c>
      <c r="AD245" s="62">
        <f>IF($V245="","",IF(AND(ISNUMBER($G245),$G245&lt;=IF($S245=MesCiclo,InicioCiclo,$S245+MOD(2-WEEKDAY($S245),7))+13),1,IF(N($W245)&gt;0,AVERAGEIFS($Z$5:$Z$1000,$U$5:$U$1000,ROW(),$V$5:$V$1000,"Sub"),$Z245)))</f>
        <v/>
      </c>
      <c r="AE245" s="62">
        <f>IF($V245="","",IF(AND(ISNUMBER($G245),$G245&lt;=IF($S245=MesCiclo,InicioCiclo,$S245+MOD(2-WEEKDAY($S245),7))+20),1,IF(N($W245)&gt;0,AVERAGEIFS($AA$5:$AA$1000,$U$5:$U$1000,ROW(),$V$5:$V$1000,"Sub"),$AA245)))</f>
        <v/>
      </c>
      <c r="AF245" s="62">
        <f>IF($V245="","",IF(AND(ISNUMBER($G245),$G245&lt;=IF($S245=MesCiclo,InicioCiclo,$S245+MOD(2-WEEKDAY($S245),7))+27),1,IF(N($W245)&gt;0,AVERAGEIFS($AB$5:$AB$1000,$U$5:$U$1000,ROW(),$V$5:$V$1000,"Sub"),$AB245)))</f>
        <v/>
      </c>
      <c r="AG245" s="62">
        <f>IF($V245&lt;&gt;"Macro","",IF(COUNTIFS($S$5:$S$1000,$S245,$V$5:$V$1000,"Macro",$H$5:$H$1000,"&gt;0")=0,1/COUNTIFS($S$5:$S$1000,$S245,$V$5:$V$1000,"Macro"),IF(AND(ISNUMBER($H245),N($H245)&gt;0),$H245,SUMIFS($H$5:$H$1000,$S$5:$S$1000,$S245,$V$5:$V$1000,"Macro")/COUNTIFS($S$5:$S$1000,$S245,$V$5:$V$1000,"Macro",$H$5:$H$1000,"&gt;0"))/(COUNTIFS($S$5:$S$1000,$S245,$V$5:$V$1000,"Macro")*SUMIFS($H$5:$H$1000,$S$5:$S$1000,$S245,$V$5:$V$1000,"Macro")/COUNTIFS($S$5:$S$1000,$S245,$V$5:$V$1000,"Macro",$H$5:$H$1000,"&gt;0"))))</f>
        <v/>
      </c>
      <c r="AH245" s="62" t="n"/>
      <c r="AI245" s="62" t="n"/>
      <c r="AJ245" s="62" t="n"/>
      <c r="AK245" s="62" t="n"/>
      <c r="AL245" s="62">
        <f>IF(LEFT($C245,11)="[Jefatura] ",IFERROR(MATCH("Riesgo Financiero|"&amp;MID($C245,12,500),rDname_ADM,0),0),"")</f>
        <v/>
      </c>
      <c r="AM245" s="62">
        <f>IF(N($AL245)&gt;0,INDEX(rIni_ADM,$AL245),IF(ISNUMBER($E245),$E245,""))</f>
        <v/>
      </c>
      <c r="AN245" s="62">
        <f>IF(N($AL245)&gt;0,INDEX(rLim_ADM,$AL245),IF(ISNUMBER($F245),$F245,""))</f>
        <v/>
      </c>
    </row>
    <row r="246">
      <c r="A246" s="56">
        <f>IF(NOT((COUNTA($B246:$D246)+COUNTA($G246:$L246)+COUNTA($Q246))&gt;0),"",IF($V246="Macro",COUNTIFS($V$5:$V246,"Macro",$S$5:$S246,$S246),IF(N($U246)=0,"?",COUNTIFS(INDEX($V$5:$V$1000,1):INDEX($V$5:$V$1000,$U246-4),"Macro",INDEX($S$5:$S$1000,1):INDEX($S$5:$S$1000,$U246-4),INDEX($S$5:$S$1000,$U246-4))&amp;"."&amp;COUNTIFS($U$5:$U246,$U246,$V$5:$V246,"Sub"))))</f>
        <v/>
      </c>
      <c r="B246" s="57" t="n"/>
      <c r="C246" s="58" t="n"/>
      <c r="D246" s="58" t="n"/>
      <c r="E246" s="59">
        <f>IF(N($AL246)&gt;0,INDEX(rIni_ADM,$AL246),"")</f>
        <v/>
      </c>
      <c r="F246" s="59">
        <f>IF(N($AL246)&gt;0,INDEX(rLim_ADM,$AL246),"")</f>
        <v/>
      </c>
      <c r="G246" s="59" t="n"/>
      <c r="H246" s="60" t="n"/>
      <c r="I246" s="60" t="n"/>
      <c r="J246" s="60" t="n"/>
      <c r="K246" s="60" t="n"/>
      <c r="L246" s="60" t="n"/>
      <c r="M246" s="61">
        <f>IF(NOT((COUNTA($B246:$D246)+COUNTA($G246:$L246)+COUNTA($Q246))&gt;0),"",IF(ISNUMBER($G246),1,IF(N($W246)&gt;0,AVERAGEIFS($X$5:$X$1000,$U$5:$U$1000,ROW(),$V$5:$V$1000,"Sub"),$X246)))</f>
        <v/>
      </c>
      <c r="N246" s="56">
        <f>IF($M246="","",IF($M246&gt;=1,"Completado",IF($M246&gt;0,"En curso","Pendiente")))</f>
        <v/>
      </c>
      <c r="O246" s="56">
        <f>IF(NOT((COUNTA($B246:$D246)+COUNTA($G246:$L246)+COUNTA($Q246))&gt;0),"",IF(ISNUMBER($G246),IF(AND(ISNUMBER($AN246),$G246&gt;$AN246),"Cumplida con "&amp;($G246-$AN246)&amp;IF($G246-$AN246=1," día"," días")&amp;" de retraso","Cumplida"),IF(N($M246)&gt;=1,"Cumplida",IF(NOT(ISNUMBER($AN246)),"Sin fecha límite",IF($AN246&lt;FechaRef,"Vencida hace "&amp;(FechaRef-$AN246)&amp;IF(FechaRef-$AN246=1," día"," días"),IF($AN246=FechaRef,"Vence hoy",IF($AN246-FechaRef&lt;=DiasAlerta,"Vence en "&amp;($AN246-FechaRef)&amp;IF($AN246-FechaRef=1," día"," días"),"En plazo")))))))</f>
        <v/>
      </c>
      <c r="P246" s="62" t="n"/>
      <c r="Q246" s="58" t="n"/>
      <c r="R246" s="63">
        <f>IF(NOT((COUNTA($B246:$D246)+COUNTA($G246:$L246)+COUNTA($Q246))&gt;0),"",IF((IF($C246="","Falta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",""))="","✔ OK","⚠ "&amp;LEFT(IF($C246="","Falta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",""),LEN(IF($C246="","Falta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",""))-3)))</f>
        <v/>
      </c>
      <c r="S246" s="64">
        <f>IF(NOT((COUNTA($B246:$D246)+COUNTA($G246:$L246)+COUNTA($Q246))&gt;0),"",IF(AND($V246="Sub",N($U246)&gt;0),IF(ISNUMBER(INDEX($AM$5:$AM$1000,$U246-4)),DATE(YEAR(INDEX($AM$5:$AM$1000,$U246-4)),MONTH(INDEX($AM$5:$AM$1000,$U246-4)),1),IF(ISNUMBER(INDEX($AN$5:$AN$1000,$U246-4)),DATE(YEAR(INDEX($AN$5:$AN$1000,$U246-4)),MONTH(INDEX($AN$5:$AN$1000,$U246-4)),1),MesCiclo)),IF(ISNUMBER($AM246),DATE(YEAR($AM246),MONTH($AM246),1),IF(ISNUMBER($AN246),DATE(YEAR($AN246),MONTH($AN246),1),MesCiclo))))</f>
        <v/>
      </c>
      <c r="T246" s="62">
        <f>IF(OR($S246="",$S246&lt;&gt;MesCiclo),"",COUNTIF($S$5:$S246,MesCiclo))</f>
        <v/>
      </c>
      <c r="U246" s="62">
        <f>IF($V246="","",IF($V246="Macro",ROW(),IFERROR(LOOKUP(2,1/($V$5:$V246="Macro"),ROW($V$5:$V246)),0)))</f>
        <v/>
      </c>
      <c r="V246" s="62">
        <f>IF(NOT((COUNTA($B246:$D246)+COUNTA($G246:$L246)+COUNTA($Q246))&gt;0),"",IF($B246="Subactividad","Sub","Macro"))</f>
        <v/>
      </c>
      <c r="W246" s="62">
        <f>IF($V246="Macro",COUNTIFS($U$5:$U$1000,ROW(),$V$5:$V$1000,"Sub"),"")</f>
        <v/>
      </c>
      <c r="X246" s="62">
        <f>IF($V246="","",IF(ISNUMBER($G246),1,IFERROR(LOOKUP(2,1/($I246:$L246&lt;&gt;""),$I246:$L246),0)))</f>
        <v/>
      </c>
      <c r="Y246" s="62">
        <f>IF($V246="","",IF(AND(ISNUMBER($G246),$G246&lt;=IF($S246=MesCiclo,InicioCiclo,$S246+MOD(2-WEEKDAY($S246),7))+6),1,IF(ISNUMBER($I246),$I246,0)))</f>
        <v/>
      </c>
      <c r="Z246" s="62">
        <f>IF($V246="","",IF(AND(ISNUMBER($G246),$G246&lt;=IF($S246=MesCiclo,InicioCiclo,$S246+MOD(2-WEEKDAY($S246),7))+13),1,IF(ISNUMBER($J246),$J246,$Y246)))</f>
        <v/>
      </c>
      <c r="AA246" s="62">
        <f>IF($V246="","",IF(AND(ISNUMBER($G246),$G246&lt;=IF($S246=MesCiclo,InicioCiclo,$S246+MOD(2-WEEKDAY($S246),7))+20),1,IF(ISNUMBER($K246),$K246,$Z246)))</f>
        <v/>
      </c>
      <c r="AB246" s="62">
        <f>IF($V246="","",IF(AND(ISNUMBER($G246),$G246&lt;=IF($S246=MesCiclo,InicioCiclo,$S246+MOD(2-WEEKDAY($S246),7))+27),1,IF(ISNUMBER($L246),$L246,$AA246)))</f>
        <v/>
      </c>
      <c r="AC246" s="62">
        <f>IF($V246="","",IF(AND(ISNUMBER($G246),$G246&lt;=IF($S246=MesCiclo,InicioCiclo,$S246+MOD(2-WEEKDAY($S246),7))+6),1,IF(N($W246)&gt;0,AVERAGEIFS($Y$5:$Y$1000,$U$5:$U$1000,ROW(),$V$5:$V$1000,"Sub"),$Y246)))</f>
        <v/>
      </c>
      <c r="AD246" s="62">
        <f>IF($V246="","",IF(AND(ISNUMBER($G246),$G246&lt;=IF($S246=MesCiclo,InicioCiclo,$S246+MOD(2-WEEKDAY($S246),7))+13),1,IF(N($W246)&gt;0,AVERAGEIFS($Z$5:$Z$1000,$U$5:$U$1000,ROW(),$V$5:$V$1000,"Sub"),$Z246)))</f>
        <v/>
      </c>
      <c r="AE246" s="62">
        <f>IF($V246="","",IF(AND(ISNUMBER($G246),$G246&lt;=IF($S246=MesCiclo,InicioCiclo,$S246+MOD(2-WEEKDAY($S246),7))+20),1,IF(N($W246)&gt;0,AVERAGEIFS($AA$5:$AA$1000,$U$5:$U$1000,ROW(),$V$5:$V$1000,"Sub"),$AA246)))</f>
        <v/>
      </c>
      <c r="AF246" s="62">
        <f>IF($V246="","",IF(AND(ISNUMBER($G246),$G246&lt;=IF($S246=MesCiclo,InicioCiclo,$S246+MOD(2-WEEKDAY($S246),7))+27),1,IF(N($W246)&gt;0,AVERAGEIFS($AB$5:$AB$1000,$U$5:$U$1000,ROW(),$V$5:$V$1000,"Sub"),$AB246)))</f>
        <v/>
      </c>
      <c r="AG246" s="62">
        <f>IF($V246&lt;&gt;"Macro","",IF(COUNTIFS($S$5:$S$1000,$S246,$V$5:$V$1000,"Macro",$H$5:$H$1000,"&gt;0")=0,1/COUNTIFS($S$5:$S$1000,$S246,$V$5:$V$1000,"Macro"),IF(AND(ISNUMBER($H246),N($H246)&gt;0),$H246,SUMIFS($H$5:$H$1000,$S$5:$S$1000,$S246,$V$5:$V$1000,"Macro")/COUNTIFS($S$5:$S$1000,$S246,$V$5:$V$1000,"Macro",$H$5:$H$1000,"&gt;0"))/(COUNTIFS($S$5:$S$1000,$S246,$V$5:$V$1000,"Macro")*SUMIFS($H$5:$H$1000,$S$5:$S$1000,$S246,$V$5:$V$1000,"Macro")/COUNTIFS($S$5:$S$1000,$S246,$V$5:$V$1000,"Macro",$H$5:$H$1000,"&gt;0"))))</f>
        <v/>
      </c>
      <c r="AH246" s="62" t="n"/>
      <c r="AI246" s="62" t="n"/>
      <c r="AJ246" s="62" t="n"/>
      <c r="AK246" s="62" t="n"/>
      <c r="AL246" s="62">
        <f>IF(LEFT($C246,11)="[Jefatura] ",IFERROR(MATCH("Riesgo Financiero|"&amp;MID($C246,12,500),rDname_ADM,0),0),"")</f>
        <v/>
      </c>
      <c r="AM246" s="62">
        <f>IF(N($AL246)&gt;0,INDEX(rIni_ADM,$AL246),IF(ISNUMBER($E246),$E246,""))</f>
        <v/>
      </c>
      <c r="AN246" s="62">
        <f>IF(N($AL246)&gt;0,INDEX(rLim_ADM,$AL246),IF(ISNUMBER($F246),$F246,""))</f>
        <v/>
      </c>
    </row>
    <row r="247">
      <c r="A247" s="56">
        <f>IF(NOT((COUNTA($B247:$D247)+COUNTA($G247:$L247)+COUNTA($Q247))&gt;0),"",IF($V247="Macro",COUNTIFS($V$5:$V247,"Macro",$S$5:$S247,$S247),IF(N($U247)=0,"?",COUNTIFS(INDEX($V$5:$V$1000,1):INDEX($V$5:$V$1000,$U247-4),"Macro",INDEX($S$5:$S$1000,1):INDEX($S$5:$S$1000,$U247-4),INDEX($S$5:$S$1000,$U247-4))&amp;"."&amp;COUNTIFS($U$5:$U247,$U247,$V$5:$V247,"Sub"))))</f>
        <v/>
      </c>
      <c r="B247" s="57" t="n"/>
      <c r="C247" s="58" t="n"/>
      <c r="D247" s="58" t="n"/>
      <c r="E247" s="59">
        <f>IF(N($AL247)&gt;0,INDEX(rIni_ADM,$AL247),"")</f>
        <v/>
      </c>
      <c r="F247" s="59">
        <f>IF(N($AL247)&gt;0,INDEX(rLim_ADM,$AL247),"")</f>
        <v/>
      </c>
      <c r="G247" s="59" t="n"/>
      <c r="H247" s="60" t="n"/>
      <c r="I247" s="60" t="n"/>
      <c r="J247" s="60" t="n"/>
      <c r="K247" s="60" t="n"/>
      <c r="L247" s="60" t="n"/>
      <c r="M247" s="61">
        <f>IF(NOT((COUNTA($B247:$D247)+COUNTA($G247:$L247)+COUNTA($Q247))&gt;0),"",IF(ISNUMBER($G247),1,IF(N($W247)&gt;0,AVERAGEIFS($X$5:$X$1000,$U$5:$U$1000,ROW(),$V$5:$V$1000,"Sub"),$X247)))</f>
        <v/>
      </c>
      <c r="N247" s="56">
        <f>IF($M247="","",IF($M247&gt;=1,"Completado",IF($M247&gt;0,"En curso","Pendiente")))</f>
        <v/>
      </c>
      <c r="O247" s="56">
        <f>IF(NOT((COUNTA($B247:$D247)+COUNTA($G247:$L247)+COUNTA($Q247))&gt;0),"",IF(ISNUMBER($G247),IF(AND(ISNUMBER($AN247),$G247&gt;$AN247),"Cumplida con "&amp;($G247-$AN247)&amp;IF($G247-$AN247=1," día"," días")&amp;" de retraso","Cumplida"),IF(N($M247)&gt;=1,"Cumplida",IF(NOT(ISNUMBER($AN247)),"Sin fecha límite",IF($AN247&lt;FechaRef,"Vencida hace "&amp;(FechaRef-$AN247)&amp;IF(FechaRef-$AN247=1," día"," días"),IF($AN247=FechaRef,"Vence hoy",IF($AN247-FechaRef&lt;=DiasAlerta,"Vence en "&amp;($AN247-FechaRef)&amp;IF($AN247-FechaRef=1," día"," días"),"En plazo")))))))</f>
        <v/>
      </c>
      <c r="P247" s="62" t="n"/>
      <c r="Q247" s="58" t="n"/>
      <c r="R247" s="63">
        <f>IF(NOT((COUNTA($B247:$D247)+COUNTA($G247:$L247)+COUNTA($Q247))&gt;0),"",IF((IF($C247="","Falta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",""))="","✔ OK","⚠ "&amp;LEFT(IF($C247="","Falta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",""),LEN(IF($C247="","Falta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",""))-3)))</f>
        <v/>
      </c>
      <c r="S247" s="64">
        <f>IF(NOT((COUNTA($B247:$D247)+COUNTA($G247:$L247)+COUNTA($Q247))&gt;0),"",IF(AND($V247="Sub",N($U247)&gt;0),IF(ISNUMBER(INDEX($AM$5:$AM$1000,$U247-4)),DATE(YEAR(INDEX($AM$5:$AM$1000,$U247-4)),MONTH(INDEX($AM$5:$AM$1000,$U247-4)),1),IF(ISNUMBER(INDEX($AN$5:$AN$1000,$U247-4)),DATE(YEAR(INDEX($AN$5:$AN$1000,$U247-4)),MONTH(INDEX($AN$5:$AN$1000,$U247-4)),1),MesCiclo)),IF(ISNUMBER($AM247),DATE(YEAR($AM247),MONTH($AM247),1),IF(ISNUMBER($AN247),DATE(YEAR($AN247),MONTH($AN247),1),MesCiclo))))</f>
        <v/>
      </c>
      <c r="T247" s="62">
        <f>IF(OR($S247="",$S247&lt;&gt;MesCiclo),"",COUNTIF($S$5:$S247,MesCiclo))</f>
        <v/>
      </c>
      <c r="U247" s="62">
        <f>IF($V247="","",IF($V247="Macro",ROW(),IFERROR(LOOKUP(2,1/($V$5:$V247="Macro"),ROW($V$5:$V247)),0)))</f>
        <v/>
      </c>
      <c r="V247" s="62">
        <f>IF(NOT((COUNTA($B247:$D247)+COUNTA($G247:$L247)+COUNTA($Q247))&gt;0),"",IF($B247="Subactividad","Sub","Macro"))</f>
        <v/>
      </c>
      <c r="W247" s="62">
        <f>IF($V247="Macro",COUNTIFS($U$5:$U$1000,ROW(),$V$5:$V$1000,"Sub"),"")</f>
        <v/>
      </c>
      <c r="X247" s="62">
        <f>IF($V247="","",IF(ISNUMBER($G247),1,IFERROR(LOOKUP(2,1/($I247:$L247&lt;&gt;""),$I247:$L247),0)))</f>
        <v/>
      </c>
      <c r="Y247" s="62">
        <f>IF($V247="","",IF(AND(ISNUMBER($G247),$G247&lt;=IF($S247=MesCiclo,InicioCiclo,$S247+MOD(2-WEEKDAY($S247),7))+6),1,IF(ISNUMBER($I247),$I247,0)))</f>
        <v/>
      </c>
      <c r="Z247" s="62">
        <f>IF($V247="","",IF(AND(ISNUMBER($G247),$G247&lt;=IF($S247=MesCiclo,InicioCiclo,$S247+MOD(2-WEEKDAY($S247),7))+13),1,IF(ISNUMBER($J247),$J247,$Y247)))</f>
        <v/>
      </c>
      <c r="AA247" s="62">
        <f>IF($V247="","",IF(AND(ISNUMBER($G247),$G247&lt;=IF($S247=MesCiclo,InicioCiclo,$S247+MOD(2-WEEKDAY($S247),7))+20),1,IF(ISNUMBER($K247),$K247,$Z247)))</f>
        <v/>
      </c>
      <c r="AB247" s="62">
        <f>IF($V247="","",IF(AND(ISNUMBER($G247),$G247&lt;=IF($S247=MesCiclo,InicioCiclo,$S247+MOD(2-WEEKDAY($S247),7))+27),1,IF(ISNUMBER($L247),$L247,$AA247)))</f>
        <v/>
      </c>
      <c r="AC247" s="62">
        <f>IF($V247="","",IF(AND(ISNUMBER($G247),$G247&lt;=IF($S247=MesCiclo,InicioCiclo,$S247+MOD(2-WEEKDAY($S247),7))+6),1,IF(N($W247)&gt;0,AVERAGEIFS($Y$5:$Y$1000,$U$5:$U$1000,ROW(),$V$5:$V$1000,"Sub"),$Y247)))</f>
        <v/>
      </c>
      <c r="AD247" s="62">
        <f>IF($V247="","",IF(AND(ISNUMBER($G247),$G247&lt;=IF($S247=MesCiclo,InicioCiclo,$S247+MOD(2-WEEKDAY($S247),7))+13),1,IF(N($W247)&gt;0,AVERAGEIFS($Z$5:$Z$1000,$U$5:$U$1000,ROW(),$V$5:$V$1000,"Sub"),$Z247)))</f>
        <v/>
      </c>
      <c r="AE247" s="62">
        <f>IF($V247="","",IF(AND(ISNUMBER($G247),$G247&lt;=IF($S247=MesCiclo,InicioCiclo,$S247+MOD(2-WEEKDAY($S247),7))+20),1,IF(N($W247)&gt;0,AVERAGEIFS($AA$5:$AA$1000,$U$5:$U$1000,ROW(),$V$5:$V$1000,"Sub"),$AA247)))</f>
        <v/>
      </c>
      <c r="AF247" s="62">
        <f>IF($V247="","",IF(AND(ISNUMBER($G247),$G247&lt;=IF($S247=MesCiclo,InicioCiclo,$S247+MOD(2-WEEKDAY($S247),7))+27),1,IF(N($W247)&gt;0,AVERAGEIFS($AB$5:$AB$1000,$U$5:$U$1000,ROW(),$V$5:$V$1000,"Sub"),$AB247)))</f>
        <v/>
      </c>
      <c r="AG247" s="62">
        <f>IF($V247&lt;&gt;"Macro","",IF(COUNTIFS($S$5:$S$1000,$S247,$V$5:$V$1000,"Macro",$H$5:$H$1000,"&gt;0")=0,1/COUNTIFS($S$5:$S$1000,$S247,$V$5:$V$1000,"Macro"),IF(AND(ISNUMBER($H247),N($H247)&gt;0),$H247,SUMIFS($H$5:$H$1000,$S$5:$S$1000,$S247,$V$5:$V$1000,"Macro")/COUNTIFS($S$5:$S$1000,$S247,$V$5:$V$1000,"Macro",$H$5:$H$1000,"&gt;0"))/(COUNTIFS($S$5:$S$1000,$S247,$V$5:$V$1000,"Macro")*SUMIFS($H$5:$H$1000,$S$5:$S$1000,$S247,$V$5:$V$1000,"Macro")/COUNTIFS($S$5:$S$1000,$S247,$V$5:$V$1000,"Macro",$H$5:$H$1000,"&gt;0"))))</f>
        <v/>
      </c>
      <c r="AH247" s="62" t="n"/>
      <c r="AI247" s="62" t="n"/>
      <c r="AJ247" s="62" t="n"/>
      <c r="AK247" s="62" t="n"/>
      <c r="AL247" s="62">
        <f>IF(LEFT($C247,11)="[Jefatura] ",IFERROR(MATCH("Riesgo Financiero|"&amp;MID($C247,12,500),rDname_ADM,0),0),"")</f>
        <v/>
      </c>
      <c r="AM247" s="62">
        <f>IF(N($AL247)&gt;0,INDEX(rIni_ADM,$AL247),IF(ISNUMBER($E247),$E247,""))</f>
        <v/>
      </c>
      <c r="AN247" s="62">
        <f>IF(N($AL247)&gt;0,INDEX(rLim_ADM,$AL247),IF(ISNUMBER($F247),$F247,""))</f>
        <v/>
      </c>
    </row>
    <row r="248">
      <c r="A248" s="56">
        <f>IF(NOT((COUNTA($B248:$D248)+COUNTA($G248:$L248)+COUNTA($Q248))&gt;0),"",IF($V248="Macro",COUNTIFS($V$5:$V248,"Macro",$S$5:$S248,$S248),IF(N($U248)=0,"?",COUNTIFS(INDEX($V$5:$V$1000,1):INDEX($V$5:$V$1000,$U248-4),"Macro",INDEX($S$5:$S$1000,1):INDEX($S$5:$S$1000,$U248-4),INDEX($S$5:$S$1000,$U248-4))&amp;"."&amp;COUNTIFS($U$5:$U248,$U248,$V$5:$V248,"Sub"))))</f>
        <v/>
      </c>
      <c r="B248" s="57" t="n"/>
      <c r="C248" s="58" t="n"/>
      <c r="D248" s="58" t="n"/>
      <c r="E248" s="59">
        <f>IF(N($AL248)&gt;0,INDEX(rIni_ADM,$AL248),"")</f>
        <v/>
      </c>
      <c r="F248" s="59">
        <f>IF(N($AL248)&gt;0,INDEX(rLim_ADM,$AL248),"")</f>
        <v/>
      </c>
      <c r="G248" s="59" t="n"/>
      <c r="H248" s="60" t="n"/>
      <c r="I248" s="60" t="n"/>
      <c r="J248" s="60" t="n"/>
      <c r="K248" s="60" t="n"/>
      <c r="L248" s="60" t="n"/>
      <c r="M248" s="61">
        <f>IF(NOT((COUNTA($B248:$D248)+COUNTA($G248:$L248)+COUNTA($Q248))&gt;0),"",IF(ISNUMBER($G248),1,IF(N($W248)&gt;0,AVERAGEIFS($X$5:$X$1000,$U$5:$U$1000,ROW(),$V$5:$V$1000,"Sub"),$X248)))</f>
        <v/>
      </c>
      <c r="N248" s="56">
        <f>IF($M248="","",IF($M248&gt;=1,"Completado",IF($M248&gt;0,"En curso","Pendiente")))</f>
        <v/>
      </c>
      <c r="O248" s="56">
        <f>IF(NOT((COUNTA($B248:$D248)+COUNTA($G248:$L248)+COUNTA($Q248))&gt;0),"",IF(ISNUMBER($G248),IF(AND(ISNUMBER($AN248),$G248&gt;$AN248),"Cumplida con "&amp;($G248-$AN248)&amp;IF($G248-$AN248=1," día"," días")&amp;" de retraso","Cumplida"),IF(N($M248)&gt;=1,"Cumplida",IF(NOT(ISNUMBER($AN248)),"Sin fecha límite",IF($AN248&lt;FechaRef,"Vencida hace "&amp;(FechaRef-$AN248)&amp;IF(FechaRef-$AN248=1," día"," días"),IF($AN248=FechaRef,"Vence hoy",IF($AN248-FechaRef&lt;=DiasAlerta,"Vence en "&amp;($AN248-FechaRef)&amp;IF($AN248-FechaRef=1," día"," días"),"En plazo")))))))</f>
        <v/>
      </c>
      <c r="P248" s="62" t="n"/>
      <c r="Q248" s="58" t="n"/>
      <c r="R248" s="63">
        <f>IF(NOT((COUNTA($B248:$D248)+COUNTA($G248:$L248)+COUNTA($Q248))&gt;0),"",IF((IF($C248="","Falta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",""))="","✔ OK","⚠ "&amp;LEFT(IF($C248="","Falta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",""),LEN(IF($C248="","Falta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",""))-3)))</f>
        <v/>
      </c>
      <c r="S248" s="64">
        <f>IF(NOT((COUNTA($B248:$D248)+COUNTA($G248:$L248)+COUNTA($Q248))&gt;0),"",IF(AND($V248="Sub",N($U248)&gt;0),IF(ISNUMBER(INDEX($AM$5:$AM$1000,$U248-4)),DATE(YEAR(INDEX($AM$5:$AM$1000,$U248-4)),MONTH(INDEX($AM$5:$AM$1000,$U248-4)),1),IF(ISNUMBER(INDEX($AN$5:$AN$1000,$U248-4)),DATE(YEAR(INDEX($AN$5:$AN$1000,$U248-4)),MONTH(INDEX($AN$5:$AN$1000,$U248-4)),1),MesCiclo)),IF(ISNUMBER($AM248),DATE(YEAR($AM248),MONTH($AM248),1),IF(ISNUMBER($AN248),DATE(YEAR($AN248),MONTH($AN248),1),MesCiclo))))</f>
        <v/>
      </c>
      <c r="T248" s="62">
        <f>IF(OR($S248="",$S248&lt;&gt;MesCiclo),"",COUNTIF($S$5:$S248,MesCiclo))</f>
        <v/>
      </c>
      <c r="U248" s="62">
        <f>IF($V248="","",IF($V248="Macro",ROW(),IFERROR(LOOKUP(2,1/($V$5:$V248="Macro"),ROW($V$5:$V248)),0)))</f>
        <v/>
      </c>
      <c r="V248" s="62">
        <f>IF(NOT((COUNTA($B248:$D248)+COUNTA($G248:$L248)+COUNTA($Q248))&gt;0),"",IF($B248="Subactividad","Sub","Macro"))</f>
        <v/>
      </c>
      <c r="W248" s="62">
        <f>IF($V248="Macro",COUNTIFS($U$5:$U$1000,ROW(),$V$5:$V$1000,"Sub"),"")</f>
        <v/>
      </c>
      <c r="X248" s="62">
        <f>IF($V248="","",IF(ISNUMBER($G248),1,IFERROR(LOOKUP(2,1/($I248:$L248&lt;&gt;""),$I248:$L248),0)))</f>
        <v/>
      </c>
      <c r="Y248" s="62">
        <f>IF($V248="","",IF(AND(ISNUMBER($G248),$G248&lt;=IF($S248=MesCiclo,InicioCiclo,$S248+MOD(2-WEEKDAY($S248),7))+6),1,IF(ISNUMBER($I248),$I248,0)))</f>
        <v/>
      </c>
      <c r="Z248" s="62">
        <f>IF($V248="","",IF(AND(ISNUMBER($G248),$G248&lt;=IF($S248=MesCiclo,InicioCiclo,$S248+MOD(2-WEEKDAY($S248),7))+13),1,IF(ISNUMBER($J248),$J248,$Y248)))</f>
        <v/>
      </c>
      <c r="AA248" s="62">
        <f>IF($V248="","",IF(AND(ISNUMBER($G248),$G248&lt;=IF($S248=MesCiclo,InicioCiclo,$S248+MOD(2-WEEKDAY($S248),7))+20),1,IF(ISNUMBER($K248),$K248,$Z248)))</f>
        <v/>
      </c>
      <c r="AB248" s="62">
        <f>IF($V248="","",IF(AND(ISNUMBER($G248),$G248&lt;=IF($S248=MesCiclo,InicioCiclo,$S248+MOD(2-WEEKDAY($S248),7))+27),1,IF(ISNUMBER($L248),$L248,$AA248)))</f>
        <v/>
      </c>
      <c r="AC248" s="62">
        <f>IF($V248="","",IF(AND(ISNUMBER($G248),$G248&lt;=IF($S248=MesCiclo,InicioCiclo,$S248+MOD(2-WEEKDAY($S248),7))+6),1,IF(N($W248)&gt;0,AVERAGEIFS($Y$5:$Y$1000,$U$5:$U$1000,ROW(),$V$5:$V$1000,"Sub"),$Y248)))</f>
        <v/>
      </c>
      <c r="AD248" s="62">
        <f>IF($V248="","",IF(AND(ISNUMBER($G248),$G248&lt;=IF($S248=MesCiclo,InicioCiclo,$S248+MOD(2-WEEKDAY($S248),7))+13),1,IF(N($W248)&gt;0,AVERAGEIFS($Z$5:$Z$1000,$U$5:$U$1000,ROW(),$V$5:$V$1000,"Sub"),$Z248)))</f>
        <v/>
      </c>
      <c r="AE248" s="62">
        <f>IF($V248="","",IF(AND(ISNUMBER($G248),$G248&lt;=IF($S248=MesCiclo,InicioCiclo,$S248+MOD(2-WEEKDAY($S248),7))+20),1,IF(N($W248)&gt;0,AVERAGEIFS($AA$5:$AA$1000,$U$5:$U$1000,ROW(),$V$5:$V$1000,"Sub"),$AA248)))</f>
        <v/>
      </c>
      <c r="AF248" s="62">
        <f>IF($V248="","",IF(AND(ISNUMBER($G248),$G248&lt;=IF($S248=MesCiclo,InicioCiclo,$S248+MOD(2-WEEKDAY($S248),7))+27),1,IF(N($W248)&gt;0,AVERAGEIFS($AB$5:$AB$1000,$U$5:$U$1000,ROW(),$V$5:$V$1000,"Sub"),$AB248)))</f>
        <v/>
      </c>
      <c r="AG248" s="62">
        <f>IF($V248&lt;&gt;"Macro","",IF(COUNTIFS($S$5:$S$1000,$S248,$V$5:$V$1000,"Macro",$H$5:$H$1000,"&gt;0")=0,1/COUNTIFS($S$5:$S$1000,$S248,$V$5:$V$1000,"Macro"),IF(AND(ISNUMBER($H248),N($H248)&gt;0),$H248,SUMIFS($H$5:$H$1000,$S$5:$S$1000,$S248,$V$5:$V$1000,"Macro")/COUNTIFS($S$5:$S$1000,$S248,$V$5:$V$1000,"Macro",$H$5:$H$1000,"&gt;0"))/(COUNTIFS($S$5:$S$1000,$S248,$V$5:$V$1000,"Macro")*SUMIFS($H$5:$H$1000,$S$5:$S$1000,$S248,$V$5:$V$1000,"Macro")/COUNTIFS($S$5:$S$1000,$S248,$V$5:$V$1000,"Macro",$H$5:$H$1000,"&gt;0"))))</f>
        <v/>
      </c>
      <c r="AH248" s="62" t="n"/>
      <c r="AI248" s="62" t="n"/>
      <c r="AJ248" s="62" t="n"/>
      <c r="AK248" s="62" t="n"/>
      <c r="AL248" s="62">
        <f>IF(LEFT($C248,11)="[Jefatura] ",IFERROR(MATCH("Riesgo Financiero|"&amp;MID($C248,12,500),rDname_ADM,0),0),"")</f>
        <v/>
      </c>
      <c r="AM248" s="62">
        <f>IF(N($AL248)&gt;0,INDEX(rIni_ADM,$AL248),IF(ISNUMBER($E248),$E248,""))</f>
        <v/>
      </c>
      <c r="AN248" s="62">
        <f>IF(N($AL248)&gt;0,INDEX(rLim_ADM,$AL248),IF(ISNUMBER($F248),$F248,""))</f>
        <v/>
      </c>
    </row>
    <row r="249">
      <c r="A249" s="56">
        <f>IF(NOT((COUNTA($B249:$D249)+COUNTA($G249:$L249)+COUNTA($Q249))&gt;0),"",IF($V249="Macro",COUNTIFS($V$5:$V249,"Macro",$S$5:$S249,$S249),IF(N($U249)=0,"?",COUNTIFS(INDEX($V$5:$V$1000,1):INDEX($V$5:$V$1000,$U249-4),"Macro",INDEX($S$5:$S$1000,1):INDEX($S$5:$S$1000,$U249-4),INDEX($S$5:$S$1000,$U249-4))&amp;"."&amp;COUNTIFS($U$5:$U249,$U249,$V$5:$V249,"Sub"))))</f>
        <v/>
      </c>
      <c r="B249" s="57" t="n"/>
      <c r="C249" s="58" t="n"/>
      <c r="D249" s="58" t="n"/>
      <c r="E249" s="59">
        <f>IF(N($AL249)&gt;0,INDEX(rIni_ADM,$AL249),"")</f>
        <v/>
      </c>
      <c r="F249" s="59">
        <f>IF(N($AL249)&gt;0,INDEX(rLim_ADM,$AL249),"")</f>
        <v/>
      </c>
      <c r="G249" s="59" t="n"/>
      <c r="H249" s="60" t="n"/>
      <c r="I249" s="60" t="n"/>
      <c r="J249" s="60" t="n"/>
      <c r="K249" s="60" t="n"/>
      <c r="L249" s="60" t="n"/>
      <c r="M249" s="61">
        <f>IF(NOT((COUNTA($B249:$D249)+COUNTA($G249:$L249)+COUNTA($Q249))&gt;0),"",IF(ISNUMBER($G249),1,IF(N($W249)&gt;0,AVERAGEIFS($X$5:$X$1000,$U$5:$U$1000,ROW(),$V$5:$V$1000,"Sub"),$X249)))</f>
        <v/>
      </c>
      <c r="N249" s="56">
        <f>IF($M249="","",IF($M249&gt;=1,"Completado",IF($M249&gt;0,"En curso","Pendiente")))</f>
        <v/>
      </c>
      <c r="O249" s="56">
        <f>IF(NOT((COUNTA($B249:$D249)+COUNTA($G249:$L249)+COUNTA($Q249))&gt;0),"",IF(ISNUMBER($G249),IF(AND(ISNUMBER($AN249),$G249&gt;$AN249),"Cumplida con "&amp;($G249-$AN249)&amp;IF($G249-$AN249=1," día"," días")&amp;" de retraso","Cumplida"),IF(N($M249)&gt;=1,"Cumplida",IF(NOT(ISNUMBER($AN249)),"Sin fecha límite",IF($AN249&lt;FechaRef,"Vencida hace "&amp;(FechaRef-$AN249)&amp;IF(FechaRef-$AN249=1," día"," días"),IF($AN249=FechaRef,"Vence hoy",IF($AN249-FechaRef&lt;=DiasAlerta,"Vence en "&amp;($AN249-FechaRef)&amp;IF($AN249-FechaRef=1," día"," días"),"En plazo")))))))</f>
        <v/>
      </c>
      <c r="P249" s="62" t="n"/>
      <c r="Q249" s="58" t="n"/>
      <c r="R249" s="63">
        <f>IF(NOT((COUNTA($B249:$D249)+COUNTA($G249:$L249)+COUNTA($Q249))&gt;0),"",IF((IF($C249="","Falta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",""))="","✔ OK","⚠ "&amp;LEFT(IF($C249="","Falta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",""),LEN(IF($C249="","Falta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",""))-3)))</f>
        <v/>
      </c>
      <c r="S249" s="64">
        <f>IF(NOT((COUNTA($B249:$D249)+COUNTA($G249:$L249)+COUNTA($Q249))&gt;0),"",IF(AND($V249="Sub",N($U249)&gt;0),IF(ISNUMBER(INDEX($AM$5:$AM$1000,$U249-4)),DATE(YEAR(INDEX($AM$5:$AM$1000,$U249-4)),MONTH(INDEX($AM$5:$AM$1000,$U249-4)),1),IF(ISNUMBER(INDEX($AN$5:$AN$1000,$U249-4)),DATE(YEAR(INDEX($AN$5:$AN$1000,$U249-4)),MONTH(INDEX($AN$5:$AN$1000,$U249-4)),1),MesCiclo)),IF(ISNUMBER($AM249),DATE(YEAR($AM249),MONTH($AM249),1),IF(ISNUMBER($AN249),DATE(YEAR($AN249),MONTH($AN249),1),MesCiclo))))</f>
        <v/>
      </c>
      <c r="T249" s="62">
        <f>IF(OR($S249="",$S249&lt;&gt;MesCiclo),"",COUNTIF($S$5:$S249,MesCiclo))</f>
        <v/>
      </c>
      <c r="U249" s="62">
        <f>IF($V249="","",IF($V249="Macro",ROW(),IFERROR(LOOKUP(2,1/($V$5:$V249="Macro"),ROW($V$5:$V249)),0)))</f>
        <v/>
      </c>
      <c r="V249" s="62">
        <f>IF(NOT((COUNTA($B249:$D249)+COUNTA($G249:$L249)+COUNTA($Q249))&gt;0),"",IF($B249="Subactividad","Sub","Macro"))</f>
        <v/>
      </c>
      <c r="W249" s="62">
        <f>IF($V249="Macro",COUNTIFS($U$5:$U$1000,ROW(),$V$5:$V$1000,"Sub"),"")</f>
        <v/>
      </c>
      <c r="X249" s="62">
        <f>IF($V249="","",IF(ISNUMBER($G249),1,IFERROR(LOOKUP(2,1/($I249:$L249&lt;&gt;""),$I249:$L249),0)))</f>
        <v/>
      </c>
      <c r="Y249" s="62">
        <f>IF($V249="","",IF(AND(ISNUMBER($G249),$G249&lt;=IF($S249=MesCiclo,InicioCiclo,$S249+MOD(2-WEEKDAY($S249),7))+6),1,IF(ISNUMBER($I249),$I249,0)))</f>
        <v/>
      </c>
      <c r="Z249" s="62">
        <f>IF($V249="","",IF(AND(ISNUMBER($G249),$G249&lt;=IF($S249=MesCiclo,InicioCiclo,$S249+MOD(2-WEEKDAY($S249),7))+13),1,IF(ISNUMBER($J249),$J249,$Y249)))</f>
        <v/>
      </c>
      <c r="AA249" s="62">
        <f>IF($V249="","",IF(AND(ISNUMBER($G249),$G249&lt;=IF($S249=MesCiclo,InicioCiclo,$S249+MOD(2-WEEKDAY($S249),7))+20),1,IF(ISNUMBER($K249),$K249,$Z249)))</f>
        <v/>
      </c>
      <c r="AB249" s="62">
        <f>IF($V249="","",IF(AND(ISNUMBER($G249),$G249&lt;=IF($S249=MesCiclo,InicioCiclo,$S249+MOD(2-WEEKDAY($S249),7))+27),1,IF(ISNUMBER($L249),$L249,$AA249)))</f>
        <v/>
      </c>
      <c r="AC249" s="62">
        <f>IF($V249="","",IF(AND(ISNUMBER($G249),$G249&lt;=IF($S249=MesCiclo,InicioCiclo,$S249+MOD(2-WEEKDAY($S249),7))+6),1,IF(N($W249)&gt;0,AVERAGEIFS($Y$5:$Y$1000,$U$5:$U$1000,ROW(),$V$5:$V$1000,"Sub"),$Y249)))</f>
        <v/>
      </c>
      <c r="AD249" s="62">
        <f>IF($V249="","",IF(AND(ISNUMBER($G249),$G249&lt;=IF($S249=MesCiclo,InicioCiclo,$S249+MOD(2-WEEKDAY($S249),7))+13),1,IF(N($W249)&gt;0,AVERAGEIFS($Z$5:$Z$1000,$U$5:$U$1000,ROW(),$V$5:$V$1000,"Sub"),$Z249)))</f>
        <v/>
      </c>
      <c r="AE249" s="62">
        <f>IF($V249="","",IF(AND(ISNUMBER($G249),$G249&lt;=IF($S249=MesCiclo,InicioCiclo,$S249+MOD(2-WEEKDAY($S249),7))+20),1,IF(N($W249)&gt;0,AVERAGEIFS($AA$5:$AA$1000,$U$5:$U$1000,ROW(),$V$5:$V$1000,"Sub"),$AA249)))</f>
        <v/>
      </c>
      <c r="AF249" s="62">
        <f>IF($V249="","",IF(AND(ISNUMBER($G249),$G249&lt;=IF($S249=MesCiclo,InicioCiclo,$S249+MOD(2-WEEKDAY($S249),7))+27),1,IF(N($W249)&gt;0,AVERAGEIFS($AB$5:$AB$1000,$U$5:$U$1000,ROW(),$V$5:$V$1000,"Sub"),$AB249)))</f>
        <v/>
      </c>
      <c r="AG249" s="62">
        <f>IF($V249&lt;&gt;"Macro","",IF(COUNTIFS($S$5:$S$1000,$S249,$V$5:$V$1000,"Macro",$H$5:$H$1000,"&gt;0")=0,1/COUNTIFS($S$5:$S$1000,$S249,$V$5:$V$1000,"Macro"),IF(AND(ISNUMBER($H249),N($H249)&gt;0),$H249,SUMIFS($H$5:$H$1000,$S$5:$S$1000,$S249,$V$5:$V$1000,"Macro")/COUNTIFS($S$5:$S$1000,$S249,$V$5:$V$1000,"Macro",$H$5:$H$1000,"&gt;0"))/(COUNTIFS($S$5:$S$1000,$S249,$V$5:$V$1000,"Macro")*SUMIFS($H$5:$H$1000,$S$5:$S$1000,$S249,$V$5:$V$1000,"Macro")/COUNTIFS($S$5:$S$1000,$S249,$V$5:$V$1000,"Macro",$H$5:$H$1000,"&gt;0"))))</f>
        <v/>
      </c>
      <c r="AH249" s="62" t="n"/>
      <c r="AI249" s="62" t="n"/>
      <c r="AJ249" s="62" t="n"/>
      <c r="AK249" s="62" t="n"/>
      <c r="AL249" s="62">
        <f>IF(LEFT($C249,11)="[Jefatura] ",IFERROR(MATCH("Riesgo Financiero|"&amp;MID($C249,12,500),rDname_ADM,0),0),"")</f>
        <v/>
      </c>
      <c r="AM249" s="62">
        <f>IF(N($AL249)&gt;0,INDEX(rIni_ADM,$AL249),IF(ISNUMBER($E249),$E249,""))</f>
        <v/>
      </c>
      <c r="AN249" s="62">
        <f>IF(N($AL249)&gt;0,INDEX(rLim_ADM,$AL249),IF(ISNUMBER($F249),$F249,""))</f>
        <v/>
      </c>
    </row>
    <row r="250">
      <c r="A250" s="56">
        <f>IF(NOT((COUNTA($B250:$D250)+COUNTA($G250:$L250)+COUNTA($Q250))&gt;0),"",IF($V250="Macro",COUNTIFS($V$5:$V250,"Macro",$S$5:$S250,$S250),IF(N($U250)=0,"?",COUNTIFS(INDEX($V$5:$V$1000,1):INDEX($V$5:$V$1000,$U250-4),"Macro",INDEX($S$5:$S$1000,1):INDEX($S$5:$S$1000,$U250-4),INDEX($S$5:$S$1000,$U250-4))&amp;"."&amp;COUNTIFS($U$5:$U250,$U250,$V$5:$V250,"Sub"))))</f>
        <v/>
      </c>
      <c r="B250" s="57" t="n"/>
      <c r="C250" s="58" t="n"/>
      <c r="D250" s="58" t="n"/>
      <c r="E250" s="59">
        <f>IF(N($AL250)&gt;0,INDEX(rIni_ADM,$AL250),"")</f>
        <v/>
      </c>
      <c r="F250" s="59">
        <f>IF(N($AL250)&gt;0,INDEX(rLim_ADM,$AL250),"")</f>
        <v/>
      </c>
      <c r="G250" s="59" t="n"/>
      <c r="H250" s="60" t="n"/>
      <c r="I250" s="60" t="n"/>
      <c r="J250" s="60" t="n"/>
      <c r="K250" s="60" t="n"/>
      <c r="L250" s="60" t="n"/>
      <c r="M250" s="61">
        <f>IF(NOT((COUNTA($B250:$D250)+COUNTA($G250:$L250)+COUNTA($Q250))&gt;0),"",IF(ISNUMBER($G250),1,IF(N($W250)&gt;0,AVERAGEIFS($X$5:$X$1000,$U$5:$U$1000,ROW(),$V$5:$V$1000,"Sub"),$X250)))</f>
        <v/>
      </c>
      <c r="N250" s="56">
        <f>IF($M250="","",IF($M250&gt;=1,"Completado",IF($M250&gt;0,"En curso","Pendiente")))</f>
        <v/>
      </c>
      <c r="O250" s="56">
        <f>IF(NOT((COUNTA($B250:$D250)+COUNTA($G250:$L250)+COUNTA($Q250))&gt;0),"",IF(ISNUMBER($G250),IF(AND(ISNUMBER($AN250),$G250&gt;$AN250),"Cumplida con "&amp;($G250-$AN250)&amp;IF($G250-$AN250=1," día"," días")&amp;" de retraso","Cumplida"),IF(N($M250)&gt;=1,"Cumplida",IF(NOT(ISNUMBER($AN250)),"Sin fecha límite",IF($AN250&lt;FechaRef,"Vencida hace "&amp;(FechaRef-$AN250)&amp;IF(FechaRef-$AN250=1," día"," días"),IF($AN250=FechaRef,"Vence hoy",IF($AN250-FechaRef&lt;=DiasAlerta,"Vence en "&amp;($AN250-FechaRef)&amp;IF($AN250-FechaRef=1," día"," días"),"En plazo")))))))</f>
        <v/>
      </c>
      <c r="P250" s="62" t="n"/>
      <c r="Q250" s="58" t="n"/>
      <c r="R250" s="63">
        <f>IF(NOT((COUNTA($B250:$D250)+COUNTA($G250:$L250)+COUNTA($Q250))&gt;0),"",IF((IF($C250="","Falta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",""))="","✔ OK","⚠ "&amp;LEFT(IF($C250="","Falta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",""),LEN(IF($C250="","Falta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",""))-3)))</f>
        <v/>
      </c>
      <c r="S250" s="64">
        <f>IF(NOT((COUNTA($B250:$D250)+COUNTA($G250:$L250)+COUNTA($Q250))&gt;0),"",IF(AND($V250="Sub",N($U250)&gt;0),IF(ISNUMBER(INDEX($AM$5:$AM$1000,$U250-4)),DATE(YEAR(INDEX($AM$5:$AM$1000,$U250-4)),MONTH(INDEX($AM$5:$AM$1000,$U250-4)),1),IF(ISNUMBER(INDEX($AN$5:$AN$1000,$U250-4)),DATE(YEAR(INDEX($AN$5:$AN$1000,$U250-4)),MONTH(INDEX($AN$5:$AN$1000,$U250-4)),1),MesCiclo)),IF(ISNUMBER($AM250),DATE(YEAR($AM250),MONTH($AM250),1),IF(ISNUMBER($AN250),DATE(YEAR($AN250),MONTH($AN250),1),MesCiclo))))</f>
        <v/>
      </c>
      <c r="T250" s="62">
        <f>IF(OR($S250="",$S250&lt;&gt;MesCiclo),"",COUNTIF($S$5:$S250,MesCiclo))</f>
        <v/>
      </c>
      <c r="U250" s="62">
        <f>IF($V250="","",IF($V250="Macro",ROW(),IFERROR(LOOKUP(2,1/($V$5:$V250="Macro"),ROW($V$5:$V250)),0)))</f>
        <v/>
      </c>
      <c r="V250" s="62">
        <f>IF(NOT((COUNTA($B250:$D250)+COUNTA($G250:$L250)+COUNTA($Q250))&gt;0),"",IF($B250="Subactividad","Sub","Macro"))</f>
        <v/>
      </c>
      <c r="W250" s="62">
        <f>IF($V250="Macro",COUNTIFS($U$5:$U$1000,ROW(),$V$5:$V$1000,"Sub"),"")</f>
        <v/>
      </c>
      <c r="X250" s="62">
        <f>IF($V250="","",IF(ISNUMBER($G250),1,IFERROR(LOOKUP(2,1/($I250:$L250&lt;&gt;""),$I250:$L250),0)))</f>
        <v/>
      </c>
      <c r="Y250" s="62">
        <f>IF($V250="","",IF(AND(ISNUMBER($G250),$G250&lt;=IF($S250=MesCiclo,InicioCiclo,$S250+MOD(2-WEEKDAY($S250),7))+6),1,IF(ISNUMBER($I250),$I250,0)))</f>
        <v/>
      </c>
      <c r="Z250" s="62">
        <f>IF($V250="","",IF(AND(ISNUMBER($G250),$G250&lt;=IF($S250=MesCiclo,InicioCiclo,$S250+MOD(2-WEEKDAY($S250),7))+13),1,IF(ISNUMBER($J250),$J250,$Y250)))</f>
        <v/>
      </c>
      <c r="AA250" s="62">
        <f>IF($V250="","",IF(AND(ISNUMBER($G250),$G250&lt;=IF($S250=MesCiclo,InicioCiclo,$S250+MOD(2-WEEKDAY($S250),7))+20),1,IF(ISNUMBER($K250),$K250,$Z250)))</f>
        <v/>
      </c>
      <c r="AB250" s="62">
        <f>IF($V250="","",IF(AND(ISNUMBER($G250),$G250&lt;=IF($S250=MesCiclo,InicioCiclo,$S250+MOD(2-WEEKDAY($S250),7))+27),1,IF(ISNUMBER($L250),$L250,$AA250)))</f>
        <v/>
      </c>
      <c r="AC250" s="62">
        <f>IF($V250="","",IF(AND(ISNUMBER($G250),$G250&lt;=IF($S250=MesCiclo,InicioCiclo,$S250+MOD(2-WEEKDAY($S250),7))+6),1,IF(N($W250)&gt;0,AVERAGEIFS($Y$5:$Y$1000,$U$5:$U$1000,ROW(),$V$5:$V$1000,"Sub"),$Y250)))</f>
        <v/>
      </c>
      <c r="AD250" s="62">
        <f>IF($V250="","",IF(AND(ISNUMBER($G250),$G250&lt;=IF($S250=MesCiclo,InicioCiclo,$S250+MOD(2-WEEKDAY($S250),7))+13),1,IF(N($W250)&gt;0,AVERAGEIFS($Z$5:$Z$1000,$U$5:$U$1000,ROW(),$V$5:$V$1000,"Sub"),$Z250)))</f>
        <v/>
      </c>
      <c r="AE250" s="62">
        <f>IF($V250="","",IF(AND(ISNUMBER($G250),$G250&lt;=IF($S250=MesCiclo,InicioCiclo,$S250+MOD(2-WEEKDAY($S250),7))+20),1,IF(N($W250)&gt;0,AVERAGEIFS($AA$5:$AA$1000,$U$5:$U$1000,ROW(),$V$5:$V$1000,"Sub"),$AA250)))</f>
        <v/>
      </c>
      <c r="AF250" s="62">
        <f>IF($V250="","",IF(AND(ISNUMBER($G250),$G250&lt;=IF($S250=MesCiclo,InicioCiclo,$S250+MOD(2-WEEKDAY($S250),7))+27),1,IF(N($W250)&gt;0,AVERAGEIFS($AB$5:$AB$1000,$U$5:$U$1000,ROW(),$V$5:$V$1000,"Sub"),$AB250)))</f>
        <v/>
      </c>
      <c r="AG250" s="62">
        <f>IF($V250&lt;&gt;"Macro","",IF(COUNTIFS($S$5:$S$1000,$S250,$V$5:$V$1000,"Macro",$H$5:$H$1000,"&gt;0")=0,1/COUNTIFS($S$5:$S$1000,$S250,$V$5:$V$1000,"Macro"),IF(AND(ISNUMBER($H250),N($H250)&gt;0),$H250,SUMIFS($H$5:$H$1000,$S$5:$S$1000,$S250,$V$5:$V$1000,"Macro")/COUNTIFS($S$5:$S$1000,$S250,$V$5:$V$1000,"Macro",$H$5:$H$1000,"&gt;0"))/(COUNTIFS($S$5:$S$1000,$S250,$V$5:$V$1000,"Macro")*SUMIFS($H$5:$H$1000,$S$5:$S$1000,$S250,$V$5:$V$1000,"Macro")/COUNTIFS($S$5:$S$1000,$S250,$V$5:$V$1000,"Macro",$H$5:$H$1000,"&gt;0"))))</f>
        <v/>
      </c>
      <c r="AH250" s="62" t="n"/>
      <c r="AI250" s="62" t="n"/>
      <c r="AJ250" s="62" t="n"/>
      <c r="AK250" s="62" t="n"/>
      <c r="AL250" s="62">
        <f>IF(LEFT($C250,11)="[Jefatura] ",IFERROR(MATCH("Riesgo Financiero|"&amp;MID($C250,12,500),rDname_ADM,0),0),"")</f>
        <v/>
      </c>
      <c r="AM250" s="62">
        <f>IF(N($AL250)&gt;0,INDEX(rIni_ADM,$AL250),IF(ISNUMBER($E250),$E250,""))</f>
        <v/>
      </c>
      <c r="AN250" s="62">
        <f>IF(N($AL250)&gt;0,INDEX(rLim_ADM,$AL250),IF(ISNUMBER($F250),$F250,""))</f>
        <v/>
      </c>
    </row>
    <row r="251">
      <c r="A251" s="56">
        <f>IF(NOT((COUNTA($B251:$D251)+COUNTA($G251:$L251)+COUNTA($Q251))&gt;0),"",IF($V251="Macro",COUNTIFS($V$5:$V251,"Macro",$S$5:$S251,$S251),IF(N($U251)=0,"?",COUNTIFS(INDEX($V$5:$V$1000,1):INDEX($V$5:$V$1000,$U251-4),"Macro",INDEX($S$5:$S$1000,1):INDEX($S$5:$S$1000,$U251-4),INDEX($S$5:$S$1000,$U251-4))&amp;"."&amp;COUNTIFS($U$5:$U251,$U251,$V$5:$V251,"Sub"))))</f>
        <v/>
      </c>
      <c r="B251" s="57" t="n"/>
      <c r="C251" s="58" t="n"/>
      <c r="D251" s="58" t="n"/>
      <c r="E251" s="59">
        <f>IF(N($AL251)&gt;0,INDEX(rIni_ADM,$AL251),"")</f>
        <v/>
      </c>
      <c r="F251" s="59">
        <f>IF(N($AL251)&gt;0,INDEX(rLim_ADM,$AL251),"")</f>
        <v/>
      </c>
      <c r="G251" s="59" t="n"/>
      <c r="H251" s="60" t="n"/>
      <c r="I251" s="60" t="n"/>
      <c r="J251" s="60" t="n"/>
      <c r="K251" s="60" t="n"/>
      <c r="L251" s="60" t="n"/>
      <c r="M251" s="61">
        <f>IF(NOT((COUNTA($B251:$D251)+COUNTA($G251:$L251)+COUNTA($Q251))&gt;0),"",IF(ISNUMBER($G251),1,IF(N($W251)&gt;0,AVERAGEIFS($X$5:$X$1000,$U$5:$U$1000,ROW(),$V$5:$V$1000,"Sub"),$X251)))</f>
        <v/>
      </c>
      <c r="N251" s="56">
        <f>IF($M251="","",IF($M251&gt;=1,"Completado",IF($M251&gt;0,"En curso","Pendiente")))</f>
        <v/>
      </c>
      <c r="O251" s="56">
        <f>IF(NOT((COUNTA($B251:$D251)+COUNTA($G251:$L251)+COUNTA($Q251))&gt;0),"",IF(ISNUMBER($G251),IF(AND(ISNUMBER($AN251),$G251&gt;$AN251),"Cumplida con "&amp;($G251-$AN251)&amp;IF($G251-$AN251=1," día"," días")&amp;" de retraso","Cumplida"),IF(N($M251)&gt;=1,"Cumplida",IF(NOT(ISNUMBER($AN251)),"Sin fecha límite",IF($AN251&lt;FechaRef,"Vencida hace "&amp;(FechaRef-$AN251)&amp;IF(FechaRef-$AN251=1," día"," días"),IF($AN251=FechaRef,"Vence hoy",IF($AN251-FechaRef&lt;=DiasAlerta,"Vence en "&amp;($AN251-FechaRef)&amp;IF($AN251-FechaRef=1," día"," días"),"En plazo")))))))</f>
        <v/>
      </c>
      <c r="P251" s="62" t="n"/>
      <c r="Q251" s="58" t="n"/>
      <c r="R251" s="63">
        <f>IF(NOT((COUNTA($B251:$D251)+COUNTA($G251:$L251)+COUNTA($Q251))&gt;0),"",IF((IF($C251="","Falta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",""))="","✔ OK","⚠ "&amp;LEFT(IF($C251="","Falta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",""),LEN(IF($C251="","Falta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",""))-3)))</f>
        <v/>
      </c>
      <c r="S251" s="64">
        <f>IF(NOT((COUNTA($B251:$D251)+COUNTA($G251:$L251)+COUNTA($Q251))&gt;0),"",IF(AND($V251="Sub",N($U251)&gt;0),IF(ISNUMBER(INDEX($AM$5:$AM$1000,$U251-4)),DATE(YEAR(INDEX($AM$5:$AM$1000,$U251-4)),MONTH(INDEX($AM$5:$AM$1000,$U251-4)),1),IF(ISNUMBER(INDEX($AN$5:$AN$1000,$U251-4)),DATE(YEAR(INDEX($AN$5:$AN$1000,$U251-4)),MONTH(INDEX($AN$5:$AN$1000,$U251-4)),1),MesCiclo)),IF(ISNUMBER($AM251),DATE(YEAR($AM251),MONTH($AM251),1),IF(ISNUMBER($AN251),DATE(YEAR($AN251),MONTH($AN251),1),MesCiclo))))</f>
        <v/>
      </c>
      <c r="T251" s="62">
        <f>IF(OR($S251="",$S251&lt;&gt;MesCiclo),"",COUNTIF($S$5:$S251,MesCiclo))</f>
        <v/>
      </c>
      <c r="U251" s="62">
        <f>IF($V251="","",IF($V251="Macro",ROW(),IFERROR(LOOKUP(2,1/($V$5:$V251="Macro"),ROW($V$5:$V251)),0)))</f>
        <v/>
      </c>
      <c r="V251" s="62">
        <f>IF(NOT((COUNTA($B251:$D251)+COUNTA($G251:$L251)+COUNTA($Q251))&gt;0),"",IF($B251="Subactividad","Sub","Macro"))</f>
        <v/>
      </c>
      <c r="W251" s="62">
        <f>IF($V251="Macro",COUNTIFS($U$5:$U$1000,ROW(),$V$5:$V$1000,"Sub"),"")</f>
        <v/>
      </c>
      <c r="X251" s="62">
        <f>IF($V251="","",IF(ISNUMBER($G251),1,IFERROR(LOOKUP(2,1/($I251:$L251&lt;&gt;""),$I251:$L251),0)))</f>
        <v/>
      </c>
      <c r="Y251" s="62">
        <f>IF($V251="","",IF(AND(ISNUMBER($G251),$G251&lt;=IF($S251=MesCiclo,InicioCiclo,$S251+MOD(2-WEEKDAY($S251),7))+6),1,IF(ISNUMBER($I251),$I251,0)))</f>
        <v/>
      </c>
      <c r="Z251" s="62">
        <f>IF($V251="","",IF(AND(ISNUMBER($G251),$G251&lt;=IF($S251=MesCiclo,InicioCiclo,$S251+MOD(2-WEEKDAY($S251),7))+13),1,IF(ISNUMBER($J251),$J251,$Y251)))</f>
        <v/>
      </c>
      <c r="AA251" s="62">
        <f>IF($V251="","",IF(AND(ISNUMBER($G251),$G251&lt;=IF($S251=MesCiclo,InicioCiclo,$S251+MOD(2-WEEKDAY($S251),7))+20),1,IF(ISNUMBER($K251),$K251,$Z251)))</f>
        <v/>
      </c>
      <c r="AB251" s="62">
        <f>IF($V251="","",IF(AND(ISNUMBER($G251),$G251&lt;=IF($S251=MesCiclo,InicioCiclo,$S251+MOD(2-WEEKDAY($S251),7))+27),1,IF(ISNUMBER($L251),$L251,$AA251)))</f>
        <v/>
      </c>
      <c r="AC251" s="62">
        <f>IF($V251="","",IF(AND(ISNUMBER($G251),$G251&lt;=IF($S251=MesCiclo,InicioCiclo,$S251+MOD(2-WEEKDAY($S251),7))+6),1,IF(N($W251)&gt;0,AVERAGEIFS($Y$5:$Y$1000,$U$5:$U$1000,ROW(),$V$5:$V$1000,"Sub"),$Y251)))</f>
        <v/>
      </c>
      <c r="AD251" s="62">
        <f>IF($V251="","",IF(AND(ISNUMBER($G251),$G251&lt;=IF($S251=MesCiclo,InicioCiclo,$S251+MOD(2-WEEKDAY($S251),7))+13),1,IF(N($W251)&gt;0,AVERAGEIFS($Z$5:$Z$1000,$U$5:$U$1000,ROW(),$V$5:$V$1000,"Sub"),$Z251)))</f>
        <v/>
      </c>
      <c r="AE251" s="62">
        <f>IF($V251="","",IF(AND(ISNUMBER($G251),$G251&lt;=IF($S251=MesCiclo,InicioCiclo,$S251+MOD(2-WEEKDAY($S251),7))+20),1,IF(N($W251)&gt;0,AVERAGEIFS($AA$5:$AA$1000,$U$5:$U$1000,ROW(),$V$5:$V$1000,"Sub"),$AA251)))</f>
        <v/>
      </c>
      <c r="AF251" s="62">
        <f>IF($V251="","",IF(AND(ISNUMBER($G251),$G251&lt;=IF($S251=MesCiclo,InicioCiclo,$S251+MOD(2-WEEKDAY($S251),7))+27),1,IF(N($W251)&gt;0,AVERAGEIFS($AB$5:$AB$1000,$U$5:$U$1000,ROW(),$V$5:$V$1000,"Sub"),$AB251)))</f>
        <v/>
      </c>
      <c r="AG251" s="62">
        <f>IF($V251&lt;&gt;"Macro","",IF(COUNTIFS($S$5:$S$1000,$S251,$V$5:$V$1000,"Macro",$H$5:$H$1000,"&gt;0")=0,1/COUNTIFS($S$5:$S$1000,$S251,$V$5:$V$1000,"Macro"),IF(AND(ISNUMBER($H251),N($H251)&gt;0),$H251,SUMIFS($H$5:$H$1000,$S$5:$S$1000,$S251,$V$5:$V$1000,"Macro")/COUNTIFS($S$5:$S$1000,$S251,$V$5:$V$1000,"Macro",$H$5:$H$1000,"&gt;0"))/(COUNTIFS($S$5:$S$1000,$S251,$V$5:$V$1000,"Macro")*SUMIFS($H$5:$H$1000,$S$5:$S$1000,$S251,$V$5:$V$1000,"Macro")/COUNTIFS($S$5:$S$1000,$S251,$V$5:$V$1000,"Macro",$H$5:$H$1000,"&gt;0"))))</f>
        <v/>
      </c>
      <c r="AH251" s="62" t="n"/>
      <c r="AI251" s="62" t="n"/>
      <c r="AJ251" s="62" t="n"/>
      <c r="AK251" s="62" t="n"/>
      <c r="AL251" s="62">
        <f>IF(LEFT($C251,11)="[Jefatura] ",IFERROR(MATCH("Riesgo Financiero|"&amp;MID($C251,12,500),rDname_ADM,0),0),"")</f>
        <v/>
      </c>
      <c r="AM251" s="62">
        <f>IF(N($AL251)&gt;0,INDEX(rIni_ADM,$AL251),IF(ISNUMBER($E251),$E251,""))</f>
        <v/>
      </c>
      <c r="AN251" s="62">
        <f>IF(N($AL251)&gt;0,INDEX(rLim_ADM,$AL251),IF(ISNUMBER($F251),$F251,""))</f>
        <v/>
      </c>
    </row>
    <row r="252">
      <c r="A252" s="56">
        <f>IF(NOT((COUNTA($B252:$D252)+COUNTA($G252:$L252)+COUNTA($Q252))&gt;0),"",IF($V252="Macro",COUNTIFS($V$5:$V252,"Macro",$S$5:$S252,$S252),IF(N($U252)=0,"?",COUNTIFS(INDEX($V$5:$V$1000,1):INDEX($V$5:$V$1000,$U252-4),"Macro",INDEX($S$5:$S$1000,1):INDEX($S$5:$S$1000,$U252-4),INDEX($S$5:$S$1000,$U252-4))&amp;"."&amp;COUNTIFS($U$5:$U252,$U252,$V$5:$V252,"Sub"))))</f>
        <v/>
      </c>
      <c r="B252" s="57" t="n"/>
      <c r="C252" s="58" t="n"/>
      <c r="D252" s="58" t="n"/>
      <c r="E252" s="59">
        <f>IF(N($AL252)&gt;0,INDEX(rIni_ADM,$AL252),"")</f>
        <v/>
      </c>
      <c r="F252" s="59">
        <f>IF(N($AL252)&gt;0,INDEX(rLim_ADM,$AL252),"")</f>
        <v/>
      </c>
      <c r="G252" s="59" t="n"/>
      <c r="H252" s="60" t="n"/>
      <c r="I252" s="60" t="n"/>
      <c r="J252" s="60" t="n"/>
      <c r="K252" s="60" t="n"/>
      <c r="L252" s="60" t="n"/>
      <c r="M252" s="61">
        <f>IF(NOT((COUNTA($B252:$D252)+COUNTA($G252:$L252)+COUNTA($Q252))&gt;0),"",IF(ISNUMBER($G252),1,IF(N($W252)&gt;0,AVERAGEIFS($X$5:$X$1000,$U$5:$U$1000,ROW(),$V$5:$V$1000,"Sub"),$X252)))</f>
        <v/>
      </c>
      <c r="N252" s="56">
        <f>IF($M252="","",IF($M252&gt;=1,"Completado",IF($M252&gt;0,"En curso","Pendiente")))</f>
        <v/>
      </c>
      <c r="O252" s="56">
        <f>IF(NOT((COUNTA($B252:$D252)+COUNTA($G252:$L252)+COUNTA($Q252))&gt;0),"",IF(ISNUMBER($G252),IF(AND(ISNUMBER($AN252),$G252&gt;$AN252),"Cumplida con "&amp;($G252-$AN252)&amp;IF($G252-$AN252=1," día"," días")&amp;" de retraso","Cumplida"),IF(N($M252)&gt;=1,"Cumplida",IF(NOT(ISNUMBER($AN252)),"Sin fecha límite",IF($AN252&lt;FechaRef,"Vencida hace "&amp;(FechaRef-$AN252)&amp;IF(FechaRef-$AN252=1," día"," días"),IF($AN252=FechaRef,"Vence hoy",IF($AN252-FechaRef&lt;=DiasAlerta,"Vence en "&amp;($AN252-FechaRef)&amp;IF($AN252-FechaRef=1," día"," días"),"En plazo")))))))</f>
        <v/>
      </c>
      <c r="P252" s="62" t="n"/>
      <c r="Q252" s="58" t="n"/>
      <c r="R252" s="63">
        <f>IF(NOT((COUNTA($B252:$D252)+COUNTA($G252:$L252)+COUNTA($Q252))&gt;0),"",IF((IF($C252="","Falta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",""))="","✔ OK","⚠ "&amp;LEFT(IF($C252="","Falta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",""),LEN(IF($C252="","Falta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",""))-3)))</f>
        <v/>
      </c>
      <c r="S252" s="64">
        <f>IF(NOT((COUNTA($B252:$D252)+COUNTA($G252:$L252)+COUNTA($Q252))&gt;0),"",IF(AND($V252="Sub",N($U252)&gt;0),IF(ISNUMBER(INDEX($AM$5:$AM$1000,$U252-4)),DATE(YEAR(INDEX($AM$5:$AM$1000,$U252-4)),MONTH(INDEX($AM$5:$AM$1000,$U252-4)),1),IF(ISNUMBER(INDEX($AN$5:$AN$1000,$U252-4)),DATE(YEAR(INDEX($AN$5:$AN$1000,$U252-4)),MONTH(INDEX($AN$5:$AN$1000,$U252-4)),1),MesCiclo)),IF(ISNUMBER($AM252),DATE(YEAR($AM252),MONTH($AM252),1),IF(ISNUMBER($AN252),DATE(YEAR($AN252),MONTH($AN252),1),MesCiclo))))</f>
        <v/>
      </c>
      <c r="T252" s="62">
        <f>IF(OR($S252="",$S252&lt;&gt;MesCiclo),"",COUNTIF($S$5:$S252,MesCiclo))</f>
        <v/>
      </c>
      <c r="U252" s="62">
        <f>IF($V252="","",IF($V252="Macro",ROW(),IFERROR(LOOKUP(2,1/($V$5:$V252="Macro"),ROW($V$5:$V252)),0)))</f>
        <v/>
      </c>
      <c r="V252" s="62">
        <f>IF(NOT((COUNTA($B252:$D252)+COUNTA($G252:$L252)+COUNTA($Q252))&gt;0),"",IF($B252="Subactividad","Sub","Macro"))</f>
        <v/>
      </c>
      <c r="W252" s="62">
        <f>IF($V252="Macro",COUNTIFS($U$5:$U$1000,ROW(),$V$5:$V$1000,"Sub"),"")</f>
        <v/>
      </c>
      <c r="X252" s="62">
        <f>IF($V252="","",IF(ISNUMBER($G252),1,IFERROR(LOOKUP(2,1/($I252:$L252&lt;&gt;""),$I252:$L252),0)))</f>
        <v/>
      </c>
      <c r="Y252" s="62">
        <f>IF($V252="","",IF(AND(ISNUMBER($G252),$G252&lt;=IF($S252=MesCiclo,InicioCiclo,$S252+MOD(2-WEEKDAY($S252),7))+6),1,IF(ISNUMBER($I252),$I252,0)))</f>
        <v/>
      </c>
      <c r="Z252" s="62">
        <f>IF($V252="","",IF(AND(ISNUMBER($G252),$G252&lt;=IF($S252=MesCiclo,InicioCiclo,$S252+MOD(2-WEEKDAY($S252),7))+13),1,IF(ISNUMBER($J252),$J252,$Y252)))</f>
        <v/>
      </c>
      <c r="AA252" s="62">
        <f>IF($V252="","",IF(AND(ISNUMBER($G252),$G252&lt;=IF($S252=MesCiclo,InicioCiclo,$S252+MOD(2-WEEKDAY($S252),7))+20),1,IF(ISNUMBER($K252),$K252,$Z252)))</f>
        <v/>
      </c>
      <c r="AB252" s="62">
        <f>IF($V252="","",IF(AND(ISNUMBER($G252),$G252&lt;=IF($S252=MesCiclo,InicioCiclo,$S252+MOD(2-WEEKDAY($S252),7))+27),1,IF(ISNUMBER($L252),$L252,$AA252)))</f>
        <v/>
      </c>
      <c r="AC252" s="62">
        <f>IF($V252="","",IF(AND(ISNUMBER($G252),$G252&lt;=IF($S252=MesCiclo,InicioCiclo,$S252+MOD(2-WEEKDAY($S252),7))+6),1,IF(N($W252)&gt;0,AVERAGEIFS($Y$5:$Y$1000,$U$5:$U$1000,ROW(),$V$5:$V$1000,"Sub"),$Y252)))</f>
        <v/>
      </c>
      <c r="AD252" s="62">
        <f>IF($V252="","",IF(AND(ISNUMBER($G252),$G252&lt;=IF($S252=MesCiclo,InicioCiclo,$S252+MOD(2-WEEKDAY($S252),7))+13),1,IF(N($W252)&gt;0,AVERAGEIFS($Z$5:$Z$1000,$U$5:$U$1000,ROW(),$V$5:$V$1000,"Sub"),$Z252)))</f>
        <v/>
      </c>
      <c r="AE252" s="62">
        <f>IF($V252="","",IF(AND(ISNUMBER($G252),$G252&lt;=IF($S252=MesCiclo,InicioCiclo,$S252+MOD(2-WEEKDAY($S252),7))+20),1,IF(N($W252)&gt;0,AVERAGEIFS($AA$5:$AA$1000,$U$5:$U$1000,ROW(),$V$5:$V$1000,"Sub"),$AA252)))</f>
        <v/>
      </c>
      <c r="AF252" s="62">
        <f>IF($V252="","",IF(AND(ISNUMBER($G252),$G252&lt;=IF($S252=MesCiclo,InicioCiclo,$S252+MOD(2-WEEKDAY($S252),7))+27),1,IF(N($W252)&gt;0,AVERAGEIFS($AB$5:$AB$1000,$U$5:$U$1000,ROW(),$V$5:$V$1000,"Sub"),$AB252)))</f>
        <v/>
      </c>
      <c r="AG252" s="62">
        <f>IF($V252&lt;&gt;"Macro","",IF(COUNTIFS($S$5:$S$1000,$S252,$V$5:$V$1000,"Macro",$H$5:$H$1000,"&gt;0")=0,1/COUNTIFS($S$5:$S$1000,$S252,$V$5:$V$1000,"Macro"),IF(AND(ISNUMBER($H252),N($H252)&gt;0),$H252,SUMIFS($H$5:$H$1000,$S$5:$S$1000,$S252,$V$5:$V$1000,"Macro")/COUNTIFS($S$5:$S$1000,$S252,$V$5:$V$1000,"Macro",$H$5:$H$1000,"&gt;0"))/(COUNTIFS($S$5:$S$1000,$S252,$V$5:$V$1000,"Macro")*SUMIFS($H$5:$H$1000,$S$5:$S$1000,$S252,$V$5:$V$1000,"Macro")/COUNTIFS($S$5:$S$1000,$S252,$V$5:$V$1000,"Macro",$H$5:$H$1000,"&gt;0"))))</f>
        <v/>
      </c>
      <c r="AH252" s="62" t="n"/>
      <c r="AI252" s="62" t="n"/>
      <c r="AJ252" s="62" t="n"/>
      <c r="AK252" s="62" t="n"/>
      <c r="AL252" s="62">
        <f>IF(LEFT($C252,11)="[Jefatura] ",IFERROR(MATCH("Riesgo Financiero|"&amp;MID($C252,12,500),rDname_ADM,0),0),"")</f>
        <v/>
      </c>
      <c r="AM252" s="62">
        <f>IF(N($AL252)&gt;0,INDEX(rIni_ADM,$AL252),IF(ISNUMBER($E252),$E252,""))</f>
        <v/>
      </c>
      <c r="AN252" s="62">
        <f>IF(N($AL252)&gt;0,INDEX(rLim_ADM,$AL252),IF(ISNUMBER($F252),$F252,""))</f>
        <v/>
      </c>
    </row>
    <row r="253">
      <c r="A253" s="56">
        <f>IF(NOT((COUNTA($B253:$D253)+COUNTA($G253:$L253)+COUNTA($Q253))&gt;0),"",IF($V253="Macro",COUNTIFS($V$5:$V253,"Macro",$S$5:$S253,$S253),IF(N($U253)=0,"?",COUNTIFS(INDEX($V$5:$V$1000,1):INDEX($V$5:$V$1000,$U253-4),"Macro",INDEX($S$5:$S$1000,1):INDEX($S$5:$S$1000,$U253-4),INDEX($S$5:$S$1000,$U253-4))&amp;"."&amp;COUNTIFS($U$5:$U253,$U253,$V$5:$V253,"Sub"))))</f>
        <v/>
      </c>
      <c r="B253" s="57" t="n"/>
      <c r="C253" s="58" t="n"/>
      <c r="D253" s="58" t="n"/>
      <c r="E253" s="59">
        <f>IF(N($AL253)&gt;0,INDEX(rIni_ADM,$AL253),"")</f>
        <v/>
      </c>
      <c r="F253" s="59">
        <f>IF(N($AL253)&gt;0,INDEX(rLim_ADM,$AL253),"")</f>
        <v/>
      </c>
      <c r="G253" s="59" t="n"/>
      <c r="H253" s="60" t="n"/>
      <c r="I253" s="60" t="n"/>
      <c r="J253" s="60" t="n"/>
      <c r="K253" s="60" t="n"/>
      <c r="L253" s="60" t="n"/>
      <c r="M253" s="61">
        <f>IF(NOT((COUNTA($B253:$D253)+COUNTA($G253:$L253)+COUNTA($Q253))&gt;0),"",IF(ISNUMBER($G253),1,IF(N($W253)&gt;0,AVERAGEIFS($X$5:$X$1000,$U$5:$U$1000,ROW(),$V$5:$V$1000,"Sub"),$X253)))</f>
        <v/>
      </c>
      <c r="N253" s="56">
        <f>IF($M253="","",IF($M253&gt;=1,"Completado",IF($M253&gt;0,"En curso","Pendiente")))</f>
        <v/>
      </c>
      <c r="O253" s="56">
        <f>IF(NOT((COUNTA($B253:$D253)+COUNTA($G253:$L253)+COUNTA($Q253))&gt;0),"",IF(ISNUMBER($G253),IF(AND(ISNUMBER($AN253),$G253&gt;$AN253),"Cumplida con "&amp;($G253-$AN253)&amp;IF($G253-$AN253=1," día"," días")&amp;" de retraso","Cumplida"),IF(N($M253)&gt;=1,"Cumplida",IF(NOT(ISNUMBER($AN253)),"Sin fecha límite",IF($AN253&lt;FechaRef,"Vencida hace "&amp;(FechaRef-$AN253)&amp;IF(FechaRef-$AN253=1," día"," días"),IF($AN253=FechaRef,"Vence hoy",IF($AN253-FechaRef&lt;=DiasAlerta,"Vence en "&amp;($AN253-FechaRef)&amp;IF($AN253-FechaRef=1," día"," días"),"En plazo")))))))</f>
        <v/>
      </c>
      <c r="P253" s="62" t="n"/>
      <c r="Q253" s="58" t="n"/>
      <c r="R253" s="63">
        <f>IF(NOT((COUNTA($B253:$D253)+COUNTA($G253:$L253)+COUNTA($Q253))&gt;0),"",IF((IF($C253="","Falta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",""))="","✔ OK","⚠ "&amp;LEFT(IF($C253="","Falta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",""),LEN(IF($C253="","Falta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",""))-3)))</f>
        <v/>
      </c>
      <c r="S253" s="64">
        <f>IF(NOT((COUNTA($B253:$D253)+COUNTA($G253:$L253)+COUNTA($Q253))&gt;0),"",IF(AND($V253="Sub",N($U253)&gt;0),IF(ISNUMBER(INDEX($AM$5:$AM$1000,$U253-4)),DATE(YEAR(INDEX($AM$5:$AM$1000,$U253-4)),MONTH(INDEX($AM$5:$AM$1000,$U253-4)),1),IF(ISNUMBER(INDEX($AN$5:$AN$1000,$U253-4)),DATE(YEAR(INDEX($AN$5:$AN$1000,$U253-4)),MONTH(INDEX($AN$5:$AN$1000,$U253-4)),1),MesCiclo)),IF(ISNUMBER($AM253),DATE(YEAR($AM253),MONTH($AM253),1),IF(ISNUMBER($AN253),DATE(YEAR($AN253),MONTH($AN253),1),MesCiclo))))</f>
        <v/>
      </c>
      <c r="T253" s="62">
        <f>IF(OR($S253="",$S253&lt;&gt;MesCiclo),"",COUNTIF($S$5:$S253,MesCiclo))</f>
        <v/>
      </c>
      <c r="U253" s="62">
        <f>IF($V253="","",IF($V253="Macro",ROW(),IFERROR(LOOKUP(2,1/($V$5:$V253="Macro"),ROW($V$5:$V253)),0)))</f>
        <v/>
      </c>
      <c r="V253" s="62">
        <f>IF(NOT((COUNTA($B253:$D253)+COUNTA($G253:$L253)+COUNTA($Q253))&gt;0),"",IF($B253="Subactividad","Sub","Macro"))</f>
        <v/>
      </c>
      <c r="W253" s="62">
        <f>IF($V253="Macro",COUNTIFS($U$5:$U$1000,ROW(),$V$5:$V$1000,"Sub"),"")</f>
        <v/>
      </c>
      <c r="X253" s="62">
        <f>IF($V253="","",IF(ISNUMBER($G253),1,IFERROR(LOOKUP(2,1/($I253:$L253&lt;&gt;""),$I253:$L253),0)))</f>
        <v/>
      </c>
      <c r="Y253" s="62">
        <f>IF($V253="","",IF(AND(ISNUMBER($G253),$G253&lt;=IF($S253=MesCiclo,InicioCiclo,$S253+MOD(2-WEEKDAY($S253),7))+6),1,IF(ISNUMBER($I253),$I253,0)))</f>
        <v/>
      </c>
      <c r="Z253" s="62">
        <f>IF($V253="","",IF(AND(ISNUMBER($G253),$G253&lt;=IF($S253=MesCiclo,InicioCiclo,$S253+MOD(2-WEEKDAY($S253),7))+13),1,IF(ISNUMBER($J253),$J253,$Y253)))</f>
        <v/>
      </c>
      <c r="AA253" s="62">
        <f>IF($V253="","",IF(AND(ISNUMBER($G253),$G253&lt;=IF($S253=MesCiclo,InicioCiclo,$S253+MOD(2-WEEKDAY($S253),7))+20),1,IF(ISNUMBER($K253),$K253,$Z253)))</f>
        <v/>
      </c>
      <c r="AB253" s="62">
        <f>IF($V253="","",IF(AND(ISNUMBER($G253),$G253&lt;=IF($S253=MesCiclo,InicioCiclo,$S253+MOD(2-WEEKDAY($S253),7))+27),1,IF(ISNUMBER($L253),$L253,$AA253)))</f>
        <v/>
      </c>
      <c r="AC253" s="62">
        <f>IF($V253="","",IF(AND(ISNUMBER($G253),$G253&lt;=IF($S253=MesCiclo,InicioCiclo,$S253+MOD(2-WEEKDAY($S253),7))+6),1,IF(N($W253)&gt;0,AVERAGEIFS($Y$5:$Y$1000,$U$5:$U$1000,ROW(),$V$5:$V$1000,"Sub"),$Y253)))</f>
        <v/>
      </c>
      <c r="AD253" s="62">
        <f>IF($V253="","",IF(AND(ISNUMBER($G253),$G253&lt;=IF($S253=MesCiclo,InicioCiclo,$S253+MOD(2-WEEKDAY($S253),7))+13),1,IF(N($W253)&gt;0,AVERAGEIFS($Z$5:$Z$1000,$U$5:$U$1000,ROW(),$V$5:$V$1000,"Sub"),$Z253)))</f>
        <v/>
      </c>
      <c r="AE253" s="62">
        <f>IF($V253="","",IF(AND(ISNUMBER($G253),$G253&lt;=IF($S253=MesCiclo,InicioCiclo,$S253+MOD(2-WEEKDAY($S253),7))+20),1,IF(N($W253)&gt;0,AVERAGEIFS($AA$5:$AA$1000,$U$5:$U$1000,ROW(),$V$5:$V$1000,"Sub"),$AA253)))</f>
        <v/>
      </c>
      <c r="AF253" s="62">
        <f>IF($V253="","",IF(AND(ISNUMBER($G253),$G253&lt;=IF($S253=MesCiclo,InicioCiclo,$S253+MOD(2-WEEKDAY($S253),7))+27),1,IF(N($W253)&gt;0,AVERAGEIFS($AB$5:$AB$1000,$U$5:$U$1000,ROW(),$V$5:$V$1000,"Sub"),$AB253)))</f>
        <v/>
      </c>
      <c r="AG253" s="62">
        <f>IF($V253&lt;&gt;"Macro","",IF(COUNTIFS($S$5:$S$1000,$S253,$V$5:$V$1000,"Macro",$H$5:$H$1000,"&gt;0")=0,1/COUNTIFS($S$5:$S$1000,$S253,$V$5:$V$1000,"Macro"),IF(AND(ISNUMBER($H253),N($H253)&gt;0),$H253,SUMIFS($H$5:$H$1000,$S$5:$S$1000,$S253,$V$5:$V$1000,"Macro")/COUNTIFS($S$5:$S$1000,$S253,$V$5:$V$1000,"Macro",$H$5:$H$1000,"&gt;0"))/(COUNTIFS($S$5:$S$1000,$S253,$V$5:$V$1000,"Macro")*SUMIFS($H$5:$H$1000,$S$5:$S$1000,$S253,$V$5:$V$1000,"Macro")/COUNTIFS($S$5:$S$1000,$S253,$V$5:$V$1000,"Macro",$H$5:$H$1000,"&gt;0"))))</f>
        <v/>
      </c>
      <c r="AH253" s="62" t="n"/>
      <c r="AI253" s="62" t="n"/>
      <c r="AJ253" s="62" t="n"/>
      <c r="AK253" s="62" t="n"/>
      <c r="AL253" s="62">
        <f>IF(LEFT($C253,11)="[Jefatura] ",IFERROR(MATCH("Riesgo Financiero|"&amp;MID($C253,12,500),rDname_ADM,0),0),"")</f>
        <v/>
      </c>
      <c r="AM253" s="62">
        <f>IF(N($AL253)&gt;0,INDEX(rIni_ADM,$AL253),IF(ISNUMBER($E253),$E253,""))</f>
        <v/>
      </c>
      <c r="AN253" s="62">
        <f>IF(N($AL253)&gt;0,INDEX(rLim_ADM,$AL253),IF(ISNUMBER($F253),$F253,""))</f>
        <v/>
      </c>
    </row>
    <row r="254">
      <c r="A254" s="56">
        <f>IF(NOT((COUNTA($B254:$D254)+COUNTA($G254:$L254)+COUNTA($Q254))&gt;0),"",IF($V254="Macro",COUNTIFS($V$5:$V254,"Macro",$S$5:$S254,$S254),IF(N($U254)=0,"?",COUNTIFS(INDEX($V$5:$V$1000,1):INDEX($V$5:$V$1000,$U254-4),"Macro",INDEX($S$5:$S$1000,1):INDEX($S$5:$S$1000,$U254-4),INDEX($S$5:$S$1000,$U254-4))&amp;"."&amp;COUNTIFS($U$5:$U254,$U254,$V$5:$V254,"Sub"))))</f>
        <v/>
      </c>
      <c r="B254" s="57" t="n"/>
      <c r="C254" s="58" t="n"/>
      <c r="D254" s="58" t="n"/>
      <c r="E254" s="59">
        <f>IF(N($AL254)&gt;0,INDEX(rIni_ADM,$AL254),"")</f>
        <v/>
      </c>
      <c r="F254" s="59">
        <f>IF(N($AL254)&gt;0,INDEX(rLim_ADM,$AL254),"")</f>
        <v/>
      </c>
      <c r="G254" s="59" t="n"/>
      <c r="H254" s="60" t="n"/>
      <c r="I254" s="60" t="n"/>
      <c r="J254" s="60" t="n"/>
      <c r="K254" s="60" t="n"/>
      <c r="L254" s="60" t="n"/>
      <c r="M254" s="61">
        <f>IF(NOT((COUNTA($B254:$D254)+COUNTA($G254:$L254)+COUNTA($Q254))&gt;0),"",IF(ISNUMBER($G254),1,IF(N($W254)&gt;0,AVERAGEIFS($X$5:$X$1000,$U$5:$U$1000,ROW(),$V$5:$V$1000,"Sub"),$X254)))</f>
        <v/>
      </c>
      <c r="N254" s="56">
        <f>IF($M254="","",IF($M254&gt;=1,"Completado",IF($M254&gt;0,"En curso","Pendiente")))</f>
        <v/>
      </c>
      <c r="O254" s="56">
        <f>IF(NOT((COUNTA($B254:$D254)+COUNTA($G254:$L254)+COUNTA($Q254))&gt;0),"",IF(ISNUMBER($G254),IF(AND(ISNUMBER($AN254),$G254&gt;$AN254),"Cumplida con "&amp;($G254-$AN254)&amp;IF($G254-$AN254=1," día"," días")&amp;" de retraso","Cumplida"),IF(N($M254)&gt;=1,"Cumplida",IF(NOT(ISNUMBER($AN254)),"Sin fecha límite",IF($AN254&lt;FechaRef,"Vencida hace "&amp;(FechaRef-$AN254)&amp;IF(FechaRef-$AN254=1," día"," días"),IF($AN254=FechaRef,"Vence hoy",IF($AN254-FechaRef&lt;=DiasAlerta,"Vence en "&amp;($AN254-FechaRef)&amp;IF($AN254-FechaRef=1," día"," días"),"En plazo")))))))</f>
        <v/>
      </c>
      <c r="P254" s="62" t="n"/>
      <c r="Q254" s="58" t="n"/>
      <c r="R254" s="63">
        <f>IF(NOT((COUNTA($B254:$D254)+COUNTA($G254:$L254)+COUNTA($Q254))&gt;0),"",IF((IF($C254="","Falta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",""))="","✔ OK","⚠ "&amp;LEFT(IF($C254="","Falta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",""),LEN(IF($C254="","Falta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",""))-3)))</f>
        <v/>
      </c>
      <c r="S254" s="64">
        <f>IF(NOT((COUNTA($B254:$D254)+COUNTA($G254:$L254)+COUNTA($Q254))&gt;0),"",IF(AND($V254="Sub",N($U254)&gt;0),IF(ISNUMBER(INDEX($AM$5:$AM$1000,$U254-4)),DATE(YEAR(INDEX($AM$5:$AM$1000,$U254-4)),MONTH(INDEX($AM$5:$AM$1000,$U254-4)),1),IF(ISNUMBER(INDEX($AN$5:$AN$1000,$U254-4)),DATE(YEAR(INDEX($AN$5:$AN$1000,$U254-4)),MONTH(INDEX($AN$5:$AN$1000,$U254-4)),1),MesCiclo)),IF(ISNUMBER($AM254),DATE(YEAR($AM254),MONTH($AM254),1),IF(ISNUMBER($AN254),DATE(YEAR($AN254),MONTH($AN254),1),MesCiclo))))</f>
        <v/>
      </c>
      <c r="T254" s="62">
        <f>IF(OR($S254="",$S254&lt;&gt;MesCiclo),"",COUNTIF($S$5:$S254,MesCiclo))</f>
        <v/>
      </c>
      <c r="U254" s="62">
        <f>IF($V254="","",IF($V254="Macro",ROW(),IFERROR(LOOKUP(2,1/($V$5:$V254="Macro"),ROW($V$5:$V254)),0)))</f>
        <v/>
      </c>
      <c r="V254" s="62">
        <f>IF(NOT((COUNTA($B254:$D254)+COUNTA($G254:$L254)+COUNTA($Q254))&gt;0),"",IF($B254="Subactividad","Sub","Macro"))</f>
        <v/>
      </c>
      <c r="W254" s="62">
        <f>IF($V254="Macro",COUNTIFS($U$5:$U$1000,ROW(),$V$5:$V$1000,"Sub"),"")</f>
        <v/>
      </c>
      <c r="X254" s="62">
        <f>IF($V254="","",IF(ISNUMBER($G254),1,IFERROR(LOOKUP(2,1/($I254:$L254&lt;&gt;""),$I254:$L254),0)))</f>
        <v/>
      </c>
      <c r="Y254" s="62">
        <f>IF($V254="","",IF(AND(ISNUMBER($G254),$G254&lt;=IF($S254=MesCiclo,InicioCiclo,$S254+MOD(2-WEEKDAY($S254),7))+6),1,IF(ISNUMBER($I254),$I254,0)))</f>
        <v/>
      </c>
      <c r="Z254" s="62">
        <f>IF($V254="","",IF(AND(ISNUMBER($G254),$G254&lt;=IF($S254=MesCiclo,InicioCiclo,$S254+MOD(2-WEEKDAY($S254),7))+13),1,IF(ISNUMBER($J254),$J254,$Y254)))</f>
        <v/>
      </c>
      <c r="AA254" s="62">
        <f>IF($V254="","",IF(AND(ISNUMBER($G254),$G254&lt;=IF($S254=MesCiclo,InicioCiclo,$S254+MOD(2-WEEKDAY($S254),7))+20),1,IF(ISNUMBER($K254),$K254,$Z254)))</f>
        <v/>
      </c>
      <c r="AB254" s="62">
        <f>IF($V254="","",IF(AND(ISNUMBER($G254),$G254&lt;=IF($S254=MesCiclo,InicioCiclo,$S254+MOD(2-WEEKDAY($S254),7))+27),1,IF(ISNUMBER($L254),$L254,$AA254)))</f>
        <v/>
      </c>
      <c r="AC254" s="62">
        <f>IF($V254="","",IF(AND(ISNUMBER($G254),$G254&lt;=IF($S254=MesCiclo,InicioCiclo,$S254+MOD(2-WEEKDAY($S254),7))+6),1,IF(N($W254)&gt;0,AVERAGEIFS($Y$5:$Y$1000,$U$5:$U$1000,ROW(),$V$5:$V$1000,"Sub"),$Y254)))</f>
        <v/>
      </c>
      <c r="AD254" s="62">
        <f>IF($V254="","",IF(AND(ISNUMBER($G254),$G254&lt;=IF($S254=MesCiclo,InicioCiclo,$S254+MOD(2-WEEKDAY($S254),7))+13),1,IF(N($W254)&gt;0,AVERAGEIFS($Z$5:$Z$1000,$U$5:$U$1000,ROW(),$V$5:$V$1000,"Sub"),$Z254)))</f>
        <v/>
      </c>
      <c r="AE254" s="62">
        <f>IF($V254="","",IF(AND(ISNUMBER($G254),$G254&lt;=IF($S254=MesCiclo,InicioCiclo,$S254+MOD(2-WEEKDAY($S254),7))+20),1,IF(N($W254)&gt;0,AVERAGEIFS($AA$5:$AA$1000,$U$5:$U$1000,ROW(),$V$5:$V$1000,"Sub"),$AA254)))</f>
        <v/>
      </c>
      <c r="AF254" s="62">
        <f>IF($V254="","",IF(AND(ISNUMBER($G254),$G254&lt;=IF($S254=MesCiclo,InicioCiclo,$S254+MOD(2-WEEKDAY($S254),7))+27),1,IF(N($W254)&gt;0,AVERAGEIFS($AB$5:$AB$1000,$U$5:$U$1000,ROW(),$V$5:$V$1000,"Sub"),$AB254)))</f>
        <v/>
      </c>
      <c r="AG254" s="62">
        <f>IF($V254&lt;&gt;"Macro","",IF(COUNTIFS($S$5:$S$1000,$S254,$V$5:$V$1000,"Macro",$H$5:$H$1000,"&gt;0")=0,1/COUNTIFS($S$5:$S$1000,$S254,$V$5:$V$1000,"Macro"),IF(AND(ISNUMBER($H254),N($H254)&gt;0),$H254,SUMIFS($H$5:$H$1000,$S$5:$S$1000,$S254,$V$5:$V$1000,"Macro")/COUNTIFS($S$5:$S$1000,$S254,$V$5:$V$1000,"Macro",$H$5:$H$1000,"&gt;0"))/(COUNTIFS($S$5:$S$1000,$S254,$V$5:$V$1000,"Macro")*SUMIFS($H$5:$H$1000,$S$5:$S$1000,$S254,$V$5:$V$1000,"Macro")/COUNTIFS($S$5:$S$1000,$S254,$V$5:$V$1000,"Macro",$H$5:$H$1000,"&gt;0"))))</f>
        <v/>
      </c>
      <c r="AH254" s="62" t="n"/>
      <c r="AI254" s="62" t="n"/>
      <c r="AJ254" s="62" t="n"/>
      <c r="AK254" s="62" t="n"/>
      <c r="AL254" s="62">
        <f>IF(LEFT($C254,11)="[Jefatura] ",IFERROR(MATCH("Riesgo Financiero|"&amp;MID($C254,12,500),rDname_ADM,0),0),"")</f>
        <v/>
      </c>
      <c r="AM254" s="62">
        <f>IF(N($AL254)&gt;0,INDEX(rIni_ADM,$AL254),IF(ISNUMBER($E254),$E254,""))</f>
        <v/>
      </c>
      <c r="AN254" s="62">
        <f>IF(N($AL254)&gt;0,INDEX(rLim_ADM,$AL254),IF(ISNUMBER($F254),$F254,""))</f>
        <v/>
      </c>
    </row>
    <row r="255">
      <c r="A255" s="56">
        <f>IF(NOT((COUNTA($B255:$D255)+COUNTA($G255:$L255)+COUNTA($Q255))&gt;0),"",IF($V255="Macro",COUNTIFS($V$5:$V255,"Macro",$S$5:$S255,$S255),IF(N($U255)=0,"?",COUNTIFS(INDEX($V$5:$V$1000,1):INDEX($V$5:$V$1000,$U255-4),"Macro",INDEX($S$5:$S$1000,1):INDEX($S$5:$S$1000,$U255-4),INDEX($S$5:$S$1000,$U255-4))&amp;"."&amp;COUNTIFS($U$5:$U255,$U255,$V$5:$V255,"Sub"))))</f>
        <v/>
      </c>
      <c r="B255" s="57" t="n"/>
      <c r="C255" s="58" t="n"/>
      <c r="D255" s="58" t="n"/>
      <c r="E255" s="59">
        <f>IF(N($AL255)&gt;0,INDEX(rIni_ADM,$AL255),"")</f>
        <v/>
      </c>
      <c r="F255" s="59">
        <f>IF(N($AL255)&gt;0,INDEX(rLim_ADM,$AL255),"")</f>
        <v/>
      </c>
      <c r="G255" s="59" t="n"/>
      <c r="H255" s="60" t="n"/>
      <c r="I255" s="60" t="n"/>
      <c r="J255" s="60" t="n"/>
      <c r="K255" s="60" t="n"/>
      <c r="L255" s="60" t="n"/>
      <c r="M255" s="61">
        <f>IF(NOT((COUNTA($B255:$D255)+COUNTA($G255:$L255)+COUNTA($Q255))&gt;0),"",IF(ISNUMBER($G255),1,IF(N($W255)&gt;0,AVERAGEIFS($X$5:$X$1000,$U$5:$U$1000,ROW(),$V$5:$V$1000,"Sub"),$X255)))</f>
        <v/>
      </c>
      <c r="N255" s="56">
        <f>IF($M255="","",IF($M255&gt;=1,"Completado",IF($M255&gt;0,"En curso","Pendiente")))</f>
        <v/>
      </c>
      <c r="O255" s="56">
        <f>IF(NOT((COUNTA($B255:$D255)+COUNTA($G255:$L255)+COUNTA($Q255))&gt;0),"",IF(ISNUMBER($G255),IF(AND(ISNUMBER($AN255),$G255&gt;$AN255),"Cumplida con "&amp;($G255-$AN255)&amp;IF($G255-$AN255=1," día"," días")&amp;" de retraso","Cumplida"),IF(N($M255)&gt;=1,"Cumplida",IF(NOT(ISNUMBER($AN255)),"Sin fecha límite",IF($AN255&lt;FechaRef,"Vencida hace "&amp;(FechaRef-$AN255)&amp;IF(FechaRef-$AN255=1," día"," días"),IF($AN255=FechaRef,"Vence hoy",IF($AN255-FechaRef&lt;=DiasAlerta,"Vence en "&amp;($AN255-FechaRef)&amp;IF($AN255-FechaRef=1," día"," días"),"En plazo")))))))</f>
        <v/>
      </c>
      <c r="P255" s="62" t="n"/>
      <c r="Q255" s="58" t="n"/>
      <c r="R255" s="63">
        <f>IF(NOT((COUNTA($B255:$D255)+COUNTA($G255:$L255)+COUNTA($Q255))&gt;0),"",IF((IF($C255="","Falta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",""))="","✔ OK","⚠ "&amp;LEFT(IF($C255="","Falta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",""),LEN(IF($C255="","Falta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",""))-3)))</f>
        <v/>
      </c>
      <c r="S255" s="64">
        <f>IF(NOT((COUNTA($B255:$D255)+COUNTA($G255:$L255)+COUNTA($Q255))&gt;0),"",IF(AND($V255="Sub",N($U255)&gt;0),IF(ISNUMBER(INDEX($AM$5:$AM$1000,$U255-4)),DATE(YEAR(INDEX($AM$5:$AM$1000,$U255-4)),MONTH(INDEX($AM$5:$AM$1000,$U255-4)),1),IF(ISNUMBER(INDEX($AN$5:$AN$1000,$U255-4)),DATE(YEAR(INDEX($AN$5:$AN$1000,$U255-4)),MONTH(INDEX($AN$5:$AN$1000,$U255-4)),1),MesCiclo)),IF(ISNUMBER($AM255),DATE(YEAR($AM255),MONTH($AM255),1),IF(ISNUMBER($AN255),DATE(YEAR($AN255),MONTH($AN255),1),MesCiclo))))</f>
        <v/>
      </c>
      <c r="T255" s="62">
        <f>IF(OR($S255="",$S255&lt;&gt;MesCiclo),"",COUNTIF($S$5:$S255,MesCiclo))</f>
        <v/>
      </c>
      <c r="U255" s="62">
        <f>IF($V255="","",IF($V255="Macro",ROW(),IFERROR(LOOKUP(2,1/($V$5:$V255="Macro"),ROW($V$5:$V255)),0)))</f>
        <v/>
      </c>
      <c r="V255" s="62">
        <f>IF(NOT((COUNTA($B255:$D255)+COUNTA($G255:$L255)+COUNTA($Q255))&gt;0),"",IF($B255="Subactividad","Sub","Macro"))</f>
        <v/>
      </c>
      <c r="W255" s="62">
        <f>IF($V255="Macro",COUNTIFS($U$5:$U$1000,ROW(),$V$5:$V$1000,"Sub"),"")</f>
        <v/>
      </c>
      <c r="X255" s="62">
        <f>IF($V255="","",IF(ISNUMBER($G255),1,IFERROR(LOOKUP(2,1/($I255:$L255&lt;&gt;""),$I255:$L255),0)))</f>
        <v/>
      </c>
      <c r="Y255" s="62">
        <f>IF($V255="","",IF(AND(ISNUMBER($G255),$G255&lt;=IF($S255=MesCiclo,InicioCiclo,$S255+MOD(2-WEEKDAY($S255),7))+6),1,IF(ISNUMBER($I255),$I255,0)))</f>
        <v/>
      </c>
      <c r="Z255" s="62">
        <f>IF($V255="","",IF(AND(ISNUMBER($G255),$G255&lt;=IF($S255=MesCiclo,InicioCiclo,$S255+MOD(2-WEEKDAY($S255),7))+13),1,IF(ISNUMBER($J255),$J255,$Y255)))</f>
        <v/>
      </c>
      <c r="AA255" s="62">
        <f>IF($V255="","",IF(AND(ISNUMBER($G255),$G255&lt;=IF($S255=MesCiclo,InicioCiclo,$S255+MOD(2-WEEKDAY($S255),7))+20),1,IF(ISNUMBER($K255),$K255,$Z255)))</f>
        <v/>
      </c>
      <c r="AB255" s="62">
        <f>IF($V255="","",IF(AND(ISNUMBER($G255),$G255&lt;=IF($S255=MesCiclo,InicioCiclo,$S255+MOD(2-WEEKDAY($S255),7))+27),1,IF(ISNUMBER($L255),$L255,$AA255)))</f>
        <v/>
      </c>
      <c r="AC255" s="62">
        <f>IF($V255="","",IF(AND(ISNUMBER($G255),$G255&lt;=IF($S255=MesCiclo,InicioCiclo,$S255+MOD(2-WEEKDAY($S255),7))+6),1,IF(N($W255)&gt;0,AVERAGEIFS($Y$5:$Y$1000,$U$5:$U$1000,ROW(),$V$5:$V$1000,"Sub"),$Y255)))</f>
        <v/>
      </c>
      <c r="AD255" s="62">
        <f>IF($V255="","",IF(AND(ISNUMBER($G255),$G255&lt;=IF($S255=MesCiclo,InicioCiclo,$S255+MOD(2-WEEKDAY($S255),7))+13),1,IF(N($W255)&gt;0,AVERAGEIFS($Z$5:$Z$1000,$U$5:$U$1000,ROW(),$V$5:$V$1000,"Sub"),$Z255)))</f>
        <v/>
      </c>
      <c r="AE255" s="62">
        <f>IF($V255="","",IF(AND(ISNUMBER($G255),$G255&lt;=IF($S255=MesCiclo,InicioCiclo,$S255+MOD(2-WEEKDAY($S255),7))+20),1,IF(N($W255)&gt;0,AVERAGEIFS($AA$5:$AA$1000,$U$5:$U$1000,ROW(),$V$5:$V$1000,"Sub"),$AA255)))</f>
        <v/>
      </c>
      <c r="AF255" s="62">
        <f>IF($V255="","",IF(AND(ISNUMBER($G255),$G255&lt;=IF($S255=MesCiclo,InicioCiclo,$S255+MOD(2-WEEKDAY($S255),7))+27),1,IF(N($W255)&gt;0,AVERAGEIFS($AB$5:$AB$1000,$U$5:$U$1000,ROW(),$V$5:$V$1000,"Sub"),$AB255)))</f>
        <v/>
      </c>
      <c r="AG255" s="62">
        <f>IF($V255&lt;&gt;"Macro","",IF(COUNTIFS($S$5:$S$1000,$S255,$V$5:$V$1000,"Macro",$H$5:$H$1000,"&gt;0")=0,1/COUNTIFS($S$5:$S$1000,$S255,$V$5:$V$1000,"Macro"),IF(AND(ISNUMBER($H255),N($H255)&gt;0),$H255,SUMIFS($H$5:$H$1000,$S$5:$S$1000,$S255,$V$5:$V$1000,"Macro")/COUNTIFS($S$5:$S$1000,$S255,$V$5:$V$1000,"Macro",$H$5:$H$1000,"&gt;0"))/(COUNTIFS($S$5:$S$1000,$S255,$V$5:$V$1000,"Macro")*SUMIFS($H$5:$H$1000,$S$5:$S$1000,$S255,$V$5:$V$1000,"Macro")/COUNTIFS($S$5:$S$1000,$S255,$V$5:$V$1000,"Macro",$H$5:$H$1000,"&gt;0"))))</f>
        <v/>
      </c>
      <c r="AH255" s="62" t="n"/>
      <c r="AI255" s="62" t="n"/>
      <c r="AJ255" s="62" t="n"/>
      <c r="AK255" s="62" t="n"/>
      <c r="AL255" s="62">
        <f>IF(LEFT($C255,11)="[Jefatura] ",IFERROR(MATCH("Riesgo Financiero|"&amp;MID($C255,12,500),rDname_ADM,0),0),"")</f>
        <v/>
      </c>
      <c r="AM255" s="62">
        <f>IF(N($AL255)&gt;0,INDEX(rIni_ADM,$AL255),IF(ISNUMBER($E255),$E255,""))</f>
        <v/>
      </c>
      <c r="AN255" s="62">
        <f>IF(N($AL255)&gt;0,INDEX(rLim_ADM,$AL255),IF(ISNUMBER($F255),$F255,""))</f>
        <v/>
      </c>
    </row>
    <row r="256">
      <c r="A256" s="56">
        <f>IF(NOT((COUNTA($B256:$D256)+COUNTA($G256:$L256)+COUNTA($Q256))&gt;0),"",IF($V256="Macro",COUNTIFS($V$5:$V256,"Macro",$S$5:$S256,$S256),IF(N($U256)=0,"?",COUNTIFS(INDEX($V$5:$V$1000,1):INDEX($V$5:$V$1000,$U256-4),"Macro",INDEX($S$5:$S$1000,1):INDEX($S$5:$S$1000,$U256-4),INDEX($S$5:$S$1000,$U256-4))&amp;"."&amp;COUNTIFS($U$5:$U256,$U256,$V$5:$V256,"Sub"))))</f>
        <v/>
      </c>
      <c r="B256" s="57" t="n"/>
      <c r="C256" s="58" t="n"/>
      <c r="D256" s="58" t="n"/>
      <c r="E256" s="59">
        <f>IF(N($AL256)&gt;0,INDEX(rIni_ADM,$AL256),"")</f>
        <v/>
      </c>
      <c r="F256" s="59">
        <f>IF(N($AL256)&gt;0,INDEX(rLim_ADM,$AL256),"")</f>
        <v/>
      </c>
      <c r="G256" s="59" t="n"/>
      <c r="H256" s="60" t="n"/>
      <c r="I256" s="60" t="n"/>
      <c r="J256" s="60" t="n"/>
      <c r="K256" s="60" t="n"/>
      <c r="L256" s="60" t="n"/>
      <c r="M256" s="61">
        <f>IF(NOT((COUNTA($B256:$D256)+COUNTA($G256:$L256)+COUNTA($Q256))&gt;0),"",IF(ISNUMBER($G256),1,IF(N($W256)&gt;0,AVERAGEIFS($X$5:$X$1000,$U$5:$U$1000,ROW(),$V$5:$V$1000,"Sub"),$X256)))</f>
        <v/>
      </c>
      <c r="N256" s="56">
        <f>IF($M256="","",IF($M256&gt;=1,"Completado",IF($M256&gt;0,"En curso","Pendiente")))</f>
        <v/>
      </c>
      <c r="O256" s="56">
        <f>IF(NOT((COUNTA($B256:$D256)+COUNTA($G256:$L256)+COUNTA($Q256))&gt;0),"",IF(ISNUMBER($G256),IF(AND(ISNUMBER($AN256),$G256&gt;$AN256),"Cumplida con "&amp;($G256-$AN256)&amp;IF($G256-$AN256=1," día"," días")&amp;" de retraso","Cumplida"),IF(N($M256)&gt;=1,"Cumplida",IF(NOT(ISNUMBER($AN256)),"Sin fecha límite",IF($AN256&lt;FechaRef,"Vencida hace "&amp;(FechaRef-$AN256)&amp;IF(FechaRef-$AN256=1," día"," días"),IF($AN256=FechaRef,"Vence hoy",IF($AN256-FechaRef&lt;=DiasAlerta,"Vence en "&amp;($AN256-FechaRef)&amp;IF($AN256-FechaRef=1," día"," días"),"En plazo")))))))</f>
        <v/>
      </c>
      <c r="P256" s="62" t="n"/>
      <c r="Q256" s="58" t="n"/>
      <c r="R256" s="63">
        <f>IF(NOT((COUNTA($B256:$D256)+COUNTA($G256:$L256)+COUNTA($Q256))&gt;0),"",IF((IF($C256="","Falta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",""))="","✔ OK","⚠ "&amp;LEFT(IF($C256="","Falta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",""),LEN(IF($C256="","Falta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",""))-3)))</f>
        <v/>
      </c>
      <c r="S256" s="64">
        <f>IF(NOT((COUNTA($B256:$D256)+COUNTA($G256:$L256)+COUNTA($Q256))&gt;0),"",IF(AND($V256="Sub",N($U256)&gt;0),IF(ISNUMBER(INDEX($AM$5:$AM$1000,$U256-4)),DATE(YEAR(INDEX($AM$5:$AM$1000,$U256-4)),MONTH(INDEX($AM$5:$AM$1000,$U256-4)),1),IF(ISNUMBER(INDEX($AN$5:$AN$1000,$U256-4)),DATE(YEAR(INDEX($AN$5:$AN$1000,$U256-4)),MONTH(INDEX($AN$5:$AN$1000,$U256-4)),1),MesCiclo)),IF(ISNUMBER($AM256),DATE(YEAR($AM256),MONTH($AM256),1),IF(ISNUMBER($AN256),DATE(YEAR($AN256),MONTH($AN256),1),MesCiclo))))</f>
        <v/>
      </c>
      <c r="T256" s="62">
        <f>IF(OR($S256="",$S256&lt;&gt;MesCiclo),"",COUNTIF($S$5:$S256,MesCiclo))</f>
        <v/>
      </c>
      <c r="U256" s="62">
        <f>IF($V256="","",IF($V256="Macro",ROW(),IFERROR(LOOKUP(2,1/($V$5:$V256="Macro"),ROW($V$5:$V256)),0)))</f>
        <v/>
      </c>
      <c r="V256" s="62">
        <f>IF(NOT((COUNTA($B256:$D256)+COUNTA($G256:$L256)+COUNTA($Q256))&gt;0),"",IF($B256="Subactividad","Sub","Macro"))</f>
        <v/>
      </c>
      <c r="W256" s="62">
        <f>IF($V256="Macro",COUNTIFS($U$5:$U$1000,ROW(),$V$5:$V$1000,"Sub"),"")</f>
        <v/>
      </c>
      <c r="X256" s="62">
        <f>IF($V256="","",IF(ISNUMBER($G256),1,IFERROR(LOOKUP(2,1/($I256:$L256&lt;&gt;""),$I256:$L256),0)))</f>
        <v/>
      </c>
      <c r="Y256" s="62">
        <f>IF($V256="","",IF(AND(ISNUMBER($G256),$G256&lt;=IF($S256=MesCiclo,InicioCiclo,$S256+MOD(2-WEEKDAY($S256),7))+6),1,IF(ISNUMBER($I256),$I256,0)))</f>
        <v/>
      </c>
      <c r="Z256" s="62">
        <f>IF($V256="","",IF(AND(ISNUMBER($G256),$G256&lt;=IF($S256=MesCiclo,InicioCiclo,$S256+MOD(2-WEEKDAY($S256),7))+13),1,IF(ISNUMBER($J256),$J256,$Y256)))</f>
        <v/>
      </c>
      <c r="AA256" s="62">
        <f>IF($V256="","",IF(AND(ISNUMBER($G256),$G256&lt;=IF($S256=MesCiclo,InicioCiclo,$S256+MOD(2-WEEKDAY($S256),7))+20),1,IF(ISNUMBER($K256),$K256,$Z256)))</f>
        <v/>
      </c>
      <c r="AB256" s="62">
        <f>IF($V256="","",IF(AND(ISNUMBER($G256),$G256&lt;=IF($S256=MesCiclo,InicioCiclo,$S256+MOD(2-WEEKDAY($S256),7))+27),1,IF(ISNUMBER($L256),$L256,$AA256)))</f>
        <v/>
      </c>
      <c r="AC256" s="62">
        <f>IF($V256="","",IF(AND(ISNUMBER($G256),$G256&lt;=IF($S256=MesCiclo,InicioCiclo,$S256+MOD(2-WEEKDAY($S256),7))+6),1,IF(N($W256)&gt;0,AVERAGEIFS($Y$5:$Y$1000,$U$5:$U$1000,ROW(),$V$5:$V$1000,"Sub"),$Y256)))</f>
        <v/>
      </c>
      <c r="AD256" s="62">
        <f>IF($V256="","",IF(AND(ISNUMBER($G256),$G256&lt;=IF($S256=MesCiclo,InicioCiclo,$S256+MOD(2-WEEKDAY($S256),7))+13),1,IF(N($W256)&gt;0,AVERAGEIFS($Z$5:$Z$1000,$U$5:$U$1000,ROW(),$V$5:$V$1000,"Sub"),$Z256)))</f>
        <v/>
      </c>
      <c r="AE256" s="62">
        <f>IF($V256="","",IF(AND(ISNUMBER($G256),$G256&lt;=IF($S256=MesCiclo,InicioCiclo,$S256+MOD(2-WEEKDAY($S256),7))+20),1,IF(N($W256)&gt;0,AVERAGEIFS($AA$5:$AA$1000,$U$5:$U$1000,ROW(),$V$5:$V$1000,"Sub"),$AA256)))</f>
        <v/>
      </c>
      <c r="AF256" s="62">
        <f>IF($V256="","",IF(AND(ISNUMBER($G256),$G256&lt;=IF($S256=MesCiclo,InicioCiclo,$S256+MOD(2-WEEKDAY($S256),7))+27),1,IF(N($W256)&gt;0,AVERAGEIFS($AB$5:$AB$1000,$U$5:$U$1000,ROW(),$V$5:$V$1000,"Sub"),$AB256)))</f>
        <v/>
      </c>
      <c r="AG256" s="62">
        <f>IF($V256&lt;&gt;"Macro","",IF(COUNTIFS($S$5:$S$1000,$S256,$V$5:$V$1000,"Macro",$H$5:$H$1000,"&gt;0")=0,1/COUNTIFS($S$5:$S$1000,$S256,$V$5:$V$1000,"Macro"),IF(AND(ISNUMBER($H256),N($H256)&gt;0),$H256,SUMIFS($H$5:$H$1000,$S$5:$S$1000,$S256,$V$5:$V$1000,"Macro")/COUNTIFS($S$5:$S$1000,$S256,$V$5:$V$1000,"Macro",$H$5:$H$1000,"&gt;0"))/(COUNTIFS($S$5:$S$1000,$S256,$V$5:$V$1000,"Macro")*SUMIFS($H$5:$H$1000,$S$5:$S$1000,$S256,$V$5:$V$1000,"Macro")/COUNTIFS($S$5:$S$1000,$S256,$V$5:$V$1000,"Macro",$H$5:$H$1000,"&gt;0"))))</f>
        <v/>
      </c>
      <c r="AH256" s="62" t="n"/>
      <c r="AI256" s="62" t="n"/>
      <c r="AJ256" s="62" t="n"/>
      <c r="AK256" s="62" t="n"/>
      <c r="AL256" s="62">
        <f>IF(LEFT($C256,11)="[Jefatura] ",IFERROR(MATCH("Riesgo Financiero|"&amp;MID($C256,12,500),rDname_ADM,0),0),"")</f>
        <v/>
      </c>
      <c r="AM256" s="62">
        <f>IF(N($AL256)&gt;0,INDEX(rIni_ADM,$AL256),IF(ISNUMBER($E256),$E256,""))</f>
        <v/>
      </c>
      <c r="AN256" s="62">
        <f>IF(N($AL256)&gt;0,INDEX(rLim_ADM,$AL256),IF(ISNUMBER($F256),$F256,""))</f>
        <v/>
      </c>
    </row>
    <row r="257">
      <c r="A257" s="56">
        <f>IF(NOT((COUNTA($B257:$D257)+COUNTA($G257:$L257)+COUNTA($Q257))&gt;0),"",IF($V257="Macro",COUNTIFS($V$5:$V257,"Macro",$S$5:$S257,$S257),IF(N($U257)=0,"?",COUNTIFS(INDEX($V$5:$V$1000,1):INDEX($V$5:$V$1000,$U257-4),"Macro",INDEX($S$5:$S$1000,1):INDEX($S$5:$S$1000,$U257-4),INDEX($S$5:$S$1000,$U257-4))&amp;"."&amp;COUNTIFS($U$5:$U257,$U257,$V$5:$V257,"Sub"))))</f>
        <v/>
      </c>
      <c r="B257" s="57" t="n"/>
      <c r="C257" s="58" t="n"/>
      <c r="D257" s="58" t="n"/>
      <c r="E257" s="59">
        <f>IF(N($AL257)&gt;0,INDEX(rIni_ADM,$AL257),"")</f>
        <v/>
      </c>
      <c r="F257" s="59">
        <f>IF(N($AL257)&gt;0,INDEX(rLim_ADM,$AL257),"")</f>
        <v/>
      </c>
      <c r="G257" s="59" t="n"/>
      <c r="H257" s="60" t="n"/>
      <c r="I257" s="60" t="n"/>
      <c r="J257" s="60" t="n"/>
      <c r="K257" s="60" t="n"/>
      <c r="L257" s="60" t="n"/>
      <c r="M257" s="61">
        <f>IF(NOT((COUNTA($B257:$D257)+COUNTA($G257:$L257)+COUNTA($Q257))&gt;0),"",IF(ISNUMBER($G257),1,IF(N($W257)&gt;0,AVERAGEIFS($X$5:$X$1000,$U$5:$U$1000,ROW(),$V$5:$V$1000,"Sub"),$X257)))</f>
        <v/>
      </c>
      <c r="N257" s="56">
        <f>IF($M257="","",IF($M257&gt;=1,"Completado",IF($M257&gt;0,"En curso","Pendiente")))</f>
        <v/>
      </c>
      <c r="O257" s="56">
        <f>IF(NOT((COUNTA($B257:$D257)+COUNTA($G257:$L257)+COUNTA($Q257))&gt;0),"",IF(ISNUMBER($G257),IF(AND(ISNUMBER($AN257),$G257&gt;$AN257),"Cumplida con "&amp;($G257-$AN257)&amp;IF($G257-$AN257=1," día"," días")&amp;" de retraso","Cumplida"),IF(N($M257)&gt;=1,"Cumplida",IF(NOT(ISNUMBER($AN257)),"Sin fecha límite",IF($AN257&lt;FechaRef,"Vencida hace "&amp;(FechaRef-$AN257)&amp;IF(FechaRef-$AN257=1," día"," días"),IF($AN257=FechaRef,"Vence hoy",IF($AN257-FechaRef&lt;=DiasAlerta,"Vence en "&amp;($AN257-FechaRef)&amp;IF($AN257-FechaRef=1," día"," días"),"En plazo")))))))</f>
        <v/>
      </c>
      <c r="P257" s="62" t="n"/>
      <c r="Q257" s="58" t="n"/>
      <c r="R257" s="63">
        <f>IF(NOT((COUNTA($B257:$D257)+COUNTA($G257:$L257)+COUNTA($Q257))&gt;0),"",IF((IF($C257="","Falta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",""))="","✔ OK","⚠ "&amp;LEFT(IF($C257="","Falta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",""),LEN(IF($C257="","Falta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",""))-3)))</f>
        <v/>
      </c>
      <c r="S257" s="64">
        <f>IF(NOT((COUNTA($B257:$D257)+COUNTA($G257:$L257)+COUNTA($Q257))&gt;0),"",IF(AND($V257="Sub",N($U257)&gt;0),IF(ISNUMBER(INDEX($AM$5:$AM$1000,$U257-4)),DATE(YEAR(INDEX($AM$5:$AM$1000,$U257-4)),MONTH(INDEX($AM$5:$AM$1000,$U257-4)),1),IF(ISNUMBER(INDEX($AN$5:$AN$1000,$U257-4)),DATE(YEAR(INDEX($AN$5:$AN$1000,$U257-4)),MONTH(INDEX($AN$5:$AN$1000,$U257-4)),1),MesCiclo)),IF(ISNUMBER($AM257),DATE(YEAR($AM257),MONTH($AM257),1),IF(ISNUMBER($AN257),DATE(YEAR($AN257),MONTH($AN257),1),MesCiclo))))</f>
        <v/>
      </c>
      <c r="T257" s="62">
        <f>IF(OR($S257="",$S257&lt;&gt;MesCiclo),"",COUNTIF($S$5:$S257,MesCiclo))</f>
        <v/>
      </c>
      <c r="U257" s="62">
        <f>IF($V257="","",IF($V257="Macro",ROW(),IFERROR(LOOKUP(2,1/($V$5:$V257="Macro"),ROW($V$5:$V257)),0)))</f>
        <v/>
      </c>
      <c r="V257" s="62">
        <f>IF(NOT((COUNTA($B257:$D257)+COUNTA($G257:$L257)+COUNTA($Q257))&gt;0),"",IF($B257="Subactividad","Sub","Macro"))</f>
        <v/>
      </c>
      <c r="W257" s="62">
        <f>IF($V257="Macro",COUNTIFS($U$5:$U$1000,ROW(),$V$5:$V$1000,"Sub"),"")</f>
        <v/>
      </c>
      <c r="X257" s="62">
        <f>IF($V257="","",IF(ISNUMBER($G257),1,IFERROR(LOOKUP(2,1/($I257:$L257&lt;&gt;""),$I257:$L257),0)))</f>
        <v/>
      </c>
      <c r="Y257" s="62">
        <f>IF($V257="","",IF(AND(ISNUMBER($G257),$G257&lt;=IF($S257=MesCiclo,InicioCiclo,$S257+MOD(2-WEEKDAY($S257),7))+6),1,IF(ISNUMBER($I257),$I257,0)))</f>
        <v/>
      </c>
      <c r="Z257" s="62">
        <f>IF($V257="","",IF(AND(ISNUMBER($G257),$G257&lt;=IF($S257=MesCiclo,InicioCiclo,$S257+MOD(2-WEEKDAY($S257),7))+13),1,IF(ISNUMBER($J257),$J257,$Y257)))</f>
        <v/>
      </c>
      <c r="AA257" s="62">
        <f>IF($V257="","",IF(AND(ISNUMBER($G257),$G257&lt;=IF($S257=MesCiclo,InicioCiclo,$S257+MOD(2-WEEKDAY($S257),7))+20),1,IF(ISNUMBER($K257),$K257,$Z257)))</f>
        <v/>
      </c>
      <c r="AB257" s="62">
        <f>IF($V257="","",IF(AND(ISNUMBER($G257),$G257&lt;=IF($S257=MesCiclo,InicioCiclo,$S257+MOD(2-WEEKDAY($S257),7))+27),1,IF(ISNUMBER($L257),$L257,$AA257)))</f>
        <v/>
      </c>
      <c r="AC257" s="62">
        <f>IF($V257="","",IF(AND(ISNUMBER($G257),$G257&lt;=IF($S257=MesCiclo,InicioCiclo,$S257+MOD(2-WEEKDAY($S257),7))+6),1,IF(N($W257)&gt;0,AVERAGEIFS($Y$5:$Y$1000,$U$5:$U$1000,ROW(),$V$5:$V$1000,"Sub"),$Y257)))</f>
        <v/>
      </c>
      <c r="AD257" s="62">
        <f>IF($V257="","",IF(AND(ISNUMBER($G257),$G257&lt;=IF($S257=MesCiclo,InicioCiclo,$S257+MOD(2-WEEKDAY($S257),7))+13),1,IF(N($W257)&gt;0,AVERAGEIFS($Z$5:$Z$1000,$U$5:$U$1000,ROW(),$V$5:$V$1000,"Sub"),$Z257)))</f>
        <v/>
      </c>
      <c r="AE257" s="62">
        <f>IF($V257="","",IF(AND(ISNUMBER($G257),$G257&lt;=IF($S257=MesCiclo,InicioCiclo,$S257+MOD(2-WEEKDAY($S257),7))+20),1,IF(N($W257)&gt;0,AVERAGEIFS($AA$5:$AA$1000,$U$5:$U$1000,ROW(),$V$5:$V$1000,"Sub"),$AA257)))</f>
        <v/>
      </c>
      <c r="AF257" s="62">
        <f>IF($V257="","",IF(AND(ISNUMBER($G257),$G257&lt;=IF($S257=MesCiclo,InicioCiclo,$S257+MOD(2-WEEKDAY($S257),7))+27),1,IF(N($W257)&gt;0,AVERAGEIFS($AB$5:$AB$1000,$U$5:$U$1000,ROW(),$V$5:$V$1000,"Sub"),$AB257)))</f>
        <v/>
      </c>
      <c r="AG257" s="62">
        <f>IF($V257&lt;&gt;"Macro","",IF(COUNTIFS($S$5:$S$1000,$S257,$V$5:$V$1000,"Macro",$H$5:$H$1000,"&gt;0")=0,1/COUNTIFS($S$5:$S$1000,$S257,$V$5:$V$1000,"Macro"),IF(AND(ISNUMBER($H257),N($H257)&gt;0),$H257,SUMIFS($H$5:$H$1000,$S$5:$S$1000,$S257,$V$5:$V$1000,"Macro")/COUNTIFS($S$5:$S$1000,$S257,$V$5:$V$1000,"Macro",$H$5:$H$1000,"&gt;0"))/(COUNTIFS($S$5:$S$1000,$S257,$V$5:$V$1000,"Macro")*SUMIFS($H$5:$H$1000,$S$5:$S$1000,$S257,$V$5:$V$1000,"Macro")/COUNTIFS($S$5:$S$1000,$S257,$V$5:$V$1000,"Macro",$H$5:$H$1000,"&gt;0"))))</f>
        <v/>
      </c>
      <c r="AH257" s="62" t="n"/>
      <c r="AI257" s="62" t="n"/>
      <c r="AJ257" s="62" t="n"/>
      <c r="AK257" s="62" t="n"/>
      <c r="AL257" s="62">
        <f>IF(LEFT($C257,11)="[Jefatura] ",IFERROR(MATCH("Riesgo Financiero|"&amp;MID($C257,12,500),rDname_ADM,0),0),"")</f>
        <v/>
      </c>
      <c r="AM257" s="62">
        <f>IF(N($AL257)&gt;0,INDEX(rIni_ADM,$AL257),IF(ISNUMBER($E257),$E257,""))</f>
        <v/>
      </c>
      <c r="AN257" s="62">
        <f>IF(N($AL257)&gt;0,INDEX(rLim_ADM,$AL257),IF(ISNUMBER($F257),$F257,""))</f>
        <v/>
      </c>
    </row>
    <row r="258">
      <c r="A258" s="56">
        <f>IF(NOT((COUNTA($B258:$D258)+COUNTA($G258:$L258)+COUNTA($Q258))&gt;0),"",IF($V258="Macro",COUNTIFS($V$5:$V258,"Macro",$S$5:$S258,$S258),IF(N($U258)=0,"?",COUNTIFS(INDEX($V$5:$V$1000,1):INDEX($V$5:$V$1000,$U258-4),"Macro",INDEX($S$5:$S$1000,1):INDEX($S$5:$S$1000,$U258-4),INDEX($S$5:$S$1000,$U258-4))&amp;"."&amp;COUNTIFS($U$5:$U258,$U258,$V$5:$V258,"Sub"))))</f>
        <v/>
      </c>
      <c r="B258" s="57" t="n"/>
      <c r="C258" s="58" t="n"/>
      <c r="D258" s="58" t="n"/>
      <c r="E258" s="59">
        <f>IF(N($AL258)&gt;0,INDEX(rIni_ADM,$AL258),"")</f>
        <v/>
      </c>
      <c r="F258" s="59">
        <f>IF(N($AL258)&gt;0,INDEX(rLim_ADM,$AL258),"")</f>
        <v/>
      </c>
      <c r="G258" s="59" t="n"/>
      <c r="H258" s="60" t="n"/>
      <c r="I258" s="60" t="n"/>
      <c r="J258" s="60" t="n"/>
      <c r="K258" s="60" t="n"/>
      <c r="L258" s="60" t="n"/>
      <c r="M258" s="61">
        <f>IF(NOT((COUNTA($B258:$D258)+COUNTA($G258:$L258)+COUNTA($Q258))&gt;0),"",IF(ISNUMBER($G258),1,IF(N($W258)&gt;0,AVERAGEIFS($X$5:$X$1000,$U$5:$U$1000,ROW(),$V$5:$V$1000,"Sub"),$X258)))</f>
        <v/>
      </c>
      <c r="N258" s="56">
        <f>IF($M258="","",IF($M258&gt;=1,"Completado",IF($M258&gt;0,"En curso","Pendiente")))</f>
        <v/>
      </c>
      <c r="O258" s="56">
        <f>IF(NOT((COUNTA($B258:$D258)+COUNTA($G258:$L258)+COUNTA($Q258))&gt;0),"",IF(ISNUMBER($G258),IF(AND(ISNUMBER($AN258),$G258&gt;$AN258),"Cumplida con "&amp;($G258-$AN258)&amp;IF($G258-$AN258=1," día"," días")&amp;" de retraso","Cumplida"),IF(N($M258)&gt;=1,"Cumplida",IF(NOT(ISNUMBER($AN258)),"Sin fecha límite",IF($AN258&lt;FechaRef,"Vencida hace "&amp;(FechaRef-$AN258)&amp;IF(FechaRef-$AN258=1," día"," días"),IF($AN258=FechaRef,"Vence hoy",IF($AN258-FechaRef&lt;=DiasAlerta,"Vence en "&amp;($AN258-FechaRef)&amp;IF($AN258-FechaRef=1," día"," días"),"En plazo")))))))</f>
        <v/>
      </c>
      <c r="P258" s="62" t="n"/>
      <c r="Q258" s="58" t="n"/>
      <c r="R258" s="63">
        <f>IF(NOT((COUNTA($B258:$D258)+COUNTA($G258:$L258)+COUNTA($Q258))&gt;0),"",IF((IF($C258="","Falta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",""))="","✔ OK","⚠ "&amp;LEFT(IF($C258="","Falta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",""),LEN(IF($C258="","Falta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",""))-3)))</f>
        <v/>
      </c>
      <c r="S258" s="64">
        <f>IF(NOT((COUNTA($B258:$D258)+COUNTA($G258:$L258)+COUNTA($Q258))&gt;0),"",IF(AND($V258="Sub",N($U258)&gt;0),IF(ISNUMBER(INDEX($AM$5:$AM$1000,$U258-4)),DATE(YEAR(INDEX($AM$5:$AM$1000,$U258-4)),MONTH(INDEX($AM$5:$AM$1000,$U258-4)),1),IF(ISNUMBER(INDEX($AN$5:$AN$1000,$U258-4)),DATE(YEAR(INDEX($AN$5:$AN$1000,$U258-4)),MONTH(INDEX($AN$5:$AN$1000,$U258-4)),1),MesCiclo)),IF(ISNUMBER($AM258),DATE(YEAR($AM258),MONTH($AM258),1),IF(ISNUMBER($AN258),DATE(YEAR($AN258),MONTH($AN258),1),MesCiclo))))</f>
        <v/>
      </c>
      <c r="T258" s="62">
        <f>IF(OR($S258="",$S258&lt;&gt;MesCiclo),"",COUNTIF($S$5:$S258,MesCiclo))</f>
        <v/>
      </c>
      <c r="U258" s="62">
        <f>IF($V258="","",IF($V258="Macro",ROW(),IFERROR(LOOKUP(2,1/($V$5:$V258="Macro"),ROW($V$5:$V258)),0)))</f>
        <v/>
      </c>
      <c r="V258" s="62">
        <f>IF(NOT((COUNTA($B258:$D258)+COUNTA($G258:$L258)+COUNTA($Q258))&gt;0),"",IF($B258="Subactividad","Sub","Macro"))</f>
        <v/>
      </c>
      <c r="W258" s="62">
        <f>IF($V258="Macro",COUNTIFS($U$5:$U$1000,ROW(),$V$5:$V$1000,"Sub"),"")</f>
        <v/>
      </c>
      <c r="X258" s="62">
        <f>IF($V258="","",IF(ISNUMBER($G258),1,IFERROR(LOOKUP(2,1/($I258:$L258&lt;&gt;""),$I258:$L258),0)))</f>
        <v/>
      </c>
      <c r="Y258" s="62">
        <f>IF($V258="","",IF(AND(ISNUMBER($G258),$G258&lt;=IF($S258=MesCiclo,InicioCiclo,$S258+MOD(2-WEEKDAY($S258),7))+6),1,IF(ISNUMBER($I258),$I258,0)))</f>
        <v/>
      </c>
      <c r="Z258" s="62">
        <f>IF($V258="","",IF(AND(ISNUMBER($G258),$G258&lt;=IF($S258=MesCiclo,InicioCiclo,$S258+MOD(2-WEEKDAY($S258),7))+13),1,IF(ISNUMBER($J258),$J258,$Y258)))</f>
        <v/>
      </c>
      <c r="AA258" s="62">
        <f>IF($V258="","",IF(AND(ISNUMBER($G258),$G258&lt;=IF($S258=MesCiclo,InicioCiclo,$S258+MOD(2-WEEKDAY($S258),7))+20),1,IF(ISNUMBER($K258),$K258,$Z258)))</f>
        <v/>
      </c>
      <c r="AB258" s="62">
        <f>IF($V258="","",IF(AND(ISNUMBER($G258),$G258&lt;=IF($S258=MesCiclo,InicioCiclo,$S258+MOD(2-WEEKDAY($S258),7))+27),1,IF(ISNUMBER($L258),$L258,$AA258)))</f>
        <v/>
      </c>
      <c r="AC258" s="62">
        <f>IF($V258="","",IF(AND(ISNUMBER($G258),$G258&lt;=IF($S258=MesCiclo,InicioCiclo,$S258+MOD(2-WEEKDAY($S258),7))+6),1,IF(N($W258)&gt;0,AVERAGEIFS($Y$5:$Y$1000,$U$5:$U$1000,ROW(),$V$5:$V$1000,"Sub"),$Y258)))</f>
        <v/>
      </c>
      <c r="AD258" s="62">
        <f>IF($V258="","",IF(AND(ISNUMBER($G258),$G258&lt;=IF($S258=MesCiclo,InicioCiclo,$S258+MOD(2-WEEKDAY($S258),7))+13),1,IF(N($W258)&gt;0,AVERAGEIFS($Z$5:$Z$1000,$U$5:$U$1000,ROW(),$V$5:$V$1000,"Sub"),$Z258)))</f>
        <v/>
      </c>
      <c r="AE258" s="62">
        <f>IF($V258="","",IF(AND(ISNUMBER($G258),$G258&lt;=IF($S258=MesCiclo,InicioCiclo,$S258+MOD(2-WEEKDAY($S258),7))+20),1,IF(N($W258)&gt;0,AVERAGEIFS($AA$5:$AA$1000,$U$5:$U$1000,ROW(),$V$5:$V$1000,"Sub"),$AA258)))</f>
        <v/>
      </c>
      <c r="AF258" s="62">
        <f>IF($V258="","",IF(AND(ISNUMBER($G258),$G258&lt;=IF($S258=MesCiclo,InicioCiclo,$S258+MOD(2-WEEKDAY($S258),7))+27),1,IF(N($W258)&gt;0,AVERAGEIFS($AB$5:$AB$1000,$U$5:$U$1000,ROW(),$V$5:$V$1000,"Sub"),$AB258)))</f>
        <v/>
      </c>
      <c r="AG258" s="62">
        <f>IF($V258&lt;&gt;"Macro","",IF(COUNTIFS($S$5:$S$1000,$S258,$V$5:$V$1000,"Macro",$H$5:$H$1000,"&gt;0")=0,1/COUNTIFS($S$5:$S$1000,$S258,$V$5:$V$1000,"Macro"),IF(AND(ISNUMBER($H258),N($H258)&gt;0),$H258,SUMIFS($H$5:$H$1000,$S$5:$S$1000,$S258,$V$5:$V$1000,"Macro")/COUNTIFS($S$5:$S$1000,$S258,$V$5:$V$1000,"Macro",$H$5:$H$1000,"&gt;0"))/(COUNTIFS($S$5:$S$1000,$S258,$V$5:$V$1000,"Macro")*SUMIFS($H$5:$H$1000,$S$5:$S$1000,$S258,$V$5:$V$1000,"Macro")/COUNTIFS($S$5:$S$1000,$S258,$V$5:$V$1000,"Macro",$H$5:$H$1000,"&gt;0"))))</f>
        <v/>
      </c>
      <c r="AH258" s="62" t="n"/>
      <c r="AI258" s="62" t="n"/>
      <c r="AJ258" s="62" t="n"/>
      <c r="AK258" s="62" t="n"/>
      <c r="AL258" s="62">
        <f>IF(LEFT($C258,11)="[Jefatura] ",IFERROR(MATCH("Riesgo Financiero|"&amp;MID($C258,12,500),rDname_ADM,0),0),"")</f>
        <v/>
      </c>
      <c r="AM258" s="62">
        <f>IF(N($AL258)&gt;0,INDEX(rIni_ADM,$AL258),IF(ISNUMBER($E258),$E258,""))</f>
        <v/>
      </c>
      <c r="AN258" s="62">
        <f>IF(N($AL258)&gt;0,INDEX(rLim_ADM,$AL258),IF(ISNUMBER($F258),$F258,""))</f>
        <v/>
      </c>
    </row>
    <row r="259">
      <c r="A259" s="56">
        <f>IF(NOT((COUNTA($B259:$D259)+COUNTA($G259:$L259)+COUNTA($Q259))&gt;0),"",IF($V259="Macro",COUNTIFS($V$5:$V259,"Macro",$S$5:$S259,$S259),IF(N($U259)=0,"?",COUNTIFS(INDEX($V$5:$V$1000,1):INDEX($V$5:$V$1000,$U259-4),"Macro",INDEX($S$5:$S$1000,1):INDEX($S$5:$S$1000,$U259-4),INDEX($S$5:$S$1000,$U259-4))&amp;"."&amp;COUNTIFS($U$5:$U259,$U259,$V$5:$V259,"Sub"))))</f>
        <v/>
      </c>
      <c r="B259" s="57" t="n"/>
      <c r="C259" s="58" t="n"/>
      <c r="D259" s="58" t="n"/>
      <c r="E259" s="59">
        <f>IF(N($AL259)&gt;0,INDEX(rIni_ADM,$AL259),"")</f>
        <v/>
      </c>
      <c r="F259" s="59">
        <f>IF(N($AL259)&gt;0,INDEX(rLim_ADM,$AL259),"")</f>
        <v/>
      </c>
      <c r="G259" s="59" t="n"/>
      <c r="H259" s="60" t="n"/>
      <c r="I259" s="60" t="n"/>
      <c r="J259" s="60" t="n"/>
      <c r="K259" s="60" t="n"/>
      <c r="L259" s="60" t="n"/>
      <c r="M259" s="61">
        <f>IF(NOT((COUNTA($B259:$D259)+COUNTA($G259:$L259)+COUNTA($Q259))&gt;0),"",IF(ISNUMBER($G259),1,IF(N($W259)&gt;0,AVERAGEIFS($X$5:$X$1000,$U$5:$U$1000,ROW(),$V$5:$V$1000,"Sub"),$X259)))</f>
        <v/>
      </c>
      <c r="N259" s="56">
        <f>IF($M259="","",IF($M259&gt;=1,"Completado",IF($M259&gt;0,"En curso","Pendiente")))</f>
        <v/>
      </c>
      <c r="O259" s="56">
        <f>IF(NOT((COUNTA($B259:$D259)+COUNTA($G259:$L259)+COUNTA($Q259))&gt;0),"",IF(ISNUMBER($G259),IF(AND(ISNUMBER($AN259),$G259&gt;$AN259),"Cumplida con "&amp;($G259-$AN259)&amp;IF($G259-$AN259=1," día"," días")&amp;" de retraso","Cumplida"),IF(N($M259)&gt;=1,"Cumplida",IF(NOT(ISNUMBER($AN259)),"Sin fecha límite",IF($AN259&lt;FechaRef,"Vencida hace "&amp;(FechaRef-$AN259)&amp;IF(FechaRef-$AN259=1," día"," días"),IF($AN259=FechaRef,"Vence hoy",IF($AN259-FechaRef&lt;=DiasAlerta,"Vence en "&amp;($AN259-FechaRef)&amp;IF($AN259-FechaRef=1," día"," días"),"En plazo")))))))</f>
        <v/>
      </c>
      <c r="P259" s="62" t="n"/>
      <c r="Q259" s="58" t="n"/>
      <c r="R259" s="63">
        <f>IF(NOT((COUNTA($B259:$D259)+COUNTA($G259:$L259)+COUNTA($Q259))&gt;0),"",IF((IF($C259="","Falta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",""))="","✔ OK","⚠ "&amp;LEFT(IF($C259="","Falta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",""),LEN(IF($C259="","Falta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",""))-3)))</f>
        <v/>
      </c>
      <c r="S259" s="64">
        <f>IF(NOT((COUNTA($B259:$D259)+COUNTA($G259:$L259)+COUNTA($Q259))&gt;0),"",IF(AND($V259="Sub",N($U259)&gt;0),IF(ISNUMBER(INDEX($AM$5:$AM$1000,$U259-4)),DATE(YEAR(INDEX($AM$5:$AM$1000,$U259-4)),MONTH(INDEX($AM$5:$AM$1000,$U259-4)),1),IF(ISNUMBER(INDEX($AN$5:$AN$1000,$U259-4)),DATE(YEAR(INDEX($AN$5:$AN$1000,$U259-4)),MONTH(INDEX($AN$5:$AN$1000,$U259-4)),1),MesCiclo)),IF(ISNUMBER($AM259),DATE(YEAR($AM259),MONTH($AM259),1),IF(ISNUMBER($AN259),DATE(YEAR($AN259),MONTH($AN259),1),MesCiclo))))</f>
        <v/>
      </c>
      <c r="T259" s="62">
        <f>IF(OR($S259="",$S259&lt;&gt;MesCiclo),"",COUNTIF($S$5:$S259,MesCiclo))</f>
        <v/>
      </c>
      <c r="U259" s="62">
        <f>IF($V259="","",IF($V259="Macro",ROW(),IFERROR(LOOKUP(2,1/($V$5:$V259="Macro"),ROW($V$5:$V259)),0)))</f>
        <v/>
      </c>
      <c r="V259" s="62">
        <f>IF(NOT((COUNTA($B259:$D259)+COUNTA($G259:$L259)+COUNTA($Q259))&gt;0),"",IF($B259="Subactividad","Sub","Macro"))</f>
        <v/>
      </c>
      <c r="W259" s="62">
        <f>IF($V259="Macro",COUNTIFS($U$5:$U$1000,ROW(),$V$5:$V$1000,"Sub"),"")</f>
        <v/>
      </c>
      <c r="X259" s="62">
        <f>IF($V259="","",IF(ISNUMBER($G259),1,IFERROR(LOOKUP(2,1/($I259:$L259&lt;&gt;""),$I259:$L259),0)))</f>
        <v/>
      </c>
      <c r="Y259" s="62">
        <f>IF($V259="","",IF(AND(ISNUMBER($G259),$G259&lt;=IF($S259=MesCiclo,InicioCiclo,$S259+MOD(2-WEEKDAY($S259),7))+6),1,IF(ISNUMBER($I259),$I259,0)))</f>
        <v/>
      </c>
      <c r="Z259" s="62">
        <f>IF($V259="","",IF(AND(ISNUMBER($G259),$G259&lt;=IF($S259=MesCiclo,InicioCiclo,$S259+MOD(2-WEEKDAY($S259),7))+13),1,IF(ISNUMBER($J259),$J259,$Y259)))</f>
        <v/>
      </c>
      <c r="AA259" s="62">
        <f>IF($V259="","",IF(AND(ISNUMBER($G259),$G259&lt;=IF($S259=MesCiclo,InicioCiclo,$S259+MOD(2-WEEKDAY($S259),7))+20),1,IF(ISNUMBER($K259),$K259,$Z259)))</f>
        <v/>
      </c>
      <c r="AB259" s="62">
        <f>IF($V259="","",IF(AND(ISNUMBER($G259),$G259&lt;=IF($S259=MesCiclo,InicioCiclo,$S259+MOD(2-WEEKDAY($S259),7))+27),1,IF(ISNUMBER($L259),$L259,$AA259)))</f>
        <v/>
      </c>
      <c r="AC259" s="62">
        <f>IF($V259="","",IF(AND(ISNUMBER($G259),$G259&lt;=IF($S259=MesCiclo,InicioCiclo,$S259+MOD(2-WEEKDAY($S259),7))+6),1,IF(N($W259)&gt;0,AVERAGEIFS($Y$5:$Y$1000,$U$5:$U$1000,ROW(),$V$5:$V$1000,"Sub"),$Y259)))</f>
        <v/>
      </c>
      <c r="AD259" s="62">
        <f>IF($V259="","",IF(AND(ISNUMBER($G259),$G259&lt;=IF($S259=MesCiclo,InicioCiclo,$S259+MOD(2-WEEKDAY($S259),7))+13),1,IF(N($W259)&gt;0,AVERAGEIFS($Z$5:$Z$1000,$U$5:$U$1000,ROW(),$V$5:$V$1000,"Sub"),$Z259)))</f>
        <v/>
      </c>
      <c r="AE259" s="62">
        <f>IF($V259="","",IF(AND(ISNUMBER($G259),$G259&lt;=IF($S259=MesCiclo,InicioCiclo,$S259+MOD(2-WEEKDAY($S259),7))+20),1,IF(N($W259)&gt;0,AVERAGEIFS($AA$5:$AA$1000,$U$5:$U$1000,ROW(),$V$5:$V$1000,"Sub"),$AA259)))</f>
        <v/>
      </c>
      <c r="AF259" s="62">
        <f>IF($V259="","",IF(AND(ISNUMBER($G259),$G259&lt;=IF($S259=MesCiclo,InicioCiclo,$S259+MOD(2-WEEKDAY($S259),7))+27),1,IF(N($W259)&gt;0,AVERAGEIFS($AB$5:$AB$1000,$U$5:$U$1000,ROW(),$V$5:$V$1000,"Sub"),$AB259)))</f>
        <v/>
      </c>
      <c r="AG259" s="62">
        <f>IF($V259&lt;&gt;"Macro","",IF(COUNTIFS($S$5:$S$1000,$S259,$V$5:$V$1000,"Macro",$H$5:$H$1000,"&gt;0")=0,1/COUNTIFS($S$5:$S$1000,$S259,$V$5:$V$1000,"Macro"),IF(AND(ISNUMBER($H259),N($H259)&gt;0),$H259,SUMIFS($H$5:$H$1000,$S$5:$S$1000,$S259,$V$5:$V$1000,"Macro")/COUNTIFS($S$5:$S$1000,$S259,$V$5:$V$1000,"Macro",$H$5:$H$1000,"&gt;0"))/(COUNTIFS($S$5:$S$1000,$S259,$V$5:$V$1000,"Macro")*SUMIFS($H$5:$H$1000,$S$5:$S$1000,$S259,$V$5:$V$1000,"Macro")/COUNTIFS($S$5:$S$1000,$S259,$V$5:$V$1000,"Macro",$H$5:$H$1000,"&gt;0"))))</f>
        <v/>
      </c>
      <c r="AH259" s="62" t="n"/>
      <c r="AI259" s="62" t="n"/>
      <c r="AJ259" s="62" t="n"/>
      <c r="AK259" s="62" t="n"/>
      <c r="AL259" s="62">
        <f>IF(LEFT($C259,11)="[Jefatura] ",IFERROR(MATCH("Riesgo Financiero|"&amp;MID($C259,12,500),rDname_ADM,0),0),"")</f>
        <v/>
      </c>
      <c r="AM259" s="62">
        <f>IF(N($AL259)&gt;0,INDEX(rIni_ADM,$AL259),IF(ISNUMBER($E259),$E259,""))</f>
        <v/>
      </c>
      <c r="AN259" s="62">
        <f>IF(N($AL259)&gt;0,INDEX(rLim_ADM,$AL259),IF(ISNUMBER($F259),$F259,""))</f>
        <v/>
      </c>
    </row>
    <row r="260">
      <c r="A260" s="56">
        <f>IF(NOT((COUNTA($B260:$D260)+COUNTA($G260:$L260)+COUNTA($Q260))&gt;0),"",IF($V260="Macro",COUNTIFS($V$5:$V260,"Macro",$S$5:$S260,$S260),IF(N($U260)=0,"?",COUNTIFS(INDEX($V$5:$V$1000,1):INDEX($V$5:$V$1000,$U260-4),"Macro",INDEX($S$5:$S$1000,1):INDEX($S$5:$S$1000,$U260-4),INDEX($S$5:$S$1000,$U260-4))&amp;"."&amp;COUNTIFS($U$5:$U260,$U260,$V$5:$V260,"Sub"))))</f>
        <v/>
      </c>
      <c r="B260" s="57" t="n"/>
      <c r="C260" s="58" t="n"/>
      <c r="D260" s="58" t="n"/>
      <c r="E260" s="59">
        <f>IF(N($AL260)&gt;0,INDEX(rIni_ADM,$AL260),"")</f>
        <v/>
      </c>
      <c r="F260" s="59">
        <f>IF(N($AL260)&gt;0,INDEX(rLim_ADM,$AL260),"")</f>
        <v/>
      </c>
      <c r="G260" s="59" t="n"/>
      <c r="H260" s="60" t="n"/>
      <c r="I260" s="60" t="n"/>
      <c r="J260" s="60" t="n"/>
      <c r="K260" s="60" t="n"/>
      <c r="L260" s="60" t="n"/>
      <c r="M260" s="61">
        <f>IF(NOT((COUNTA($B260:$D260)+COUNTA($G260:$L260)+COUNTA($Q260))&gt;0),"",IF(ISNUMBER($G260),1,IF(N($W260)&gt;0,AVERAGEIFS($X$5:$X$1000,$U$5:$U$1000,ROW(),$V$5:$V$1000,"Sub"),$X260)))</f>
        <v/>
      </c>
      <c r="N260" s="56">
        <f>IF($M260="","",IF($M260&gt;=1,"Completado",IF($M260&gt;0,"En curso","Pendiente")))</f>
        <v/>
      </c>
      <c r="O260" s="56">
        <f>IF(NOT((COUNTA($B260:$D260)+COUNTA($G260:$L260)+COUNTA($Q260))&gt;0),"",IF(ISNUMBER($G260),IF(AND(ISNUMBER($AN260),$G260&gt;$AN260),"Cumplida con "&amp;($G260-$AN260)&amp;IF($G260-$AN260=1," día"," días")&amp;" de retraso","Cumplida"),IF(N($M260)&gt;=1,"Cumplida",IF(NOT(ISNUMBER($AN260)),"Sin fecha límite",IF($AN260&lt;FechaRef,"Vencida hace "&amp;(FechaRef-$AN260)&amp;IF(FechaRef-$AN260=1," día"," días"),IF($AN260=FechaRef,"Vence hoy",IF($AN260-FechaRef&lt;=DiasAlerta,"Vence en "&amp;($AN260-FechaRef)&amp;IF($AN260-FechaRef=1," día"," días"),"En plazo")))))))</f>
        <v/>
      </c>
      <c r="P260" s="62" t="n"/>
      <c r="Q260" s="58" t="n"/>
      <c r="R260" s="63">
        <f>IF(NOT((COUNTA($B260:$D260)+COUNTA($G260:$L260)+COUNTA($Q260))&gt;0),"",IF((IF($C260="","Falta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",""))="","✔ OK","⚠ "&amp;LEFT(IF($C260="","Falta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",""),LEN(IF($C260="","Falta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",""))-3)))</f>
        <v/>
      </c>
      <c r="S260" s="64">
        <f>IF(NOT((COUNTA($B260:$D260)+COUNTA($G260:$L260)+COUNTA($Q260))&gt;0),"",IF(AND($V260="Sub",N($U260)&gt;0),IF(ISNUMBER(INDEX($AM$5:$AM$1000,$U260-4)),DATE(YEAR(INDEX($AM$5:$AM$1000,$U260-4)),MONTH(INDEX($AM$5:$AM$1000,$U260-4)),1),IF(ISNUMBER(INDEX($AN$5:$AN$1000,$U260-4)),DATE(YEAR(INDEX($AN$5:$AN$1000,$U260-4)),MONTH(INDEX($AN$5:$AN$1000,$U260-4)),1),MesCiclo)),IF(ISNUMBER($AM260),DATE(YEAR($AM260),MONTH($AM260),1),IF(ISNUMBER($AN260),DATE(YEAR($AN260),MONTH($AN260),1),MesCiclo))))</f>
        <v/>
      </c>
      <c r="T260" s="62">
        <f>IF(OR($S260="",$S260&lt;&gt;MesCiclo),"",COUNTIF($S$5:$S260,MesCiclo))</f>
        <v/>
      </c>
      <c r="U260" s="62">
        <f>IF($V260="","",IF($V260="Macro",ROW(),IFERROR(LOOKUP(2,1/($V$5:$V260="Macro"),ROW($V$5:$V260)),0)))</f>
        <v/>
      </c>
      <c r="V260" s="62">
        <f>IF(NOT((COUNTA($B260:$D260)+COUNTA($G260:$L260)+COUNTA($Q260))&gt;0),"",IF($B260="Subactividad","Sub","Macro"))</f>
        <v/>
      </c>
      <c r="W260" s="62">
        <f>IF($V260="Macro",COUNTIFS($U$5:$U$1000,ROW(),$V$5:$V$1000,"Sub"),"")</f>
        <v/>
      </c>
      <c r="X260" s="62">
        <f>IF($V260="","",IF(ISNUMBER($G260),1,IFERROR(LOOKUP(2,1/($I260:$L260&lt;&gt;""),$I260:$L260),0)))</f>
        <v/>
      </c>
      <c r="Y260" s="62">
        <f>IF($V260="","",IF(AND(ISNUMBER($G260),$G260&lt;=IF($S260=MesCiclo,InicioCiclo,$S260+MOD(2-WEEKDAY($S260),7))+6),1,IF(ISNUMBER($I260),$I260,0)))</f>
        <v/>
      </c>
      <c r="Z260" s="62">
        <f>IF($V260="","",IF(AND(ISNUMBER($G260),$G260&lt;=IF($S260=MesCiclo,InicioCiclo,$S260+MOD(2-WEEKDAY($S260),7))+13),1,IF(ISNUMBER($J260),$J260,$Y260)))</f>
        <v/>
      </c>
      <c r="AA260" s="62">
        <f>IF($V260="","",IF(AND(ISNUMBER($G260),$G260&lt;=IF($S260=MesCiclo,InicioCiclo,$S260+MOD(2-WEEKDAY($S260),7))+20),1,IF(ISNUMBER($K260),$K260,$Z260)))</f>
        <v/>
      </c>
      <c r="AB260" s="62">
        <f>IF($V260="","",IF(AND(ISNUMBER($G260),$G260&lt;=IF($S260=MesCiclo,InicioCiclo,$S260+MOD(2-WEEKDAY($S260),7))+27),1,IF(ISNUMBER($L260),$L260,$AA260)))</f>
        <v/>
      </c>
      <c r="AC260" s="62">
        <f>IF($V260="","",IF(AND(ISNUMBER($G260),$G260&lt;=IF($S260=MesCiclo,InicioCiclo,$S260+MOD(2-WEEKDAY($S260),7))+6),1,IF(N($W260)&gt;0,AVERAGEIFS($Y$5:$Y$1000,$U$5:$U$1000,ROW(),$V$5:$V$1000,"Sub"),$Y260)))</f>
        <v/>
      </c>
      <c r="AD260" s="62">
        <f>IF($V260="","",IF(AND(ISNUMBER($G260),$G260&lt;=IF($S260=MesCiclo,InicioCiclo,$S260+MOD(2-WEEKDAY($S260),7))+13),1,IF(N($W260)&gt;0,AVERAGEIFS($Z$5:$Z$1000,$U$5:$U$1000,ROW(),$V$5:$V$1000,"Sub"),$Z260)))</f>
        <v/>
      </c>
      <c r="AE260" s="62">
        <f>IF($V260="","",IF(AND(ISNUMBER($G260),$G260&lt;=IF($S260=MesCiclo,InicioCiclo,$S260+MOD(2-WEEKDAY($S260),7))+20),1,IF(N($W260)&gt;0,AVERAGEIFS($AA$5:$AA$1000,$U$5:$U$1000,ROW(),$V$5:$V$1000,"Sub"),$AA260)))</f>
        <v/>
      </c>
      <c r="AF260" s="62">
        <f>IF($V260="","",IF(AND(ISNUMBER($G260),$G260&lt;=IF($S260=MesCiclo,InicioCiclo,$S260+MOD(2-WEEKDAY($S260),7))+27),1,IF(N($W260)&gt;0,AVERAGEIFS($AB$5:$AB$1000,$U$5:$U$1000,ROW(),$V$5:$V$1000,"Sub"),$AB260)))</f>
        <v/>
      </c>
      <c r="AG260" s="62">
        <f>IF($V260&lt;&gt;"Macro","",IF(COUNTIFS($S$5:$S$1000,$S260,$V$5:$V$1000,"Macro",$H$5:$H$1000,"&gt;0")=0,1/COUNTIFS($S$5:$S$1000,$S260,$V$5:$V$1000,"Macro"),IF(AND(ISNUMBER($H260),N($H260)&gt;0),$H260,SUMIFS($H$5:$H$1000,$S$5:$S$1000,$S260,$V$5:$V$1000,"Macro")/COUNTIFS($S$5:$S$1000,$S260,$V$5:$V$1000,"Macro",$H$5:$H$1000,"&gt;0"))/(COUNTIFS($S$5:$S$1000,$S260,$V$5:$V$1000,"Macro")*SUMIFS($H$5:$H$1000,$S$5:$S$1000,$S260,$V$5:$V$1000,"Macro")/COUNTIFS($S$5:$S$1000,$S260,$V$5:$V$1000,"Macro",$H$5:$H$1000,"&gt;0"))))</f>
        <v/>
      </c>
      <c r="AH260" s="62" t="n"/>
      <c r="AI260" s="62" t="n"/>
      <c r="AJ260" s="62" t="n"/>
      <c r="AK260" s="62" t="n"/>
      <c r="AL260" s="62">
        <f>IF(LEFT($C260,11)="[Jefatura] ",IFERROR(MATCH("Riesgo Financiero|"&amp;MID($C260,12,500),rDname_ADM,0),0),"")</f>
        <v/>
      </c>
      <c r="AM260" s="62">
        <f>IF(N($AL260)&gt;0,INDEX(rIni_ADM,$AL260),IF(ISNUMBER($E260),$E260,""))</f>
        <v/>
      </c>
      <c r="AN260" s="62">
        <f>IF(N($AL260)&gt;0,INDEX(rLim_ADM,$AL260),IF(ISNUMBER($F260),$F260,""))</f>
        <v/>
      </c>
    </row>
    <row r="261">
      <c r="A261" s="56">
        <f>IF(NOT((COUNTA($B261:$D261)+COUNTA($G261:$L261)+COUNTA($Q261))&gt;0),"",IF($V261="Macro",COUNTIFS($V$5:$V261,"Macro",$S$5:$S261,$S261),IF(N($U261)=0,"?",COUNTIFS(INDEX($V$5:$V$1000,1):INDEX($V$5:$V$1000,$U261-4),"Macro",INDEX($S$5:$S$1000,1):INDEX($S$5:$S$1000,$U261-4),INDEX($S$5:$S$1000,$U261-4))&amp;"."&amp;COUNTIFS($U$5:$U261,$U261,$V$5:$V261,"Sub"))))</f>
        <v/>
      </c>
      <c r="B261" s="57" t="n"/>
      <c r="C261" s="58" t="n"/>
      <c r="D261" s="58" t="n"/>
      <c r="E261" s="59">
        <f>IF(N($AL261)&gt;0,INDEX(rIni_ADM,$AL261),"")</f>
        <v/>
      </c>
      <c r="F261" s="59">
        <f>IF(N($AL261)&gt;0,INDEX(rLim_ADM,$AL261),"")</f>
        <v/>
      </c>
      <c r="G261" s="59" t="n"/>
      <c r="H261" s="60" t="n"/>
      <c r="I261" s="60" t="n"/>
      <c r="J261" s="60" t="n"/>
      <c r="K261" s="60" t="n"/>
      <c r="L261" s="60" t="n"/>
      <c r="M261" s="61">
        <f>IF(NOT((COUNTA($B261:$D261)+COUNTA($G261:$L261)+COUNTA($Q261))&gt;0),"",IF(ISNUMBER($G261),1,IF(N($W261)&gt;0,AVERAGEIFS($X$5:$X$1000,$U$5:$U$1000,ROW(),$V$5:$V$1000,"Sub"),$X261)))</f>
        <v/>
      </c>
      <c r="N261" s="56">
        <f>IF($M261="","",IF($M261&gt;=1,"Completado",IF($M261&gt;0,"En curso","Pendiente")))</f>
        <v/>
      </c>
      <c r="O261" s="56">
        <f>IF(NOT((COUNTA($B261:$D261)+COUNTA($G261:$L261)+COUNTA($Q261))&gt;0),"",IF(ISNUMBER($G261),IF(AND(ISNUMBER($AN261),$G261&gt;$AN261),"Cumplida con "&amp;($G261-$AN261)&amp;IF($G261-$AN261=1," día"," días")&amp;" de retraso","Cumplida"),IF(N($M261)&gt;=1,"Cumplida",IF(NOT(ISNUMBER($AN261)),"Sin fecha límite",IF($AN261&lt;FechaRef,"Vencida hace "&amp;(FechaRef-$AN261)&amp;IF(FechaRef-$AN261=1," día"," días"),IF($AN261=FechaRef,"Vence hoy",IF($AN261-FechaRef&lt;=DiasAlerta,"Vence en "&amp;($AN261-FechaRef)&amp;IF($AN261-FechaRef=1," día"," días"),"En plazo")))))))</f>
        <v/>
      </c>
      <c r="P261" s="62" t="n"/>
      <c r="Q261" s="58" t="n"/>
      <c r="R261" s="63">
        <f>IF(NOT((COUNTA($B261:$D261)+COUNTA($G261:$L261)+COUNTA($Q261))&gt;0),"",IF((IF($C261="","Falta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",""))="","✔ OK","⚠ "&amp;LEFT(IF($C261="","Falta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",""),LEN(IF($C261="","Falta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",""))-3)))</f>
        <v/>
      </c>
      <c r="S261" s="64">
        <f>IF(NOT((COUNTA($B261:$D261)+COUNTA($G261:$L261)+COUNTA($Q261))&gt;0),"",IF(AND($V261="Sub",N($U261)&gt;0),IF(ISNUMBER(INDEX($AM$5:$AM$1000,$U261-4)),DATE(YEAR(INDEX($AM$5:$AM$1000,$U261-4)),MONTH(INDEX($AM$5:$AM$1000,$U261-4)),1),IF(ISNUMBER(INDEX($AN$5:$AN$1000,$U261-4)),DATE(YEAR(INDEX($AN$5:$AN$1000,$U261-4)),MONTH(INDEX($AN$5:$AN$1000,$U261-4)),1),MesCiclo)),IF(ISNUMBER($AM261),DATE(YEAR($AM261),MONTH($AM261),1),IF(ISNUMBER($AN261),DATE(YEAR($AN261),MONTH($AN261),1),MesCiclo))))</f>
        <v/>
      </c>
      <c r="T261" s="62">
        <f>IF(OR($S261="",$S261&lt;&gt;MesCiclo),"",COUNTIF($S$5:$S261,MesCiclo))</f>
        <v/>
      </c>
      <c r="U261" s="62">
        <f>IF($V261="","",IF($V261="Macro",ROW(),IFERROR(LOOKUP(2,1/($V$5:$V261="Macro"),ROW($V$5:$V261)),0)))</f>
        <v/>
      </c>
      <c r="V261" s="62">
        <f>IF(NOT((COUNTA($B261:$D261)+COUNTA($G261:$L261)+COUNTA($Q261))&gt;0),"",IF($B261="Subactividad","Sub","Macro"))</f>
        <v/>
      </c>
      <c r="W261" s="62">
        <f>IF($V261="Macro",COUNTIFS($U$5:$U$1000,ROW(),$V$5:$V$1000,"Sub"),"")</f>
        <v/>
      </c>
      <c r="X261" s="62">
        <f>IF($V261="","",IF(ISNUMBER($G261),1,IFERROR(LOOKUP(2,1/($I261:$L261&lt;&gt;""),$I261:$L261),0)))</f>
        <v/>
      </c>
      <c r="Y261" s="62">
        <f>IF($V261="","",IF(AND(ISNUMBER($G261),$G261&lt;=IF($S261=MesCiclo,InicioCiclo,$S261+MOD(2-WEEKDAY($S261),7))+6),1,IF(ISNUMBER($I261),$I261,0)))</f>
        <v/>
      </c>
      <c r="Z261" s="62">
        <f>IF($V261="","",IF(AND(ISNUMBER($G261),$G261&lt;=IF($S261=MesCiclo,InicioCiclo,$S261+MOD(2-WEEKDAY($S261),7))+13),1,IF(ISNUMBER($J261),$J261,$Y261)))</f>
        <v/>
      </c>
      <c r="AA261" s="62">
        <f>IF($V261="","",IF(AND(ISNUMBER($G261),$G261&lt;=IF($S261=MesCiclo,InicioCiclo,$S261+MOD(2-WEEKDAY($S261),7))+20),1,IF(ISNUMBER($K261),$K261,$Z261)))</f>
        <v/>
      </c>
      <c r="AB261" s="62">
        <f>IF($V261="","",IF(AND(ISNUMBER($G261),$G261&lt;=IF($S261=MesCiclo,InicioCiclo,$S261+MOD(2-WEEKDAY($S261),7))+27),1,IF(ISNUMBER($L261),$L261,$AA261)))</f>
        <v/>
      </c>
      <c r="AC261" s="62">
        <f>IF($V261="","",IF(AND(ISNUMBER($G261),$G261&lt;=IF($S261=MesCiclo,InicioCiclo,$S261+MOD(2-WEEKDAY($S261),7))+6),1,IF(N($W261)&gt;0,AVERAGEIFS($Y$5:$Y$1000,$U$5:$U$1000,ROW(),$V$5:$V$1000,"Sub"),$Y261)))</f>
        <v/>
      </c>
      <c r="AD261" s="62">
        <f>IF($V261="","",IF(AND(ISNUMBER($G261),$G261&lt;=IF($S261=MesCiclo,InicioCiclo,$S261+MOD(2-WEEKDAY($S261),7))+13),1,IF(N($W261)&gt;0,AVERAGEIFS($Z$5:$Z$1000,$U$5:$U$1000,ROW(),$V$5:$V$1000,"Sub"),$Z261)))</f>
        <v/>
      </c>
      <c r="AE261" s="62">
        <f>IF($V261="","",IF(AND(ISNUMBER($G261),$G261&lt;=IF($S261=MesCiclo,InicioCiclo,$S261+MOD(2-WEEKDAY($S261),7))+20),1,IF(N($W261)&gt;0,AVERAGEIFS($AA$5:$AA$1000,$U$5:$U$1000,ROW(),$V$5:$V$1000,"Sub"),$AA261)))</f>
        <v/>
      </c>
      <c r="AF261" s="62">
        <f>IF($V261="","",IF(AND(ISNUMBER($G261),$G261&lt;=IF($S261=MesCiclo,InicioCiclo,$S261+MOD(2-WEEKDAY($S261),7))+27),1,IF(N($W261)&gt;0,AVERAGEIFS($AB$5:$AB$1000,$U$5:$U$1000,ROW(),$V$5:$V$1000,"Sub"),$AB261)))</f>
        <v/>
      </c>
      <c r="AG261" s="62">
        <f>IF($V261&lt;&gt;"Macro","",IF(COUNTIFS($S$5:$S$1000,$S261,$V$5:$V$1000,"Macro",$H$5:$H$1000,"&gt;0")=0,1/COUNTIFS($S$5:$S$1000,$S261,$V$5:$V$1000,"Macro"),IF(AND(ISNUMBER($H261),N($H261)&gt;0),$H261,SUMIFS($H$5:$H$1000,$S$5:$S$1000,$S261,$V$5:$V$1000,"Macro")/COUNTIFS($S$5:$S$1000,$S261,$V$5:$V$1000,"Macro",$H$5:$H$1000,"&gt;0"))/(COUNTIFS($S$5:$S$1000,$S261,$V$5:$V$1000,"Macro")*SUMIFS($H$5:$H$1000,$S$5:$S$1000,$S261,$V$5:$V$1000,"Macro")/COUNTIFS($S$5:$S$1000,$S261,$V$5:$V$1000,"Macro",$H$5:$H$1000,"&gt;0"))))</f>
        <v/>
      </c>
      <c r="AH261" s="62" t="n"/>
      <c r="AI261" s="62" t="n"/>
      <c r="AJ261" s="62" t="n"/>
      <c r="AK261" s="62" t="n"/>
      <c r="AL261" s="62">
        <f>IF(LEFT($C261,11)="[Jefatura] ",IFERROR(MATCH("Riesgo Financiero|"&amp;MID($C261,12,500),rDname_ADM,0),0),"")</f>
        <v/>
      </c>
      <c r="AM261" s="62">
        <f>IF(N($AL261)&gt;0,INDEX(rIni_ADM,$AL261),IF(ISNUMBER($E261),$E261,""))</f>
        <v/>
      </c>
      <c r="AN261" s="62">
        <f>IF(N($AL261)&gt;0,INDEX(rLim_ADM,$AL261),IF(ISNUMBER($F261),$F261,""))</f>
        <v/>
      </c>
    </row>
    <row r="262">
      <c r="A262" s="56">
        <f>IF(NOT((COUNTA($B262:$D262)+COUNTA($G262:$L262)+COUNTA($Q262))&gt;0),"",IF($V262="Macro",COUNTIFS($V$5:$V262,"Macro",$S$5:$S262,$S262),IF(N($U262)=0,"?",COUNTIFS(INDEX($V$5:$V$1000,1):INDEX($V$5:$V$1000,$U262-4),"Macro",INDEX($S$5:$S$1000,1):INDEX($S$5:$S$1000,$U262-4),INDEX($S$5:$S$1000,$U262-4))&amp;"."&amp;COUNTIFS($U$5:$U262,$U262,$V$5:$V262,"Sub"))))</f>
        <v/>
      </c>
      <c r="B262" s="57" t="n"/>
      <c r="C262" s="58" t="n"/>
      <c r="D262" s="58" t="n"/>
      <c r="E262" s="59">
        <f>IF(N($AL262)&gt;0,INDEX(rIni_ADM,$AL262),"")</f>
        <v/>
      </c>
      <c r="F262" s="59">
        <f>IF(N($AL262)&gt;0,INDEX(rLim_ADM,$AL262),"")</f>
        <v/>
      </c>
      <c r="G262" s="59" t="n"/>
      <c r="H262" s="60" t="n"/>
      <c r="I262" s="60" t="n"/>
      <c r="J262" s="60" t="n"/>
      <c r="K262" s="60" t="n"/>
      <c r="L262" s="60" t="n"/>
      <c r="M262" s="61">
        <f>IF(NOT((COUNTA($B262:$D262)+COUNTA($G262:$L262)+COUNTA($Q262))&gt;0),"",IF(ISNUMBER($G262),1,IF(N($W262)&gt;0,AVERAGEIFS($X$5:$X$1000,$U$5:$U$1000,ROW(),$V$5:$V$1000,"Sub"),$X262)))</f>
        <v/>
      </c>
      <c r="N262" s="56">
        <f>IF($M262="","",IF($M262&gt;=1,"Completado",IF($M262&gt;0,"En curso","Pendiente")))</f>
        <v/>
      </c>
      <c r="O262" s="56">
        <f>IF(NOT((COUNTA($B262:$D262)+COUNTA($G262:$L262)+COUNTA($Q262))&gt;0),"",IF(ISNUMBER($G262),IF(AND(ISNUMBER($AN262),$G262&gt;$AN262),"Cumplida con "&amp;($G262-$AN262)&amp;IF($G262-$AN262=1," día"," días")&amp;" de retraso","Cumplida"),IF(N($M262)&gt;=1,"Cumplida",IF(NOT(ISNUMBER($AN262)),"Sin fecha límite",IF($AN262&lt;FechaRef,"Vencida hace "&amp;(FechaRef-$AN262)&amp;IF(FechaRef-$AN262=1," día"," días"),IF($AN262=FechaRef,"Vence hoy",IF($AN262-FechaRef&lt;=DiasAlerta,"Vence en "&amp;($AN262-FechaRef)&amp;IF($AN262-FechaRef=1," día"," días"),"En plazo")))))))</f>
        <v/>
      </c>
      <c r="P262" s="62" t="n"/>
      <c r="Q262" s="58" t="n"/>
      <c r="R262" s="63">
        <f>IF(NOT((COUNTA($B262:$D262)+COUNTA($G262:$L262)+COUNTA($Q262))&gt;0),"",IF((IF($C262="","Falta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",""))="","✔ OK","⚠ "&amp;LEFT(IF($C262="","Falta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",""),LEN(IF($C262="","Falta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",""))-3)))</f>
        <v/>
      </c>
      <c r="S262" s="64">
        <f>IF(NOT((COUNTA($B262:$D262)+COUNTA($G262:$L262)+COUNTA($Q262))&gt;0),"",IF(AND($V262="Sub",N($U262)&gt;0),IF(ISNUMBER(INDEX($AM$5:$AM$1000,$U262-4)),DATE(YEAR(INDEX($AM$5:$AM$1000,$U262-4)),MONTH(INDEX($AM$5:$AM$1000,$U262-4)),1),IF(ISNUMBER(INDEX($AN$5:$AN$1000,$U262-4)),DATE(YEAR(INDEX($AN$5:$AN$1000,$U262-4)),MONTH(INDEX($AN$5:$AN$1000,$U262-4)),1),MesCiclo)),IF(ISNUMBER($AM262),DATE(YEAR($AM262),MONTH($AM262),1),IF(ISNUMBER($AN262),DATE(YEAR($AN262),MONTH($AN262),1),MesCiclo))))</f>
        <v/>
      </c>
      <c r="T262" s="62">
        <f>IF(OR($S262="",$S262&lt;&gt;MesCiclo),"",COUNTIF($S$5:$S262,MesCiclo))</f>
        <v/>
      </c>
      <c r="U262" s="62">
        <f>IF($V262="","",IF($V262="Macro",ROW(),IFERROR(LOOKUP(2,1/($V$5:$V262="Macro"),ROW($V$5:$V262)),0)))</f>
        <v/>
      </c>
      <c r="V262" s="62">
        <f>IF(NOT((COUNTA($B262:$D262)+COUNTA($G262:$L262)+COUNTA($Q262))&gt;0),"",IF($B262="Subactividad","Sub","Macro"))</f>
        <v/>
      </c>
      <c r="W262" s="62">
        <f>IF($V262="Macro",COUNTIFS($U$5:$U$1000,ROW(),$V$5:$V$1000,"Sub"),"")</f>
        <v/>
      </c>
      <c r="X262" s="62">
        <f>IF($V262="","",IF(ISNUMBER($G262),1,IFERROR(LOOKUP(2,1/($I262:$L262&lt;&gt;""),$I262:$L262),0)))</f>
        <v/>
      </c>
      <c r="Y262" s="62">
        <f>IF($V262="","",IF(AND(ISNUMBER($G262),$G262&lt;=IF($S262=MesCiclo,InicioCiclo,$S262+MOD(2-WEEKDAY($S262),7))+6),1,IF(ISNUMBER($I262),$I262,0)))</f>
        <v/>
      </c>
      <c r="Z262" s="62">
        <f>IF($V262="","",IF(AND(ISNUMBER($G262),$G262&lt;=IF($S262=MesCiclo,InicioCiclo,$S262+MOD(2-WEEKDAY($S262),7))+13),1,IF(ISNUMBER($J262),$J262,$Y262)))</f>
        <v/>
      </c>
      <c r="AA262" s="62">
        <f>IF($V262="","",IF(AND(ISNUMBER($G262),$G262&lt;=IF($S262=MesCiclo,InicioCiclo,$S262+MOD(2-WEEKDAY($S262),7))+20),1,IF(ISNUMBER($K262),$K262,$Z262)))</f>
        <v/>
      </c>
      <c r="AB262" s="62">
        <f>IF($V262="","",IF(AND(ISNUMBER($G262),$G262&lt;=IF($S262=MesCiclo,InicioCiclo,$S262+MOD(2-WEEKDAY($S262),7))+27),1,IF(ISNUMBER($L262),$L262,$AA262)))</f>
        <v/>
      </c>
      <c r="AC262" s="62">
        <f>IF($V262="","",IF(AND(ISNUMBER($G262),$G262&lt;=IF($S262=MesCiclo,InicioCiclo,$S262+MOD(2-WEEKDAY($S262),7))+6),1,IF(N($W262)&gt;0,AVERAGEIFS($Y$5:$Y$1000,$U$5:$U$1000,ROW(),$V$5:$V$1000,"Sub"),$Y262)))</f>
        <v/>
      </c>
      <c r="AD262" s="62">
        <f>IF($V262="","",IF(AND(ISNUMBER($G262),$G262&lt;=IF($S262=MesCiclo,InicioCiclo,$S262+MOD(2-WEEKDAY($S262),7))+13),1,IF(N($W262)&gt;0,AVERAGEIFS($Z$5:$Z$1000,$U$5:$U$1000,ROW(),$V$5:$V$1000,"Sub"),$Z262)))</f>
        <v/>
      </c>
      <c r="AE262" s="62">
        <f>IF($V262="","",IF(AND(ISNUMBER($G262),$G262&lt;=IF($S262=MesCiclo,InicioCiclo,$S262+MOD(2-WEEKDAY($S262),7))+20),1,IF(N($W262)&gt;0,AVERAGEIFS($AA$5:$AA$1000,$U$5:$U$1000,ROW(),$V$5:$V$1000,"Sub"),$AA262)))</f>
        <v/>
      </c>
      <c r="AF262" s="62">
        <f>IF($V262="","",IF(AND(ISNUMBER($G262),$G262&lt;=IF($S262=MesCiclo,InicioCiclo,$S262+MOD(2-WEEKDAY($S262),7))+27),1,IF(N($W262)&gt;0,AVERAGEIFS($AB$5:$AB$1000,$U$5:$U$1000,ROW(),$V$5:$V$1000,"Sub"),$AB262)))</f>
        <v/>
      </c>
      <c r="AG262" s="62">
        <f>IF($V262&lt;&gt;"Macro","",IF(COUNTIFS($S$5:$S$1000,$S262,$V$5:$V$1000,"Macro",$H$5:$H$1000,"&gt;0")=0,1/COUNTIFS($S$5:$S$1000,$S262,$V$5:$V$1000,"Macro"),IF(AND(ISNUMBER($H262),N($H262)&gt;0),$H262,SUMIFS($H$5:$H$1000,$S$5:$S$1000,$S262,$V$5:$V$1000,"Macro")/COUNTIFS($S$5:$S$1000,$S262,$V$5:$V$1000,"Macro",$H$5:$H$1000,"&gt;0"))/(COUNTIFS($S$5:$S$1000,$S262,$V$5:$V$1000,"Macro")*SUMIFS($H$5:$H$1000,$S$5:$S$1000,$S262,$V$5:$V$1000,"Macro")/COUNTIFS($S$5:$S$1000,$S262,$V$5:$V$1000,"Macro",$H$5:$H$1000,"&gt;0"))))</f>
        <v/>
      </c>
      <c r="AH262" s="62" t="n"/>
      <c r="AI262" s="62" t="n"/>
      <c r="AJ262" s="62" t="n"/>
      <c r="AK262" s="62" t="n"/>
      <c r="AL262" s="62">
        <f>IF(LEFT($C262,11)="[Jefatura] ",IFERROR(MATCH("Riesgo Financiero|"&amp;MID($C262,12,500),rDname_ADM,0),0),"")</f>
        <v/>
      </c>
      <c r="AM262" s="62">
        <f>IF(N($AL262)&gt;0,INDEX(rIni_ADM,$AL262),IF(ISNUMBER($E262),$E262,""))</f>
        <v/>
      </c>
      <c r="AN262" s="62">
        <f>IF(N($AL262)&gt;0,INDEX(rLim_ADM,$AL262),IF(ISNUMBER($F262),$F262,""))</f>
        <v/>
      </c>
    </row>
    <row r="263">
      <c r="A263" s="56">
        <f>IF(NOT((COUNTA($B263:$D263)+COUNTA($G263:$L263)+COUNTA($Q263))&gt;0),"",IF($V263="Macro",COUNTIFS($V$5:$V263,"Macro",$S$5:$S263,$S263),IF(N($U263)=0,"?",COUNTIFS(INDEX($V$5:$V$1000,1):INDEX($V$5:$V$1000,$U263-4),"Macro",INDEX($S$5:$S$1000,1):INDEX($S$5:$S$1000,$U263-4),INDEX($S$5:$S$1000,$U263-4))&amp;"."&amp;COUNTIFS($U$5:$U263,$U263,$V$5:$V263,"Sub"))))</f>
        <v/>
      </c>
      <c r="B263" s="57" t="n"/>
      <c r="C263" s="58" t="n"/>
      <c r="D263" s="58" t="n"/>
      <c r="E263" s="59">
        <f>IF(N($AL263)&gt;0,INDEX(rIni_ADM,$AL263),"")</f>
        <v/>
      </c>
      <c r="F263" s="59">
        <f>IF(N($AL263)&gt;0,INDEX(rLim_ADM,$AL263),"")</f>
        <v/>
      </c>
      <c r="G263" s="59" t="n"/>
      <c r="H263" s="60" t="n"/>
      <c r="I263" s="60" t="n"/>
      <c r="J263" s="60" t="n"/>
      <c r="K263" s="60" t="n"/>
      <c r="L263" s="60" t="n"/>
      <c r="M263" s="61">
        <f>IF(NOT((COUNTA($B263:$D263)+COUNTA($G263:$L263)+COUNTA($Q263))&gt;0),"",IF(ISNUMBER($G263),1,IF(N($W263)&gt;0,AVERAGEIFS($X$5:$X$1000,$U$5:$U$1000,ROW(),$V$5:$V$1000,"Sub"),$X263)))</f>
        <v/>
      </c>
      <c r="N263" s="56">
        <f>IF($M263="","",IF($M263&gt;=1,"Completado",IF($M263&gt;0,"En curso","Pendiente")))</f>
        <v/>
      </c>
      <c r="O263" s="56">
        <f>IF(NOT((COUNTA($B263:$D263)+COUNTA($G263:$L263)+COUNTA($Q263))&gt;0),"",IF(ISNUMBER($G263),IF(AND(ISNUMBER($AN263),$G263&gt;$AN263),"Cumplida con "&amp;($G263-$AN263)&amp;IF($G263-$AN263=1," día"," días")&amp;" de retraso","Cumplida"),IF(N($M263)&gt;=1,"Cumplida",IF(NOT(ISNUMBER($AN263)),"Sin fecha límite",IF($AN263&lt;FechaRef,"Vencida hace "&amp;(FechaRef-$AN263)&amp;IF(FechaRef-$AN263=1," día"," días"),IF($AN263=FechaRef,"Vence hoy",IF($AN263-FechaRef&lt;=DiasAlerta,"Vence en "&amp;($AN263-FechaRef)&amp;IF($AN263-FechaRef=1," día"," días"),"En plazo")))))))</f>
        <v/>
      </c>
      <c r="P263" s="62" t="n"/>
      <c r="Q263" s="58" t="n"/>
      <c r="R263" s="63">
        <f>IF(NOT((COUNTA($B263:$D263)+COUNTA($G263:$L263)+COUNTA($Q263))&gt;0),"",IF((IF($C263="","Falta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",""))="","✔ OK","⚠ "&amp;LEFT(IF($C263="","Falta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",""),LEN(IF($C263="","Falta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",""))-3)))</f>
        <v/>
      </c>
      <c r="S263" s="64">
        <f>IF(NOT((COUNTA($B263:$D263)+COUNTA($G263:$L263)+COUNTA($Q263))&gt;0),"",IF(AND($V263="Sub",N($U263)&gt;0),IF(ISNUMBER(INDEX($AM$5:$AM$1000,$U263-4)),DATE(YEAR(INDEX($AM$5:$AM$1000,$U263-4)),MONTH(INDEX($AM$5:$AM$1000,$U263-4)),1),IF(ISNUMBER(INDEX($AN$5:$AN$1000,$U263-4)),DATE(YEAR(INDEX($AN$5:$AN$1000,$U263-4)),MONTH(INDEX($AN$5:$AN$1000,$U263-4)),1),MesCiclo)),IF(ISNUMBER($AM263),DATE(YEAR($AM263),MONTH($AM263),1),IF(ISNUMBER($AN263),DATE(YEAR($AN263),MONTH($AN263),1),MesCiclo))))</f>
        <v/>
      </c>
      <c r="T263" s="62">
        <f>IF(OR($S263="",$S263&lt;&gt;MesCiclo),"",COUNTIF($S$5:$S263,MesCiclo))</f>
        <v/>
      </c>
      <c r="U263" s="62">
        <f>IF($V263="","",IF($V263="Macro",ROW(),IFERROR(LOOKUP(2,1/($V$5:$V263="Macro"),ROW($V$5:$V263)),0)))</f>
        <v/>
      </c>
      <c r="V263" s="62">
        <f>IF(NOT((COUNTA($B263:$D263)+COUNTA($G263:$L263)+COUNTA($Q263))&gt;0),"",IF($B263="Subactividad","Sub","Macro"))</f>
        <v/>
      </c>
      <c r="W263" s="62">
        <f>IF($V263="Macro",COUNTIFS($U$5:$U$1000,ROW(),$V$5:$V$1000,"Sub"),"")</f>
        <v/>
      </c>
      <c r="X263" s="62">
        <f>IF($V263="","",IF(ISNUMBER($G263),1,IFERROR(LOOKUP(2,1/($I263:$L263&lt;&gt;""),$I263:$L263),0)))</f>
        <v/>
      </c>
      <c r="Y263" s="62">
        <f>IF($V263="","",IF(AND(ISNUMBER($G263),$G263&lt;=IF($S263=MesCiclo,InicioCiclo,$S263+MOD(2-WEEKDAY($S263),7))+6),1,IF(ISNUMBER($I263),$I263,0)))</f>
        <v/>
      </c>
      <c r="Z263" s="62">
        <f>IF($V263="","",IF(AND(ISNUMBER($G263),$G263&lt;=IF($S263=MesCiclo,InicioCiclo,$S263+MOD(2-WEEKDAY($S263),7))+13),1,IF(ISNUMBER($J263),$J263,$Y263)))</f>
        <v/>
      </c>
      <c r="AA263" s="62">
        <f>IF($V263="","",IF(AND(ISNUMBER($G263),$G263&lt;=IF($S263=MesCiclo,InicioCiclo,$S263+MOD(2-WEEKDAY($S263),7))+20),1,IF(ISNUMBER($K263),$K263,$Z263)))</f>
        <v/>
      </c>
      <c r="AB263" s="62">
        <f>IF($V263="","",IF(AND(ISNUMBER($G263),$G263&lt;=IF($S263=MesCiclo,InicioCiclo,$S263+MOD(2-WEEKDAY($S263),7))+27),1,IF(ISNUMBER($L263),$L263,$AA263)))</f>
        <v/>
      </c>
      <c r="AC263" s="62">
        <f>IF($V263="","",IF(AND(ISNUMBER($G263),$G263&lt;=IF($S263=MesCiclo,InicioCiclo,$S263+MOD(2-WEEKDAY($S263),7))+6),1,IF(N($W263)&gt;0,AVERAGEIFS($Y$5:$Y$1000,$U$5:$U$1000,ROW(),$V$5:$V$1000,"Sub"),$Y263)))</f>
        <v/>
      </c>
      <c r="AD263" s="62">
        <f>IF($V263="","",IF(AND(ISNUMBER($G263),$G263&lt;=IF($S263=MesCiclo,InicioCiclo,$S263+MOD(2-WEEKDAY($S263),7))+13),1,IF(N($W263)&gt;0,AVERAGEIFS($Z$5:$Z$1000,$U$5:$U$1000,ROW(),$V$5:$V$1000,"Sub"),$Z263)))</f>
        <v/>
      </c>
      <c r="AE263" s="62">
        <f>IF($V263="","",IF(AND(ISNUMBER($G263),$G263&lt;=IF($S263=MesCiclo,InicioCiclo,$S263+MOD(2-WEEKDAY($S263),7))+20),1,IF(N($W263)&gt;0,AVERAGEIFS($AA$5:$AA$1000,$U$5:$U$1000,ROW(),$V$5:$V$1000,"Sub"),$AA263)))</f>
        <v/>
      </c>
      <c r="AF263" s="62">
        <f>IF($V263="","",IF(AND(ISNUMBER($G263),$G263&lt;=IF($S263=MesCiclo,InicioCiclo,$S263+MOD(2-WEEKDAY($S263),7))+27),1,IF(N($W263)&gt;0,AVERAGEIFS($AB$5:$AB$1000,$U$5:$U$1000,ROW(),$V$5:$V$1000,"Sub"),$AB263)))</f>
        <v/>
      </c>
      <c r="AG263" s="62">
        <f>IF($V263&lt;&gt;"Macro","",IF(COUNTIFS($S$5:$S$1000,$S263,$V$5:$V$1000,"Macro",$H$5:$H$1000,"&gt;0")=0,1/COUNTIFS($S$5:$S$1000,$S263,$V$5:$V$1000,"Macro"),IF(AND(ISNUMBER($H263),N($H263)&gt;0),$H263,SUMIFS($H$5:$H$1000,$S$5:$S$1000,$S263,$V$5:$V$1000,"Macro")/COUNTIFS($S$5:$S$1000,$S263,$V$5:$V$1000,"Macro",$H$5:$H$1000,"&gt;0"))/(COUNTIFS($S$5:$S$1000,$S263,$V$5:$V$1000,"Macro")*SUMIFS($H$5:$H$1000,$S$5:$S$1000,$S263,$V$5:$V$1000,"Macro")/COUNTIFS($S$5:$S$1000,$S263,$V$5:$V$1000,"Macro",$H$5:$H$1000,"&gt;0"))))</f>
        <v/>
      </c>
      <c r="AH263" s="62" t="n"/>
      <c r="AI263" s="62" t="n"/>
      <c r="AJ263" s="62" t="n"/>
      <c r="AK263" s="62" t="n"/>
      <c r="AL263" s="62">
        <f>IF(LEFT($C263,11)="[Jefatura] ",IFERROR(MATCH("Riesgo Financiero|"&amp;MID($C263,12,500),rDname_ADM,0),0),"")</f>
        <v/>
      </c>
      <c r="AM263" s="62">
        <f>IF(N($AL263)&gt;0,INDEX(rIni_ADM,$AL263),IF(ISNUMBER($E263),$E263,""))</f>
        <v/>
      </c>
      <c r="AN263" s="62">
        <f>IF(N($AL263)&gt;0,INDEX(rLim_ADM,$AL263),IF(ISNUMBER($F263),$F263,""))</f>
        <v/>
      </c>
    </row>
    <row r="264">
      <c r="A264" s="56">
        <f>IF(NOT((COUNTA($B264:$D264)+COUNTA($G264:$L264)+COUNTA($Q264))&gt;0),"",IF($V264="Macro",COUNTIFS($V$5:$V264,"Macro",$S$5:$S264,$S264),IF(N($U264)=0,"?",COUNTIFS(INDEX($V$5:$V$1000,1):INDEX($V$5:$V$1000,$U264-4),"Macro",INDEX($S$5:$S$1000,1):INDEX($S$5:$S$1000,$U264-4),INDEX($S$5:$S$1000,$U264-4))&amp;"."&amp;COUNTIFS($U$5:$U264,$U264,$V$5:$V264,"Sub"))))</f>
        <v/>
      </c>
      <c r="B264" s="57" t="n"/>
      <c r="C264" s="58" t="n"/>
      <c r="D264" s="58" t="n"/>
      <c r="E264" s="59">
        <f>IF(N($AL264)&gt;0,INDEX(rIni_ADM,$AL264),"")</f>
        <v/>
      </c>
      <c r="F264" s="59">
        <f>IF(N($AL264)&gt;0,INDEX(rLim_ADM,$AL264),"")</f>
        <v/>
      </c>
      <c r="G264" s="59" t="n"/>
      <c r="H264" s="60" t="n"/>
      <c r="I264" s="60" t="n"/>
      <c r="J264" s="60" t="n"/>
      <c r="K264" s="60" t="n"/>
      <c r="L264" s="60" t="n"/>
      <c r="M264" s="61">
        <f>IF(NOT((COUNTA($B264:$D264)+COUNTA($G264:$L264)+COUNTA($Q264))&gt;0),"",IF(ISNUMBER($G264),1,IF(N($W264)&gt;0,AVERAGEIFS($X$5:$X$1000,$U$5:$U$1000,ROW(),$V$5:$V$1000,"Sub"),$X264)))</f>
        <v/>
      </c>
      <c r="N264" s="56">
        <f>IF($M264="","",IF($M264&gt;=1,"Completado",IF($M264&gt;0,"En curso","Pendiente")))</f>
        <v/>
      </c>
      <c r="O264" s="56">
        <f>IF(NOT((COUNTA($B264:$D264)+COUNTA($G264:$L264)+COUNTA($Q264))&gt;0),"",IF(ISNUMBER($G264),IF(AND(ISNUMBER($AN264),$G264&gt;$AN264),"Cumplida con "&amp;($G264-$AN264)&amp;IF($G264-$AN264=1," día"," días")&amp;" de retraso","Cumplida"),IF(N($M264)&gt;=1,"Cumplida",IF(NOT(ISNUMBER($AN264)),"Sin fecha límite",IF($AN264&lt;FechaRef,"Vencida hace "&amp;(FechaRef-$AN264)&amp;IF(FechaRef-$AN264=1," día"," días"),IF($AN264=FechaRef,"Vence hoy",IF($AN264-FechaRef&lt;=DiasAlerta,"Vence en "&amp;($AN264-FechaRef)&amp;IF($AN264-FechaRef=1," día"," días"),"En plazo")))))))</f>
        <v/>
      </c>
      <c r="P264" s="62" t="n"/>
      <c r="Q264" s="58" t="n"/>
      <c r="R264" s="63">
        <f>IF(NOT((COUNTA($B264:$D264)+COUNTA($G264:$L264)+COUNTA($Q264))&gt;0),"",IF((IF($C264="","Falta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",""))="","✔ OK","⚠ "&amp;LEFT(IF($C264="","Falta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",""),LEN(IF($C264="","Falta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",""))-3)))</f>
        <v/>
      </c>
      <c r="S264" s="64">
        <f>IF(NOT((COUNTA($B264:$D264)+COUNTA($G264:$L264)+COUNTA($Q264))&gt;0),"",IF(AND($V264="Sub",N($U264)&gt;0),IF(ISNUMBER(INDEX($AM$5:$AM$1000,$U264-4)),DATE(YEAR(INDEX($AM$5:$AM$1000,$U264-4)),MONTH(INDEX($AM$5:$AM$1000,$U264-4)),1),IF(ISNUMBER(INDEX($AN$5:$AN$1000,$U264-4)),DATE(YEAR(INDEX($AN$5:$AN$1000,$U264-4)),MONTH(INDEX($AN$5:$AN$1000,$U264-4)),1),MesCiclo)),IF(ISNUMBER($AM264),DATE(YEAR($AM264),MONTH($AM264),1),IF(ISNUMBER($AN264),DATE(YEAR($AN264),MONTH($AN264),1),MesCiclo))))</f>
        <v/>
      </c>
      <c r="T264" s="62">
        <f>IF(OR($S264="",$S264&lt;&gt;MesCiclo),"",COUNTIF($S$5:$S264,MesCiclo))</f>
        <v/>
      </c>
      <c r="U264" s="62">
        <f>IF($V264="","",IF($V264="Macro",ROW(),IFERROR(LOOKUP(2,1/($V$5:$V264="Macro"),ROW($V$5:$V264)),0)))</f>
        <v/>
      </c>
      <c r="V264" s="62">
        <f>IF(NOT((COUNTA($B264:$D264)+COUNTA($G264:$L264)+COUNTA($Q264))&gt;0),"",IF($B264="Subactividad","Sub","Macro"))</f>
        <v/>
      </c>
      <c r="W264" s="62">
        <f>IF($V264="Macro",COUNTIFS($U$5:$U$1000,ROW(),$V$5:$V$1000,"Sub"),"")</f>
        <v/>
      </c>
      <c r="X264" s="62">
        <f>IF($V264="","",IF(ISNUMBER($G264),1,IFERROR(LOOKUP(2,1/($I264:$L264&lt;&gt;""),$I264:$L264),0)))</f>
        <v/>
      </c>
      <c r="Y264" s="62">
        <f>IF($V264="","",IF(AND(ISNUMBER($G264),$G264&lt;=IF($S264=MesCiclo,InicioCiclo,$S264+MOD(2-WEEKDAY($S264),7))+6),1,IF(ISNUMBER($I264),$I264,0)))</f>
        <v/>
      </c>
      <c r="Z264" s="62">
        <f>IF($V264="","",IF(AND(ISNUMBER($G264),$G264&lt;=IF($S264=MesCiclo,InicioCiclo,$S264+MOD(2-WEEKDAY($S264),7))+13),1,IF(ISNUMBER($J264),$J264,$Y264)))</f>
        <v/>
      </c>
      <c r="AA264" s="62">
        <f>IF($V264="","",IF(AND(ISNUMBER($G264),$G264&lt;=IF($S264=MesCiclo,InicioCiclo,$S264+MOD(2-WEEKDAY($S264),7))+20),1,IF(ISNUMBER($K264),$K264,$Z264)))</f>
        <v/>
      </c>
      <c r="AB264" s="62">
        <f>IF($V264="","",IF(AND(ISNUMBER($G264),$G264&lt;=IF($S264=MesCiclo,InicioCiclo,$S264+MOD(2-WEEKDAY($S264),7))+27),1,IF(ISNUMBER($L264),$L264,$AA264)))</f>
        <v/>
      </c>
      <c r="AC264" s="62">
        <f>IF($V264="","",IF(AND(ISNUMBER($G264),$G264&lt;=IF($S264=MesCiclo,InicioCiclo,$S264+MOD(2-WEEKDAY($S264),7))+6),1,IF(N($W264)&gt;0,AVERAGEIFS($Y$5:$Y$1000,$U$5:$U$1000,ROW(),$V$5:$V$1000,"Sub"),$Y264)))</f>
        <v/>
      </c>
      <c r="AD264" s="62">
        <f>IF($V264="","",IF(AND(ISNUMBER($G264),$G264&lt;=IF($S264=MesCiclo,InicioCiclo,$S264+MOD(2-WEEKDAY($S264),7))+13),1,IF(N($W264)&gt;0,AVERAGEIFS($Z$5:$Z$1000,$U$5:$U$1000,ROW(),$V$5:$V$1000,"Sub"),$Z264)))</f>
        <v/>
      </c>
      <c r="AE264" s="62">
        <f>IF($V264="","",IF(AND(ISNUMBER($G264),$G264&lt;=IF($S264=MesCiclo,InicioCiclo,$S264+MOD(2-WEEKDAY($S264),7))+20),1,IF(N($W264)&gt;0,AVERAGEIFS($AA$5:$AA$1000,$U$5:$U$1000,ROW(),$V$5:$V$1000,"Sub"),$AA264)))</f>
        <v/>
      </c>
      <c r="AF264" s="62">
        <f>IF($V264="","",IF(AND(ISNUMBER($G264),$G264&lt;=IF($S264=MesCiclo,InicioCiclo,$S264+MOD(2-WEEKDAY($S264),7))+27),1,IF(N($W264)&gt;0,AVERAGEIFS($AB$5:$AB$1000,$U$5:$U$1000,ROW(),$V$5:$V$1000,"Sub"),$AB264)))</f>
        <v/>
      </c>
      <c r="AG264" s="62">
        <f>IF($V264&lt;&gt;"Macro","",IF(COUNTIFS($S$5:$S$1000,$S264,$V$5:$V$1000,"Macro",$H$5:$H$1000,"&gt;0")=0,1/COUNTIFS($S$5:$S$1000,$S264,$V$5:$V$1000,"Macro"),IF(AND(ISNUMBER($H264),N($H264)&gt;0),$H264,SUMIFS($H$5:$H$1000,$S$5:$S$1000,$S264,$V$5:$V$1000,"Macro")/COUNTIFS($S$5:$S$1000,$S264,$V$5:$V$1000,"Macro",$H$5:$H$1000,"&gt;0"))/(COUNTIFS($S$5:$S$1000,$S264,$V$5:$V$1000,"Macro")*SUMIFS($H$5:$H$1000,$S$5:$S$1000,$S264,$V$5:$V$1000,"Macro")/COUNTIFS($S$5:$S$1000,$S264,$V$5:$V$1000,"Macro",$H$5:$H$1000,"&gt;0"))))</f>
        <v/>
      </c>
      <c r="AH264" s="62" t="n"/>
      <c r="AI264" s="62" t="n"/>
      <c r="AJ264" s="62" t="n"/>
      <c r="AK264" s="62" t="n"/>
      <c r="AL264" s="62">
        <f>IF(LEFT($C264,11)="[Jefatura] ",IFERROR(MATCH("Riesgo Financiero|"&amp;MID($C264,12,500),rDname_ADM,0),0),"")</f>
        <v/>
      </c>
      <c r="AM264" s="62">
        <f>IF(N($AL264)&gt;0,INDEX(rIni_ADM,$AL264),IF(ISNUMBER($E264),$E264,""))</f>
        <v/>
      </c>
      <c r="AN264" s="62">
        <f>IF(N($AL264)&gt;0,INDEX(rLim_ADM,$AL264),IF(ISNUMBER($F264),$F264,""))</f>
        <v/>
      </c>
    </row>
    <row r="265">
      <c r="A265" s="56">
        <f>IF(NOT((COUNTA($B265:$D265)+COUNTA($G265:$L265)+COUNTA($Q265))&gt;0),"",IF($V265="Macro",COUNTIFS($V$5:$V265,"Macro",$S$5:$S265,$S265),IF(N($U265)=0,"?",COUNTIFS(INDEX($V$5:$V$1000,1):INDEX($V$5:$V$1000,$U265-4),"Macro",INDEX($S$5:$S$1000,1):INDEX($S$5:$S$1000,$U265-4),INDEX($S$5:$S$1000,$U265-4))&amp;"."&amp;COUNTIFS($U$5:$U265,$U265,$V$5:$V265,"Sub"))))</f>
        <v/>
      </c>
      <c r="B265" s="57" t="n"/>
      <c r="C265" s="58" t="n"/>
      <c r="D265" s="58" t="n"/>
      <c r="E265" s="59">
        <f>IF(N($AL265)&gt;0,INDEX(rIni_ADM,$AL265),"")</f>
        <v/>
      </c>
      <c r="F265" s="59">
        <f>IF(N($AL265)&gt;0,INDEX(rLim_ADM,$AL265),"")</f>
        <v/>
      </c>
      <c r="G265" s="59" t="n"/>
      <c r="H265" s="60" t="n"/>
      <c r="I265" s="60" t="n"/>
      <c r="J265" s="60" t="n"/>
      <c r="K265" s="60" t="n"/>
      <c r="L265" s="60" t="n"/>
      <c r="M265" s="61">
        <f>IF(NOT((COUNTA($B265:$D265)+COUNTA($G265:$L265)+COUNTA($Q265))&gt;0),"",IF(ISNUMBER($G265),1,IF(N($W265)&gt;0,AVERAGEIFS($X$5:$X$1000,$U$5:$U$1000,ROW(),$V$5:$V$1000,"Sub"),$X265)))</f>
        <v/>
      </c>
      <c r="N265" s="56">
        <f>IF($M265="","",IF($M265&gt;=1,"Completado",IF($M265&gt;0,"En curso","Pendiente")))</f>
        <v/>
      </c>
      <c r="O265" s="56">
        <f>IF(NOT((COUNTA($B265:$D265)+COUNTA($G265:$L265)+COUNTA($Q265))&gt;0),"",IF(ISNUMBER($G265),IF(AND(ISNUMBER($AN265),$G265&gt;$AN265),"Cumplida con "&amp;($G265-$AN265)&amp;IF($G265-$AN265=1," día"," días")&amp;" de retraso","Cumplida"),IF(N($M265)&gt;=1,"Cumplida",IF(NOT(ISNUMBER($AN265)),"Sin fecha límite",IF($AN265&lt;FechaRef,"Vencida hace "&amp;(FechaRef-$AN265)&amp;IF(FechaRef-$AN265=1," día"," días"),IF($AN265=FechaRef,"Vence hoy",IF($AN265-FechaRef&lt;=DiasAlerta,"Vence en "&amp;($AN265-FechaRef)&amp;IF($AN265-FechaRef=1," día"," días"),"En plazo")))))))</f>
        <v/>
      </c>
      <c r="P265" s="62" t="n"/>
      <c r="Q265" s="58" t="n"/>
      <c r="R265" s="63">
        <f>IF(NOT((COUNTA($B265:$D265)+COUNTA($G265:$L265)+COUNTA($Q265))&gt;0),"",IF((IF($C265="","Falta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",""))="","✔ OK","⚠ "&amp;LEFT(IF($C265="","Falta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",""),LEN(IF($C265="","Falta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",""))-3)))</f>
        <v/>
      </c>
      <c r="S265" s="64">
        <f>IF(NOT((COUNTA($B265:$D265)+COUNTA($G265:$L265)+COUNTA($Q265))&gt;0),"",IF(AND($V265="Sub",N($U265)&gt;0),IF(ISNUMBER(INDEX($AM$5:$AM$1000,$U265-4)),DATE(YEAR(INDEX($AM$5:$AM$1000,$U265-4)),MONTH(INDEX($AM$5:$AM$1000,$U265-4)),1),IF(ISNUMBER(INDEX($AN$5:$AN$1000,$U265-4)),DATE(YEAR(INDEX($AN$5:$AN$1000,$U265-4)),MONTH(INDEX($AN$5:$AN$1000,$U265-4)),1),MesCiclo)),IF(ISNUMBER($AM265),DATE(YEAR($AM265),MONTH($AM265),1),IF(ISNUMBER($AN265),DATE(YEAR($AN265),MONTH($AN265),1),MesCiclo))))</f>
        <v/>
      </c>
      <c r="T265" s="62">
        <f>IF(OR($S265="",$S265&lt;&gt;MesCiclo),"",COUNTIF($S$5:$S265,MesCiclo))</f>
        <v/>
      </c>
      <c r="U265" s="62">
        <f>IF($V265="","",IF($V265="Macro",ROW(),IFERROR(LOOKUP(2,1/($V$5:$V265="Macro"),ROW($V$5:$V265)),0)))</f>
        <v/>
      </c>
      <c r="V265" s="62">
        <f>IF(NOT((COUNTA($B265:$D265)+COUNTA($G265:$L265)+COUNTA($Q265))&gt;0),"",IF($B265="Subactividad","Sub","Macro"))</f>
        <v/>
      </c>
      <c r="W265" s="62">
        <f>IF($V265="Macro",COUNTIFS($U$5:$U$1000,ROW(),$V$5:$V$1000,"Sub"),"")</f>
        <v/>
      </c>
      <c r="X265" s="62">
        <f>IF($V265="","",IF(ISNUMBER($G265),1,IFERROR(LOOKUP(2,1/($I265:$L265&lt;&gt;""),$I265:$L265),0)))</f>
        <v/>
      </c>
      <c r="Y265" s="62">
        <f>IF($V265="","",IF(AND(ISNUMBER($G265),$G265&lt;=IF($S265=MesCiclo,InicioCiclo,$S265+MOD(2-WEEKDAY($S265),7))+6),1,IF(ISNUMBER($I265),$I265,0)))</f>
        <v/>
      </c>
      <c r="Z265" s="62">
        <f>IF($V265="","",IF(AND(ISNUMBER($G265),$G265&lt;=IF($S265=MesCiclo,InicioCiclo,$S265+MOD(2-WEEKDAY($S265),7))+13),1,IF(ISNUMBER($J265),$J265,$Y265)))</f>
        <v/>
      </c>
      <c r="AA265" s="62">
        <f>IF($V265="","",IF(AND(ISNUMBER($G265),$G265&lt;=IF($S265=MesCiclo,InicioCiclo,$S265+MOD(2-WEEKDAY($S265),7))+20),1,IF(ISNUMBER($K265),$K265,$Z265)))</f>
        <v/>
      </c>
      <c r="AB265" s="62">
        <f>IF($V265="","",IF(AND(ISNUMBER($G265),$G265&lt;=IF($S265=MesCiclo,InicioCiclo,$S265+MOD(2-WEEKDAY($S265),7))+27),1,IF(ISNUMBER($L265),$L265,$AA265)))</f>
        <v/>
      </c>
      <c r="AC265" s="62">
        <f>IF($V265="","",IF(AND(ISNUMBER($G265),$G265&lt;=IF($S265=MesCiclo,InicioCiclo,$S265+MOD(2-WEEKDAY($S265),7))+6),1,IF(N($W265)&gt;0,AVERAGEIFS($Y$5:$Y$1000,$U$5:$U$1000,ROW(),$V$5:$V$1000,"Sub"),$Y265)))</f>
        <v/>
      </c>
      <c r="AD265" s="62">
        <f>IF($V265="","",IF(AND(ISNUMBER($G265),$G265&lt;=IF($S265=MesCiclo,InicioCiclo,$S265+MOD(2-WEEKDAY($S265),7))+13),1,IF(N($W265)&gt;0,AVERAGEIFS($Z$5:$Z$1000,$U$5:$U$1000,ROW(),$V$5:$V$1000,"Sub"),$Z265)))</f>
        <v/>
      </c>
      <c r="AE265" s="62">
        <f>IF($V265="","",IF(AND(ISNUMBER($G265),$G265&lt;=IF($S265=MesCiclo,InicioCiclo,$S265+MOD(2-WEEKDAY($S265),7))+20),1,IF(N($W265)&gt;0,AVERAGEIFS($AA$5:$AA$1000,$U$5:$U$1000,ROW(),$V$5:$V$1000,"Sub"),$AA265)))</f>
        <v/>
      </c>
      <c r="AF265" s="62">
        <f>IF($V265="","",IF(AND(ISNUMBER($G265),$G265&lt;=IF($S265=MesCiclo,InicioCiclo,$S265+MOD(2-WEEKDAY($S265),7))+27),1,IF(N($W265)&gt;0,AVERAGEIFS($AB$5:$AB$1000,$U$5:$U$1000,ROW(),$V$5:$V$1000,"Sub"),$AB265)))</f>
        <v/>
      </c>
      <c r="AG265" s="62">
        <f>IF($V265&lt;&gt;"Macro","",IF(COUNTIFS($S$5:$S$1000,$S265,$V$5:$V$1000,"Macro",$H$5:$H$1000,"&gt;0")=0,1/COUNTIFS($S$5:$S$1000,$S265,$V$5:$V$1000,"Macro"),IF(AND(ISNUMBER($H265),N($H265)&gt;0),$H265,SUMIFS($H$5:$H$1000,$S$5:$S$1000,$S265,$V$5:$V$1000,"Macro")/COUNTIFS($S$5:$S$1000,$S265,$V$5:$V$1000,"Macro",$H$5:$H$1000,"&gt;0"))/(COUNTIFS($S$5:$S$1000,$S265,$V$5:$V$1000,"Macro")*SUMIFS($H$5:$H$1000,$S$5:$S$1000,$S265,$V$5:$V$1000,"Macro")/COUNTIFS($S$5:$S$1000,$S265,$V$5:$V$1000,"Macro",$H$5:$H$1000,"&gt;0"))))</f>
        <v/>
      </c>
      <c r="AH265" s="62" t="n"/>
      <c r="AI265" s="62" t="n"/>
      <c r="AJ265" s="62" t="n"/>
      <c r="AK265" s="62" t="n"/>
      <c r="AL265" s="62">
        <f>IF(LEFT($C265,11)="[Jefatura] ",IFERROR(MATCH("Riesgo Financiero|"&amp;MID($C265,12,500),rDname_ADM,0),0),"")</f>
        <v/>
      </c>
      <c r="AM265" s="62">
        <f>IF(N($AL265)&gt;0,INDEX(rIni_ADM,$AL265),IF(ISNUMBER($E265),$E265,""))</f>
        <v/>
      </c>
      <c r="AN265" s="62">
        <f>IF(N($AL265)&gt;0,INDEX(rLim_ADM,$AL265),IF(ISNUMBER($F265),$F265,""))</f>
        <v/>
      </c>
    </row>
    <row r="266">
      <c r="A266" s="56">
        <f>IF(NOT((COUNTA($B266:$D266)+COUNTA($G266:$L266)+COUNTA($Q266))&gt;0),"",IF($V266="Macro",COUNTIFS($V$5:$V266,"Macro",$S$5:$S266,$S266),IF(N($U266)=0,"?",COUNTIFS(INDEX($V$5:$V$1000,1):INDEX($V$5:$V$1000,$U266-4),"Macro",INDEX($S$5:$S$1000,1):INDEX($S$5:$S$1000,$U266-4),INDEX($S$5:$S$1000,$U266-4))&amp;"."&amp;COUNTIFS($U$5:$U266,$U266,$V$5:$V266,"Sub"))))</f>
        <v/>
      </c>
      <c r="B266" s="57" t="n"/>
      <c r="C266" s="58" t="n"/>
      <c r="D266" s="58" t="n"/>
      <c r="E266" s="59">
        <f>IF(N($AL266)&gt;0,INDEX(rIni_ADM,$AL266),"")</f>
        <v/>
      </c>
      <c r="F266" s="59">
        <f>IF(N($AL266)&gt;0,INDEX(rLim_ADM,$AL266),"")</f>
        <v/>
      </c>
      <c r="G266" s="59" t="n"/>
      <c r="H266" s="60" t="n"/>
      <c r="I266" s="60" t="n"/>
      <c r="J266" s="60" t="n"/>
      <c r="K266" s="60" t="n"/>
      <c r="L266" s="60" t="n"/>
      <c r="M266" s="61">
        <f>IF(NOT((COUNTA($B266:$D266)+COUNTA($G266:$L266)+COUNTA($Q266))&gt;0),"",IF(ISNUMBER($G266),1,IF(N($W266)&gt;0,AVERAGEIFS($X$5:$X$1000,$U$5:$U$1000,ROW(),$V$5:$V$1000,"Sub"),$X266)))</f>
        <v/>
      </c>
      <c r="N266" s="56">
        <f>IF($M266="","",IF($M266&gt;=1,"Completado",IF($M266&gt;0,"En curso","Pendiente")))</f>
        <v/>
      </c>
      <c r="O266" s="56">
        <f>IF(NOT((COUNTA($B266:$D266)+COUNTA($G266:$L266)+COUNTA($Q266))&gt;0),"",IF(ISNUMBER($G266),IF(AND(ISNUMBER($AN266),$G266&gt;$AN266),"Cumplida con "&amp;($G266-$AN266)&amp;IF($G266-$AN266=1," día"," días")&amp;" de retraso","Cumplida"),IF(N($M266)&gt;=1,"Cumplida",IF(NOT(ISNUMBER($AN266)),"Sin fecha límite",IF($AN266&lt;FechaRef,"Vencida hace "&amp;(FechaRef-$AN266)&amp;IF(FechaRef-$AN266=1," día"," días"),IF($AN266=FechaRef,"Vence hoy",IF($AN266-FechaRef&lt;=DiasAlerta,"Vence en "&amp;($AN266-FechaRef)&amp;IF($AN266-FechaRef=1," día"," días"),"En plazo")))))))</f>
        <v/>
      </c>
      <c r="P266" s="62" t="n"/>
      <c r="Q266" s="58" t="n"/>
      <c r="R266" s="63">
        <f>IF(NOT((COUNTA($B266:$D266)+COUNTA($G266:$L266)+COUNTA($Q266))&gt;0),"",IF((IF($C266="","Falta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",""))="","✔ OK","⚠ "&amp;LEFT(IF($C266="","Falta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",""),LEN(IF($C266="","Falta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",""))-3)))</f>
        <v/>
      </c>
      <c r="S266" s="64">
        <f>IF(NOT((COUNTA($B266:$D266)+COUNTA($G266:$L266)+COUNTA($Q266))&gt;0),"",IF(AND($V266="Sub",N($U266)&gt;0),IF(ISNUMBER(INDEX($AM$5:$AM$1000,$U266-4)),DATE(YEAR(INDEX($AM$5:$AM$1000,$U266-4)),MONTH(INDEX($AM$5:$AM$1000,$U266-4)),1),IF(ISNUMBER(INDEX($AN$5:$AN$1000,$U266-4)),DATE(YEAR(INDEX($AN$5:$AN$1000,$U266-4)),MONTH(INDEX($AN$5:$AN$1000,$U266-4)),1),MesCiclo)),IF(ISNUMBER($AM266),DATE(YEAR($AM266),MONTH($AM266),1),IF(ISNUMBER($AN266),DATE(YEAR($AN266),MONTH($AN266),1),MesCiclo))))</f>
        <v/>
      </c>
      <c r="T266" s="62">
        <f>IF(OR($S266="",$S266&lt;&gt;MesCiclo),"",COUNTIF($S$5:$S266,MesCiclo))</f>
        <v/>
      </c>
      <c r="U266" s="62">
        <f>IF($V266="","",IF($V266="Macro",ROW(),IFERROR(LOOKUP(2,1/($V$5:$V266="Macro"),ROW($V$5:$V266)),0)))</f>
        <v/>
      </c>
      <c r="V266" s="62">
        <f>IF(NOT((COUNTA($B266:$D266)+COUNTA($G266:$L266)+COUNTA($Q266))&gt;0),"",IF($B266="Subactividad","Sub","Macro"))</f>
        <v/>
      </c>
      <c r="W266" s="62">
        <f>IF($V266="Macro",COUNTIFS($U$5:$U$1000,ROW(),$V$5:$V$1000,"Sub"),"")</f>
        <v/>
      </c>
      <c r="X266" s="62">
        <f>IF($V266="","",IF(ISNUMBER($G266),1,IFERROR(LOOKUP(2,1/($I266:$L266&lt;&gt;""),$I266:$L266),0)))</f>
        <v/>
      </c>
      <c r="Y266" s="62">
        <f>IF($V266="","",IF(AND(ISNUMBER($G266),$G266&lt;=IF($S266=MesCiclo,InicioCiclo,$S266+MOD(2-WEEKDAY($S266),7))+6),1,IF(ISNUMBER($I266),$I266,0)))</f>
        <v/>
      </c>
      <c r="Z266" s="62">
        <f>IF($V266="","",IF(AND(ISNUMBER($G266),$G266&lt;=IF($S266=MesCiclo,InicioCiclo,$S266+MOD(2-WEEKDAY($S266),7))+13),1,IF(ISNUMBER($J266),$J266,$Y266)))</f>
        <v/>
      </c>
      <c r="AA266" s="62">
        <f>IF($V266="","",IF(AND(ISNUMBER($G266),$G266&lt;=IF($S266=MesCiclo,InicioCiclo,$S266+MOD(2-WEEKDAY($S266),7))+20),1,IF(ISNUMBER($K266),$K266,$Z266)))</f>
        <v/>
      </c>
      <c r="AB266" s="62">
        <f>IF($V266="","",IF(AND(ISNUMBER($G266),$G266&lt;=IF($S266=MesCiclo,InicioCiclo,$S266+MOD(2-WEEKDAY($S266),7))+27),1,IF(ISNUMBER($L266),$L266,$AA266)))</f>
        <v/>
      </c>
      <c r="AC266" s="62">
        <f>IF($V266="","",IF(AND(ISNUMBER($G266),$G266&lt;=IF($S266=MesCiclo,InicioCiclo,$S266+MOD(2-WEEKDAY($S266),7))+6),1,IF(N($W266)&gt;0,AVERAGEIFS($Y$5:$Y$1000,$U$5:$U$1000,ROW(),$V$5:$V$1000,"Sub"),$Y266)))</f>
        <v/>
      </c>
      <c r="AD266" s="62">
        <f>IF($V266="","",IF(AND(ISNUMBER($G266),$G266&lt;=IF($S266=MesCiclo,InicioCiclo,$S266+MOD(2-WEEKDAY($S266),7))+13),1,IF(N($W266)&gt;0,AVERAGEIFS($Z$5:$Z$1000,$U$5:$U$1000,ROW(),$V$5:$V$1000,"Sub"),$Z266)))</f>
        <v/>
      </c>
      <c r="AE266" s="62">
        <f>IF($V266="","",IF(AND(ISNUMBER($G266),$G266&lt;=IF($S266=MesCiclo,InicioCiclo,$S266+MOD(2-WEEKDAY($S266),7))+20),1,IF(N($W266)&gt;0,AVERAGEIFS($AA$5:$AA$1000,$U$5:$U$1000,ROW(),$V$5:$V$1000,"Sub"),$AA266)))</f>
        <v/>
      </c>
      <c r="AF266" s="62">
        <f>IF($V266="","",IF(AND(ISNUMBER($G266),$G266&lt;=IF($S266=MesCiclo,InicioCiclo,$S266+MOD(2-WEEKDAY($S266),7))+27),1,IF(N($W266)&gt;0,AVERAGEIFS($AB$5:$AB$1000,$U$5:$U$1000,ROW(),$V$5:$V$1000,"Sub"),$AB266)))</f>
        <v/>
      </c>
      <c r="AG266" s="62">
        <f>IF($V266&lt;&gt;"Macro","",IF(COUNTIFS($S$5:$S$1000,$S266,$V$5:$V$1000,"Macro",$H$5:$H$1000,"&gt;0")=0,1/COUNTIFS($S$5:$S$1000,$S266,$V$5:$V$1000,"Macro"),IF(AND(ISNUMBER($H266),N($H266)&gt;0),$H266,SUMIFS($H$5:$H$1000,$S$5:$S$1000,$S266,$V$5:$V$1000,"Macro")/COUNTIFS($S$5:$S$1000,$S266,$V$5:$V$1000,"Macro",$H$5:$H$1000,"&gt;0"))/(COUNTIFS($S$5:$S$1000,$S266,$V$5:$V$1000,"Macro")*SUMIFS($H$5:$H$1000,$S$5:$S$1000,$S266,$V$5:$V$1000,"Macro")/COUNTIFS($S$5:$S$1000,$S266,$V$5:$V$1000,"Macro",$H$5:$H$1000,"&gt;0"))))</f>
        <v/>
      </c>
      <c r="AH266" s="62" t="n"/>
      <c r="AI266" s="62" t="n"/>
      <c r="AJ266" s="62" t="n"/>
      <c r="AK266" s="62" t="n"/>
      <c r="AL266" s="62">
        <f>IF(LEFT($C266,11)="[Jefatura] ",IFERROR(MATCH("Riesgo Financiero|"&amp;MID($C266,12,500),rDname_ADM,0),0),"")</f>
        <v/>
      </c>
      <c r="AM266" s="62">
        <f>IF(N($AL266)&gt;0,INDEX(rIni_ADM,$AL266),IF(ISNUMBER($E266),$E266,""))</f>
        <v/>
      </c>
      <c r="AN266" s="62">
        <f>IF(N($AL266)&gt;0,INDEX(rLim_ADM,$AL266),IF(ISNUMBER($F266),$F266,""))</f>
        <v/>
      </c>
    </row>
    <row r="267">
      <c r="A267" s="56">
        <f>IF(NOT((COUNTA($B267:$D267)+COUNTA($G267:$L267)+COUNTA($Q267))&gt;0),"",IF($V267="Macro",COUNTIFS($V$5:$V267,"Macro",$S$5:$S267,$S267),IF(N($U267)=0,"?",COUNTIFS(INDEX($V$5:$V$1000,1):INDEX($V$5:$V$1000,$U267-4),"Macro",INDEX($S$5:$S$1000,1):INDEX($S$5:$S$1000,$U267-4),INDEX($S$5:$S$1000,$U267-4))&amp;"."&amp;COUNTIFS($U$5:$U267,$U267,$V$5:$V267,"Sub"))))</f>
        <v/>
      </c>
      <c r="B267" s="57" t="n"/>
      <c r="C267" s="58" t="n"/>
      <c r="D267" s="58" t="n"/>
      <c r="E267" s="59">
        <f>IF(N($AL267)&gt;0,INDEX(rIni_ADM,$AL267),"")</f>
        <v/>
      </c>
      <c r="F267" s="59">
        <f>IF(N($AL267)&gt;0,INDEX(rLim_ADM,$AL267),"")</f>
        <v/>
      </c>
      <c r="G267" s="59" t="n"/>
      <c r="H267" s="60" t="n"/>
      <c r="I267" s="60" t="n"/>
      <c r="J267" s="60" t="n"/>
      <c r="K267" s="60" t="n"/>
      <c r="L267" s="60" t="n"/>
      <c r="M267" s="61">
        <f>IF(NOT((COUNTA($B267:$D267)+COUNTA($G267:$L267)+COUNTA($Q267))&gt;0),"",IF(ISNUMBER($G267),1,IF(N($W267)&gt;0,AVERAGEIFS($X$5:$X$1000,$U$5:$U$1000,ROW(),$V$5:$V$1000,"Sub"),$X267)))</f>
        <v/>
      </c>
      <c r="N267" s="56">
        <f>IF($M267="","",IF($M267&gt;=1,"Completado",IF($M267&gt;0,"En curso","Pendiente")))</f>
        <v/>
      </c>
      <c r="O267" s="56">
        <f>IF(NOT((COUNTA($B267:$D267)+COUNTA($G267:$L267)+COUNTA($Q267))&gt;0),"",IF(ISNUMBER($G267),IF(AND(ISNUMBER($AN267),$G267&gt;$AN267),"Cumplida con "&amp;($G267-$AN267)&amp;IF($G267-$AN267=1," día"," días")&amp;" de retraso","Cumplida"),IF(N($M267)&gt;=1,"Cumplida",IF(NOT(ISNUMBER($AN267)),"Sin fecha límite",IF($AN267&lt;FechaRef,"Vencida hace "&amp;(FechaRef-$AN267)&amp;IF(FechaRef-$AN267=1," día"," días"),IF($AN267=FechaRef,"Vence hoy",IF($AN267-FechaRef&lt;=DiasAlerta,"Vence en "&amp;($AN267-FechaRef)&amp;IF($AN267-FechaRef=1," día"," días"),"En plazo")))))))</f>
        <v/>
      </c>
      <c r="P267" s="62" t="n"/>
      <c r="Q267" s="58" t="n"/>
      <c r="R267" s="63">
        <f>IF(NOT((COUNTA($B267:$D267)+COUNTA($G267:$L267)+COUNTA($Q267))&gt;0),"",IF((IF($C267="","Falta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",""))="","✔ OK","⚠ "&amp;LEFT(IF($C267="","Falta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",""),LEN(IF($C267="","Falta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",""))-3)))</f>
        <v/>
      </c>
      <c r="S267" s="64">
        <f>IF(NOT((COUNTA($B267:$D267)+COUNTA($G267:$L267)+COUNTA($Q267))&gt;0),"",IF(AND($V267="Sub",N($U267)&gt;0),IF(ISNUMBER(INDEX($AM$5:$AM$1000,$U267-4)),DATE(YEAR(INDEX($AM$5:$AM$1000,$U267-4)),MONTH(INDEX($AM$5:$AM$1000,$U267-4)),1),IF(ISNUMBER(INDEX($AN$5:$AN$1000,$U267-4)),DATE(YEAR(INDEX($AN$5:$AN$1000,$U267-4)),MONTH(INDEX($AN$5:$AN$1000,$U267-4)),1),MesCiclo)),IF(ISNUMBER($AM267),DATE(YEAR($AM267),MONTH($AM267),1),IF(ISNUMBER($AN267),DATE(YEAR($AN267),MONTH($AN267),1),MesCiclo))))</f>
        <v/>
      </c>
      <c r="T267" s="62">
        <f>IF(OR($S267="",$S267&lt;&gt;MesCiclo),"",COUNTIF($S$5:$S267,MesCiclo))</f>
        <v/>
      </c>
      <c r="U267" s="62">
        <f>IF($V267="","",IF($V267="Macro",ROW(),IFERROR(LOOKUP(2,1/($V$5:$V267="Macro"),ROW($V$5:$V267)),0)))</f>
        <v/>
      </c>
      <c r="V267" s="62">
        <f>IF(NOT((COUNTA($B267:$D267)+COUNTA($G267:$L267)+COUNTA($Q267))&gt;0),"",IF($B267="Subactividad","Sub","Macro"))</f>
        <v/>
      </c>
      <c r="W267" s="62">
        <f>IF($V267="Macro",COUNTIFS($U$5:$U$1000,ROW(),$V$5:$V$1000,"Sub"),"")</f>
        <v/>
      </c>
      <c r="X267" s="62">
        <f>IF($V267="","",IF(ISNUMBER($G267),1,IFERROR(LOOKUP(2,1/($I267:$L267&lt;&gt;""),$I267:$L267),0)))</f>
        <v/>
      </c>
      <c r="Y267" s="62">
        <f>IF($V267="","",IF(AND(ISNUMBER($G267),$G267&lt;=IF($S267=MesCiclo,InicioCiclo,$S267+MOD(2-WEEKDAY($S267),7))+6),1,IF(ISNUMBER($I267),$I267,0)))</f>
        <v/>
      </c>
      <c r="Z267" s="62">
        <f>IF($V267="","",IF(AND(ISNUMBER($G267),$G267&lt;=IF($S267=MesCiclo,InicioCiclo,$S267+MOD(2-WEEKDAY($S267),7))+13),1,IF(ISNUMBER($J267),$J267,$Y267)))</f>
        <v/>
      </c>
      <c r="AA267" s="62">
        <f>IF($V267="","",IF(AND(ISNUMBER($G267),$G267&lt;=IF($S267=MesCiclo,InicioCiclo,$S267+MOD(2-WEEKDAY($S267),7))+20),1,IF(ISNUMBER($K267),$K267,$Z267)))</f>
        <v/>
      </c>
      <c r="AB267" s="62">
        <f>IF($V267="","",IF(AND(ISNUMBER($G267),$G267&lt;=IF($S267=MesCiclo,InicioCiclo,$S267+MOD(2-WEEKDAY($S267),7))+27),1,IF(ISNUMBER($L267),$L267,$AA267)))</f>
        <v/>
      </c>
      <c r="AC267" s="62">
        <f>IF($V267="","",IF(AND(ISNUMBER($G267),$G267&lt;=IF($S267=MesCiclo,InicioCiclo,$S267+MOD(2-WEEKDAY($S267),7))+6),1,IF(N($W267)&gt;0,AVERAGEIFS($Y$5:$Y$1000,$U$5:$U$1000,ROW(),$V$5:$V$1000,"Sub"),$Y267)))</f>
        <v/>
      </c>
      <c r="AD267" s="62">
        <f>IF($V267="","",IF(AND(ISNUMBER($G267),$G267&lt;=IF($S267=MesCiclo,InicioCiclo,$S267+MOD(2-WEEKDAY($S267),7))+13),1,IF(N($W267)&gt;0,AVERAGEIFS($Z$5:$Z$1000,$U$5:$U$1000,ROW(),$V$5:$V$1000,"Sub"),$Z267)))</f>
        <v/>
      </c>
      <c r="AE267" s="62">
        <f>IF($V267="","",IF(AND(ISNUMBER($G267),$G267&lt;=IF($S267=MesCiclo,InicioCiclo,$S267+MOD(2-WEEKDAY($S267),7))+20),1,IF(N($W267)&gt;0,AVERAGEIFS($AA$5:$AA$1000,$U$5:$U$1000,ROW(),$V$5:$V$1000,"Sub"),$AA267)))</f>
        <v/>
      </c>
      <c r="AF267" s="62">
        <f>IF($V267="","",IF(AND(ISNUMBER($G267),$G267&lt;=IF($S267=MesCiclo,InicioCiclo,$S267+MOD(2-WEEKDAY($S267),7))+27),1,IF(N($W267)&gt;0,AVERAGEIFS($AB$5:$AB$1000,$U$5:$U$1000,ROW(),$V$5:$V$1000,"Sub"),$AB267)))</f>
        <v/>
      </c>
      <c r="AG267" s="62">
        <f>IF($V267&lt;&gt;"Macro","",IF(COUNTIFS($S$5:$S$1000,$S267,$V$5:$V$1000,"Macro",$H$5:$H$1000,"&gt;0")=0,1/COUNTIFS($S$5:$S$1000,$S267,$V$5:$V$1000,"Macro"),IF(AND(ISNUMBER($H267),N($H267)&gt;0),$H267,SUMIFS($H$5:$H$1000,$S$5:$S$1000,$S267,$V$5:$V$1000,"Macro")/COUNTIFS($S$5:$S$1000,$S267,$V$5:$V$1000,"Macro",$H$5:$H$1000,"&gt;0"))/(COUNTIFS($S$5:$S$1000,$S267,$V$5:$V$1000,"Macro")*SUMIFS($H$5:$H$1000,$S$5:$S$1000,$S267,$V$5:$V$1000,"Macro")/COUNTIFS($S$5:$S$1000,$S267,$V$5:$V$1000,"Macro",$H$5:$H$1000,"&gt;0"))))</f>
        <v/>
      </c>
      <c r="AH267" s="62" t="n"/>
      <c r="AI267" s="62" t="n"/>
      <c r="AJ267" s="62" t="n"/>
      <c r="AK267" s="62" t="n"/>
      <c r="AL267" s="62">
        <f>IF(LEFT($C267,11)="[Jefatura] ",IFERROR(MATCH("Riesgo Financiero|"&amp;MID($C267,12,500),rDname_ADM,0),0),"")</f>
        <v/>
      </c>
      <c r="AM267" s="62">
        <f>IF(N($AL267)&gt;0,INDEX(rIni_ADM,$AL267),IF(ISNUMBER($E267),$E267,""))</f>
        <v/>
      </c>
      <c r="AN267" s="62">
        <f>IF(N($AL267)&gt;0,INDEX(rLim_ADM,$AL267),IF(ISNUMBER($F267),$F267,""))</f>
        <v/>
      </c>
    </row>
    <row r="268">
      <c r="A268" s="56">
        <f>IF(NOT((COUNTA($B268:$D268)+COUNTA($G268:$L268)+COUNTA($Q268))&gt;0),"",IF($V268="Macro",COUNTIFS($V$5:$V268,"Macro",$S$5:$S268,$S268),IF(N($U268)=0,"?",COUNTIFS(INDEX($V$5:$V$1000,1):INDEX($V$5:$V$1000,$U268-4),"Macro",INDEX($S$5:$S$1000,1):INDEX($S$5:$S$1000,$U268-4),INDEX($S$5:$S$1000,$U268-4))&amp;"."&amp;COUNTIFS($U$5:$U268,$U268,$V$5:$V268,"Sub"))))</f>
        <v/>
      </c>
      <c r="B268" s="57" t="n"/>
      <c r="C268" s="58" t="n"/>
      <c r="D268" s="58" t="n"/>
      <c r="E268" s="59">
        <f>IF(N($AL268)&gt;0,INDEX(rIni_ADM,$AL268),"")</f>
        <v/>
      </c>
      <c r="F268" s="59">
        <f>IF(N($AL268)&gt;0,INDEX(rLim_ADM,$AL268),"")</f>
        <v/>
      </c>
      <c r="G268" s="59" t="n"/>
      <c r="H268" s="60" t="n"/>
      <c r="I268" s="60" t="n"/>
      <c r="J268" s="60" t="n"/>
      <c r="K268" s="60" t="n"/>
      <c r="L268" s="60" t="n"/>
      <c r="M268" s="61">
        <f>IF(NOT((COUNTA($B268:$D268)+COUNTA($G268:$L268)+COUNTA($Q268))&gt;0),"",IF(ISNUMBER($G268),1,IF(N($W268)&gt;0,AVERAGEIFS($X$5:$X$1000,$U$5:$U$1000,ROW(),$V$5:$V$1000,"Sub"),$X268)))</f>
        <v/>
      </c>
      <c r="N268" s="56">
        <f>IF($M268="","",IF($M268&gt;=1,"Completado",IF($M268&gt;0,"En curso","Pendiente")))</f>
        <v/>
      </c>
      <c r="O268" s="56">
        <f>IF(NOT((COUNTA($B268:$D268)+COUNTA($G268:$L268)+COUNTA($Q268))&gt;0),"",IF(ISNUMBER($G268),IF(AND(ISNUMBER($AN268),$G268&gt;$AN268),"Cumplida con "&amp;($G268-$AN268)&amp;IF($G268-$AN268=1," día"," días")&amp;" de retraso","Cumplida"),IF(N($M268)&gt;=1,"Cumplida",IF(NOT(ISNUMBER($AN268)),"Sin fecha límite",IF($AN268&lt;FechaRef,"Vencida hace "&amp;(FechaRef-$AN268)&amp;IF(FechaRef-$AN268=1," día"," días"),IF($AN268=FechaRef,"Vence hoy",IF($AN268-FechaRef&lt;=DiasAlerta,"Vence en "&amp;($AN268-FechaRef)&amp;IF($AN268-FechaRef=1," día"," días"),"En plazo")))))))</f>
        <v/>
      </c>
      <c r="P268" s="62" t="n"/>
      <c r="Q268" s="58" t="n"/>
      <c r="R268" s="63">
        <f>IF(NOT((COUNTA($B268:$D268)+COUNTA($G268:$L268)+COUNTA($Q268))&gt;0),"",IF((IF($C268="","Falta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",""))="","✔ OK","⚠ "&amp;LEFT(IF($C268="","Falta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",""),LEN(IF($C268="","Falta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",""))-3)))</f>
        <v/>
      </c>
      <c r="S268" s="64">
        <f>IF(NOT((COUNTA($B268:$D268)+COUNTA($G268:$L268)+COUNTA($Q268))&gt;0),"",IF(AND($V268="Sub",N($U268)&gt;0),IF(ISNUMBER(INDEX($AM$5:$AM$1000,$U268-4)),DATE(YEAR(INDEX($AM$5:$AM$1000,$U268-4)),MONTH(INDEX($AM$5:$AM$1000,$U268-4)),1),IF(ISNUMBER(INDEX($AN$5:$AN$1000,$U268-4)),DATE(YEAR(INDEX($AN$5:$AN$1000,$U268-4)),MONTH(INDEX($AN$5:$AN$1000,$U268-4)),1),MesCiclo)),IF(ISNUMBER($AM268),DATE(YEAR($AM268),MONTH($AM268),1),IF(ISNUMBER($AN268),DATE(YEAR($AN268),MONTH($AN268),1),MesCiclo))))</f>
        <v/>
      </c>
      <c r="T268" s="62">
        <f>IF(OR($S268="",$S268&lt;&gt;MesCiclo),"",COUNTIF($S$5:$S268,MesCiclo))</f>
        <v/>
      </c>
      <c r="U268" s="62">
        <f>IF($V268="","",IF($V268="Macro",ROW(),IFERROR(LOOKUP(2,1/($V$5:$V268="Macro"),ROW($V$5:$V268)),0)))</f>
        <v/>
      </c>
      <c r="V268" s="62">
        <f>IF(NOT((COUNTA($B268:$D268)+COUNTA($G268:$L268)+COUNTA($Q268))&gt;0),"",IF($B268="Subactividad","Sub","Macro"))</f>
        <v/>
      </c>
      <c r="W268" s="62">
        <f>IF($V268="Macro",COUNTIFS($U$5:$U$1000,ROW(),$V$5:$V$1000,"Sub"),"")</f>
        <v/>
      </c>
      <c r="X268" s="62">
        <f>IF($V268="","",IF(ISNUMBER($G268),1,IFERROR(LOOKUP(2,1/($I268:$L268&lt;&gt;""),$I268:$L268),0)))</f>
        <v/>
      </c>
      <c r="Y268" s="62">
        <f>IF($V268="","",IF(AND(ISNUMBER($G268),$G268&lt;=IF($S268=MesCiclo,InicioCiclo,$S268+MOD(2-WEEKDAY($S268),7))+6),1,IF(ISNUMBER($I268),$I268,0)))</f>
        <v/>
      </c>
      <c r="Z268" s="62">
        <f>IF($V268="","",IF(AND(ISNUMBER($G268),$G268&lt;=IF($S268=MesCiclo,InicioCiclo,$S268+MOD(2-WEEKDAY($S268),7))+13),1,IF(ISNUMBER($J268),$J268,$Y268)))</f>
        <v/>
      </c>
      <c r="AA268" s="62">
        <f>IF($V268="","",IF(AND(ISNUMBER($G268),$G268&lt;=IF($S268=MesCiclo,InicioCiclo,$S268+MOD(2-WEEKDAY($S268),7))+20),1,IF(ISNUMBER($K268),$K268,$Z268)))</f>
        <v/>
      </c>
      <c r="AB268" s="62">
        <f>IF($V268="","",IF(AND(ISNUMBER($G268),$G268&lt;=IF($S268=MesCiclo,InicioCiclo,$S268+MOD(2-WEEKDAY($S268),7))+27),1,IF(ISNUMBER($L268),$L268,$AA268)))</f>
        <v/>
      </c>
      <c r="AC268" s="62">
        <f>IF($V268="","",IF(AND(ISNUMBER($G268),$G268&lt;=IF($S268=MesCiclo,InicioCiclo,$S268+MOD(2-WEEKDAY($S268),7))+6),1,IF(N($W268)&gt;0,AVERAGEIFS($Y$5:$Y$1000,$U$5:$U$1000,ROW(),$V$5:$V$1000,"Sub"),$Y268)))</f>
        <v/>
      </c>
      <c r="AD268" s="62">
        <f>IF($V268="","",IF(AND(ISNUMBER($G268),$G268&lt;=IF($S268=MesCiclo,InicioCiclo,$S268+MOD(2-WEEKDAY($S268),7))+13),1,IF(N($W268)&gt;0,AVERAGEIFS($Z$5:$Z$1000,$U$5:$U$1000,ROW(),$V$5:$V$1000,"Sub"),$Z268)))</f>
        <v/>
      </c>
      <c r="AE268" s="62">
        <f>IF($V268="","",IF(AND(ISNUMBER($G268),$G268&lt;=IF($S268=MesCiclo,InicioCiclo,$S268+MOD(2-WEEKDAY($S268),7))+20),1,IF(N($W268)&gt;0,AVERAGEIFS($AA$5:$AA$1000,$U$5:$U$1000,ROW(),$V$5:$V$1000,"Sub"),$AA268)))</f>
        <v/>
      </c>
      <c r="AF268" s="62">
        <f>IF($V268="","",IF(AND(ISNUMBER($G268),$G268&lt;=IF($S268=MesCiclo,InicioCiclo,$S268+MOD(2-WEEKDAY($S268),7))+27),1,IF(N($W268)&gt;0,AVERAGEIFS($AB$5:$AB$1000,$U$5:$U$1000,ROW(),$V$5:$V$1000,"Sub"),$AB268)))</f>
        <v/>
      </c>
      <c r="AG268" s="62">
        <f>IF($V268&lt;&gt;"Macro","",IF(COUNTIFS($S$5:$S$1000,$S268,$V$5:$V$1000,"Macro",$H$5:$H$1000,"&gt;0")=0,1/COUNTIFS($S$5:$S$1000,$S268,$V$5:$V$1000,"Macro"),IF(AND(ISNUMBER($H268),N($H268)&gt;0),$H268,SUMIFS($H$5:$H$1000,$S$5:$S$1000,$S268,$V$5:$V$1000,"Macro")/COUNTIFS($S$5:$S$1000,$S268,$V$5:$V$1000,"Macro",$H$5:$H$1000,"&gt;0"))/(COUNTIFS($S$5:$S$1000,$S268,$V$5:$V$1000,"Macro")*SUMIFS($H$5:$H$1000,$S$5:$S$1000,$S268,$V$5:$V$1000,"Macro")/COUNTIFS($S$5:$S$1000,$S268,$V$5:$V$1000,"Macro",$H$5:$H$1000,"&gt;0"))))</f>
        <v/>
      </c>
      <c r="AH268" s="62" t="n"/>
      <c r="AI268" s="62" t="n"/>
      <c r="AJ268" s="62" t="n"/>
      <c r="AK268" s="62" t="n"/>
      <c r="AL268" s="62">
        <f>IF(LEFT($C268,11)="[Jefatura] ",IFERROR(MATCH("Riesgo Financiero|"&amp;MID($C268,12,500),rDname_ADM,0),0),"")</f>
        <v/>
      </c>
      <c r="AM268" s="62">
        <f>IF(N($AL268)&gt;0,INDEX(rIni_ADM,$AL268),IF(ISNUMBER($E268),$E268,""))</f>
        <v/>
      </c>
      <c r="AN268" s="62">
        <f>IF(N($AL268)&gt;0,INDEX(rLim_ADM,$AL268),IF(ISNUMBER($F268),$F268,""))</f>
        <v/>
      </c>
    </row>
    <row r="269">
      <c r="A269" s="56">
        <f>IF(NOT((COUNTA($B269:$D269)+COUNTA($G269:$L269)+COUNTA($Q269))&gt;0),"",IF($V269="Macro",COUNTIFS($V$5:$V269,"Macro",$S$5:$S269,$S269),IF(N($U269)=0,"?",COUNTIFS(INDEX($V$5:$V$1000,1):INDEX($V$5:$V$1000,$U269-4),"Macro",INDEX($S$5:$S$1000,1):INDEX($S$5:$S$1000,$U269-4),INDEX($S$5:$S$1000,$U269-4))&amp;"."&amp;COUNTIFS($U$5:$U269,$U269,$V$5:$V269,"Sub"))))</f>
        <v/>
      </c>
      <c r="B269" s="57" t="n"/>
      <c r="C269" s="58" t="n"/>
      <c r="D269" s="58" t="n"/>
      <c r="E269" s="59">
        <f>IF(N($AL269)&gt;0,INDEX(rIni_ADM,$AL269),"")</f>
        <v/>
      </c>
      <c r="F269" s="59">
        <f>IF(N($AL269)&gt;0,INDEX(rLim_ADM,$AL269),"")</f>
        <v/>
      </c>
      <c r="G269" s="59" t="n"/>
      <c r="H269" s="60" t="n"/>
      <c r="I269" s="60" t="n"/>
      <c r="J269" s="60" t="n"/>
      <c r="K269" s="60" t="n"/>
      <c r="L269" s="60" t="n"/>
      <c r="M269" s="61">
        <f>IF(NOT((COUNTA($B269:$D269)+COUNTA($G269:$L269)+COUNTA($Q269))&gt;0),"",IF(ISNUMBER($G269),1,IF(N($W269)&gt;0,AVERAGEIFS($X$5:$X$1000,$U$5:$U$1000,ROW(),$V$5:$V$1000,"Sub"),$X269)))</f>
        <v/>
      </c>
      <c r="N269" s="56">
        <f>IF($M269="","",IF($M269&gt;=1,"Completado",IF($M269&gt;0,"En curso","Pendiente")))</f>
        <v/>
      </c>
      <c r="O269" s="56">
        <f>IF(NOT((COUNTA($B269:$D269)+COUNTA($G269:$L269)+COUNTA($Q269))&gt;0),"",IF(ISNUMBER($G269),IF(AND(ISNUMBER($AN269),$G269&gt;$AN269),"Cumplida con "&amp;($G269-$AN269)&amp;IF($G269-$AN269=1," día"," días")&amp;" de retraso","Cumplida"),IF(N($M269)&gt;=1,"Cumplida",IF(NOT(ISNUMBER($AN269)),"Sin fecha límite",IF($AN269&lt;FechaRef,"Vencida hace "&amp;(FechaRef-$AN269)&amp;IF(FechaRef-$AN269=1," día"," días"),IF($AN269=FechaRef,"Vence hoy",IF($AN269-FechaRef&lt;=DiasAlerta,"Vence en "&amp;($AN269-FechaRef)&amp;IF($AN269-FechaRef=1," día"," días"),"En plazo")))))))</f>
        <v/>
      </c>
      <c r="P269" s="62" t="n"/>
      <c r="Q269" s="58" t="n"/>
      <c r="R269" s="63">
        <f>IF(NOT((COUNTA($B269:$D269)+COUNTA($G269:$L269)+COUNTA($Q269))&gt;0),"",IF((IF($C269="","Falta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",""))="","✔ OK","⚠ "&amp;LEFT(IF($C269="","Falta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",""),LEN(IF($C269="","Falta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",""))-3)))</f>
        <v/>
      </c>
      <c r="S269" s="64">
        <f>IF(NOT((COUNTA($B269:$D269)+COUNTA($G269:$L269)+COUNTA($Q269))&gt;0),"",IF(AND($V269="Sub",N($U269)&gt;0),IF(ISNUMBER(INDEX($AM$5:$AM$1000,$U269-4)),DATE(YEAR(INDEX($AM$5:$AM$1000,$U269-4)),MONTH(INDEX($AM$5:$AM$1000,$U269-4)),1),IF(ISNUMBER(INDEX($AN$5:$AN$1000,$U269-4)),DATE(YEAR(INDEX($AN$5:$AN$1000,$U269-4)),MONTH(INDEX($AN$5:$AN$1000,$U269-4)),1),MesCiclo)),IF(ISNUMBER($AM269),DATE(YEAR($AM269),MONTH($AM269),1),IF(ISNUMBER($AN269),DATE(YEAR($AN269),MONTH($AN269),1),MesCiclo))))</f>
        <v/>
      </c>
      <c r="T269" s="62">
        <f>IF(OR($S269="",$S269&lt;&gt;MesCiclo),"",COUNTIF($S$5:$S269,MesCiclo))</f>
        <v/>
      </c>
      <c r="U269" s="62">
        <f>IF($V269="","",IF($V269="Macro",ROW(),IFERROR(LOOKUP(2,1/($V$5:$V269="Macro"),ROW($V$5:$V269)),0)))</f>
        <v/>
      </c>
      <c r="V269" s="62">
        <f>IF(NOT((COUNTA($B269:$D269)+COUNTA($G269:$L269)+COUNTA($Q269))&gt;0),"",IF($B269="Subactividad","Sub","Macro"))</f>
        <v/>
      </c>
      <c r="W269" s="62">
        <f>IF($V269="Macro",COUNTIFS($U$5:$U$1000,ROW(),$V$5:$V$1000,"Sub"),"")</f>
        <v/>
      </c>
      <c r="X269" s="62">
        <f>IF($V269="","",IF(ISNUMBER($G269),1,IFERROR(LOOKUP(2,1/($I269:$L269&lt;&gt;""),$I269:$L269),0)))</f>
        <v/>
      </c>
      <c r="Y269" s="62">
        <f>IF($V269="","",IF(AND(ISNUMBER($G269),$G269&lt;=IF($S269=MesCiclo,InicioCiclo,$S269+MOD(2-WEEKDAY($S269),7))+6),1,IF(ISNUMBER($I269),$I269,0)))</f>
        <v/>
      </c>
      <c r="Z269" s="62">
        <f>IF($V269="","",IF(AND(ISNUMBER($G269),$G269&lt;=IF($S269=MesCiclo,InicioCiclo,$S269+MOD(2-WEEKDAY($S269),7))+13),1,IF(ISNUMBER($J269),$J269,$Y269)))</f>
        <v/>
      </c>
      <c r="AA269" s="62">
        <f>IF($V269="","",IF(AND(ISNUMBER($G269),$G269&lt;=IF($S269=MesCiclo,InicioCiclo,$S269+MOD(2-WEEKDAY($S269),7))+20),1,IF(ISNUMBER($K269),$K269,$Z269)))</f>
        <v/>
      </c>
      <c r="AB269" s="62">
        <f>IF($V269="","",IF(AND(ISNUMBER($G269),$G269&lt;=IF($S269=MesCiclo,InicioCiclo,$S269+MOD(2-WEEKDAY($S269),7))+27),1,IF(ISNUMBER($L269),$L269,$AA269)))</f>
        <v/>
      </c>
      <c r="AC269" s="62">
        <f>IF($V269="","",IF(AND(ISNUMBER($G269),$G269&lt;=IF($S269=MesCiclo,InicioCiclo,$S269+MOD(2-WEEKDAY($S269),7))+6),1,IF(N($W269)&gt;0,AVERAGEIFS($Y$5:$Y$1000,$U$5:$U$1000,ROW(),$V$5:$V$1000,"Sub"),$Y269)))</f>
        <v/>
      </c>
      <c r="AD269" s="62">
        <f>IF($V269="","",IF(AND(ISNUMBER($G269),$G269&lt;=IF($S269=MesCiclo,InicioCiclo,$S269+MOD(2-WEEKDAY($S269),7))+13),1,IF(N($W269)&gt;0,AVERAGEIFS($Z$5:$Z$1000,$U$5:$U$1000,ROW(),$V$5:$V$1000,"Sub"),$Z269)))</f>
        <v/>
      </c>
      <c r="AE269" s="62">
        <f>IF($V269="","",IF(AND(ISNUMBER($G269),$G269&lt;=IF($S269=MesCiclo,InicioCiclo,$S269+MOD(2-WEEKDAY($S269),7))+20),1,IF(N($W269)&gt;0,AVERAGEIFS($AA$5:$AA$1000,$U$5:$U$1000,ROW(),$V$5:$V$1000,"Sub"),$AA269)))</f>
        <v/>
      </c>
      <c r="AF269" s="62">
        <f>IF($V269="","",IF(AND(ISNUMBER($G269),$G269&lt;=IF($S269=MesCiclo,InicioCiclo,$S269+MOD(2-WEEKDAY($S269),7))+27),1,IF(N($W269)&gt;0,AVERAGEIFS($AB$5:$AB$1000,$U$5:$U$1000,ROW(),$V$5:$V$1000,"Sub"),$AB269)))</f>
        <v/>
      </c>
      <c r="AG269" s="62">
        <f>IF($V269&lt;&gt;"Macro","",IF(COUNTIFS($S$5:$S$1000,$S269,$V$5:$V$1000,"Macro",$H$5:$H$1000,"&gt;0")=0,1/COUNTIFS($S$5:$S$1000,$S269,$V$5:$V$1000,"Macro"),IF(AND(ISNUMBER($H269),N($H269)&gt;0),$H269,SUMIFS($H$5:$H$1000,$S$5:$S$1000,$S269,$V$5:$V$1000,"Macro")/COUNTIFS($S$5:$S$1000,$S269,$V$5:$V$1000,"Macro",$H$5:$H$1000,"&gt;0"))/(COUNTIFS($S$5:$S$1000,$S269,$V$5:$V$1000,"Macro")*SUMIFS($H$5:$H$1000,$S$5:$S$1000,$S269,$V$5:$V$1000,"Macro")/COUNTIFS($S$5:$S$1000,$S269,$V$5:$V$1000,"Macro",$H$5:$H$1000,"&gt;0"))))</f>
        <v/>
      </c>
      <c r="AH269" s="62" t="n"/>
      <c r="AI269" s="62" t="n"/>
      <c r="AJ269" s="62" t="n"/>
      <c r="AK269" s="62" t="n"/>
      <c r="AL269" s="62">
        <f>IF(LEFT($C269,11)="[Jefatura] ",IFERROR(MATCH("Riesgo Financiero|"&amp;MID($C269,12,500),rDname_ADM,0),0),"")</f>
        <v/>
      </c>
      <c r="AM269" s="62">
        <f>IF(N($AL269)&gt;0,INDEX(rIni_ADM,$AL269),IF(ISNUMBER($E269),$E269,""))</f>
        <v/>
      </c>
      <c r="AN269" s="62">
        <f>IF(N($AL269)&gt;0,INDEX(rLim_ADM,$AL269),IF(ISNUMBER($F269),$F269,""))</f>
        <v/>
      </c>
    </row>
    <row r="270">
      <c r="A270" s="56">
        <f>IF(NOT((COUNTA($B270:$D270)+COUNTA($G270:$L270)+COUNTA($Q270))&gt;0),"",IF($V270="Macro",COUNTIFS($V$5:$V270,"Macro",$S$5:$S270,$S270),IF(N($U270)=0,"?",COUNTIFS(INDEX($V$5:$V$1000,1):INDEX($V$5:$V$1000,$U270-4),"Macro",INDEX($S$5:$S$1000,1):INDEX($S$5:$S$1000,$U270-4),INDEX($S$5:$S$1000,$U270-4))&amp;"."&amp;COUNTIFS($U$5:$U270,$U270,$V$5:$V270,"Sub"))))</f>
        <v/>
      </c>
      <c r="B270" s="57" t="n"/>
      <c r="C270" s="58" t="n"/>
      <c r="D270" s="58" t="n"/>
      <c r="E270" s="59">
        <f>IF(N($AL270)&gt;0,INDEX(rIni_ADM,$AL270),"")</f>
        <v/>
      </c>
      <c r="F270" s="59">
        <f>IF(N($AL270)&gt;0,INDEX(rLim_ADM,$AL270),"")</f>
        <v/>
      </c>
      <c r="G270" s="59" t="n"/>
      <c r="H270" s="60" t="n"/>
      <c r="I270" s="60" t="n"/>
      <c r="J270" s="60" t="n"/>
      <c r="K270" s="60" t="n"/>
      <c r="L270" s="60" t="n"/>
      <c r="M270" s="61">
        <f>IF(NOT((COUNTA($B270:$D270)+COUNTA($G270:$L270)+COUNTA($Q270))&gt;0),"",IF(ISNUMBER($G270),1,IF(N($W270)&gt;0,AVERAGEIFS($X$5:$X$1000,$U$5:$U$1000,ROW(),$V$5:$V$1000,"Sub"),$X270)))</f>
        <v/>
      </c>
      <c r="N270" s="56">
        <f>IF($M270="","",IF($M270&gt;=1,"Completado",IF($M270&gt;0,"En curso","Pendiente")))</f>
        <v/>
      </c>
      <c r="O270" s="56">
        <f>IF(NOT((COUNTA($B270:$D270)+COUNTA($G270:$L270)+COUNTA($Q270))&gt;0),"",IF(ISNUMBER($G270),IF(AND(ISNUMBER($AN270),$G270&gt;$AN270),"Cumplida con "&amp;($G270-$AN270)&amp;IF($G270-$AN270=1," día"," días")&amp;" de retraso","Cumplida"),IF(N($M270)&gt;=1,"Cumplida",IF(NOT(ISNUMBER($AN270)),"Sin fecha límite",IF($AN270&lt;FechaRef,"Vencida hace "&amp;(FechaRef-$AN270)&amp;IF(FechaRef-$AN270=1," día"," días"),IF($AN270=FechaRef,"Vence hoy",IF($AN270-FechaRef&lt;=DiasAlerta,"Vence en "&amp;($AN270-FechaRef)&amp;IF($AN270-FechaRef=1," día"," días"),"En plazo")))))))</f>
        <v/>
      </c>
      <c r="P270" s="62" t="n"/>
      <c r="Q270" s="58" t="n"/>
      <c r="R270" s="63">
        <f>IF(NOT((COUNTA($B270:$D270)+COUNTA($G270:$L270)+COUNTA($Q270))&gt;0),"",IF((IF($C270="","Falta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",""))="","✔ OK","⚠ "&amp;LEFT(IF($C270="","Falta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",""),LEN(IF($C270="","Falta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",""))-3)))</f>
        <v/>
      </c>
      <c r="S270" s="64">
        <f>IF(NOT((COUNTA($B270:$D270)+COUNTA($G270:$L270)+COUNTA($Q270))&gt;0),"",IF(AND($V270="Sub",N($U270)&gt;0),IF(ISNUMBER(INDEX($AM$5:$AM$1000,$U270-4)),DATE(YEAR(INDEX($AM$5:$AM$1000,$U270-4)),MONTH(INDEX($AM$5:$AM$1000,$U270-4)),1),IF(ISNUMBER(INDEX($AN$5:$AN$1000,$U270-4)),DATE(YEAR(INDEX($AN$5:$AN$1000,$U270-4)),MONTH(INDEX($AN$5:$AN$1000,$U270-4)),1),MesCiclo)),IF(ISNUMBER($AM270),DATE(YEAR($AM270),MONTH($AM270),1),IF(ISNUMBER($AN270),DATE(YEAR($AN270),MONTH($AN270),1),MesCiclo))))</f>
        <v/>
      </c>
      <c r="T270" s="62">
        <f>IF(OR($S270="",$S270&lt;&gt;MesCiclo),"",COUNTIF($S$5:$S270,MesCiclo))</f>
        <v/>
      </c>
      <c r="U270" s="62">
        <f>IF($V270="","",IF($V270="Macro",ROW(),IFERROR(LOOKUP(2,1/($V$5:$V270="Macro"),ROW($V$5:$V270)),0)))</f>
        <v/>
      </c>
      <c r="V270" s="62">
        <f>IF(NOT((COUNTA($B270:$D270)+COUNTA($G270:$L270)+COUNTA($Q270))&gt;0),"",IF($B270="Subactividad","Sub","Macro"))</f>
        <v/>
      </c>
      <c r="W270" s="62">
        <f>IF($V270="Macro",COUNTIFS($U$5:$U$1000,ROW(),$V$5:$V$1000,"Sub"),"")</f>
        <v/>
      </c>
      <c r="X270" s="62">
        <f>IF($V270="","",IF(ISNUMBER($G270),1,IFERROR(LOOKUP(2,1/($I270:$L270&lt;&gt;""),$I270:$L270),0)))</f>
        <v/>
      </c>
      <c r="Y270" s="62">
        <f>IF($V270="","",IF(AND(ISNUMBER($G270),$G270&lt;=IF($S270=MesCiclo,InicioCiclo,$S270+MOD(2-WEEKDAY($S270),7))+6),1,IF(ISNUMBER($I270),$I270,0)))</f>
        <v/>
      </c>
      <c r="Z270" s="62">
        <f>IF($V270="","",IF(AND(ISNUMBER($G270),$G270&lt;=IF($S270=MesCiclo,InicioCiclo,$S270+MOD(2-WEEKDAY($S270),7))+13),1,IF(ISNUMBER($J270),$J270,$Y270)))</f>
        <v/>
      </c>
      <c r="AA270" s="62">
        <f>IF($V270="","",IF(AND(ISNUMBER($G270),$G270&lt;=IF($S270=MesCiclo,InicioCiclo,$S270+MOD(2-WEEKDAY($S270),7))+20),1,IF(ISNUMBER($K270),$K270,$Z270)))</f>
        <v/>
      </c>
      <c r="AB270" s="62">
        <f>IF($V270="","",IF(AND(ISNUMBER($G270),$G270&lt;=IF($S270=MesCiclo,InicioCiclo,$S270+MOD(2-WEEKDAY($S270),7))+27),1,IF(ISNUMBER($L270),$L270,$AA270)))</f>
        <v/>
      </c>
      <c r="AC270" s="62">
        <f>IF($V270="","",IF(AND(ISNUMBER($G270),$G270&lt;=IF($S270=MesCiclo,InicioCiclo,$S270+MOD(2-WEEKDAY($S270),7))+6),1,IF(N($W270)&gt;0,AVERAGEIFS($Y$5:$Y$1000,$U$5:$U$1000,ROW(),$V$5:$V$1000,"Sub"),$Y270)))</f>
        <v/>
      </c>
      <c r="AD270" s="62">
        <f>IF($V270="","",IF(AND(ISNUMBER($G270),$G270&lt;=IF($S270=MesCiclo,InicioCiclo,$S270+MOD(2-WEEKDAY($S270),7))+13),1,IF(N($W270)&gt;0,AVERAGEIFS($Z$5:$Z$1000,$U$5:$U$1000,ROW(),$V$5:$V$1000,"Sub"),$Z270)))</f>
        <v/>
      </c>
      <c r="AE270" s="62">
        <f>IF($V270="","",IF(AND(ISNUMBER($G270),$G270&lt;=IF($S270=MesCiclo,InicioCiclo,$S270+MOD(2-WEEKDAY($S270),7))+20),1,IF(N($W270)&gt;0,AVERAGEIFS($AA$5:$AA$1000,$U$5:$U$1000,ROW(),$V$5:$V$1000,"Sub"),$AA270)))</f>
        <v/>
      </c>
      <c r="AF270" s="62">
        <f>IF($V270="","",IF(AND(ISNUMBER($G270),$G270&lt;=IF($S270=MesCiclo,InicioCiclo,$S270+MOD(2-WEEKDAY($S270),7))+27),1,IF(N($W270)&gt;0,AVERAGEIFS($AB$5:$AB$1000,$U$5:$U$1000,ROW(),$V$5:$V$1000,"Sub"),$AB270)))</f>
        <v/>
      </c>
      <c r="AG270" s="62">
        <f>IF($V270&lt;&gt;"Macro","",IF(COUNTIFS($S$5:$S$1000,$S270,$V$5:$V$1000,"Macro",$H$5:$H$1000,"&gt;0")=0,1/COUNTIFS($S$5:$S$1000,$S270,$V$5:$V$1000,"Macro"),IF(AND(ISNUMBER($H270),N($H270)&gt;0),$H270,SUMIFS($H$5:$H$1000,$S$5:$S$1000,$S270,$V$5:$V$1000,"Macro")/COUNTIFS($S$5:$S$1000,$S270,$V$5:$V$1000,"Macro",$H$5:$H$1000,"&gt;0"))/(COUNTIFS($S$5:$S$1000,$S270,$V$5:$V$1000,"Macro")*SUMIFS($H$5:$H$1000,$S$5:$S$1000,$S270,$V$5:$V$1000,"Macro")/COUNTIFS($S$5:$S$1000,$S270,$V$5:$V$1000,"Macro",$H$5:$H$1000,"&gt;0"))))</f>
        <v/>
      </c>
      <c r="AH270" s="62" t="n"/>
      <c r="AI270" s="62" t="n"/>
      <c r="AJ270" s="62" t="n"/>
      <c r="AK270" s="62" t="n"/>
      <c r="AL270" s="62">
        <f>IF(LEFT($C270,11)="[Jefatura] ",IFERROR(MATCH("Riesgo Financiero|"&amp;MID($C270,12,500),rDname_ADM,0),0),"")</f>
        <v/>
      </c>
      <c r="AM270" s="62">
        <f>IF(N($AL270)&gt;0,INDEX(rIni_ADM,$AL270),IF(ISNUMBER($E270),$E270,""))</f>
        <v/>
      </c>
      <c r="AN270" s="62">
        <f>IF(N($AL270)&gt;0,INDEX(rLim_ADM,$AL270),IF(ISNUMBER($F270),$F270,""))</f>
        <v/>
      </c>
    </row>
    <row r="271">
      <c r="A271" s="56">
        <f>IF(NOT((COUNTA($B271:$D271)+COUNTA($G271:$L271)+COUNTA($Q271))&gt;0),"",IF($V271="Macro",COUNTIFS($V$5:$V271,"Macro",$S$5:$S271,$S271),IF(N($U271)=0,"?",COUNTIFS(INDEX($V$5:$V$1000,1):INDEX($V$5:$V$1000,$U271-4),"Macro",INDEX($S$5:$S$1000,1):INDEX($S$5:$S$1000,$U271-4),INDEX($S$5:$S$1000,$U271-4))&amp;"."&amp;COUNTIFS($U$5:$U271,$U271,$V$5:$V271,"Sub"))))</f>
        <v/>
      </c>
      <c r="B271" s="57" t="n"/>
      <c r="C271" s="58" t="n"/>
      <c r="D271" s="58" t="n"/>
      <c r="E271" s="59">
        <f>IF(N($AL271)&gt;0,INDEX(rIni_ADM,$AL271),"")</f>
        <v/>
      </c>
      <c r="F271" s="59">
        <f>IF(N($AL271)&gt;0,INDEX(rLim_ADM,$AL271),"")</f>
        <v/>
      </c>
      <c r="G271" s="59" t="n"/>
      <c r="H271" s="60" t="n"/>
      <c r="I271" s="60" t="n"/>
      <c r="J271" s="60" t="n"/>
      <c r="K271" s="60" t="n"/>
      <c r="L271" s="60" t="n"/>
      <c r="M271" s="61">
        <f>IF(NOT((COUNTA($B271:$D271)+COUNTA($G271:$L271)+COUNTA($Q271))&gt;0),"",IF(ISNUMBER($G271),1,IF(N($W271)&gt;0,AVERAGEIFS($X$5:$X$1000,$U$5:$U$1000,ROW(),$V$5:$V$1000,"Sub"),$X271)))</f>
        <v/>
      </c>
      <c r="N271" s="56">
        <f>IF($M271="","",IF($M271&gt;=1,"Completado",IF($M271&gt;0,"En curso","Pendiente")))</f>
        <v/>
      </c>
      <c r="O271" s="56">
        <f>IF(NOT((COUNTA($B271:$D271)+COUNTA($G271:$L271)+COUNTA($Q271))&gt;0),"",IF(ISNUMBER($G271),IF(AND(ISNUMBER($AN271),$G271&gt;$AN271),"Cumplida con "&amp;($G271-$AN271)&amp;IF($G271-$AN271=1," día"," días")&amp;" de retraso","Cumplida"),IF(N($M271)&gt;=1,"Cumplida",IF(NOT(ISNUMBER($AN271)),"Sin fecha límite",IF($AN271&lt;FechaRef,"Vencida hace "&amp;(FechaRef-$AN271)&amp;IF(FechaRef-$AN271=1," día"," días"),IF($AN271=FechaRef,"Vence hoy",IF($AN271-FechaRef&lt;=DiasAlerta,"Vence en "&amp;($AN271-FechaRef)&amp;IF($AN271-FechaRef=1," día"," días"),"En plazo")))))))</f>
        <v/>
      </c>
      <c r="P271" s="62" t="n"/>
      <c r="Q271" s="58" t="n"/>
      <c r="R271" s="63">
        <f>IF(NOT((COUNTA($B271:$D271)+COUNTA($G271:$L271)+COUNTA($Q271))&gt;0),"",IF((IF($C271="","Falta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",""))="","✔ OK","⚠ "&amp;LEFT(IF($C271="","Falta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",""),LEN(IF($C271="","Falta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",""))-3)))</f>
        <v/>
      </c>
      <c r="S271" s="64">
        <f>IF(NOT((COUNTA($B271:$D271)+COUNTA($G271:$L271)+COUNTA($Q271))&gt;0),"",IF(AND($V271="Sub",N($U271)&gt;0),IF(ISNUMBER(INDEX($AM$5:$AM$1000,$U271-4)),DATE(YEAR(INDEX($AM$5:$AM$1000,$U271-4)),MONTH(INDEX($AM$5:$AM$1000,$U271-4)),1),IF(ISNUMBER(INDEX($AN$5:$AN$1000,$U271-4)),DATE(YEAR(INDEX($AN$5:$AN$1000,$U271-4)),MONTH(INDEX($AN$5:$AN$1000,$U271-4)),1),MesCiclo)),IF(ISNUMBER($AM271),DATE(YEAR($AM271),MONTH($AM271),1),IF(ISNUMBER($AN271),DATE(YEAR($AN271),MONTH($AN271),1),MesCiclo))))</f>
        <v/>
      </c>
      <c r="T271" s="62">
        <f>IF(OR($S271="",$S271&lt;&gt;MesCiclo),"",COUNTIF($S$5:$S271,MesCiclo))</f>
        <v/>
      </c>
      <c r="U271" s="62">
        <f>IF($V271="","",IF($V271="Macro",ROW(),IFERROR(LOOKUP(2,1/($V$5:$V271="Macro"),ROW($V$5:$V271)),0)))</f>
        <v/>
      </c>
      <c r="V271" s="62">
        <f>IF(NOT((COUNTA($B271:$D271)+COUNTA($G271:$L271)+COUNTA($Q271))&gt;0),"",IF($B271="Subactividad","Sub","Macro"))</f>
        <v/>
      </c>
      <c r="W271" s="62">
        <f>IF($V271="Macro",COUNTIFS($U$5:$U$1000,ROW(),$V$5:$V$1000,"Sub"),"")</f>
        <v/>
      </c>
      <c r="X271" s="62">
        <f>IF($V271="","",IF(ISNUMBER($G271),1,IFERROR(LOOKUP(2,1/($I271:$L271&lt;&gt;""),$I271:$L271),0)))</f>
        <v/>
      </c>
      <c r="Y271" s="62">
        <f>IF($V271="","",IF(AND(ISNUMBER($G271),$G271&lt;=IF($S271=MesCiclo,InicioCiclo,$S271+MOD(2-WEEKDAY($S271),7))+6),1,IF(ISNUMBER($I271),$I271,0)))</f>
        <v/>
      </c>
      <c r="Z271" s="62">
        <f>IF($V271="","",IF(AND(ISNUMBER($G271),$G271&lt;=IF($S271=MesCiclo,InicioCiclo,$S271+MOD(2-WEEKDAY($S271),7))+13),1,IF(ISNUMBER($J271),$J271,$Y271)))</f>
        <v/>
      </c>
      <c r="AA271" s="62">
        <f>IF($V271="","",IF(AND(ISNUMBER($G271),$G271&lt;=IF($S271=MesCiclo,InicioCiclo,$S271+MOD(2-WEEKDAY($S271),7))+20),1,IF(ISNUMBER($K271),$K271,$Z271)))</f>
        <v/>
      </c>
      <c r="AB271" s="62">
        <f>IF($V271="","",IF(AND(ISNUMBER($G271),$G271&lt;=IF($S271=MesCiclo,InicioCiclo,$S271+MOD(2-WEEKDAY($S271),7))+27),1,IF(ISNUMBER($L271),$L271,$AA271)))</f>
        <v/>
      </c>
      <c r="AC271" s="62">
        <f>IF($V271="","",IF(AND(ISNUMBER($G271),$G271&lt;=IF($S271=MesCiclo,InicioCiclo,$S271+MOD(2-WEEKDAY($S271),7))+6),1,IF(N($W271)&gt;0,AVERAGEIFS($Y$5:$Y$1000,$U$5:$U$1000,ROW(),$V$5:$V$1000,"Sub"),$Y271)))</f>
        <v/>
      </c>
      <c r="AD271" s="62">
        <f>IF($V271="","",IF(AND(ISNUMBER($G271),$G271&lt;=IF($S271=MesCiclo,InicioCiclo,$S271+MOD(2-WEEKDAY($S271),7))+13),1,IF(N($W271)&gt;0,AVERAGEIFS($Z$5:$Z$1000,$U$5:$U$1000,ROW(),$V$5:$V$1000,"Sub"),$Z271)))</f>
        <v/>
      </c>
      <c r="AE271" s="62">
        <f>IF($V271="","",IF(AND(ISNUMBER($G271),$G271&lt;=IF($S271=MesCiclo,InicioCiclo,$S271+MOD(2-WEEKDAY($S271),7))+20),1,IF(N($W271)&gt;0,AVERAGEIFS($AA$5:$AA$1000,$U$5:$U$1000,ROW(),$V$5:$V$1000,"Sub"),$AA271)))</f>
        <v/>
      </c>
      <c r="AF271" s="62">
        <f>IF($V271="","",IF(AND(ISNUMBER($G271),$G271&lt;=IF($S271=MesCiclo,InicioCiclo,$S271+MOD(2-WEEKDAY($S271),7))+27),1,IF(N($W271)&gt;0,AVERAGEIFS($AB$5:$AB$1000,$U$5:$U$1000,ROW(),$V$5:$V$1000,"Sub"),$AB271)))</f>
        <v/>
      </c>
      <c r="AG271" s="62">
        <f>IF($V271&lt;&gt;"Macro","",IF(COUNTIFS($S$5:$S$1000,$S271,$V$5:$V$1000,"Macro",$H$5:$H$1000,"&gt;0")=0,1/COUNTIFS($S$5:$S$1000,$S271,$V$5:$V$1000,"Macro"),IF(AND(ISNUMBER($H271),N($H271)&gt;0),$H271,SUMIFS($H$5:$H$1000,$S$5:$S$1000,$S271,$V$5:$V$1000,"Macro")/COUNTIFS($S$5:$S$1000,$S271,$V$5:$V$1000,"Macro",$H$5:$H$1000,"&gt;0"))/(COUNTIFS($S$5:$S$1000,$S271,$V$5:$V$1000,"Macro")*SUMIFS($H$5:$H$1000,$S$5:$S$1000,$S271,$V$5:$V$1000,"Macro")/COUNTIFS($S$5:$S$1000,$S271,$V$5:$V$1000,"Macro",$H$5:$H$1000,"&gt;0"))))</f>
        <v/>
      </c>
      <c r="AH271" s="62" t="n"/>
      <c r="AI271" s="62" t="n"/>
      <c r="AJ271" s="62" t="n"/>
      <c r="AK271" s="62" t="n"/>
      <c r="AL271" s="62">
        <f>IF(LEFT($C271,11)="[Jefatura] ",IFERROR(MATCH("Riesgo Financiero|"&amp;MID($C271,12,500),rDname_ADM,0),0),"")</f>
        <v/>
      </c>
      <c r="AM271" s="62">
        <f>IF(N($AL271)&gt;0,INDEX(rIni_ADM,$AL271),IF(ISNUMBER($E271),$E271,""))</f>
        <v/>
      </c>
      <c r="AN271" s="62">
        <f>IF(N($AL271)&gt;0,INDEX(rLim_ADM,$AL271),IF(ISNUMBER($F271),$F271,""))</f>
        <v/>
      </c>
    </row>
    <row r="272">
      <c r="A272" s="56">
        <f>IF(NOT((COUNTA($B272:$D272)+COUNTA($G272:$L272)+COUNTA($Q272))&gt;0),"",IF($V272="Macro",COUNTIFS($V$5:$V272,"Macro",$S$5:$S272,$S272),IF(N($U272)=0,"?",COUNTIFS(INDEX($V$5:$V$1000,1):INDEX($V$5:$V$1000,$U272-4),"Macro",INDEX($S$5:$S$1000,1):INDEX($S$5:$S$1000,$U272-4),INDEX($S$5:$S$1000,$U272-4))&amp;"."&amp;COUNTIFS($U$5:$U272,$U272,$V$5:$V272,"Sub"))))</f>
        <v/>
      </c>
      <c r="B272" s="57" t="n"/>
      <c r="C272" s="58" t="n"/>
      <c r="D272" s="58" t="n"/>
      <c r="E272" s="59">
        <f>IF(N($AL272)&gt;0,INDEX(rIni_ADM,$AL272),"")</f>
        <v/>
      </c>
      <c r="F272" s="59">
        <f>IF(N($AL272)&gt;0,INDEX(rLim_ADM,$AL272),"")</f>
        <v/>
      </c>
      <c r="G272" s="59" t="n"/>
      <c r="H272" s="60" t="n"/>
      <c r="I272" s="60" t="n"/>
      <c r="J272" s="60" t="n"/>
      <c r="K272" s="60" t="n"/>
      <c r="L272" s="60" t="n"/>
      <c r="M272" s="61">
        <f>IF(NOT((COUNTA($B272:$D272)+COUNTA($G272:$L272)+COUNTA($Q272))&gt;0),"",IF(ISNUMBER($G272),1,IF(N($W272)&gt;0,AVERAGEIFS($X$5:$X$1000,$U$5:$U$1000,ROW(),$V$5:$V$1000,"Sub"),$X272)))</f>
        <v/>
      </c>
      <c r="N272" s="56">
        <f>IF($M272="","",IF($M272&gt;=1,"Completado",IF($M272&gt;0,"En curso","Pendiente")))</f>
        <v/>
      </c>
      <c r="O272" s="56">
        <f>IF(NOT((COUNTA($B272:$D272)+COUNTA($G272:$L272)+COUNTA($Q272))&gt;0),"",IF(ISNUMBER($G272),IF(AND(ISNUMBER($AN272),$G272&gt;$AN272),"Cumplida con "&amp;($G272-$AN272)&amp;IF($G272-$AN272=1," día"," días")&amp;" de retraso","Cumplida"),IF(N($M272)&gt;=1,"Cumplida",IF(NOT(ISNUMBER($AN272)),"Sin fecha límite",IF($AN272&lt;FechaRef,"Vencida hace "&amp;(FechaRef-$AN272)&amp;IF(FechaRef-$AN272=1," día"," días"),IF($AN272=FechaRef,"Vence hoy",IF($AN272-FechaRef&lt;=DiasAlerta,"Vence en "&amp;($AN272-FechaRef)&amp;IF($AN272-FechaRef=1," día"," días"),"En plazo")))))))</f>
        <v/>
      </c>
      <c r="P272" s="62" t="n"/>
      <c r="Q272" s="58" t="n"/>
      <c r="R272" s="63">
        <f>IF(NOT((COUNTA($B272:$D272)+COUNTA($G272:$L272)+COUNTA($Q272))&gt;0),"",IF((IF($C272="","Falta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",""))="","✔ OK","⚠ "&amp;LEFT(IF($C272="","Falta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",""),LEN(IF($C272="","Falta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",""))-3)))</f>
        <v/>
      </c>
      <c r="S272" s="64">
        <f>IF(NOT((COUNTA($B272:$D272)+COUNTA($G272:$L272)+COUNTA($Q272))&gt;0),"",IF(AND($V272="Sub",N($U272)&gt;0),IF(ISNUMBER(INDEX($AM$5:$AM$1000,$U272-4)),DATE(YEAR(INDEX($AM$5:$AM$1000,$U272-4)),MONTH(INDEX($AM$5:$AM$1000,$U272-4)),1),IF(ISNUMBER(INDEX($AN$5:$AN$1000,$U272-4)),DATE(YEAR(INDEX($AN$5:$AN$1000,$U272-4)),MONTH(INDEX($AN$5:$AN$1000,$U272-4)),1),MesCiclo)),IF(ISNUMBER($AM272),DATE(YEAR($AM272),MONTH($AM272),1),IF(ISNUMBER($AN272),DATE(YEAR($AN272),MONTH($AN272),1),MesCiclo))))</f>
        <v/>
      </c>
      <c r="T272" s="62">
        <f>IF(OR($S272="",$S272&lt;&gt;MesCiclo),"",COUNTIF($S$5:$S272,MesCiclo))</f>
        <v/>
      </c>
      <c r="U272" s="62">
        <f>IF($V272="","",IF($V272="Macro",ROW(),IFERROR(LOOKUP(2,1/($V$5:$V272="Macro"),ROW($V$5:$V272)),0)))</f>
        <v/>
      </c>
      <c r="V272" s="62">
        <f>IF(NOT((COUNTA($B272:$D272)+COUNTA($G272:$L272)+COUNTA($Q272))&gt;0),"",IF($B272="Subactividad","Sub","Macro"))</f>
        <v/>
      </c>
      <c r="W272" s="62">
        <f>IF($V272="Macro",COUNTIFS($U$5:$U$1000,ROW(),$V$5:$V$1000,"Sub"),"")</f>
        <v/>
      </c>
      <c r="X272" s="62">
        <f>IF($V272="","",IF(ISNUMBER($G272),1,IFERROR(LOOKUP(2,1/($I272:$L272&lt;&gt;""),$I272:$L272),0)))</f>
        <v/>
      </c>
      <c r="Y272" s="62">
        <f>IF($V272="","",IF(AND(ISNUMBER($G272),$G272&lt;=IF($S272=MesCiclo,InicioCiclo,$S272+MOD(2-WEEKDAY($S272),7))+6),1,IF(ISNUMBER($I272),$I272,0)))</f>
        <v/>
      </c>
      <c r="Z272" s="62">
        <f>IF($V272="","",IF(AND(ISNUMBER($G272),$G272&lt;=IF($S272=MesCiclo,InicioCiclo,$S272+MOD(2-WEEKDAY($S272),7))+13),1,IF(ISNUMBER($J272),$J272,$Y272)))</f>
        <v/>
      </c>
      <c r="AA272" s="62">
        <f>IF($V272="","",IF(AND(ISNUMBER($G272),$G272&lt;=IF($S272=MesCiclo,InicioCiclo,$S272+MOD(2-WEEKDAY($S272),7))+20),1,IF(ISNUMBER($K272),$K272,$Z272)))</f>
        <v/>
      </c>
      <c r="AB272" s="62">
        <f>IF($V272="","",IF(AND(ISNUMBER($G272),$G272&lt;=IF($S272=MesCiclo,InicioCiclo,$S272+MOD(2-WEEKDAY($S272),7))+27),1,IF(ISNUMBER($L272),$L272,$AA272)))</f>
        <v/>
      </c>
      <c r="AC272" s="62">
        <f>IF($V272="","",IF(AND(ISNUMBER($G272),$G272&lt;=IF($S272=MesCiclo,InicioCiclo,$S272+MOD(2-WEEKDAY($S272),7))+6),1,IF(N($W272)&gt;0,AVERAGEIFS($Y$5:$Y$1000,$U$5:$U$1000,ROW(),$V$5:$V$1000,"Sub"),$Y272)))</f>
        <v/>
      </c>
      <c r="AD272" s="62">
        <f>IF($V272="","",IF(AND(ISNUMBER($G272),$G272&lt;=IF($S272=MesCiclo,InicioCiclo,$S272+MOD(2-WEEKDAY($S272),7))+13),1,IF(N($W272)&gt;0,AVERAGEIFS($Z$5:$Z$1000,$U$5:$U$1000,ROW(),$V$5:$V$1000,"Sub"),$Z272)))</f>
        <v/>
      </c>
      <c r="AE272" s="62">
        <f>IF($V272="","",IF(AND(ISNUMBER($G272),$G272&lt;=IF($S272=MesCiclo,InicioCiclo,$S272+MOD(2-WEEKDAY($S272),7))+20),1,IF(N($W272)&gt;0,AVERAGEIFS($AA$5:$AA$1000,$U$5:$U$1000,ROW(),$V$5:$V$1000,"Sub"),$AA272)))</f>
        <v/>
      </c>
      <c r="AF272" s="62">
        <f>IF($V272="","",IF(AND(ISNUMBER($G272),$G272&lt;=IF($S272=MesCiclo,InicioCiclo,$S272+MOD(2-WEEKDAY($S272),7))+27),1,IF(N($W272)&gt;0,AVERAGEIFS($AB$5:$AB$1000,$U$5:$U$1000,ROW(),$V$5:$V$1000,"Sub"),$AB272)))</f>
        <v/>
      </c>
      <c r="AG272" s="62">
        <f>IF($V272&lt;&gt;"Macro","",IF(COUNTIFS($S$5:$S$1000,$S272,$V$5:$V$1000,"Macro",$H$5:$H$1000,"&gt;0")=0,1/COUNTIFS($S$5:$S$1000,$S272,$V$5:$V$1000,"Macro"),IF(AND(ISNUMBER($H272),N($H272)&gt;0),$H272,SUMIFS($H$5:$H$1000,$S$5:$S$1000,$S272,$V$5:$V$1000,"Macro")/COUNTIFS($S$5:$S$1000,$S272,$V$5:$V$1000,"Macro",$H$5:$H$1000,"&gt;0"))/(COUNTIFS($S$5:$S$1000,$S272,$V$5:$V$1000,"Macro")*SUMIFS($H$5:$H$1000,$S$5:$S$1000,$S272,$V$5:$V$1000,"Macro")/COUNTIFS($S$5:$S$1000,$S272,$V$5:$V$1000,"Macro",$H$5:$H$1000,"&gt;0"))))</f>
        <v/>
      </c>
      <c r="AH272" s="62" t="n"/>
      <c r="AI272" s="62" t="n"/>
      <c r="AJ272" s="62" t="n"/>
      <c r="AK272" s="62" t="n"/>
      <c r="AL272" s="62">
        <f>IF(LEFT($C272,11)="[Jefatura] ",IFERROR(MATCH("Riesgo Financiero|"&amp;MID($C272,12,500),rDname_ADM,0),0),"")</f>
        <v/>
      </c>
      <c r="AM272" s="62">
        <f>IF(N($AL272)&gt;0,INDEX(rIni_ADM,$AL272),IF(ISNUMBER($E272),$E272,""))</f>
        <v/>
      </c>
      <c r="AN272" s="62">
        <f>IF(N($AL272)&gt;0,INDEX(rLim_ADM,$AL272),IF(ISNUMBER($F272),$F272,""))</f>
        <v/>
      </c>
    </row>
    <row r="273">
      <c r="A273" s="56">
        <f>IF(NOT((COUNTA($B273:$D273)+COUNTA($G273:$L273)+COUNTA($Q273))&gt;0),"",IF($V273="Macro",COUNTIFS($V$5:$V273,"Macro",$S$5:$S273,$S273),IF(N($U273)=0,"?",COUNTIFS(INDEX($V$5:$V$1000,1):INDEX($V$5:$V$1000,$U273-4),"Macro",INDEX($S$5:$S$1000,1):INDEX($S$5:$S$1000,$U273-4),INDEX($S$5:$S$1000,$U273-4))&amp;"."&amp;COUNTIFS($U$5:$U273,$U273,$V$5:$V273,"Sub"))))</f>
        <v/>
      </c>
      <c r="B273" s="57" t="n"/>
      <c r="C273" s="58" t="n"/>
      <c r="D273" s="58" t="n"/>
      <c r="E273" s="59">
        <f>IF(N($AL273)&gt;0,INDEX(rIni_ADM,$AL273),"")</f>
        <v/>
      </c>
      <c r="F273" s="59">
        <f>IF(N($AL273)&gt;0,INDEX(rLim_ADM,$AL273),"")</f>
        <v/>
      </c>
      <c r="G273" s="59" t="n"/>
      <c r="H273" s="60" t="n"/>
      <c r="I273" s="60" t="n"/>
      <c r="J273" s="60" t="n"/>
      <c r="K273" s="60" t="n"/>
      <c r="L273" s="60" t="n"/>
      <c r="M273" s="61">
        <f>IF(NOT((COUNTA($B273:$D273)+COUNTA($G273:$L273)+COUNTA($Q273))&gt;0),"",IF(ISNUMBER($G273),1,IF(N($W273)&gt;0,AVERAGEIFS($X$5:$X$1000,$U$5:$U$1000,ROW(),$V$5:$V$1000,"Sub"),$X273)))</f>
        <v/>
      </c>
      <c r="N273" s="56">
        <f>IF($M273="","",IF($M273&gt;=1,"Completado",IF($M273&gt;0,"En curso","Pendiente")))</f>
        <v/>
      </c>
      <c r="O273" s="56">
        <f>IF(NOT((COUNTA($B273:$D273)+COUNTA($G273:$L273)+COUNTA($Q273))&gt;0),"",IF(ISNUMBER($G273),IF(AND(ISNUMBER($AN273),$G273&gt;$AN273),"Cumplida con "&amp;($G273-$AN273)&amp;IF($G273-$AN273=1," día"," días")&amp;" de retraso","Cumplida"),IF(N($M273)&gt;=1,"Cumplida",IF(NOT(ISNUMBER($AN273)),"Sin fecha límite",IF($AN273&lt;FechaRef,"Vencida hace "&amp;(FechaRef-$AN273)&amp;IF(FechaRef-$AN273=1," día"," días"),IF($AN273=FechaRef,"Vence hoy",IF($AN273-FechaRef&lt;=DiasAlerta,"Vence en "&amp;($AN273-FechaRef)&amp;IF($AN273-FechaRef=1," día"," días"),"En plazo")))))))</f>
        <v/>
      </c>
      <c r="P273" s="62" t="n"/>
      <c r="Q273" s="58" t="n"/>
      <c r="R273" s="63">
        <f>IF(NOT((COUNTA($B273:$D273)+COUNTA($G273:$L273)+COUNTA($Q273))&gt;0),"",IF((IF($C273="","Falta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",""))="","✔ OK","⚠ "&amp;LEFT(IF($C273="","Falta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",""),LEN(IF($C273="","Falta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",""))-3)))</f>
        <v/>
      </c>
      <c r="S273" s="64">
        <f>IF(NOT((COUNTA($B273:$D273)+COUNTA($G273:$L273)+COUNTA($Q273))&gt;0),"",IF(AND($V273="Sub",N($U273)&gt;0),IF(ISNUMBER(INDEX($AM$5:$AM$1000,$U273-4)),DATE(YEAR(INDEX($AM$5:$AM$1000,$U273-4)),MONTH(INDEX($AM$5:$AM$1000,$U273-4)),1),IF(ISNUMBER(INDEX($AN$5:$AN$1000,$U273-4)),DATE(YEAR(INDEX($AN$5:$AN$1000,$U273-4)),MONTH(INDEX($AN$5:$AN$1000,$U273-4)),1),MesCiclo)),IF(ISNUMBER($AM273),DATE(YEAR($AM273),MONTH($AM273),1),IF(ISNUMBER($AN273),DATE(YEAR($AN273),MONTH($AN273),1),MesCiclo))))</f>
        <v/>
      </c>
      <c r="T273" s="62">
        <f>IF(OR($S273="",$S273&lt;&gt;MesCiclo),"",COUNTIF($S$5:$S273,MesCiclo))</f>
        <v/>
      </c>
      <c r="U273" s="62">
        <f>IF($V273="","",IF($V273="Macro",ROW(),IFERROR(LOOKUP(2,1/($V$5:$V273="Macro"),ROW($V$5:$V273)),0)))</f>
        <v/>
      </c>
      <c r="V273" s="62">
        <f>IF(NOT((COUNTA($B273:$D273)+COUNTA($G273:$L273)+COUNTA($Q273))&gt;0),"",IF($B273="Subactividad","Sub","Macro"))</f>
        <v/>
      </c>
      <c r="W273" s="62">
        <f>IF($V273="Macro",COUNTIFS($U$5:$U$1000,ROW(),$V$5:$V$1000,"Sub"),"")</f>
        <v/>
      </c>
      <c r="X273" s="62">
        <f>IF($V273="","",IF(ISNUMBER($G273),1,IFERROR(LOOKUP(2,1/($I273:$L273&lt;&gt;""),$I273:$L273),0)))</f>
        <v/>
      </c>
      <c r="Y273" s="62">
        <f>IF($V273="","",IF(AND(ISNUMBER($G273),$G273&lt;=IF($S273=MesCiclo,InicioCiclo,$S273+MOD(2-WEEKDAY($S273),7))+6),1,IF(ISNUMBER($I273),$I273,0)))</f>
        <v/>
      </c>
      <c r="Z273" s="62">
        <f>IF($V273="","",IF(AND(ISNUMBER($G273),$G273&lt;=IF($S273=MesCiclo,InicioCiclo,$S273+MOD(2-WEEKDAY($S273),7))+13),1,IF(ISNUMBER($J273),$J273,$Y273)))</f>
        <v/>
      </c>
      <c r="AA273" s="62">
        <f>IF($V273="","",IF(AND(ISNUMBER($G273),$G273&lt;=IF($S273=MesCiclo,InicioCiclo,$S273+MOD(2-WEEKDAY($S273),7))+20),1,IF(ISNUMBER($K273),$K273,$Z273)))</f>
        <v/>
      </c>
      <c r="AB273" s="62">
        <f>IF($V273="","",IF(AND(ISNUMBER($G273),$G273&lt;=IF($S273=MesCiclo,InicioCiclo,$S273+MOD(2-WEEKDAY($S273),7))+27),1,IF(ISNUMBER($L273),$L273,$AA273)))</f>
        <v/>
      </c>
      <c r="AC273" s="62">
        <f>IF($V273="","",IF(AND(ISNUMBER($G273),$G273&lt;=IF($S273=MesCiclo,InicioCiclo,$S273+MOD(2-WEEKDAY($S273),7))+6),1,IF(N($W273)&gt;0,AVERAGEIFS($Y$5:$Y$1000,$U$5:$U$1000,ROW(),$V$5:$V$1000,"Sub"),$Y273)))</f>
        <v/>
      </c>
      <c r="AD273" s="62">
        <f>IF($V273="","",IF(AND(ISNUMBER($G273),$G273&lt;=IF($S273=MesCiclo,InicioCiclo,$S273+MOD(2-WEEKDAY($S273),7))+13),1,IF(N($W273)&gt;0,AVERAGEIFS($Z$5:$Z$1000,$U$5:$U$1000,ROW(),$V$5:$V$1000,"Sub"),$Z273)))</f>
        <v/>
      </c>
      <c r="AE273" s="62">
        <f>IF($V273="","",IF(AND(ISNUMBER($G273),$G273&lt;=IF($S273=MesCiclo,InicioCiclo,$S273+MOD(2-WEEKDAY($S273),7))+20),1,IF(N($W273)&gt;0,AVERAGEIFS($AA$5:$AA$1000,$U$5:$U$1000,ROW(),$V$5:$V$1000,"Sub"),$AA273)))</f>
        <v/>
      </c>
      <c r="AF273" s="62">
        <f>IF($V273="","",IF(AND(ISNUMBER($G273),$G273&lt;=IF($S273=MesCiclo,InicioCiclo,$S273+MOD(2-WEEKDAY($S273),7))+27),1,IF(N($W273)&gt;0,AVERAGEIFS($AB$5:$AB$1000,$U$5:$U$1000,ROW(),$V$5:$V$1000,"Sub"),$AB273)))</f>
        <v/>
      </c>
      <c r="AG273" s="62">
        <f>IF($V273&lt;&gt;"Macro","",IF(COUNTIFS($S$5:$S$1000,$S273,$V$5:$V$1000,"Macro",$H$5:$H$1000,"&gt;0")=0,1/COUNTIFS($S$5:$S$1000,$S273,$V$5:$V$1000,"Macro"),IF(AND(ISNUMBER($H273),N($H273)&gt;0),$H273,SUMIFS($H$5:$H$1000,$S$5:$S$1000,$S273,$V$5:$V$1000,"Macro")/COUNTIFS($S$5:$S$1000,$S273,$V$5:$V$1000,"Macro",$H$5:$H$1000,"&gt;0"))/(COUNTIFS($S$5:$S$1000,$S273,$V$5:$V$1000,"Macro")*SUMIFS($H$5:$H$1000,$S$5:$S$1000,$S273,$V$5:$V$1000,"Macro")/COUNTIFS($S$5:$S$1000,$S273,$V$5:$V$1000,"Macro",$H$5:$H$1000,"&gt;0"))))</f>
        <v/>
      </c>
      <c r="AH273" s="62" t="n"/>
      <c r="AI273" s="62" t="n"/>
      <c r="AJ273" s="62" t="n"/>
      <c r="AK273" s="62" t="n"/>
      <c r="AL273" s="62">
        <f>IF(LEFT($C273,11)="[Jefatura] ",IFERROR(MATCH("Riesgo Financiero|"&amp;MID($C273,12,500),rDname_ADM,0),0),"")</f>
        <v/>
      </c>
      <c r="AM273" s="62">
        <f>IF(N($AL273)&gt;0,INDEX(rIni_ADM,$AL273),IF(ISNUMBER($E273),$E273,""))</f>
        <v/>
      </c>
      <c r="AN273" s="62">
        <f>IF(N($AL273)&gt;0,INDEX(rLim_ADM,$AL273),IF(ISNUMBER($F273),$F273,""))</f>
        <v/>
      </c>
    </row>
    <row r="274">
      <c r="A274" s="56">
        <f>IF(NOT((COUNTA($B274:$D274)+COUNTA($G274:$L274)+COUNTA($Q274))&gt;0),"",IF($V274="Macro",COUNTIFS($V$5:$V274,"Macro",$S$5:$S274,$S274),IF(N($U274)=0,"?",COUNTIFS(INDEX($V$5:$V$1000,1):INDEX($V$5:$V$1000,$U274-4),"Macro",INDEX($S$5:$S$1000,1):INDEX($S$5:$S$1000,$U274-4),INDEX($S$5:$S$1000,$U274-4))&amp;"."&amp;COUNTIFS($U$5:$U274,$U274,$V$5:$V274,"Sub"))))</f>
        <v/>
      </c>
      <c r="B274" s="57" t="n"/>
      <c r="C274" s="58" t="n"/>
      <c r="D274" s="58" t="n"/>
      <c r="E274" s="59">
        <f>IF(N($AL274)&gt;0,INDEX(rIni_ADM,$AL274),"")</f>
        <v/>
      </c>
      <c r="F274" s="59">
        <f>IF(N($AL274)&gt;0,INDEX(rLim_ADM,$AL274),"")</f>
        <v/>
      </c>
      <c r="G274" s="59" t="n"/>
      <c r="H274" s="60" t="n"/>
      <c r="I274" s="60" t="n"/>
      <c r="J274" s="60" t="n"/>
      <c r="K274" s="60" t="n"/>
      <c r="L274" s="60" t="n"/>
      <c r="M274" s="61">
        <f>IF(NOT((COUNTA($B274:$D274)+COUNTA($G274:$L274)+COUNTA($Q274))&gt;0),"",IF(ISNUMBER($G274),1,IF(N($W274)&gt;0,AVERAGEIFS($X$5:$X$1000,$U$5:$U$1000,ROW(),$V$5:$V$1000,"Sub"),$X274)))</f>
        <v/>
      </c>
      <c r="N274" s="56">
        <f>IF($M274="","",IF($M274&gt;=1,"Completado",IF($M274&gt;0,"En curso","Pendiente")))</f>
        <v/>
      </c>
      <c r="O274" s="56">
        <f>IF(NOT((COUNTA($B274:$D274)+COUNTA($G274:$L274)+COUNTA($Q274))&gt;0),"",IF(ISNUMBER($G274),IF(AND(ISNUMBER($AN274),$G274&gt;$AN274),"Cumplida con "&amp;($G274-$AN274)&amp;IF($G274-$AN274=1," día"," días")&amp;" de retraso","Cumplida"),IF(N($M274)&gt;=1,"Cumplida",IF(NOT(ISNUMBER($AN274)),"Sin fecha límite",IF($AN274&lt;FechaRef,"Vencida hace "&amp;(FechaRef-$AN274)&amp;IF(FechaRef-$AN274=1," día"," días"),IF($AN274=FechaRef,"Vence hoy",IF($AN274-FechaRef&lt;=DiasAlerta,"Vence en "&amp;($AN274-FechaRef)&amp;IF($AN274-FechaRef=1," día"," días"),"En plazo")))))))</f>
        <v/>
      </c>
      <c r="P274" s="62" t="n"/>
      <c r="Q274" s="58" t="n"/>
      <c r="R274" s="63">
        <f>IF(NOT((COUNTA($B274:$D274)+COUNTA($G274:$L274)+COUNTA($Q274))&gt;0),"",IF((IF($C274="","Falta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",""))="","✔ OK","⚠ "&amp;LEFT(IF($C274="","Falta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",""),LEN(IF($C274="","Falta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",""))-3)))</f>
        <v/>
      </c>
      <c r="S274" s="64">
        <f>IF(NOT((COUNTA($B274:$D274)+COUNTA($G274:$L274)+COUNTA($Q274))&gt;0),"",IF(AND($V274="Sub",N($U274)&gt;0),IF(ISNUMBER(INDEX($AM$5:$AM$1000,$U274-4)),DATE(YEAR(INDEX($AM$5:$AM$1000,$U274-4)),MONTH(INDEX($AM$5:$AM$1000,$U274-4)),1),IF(ISNUMBER(INDEX($AN$5:$AN$1000,$U274-4)),DATE(YEAR(INDEX($AN$5:$AN$1000,$U274-4)),MONTH(INDEX($AN$5:$AN$1000,$U274-4)),1),MesCiclo)),IF(ISNUMBER($AM274),DATE(YEAR($AM274),MONTH($AM274),1),IF(ISNUMBER($AN274),DATE(YEAR($AN274),MONTH($AN274),1),MesCiclo))))</f>
        <v/>
      </c>
      <c r="T274" s="62">
        <f>IF(OR($S274="",$S274&lt;&gt;MesCiclo),"",COUNTIF($S$5:$S274,MesCiclo))</f>
        <v/>
      </c>
      <c r="U274" s="62">
        <f>IF($V274="","",IF($V274="Macro",ROW(),IFERROR(LOOKUP(2,1/($V$5:$V274="Macro"),ROW($V$5:$V274)),0)))</f>
        <v/>
      </c>
      <c r="V274" s="62">
        <f>IF(NOT((COUNTA($B274:$D274)+COUNTA($G274:$L274)+COUNTA($Q274))&gt;0),"",IF($B274="Subactividad","Sub","Macro"))</f>
        <v/>
      </c>
      <c r="W274" s="62">
        <f>IF($V274="Macro",COUNTIFS($U$5:$U$1000,ROW(),$V$5:$V$1000,"Sub"),"")</f>
        <v/>
      </c>
      <c r="X274" s="62">
        <f>IF($V274="","",IF(ISNUMBER($G274),1,IFERROR(LOOKUP(2,1/($I274:$L274&lt;&gt;""),$I274:$L274),0)))</f>
        <v/>
      </c>
      <c r="Y274" s="62">
        <f>IF($V274="","",IF(AND(ISNUMBER($G274),$G274&lt;=IF($S274=MesCiclo,InicioCiclo,$S274+MOD(2-WEEKDAY($S274),7))+6),1,IF(ISNUMBER($I274),$I274,0)))</f>
        <v/>
      </c>
      <c r="Z274" s="62">
        <f>IF($V274="","",IF(AND(ISNUMBER($G274),$G274&lt;=IF($S274=MesCiclo,InicioCiclo,$S274+MOD(2-WEEKDAY($S274),7))+13),1,IF(ISNUMBER($J274),$J274,$Y274)))</f>
        <v/>
      </c>
      <c r="AA274" s="62">
        <f>IF($V274="","",IF(AND(ISNUMBER($G274),$G274&lt;=IF($S274=MesCiclo,InicioCiclo,$S274+MOD(2-WEEKDAY($S274),7))+20),1,IF(ISNUMBER($K274),$K274,$Z274)))</f>
        <v/>
      </c>
      <c r="AB274" s="62">
        <f>IF($V274="","",IF(AND(ISNUMBER($G274),$G274&lt;=IF($S274=MesCiclo,InicioCiclo,$S274+MOD(2-WEEKDAY($S274),7))+27),1,IF(ISNUMBER($L274),$L274,$AA274)))</f>
        <v/>
      </c>
      <c r="AC274" s="62">
        <f>IF($V274="","",IF(AND(ISNUMBER($G274),$G274&lt;=IF($S274=MesCiclo,InicioCiclo,$S274+MOD(2-WEEKDAY($S274),7))+6),1,IF(N($W274)&gt;0,AVERAGEIFS($Y$5:$Y$1000,$U$5:$U$1000,ROW(),$V$5:$V$1000,"Sub"),$Y274)))</f>
        <v/>
      </c>
      <c r="AD274" s="62">
        <f>IF($V274="","",IF(AND(ISNUMBER($G274),$G274&lt;=IF($S274=MesCiclo,InicioCiclo,$S274+MOD(2-WEEKDAY($S274),7))+13),1,IF(N($W274)&gt;0,AVERAGEIFS($Z$5:$Z$1000,$U$5:$U$1000,ROW(),$V$5:$V$1000,"Sub"),$Z274)))</f>
        <v/>
      </c>
      <c r="AE274" s="62">
        <f>IF($V274="","",IF(AND(ISNUMBER($G274),$G274&lt;=IF($S274=MesCiclo,InicioCiclo,$S274+MOD(2-WEEKDAY($S274),7))+20),1,IF(N($W274)&gt;0,AVERAGEIFS($AA$5:$AA$1000,$U$5:$U$1000,ROW(),$V$5:$V$1000,"Sub"),$AA274)))</f>
        <v/>
      </c>
      <c r="AF274" s="62">
        <f>IF($V274="","",IF(AND(ISNUMBER($G274),$G274&lt;=IF($S274=MesCiclo,InicioCiclo,$S274+MOD(2-WEEKDAY($S274),7))+27),1,IF(N($W274)&gt;0,AVERAGEIFS($AB$5:$AB$1000,$U$5:$U$1000,ROW(),$V$5:$V$1000,"Sub"),$AB274)))</f>
        <v/>
      </c>
      <c r="AG274" s="62">
        <f>IF($V274&lt;&gt;"Macro","",IF(COUNTIFS($S$5:$S$1000,$S274,$V$5:$V$1000,"Macro",$H$5:$H$1000,"&gt;0")=0,1/COUNTIFS($S$5:$S$1000,$S274,$V$5:$V$1000,"Macro"),IF(AND(ISNUMBER($H274),N($H274)&gt;0),$H274,SUMIFS($H$5:$H$1000,$S$5:$S$1000,$S274,$V$5:$V$1000,"Macro")/COUNTIFS($S$5:$S$1000,$S274,$V$5:$V$1000,"Macro",$H$5:$H$1000,"&gt;0"))/(COUNTIFS($S$5:$S$1000,$S274,$V$5:$V$1000,"Macro")*SUMIFS($H$5:$H$1000,$S$5:$S$1000,$S274,$V$5:$V$1000,"Macro")/COUNTIFS($S$5:$S$1000,$S274,$V$5:$V$1000,"Macro",$H$5:$H$1000,"&gt;0"))))</f>
        <v/>
      </c>
      <c r="AH274" s="62" t="n"/>
      <c r="AI274" s="62" t="n"/>
      <c r="AJ274" s="62" t="n"/>
      <c r="AK274" s="62" t="n"/>
      <c r="AL274" s="62">
        <f>IF(LEFT($C274,11)="[Jefatura] ",IFERROR(MATCH("Riesgo Financiero|"&amp;MID($C274,12,500),rDname_ADM,0),0),"")</f>
        <v/>
      </c>
      <c r="AM274" s="62">
        <f>IF(N($AL274)&gt;0,INDEX(rIni_ADM,$AL274),IF(ISNUMBER($E274),$E274,""))</f>
        <v/>
      </c>
      <c r="AN274" s="62">
        <f>IF(N($AL274)&gt;0,INDEX(rLim_ADM,$AL274),IF(ISNUMBER($F274),$F274,""))</f>
        <v/>
      </c>
    </row>
    <row r="275">
      <c r="A275" s="56">
        <f>IF(NOT((COUNTA($B275:$D275)+COUNTA($G275:$L275)+COUNTA($Q275))&gt;0),"",IF($V275="Macro",COUNTIFS($V$5:$V275,"Macro",$S$5:$S275,$S275),IF(N($U275)=0,"?",COUNTIFS(INDEX($V$5:$V$1000,1):INDEX($V$5:$V$1000,$U275-4),"Macro",INDEX($S$5:$S$1000,1):INDEX($S$5:$S$1000,$U275-4),INDEX($S$5:$S$1000,$U275-4))&amp;"."&amp;COUNTIFS($U$5:$U275,$U275,$V$5:$V275,"Sub"))))</f>
        <v/>
      </c>
      <c r="B275" s="57" t="n"/>
      <c r="C275" s="58" t="n"/>
      <c r="D275" s="58" t="n"/>
      <c r="E275" s="59">
        <f>IF(N($AL275)&gt;0,INDEX(rIni_ADM,$AL275),"")</f>
        <v/>
      </c>
      <c r="F275" s="59">
        <f>IF(N($AL275)&gt;0,INDEX(rLim_ADM,$AL275),"")</f>
        <v/>
      </c>
      <c r="G275" s="59" t="n"/>
      <c r="H275" s="60" t="n"/>
      <c r="I275" s="60" t="n"/>
      <c r="J275" s="60" t="n"/>
      <c r="K275" s="60" t="n"/>
      <c r="L275" s="60" t="n"/>
      <c r="M275" s="61">
        <f>IF(NOT((COUNTA($B275:$D275)+COUNTA($G275:$L275)+COUNTA($Q275))&gt;0),"",IF(ISNUMBER($G275),1,IF(N($W275)&gt;0,AVERAGEIFS($X$5:$X$1000,$U$5:$U$1000,ROW(),$V$5:$V$1000,"Sub"),$X275)))</f>
        <v/>
      </c>
      <c r="N275" s="56">
        <f>IF($M275="","",IF($M275&gt;=1,"Completado",IF($M275&gt;0,"En curso","Pendiente")))</f>
        <v/>
      </c>
      <c r="O275" s="56">
        <f>IF(NOT((COUNTA($B275:$D275)+COUNTA($G275:$L275)+COUNTA($Q275))&gt;0),"",IF(ISNUMBER($G275),IF(AND(ISNUMBER($AN275),$G275&gt;$AN275),"Cumplida con "&amp;($G275-$AN275)&amp;IF($G275-$AN275=1," día"," días")&amp;" de retraso","Cumplida"),IF(N($M275)&gt;=1,"Cumplida",IF(NOT(ISNUMBER($AN275)),"Sin fecha límite",IF($AN275&lt;FechaRef,"Vencida hace "&amp;(FechaRef-$AN275)&amp;IF(FechaRef-$AN275=1," día"," días"),IF($AN275=FechaRef,"Vence hoy",IF($AN275-FechaRef&lt;=DiasAlerta,"Vence en "&amp;($AN275-FechaRef)&amp;IF($AN275-FechaRef=1," día"," días"),"En plazo")))))))</f>
        <v/>
      </c>
      <c r="P275" s="62" t="n"/>
      <c r="Q275" s="58" t="n"/>
      <c r="R275" s="63">
        <f>IF(NOT((COUNTA($B275:$D275)+COUNTA($G275:$L275)+COUNTA($Q275))&gt;0),"",IF((IF($C275="","Falta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",""))="","✔ OK","⚠ "&amp;LEFT(IF($C275="","Falta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",""),LEN(IF($C275="","Falta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",""))-3)))</f>
        <v/>
      </c>
      <c r="S275" s="64">
        <f>IF(NOT((COUNTA($B275:$D275)+COUNTA($G275:$L275)+COUNTA($Q275))&gt;0),"",IF(AND($V275="Sub",N($U275)&gt;0),IF(ISNUMBER(INDEX($AM$5:$AM$1000,$U275-4)),DATE(YEAR(INDEX($AM$5:$AM$1000,$U275-4)),MONTH(INDEX($AM$5:$AM$1000,$U275-4)),1),IF(ISNUMBER(INDEX($AN$5:$AN$1000,$U275-4)),DATE(YEAR(INDEX($AN$5:$AN$1000,$U275-4)),MONTH(INDEX($AN$5:$AN$1000,$U275-4)),1),MesCiclo)),IF(ISNUMBER($AM275),DATE(YEAR($AM275),MONTH($AM275),1),IF(ISNUMBER($AN275),DATE(YEAR($AN275),MONTH($AN275),1),MesCiclo))))</f>
        <v/>
      </c>
      <c r="T275" s="62">
        <f>IF(OR($S275="",$S275&lt;&gt;MesCiclo),"",COUNTIF($S$5:$S275,MesCiclo))</f>
        <v/>
      </c>
      <c r="U275" s="62">
        <f>IF($V275="","",IF($V275="Macro",ROW(),IFERROR(LOOKUP(2,1/($V$5:$V275="Macro"),ROW($V$5:$V275)),0)))</f>
        <v/>
      </c>
      <c r="V275" s="62">
        <f>IF(NOT((COUNTA($B275:$D275)+COUNTA($G275:$L275)+COUNTA($Q275))&gt;0),"",IF($B275="Subactividad","Sub","Macro"))</f>
        <v/>
      </c>
      <c r="W275" s="62">
        <f>IF($V275="Macro",COUNTIFS($U$5:$U$1000,ROW(),$V$5:$V$1000,"Sub"),"")</f>
        <v/>
      </c>
      <c r="X275" s="62">
        <f>IF($V275="","",IF(ISNUMBER($G275),1,IFERROR(LOOKUP(2,1/($I275:$L275&lt;&gt;""),$I275:$L275),0)))</f>
        <v/>
      </c>
      <c r="Y275" s="62">
        <f>IF($V275="","",IF(AND(ISNUMBER($G275),$G275&lt;=IF($S275=MesCiclo,InicioCiclo,$S275+MOD(2-WEEKDAY($S275),7))+6),1,IF(ISNUMBER($I275),$I275,0)))</f>
        <v/>
      </c>
      <c r="Z275" s="62">
        <f>IF($V275="","",IF(AND(ISNUMBER($G275),$G275&lt;=IF($S275=MesCiclo,InicioCiclo,$S275+MOD(2-WEEKDAY($S275),7))+13),1,IF(ISNUMBER($J275),$J275,$Y275)))</f>
        <v/>
      </c>
      <c r="AA275" s="62">
        <f>IF($V275="","",IF(AND(ISNUMBER($G275),$G275&lt;=IF($S275=MesCiclo,InicioCiclo,$S275+MOD(2-WEEKDAY($S275),7))+20),1,IF(ISNUMBER($K275),$K275,$Z275)))</f>
        <v/>
      </c>
      <c r="AB275" s="62">
        <f>IF($V275="","",IF(AND(ISNUMBER($G275),$G275&lt;=IF($S275=MesCiclo,InicioCiclo,$S275+MOD(2-WEEKDAY($S275),7))+27),1,IF(ISNUMBER($L275),$L275,$AA275)))</f>
        <v/>
      </c>
      <c r="AC275" s="62">
        <f>IF($V275="","",IF(AND(ISNUMBER($G275),$G275&lt;=IF($S275=MesCiclo,InicioCiclo,$S275+MOD(2-WEEKDAY($S275),7))+6),1,IF(N($W275)&gt;0,AVERAGEIFS($Y$5:$Y$1000,$U$5:$U$1000,ROW(),$V$5:$V$1000,"Sub"),$Y275)))</f>
        <v/>
      </c>
      <c r="AD275" s="62">
        <f>IF($V275="","",IF(AND(ISNUMBER($G275),$G275&lt;=IF($S275=MesCiclo,InicioCiclo,$S275+MOD(2-WEEKDAY($S275),7))+13),1,IF(N($W275)&gt;0,AVERAGEIFS($Z$5:$Z$1000,$U$5:$U$1000,ROW(),$V$5:$V$1000,"Sub"),$Z275)))</f>
        <v/>
      </c>
      <c r="AE275" s="62">
        <f>IF($V275="","",IF(AND(ISNUMBER($G275),$G275&lt;=IF($S275=MesCiclo,InicioCiclo,$S275+MOD(2-WEEKDAY($S275),7))+20),1,IF(N($W275)&gt;0,AVERAGEIFS($AA$5:$AA$1000,$U$5:$U$1000,ROW(),$V$5:$V$1000,"Sub"),$AA275)))</f>
        <v/>
      </c>
      <c r="AF275" s="62">
        <f>IF($V275="","",IF(AND(ISNUMBER($G275),$G275&lt;=IF($S275=MesCiclo,InicioCiclo,$S275+MOD(2-WEEKDAY($S275),7))+27),1,IF(N($W275)&gt;0,AVERAGEIFS($AB$5:$AB$1000,$U$5:$U$1000,ROW(),$V$5:$V$1000,"Sub"),$AB275)))</f>
        <v/>
      </c>
      <c r="AG275" s="62">
        <f>IF($V275&lt;&gt;"Macro","",IF(COUNTIFS($S$5:$S$1000,$S275,$V$5:$V$1000,"Macro",$H$5:$H$1000,"&gt;0")=0,1/COUNTIFS($S$5:$S$1000,$S275,$V$5:$V$1000,"Macro"),IF(AND(ISNUMBER($H275),N($H275)&gt;0),$H275,SUMIFS($H$5:$H$1000,$S$5:$S$1000,$S275,$V$5:$V$1000,"Macro")/COUNTIFS($S$5:$S$1000,$S275,$V$5:$V$1000,"Macro",$H$5:$H$1000,"&gt;0"))/(COUNTIFS($S$5:$S$1000,$S275,$V$5:$V$1000,"Macro")*SUMIFS($H$5:$H$1000,$S$5:$S$1000,$S275,$V$5:$V$1000,"Macro")/COUNTIFS($S$5:$S$1000,$S275,$V$5:$V$1000,"Macro",$H$5:$H$1000,"&gt;0"))))</f>
        <v/>
      </c>
      <c r="AH275" s="62" t="n"/>
      <c r="AI275" s="62" t="n"/>
      <c r="AJ275" s="62" t="n"/>
      <c r="AK275" s="62" t="n"/>
      <c r="AL275" s="62">
        <f>IF(LEFT($C275,11)="[Jefatura] ",IFERROR(MATCH("Riesgo Financiero|"&amp;MID($C275,12,500),rDname_ADM,0),0),"")</f>
        <v/>
      </c>
      <c r="AM275" s="62">
        <f>IF(N($AL275)&gt;0,INDEX(rIni_ADM,$AL275),IF(ISNUMBER($E275),$E275,""))</f>
        <v/>
      </c>
      <c r="AN275" s="62">
        <f>IF(N($AL275)&gt;0,INDEX(rLim_ADM,$AL275),IF(ISNUMBER($F275),$F275,""))</f>
        <v/>
      </c>
    </row>
    <row r="276">
      <c r="A276" s="56">
        <f>IF(NOT((COUNTA($B276:$D276)+COUNTA($G276:$L276)+COUNTA($Q276))&gt;0),"",IF($V276="Macro",COUNTIFS($V$5:$V276,"Macro",$S$5:$S276,$S276),IF(N($U276)=0,"?",COUNTIFS(INDEX($V$5:$V$1000,1):INDEX($V$5:$V$1000,$U276-4),"Macro",INDEX($S$5:$S$1000,1):INDEX($S$5:$S$1000,$U276-4),INDEX($S$5:$S$1000,$U276-4))&amp;"."&amp;COUNTIFS($U$5:$U276,$U276,$V$5:$V276,"Sub"))))</f>
        <v/>
      </c>
      <c r="B276" s="57" t="n"/>
      <c r="C276" s="58" t="n"/>
      <c r="D276" s="58" t="n"/>
      <c r="E276" s="59">
        <f>IF(N($AL276)&gt;0,INDEX(rIni_ADM,$AL276),"")</f>
        <v/>
      </c>
      <c r="F276" s="59">
        <f>IF(N($AL276)&gt;0,INDEX(rLim_ADM,$AL276),"")</f>
        <v/>
      </c>
      <c r="G276" s="59" t="n"/>
      <c r="H276" s="60" t="n"/>
      <c r="I276" s="60" t="n"/>
      <c r="J276" s="60" t="n"/>
      <c r="K276" s="60" t="n"/>
      <c r="L276" s="60" t="n"/>
      <c r="M276" s="61">
        <f>IF(NOT((COUNTA($B276:$D276)+COUNTA($G276:$L276)+COUNTA($Q276))&gt;0),"",IF(ISNUMBER($G276),1,IF(N($W276)&gt;0,AVERAGEIFS($X$5:$X$1000,$U$5:$U$1000,ROW(),$V$5:$V$1000,"Sub"),$X276)))</f>
        <v/>
      </c>
      <c r="N276" s="56">
        <f>IF($M276="","",IF($M276&gt;=1,"Completado",IF($M276&gt;0,"En curso","Pendiente")))</f>
        <v/>
      </c>
      <c r="O276" s="56">
        <f>IF(NOT((COUNTA($B276:$D276)+COUNTA($G276:$L276)+COUNTA($Q276))&gt;0),"",IF(ISNUMBER($G276),IF(AND(ISNUMBER($AN276),$G276&gt;$AN276),"Cumplida con "&amp;($G276-$AN276)&amp;IF($G276-$AN276=1," día"," días")&amp;" de retraso","Cumplida"),IF(N($M276)&gt;=1,"Cumplida",IF(NOT(ISNUMBER($AN276)),"Sin fecha límite",IF($AN276&lt;FechaRef,"Vencida hace "&amp;(FechaRef-$AN276)&amp;IF(FechaRef-$AN276=1," día"," días"),IF($AN276=FechaRef,"Vence hoy",IF($AN276-FechaRef&lt;=DiasAlerta,"Vence en "&amp;($AN276-FechaRef)&amp;IF($AN276-FechaRef=1," día"," días"),"En plazo")))))))</f>
        <v/>
      </c>
      <c r="P276" s="62" t="n"/>
      <c r="Q276" s="58" t="n"/>
      <c r="R276" s="63">
        <f>IF(NOT((COUNTA($B276:$D276)+COUNTA($G276:$L276)+COUNTA($Q276))&gt;0),"",IF((IF($C276="","Falta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",""))="","✔ OK","⚠ "&amp;LEFT(IF($C276="","Falta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",""),LEN(IF($C276="","Falta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",""))-3)))</f>
        <v/>
      </c>
      <c r="S276" s="64">
        <f>IF(NOT((COUNTA($B276:$D276)+COUNTA($G276:$L276)+COUNTA($Q276))&gt;0),"",IF(AND($V276="Sub",N($U276)&gt;0),IF(ISNUMBER(INDEX($AM$5:$AM$1000,$U276-4)),DATE(YEAR(INDEX($AM$5:$AM$1000,$U276-4)),MONTH(INDEX($AM$5:$AM$1000,$U276-4)),1),IF(ISNUMBER(INDEX($AN$5:$AN$1000,$U276-4)),DATE(YEAR(INDEX($AN$5:$AN$1000,$U276-4)),MONTH(INDEX($AN$5:$AN$1000,$U276-4)),1),MesCiclo)),IF(ISNUMBER($AM276),DATE(YEAR($AM276),MONTH($AM276),1),IF(ISNUMBER($AN276),DATE(YEAR($AN276),MONTH($AN276),1),MesCiclo))))</f>
        <v/>
      </c>
      <c r="T276" s="62">
        <f>IF(OR($S276="",$S276&lt;&gt;MesCiclo),"",COUNTIF($S$5:$S276,MesCiclo))</f>
        <v/>
      </c>
      <c r="U276" s="62">
        <f>IF($V276="","",IF($V276="Macro",ROW(),IFERROR(LOOKUP(2,1/($V$5:$V276="Macro"),ROW($V$5:$V276)),0)))</f>
        <v/>
      </c>
      <c r="V276" s="62">
        <f>IF(NOT((COUNTA($B276:$D276)+COUNTA($G276:$L276)+COUNTA($Q276))&gt;0),"",IF($B276="Subactividad","Sub","Macro"))</f>
        <v/>
      </c>
      <c r="W276" s="62">
        <f>IF($V276="Macro",COUNTIFS($U$5:$U$1000,ROW(),$V$5:$V$1000,"Sub"),"")</f>
        <v/>
      </c>
      <c r="X276" s="62">
        <f>IF($V276="","",IF(ISNUMBER($G276),1,IFERROR(LOOKUP(2,1/($I276:$L276&lt;&gt;""),$I276:$L276),0)))</f>
        <v/>
      </c>
      <c r="Y276" s="62">
        <f>IF($V276="","",IF(AND(ISNUMBER($G276),$G276&lt;=IF($S276=MesCiclo,InicioCiclo,$S276+MOD(2-WEEKDAY($S276),7))+6),1,IF(ISNUMBER($I276),$I276,0)))</f>
        <v/>
      </c>
      <c r="Z276" s="62">
        <f>IF($V276="","",IF(AND(ISNUMBER($G276),$G276&lt;=IF($S276=MesCiclo,InicioCiclo,$S276+MOD(2-WEEKDAY($S276),7))+13),1,IF(ISNUMBER($J276),$J276,$Y276)))</f>
        <v/>
      </c>
      <c r="AA276" s="62">
        <f>IF($V276="","",IF(AND(ISNUMBER($G276),$G276&lt;=IF($S276=MesCiclo,InicioCiclo,$S276+MOD(2-WEEKDAY($S276),7))+20),1,IF(ISNUMBER($K276),$K276,$Z276)))</f>
        <v/>
      </c>
      <c r="AB276" s="62">
        <f>IF($V276="","",IF(AND(ISNUMBER($G276),$G276&lt;=IF($S276=MesCiclo,InicioCiclo,$S276+MOD(2-WEEKDAY($S276),7))+27),1,IF(ISNUMBER($L276),$L276,$AA276)))</f>
        <v/>
      </c>
      <c r="AC276" s="62">
        <f>IF($V276="","",IF(AND(ISNUMBER($G276),$G276&lt;=IF($S276=MesCiclo,InicioCiclo,$S276+MOD(2-WEEKDAY($S276),7))+6),1,IF(N($W276)&gt;0,AVERAGEIFS($Y$5:$Y$1000,$U$5:$U$1000,ROW(),$V$5:$V$1000,"Sub"),$Y276)))</f>
        <v/>
      </c>
      <c r="AD276" s="62">
        <f>IF($V276="","",IF(AND(ISNUMBER($G276),$G276&lt;=IF($S276=MesCiclo,InicioCiclo,$S276+MOD(2-WEEKDAY($S276),7))+13),1,IF(N($W276)&gt;0,AVERAGEIFS($Z$5:$Z$1000,$U$5:$U$1000,ROW(),$V$5:$V$1000,"Sub"),$Z276)))</f>
        <v/>
      </c>
      <c r="AE276" s="62">
        <f>IF($V276="","",IF(AND(ISNUMBER($G276),$G276&lt;=IF($S276=MesCiclo,InicioCiclo,$S276+MOD(2-WEEKDAY($S276),7))+20),1,IF(N($W276)&gt;0,AVERAGEIFS($AA$5:$AA$1000,$U$5:$U$1000,ROW(),$V$5:$V$1000,"Sub"),$AA276)))</f>
        <v/>
      </c>
      <c r="AF276" s="62">
        <f>IF($V276="","",IF(AND(ISNUMBER($G276),$G276&lt;=IF($S276=MesCiclo,InicioCiclo,$S276+MOD(2-WEEKDAY($S276),7))+27),1,IF(N($W276)&gt;0,AVERAGEIFS($AB$5:$AB$1000,$U$5:$U$1000,ROW(),$V$5:$V$1000,"Sub"),$AB276)))</f>
        <v/>
      </c>
      <c r="AG276" s="62">
        <f>IF($V276&lt;&gt;"Macro","",IF(COUNTIFS($S$5:$S$1000,$S276,$V$5:$V$1000,"Macro",$H$5:$H$1000,"&gt;0")=0,1/COUNTIFS($S$5:$S$1000,$S276,$V$5:$V$1000,"Macro"),IF(AND(ISNUMBER($H276),N($H276)&gt;0),$H276,SUMIFS($H$5:$H$1000,$S$5:$S$1000,$S276,$V$5:$V$1000,"Macro")/COUNTIFS($S$5:$S$1000,$S276,$V$5:$V$1000,"Macro",$H$5:$H$1000,"&gt;0"))/(COUNTIFS($S$5:$S$1000,$S276,$V$5:$V$1000,"Macro")*SUMIFS($H$5:$H$1000,$S$5:$S$1000,$S276,$V$5:$V$1000,"Macro")/COUNTIFS($S$5:$S$1000,$S276,$V$5:$V$1000,"Macro",$H$5:$H$1000,"&gt;0"))))</f>
        <v/>
      </c>
      <c r="AH276" s="62" t="n"/>
      <c r="AI276" s="62" t="n"/>
      <c r="AJ276" s="62" t="n"/>
      <c r="AK276" s="62" t="n"/>
      <c r="AL276" s="62">
        <f>IF(LEFT($C276,11)="[Jefatura] ",IFERROR(MATCH("Riesgo Financiero|"&amp;MID($C276,12,500),rDname_ADM,0),0),"")</f>
        <v/>
      </c>
      <c r="AM276" s="62">
        <f>IF(N($AL276)&gt;0,INDEX(rIni_ADM,$AL276),IF(ISNUMBER($E276),$E276,""))</f>
        <v/>
      </c>
      <c r="AN276" s="62">
        <f>IF(N($AL276)&gt;0,INDEX(rLim_ADM,$AL276),IF(ISNUMBER($F276),$F276,""))</f>
        <v/>
      </c>
    </row>
    <row r="277">
      <c r="A277" s="56">
        <f>IF(NOT((COUNTA($B277:$D277)+COUNTA($G277:$L277)+COUNTA($Q277))&gt;0),"",IF($V277="Macro",COUNTIFS($V$5:$V277,"Macro",$S$5:$S277,$S277),IF(N($U277)=0,"?",COUNTIFS(INDEX($V$5:$V$1000,1):INDEX($V$5:$V$1000,$U277-4),"Macro",INDEX($S$5:$S$1000,1):INDEX($S$5:$S$1000,$U277-4),INDEX($S$5:$S$1000,$U277-4))&amp;"."&amp;COUNTIFS($U$5:$U277,$U277,$V$5:$V277,"Sub"))))</f>
        <v/>
      </c>
      <c r="B277" s="57" t="n"/>
      <c r="C277" s="58" t="n"/>
      <c r="D277" s="58" t="n"/>
      <c r="E277" s="59">
        <f>IF(N($AL277)&gt;0,INDEX(rIni_ADM,$AL277),"")</f>
        <v/>
      </c>
      <c r="F277" s="59">
        <f>IF(N($AL277)&gt;0,INDEX(rLim_ADM,$AL277),"")</f>
        <v/>
      </c>
      <c r="G277" s="59" t="n"/>
      <c r="H277" s="60" t="n"/>
      <c r="I277" s="60" t="n"/>
      <c r="J277" s="60" t="n"/>
      <c r="K277" s="60" t="n"/>
      <c r="L277" s="60" t="n"/>
      <c r="M277" s="61">
        <f>IF(NOT((COUNTA($B277:$D277)+COUNTA($G277:$L277)+COUNTA($Q277))&gt;0),"",IF(ISNUMBER($G277),1,IF(N($W277)&gt;0,AVERAGEIFS($X$5:$X$1000,$U$5:$U$1000,ROW(),$V$5:$V$1000,"Sub"),$X277)))</f>
        <v/>
      </c>
      <c r="N277" s="56">
        <f>IF($M277="","",IF($M277&gt;=1,"Completado",IF($M277&gt;0,"En curso","Pendiente")))</f>
        <v/>
      </c>
      <c r="O277" s="56">
        <f>IF(NOT((COUNTA($B277:$D277)+COUNTA($G277:$L277)+COUNTA($Q277))&gt;0),"",IF(ISNUMBER($G277),IF(AND(ISNUMBER($AN277),$G277&gt;$AN277),"Cumplida con "&amp;($G277-$AN277)&amp;IF($G277-$AN277=1," día"," días")&amp;" de retraso","Cumplida"),IF(N($M277)&gt;=1,"Cumplida",IF(NOT(ISNUMBER($AN277)),"Sin fecha límite",IF($AN277&lt;FechaRef,"Vencida hace "&amp;(FechaRef-$AN277)&amp;IF(FechaRef-$AN277=1," día"," días"),IF($AN277=FechaRef,"Vence hoy",IF($AN277-FechaRef&lt;=DiasAlerta,"Vence en "&amp;($AN277-FechaRef)&amp;IF($AN277-FechaRef=1," día"," días"),"En plazo")))))))</f>
        <v/>
      </c>
      <c r="P277" s="62" t="n"/>
      <c r="Q277" s="58" t="n"/>
      <c r="R277" s="63">
        <f>IF(NOT((COUNTA($B277:$D277)+COUNTA($G277:$L277)+COUNTA($Q277))&gt;0),"",IF((IF($C277="","Falta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",""))="","✔ OK","⚠ "&amp;LEFT(IF($C277="","Falta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",""),LEN(IF($C277="","Falta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",""))-3)))</f>
        <v/>
      </c>
      <c r="S277" s="64">
        <f>IF(NOT((COUNTA($B277:$D277)+COUNTA($G277:$L277)+COUNTA($Q277))&gt;0),"",IF(AND($V277="Sub",N($U277)&gt;0),IF(ISNUMBER(INDEX($AM$5:$AM$1000,$U277-4)),DATE(YEAR(INDEX($AM$5:$AM$1000,$U277-4)),MONTH(INDEX($AM$5:$AM$1000,$U277-4)),1),IF(ISNUMBER(INDEX($AN$5:$AN$1000,$U277-4)),DATE(YEAR(INDEX($AN$5:$AN$1000,$U277-4)),MONTH(INDEX($AN$5:$AN$1000,$U277-4)),1),MesCiclo)),IF(ISNUMBER($AM277),DATE(YEAR($AM277),MONTH($AM277),1),IF(ISNUMBER($AN277),DATE(YEAR($AN277),MONTH($AN277),1),MesCiclo))))</f>
        <v/>
      </c>
      <c r="T277" s="62">
        <f>IF(OR($S277="",$S277&lt;&gt;MesCiclo),"",COUNTIF($S$5:$S277,MesCiclo))</f>
        <v/>
      </c>
      <c r="U277" s="62">
        <f>IF($V277="","",IF($V277="Macro",ROW(),IFERROR(LOOKUP(2,1/($V$5:$V277="Macro"),ROW($V$5:$V277)),0)))</f>
        <v/>
      </c>
      <c r="V277" s="62">
        <f>IF(NOT((COUNTA($B277:$D277)+COUNTA($G277:$L277)+COUNTA($Q277))&gt;0),"",IF($B277="Subactividad","Sub","Macro"))</f>
        <v/>
      </c>
      <c r="W277" s="62">
        <f>IF($V277="Macro",COUNTIFS($U$5:$U$1000,ROW(),$V$5:$V$1000,"Sub"),"")</f>
        <v/>
      </c>
      <c r="X277" s="62">
        <f>IF($V277="","",IF(ISNUMBER($G277),1,IFERROR(LOOKUP(2,1/($I277:$L277&lt;&gt;""),$I277:$L277),0)))</f>
        <v/>
      </c>
      <c r="Y277" s="62">
        <f>IF($V277="","",IF(AND(ISNUMBER($G277),$G277&lt;=IF($S277=MesCiclo,InicioCiclo,$S277+MOD(2-WEEKDAY($S277),7))+6),1,IF(ISNUMBER($I277),$I277,0)))</f>
        <v/>
      </c>
      <c r="Z277" s="62">
        <f>IF($V277="","",IF(AND(ISNUMBER($G277),$G277&lt;=IF($S277=MesCiclo,InicioCiclo,$S277+MOD(2-WEEKDAY($S277),7))+13),1,IF(ISNUMBER($J277),$J277,$Y277)))</f>
        <v/>
      </c>
      <c r="AA277" s="62">
        <f>IF($V277="","",IF(AND(ISNUMBER($G277),$G277&lt;=IF($S277=MesCiclo,InicioCiclo,$S277+MOD(2-WEEKDAY($S277),7))+20),1,IF(ISNUMBER($K277),$K277,$Z277)))</f>
        <v/>
      </c>
      <c r="AB277" s="62">
        <f>IF($V277="","",IF(AND(ISNUMBER($G277),$G277&lt;=IF($S277=MesCiclo,InicioCiclo,$S277+MOD(2-WEEKDAY($S277),7))+27),1,IF(ISNUMBER($L277),$L277,$AA277)))</f>
        <v/>
      </c>
      <c r="AC277" s="62">
        <f>IF($V277="","",IF(AND(ISNUMBER($G277),$G277&lt;=IF($S277=MesCiclo,InicioCiclo,$S277+MOD(2-WEEKDAY($S277),7))+6),1,IF(N($W277)&gt;0,AVERAGEIFS($Y$5:$Y$1000,$U$5:$U$1000,ROW(),$V$5:$V$1000,"Sub"),$Y277)))</f>
        <v/>
      </c>
      <c r="AD277" s="62">
        <f>IF($V277="","",IF(AND(ISNUMBER($G277),$G277&lt;=IF($S277=MesCiclo,InicioCiclo,$S277+MOD(2-WEEKDAY($S277),7))+13),1,IF(N($W277)&gt;0,AVERAGEIFS($Z$5:$Z$1000,$U$5:$U$1000,ROW(),$V$5:$V$1000,"Sub"),$Z277)))</f>
        <v/>
      </c>
      <c r="AE277" s="62">
        <f>IF($V277="","",IF(AND(ISNUMBER($G277),$G277&lt;=IF($S277=MesCiclo,InicioCiclo,$S277+MOD(2-WEEKDAY($S277),7))+20),1,IF(N($W277)&gt;0,AVERAGEIFS($AA$5:$AA$1000,$U$5:$U$1000,ROW(),$V$5:$V$1000,"Sub"),$AA277)))</f>
        <v/>
      </c>
      <c r="AF277" s="62">
        <f>IF($V277="","",IF(AND(ISNUMBER($G277),$G277&lt;=IF($S277=MesCiclo,InicioCiclo,$S277+MOD(2-WEEKDAY($S277),7))+27),1,IF(N($W277)&gt;0,AVERAGEIFS($AB$5:$AB$1000,$U$5:$U$1000,ROW(),$V$5:$V$1000,"Sub"),$AB277)))</f>
        <v/>
      </c>
      <c r="AG277" s="62">
        <f>IF($V277&lt;&gt;"Macro","",IF(COUNTIFS($S$5:$S$1000,$S277,$V$5:$V$1000,"Macro",$H$5:$H$1000,"&gt;0")=0,1/COUNTIFS($S$5:$S$1000,$S277,$V$5:$V$1000,"Macro"),IF(AND(ISNUMBER($H277),N($H277)&gt;0),$H277,SUMIFS($H$5:$H$1000,$S$5:$S$1000,$S277,$V$5:$V$1000,"Macro")/COUNTIFS($S$5:$S$1000,$S277,$V$5:$V$1000,"Macro",$H$5:$H$1000,"&gt;0"))/(COUNTIFS($S$5:$S$1000,$S277,$V$5:$V$1000,"Macro")*SUMIFS($H$5:$H$1000,$S$5:$S$1000,$S277,$V$5:$V$1000,"Macro")/COUNTIFS($S$5:$S$1000,$S277,$V$5:$V$1000,"Macro",$H$5:$H$1000,"&gt;0"))))</f>
        <v/>
      </c>
      <c r="AH277" s="62" t="n"/>
      <c r="AI277" s="62" t="n"/>
      <c r="AJ277" s="62" t="n"/>
      <c r="AK277" s="62" t="n"/>
      <c r="AL277" s="62">
        <f>IF(LEFT($C277,11)="[Jefatura] ",IFERROR(MATCH("Riesgo Financiero|"&amp;MID($C277,12,500),rDname_ADM,0),0),"")</f>
        <v/>
      </c>
      <c r="AM277" s="62">
        <f>IF(N($AL277)&gt;0,INDEX(rIni_ADM,$AL277),IF(ISNUMBER($E277),$E277,""))</f>
        <v/>
      </c>
      <c r="AN277" s="62">
        <f>IF(N($AL277)&gt;0,INDEX(rLim_ADM,$AL277),IF(ISNUMBER($F277),$F277,""))</f>
        <v/>
      </c>
    </row>
    <row r="278">
      <c r="A278" s="56">
        <f>IF(NOT((COUNTA($B278:$D278)+COUNTA($G278:$L278)+COUNTA($Q278))&gt;0),"",IF($V278="Macro",COUNTIFS($V$5:$V278,"Macro",$S$5:$S278,$S278),IF(N($U278)=0,"?",COUNTIFS(INDEX($V$5:$V$1000,1):INDEX($V$5:$V$1000,$U278-4),"Macro",INDEX($S$5:$S$1000,1):INDEX($S$5:$S$1000,$U278-4),INDEX($S$5:$S$1000,$U278-4))&amp;"."&amp;COUNTIFS($U$5:$U278,$U278,$V$5:$V278,"Sub"))))</f>
        <v/>
      </c>
      <c r="B278" s="57" t="n"/>
      <c r="C278" s="58" t="n"/>
      <c r="D278" s="58" t="n"/>
      <c r="E278" s="59">
        <f>IF(N($AL278)&gt;0,INDEX(rIni_ADM,$AL278),"")</f>
        <v/>
      </c>
      <c r="F278" s="59">
        <f>IF(N($AL278)&gt;0,INDEX(rLim_ADM,$AL278),"")</f>
        <v/>
      </c>
      <c r="G278" s="59" t="n"/>
      <c r="H278" s="60" t="n"/>
      <c r="I278" s="60" t="n"/>
      <c r="J278" s="60" t="n"/>
      <c r="K278" s="60" t="n"/>
      <c r="L278" s="60" t="n"/>
      <c r="M278" s="61">
        <f>IF(NOT((COUNTA($B278:$D278)+COUNTA($G278:$L278)+COUNTA($Q278))&gt;0),"",IF(ISNUMBER($G278),1,IF(N($W278)&gt;0,AVERAGEIFS($X$5:$X$1000,$U$5:$U$1000,ROW(),$V$5:$V$1000,"Sub"),$X278)))</f>
        <v/>
      </c>
      <c r="N278" s="56">
        <f>IF($M278="","",IF($M278&gt;=1,"Completado",IF($M278&gt;0,"En curso","Pendiente")))</f>
        <v/>
      </c>
      <c r="O278" s="56">
        <f>IF(NOT((COUNTA($B278:$D278)+COUNTA($G278:$L278)+COUNTA($Q278))&gt;0),"",IF(ISNUMBER($G278),IF(AND(ISNUMBER($AN278),$G278&gt;$AN278),"Cumplida con "&amp;($G278-$AN278)&amp;IF($G278-$AN278=1," día"," días")&amp;" de retraso","Cumplida"),IF(N($M278)&gt;=1,"Cumplida",IF(NOT(ISNUMBER($AN278)),"Sin fecha límite",IF($AN278&lt;FechaRef,"Vencida hace "&amp;(FechaRef-$AN278)&amp;IF(FechaRef-$AN278=1," día"," días"),IF($AN278=FechaRef,"Vence hoy",IF($AN278-FechaRef&lt;=DiasAlerta,"Vence en "&amp;($AN278-FechaRef)&amp;IF($AN278-FechaRef=1," día"," días"),"En plazo")))))))</f>
        <v/>
      </c>
      <c r="P278" s="62" t="n"/>
      <c r="Q278" s="58" t="n"/>
      <c r="R278" s="63">
        <f>IF(NOT((COUNTA($B278:$D278)+COUNTA($G278:$L278)+COUNTA($Q278))&gt;0),"",IF((IF($C278="","Falta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",""))="","✔ OK","⚠ "&amp;LEFT(IF($C278="","Falta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",""),LEN(IF($C278="","Falta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",""))-3)))</f>
        <v/>
      </c>
      <c r="S278" s="64">
        <f>IF(NOT((COUNTA($B278:$D278)+COUNTA($G278:$L278)+COUNTA($Q278))&gt;0),"",IF(AND($V278="Sub",N($U278)&gt;0),IF(ISNUMBER(INDEX($AM$5:$AM$1000,$U278-4)),DATE(YEAR(INDEX($AM$5:$AM$1000,$U278-4)),MONTH(INDEX($AM$5:$AM$1000,$U278-4)),1),IF(ISNUMBER(INDEX($AN$5:$AN$1000,$U278-4)),DATE(YEAR(INDEX($AN$5:$AN$1000,$U278-4)),MONTH(INDEX($AN$5:$AN$1000,$U278-4)),1),MesCiclo)),IF(ISNUMBER($AM278),DATE(YEAR($AM278),MONTH($AM278),1),IF(ISNUMBER($AN278),DATE(YEAR($AN278),MONTH($AN278),1),MesCiclo))))</f>
        <v/>
      </c>
      <c r="T278" s="62">
        <f>IF(OR($S278="",$S278&lt;&gt;MesCiclo),"",COUNTIF($S$5:$S278,MesCiclo))</f>
        <v/>
      </c>
      <c r="U278" s="62">
        <f>IF($V278="","",IF($V278="Macro",ROW(),IFERROR(LOOKUP(2,1/($V$5:$V278="Macro"),ROW($V$5:$V278)),0)))</f>
        <v/>
      </c>
      <c r="V278" s="62">
        <f>IF(NOT((COUNTA($B278:$D278)+COUNTA($G278:$L278)+COUNTA($Q278))&gt;0),"",IF($B278="Subactividad","Sub","Macro"))</f>
        <v/>
      </c>
      <c r="W278" s="62">
        <f>IF($V278="Macro",COUNTIFS($U$5:$U$1000,ROW(),$V$5:$V$1000,"Sub"),"")</f>
        <v/>
      </c>
      <c r="X278" s="62">
        <f>IF($V278="","",IF(ISNUMBER($G278),1,IFERROR(LOOKUP(2,1/($I278:$L278&lt;&gt;""),$I278:$L278),0)))</f>
        <v/>
      </c>
      <c r="Y278" s="62">
        <f>IF($V278="","",IF(AND(ISNUMBER($G278),$G278&lt;=IF($S278=MesCiclo,InicioCiclo,$S278+MOD(2-WEEKDAY($S278),7))+6),1,IF(ISNUMBER($I278),$I278,0)))</f>
        <v/>
      </c>
      <c r="Z278" s="62">
        <f>IF($V278="","",IF(AND(ISNUMBER($G278),$G278&lt;=IF($S278=MesCiclo,InicioCiclo,$S278+MOD(2-WEEKDAY($S278),7))+13),1,IF(ISNUMBER($J278),$J278,$Y278)))</f>
        <v/>
      </c>
      <c r="AA278" s="62">
        <f>IF($V278="","",IF(AND(ISNUMBER($G278),$G278&lt;=IF($S278=MesCiclo,InicioCiclo,$S278+MOD(2-WEEKDAY($S278),7))+20),1,IF(ISNUMBER($K278),$K278,$Z278)))</f>
        <v/>
      </c>
      <c r="AB278" s="62">
        <f>IF($V278="","",IF(AND(ISNUMBER($G278),$G278&lt;=IF($S278=MesCiclo,InicioCiclo,$S278+MOD(2-WEEKDAY($S278),7))+27),1,IF(ISNUMBER($L278),$L278,$AA278)))</f>
        <v/>
      </c>
      <c r="AC278" s="62">
        <f>IF($V278="","",IF(AND(ISNUMBER($G278),$G278&lt;=IF($S278=MesCiclo,InicioCiclo,$S278+MOD(2-WEEKDAY($S278),7))+6),1,IF(N($W278)&gt;0,AVERAGEIFS($Y$5:$Y$1000,$U$5:$U$1000,ROW(),$V$5:$V$1000,"Sub"),$Y278)))</f>
        <v/>
      </c>
      <c r="AD278" s="62">
        <f>IF($V278="","",IF(AND(ISNUMBER($G278),$G278&lt;=IF($S278=MesCiclo,InicioCiclo,$S278+MOD(2-WEEKDAY($S278),7))+13),1,IF(N($W278)&gt;0,AVERAGEIFS($Z$5:$Z$1000,$U$5:$U$1000,ROW(),$V$5:$V$1000,"Sub"),$Z278)))</f>
        <v/>
      </c>
      <c r="AE278" s="62">
        <f>IF($V278="","",IF(AND(ISNUMBER($G278),$G278&lt;=IF($S278=MesCiclo,InicioCiclo,$S278+MOD(2-WEEKDAY($S278),7))+20),1,IF(N($W278)&gt;0,AVERAGEIFS($AA$5:$AA$1000,$U$5:$U$1000,ROW(),$V$5:$V$1000,"Sub"),$AA278)))</f>
        <v/>
      </c>
      <c r="AF278" s="62">
        <f>IF($V278="","",IF(AND(ISNUMBER($G278),$G278&lt;=IF($S278=MesCiclo,InicioCiclo,$S278+MOD(2-WEEKDAY($S278),7))+27),1,IF(N($W278)&gt;0,AVERAGEIFS($AB$5:$AB$1000,$U$5:$U$1000,ROW(),$V$5:$V$1000,"Sub"),$AB278)))</f>
        <v/>
      </c>
      <c r="AG278" s="62">
        <f>IF($V278&lt;&gt;"Macro","",IF(COUNTIFS($S$5:$S$1000,$S278,$V$5:$V$1000,"Macro",$H$5:$H$1000,"&gt;0")=0,1/COUNTIFS($S$5:$S$1000,$S278,$V$5:$V$1000,"Macro"),IF(AND(ISNUMBER($H278),N($H278)&gt;0),$H278,SUMIFS($H$5:$H$1000,$S$5:$S$1000,$S278,$V$5:$V$1000,"Macro")/COUNTIFS($S$5:$S$1000,$S278,$V$5:$V$1000,"Macro",$H$5:$H$1000,"&gt;0"))/(COUNTIFS($S$5:$S$1000,$S278,$V$5:$V$1000,"Macro")*SUMIFS($H$5:$H$1000,$S$5:$S$1000,$S278,$V$5:$V$1000,"Macro")/COUNTIFS($S$5:$S$1000,$S278,$V$5:$V$1000,"Macro",$H$5:$H$1000,"&gt;0"))))</f>
        <v/>
      </c>
      <c r="AH278" s="62" t="n"/>
      <c r="AI278" s="62" t="n"/>
      <c r="AJ278" s="62" t="n"/>
      <c r="AK278" s="62" t="n"/>
      <c r="AL278" s="62">
        <f>IF(LEFT($C278,11)="[Jefatura] ",IFERROR(MATCH("Riesgo Financiero|"&amp;MID($C278,12,500),rDname_ADM,0),0),"")</f>
        <v/>
      </c>
      <c r="AM278" s="62">
        <f>IF(N($AL278)&gt;0,INDEX(rIni_ADM,$AL278),IF(ISNUMBER($E278),$E278,""))</f>
        <v/>
      </c>
      <c r="AN278" s="62">
        <f>IF(N($AL278)&gt;0,INDEX(rLim_ADM,$AL278),IF(ISNUMBER($F278),$F278,""))</f>
        <v/>
      </c>
    </row>
    <row r="279">
      <c r="A279" s="56">
        <f>IF(NOT((COUNTA($B279:$D279)+COUNTA($G279:$L279)+COUNTA($Q279))&gt;0),"",IF($V279="Macro",COUNTIFS($V$5:$V279,"Macro",$S$5:$S279,$S279),IF(N($U279)=0,"?",COUNTIFS(INDEX($V$5:$V$1000,1):INDEX($V$5:$V$1000,$U279-4),"Macro",INDEX($S$5:$S$1000,1):INDEX($S$5:$S$1000,$U279-4),INDEX($S$5:$S$1000,$U279-4))&amp;"."&amp;COUNTIFS($U$5:$U279,$U279,$V$5:$V279,"Sub"))))</f>
        <v/>
      </c>
      <c r="B279" s="57" t="n"/>
      <c r="C279" s="58" t="n"/>
      <c r="D279" s="58" t="n"/>
      <c r="E279" s="59">
        <f>IF(N($AL279)&gt;0,INDEX(rIni_ADM,$AL279),"")</f>
        <v/>
      </c>
      <c r="F279" s="59">
        <f>IF(N($AL279)&gt;0,INDEX(rLim_ADM,$AL279),"")</f>
        <v/>
      </c>
      <c r="G279" s="59" t="n"/>
      <c r="H279" s="60" t="n"/>
      <c r="I279" s="60" t="n"/>
      <c r="J279" s="60" t="n"/>
      <c r="K279" s="60" t="n"/>
      <c r="L279" s="60" t="n"/>
      <c r="M279" s="61">
        <f>IF(NOT((COUNTA($B279:$D279)+COUNTA($G279:$L279)+COUNTA($Q279))&gt;0),"",IF(ISNUMBER($G279),1,IF(N($W279)&gt;0,AVERAGEIFS($X$5:$X$1000,$U$5:$U$1000,ROW(),$V$5:$V$1000,"Sub"),$X279)))</f>
        <v/>
      </c>
      <c r="N279" s="56">
        <f>IF($M279="","",IF($M279&gt;=1,"Completado",IF($M279&gt;0,"En curso","Pendiente")))</f>
        <v/>
      </c>
      <c r="O279" s="56">
        <f>IF(NOT((COUNTA($B279:$D279)+COUNTA($G279:$L279)+COUNTA($Q279))&gt;0),"",IF(ISNUMBER($G279),IF(AND(ISNUMBER($AN279),$G279&gt;$AN279),"Cumplida con "&amp;($G279-$AN279)&amp;IF($G279-$AN279=1," día"," días")&amp;" de retraso","Cumplida"),IF(N($M279)&gt;=1,"Cumplida",IF(NOT(ISNUMBER($AN279)),"Sin fecha límite",IF($AN279&lt;FechaRef,"Vencida hace "&amp;(FechaRef-$AN279)&amp;IF(FechaRef-$AN279=1," día"," días"),IF($AN279=FechaRef,"Vence hoy",IF($AN279-FechaRef&lt;=DiasAlerta,"Vence en "&amp;($AN279-FechaRef)&amp;IF($AN279-FechaRef=1," día"," días"),"En plazo")))))))</f>
        <v/>
      </c>
      <c r="P279" s="62" t="n"/>
      <c r="Q279" s="58" t="n"/>
      <c r="R279" s="63">
        <f>IF(NOT((COUNTA($B279:$D279)+COUNTA($G279:$L279)+COUNTA($Q279))&gt;0),"",IF((IF($C279="","Falta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",""))="","✔ OK","⚠ "&amp;LEFT(IF($C279="","Falta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",""),LEN(IF($C279="","Falta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",""))-3)))</f>
        <v/>
      </c>
      <c r="S279" s="64">
        <f>IF(NOT((COUNTA($B279:$D279)+COUNTA($G279:$L279)+COUNTA($Q279))&gt;0),"",IF(AND($V279="Sub",N($U279)&gt;0),IF(ISNUMBER(INDEX($AM$5:$AM$1000,$U279-4)),DATE(YEAR(INDEX($AM$5:$AM$1000,$U279-4)),MONTH(INDEX($AM$5:$AM$1000,$U279-4)),1),IF(ISNUMBER(INDEX($AN$5:$AN$1000,$U279-4)),DATE(YEAR(INDEX($AN$5:$AN$1000,$U279-4)),MONTH(INDEX($AN$5:$AN$1000,$U279-4)),1),MesCiclo)),IF(ISNUMBER($AM279),DATE(YEAR($AM279),MONTH($AM279),1),IF(ISNUMBER($AN279),DATE(YEAR($AN279),MONTH($AN279),1),MesCiclo))))</f>
        <v/>
      </c>
      <c r="T279" s="62">
        <f>IF(OR($S279="",$S279&lt;&gt;MesCiclo),"",COUNTIF($S$5:$S279,MesCiclo))</f>
        <v/>
      </c>
      <c r="U279" s="62">
        <f>IF($V279="","",IF($V279="Macro",ROW(),IFERROR(LOOKUP(2,1/($V$5:$V279="Macro"),ROW($V$5:$V279)),0)))</f>
        <v/>
      </c>
      <c r="V279" s="62">
        <f>IF(NOT((COUNTA($B279:$D279)+COUNTA($G279:$L279)+COUNTA($Q279))&gt;0),"",IF($B279="Subactividad","Sub","Macro"))</f>
        <v/>
      </c>
      <c r="W279" s="62">
        <f>IF($V279="Macro",COUNTIFS($U$5:$U$1000,ROW(),$V$5:$V$1000,"Sub"),"")</f>
        <v/>
      </c>
      <c r="X279" s="62">
        <f>IF($V279="","",IF(ISNUMBER($G279),1,IFERROR(LOOKUP(2,1/($I279:$L279&lt;&gt;""),$I279:$L279),0)))</f>
        <v/>
      </c>
      <c r="Y279" s="62">
        <f>IF($V279="","",IF(AND(ISNUMBER($G279),$G279&lt;=IF($S279=MesCiclo,InicioCiclo,$S279+MOD(2-WEEKDAY($S279),7))+6),1,IF(ISNUMBER($I279),$I279,0)))</f>
        <v/>
      </c>
      <c r="Z279" s="62">
        <f>IF($V279="","",IF(AND(ISNUMBER($G279),$G279&lt;=IF($S279=MesCiclo,InicioCiclo,$S279+MOD(2-WEEKDAY($S279),7))+13),1,IF(ISNUMBER($J279),$J279,$Y279)))</f>
        <v/>
      </c>
      <c r="AA279" s="62">
        <f>IF($V279="","",IF(AND(ISNUMBER($G279),$G279&lt;=IF($S279=MesCiclo,InicioCiclo,$S279+MOD(2-WEEKDAY($S279),7))+20),1,IF(ISNUMBER($K279),$K279,$Z279)))</f>
        <v/>
      </c>
      <c r="AB279" s="62">
        <f>IF($V279="","",IF(AND(ISNUMBER($G279),$G279&lt;=IF($S279=MesCiclo,InicioCiclo,$S279+MOD(2-WEEKDAY($S279),7))+27),1,IF(ISNUMBER($L279),$L279,$AA279)))</f>
        <v/>
      </c>
      <c r="AC279" s="62">
        <f>IF($V279="","",IF(AND(ISNUMBER($G279),$G279&lt;=IF($S279=MesCiclo,InicioCiclo,$S279+MOD(2-WEEKDAY($S279),7))+6),1,IF(N($W279)&gt;0,AVERAGEIFS($Y$5:$Y$1000,$U$5:$U$1000,ROW(),$V$5:$V$1000,"Sub"),$Y279)))</f>
        <v/>
      </c>
      <c r="AD279" s="62">
        <f>IF($V279="","",IF(AND(ISNUMBER($G279),$G279&lt;=IF($S279=MesCiclo,InicioCiclo,$S279+MOD(2-WEEKDAY($S279),7))+13),1,IF(N($W279)&gt;0,AVERAGEIFS($Z$5:$Z$1000,$U$5:$U$1000,ROW(),$V$5:$V$1000,"Sub"),$Z279)))</f>
        <v/>
      </c>
      <c r="AE279" s="62">
        <f>IF($V279="","",IF(AND(ISNUMBER($G279),$G279&lt;=IF($S279=MesCiclo,InicioCiclo,$S279+MOD(2-WEEKDAY($S279),7))+20),1,IF(N($W279)&gt;0,AVERAGEIFS($AA$5:$AA$1000,$U$5:$U$1000,ROW(),$V$5:$V$1000,"Sub"),$AA279)))</f>
        <v/>
      </c>
      <c r="AF279" s="62">
        <f>IF($V279="","",IF(AND(ISNUMBER($G279),$G279&lt;=IF($S279=MesCiclo,InicioCiclo,$S279+MOD(2-WEEKDAY($S279),7))+27),1,IF(N($W279)&gt;0,AVERAGEIFS($AB$5:$AB$1000,$U$5:$U$1000,ROW(),$V$5:$V$1000,"Sub"),$AB279)))</f>
        <v/>
      </c>
      <c r="AG279" s="62">
        <f>IF($V279&lt;&gt;"Macro","",IF(COUNTIFS($S$5:$S$1000,$S279,$V$5:$V$1000,"Macro",$H$5:$H$1000,"&gt;0")=0,1/COUNTIFS($S$5:$S$1000,$S279,$V$5:$V$1000,"Macro"),IF(AND(ISNUMBER($H279),N($H279)&gt;0),$H279,SUMIFS($H$5:$H$1000,$S$5:$S$1000,$S279,$V$5:$V$1000,"Macro")/COUNTIFS($S$5:$S$1000,$S279,$V$5:$V$1000,"Macro",$H$5:$H$1000,"&gt;0"))/(COUNTIFS($S$5:$S$1000,$S279,$V$5:$V$1000,"Macro")*SUMIFS($H$5:$H$1000,$S$5:$S$1000,$S279,$V$5:$V$1000,"Macro")/COUNTIFS($S$5:$S$1000,$S279,$V$5:$V$1000,"Macro",$H$5:$H$1000,"&gt;0"))))</f>
        <v/>
      </c>
      <c r="AH279" s="62" t="n"/>
      <c r="AI279" s="62" t="n"/>
      <c r="AJ279" s="62" t="n"/>
      <c r="AK279" s="62" t="n"/>
      <c r="AL279" s="62">
        <f>IF(LEFT($C279,11)="[Jefatura] ",IFERROR(MATCH("Riesgo Financiero|"&amp;MID($C279,12,500),rDname_ADM,0),0),"")</f>
        <v/>
      </c>
      <c r="AM279" s="62">
        <f>IF(N($AL279)&gt;0,INDEX(rIni_ADM,$AL279),IF(ISNUMBER($E279),$E279,""))</f>
        <v/>
      </c>
      <c r="AN279" s="62">
        <f>IF(N($AL279)&gt;0,INDEX(rLim_ADM,$AL279),IF(ISNUMBER($F279),$F279,""))</f>
        <v/>
      </c>
    </row>
    <row r="280">
      <c r="A280" s="56">
        <f>IF(NOT((COUNTA($B280:$D280)+COUNTA($G280:$L280)+COUNTA($Q280))&gt;0),"",IF($V280="Macro",COUNTIFS($V$5:$V280,"Macro",$S$5:$S280,$S280),IF(N($U280)=0,"?",COUNTIFS(INDEX($V$5:$V$1000,1):INDEX($V$5:$V$1000,$U280-4),"Macro",INDEX($S$5:$S$1000,1):INDEX($S$5:$S$1000,$U280-4),INDEX($S$5:$S$1000,$U280-4))&amp;"."&amp;COUNTIFS($U$5:$U280,$U280,$V$5:$V280,"Sub"))))</f>
        <v/>
      </c>
      <c r="B280" s="57" t="n"/>
      <c r="C280" s="58" t="n"/>
      <c r="D280" s="58" t="n"/>
      <c r="E280" s="59">
        <f>IF(N($AL280)&gt;0,INDEX(rIni_ADM,$AL280),"")</f>
        <v/>
      </c>
      <c r="F280" s="59">
        <f>IF(N($AL280)&gt;0,INDEX(rLim_ADM,$AL280),"")</f>
        <v/>
      </c>
      <c r="G280" s="59" t="n"/>
      <c r="H280" s="60" t="n"/>
      <c r="I280" s="60" t="n"/>
      <c r="J280" s="60" t="n"/>
      <c r="K280" s="60" t="n"/>
      <c r="L280" s="60" t="n"/>
      <c r="M280" s="61">
        <f>IF(NOT((COUNTA($B280:$D280)+COUNTA($G280:$L280)+COUNTA($Q280))&gt;0),"",IF(ISNUMBER($G280),1,IF(N($W280)&gt;0,AVERAGEIFS($X$5:$X$1000,$U$5:$U$1000,ROW(),$V$5:$V$1000,"Sub"),$X280)))</f>
        <v/>
      </c>
      <c r="N280" s="56">
        <f>IF($M280="","",IF($M280&gt;=1,"Completado",IF($M280&gt;0,"En curso","Pendiente")))</f>
        <v/>
      </c>
      <c r="O280" s="56">
        <f>IF(NOT((COUNTA($B280:$D280)+COUNTA($G280:$L280)+COUNTA($Q280))&gt;0),"",IF(ISNUMBER($G280),IF(AND(ISNUMBER($AN280),$G280&gt;$AN280),"Cumplida con "&amp;($G280-$AN280)&amp;IF($G280-$AN280=1," día"," días")&amp;" de retraso","Cumplida"),IF(N($M280)&gt;=1,"Cumplida",IF(NOT(ISNUMBER($AN280)),"Sin fecha límite",IF($AN280&lt;FechaRef,"Vencida hace "&amp;(FechaRef-$AN280)&amp;IF(FechaRef-$AN280=1," día"," días"),IF($AN280=FechaRef,"Vence hoy",IF($AN280-FechaRef&lt;=DiasAlerta,"Vence en "&amp;($AN280-FechaRef)&amp;IF($AN280-FechaRef=1," día"," días"),"En plazo")))))))</f>
        <v/>
      </c>
      <c r="P280" s="62" t="n"/>
      <c r="Q280" s="58" t="n"/>
      <c r="R280" s="63">
        <f>IF(NOT((COUNTA($B280:$D280)+COUNTA($G280:$L280)+COUNTA($Q280))&gt;0),"",IF((IF($C280="","Falta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",""))="","✔ OK","⚠ "&amp;LEFT(IF($C280="","Falta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",""),LEN(IF($C280="","Falta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",""))-3)))</f>
        <v/>
      </c>
      <c r="S280" s="64">
        <f>IF(NOT((COUNTA($B280:$D280)+COUNTA($G280:$L280)+COUNTA($Q280))&gt;0),"",IF(AND($V280="Sub",N($U280)&gt;0),IF(ISNUMBER(INDEX($AM$5:$AM$1000,$U280-4)),DATE(YEAR(INDEX($AM$5:$AM$1000,$U280-4)),MONTH(INDEX($AM$5:$AM$1000,$U280-4)),1),IF(ISNUMBER(INDEX($AN$5:$AN$1000,$U280-4)),DATE(YEAR(INDEX($AN$5:$AN$1000,$U280-4)),MONTH(INDEX($AN$5:$AN$1000,$U280-4)),1),MesCiclo)),IF(ISNUMBER($AM280),DATE(YEAR($AM280),MONTH($AM280),1),IF(ISNUMBER($AN280),DATE(YEAR($AN280),MONTH($AN280),1),MesCiclo))))</f>
        <v/>
      </c>
      <c r="T280" s="62">
        <f>IF(OR($S280="",$S280&lt;&gt;MesCiclo),"",COUNTIF($S$5:$S280,MesCiclo))</f>
        <v/>
      </c>
      <c r="U280" s="62">
        <f>IF($V280="","",IF($V280="Macro",ROW(),IFERROR(LOOKUP(2,1/($V$5:$V280="Macro"),ROW($V$5:$V280)),0)))</f>
        <v/>
      </c>
      <c r="V280" s="62">
        <f>IF(NOT((COUNTA($B280:$D280)+COUNTA($G280:$L280)+COUNTA($Q280))&gt;0),"",IF($B280="Subactividad","Sub","Macro"))</f>
        <v/>
      </c>
      <c r="W280" s="62">
        <f>IF($V280="Macro",COUNTIFS($U$5:$U$1000,ROW(),$V$5:$V$1000,"Sub"),"")</f>
        <v/>
      </c>
      <c r="X280" s="62">
        <f>IF($V280="","",IF(ISNUMBER($G280),1,IFERROR(LOOKUP(2,1/($I280:$L280&lt;&gt;""),$I280:$L280),0)))</f>
        <v/>
      </c>
      <c r="Y280" s="62">
        <f>IF($V280="","",IF(AND(ISNUMBER($G280),$G280&lt;=IF($S280=MesCiclo,InicioCiclo,$S280+MOD(2-WEEKDAY($S280),7))+6),1,IF(ISNUMBER($I280),$I280,0)))</f>
        <v/>
      </c>
      <c r="Z280" s="62">
        <f>IF($V280="","",IF(AND(ISNUMBER($G280),$G280&lt;=IF($S280=MesCiclo,InicioCiclo,$S280+MOD(2-WEEKDAY($S280),7))+13),1,IF(ISNUMBER($J280),$J280,$Y280)))</f>
        <v/>
      </c>
      <c r="AA280" s="62">
        <f>IF($V280="","",IF(AND(ISNUMBER($G280),$G280&lt;=IF($S280=MesCiclo,InicioCiclo,$S280+MOD(2-WEEKDAY($S280),7))+20),1,IF(ISNUMBER($K280),$K280,$Z280)))</f>
        <v/>
      </c>
      <c r="AB280" s="62">
        <f>IF($V280="","",IF(AND(ISNUMBER($G280),$G280&lt;=IF($S280=MesCiclo,InicioCiclo,$S280+MOD(2-WEEKDAY($S280),7))+27),1,IF(ISNUMBER($L280),$L280,$AA280)))</f>
        <v/>
      </c>
      <c r="AC280" s="62">
        <f>IF($V280="","",IF(AND(ISNUMBER($G280),$G280&lt;=IF($S280=MesCiclo,InicioCiclo,$S280+MOD(2-WEEKDAY($S280),7))+6),1,IF(N($W280)&gt;0,AVERAGEIFS($Y$5:$Y$1000,$U$5:$U$1000,ROW(),$V$5:$V$1000,"Sub"),$Y280)))</f>
        <v/>
      </c>
      <c r="AD280" s="62">
        <f>IF($V280="","",IF(AND(ISNUMBER($G280),$G280&lt;=IF($S280=MesCiclo,InicioCiclo,$S280+MOD(2-WEEKDAY($S280),7))+13),1,IF(N($W280)&gt;0,AVERAGEIFS($Z$5:$Z$1000,$U$5:$U$1000,ROW(),$V$5:$V$1000,"Sub"),$Z280)))</f>
        <v/>
      </c>
      <c r="AE280" s="62">
        <f>IF($V280="","",IF(AND(ISNUMBER($G280),$G280&lt;=IF($S280=MesCiclo,InicioCiclo,$S280+MOD(2-WEEKDAY($S280),7))+20),1,IF(N($W280)&gt;0,AVERAGEIFS($AA$5:$AA$1000,$U$5:$U$1000,ROW(),$V$5:$V$1000,"Sub"),$AA280)))</f>
        <v/>
      </c>
      <c r="AF280" s="62">
        <f>IF($V280="","",IF(AND(ISNUMBER($G280),$G280&lt;=IF($S280=MesCiclo,InicioCiclo,$S280+MOD(2-WEEKDAY($S280),7))+27),1,IF(N($W280)&gt;0,AVERAGEIFS($AB$5:$AB$1000,$U$5:$U$1000,ROW(),$V$5:$V$1000,"Sub"),$AB280)))</f>
        <v/>
      </c>
      <c r="AG280" s="62">
        <f>IF($V280&lt;&gt;"Macro","",IF(COUNTIFS($S$5:$S$1000,$S280,$V$5:$V$1000,"Macro",$H$5:$H$1000,"&gt;0")=0,1/COUNTIFS($S$5:$S$1000,$S280,$V$5:$V$1000,"Macro"),IF(AND(ISNUMBER($H280),N($H280)&gt;0),$H280,SUMIFS($H$5:$H$1000,$S$5:$S$1000,$S280,$V$5:$V$1000,"Macro")/COUNTIFS($S$5:$S$1000,$S280,$V$5:$V$1000,"Macro",$H$5:$H$1000,"&gt;0"))/(COUNTIFS($S$5:$S$1000,$S280,$V$5:$V$1000,"Macro")*SUMIFS($H$5:$H$1000,$S$5:$S$1000,$S280,$V$5:$V$1000,"Macro")/COUNTIFS($S$5:$S$1000,$S280,$V$5:$V$1000,"Macro",$H$5:$H$1000,"&gt;0"))))</f>
        <v/>
      </c>
      <c r="AH280" s="62" t="n"/>
      <c r="AI280" s="62" t="n"/>
      <c r="AJ280" s="62" t="n"/>
      <c r="AK280" s="62" t="n"/>
      <c r="AL280" s="62">
        <f>IF(LEFT($C280,11)="[Jefatura] ",IFERROR(MATCH("Riesgo Financiero|"&amp;MID($C280,12,500),rDname_ADM,0),0),"")</f>
        <v/>
      </c>
      <c r="AM280" s="62">
        <f>IF(N($AL280)&gt;0,INDEX(rIni_ADM,$AL280),IF(ISNUMBER($E280),$E280,""))</f>
        <v/>
      </c>
      <c r="AN280" s="62">
        <f>IF(N($AL280)&gt;0,INDEX(rLim_ADM,$AL280),IF(ISNUMBER($F280),$F280,""))</f>
        <v/>
      </c>
    </row>
    <row r="281">
      <c r="A281" s="56">
        <f>IF(NOT((COUNTA($B281:$D281)+COUNTA($G281:$L281)+COUNTA($Q281))&gt;0),"",IF($V281="Macro",COUNTIFS($V$5:$V281,"Macro",$S$5:$S281,$S281),IF(N($U281)=0,"?",COUNTIFS(INDEX($V$5:$V$1000,1):INDEX($V$5:$V$1000,$U281-4),"Macro",INDEX($S$5:$S$1000,1):INDEX($S$5:$S$1000,$U281-4),INDEX($S$5:$S$1000,$U281-4))&amp;"."&amp;COUNTIFS($U$5:$U281,$U281,$V$5:$V281,"Sub"))))</f>
        <v/>
      </c>
      <c r="B281" s="57" t="n"/>
      <c r="C281" s="58" t="n"/>
      <c r="D281" s="58" t="n"/>
      <c r="E281" s="59">
        <f>IF(N($AL281)&gt;0,INDEX(rIni_ADM,$AL281),"")</f>
        <v/>
      </c>
      <c r="F281" s="59">
        <f>IF(N($AL281)&gt;0,INDEX(rLim_ADM,$AL281),"")</f>
        <v/>
      </c>
      <c r="G281" s="59" t="n"/>
      <c r="H281" s="60" t="n"/>
      <c r="I281" s="60" t="n"/>
      <c r="J281" s="60" t="n"/>
      <c r="K281" s="60" t="n"/>
      <c r="L281" s="60" t="n"/>
      <c r="M281" s="61">
        <f>IF(NOT((COUNTA($B281:$D281)+COUNTA($G281:$L281)+COUNTA($Q281))&gt;0),"",IF(ISNUMBER($G281),1,IF(N($W281)&gt;0,AVERAGEIFS($X$5:$X$1000,$U$5:$U$1000,ROW(),$V$5:$V$1000,"Sub"),$X281)))</f>
        <v/>
      </c>
      <c r="N281" s="56">
        <f>IF($M281="","",IF($M281&gt;=1,"Completado",IF($M281&gt;0,"En curso","Pendiente")))</f>
        <v/>
      </c>
      <c r="O281" s="56">
        <f>IF(NOT((COUNTA($B281:$D281)+COUNTA($G281:$L281)+COUNTA($Q281))&gt;0),"",IF(ISNUMBER($G281),IF(AND(ISNUMBER($AN281),$G281&gt;$AN281),"Cumplida con "&amp;($G281-$AN281)&amp;IF($G281-$AN281=1," día"," días")&amp;" de retraso","Cumplida"),IF(N($M281)&gt;=1,"Cumplida",IF(NOT(ISNUMBER($AN281)),"Sin fecha límite",IF($AN281&lt;FechaRef,"Vencida hace "&amp;(FechaRef-$AN281)&amp;IF(FechaRef-$AN281=1," día"," días"),IF($AN281=FechaRef,"Vence hoy",IF($AN281-FechaRef&lt;=DiasAlerta,"Vence en "&amp;($AN281-FechaRef)&amp;IF($AN281-FechaRef=1," día"," días"),"En plazo")))))))</f>
        <v/>
      </c>
      <c r="P281" s="62" t="n"/>
      <c r="Q281" s="58" t="n"/>
      <c r="R281" s="63">
        <f>IF(NOT((COUNTA($B281:$D281)+COUNTA($G281:$L281)+COUNTA($Q281))&gt;0),"",IF((IF($C281="","Falta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",""))="","✔ OK","⚠ "&amp;LEFT(IF($C281="","Falta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",""),LEN(IF($C281="","Falta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",""))-3)))</f>
        <v/>
      </c>
      <c r="S281" s="64">
        <f>IF(NOT((COUNTA($B281:$D281)+COUNTA($G281:$L281)+COUNTA($Q281))&gt;0),"",IF(AND($V281="Sub",N($U281)&gt;0),IF(ISNUMBER(INDEX($AM$5:$AM$1000,$U281-4)),DATE(YEAR(INDEX($AM$5:$AM$1000,$U281-4)),MONTH(INDEX($AM$5:$AM$1000,$U281-4)),1),IF(ISNUMBER(INDEX($AN$5:$AN$1000,$U281-4)),DATE(YEAR(INDEX($AN$5:$AN$1000,$U281-4)),MONTH(INDEX($AN$5:$AN$1000,$U281-4)),1),MesCiclo)),IF(ISNUMBER($AM281),DATE(YEAR($AM281),MONTH($AM281),1),IF(ISNUMBER($AN281),DATE(YEAR($AN281),MONTH($AN281),1),MesCiclo))))</f>
        <v/>
      </c>
      <c r="T281" s="62">
        <f>IF(OR($S281="",$S281&lt;&gt;MesCiclo),"",COUNTIF($S$5:$S281,MesCiclo))</f>
        <v/>
      </c>
      <c r="U281" s="62">
        <f>IF($V281="","",IF($V281="Macro",ROW(),IFERROR(LOOKUP(2,1/($V$5:$V281="Macro"),ROW($V$5:$V281)),0)))</f>
        <v/>
      </c>
      <c r="V281" s="62">
        <f>IF(NOT((COUNTA($B281:$D281)+COUNTA($G281:$L281)+COUNTA($Q281))&gt;0),"",IF($B281="Subactividad","Sub","Macro"))</f>
        <v/>
      </c>
      <c r="W281" s="62">
        <f>IF($V281="Macro",COUNTIFS($U$5:$U$1000,ROW(),$V$5:$V$1000,"Sub"),"")</f>
        <v/>
      </c>
      <c r="X281" s="62">
        <f>IF($V281="","",IF(ISNUMBER($G281),1,IFERROR(LOOKUP(2,1/($I281:$L281&lt;&gt;""),$I281:$L281),0)))</f>
        <v/>
      </c>
      <c r="Y281" s="62">
        <f>IF($V281="","",IF(AND(ISNUMBER($G281),$G281&lt;=IF($S281=MesCiclo,InicioCiclo,$S281+MOD(2-WEEKDAY($S281),7))+6),1,IF(ISNUMBER($I281),$I281,0)))</f>
        <v/>
      </c>
      <c r="Z281" s="62">
        <f>IF($V281="","",IF(AND(ISNUMBER($G281),$G281&lt;=IF($S281=MesCiclo,InicioCiclo,$S281+MOD(2-WEEKDAY($S281),7))+13),1,IF(ISNUMBER($J281),$J281,$Y281)))</f>
        <v/>
      </c>
      <c r="AA281" s="62">
        <f>IF($V281="","",IF(AND(ISNUMBER($G281),$G281&lt;=IF($S281=MesCiclo,InicioCiclo,$S281+MOD(2-WEEKDAY($S281),7))+20),1,IF(ISNUMBER($K281),$K281,$Z281)))</f>
        <v/>
      </c>
      <c r="AB281" s="62">
        <f>IF($V281="","",IF(AND(ISNUMBER($G281),$G281&lt;=IF($S281=MesCiclo,InicioCiclo,$S281+MOD(2-WEEKDAY($S281),7))+27),1,IF(ISNUMBER($L281),$L281,$AA281)))</f>
        <v/>
      </c>
      <c r="AC281" s="62">
        <f>IF($V281="","",IF(AND(ISNUMBER($G281),$G281&lt;=IF($S281=MesCiclo,InicioCiclo,$S281+MOD(2-WEEKDAY($S281),7))+6),1,IF(N($W281)&gt;0,AVERAGEIFS($Y$5:$Y$1000,$U$5:$U$1000,ROW(),$V$5:$V$1000,"Sub"),$Y281)))</f>
        <v/>
      </c>
      <c r="AD281" s="62">
        <f>IF($V281="","",IF(AND(ISNUMBER($G281),$G281&lt;=IF($S281=MesCiclo,InicioCiclo,$S281+MOD(2-WEEKDAY($S281),7))+13),1,IF(N($W281)&gt;0,AVERAGEIFS($Z$5:$Z$1000,$U$5:$U$1000,ROW(),$V$5:$V$1000,"Sub"),$Z281)))</f>
        <v/>
      </c>
      <c r="AE281" s="62">
        <f>IF($V281="","",IF(AND(ISNUMBER($G281),$G281&lt;=IF($S281=MesCiclo,InicioCiclo,$S281+MOD(2-WEEKDAY($S281),7))+20),1,IF(N($W281)&gt;0,AVERAGEIFS($AA$5:$AA$1000,$U$5:$U$1000,ROW(),$V$5:$V$1000,"Sub"),$AA281)))</f>
        <v/>
      </c>
      <c r="AF281" s="62">
        <f>IF($V281="","",IF(AND(ISNUMBER($G281),$G281&lt;=IF($S281=MesCiclo,InicioCiclo,$S281+MOD(2-WEEKDAY($S281),7))+27),1,IF(N($W281)&gt;0,AVERAGEIFS($AB$5:$AB$1000,$U$5:$U$1000,ROW(),$V$5:$V$1000,"Sub"),$AB281)))</f>
        <v/>
      </c>
      <c r="AG281" s="62">
        <f>IF($V281&lt;&gt;"Macro","",IF(COUNTIFS($S$5:$S$1000,$S281,$V$5:$V$1000,"Macro",$H$5:$H$1000,"&gt;0")=0,1/COUNTIFS($S$5:$S$1000,$S281,$V$5:$V$1000,"Macro"),IF(AND(ISNUMBER($H281),N($H281)&gt;0),$H281,SUMIFS($H$5:$H$1000,$S$5:$S$1000,$S281,$V$5:$V$1000,"Macro")/COUNTIFS($S$5:$S$1000,$S281,$V$5:$V$1000,"Macro",$H$5:$H$1000,"&gt;0"))/(COUNTIFS($S$5:$S$1000,$S281,$V$5:$V$1000,"Macro")*SUMIFS($H$5:$H$1000,$S$5:$S$1000,$S281,$V$5:$V$1000,"Macro")/COUNTIFS($S$5:$S$1000,$S281,$V$5:$V$1000,"Macro",$H$5:$H$1000,"&gt;0"))))</f>
        <v/>
      </c>
      <c r="AH281" s="62" t="n"/>
      <c r="AI281" s="62" t="n"/>
      <c r="AJ281" s="62" t="n"/>
      <c r="AK281" s="62" t="n"/>
      <c r="AL281" s="62">
        <f>IF(LEFT($C281,11)="[Jefatura] ",IFERROR(MATCH("Riesgo Financiero|"&amp;MID($C281,12,500),rDname_ADM,0),0),"")</f>
        <v/>
      </c>
      <c r="AM281" s="62">
        <f>IF(N($AL281)&gt;0,INDEX(rIni_ADM,$AL281),IF(ISNUMBER($E281),$E281,""))</f>
        <v/>
      </c>
      <c r="AN281" s="62">
        <f>IF(N($AL281)&gt;0,INDEX(rLim_ADM,$AL281),IF(ISNUMBER($F281),$F281,""))</f>
        <v/>
      </c>
    </row>
    <row r="282">
      <c r="A282" s="56">
        <f>IF(NOT((COUNTA($B282:$D282)+COUNTA($G282:$L282)+COUNTA($Q282))&gt;0),"",IF($V282="Macro",COUNTIFS($V$5:$V282,"Macro",$S$5:$S282,$S282),IF(N($U282)=0,"?",COUNTIFS(INDEX($V$5:$V$1000,1):INDEX($V$5:$V$1000,$U282-4),"Macro",INDEX($S$5:$S$1000,1):INDEX($S$5:$S$1000,$U282-4),INDEX($S$5:$S$1000,$U282-4))&amp;"."&amp;COUNTIFS($U$5:$U282,$U282,$V$5:$V282,"Sub"))))</f>
        <v/>
      </c>
      <c r="B282" s="57" t="n"/>
      <c r="C282" s="58" t="n"/>
      <c r="D282" s="58" t="n"/>
      <c r="E282" s="59">
        <f>IF(N($AL282)&gt;0,INDEX(rIni_ADM,$AL282),"")</f>
        <v/>
      </c>
      <c r="F282" s="59">
        <f>IF(N($AL282)&gt;0,INDEX(rLim_ADM,$AL282),"")</f>
        <v/>
      </c>
      <c r="G282" s="59" t="n"/>
      <c r="H282" s="60" t="n"/>
      <c r="I282" s="60" t="n"/>
      <c r="J282" s="60" t="n"/>
      <c r="K282" s="60" t="n"/>
      <c r="L282" s="60" t="n"/>
      <c r="M282" s="61">
        <f>IF(NOT((COUNTA($B282:$D282)+COUNTA($G282:$L282)+COUNTA($Q282))&gt;0),"",IF(ISNUMBER($G282),1,IF(N($W282)&gt;0,AVERAGEIFS($X$5:$X$1000,$U$5:$U$1000,ROW(),$V$5:$V$1000,"Sub"),$X282)))</f>
        <v/>
      </c>
      <c r="N282" s="56">
        <f>IF($M282="","",IF($M282&gt;=1,"Completado",IF($M282&gt;0,"En curso","Pendiente")))</f>
        <v/>
      </c>
      <c r="O282" s="56">
        <f>IF(NOT((COUNTA($B282:$D282)+COUNTA($G282:$L282)+COUNTA($Q282))&gt;0),"",IF(ISNUMBER($G282),IF(AND(ISNUMBER($AN282),$G282&gt;$AN282),"Cumplida con "&amp;($G282-$AN282)&amp;IF($G282-$AN282=1," día"," días")&amp;" de retraso","Cumplida"),IF(N($M282)&gt;=1,"Cumplida",IF(NOT(ISNUMBER($AN282)),"Sin fecha límite",IF($AN282&lt;FechaRef,"Vencida hace "&amp;(FechaRef-$AN282)&amp;IF(FechaRef-$AN282=1," día"," días"),IF($AN282=FechaRef,"Vence hoy",IF($AN282-FechaRef&lt;=DiasAlerta,"Vence en "&amp;($AN282-FechaRef)&amp;IF($AN282-FechaRef=1," día"," días"),"En plazo")))))))</f>
        <v/>
      </c>
      <c r="P282" s="62" t="n"/>
      <c r="Q282" s="58" t="n"/>
      <c r="R282" s="63">
        <f>IF(NOT((COUNTA($B282:$D282)+COUNTA($G282:$L282)+COUNTA($Q282))&gt;0),"",IF((IF($C282="","Falta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",""))="","✔ OK","⚠ "&amp;LEFT(IF($C282="","Falta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",""),LEN(IF($C282="","Falta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",""))-3)))</f>
        <v/>
      </c>
      <c r="S282" s="64">
        <f>IF(NOT((COUNTA($B282:$D282)+COUNTA($G282:$L282)+COUNTA($Q282))&gt;0),"",IF(AND($V282="Sub",N($U282)&gt;0),IF(ISNUMBER(INDEX($AM$5:$AM$1000,$U282-4)),DATE(YEAR(INDEX($AM$5:$AM$1000,$U282-4)),MONTH(INDEX($AM$5:$AM$1000,$U282-4)),1),IF(ISNUMBER(INDEX($AN$5:$AN$1000,$U282-4)),DATE(YEAR(INDEX($AN$5:$AN$1000,$U282-4)),MONTH(INDEX($AN$5:$AN$1000,$U282-4)),1),MesCiclo)),IF(ISNUMBER($AM282),DATE(YEAR($AM282),MONTH($AM282),1),IF(ISNUMBER($AN282),DATE(YEAR($AN282),MONTH($AN282),1),MesCiclo))))</f>
        <v/>
      </c>
      <c r="T282" s="62">
        <f>IF(OR($S282="",$S282&lt;&gt;MesCiclo),"",COUNTIF($S$5:$S282,MesCiclo))</f>
        <v/>
      </c>
      <c r="U282" s="62">
        <f>IF($V282="","",IF($V282="Macro",ROW(),IFERROR(LOOKUP(2,1/($V$5:$V282="Macro"),ROW($V$5:$V282)),0)))</f>
        <v/>
      </c>
      <c r="V282" s="62">
        <f>IF(NOT((COUNTA($B282:$D282)+COUNTA($G282:$L282)+COUNTA($Q282))&gt;0),"",IF($B282="Subactividad","Sub","Macro"))</f>
        <v/>
      </c>
      <c r="W282" s="62">
        <f>IF($V282="Macro",COUNTIFS($U$5:$U$1000,ROW(),$V$5:$V$1000,"Sub"),"")</f>
        <v/>
      </c>
      <c r="X282" s="62">
        <f>IF($V282="","",IF(ISNUMBER($G282),1,IFERROR(LOOKUP(2,1/($I282:$L282&lt;&gt;""),$I282:$L282),0)))</f>
        <v/>
      </c>
      <c r="Y282" s="62">
        <f>IF($V282="","",IF(AND(ISNUMBER($G282),$G282&lt;=IF($S282=MesCiclo,InicioCiclo,$S282+MOD(2-WEEKDAY($S282),7))+6),1,IF(ISNUMBER($I282),$I282,0)))</f>
        <v/>
      </c>
      <c r="Z282" s="62">
        <f>IF($V282="","",IF(AND(ISNUMBER($G282),$G282&lt;=IF($S282=MesCiclo,InicioCiclo,$S282+MOD(2-WEEKDAY($S282),7))+13),1,IF(ISNUMBER($J282),$J282,$Y282)))</f>
        <v/>
      </c>
      <c r="AA282" s="62">
        <f>IF($V282="","",IF(AND(ISNUMBER($G282),$G282&lt;=IF($S282=MesCiclo,InicioCiclo,$S282+MOD(2-WEEKDAY($S282),7))+20),1,IF(ISNUMBER($K282),$K282,$Z282)))</f>
        <v/>
      </c>
      <c r="AB282" s="62">
        <f>IF($V282="","",IF(AND(ISNUMBER($G282),$G282&lt;=IF($S282=MesCiclo,InicioCiclo,$S282+MOD(2-WEEKDAY($S282),7))+27),1,IF(ISNUMBER($L282),$L282,$AA282)))</f>
        <v/>
      </c>
      <c r="AC282" s="62">
        <f>IF($V282="","",IF(AND(ISNUMBER($G282),$G282&lt;=IF($S282=MesCiclo,InicioCiclo,$S282+MOD(2-WEEKDAY($S282),7))+6),1,IF(N($W282)&gt;0,AVERAGEIFS($Y$5:$Y$1000,$U$5:$U$1000,ROW(),$V$5:$V$1000,"Sub"),$Y282)))</f>
        <v/>
      </c>
      <c r="AD282" s="62">
        <f>IF($V282="","",IF(AND(ISNUMBER($G282),$G282&lt;=IF($S282=MesCiclo,InicioCiclo,$S282+MOD(2-WEEKDAY($S282),7))+13),1,IF(N($W282)&gt;0,AVERAGEIFS($Z$5:$Z$1000,$U$5:$U$1000,ROW(),$V$5:$V$1000,"Sub"),$Z282)))</f>
        <v/>
      </c>
      <c r="AE282" s="62">
        <f>IF($V282="","",IF(AND(ISNUMBER($G282),$G282&lt;=IF($S282=MesCiclo,InicioCiclo,$S282+MOD(2-WEEKDAY($S282),7))+20),1,IF(N($W282)&gt;0,AVERAGEIFS($AA$5:$AA$1000,$U$5:$U$1000,ROW(),$V$5:$V$1000,"Sub"),$AA282)))</f>
        <v/>
      </c>
      <c r="AF282" s="62">
        <f>IF($V282="","",IF(AND(ISNUMBER($G282),$G282&lt;=IF($S282=MesCiclo,InicioCiclo,$S282+MOD(2-WEEKDAY($S282),7))+27),1,IF(N($W282)&gt;0,AVERAGEIFS($AB$5:$AB$1000,$U$5:$U$1000,ROW(),$V$5:$V$1000,"Sub"),$AB282)))</f>
        <v/>
      </c>
      <c r="AG282" s="62">
        <f>IF($V282&lt;&gt;"Macro","",IF(COUNTIFS($S$5:$S$1000,$S282,$V$5:$V$1000,"Macro",$H$5:$H$1000,"&gt;0")=0,1/COUNTIFS($S$5:$S$1000,$S282,$V$5:$V$1000,"Macro"),IF(AND(ISNUMBER($H282),N($H282)&gt;0),$H282,SUMIFS($H$5:$H$1000,$S$5:$S$1000,$S282,$V$5:$V$1000,"Macro")/COUNTIFS($S$5:$S$1000,$S282,$V$5:$V$1000,"Macro",$H$5:$H$1000,"&gt;0"))/(COUNTIFS($S$5:$S$1000,$S282,$V$5:$V$1000,"Macro")*SUMIFS($H$5:$H$1000,$S$5:$S$1000,$S282,$V$5:$V$1000,"Macro")/COUNTIFS($S$5:$S$1000,$S282,$V$5:$V$1000,"Macro",$H$5:$H$1000,"&gt;0"))))</f>
        <v/>
      </c>
      <c r="AH282" s="62" t="n"/>
      <c r="AI282" s="62" t="n"/>
      <c r="AJ282" s="62" t="n"/>
      <c r="AK282" s="62" t="n"/>
      <c r="AL282" s="62">
        <f>IF(LEFT($C282,11)="[Jefatura] ",IFERROR(MATCH("Riesgo Financiero|"&amp;MID($C282,12,500),rDname_ADM,0),0),"")</f>
        <v/>
      </c>
      <c r="AM282" s="62">
        <f>IF(N($AL282)&gt;0,INDEX(rIni_ADM,$AL282),IF(ISNUMBER($E282),$E282,""))</f>
        <v/>
      </c>
      <c r="AN282" s="62">
        <f>IF(N($AL282)&gt;0,INDEX(rLim_ADM,$AL282),IF(ISNUMBER($F282),$F282,""))</f>
        <v/>
      </c>
    </row>
    <row r="283">
      <c r="A283" s="56">
        <f>IF(NOT((COUNTA($B283:$D283)+COUNTA($G283:$L283)+COUNTA($Q283))&gt;0),"",IF($V283="Macro",COUNTIFS($V$5:$V283,"Macro",$S$5:$S283,$S283),IF(N($U283)=0,"?",COUNTIFS(INDEX($V$5:$V$1000,1):INDEX($V$5:$V$1000,$U283-4),"Macro",INDEX($S$5:$S$1000,1):INDEX($S$5:$S$1000,$U283-4),INDEX($S$5:$S$1000,$U283-4))&amp;"."&amp;COUNTIFS($U$5:$U283,$U283,$V$5:$V283,"Sub"))))</f>
        <v/>
      </c>
      <c r="B283" s="57" t="n"/>
      <c r="C283" s="58" t="n"/>
      <c r="D283" s="58" t="n"/>
      <c r="E283" s="59">
        <f>IF(N($AL283)&gt;0,INDEX(rIni_ADM,$AL283),"")</f>
        <v/>
      </c>
      <c r="F283" s="59">
        <f>IF(N($AL283)&gt;0,INDEX(rLim_ADM,$AL283),"")</f>
        <v/>
      </c>
      <c r="G283" s="59" t="n"/>
      <c r="H283" s="60" t="n"/>
      <c r="I283" s="60" t="n"/>
      <c r="J283" s="60" t="n"/>
      <c r="K283" s="60" t="n"/>
      <c r="L283" s="60" t="n"/>
      <c r="M283" s="61">
        <f>IF(NOT((COUNTA($B283:$D283)+COUNTA($G283:$L283)+COUNTA($Q283))&gt;0),"",IF(ISNUMBER($G283),1,IF(N($W283)&gt;0,AVERAGEIFS($X$5:$X$1000,$U$5:$U$1000,ROW(),$V$5:$V$1000,"Sub"),$X283)))</f>
        <v/>
      </c>
      <c r="N283" s="56">
        <f>IF($M283="","",IF($M283&gt;=1,"Completado",IF($M283&gt;0,"En curso","Pendiente")))</f>
        <v/>
      </c>
      <c r="O283" s="56">
        <f>IF(NOT((COUNTA($B283:$D283)+COUNTA($G283:$L283)+COUNTA($Q283))&gt;0),"",IF(ISNUMBER($G283),IF(AND(ISNUMBER($AN283),$G283&gt;$AN283),"Cumplida con "&amp;($G283-$AN283)&amp;IF($G283-$AN283=1," día"," días")&amp;" de retraso","Cumplida"),IF(N($M283)&gt;=1,"Cumplida",IF(NOT(ISNUMBER($AN283)),"Sin fecha límite",IF($AN283&lt;FechaRef,"Vencida hace "&amp;(FechaRef-$AN283)&amp;IF(FechaRef-$AN283=1," día"," días"),IF($AN283=FechaRef,"Vence hoy",IF($AN283-FechaRef&lt;=DiasAlerta,"Vence en "&amp;($AN283-FechaRef)&amp;IF($AN283-FechaRef=1," día"," días"),"En plazo")))))))</f>
        <v/>
      </c>
      <c r="P283" s="62" t="n"/>
      <c r="Q283" s="58" t="n"/>
      <c r="R283" s="63">
        <f>IF(NOT((COUNTA($B283:$D283)+COUNTA($G283:$L283)+COUNTA($Q283))&gt;0),"",IF((IF($C283="","Falta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",""))="","✔ OK","⚠ "&amp;LEFT(IF($C283="","Falta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",""),LEN(IF($C283="","Falta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",""))-3)))</f>
        <v/>
      </c>
      <c r="S283" s="64">
        <f>IF(NOT((COUNTA($B283:$D283)+COUNTA($G283:$L283)+COUNTA($Q283))&gt;0),"",IF(AND($V283="Sub",N($U283)&gt;0),IF(ISNUMBER(INDEX($AM$5:$AM$1000,$U283-4)),DATE(YEAR(INDEX($AM$5:$AM$1000,$U283-4)),MONTH(INDEX($AM$5:$AM$1000,$U283-4)),1),IF(ISNUMBER(INDEX($AN$5:$AN$1000,$U283-4)),DATE(YEAR(INDEX($AN$5:$AN$1000,$U283-4)),MONTH(INDEX($AN$5:$AN$1000,$U283-4)),1),MesCiclo)),IF(ISNUMBER($AM283),DATE(YEAR($AM283),MONTH($AM283),1),IF(ISNUMBER($AN283),DATE(YEAR($AN283),MONTH($AN283),1),MesCiclo))))</f>
        <v/>
      </c>
      <c r="T283" s="62">
        <f>IF(OR($S283="",$S283&lt;&gt;MesCiclo),"",COUNTIF($S$5:$S283,MesCiclo))</f>
        <v/>
      </c>
      <c r="U283" s="62">
        <f>IF($V283="","",IF($V283="Macro",ROW(),IFERROR(LOOKUP(2,1/($V$5:$V283="Macro"),ROW($V$5:$V283)),0)))</f>
        <v/>
      </c>
      <c r="V283" s="62">
        <f>IF(NOT((COUNTA($B283:$D283)+COUNTA($G283:$L283)+COUNTA($Q283))&gt;0),"",IF($B283="Subactividad","Sub","Macro"))</f>
        <v/>
      </c>
      <c r="W283" s="62">
        <f>IF($V283="Macro",COUNTIFS($U$5:$U$1000,ROW(),$V$5:$V$1000,"Sub"),"")</f>
        <v/>
      </c>
      <c r="X283" s="62">
        <f>IF($V283="","",IF(ISNUMBER($G283),1,IFERROR(LOOKUP(2,1/($I283:$L283&lt;&gt;""),$I283:$L283),0)))</f>
        <v/>
      </c>
      <c r="Y283" s="62">
        <f>IF($V283="","",IF(AND(ISNUMBER($G283),$G283&lt;=IF($S283=MesCiclo,InicioCiclo,$S283+MOD(2-WEEKDAY($S283),7))+6),1,IF(ISNUMBER($I283),$I283,0)))</f>
        <v/>
      </c>
      <c r="Z283" s="62">
        <f>IF($V283="","",IF(AND(ISNUMBER($G283),$G283&lt;=IF($S283=MesCiclo,InicioCiclo,$S283+MOD(2-WEEKDAY($S283),7))+13),1,IF(ISNUMBER($J283),$J283,$Y283)))</f>
        <v/>
      </c>
      <c r="AA283" s="62">
        <f>IF($V283="","",IF(AND(ISNUMBER($G283),$G283&lt;=IF($S283=MesCiclo,InicioCiclo,$S283+MOD(2-WEEKDAY($S283),7))+20),1,IF(ISNUMBER($K283),$K283,$Z283)))</f>
        <v/>
      </c>
      <c r="AB283" s="62">
        <f>IF($V283="","",IF(AND(ISNUMBER($G283),$G283&lt;=IF($S283=MesCiclo,InicioCiclo,$S283+MOD(2-WEEKDAY($S283),7))+27),1,IF(ISNUMBER($L283),$L283,$AA283)))</f>
        <v/>
      </c>
      <c r="AC283" s="62">
        <f>IF($V283="","",IF(AND(ISNUMBER($G283),$G283&lt;=IF($S283=MesCiclo,InicioCiclo,$S283+MOD(2-WEEKDAY($S283),7))+6),1,IF(N($W283)&gt;0,AVERAGEIFS($Y$5:$Y$1000,$U$5:$U$1000,ROW(),$V$5:$V$1000,"Sub"),$Y283)))</f>
        <v/>
      </c>
      <c r="AD283" s="62">
        <f>IF($V283="","",IF(AND(ISNUMBER($G283),$G283&lt;=IF($S283=MesCiclo,InicioCiclo,$S283+MOD(2-WEEKDAY($S283),7))+13),1,IF(N($W283)&gt;0,AVERAGEIFS($Z$5:$Z$1000,$U$5:$U$1000,ROW(),$V$5:$V$1000,"Sub"),$Z283)))</f>
        <v/>
      </c>
      <c r="AE283" s="62">
        <f>IF($V283="","",IF(AND(ISNUMBER($G283),$G283&lt;=IF($S283=MesCiclo,InicioCiclo,$S283+MOD(2-WEEKDAY($S283),7))+20),1,IF(N($W283)&gt;0,AVERAGEIFS($AA$5:$AA$1000,$U$5:$U$1000,ROW(),$V$5:$V$1000,"Sub"),$AA283)))</f>
        <v/>
      </c>
      <c r="AF283" s="62">
        <f>IF($V283="","",IF(AND(ISNUMBER($G283),$G283&lt;=IF($S283=MesCiclo,InicioCiclo,$S283+MOD(2-WEEKDAY($S283),7))+27),1,IF(N($W283)&gt;0,AVERAGEIFS($AB$5:$AB$1000,$U$5:$U$1000,ROW(),$V$5:$V$1000,"Sub"),$AB283)))</f>
        <v/>
      </c>
      <c r="AG283" s="62">
        <f>IF($V283&lt;&gt;"Macro","",IF(COUNTIFS($S$5:$S$1000,$S283,$V$5:$V$1000,"Macro",$H$5:$H$1000,"&gt;0")=0,1/COUNTIFS($S$5:$S$1000,$S283,$V$5:$V$1000,"Macro"),IF(AND(ISNUMBER($H283),N($H283)&gt;0),$H283,SUMIFS($H$5:$H$1000,$S$5:$S$1000,$S283,$V$5:$V$1000,"Macro")/COUNTIFS($S$5:$S$1000,$S283,$V$5:$V$1000,"Macro",$H$5:$H$1000,"&gt;0"))/(COUNTIFS($S$5:$S$1000,$S283,$V$5:$V$1000,"Macro")*SUMIFS($H$5:$H$1000,$S$5:$S$1000,$S283,$V$5:$V$1000,"Macro")/COUNTIFS($S$5:$S$1000,$S283,$V$5:$V$1000,"Macro",$H$5:$H$1000,"&gt;0"))))</f>
        <v/>
      </c>
      <c r="AH283" s="62" t="n"/>
      <c r="AI283" s="62" t="n"/>
      <c r="AJ283" s="62" t="n"/>
      <c r="AK283" s="62" t="n"/>
      <c r="AL283" s="62">
        <f>IF(LEFT($C283,11)="[Jefatura] ",IFERROR(MATCH("Riesgo Financiero|"&amp;MID($C283,12,500),rDname_ADM,0),0),"")</f>
        <v/>
      </c>
      <c r="AM283" s="62">
        <f>IF(N($AL283)&gt;0,INDEX(rIni_ADM,$AL283),IF(ISNUMBER($E283),$E283,""))</f>
        <v/>
      </c>
      <c r="AN283" s="62">
        <f>IF(N($AL283)&gt;0,INDEX(rLim_ADM,$AL283),IF(ISNUMBER($F283),$F283,""))</f>
        <v/>
      </c>
    </row>
    <row r="284">
      <c r="A284" s="56">
        <f>IF(NOT((COUNTA($B284:$D284)+COUNTA($G284:$L284)+COUNTA($Q284))&gt;0),"",IF($V284="Macro",COUNTIFS($V$5:$V284,"Macro",$S$5:$S284,$S284),IF(N($U284)=0,"?",COUNTIFS(INDEX($V$5:$V$1000,1):INDEX($V$5:$V$1000,$U284-4),"Macro",INDEX($S$5:$S$1000,1):INDEX($S$5:$S$1000,$U284-4),INDEX($S$5:$S$1000,$U284-4))&amp;"."&amp;COUNTIFS($U$5:$U284,$U284,$V$5:$V284,"Sub"))))</f>
        <v/>
      </c>
      <c r="B284" s="57" t="n"/>
      <c r="C284" s="58" t="n"/>
      <c r="D284" s="58" t="n"/>
      <c r="E284" s="59">
        <f>IF(N($AL284)&gt;0,INDEX(rIni_ADM,$AL284),"")</f>
        <v/>
      </c>
      <c r="F284" s="59">
        <f>IF(N($AL284)&gt;0,INDEX(rLim_ADM,$AL284),"")</f>
        <v/>
      </c>
      <c r="G284" s="59" t="n"/>
      <c r="H284" s="60" t="n"/>
      <c r="I284" s="60" t="n"/>
      <c r="J284" s="60" t="n"/>
      <c r="K284" s="60" t="n"/>
      <c r="L284" s="60" t="n"/>
      <c r="M284" s="61">
        <f>IF(NOT((COUNTA($B284:$D284)+COUNTA($G284:$L284)+COUNTA($Q284))&gt;0),"",IF(ISNUMBER($G284),1,IF(N($W284)&gt;0,AVERAGEIFS($X$5:$X$1000,$U$5:$U$1000,ROW(),$V$5:$V$1000,"Sub"),$X284)))</f>
        <v/>
      </c>
      <c r="N284" s="56">
        <f>IF($M284="","",IF($M284&gt;=1,"Completado",IF($M284&gt;0,"En curso","Pendiente")))</f>
        <v/>
      </c>
      <c r="O284" s="56">
        <f>IF(NOT((COUNTA($B284:$D284)+COUNTA($G284:$L284)+COUNTA($Q284))&gt;0),"",IF(ISNUMBER($G284),IF(AND(ISNUMBER($AN284),$G284&gt;$AN284),"Cumplida con "&amp;($G284-$AN284)&amp;IF($G284-$AN284=1," día"," días")&amp;" de retraso","Cumplida"),IF(N($M284)&gt;=1,"Cumplida",IF(NOT(ISNUMBER($AN284)),"Sin fecha límite",IF($AN284&lt;FechaRef,"Vencida hace "&amp;(FechaRef-$AN284)&amp;IF(FechaRef-$AN284=1," día"," días"),IF($AN284=FechaRef,"Vence hoy",IF($AN284-FechaRef&lt;=DiasAlerta,"Vence en "&amp;($AN284-FechaRef)&amp;IF($AN284-FechaRef=1," día"," días"),"En plazo")))))))</f>
        <v/>
      </c>
      <c r="P284" s="62" t="n"/>
      <c r="Q284" s="58" t="n"/>
      <c r="R284" s="63">
        <f>IF(NOT((COUNTA($B284:$D284)+COUNTA($G284:$L284)+COUNTA($Q284))&gt;0),"",IF((IF($C284="","Falta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",""))="","✔ OK","⚠ "&amp;LEFT(IF($C284="","Falta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",""),LEN(IF($C284="","Falta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",""))-3)))</f>
        <v/>
      </c>
      <c r="S284" s="64">
        <f>IF(NOT((COUNTA($B284:$D284)+COUNTA($G284:$L284)+COUNTA($Q284))&gt;0),"",IF(AND($V284="Sub",N($U284)&gt;0),IF(ISNUMBER(INDEX($AM$5:$AM$1000,$U284-4)),DATE(YEAR(INDEX($AM$5:$AM$1000,$U284-4)),MONTH(INDEX($AM$5:$AM$1000,$U284-4)),1),IF(ISNUMBER(INDEX($AN$5:$AN$1000,$U284-4)),DATE(YEAR(INDEX($AN$5:$AN$1000,$U284-4)),MONTH(INDEX($AN$5:$AN$1000,$U284-4)),1),MesCiclo)),IF(ISNUMBER($AM284),DATE(YEAR($AM284),MONTH($AM284),1),IF(ISNUMBER($AN284),DATE(YEAR($AN284),MONTH($AN284),1),MesCiclo))))</f>
        <v/>
      </c>
      <c r="T284" s="62">
        <f>IF(OR($S284="",$S284&lt;&gt;MesCiclo),"",COUNTIF($S$5:$S284,MesCiclo))</f>
        <v/>
      </c>
      <c r="U284" s="62">
        <f>IF($V284="","",IF($V284="Macro",ROW(),IFERROR(LOOKUP(2,1/($V$5:$V284="Macro"),ROW($V$5:$V284)),0)))</f>
        <v/>
      </c>
      <c r="V284" s="62">
        <f>IF(NOT((COUNTA($B284:$D284)+COUNTA($G284:$L284)+COUNTA($Q284))&gt;0),"",IF($B284="Subactividad","Sub","Macro"))</f>
        <v/>
      </c>
      <c r="W284" s="62">
        <f>IF($V284="Macro",COUNTIFS($U$5:$U$1000,ROW(),$V$5:$V$1000,"Sub"),"")</f>
        <v/>
      </c>
      <c r="X284" s="62">
        <f>IF($V284="","",IF(ISNUMBER($G284),1,IFERROR(LOOKUP(2,1/($I284:$L284&lt;&gt;""),$I284:$L284),0)))</f>
        <v/>
      </c>
      <c r="Y284" s="62">
        <f>IF($V284="","",IF(AND(ISNUMBER($G284),$G284&lt;=IF($S284=MesCiclo,InicioCiclo,$S284+MOD(2-WEEKDAY($S284),7))+6),1,IF(ISNUMBER($I284),$I284,0)))</f>
        <v/>
      </c>
      <c r="Z284" s="62">
        <f>IF($V284="","",IF(AND(ISNUMBER($G284),$G284&lt;=IF($S284=MesCiclo,InicioCiclo,$S284+MOD(2-WEEKDAY($S284),7))+13),1,IF(ISNUMBER($J284),$J284,$Y284)))</f>
        <v/>
      </c>
      <c r="AA284" s="62">
        <f>IF($V284="","",IF(AND(ISNUMBER($G284),$G284&lt;=IF($S284=MesCiclo,InicioCiclo,$S284+MOD(2-WEEKDAY($S284),7))+20),1,IF(ISNUMBER($K284),$K284,$Z284)))</f>
        <v/>
      </c>
      <c r="AB284" s="62">
        <f>IF($V284="","",IF(AND(ISNUMBER($G284),$G284&lt;=IF($S284=MesCiclo,InicioCiclo,$S284+MOD(2-WEEKDAY($S284),7))+27),1,IF(ISNUMBER($L284),$L284,$AA284)))</f>
        <v/>
      </c>
      <c r="AC284" s="62">
        <f>IF($V284="","",IF(AND(ISNUMBER($G284),$G284&lt;=IF($S284=MesCiclo,InicioCiclo,$S284+MOD(2-WEEKDAY($S284),7))+6),1,IF(N($W284)&gt;0,AVERAGEIFS($Y$5:$Y$1000,$U$5:$U$1000,ROW(),$V$5:$V$1000,"Sub"),$Y284)))</f>
        <v/>
      </c>
      <c r="AD284" s="62">
        <f>IF($V284="","",IF(AND(ISNUMBER($G284),$G284&lt;=IF($S284=MesCiclo,InicioCiclo,$S284+MOD(2-WEEKDAY($S284),7))+13),1,IF(N($W284)&gt;0,AVERAGEIFS($Z$5:$Z$1000,$U$5:$U$1000,ROW(),$V$5:$V$1000,"Sub"),$Z284)))</f>
        <v/>
      </c>
      <c r="AE284" s="62">
        <f>IF($V284="","",IF(AND(ISNUMBER($G284),$G284&lt;=IF($S284=MesCiclo,InicioCiclo,$S284+MOD(2-WEEKDAY($S284),7))+20),1,IF(N($W284)&gt;0,AVERAGEIFS($AA$5:$AA$1000,$U$5:$U$1000,ROW(),$V$5:$V$1000,"Sub"),$AA284)))</f>
        <v/>
      </c>
      <c r="AF284" s="62">
        <f>IF($V284="","",IF(AND(ISNUMBER($G284),$G284&lt;=IF($S284=MesCiclo,InicioCiclo,$S284+MOD(2-WEEKDAY($S284),7))+27),1,IF(N($W284)&gt;0,AVERAGEIFS($AB$5:$AB$1000,$U$5:$U$1000,ROW(),$V$5:$V$1000,"Sub"),$AB284)))</f>
        <v/>
      </c>
      <c r="AG284" s="62">
        <f>IF($V284&lt;&gt;"Macro","",IF(COUNTIFS($S$5:$S$1000,$S284,$V$5:$V$1000,"Macro",$H$5:$H$1000,"&gt;0")=0,1/COUNTIFS($S$5:$S$1000,$S284,$V$5:$V$1000,"Macro"),IF(AND(ISNUMBER($H284),N($H284)&gt;0),$H284,SUMIFS($H$5:$H$1000,$S$5:$S$1000,$S284,$V$5:$V$1000,"Macro")/COUNTIFS($S$5:$S$1000,$S284,$V$5:$V$1000,"Macro",$H$5:$H$1000,"&gt;0"))/(COUNTIFS($S$5:$S$1000,$S284,$V$5:$V$1000,"Macro")*SUMIFS($H$5:$H$1000,$S$5:$S$1000,$S284,$V$5:$V$1000,"Macro")/COUNTIFS($S$5:$S$1000,$S284,$V$5:$V$1000,"Macro",$H$5:$H$1000,"&gt;0"))))</f>
        <v/>
      </c>
      <c r="AH284" s="62" t="n"/>
      <c r="AI284" s="62" t="n"/>
      <c r="AJ284" s="62" t="n"/>
      <c r="AK284" s="62" t="n"/>
      <c r="AL284" s="62">
        <f>IF(LEFT($C284,11)="[Jefatura] ",IFERROR(MATCH("Riesgo Financiero|"&amp;MID($C284,12,500),rDname_ADM,0),0),"")</f>
        <v/>
      </c>
      <c r="AM284" s="62">
        <f>IF(N($AL284)&gt;0,INDEX(rIni_ADM,$AL284),IF(ISNUMBER($E284),$E284,""))</f>
        <v/>
      </c>
      <c r="AN284" s="62">
        <f>IF(N($AL284)&gt;0,INDEX(rLim_ADM,$AL284),IF(ISNUMBER($F284),$F284,""))</f>
        <v/>
      </c>
    </row>
    <row r="285">
      <c r="A285" s="56">
        <f>IF(NOT((COUNTA($B285:$D285)+COUNTA($G285:$L285)+COUNTA($Q285))&gt;0),"",IF($V285="Macro",COUNTIFS($V$5:$V285,"Macro",$S$5:$S285,$S285),IF(N($U285)=0,"?",COUNTIFS(INDEX($V$5:$V$1000,1):INDEX($V$5:$V$1000,$U285-4),"Macro",INDEX($S$5:$S$1000,1):INDEX($S$5:$S$1000,$U285-4),INDEX($S$5:$S$1000,$U285-4))&amp;"."&amp;COUNTIFS($U$5:$U285,$U285,$V$5:$V285,"Sub"))))</f>
        <v/>
      </c>
      <c r="B285" s="57" t="n"/>
      <c r="C285" s="58" t="n"/>
      <c r="D285" s="58" t="n"/>
      <c r="E285" s="59">
        <f>IF(N($AL285)&gt;0,INDEX(rIni_ADM,$AL285),"")</f>
        <v/>
      </c>
      <c r="F285" s="59">
        <f>IF(N($AL285)&gt;0,INDEX(rLim_ADM,$AL285),"")</f>
        <v/>
      </c>
      <c r="G285" s="59" t="n"/>
      <c r="H285" s="60" t="n"/>
      <c r="I285" s="60" t="n"/>
      <c r="J285" s="60" t="n"/>
      <c r="K285" s="60" t="n"/>
      <c r="L285" s="60" t="n"/>
      <c r="M285" s="61">
        <f>IF(NOT((COUNTA($B285:$D285)+COUNTA($G285:$L285)+COUNTA($Q285))&gt;0),"",IF(ISNUMBER($G285),1,IF(N($W285)&gt;0,AVERAGEIFS($X$5:$X$1000,$U$5:$U$1000,ROW(),$V$5:$V$1000,"Sub"),$X285)))</f>
        <v/>
      </c>
      <c r="N285" s="56">
        <f>IF($M285="","",IF($M285&gt;=1,"Completado",IF($M285&gt;0,"En curso","Pendiente")))</f>
        <v/>
      </c>
      <c r="O285" s="56">
        <f>IF(NOT((COUNTA($B285:$D285)+COUNTA($G285:$L285)+COUNTA($Q285))&gt;0),"",IF(ISNUMBER($G285),IF(AND(ISNUMBER($AN285),$G285&gt;$AN285),"Cumplida con "&amp;($G285-$AN285)&amp;IF($G285-$AN285=1," día"," días")&amp;" de retraso","Cumplida"),IF(N($M285)&gt;=1,"Cumplida",IF(NOT(ISNUMBER($AN285)),"Sin fecha límite",IF($AN285&lt;FechaRef,"Vencida hace "&amp;(FechaRef-$AN285)&amp;IF(FechaRef-$AN285=1," día"," días"),IF($AN285=FechaRef,"Vence hoy",IF($AN285-FechaRef&lt;=DiasAlerta,"Vence en "&amp;($AN285-FechaRef)&amp;IF($AN285-FechaRef=1," día"," días"),"En plazo")))))))</f>
        <v/>
      </c>
      <c r="P285" s="62" t="n"/>
      <c r="Q285" s="58" t="n"/>
      <c r="R285" s="63">
        <f>IF(NOT((COUNTA($B285:$D285)+COUNTA($G285:$L285)+COUNTA($Q285))&gt;0),"",IF((IF($C285="","Falta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",""))="","✔ OK","⚠ "&amp;LEFT(IF($C285="","Falta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",""),LEN(IF($C285="","Falta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",""))-3)))</f>
        <v/>
      </c>
      <c r="S285" s="64">
        <f>IF(NOT((COUNTA($B285:$D285)+COUNTA($G285:$L285)+COUNTA($Q285))&gt;0),"",IF(AND($V285="Sub",N($U285)&gt;0),IF(ISNUMBER(INDEX($AM$5:$AM$1000,$U285-4)),DATE(YEAR(INDEX($AM$5:$AM$1000,$U285-4)),MONTH(INDEX($AM$5:$AM$1000,$U285-4)),1),IF(ISNUMBER(INDEX($AN$5:$AN$1000,$U285-4)),DATE(YEAR(INDEX($AN$5:$AN$1000,$U285-4)),MONTH(INDEX($AN$5:$AN$1000,$U285-4)),1),MesCiclo)),IF(ISNUMBER($AM285),DATE(YEAR($AM285),MONTH($AM285),1),IF(ISNUMBER($AN285),DATE(YEAR($AN285),MONTH($AN285),1),MesCiclo))))</f>
        <v/>
      </c>
      <c r="T285" s="62">
        <f>IF(OR($S285="",$S285&lt;&gt;MesCiclo),"",COUNTIF($S$5:$S285,MesCiclo))</f>
        <v/>
      </c>
      <c r="U285" s="62">
        <f>IF($V285="","",IF($V285="Macro",ROW(),IFERROR(LOOKUP(2,1/($V$5:$V285="Macro"),ROW($V$5:$V285)),0)))</f>
        <v/>
      </c>
      <c r="V285" s="62">
        <f>IF(NOT((COUNTA($B285:$D285)+COUNTA($G285:$L285)+COUNTA($Q285))&gt;0),"",IF($B285="Subactividad","Sub","Macro"))</f>
        <v/>
      </c>
      <c r="W285" s="62">
        <f>IF($V285="Macro",COUNTIFS($U$5:$U$1000,ROW(),$V$5:$V$1000,"Sub"),"")</f>
        <v/>
      </c>
      <c r="X285" s="62">
        <f>IF($V285="","",IF(ISNUMBER($G285),1,IFERROR(LOOKUP(2,1/($I285:$L285&lt;&gt;""),$I285:$L285),0)))</f>
        <v/>
      </c>
      <c r="Y285" s="62">
        <f>IF($V285="","",IF(AND(ISNUMBER($G285),$G285&lt;=IF($S285=MesCiclo,InicioCiclo,$S285+MOD(2-WEEKDAY($S285),7))+6),1,IF(ISNUMBER($I285),$I285,0)))</f>
        <v/>
      </c>
      <c r="Z285" s="62">
        <f>IF($V285="","",IF(AND(ISNUMBER($G285),$G285&lt;=IF($S285=MesCiclo,InicioCiclo,$S285+MOD(2-WEEKDAY($S285),7))+13),1,IF(ISNUMBER($J285),$J285,$Y285)))</f>
        <v/>
      </c>
      <c r="AA285" s="62">
        <f>IF($V285="","",IF(AND(ISNUMBER($G285),$G285&lt;=IF($S285=MesCiclo,InicioCiclo,$S285+MOD(2-WEEKDAY($S285),7))+20),1,IF(ISNUMBER($K285),$K285,$Z285)))</f>
        <v/>
      </c>
      <c r="AB285" s="62">
        <f>IF($V285="","",IF(AND(ISNUMBER($G285),$G285&lt;=IF($S285=MesCiclo,InicioCiclo,$S285+MOD(2-WEEKDAY($S285),7))+27),1,IF(ISNUMBER($L285),$L285,$AA285)))</f>
        <v/>
      </c>
      <c r="AC285" s="62">
        <f>IF($V285="","",IF(AND(ISNUMBER($G285),$G285&lt;=IF($S285=MesCiclo,InicioCiclo,$S285+MOD(2-WEEKDAY($S285),7))+6),1,IF(N($W285)&gt;0,AVERAGEIFS($Y$5:$Y$1000,$U$5:$U$1000,ROW(),$V$5:$V$1000,"Sub"),$Y285)))</f>
        <v/>
      </c>
      <c r="AD285" s="62">
        <f>IF($V285="","",IF(AND(ISNUMBER($G285),$G285&lt;=IF($S285=MesCiclo,InicioCiclo,$S285+MOD(2-WEEKDAY($S285),7))+13),1,IF(N($W285)&gt;0,AVERAGEIFS($Z$5:$Z$1000,$U$5:$U$1000,ROW(),$V$5:$V$1000,"Sub"),$Z285)))</f>
        <v/>
      </c>
      <c r="AE285" s="62">
        <f>IF($V285="","",IF(AND(ISNUMBER($G285),$G285&lt;=IF($S285=MesCiclo,InicioCiclo,$S285+MOD(2-WEEKDAY($S285),7))+20),1,IF(N($W285)&gt;0,AVERAGEIFS($AA$5:$AA$1000,$U$5:$U$1000,ROW(),$V$5:$V$1000,"Sub"),$AA285)))</f>
        <v/>
      </c>
      <c r="AF285" s="62">
        <f>IF($V285="","",IF(AND(ISNUMBER($G285),$G285&lt;=IF($S285=MesCiclo,InicioCiclo,$S285+MOD(2-WEEKDAY($S285),7))+27),1,IF(N($W285)&gt;0,AVERAGEIFS($AB$5:$AB$1000,$U$5:$U$1000,ROW(),$V$5:$V$1000,"Sub"),$AB285)))</f>
        <v/>
      </c>
      <c r="AG285" s="62">
        <f>IF($V285&lt;&gt;"Macro","",IF(COUNTIFS($S$5:$S$1000,$S285,$V$5:$V$1000,"Macro",$H$5:$H$1000,"&gt;0")=0,1/COUNTIFS($S$5:$S$1000,$S285,$V$5:$V$1000,"Macro"),IF(AND(ISNUMBER($H285),N($H285)&gt;0),$H285,SUMIFS($H$5:$H$1000,$S$5:$S$1000,$S285,$V$5:$V$1000,"Macro")/COUNTIFS($S$5:$S$1000,$S285,$V$5:$V$1000,"Macro",$H$5:$H$1000,"&gt;0"))/(COUNTIFS($S$5:$S$1000,$S285,$V$5:$V$1000,"Macro")*SUMIFS($H$5:$H$1000,$S$5:$S$1000,$S285,$V$5:$V$1000,"Macro")/COUNTIFS($S$5:$S$1000,$S285,$V$5:$V$1000,"Macro",$H$5:$H$1000,"&gt;0"))))</f>
        <v/>
      </c>
      <c r="AH285" s="62" t="n"/>
      <c r="AI285" s="62" t="n"/>
      <c r="AJ285" s="62" t="n"/>
      <c r="AK285" s="62" t="n"/>
      <c r="AL285" s="62">
        <f>IF(LEFT($C285,11)="[Jefatura] ",IFERROR(MATCH("Riesgo Financiero|"&amp;MID($C285,12,500),rDname_ADM,0),0),"")</f>
        <v/>
      </c>
      <c r="AM285" s="62">
        <f>IF(N($AL285)&gt;0,INDEX(rIni_ADM,$AL285),IF(ISNUMBER($E285),$E285,""))</f>
        <v/>
      </c>
      <c r="AN285" s="62">
        <f>IF(N($AL285)&gt;0,INDEX(rLim_ADM,$AL285),IF(ISNUMBER($F285),$F285,""))</f>
        <v/>
      </c>
    </row>
    <row r="286">
      <c r="A286" s="56">
        <f>IF(NOT((COUNTA($B286:$D286)+COUNTA($G286:$L286)+COUNTA($Q286))&gt;0),"",IF($V286="Macro",COUNTIFS($V$5:$V286,"Macro",$S$5:$S286,$S286),IF(N($U286)=0,"?",COUNTIFS(INDEX($V$5:$V$1000,1):INDEX($V$5:$V$1000,$U286-4),"Macro",INDEX($S$5:$S$1000,1):INDEX($S$5:$S$1000,$U286-4),INDEX($S$5:$S$1000,$U286-4))&amp;"."&amp;COUNTIFS($U$5:$U286,$U286,$V$5:$V286,"Sub"))))</f>
        <v/>
      </c>
      <c r="B286" s="57" t="n"/>
      <c r="C286" s="58" t="n"/>
      <c r="D286" s="58" t="n"/>
      <c r="E286" s="59">
        <f>IF(N($AL286)&gt;0,INDEX(rIni_ADM,$AL286),"")</f>
        <v/>
      </c>
      <c r="F286" s="59">
        <f>IF(N($AL286)&gt;0,INDEX(rLim_ADM,$AL286),"")</f>
        <v/>
      </c>
      <c r="G286" s="59" t="n"/>
      <c r="H286" s="60" t="n"/>
      <c r="I286" s="60" t="n"/>
      <c r="J286" s="60" t="n"/>
      <c r="K286" s="60" t="n"/>
      <c r="L286" s="60" t="n"/>
      <c r="M286" s="61">
        <f>IF(NOT((COUNTA($B286:$D286)+COUNTA($G286:$L286)+COUNTA($Q286))&gt;0),"",IF(ISNUMBER($G286),1,IF(N($W286)&gt;0,AVERAGEIFS($X$5:$X$1000,$U$5:$U$1000,ROW(),$V$5:$V$1000,"Sub"),$X286)))</f>
        <v/>
      </c>
      <c r="N286" s="56">
        <f>IF($M286="","",IF($M286&gt;=1,"Completado",IF($M286&gt;0,"En curso","Pendiente")))</f>
        <v/>
      </c>
      <c r="O286" s="56">
        <f>IF(NOT((COUNTA($B286:$D286)+COUNTA($G286:$L286)+COUNTA($Q286))&gt;0),"",IF(ISNUMBER($G286),IF(AND(ISNUMBER($AN286),$G286&gt;$AN286),"Cumplida con "&amp;($G286-$AN286)&amp;IF($G286-$AN286=1," día"," días")&amp;" de retraso","Cumplida"),IF(N($M286)&gt;=1,"Cumplida",IF(NOT(ISNUMBER($AN286)),"Sin fecha límite",IF($AN286&lt;FechaRef,"Vencida hace "&amp;(FechaRef-$AN286)&amp;IF(FechaRef-$AN286=1," día"," días"),IF($AN286=FechaRef,"Vence hoy",IF($AN286-FechaRef&lt;=DiasAlerta,"Vence en "&amp;($AN286-FechaRef)&amp;IF($AN286-FechaRef=1," día"," días"),"En plazo")))))))</f>
        <v/>
      </c>
      <c r="P286" s="62" t="n"/>
      <c r="Q286" s="58" t="n"/>
      <c r="R286" s="63">
        <f>IF(NOT((COUNTA($B286:$D286)+COUNTA($G286:$L286)+COUNTA($Q286))&gt;0),"",IF((IF($C286="","Falta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",""))="","✔ OK","⚠ "&amp;LEFT(IF($C286="","Falta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",""),LEN(IF($C286="","Falta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",""))-3)))</f>
        <v/>
      </c>
      <c r="S286" s="64">
        <f>IF(NOT((COUNTA($B286:$D286)+COUNTA($G286:$L286)+COUNTA($Q286))&gt;0),"",IF(AND($V286="Sub",N($U286)&gt;0),IF(ISNUMBER(INDEX($AM$5:$AM$1000,$U286-4)),DATE(YEAR(INDEX($AM$5:$AM$1000,$U286-4)),MONTH(INDEX($AM$5:$AM$1000,$U286-4)),1),IF(ISNUMBER(INDEX($AN$5:$AN$1000,$U286-4)),DATE(YEAR(INDEX($AN$5:$AN$1000,$U286-4)),MONTH(INDEX($AN$5:$AN$1000,$U286-4)),1),MesCiclo)),IF(ISNUMBER($AM286),DATE(YEAR($AM286),MONTH($AM286),1),IF(ISNUMBER($AN286),DATE(YEAR($AN286),MONTH($AN286),1),MesCiclo))))</f>
        <v/>
      </c>
      <c r="T286" s="62">
        <f>IF(OR($S286="",$S286&lt;&gt;MesCiclo),"",COUNTIF($S$5:$S286,MesCiclo))</f>
        <v/>
      </c>
      <c r="U286" s="62">
        <f>IF($V286="","",IF($V286="Macro",ROW(),IFERROR(LOOKUP(2,1/($V$5:$V286="Macro"),ROW($V$5:$V286)),0)))</f>
        <v/>
      </c>
      <c r="V286" s="62">
        <f>IF(NOT((COUNTA($B286:$D286)+COUNTA($G286:$L286)+COUNTA($Q286))&gt;0),"",IF($B286="Subactividad","Sub","Macro"))</f>
        <v/>
      </c>
      <c r="W286" s="62">
        <f>IF($V286="Macro",COUNTIFS($U$5:$U$1000,ROW(),$V$5:$V$1000,"Sub"),"")</f>
        <v/>
      </c>
      <c r="X286" s="62">
        <f>IF($V286="","",IF(ISNUMBER($G286),1,IFERROR(LOOKUP(2,1/($I286:$L286&lt;&gt;""),$I286:$L286),0)))</f>
        <v/>
      </c>
      <c r="Y286" s="62">
        <f>IF($V286="","",IF(AND(ISNUMBER($G286),$G286&lt;=IF($S286=MesCiclo,InicioCiclo,$S286+MOD(2-WEEKDAY($S286),7))+6),1,IF(ISNUMBER($I286),$I286,0)))</f>
        <v/>
      </c>
      <c r="Z286" s="62">
        <f>IF($V286="","",IF(AND(ISNUMBER($G286),$G286&lt;=IF($S286=MesCiclo,InicioCiclo,$S286+MOD(2-WEEKDAY($S286),7))+13),1,IF(ISNUMBER($J286),$J286,$Y286)))</f>
        <v/>
      </c>
      <c r="AA286" s="62">
        <f>IF($V286="","",IF(AND(ISNUMBER($G286),$G286&lt;=IF($S286=MesCiclo,InicioCiclo,$S286+MOD(2-WEEKDAY($S286),7))+20),1,IF(ISNUMBER($K286),$K286,$Z286)))</f>
        <v/>
      </c>
      <c r="AB286" s="62">
        <f>IF($V286="","",IF(AND(ISNUMBER($G286),$G286&lt;=IF($S286=MesCiclo,InicioCiclo,$S286+MOD(2-WEEKDAY($S286),7))+27),1,IF(ISNUMBER($L286),$L286,$AA286)))</f>
        <v/>
      </c>
      <c r="AC286" s="62">
        <f>IF($V286="","",IF(AND(ISNUMBER($G286),$G286&lt;=IF($S286=MesCiclo,InicioCiclo,$S286+MOD(2-WEEKDAY($S286),7))+6),1,IF(N($W286)&gt;0,AVERAGEIFS($Y$5:$Y$1000,$U$5:$U$1000,ROW(),$V$5:$V$1000,"Sub"),$Y286)))</f>
        <v/>
      </c>
      <c r="AD286" s="62">
        <f>IF($V286="","",IF(AND(ISNUMBER($G286),$G286&lt;=IF($S286=MesCiclo,InicioCiclo,$S286+MOD(2-WEEKDAY($S286),7))+13),1,IF(N($W286)&gt;0,AVERAGEIFS($Z$5:$Z$1000,$U$5:$U$1000,ROW(),$V$5:$V$1000,"Sub"),$Z286)))</f>
        <v/>
      </c>
      <c r="AE286" s="62">
        <f>IF($V286="","",IF(AND(ISNUMBER($G286),$G286&lt;=IF($S286=MesCiclo,InicioCiclo,$S286+MOD(2-WEEKDAY($S286),7))+20),1,IF(N($W286)&gt;0,AVERAGEIFS($AA$5:$AA$1000,$U$5:$U$1000,ROW(),$V$5:$V$1000,"Sub"),$AA286)))</f>
        <v/>
      </c>
      <c r="AF286" s="62">
        <f>IF($V286="","",IF(AND(ISNUMBER($G286),$G286&lt;=IF($S286=MesCiclo,InicioCiclo,$S286+MOD(2-WEEKDAY($S286),7))+27),1,IF(N($W286)&gt;0,AVERAGEIFS($AB$5:$AB$1000,$U$5:$U$1000,ROW(),$V$5:$V$1000,"Sub"),$AB286)))</f>
        <v/>
      </c>
      <c r="AG286" s="62">
        <f>IF($V286&lt;&gt;"Macro","",IF(COUNTIFS($S$5:$S$1000,$S286,$V$5:$V$1000,"Macro",$H$5:$H$1000,"&gt;0")=0,1/COUNTIFS($S$5:$S$1000,$S286,$V$5:$V$1000,"Macro"),IF(AND(ISNUMBER($H286),N($H286)&gt;0),$H286,SUMIFS($H$5:$H$1000,$S$5:$S$1000,$S286,$V$5:$V$1000,"Macro")/COUNTIFS($S$5:$S$1000,$S286,$V$5:$V$1000,"Macro",$H$5:$H$1000,"&gt;0"))/(COUNTIFS($S$5:$S$1000,$S286,$V$5:$V$1000,"Macro")*SUMIFS($H$5:$H$1000,$S$5:$S$1000,$S286,$V$5:$V$1000,"Macro")/COUNTIFS($S$5:$S$1000,$S286,$V$5:$V$1000,"Macro",$H$5:$H$1000,"&gt;0"))))</f>
        <v/>
      </c>
      <c r="AH286" s="62" t="n"/>
      <c r="AI286" s="62" t="n"/>
      <c r="AJ286" s="62" t="n"/>
      <c r="AK286" s="62" t="n"/>
      <c r="AL286" s="62">
        <f>IF(LEFT($C286,11)="[Jefatura] ",IFERROR(MATCH("Riesgo Financiero|"&amp;MID($C286,12,500),rDname_ADM,0),0),"")</f>
        <v/>
      </c>
      <c r="AM286" s="62">
        <f>IF(N($AL286)&gt;0,INDEX(rIni_ADM,$AL286),IF(ISNUMBER($E286),$E286,""))</f>
        <v/>
      </c>
      <c r="AN286" s="62">
        <f>IF(N($AL286)&gt;0,INDEX(rLim_ADM,$AL286),IF(ISNUMBER($F286),$F286,""))</f>
        <v/>
      </c>
    </row>
    <row r="287">
      <c r="A287" s="56">
        <f>IF(NOT((COUNTA($B287:$D287)+COUNTA($G287:$L287)+COUNTA($Q287))&gt;0),"",IF($V287="Macro",COUNTIFS($V$5:$V287,"Macro",$S$5:$S287,$S287),IF(N($U287)=0,"?",COUNTIFS(INDEX($V$5:$V$1000,1):INDEX($V$5:$V$1000,$U287-4),"Macro",INDEX($S$5:$S$1000,1):INDEX($S$5:$S$1000,$U287-4),INDEX($S$5:$S$1000,$U287-4))&amp;"."&amp;COUNTIFS($U$5:$U287,$U287,$V$5:$V287,"Sub"))))</f>
        <v/>
      </c>
      <c r="B287" s="57" t="n"/>
      <c r="C287" s="58" t="n"/>
      <c r="D287" s="58" t="n"/>
      <c r="E287" s="59">
        <f>IF(N($AL287)&gt;0,INDEX(rIni_ADM,$AL287),"")</f>
        <v/>
      </c>
      <c r="F287" s="59">
        <f>IF(N($AL287)&gt;0,INDEX(rLim_ADM,$AL287),"")</f>
        <v/>
      </c>
      <c r="G287" s="59" t="n"/>
      <c r="H287" s="60" t="n"/>
      <c r="I287" s="60" t="n"/>
      <c r="J287" s="60" t="n"/>
      <c r="K287" s="60" t="n"/>
      <c r="L287" s="60" t="n"/>
      <c r="M287" s="61">
        <f>IF(NOT((COUNTA($B287:$D287)+COUNTA($G287:$L287)+COUNTA($Q287))&gt;0),"",IF(ISNUMBER($G287),1,IF(N($W287)&gt;0,AVERAGEIFS($X$5:$X$1000,$U$5:$U$1000,ROW(),$V$5:$V$1000,"Sub"),$X287)))</f>
        <v/>
      </c>
      <c r="N287" s="56">
        <f>IF($M287="","",IF($M287&gt;=1,"Completado",IF($M287&gt;0,"En curso","Pendiente")))</f>
        <v/>
      </c>
      <c r="O287" s="56">
        <f>IF(NOT((COUNTA($B287:$D287)+COUNTA($G287:$L287)+COUNTA($Q287))&gt;0),"",IF(ISNUMBER($G287),IF(AND(ISNUMBER($AN287),$G287&gt;$AN287),"Cumplida con "&amp;($G287-$AN287)&amp;IF($G287-$AN287=1," día"," días")&amp;" de retraso","Cumplida"),IF(N($M287)&gt;=1,"Cumplida",IF(NOT(ISNUMBER($AN287)),"Sin fecha límite",IF($AN287&lt;FechaRef,"Vencida hace "&amp;(FechaRef-$AN287)&amp;IF(FechaRef-$AN287=1," día"," días"),IF($AN287=FechaRef,"Vence hoy",IF($AN287-FechaRef&lt;=DiasAlerta,"Vence en "&amp;($AN287-FechaRef)&amp;IF($AN287-FechaRef=1," día"," días"),"En plazo")))))))</f>
        <v/>
      </c>
      <c r="P287" s="62" t="n"/>
      <c r="Q287" s="58" t="n"/>
      <c r="R287" s="63">
        <f>IF(NOT((COUNTA($B287:$D287)+COUNTA($G287:$L287)+COUNTA($Q287))&gt;0),"",IF((IF($C287="","Falta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",""))="","✔ OK","⚠ "&amp;LEFT(IF($C287="","Falta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",""),LEN(IF($C287="","Falta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",""))-3)))</f>
        <v/>
      </c>
      <c r="S287" s="64">
        <f>IF(NOT((COUNTA($B287:$D287)+COUNTA($G287:$L287)+COUNTA($Q287))&gt;0),"",IF(AND($V287="Sub",N($U287)&gt;0),IF(ISNUMBER(INDEX($AM$5:$AM$1000,$U287-4)),DATE(YEAR(INDEX($AM$5:$AM$1000,$U287-4)),MONTH(INDEX($AM$5:$AM$1000,$U287-4)),1),IF(ISNUMBER(INDEX($AN$5:$AN$1000,$U287-4)),DATE(YEAR(INDEX($AN$5:$AN$1000,$U287-4)),MONTH(INDEX($AN$5:$AN$1000,$U287-4)),1),MesCiclo)),IF(ISNUMBER($AM287),DATE(YEAR($AM287),MONTH($AM287),1),IF(ISNUMBER($AN287),DATE(YEAR($AN287),MONTH($AN287),1),MesCiclo))))</f>
        <v/>
      </c>
      <c r="T287" s="62">
        <f>IF(OR($S287="",$S287&lt;&gt;MesCiclo),"",COUNTIF($S$5:$S287,MesCiclo))</f>
        <v/>
      </c>
      <c r="U287" s="62">
        <f>IF($V287="","",IF($V287="Macro",ROW(),IFERROR(LOOKUP(2,1/($V$5:$V287="Macro"),ROW($V$5:$V287)),0)))</f>
        <v/>
      </c>
      <c r="V287" s="62">
        <f>IF(NOT((COUNTA($B287:$D287)+COUNTA($G287:$L287)+COUNTA($Q287))&gt;0),"",IF($B287="Subactividad","Sub","Macro"))</f>
        <v/>
      </c>
      <c r="W287" s="62">
        <f>IF($V287="Macro",COUNTIFS($U$5:$U$1000,ROW(),$V$5:$V$1000,"Sub"),"")</f>
        <v/>
      </c>
      <c r="X287" s="62">
        <f>IF($V287="","",IF(ISNUMBER($G287),1,IFERROR(LOOKUP(2,1/($I287:$L287&lt;&gt;""),$I287:$L287),0)))</f>
        <v/>
      </c>
      <c r="Y287" s="62">
        <f>IF($V287="","",IF(AND(ISNUMBER($G287),$G287&lt;=IF($S287=MesCiclo,InicioCiclo,$S287+MOD(2-WEEKDAY($S287),7))+6),1,IF(ISNUMBER($I287),$I287,0)))</f>
        <v/>
      </c>
      <c r="Z287" s="62">
        <f>IF($V287="","",IF(AND(ISNUMBER($G287),$G287&lt;=IF($S287=MesCiclo,InicioCiclo,$S287+MOD(2-WEEKDAY($S287),7))+13),1,IF(ISNUMBER($J287),$J287,$Y287)))</f>
        <v/>
      </c>
      <c r="AA287" s="62">
        <f>IF($V287="","",IF(AND(ISNUMBER($G287),$G287&lt;=IF($S287=MesCiclo,InicioCiclo,$S287+MOD(2-WEEKDAY($S287),7))+20),1,IF(ISNUMBER($K287),$K287,$Z287)))</f>
        <v/>
      </c>
      <c r="AB287" s="62">
        <f>IF($V287="","",IF(AND(ISNUMBER($G287),$G287&lt;=IF($S287=MesCiclo,InicioCiclo,$S287+MOD(2-WEEKDAY($S287),7))+27),1,IF(ISNUMBER($L287),$L287,$AA287)))</f>
        <v/>
      </c>
      <c r="AC287" s="62">
        <f>IF($V287="","",IF(AND(ISNUMBER($G287),$G287&lt;=IF($S287=MesCiclo,InicioCiclo,$S287+MOD(2-WEEKDAY($S287),7))+6),1,IF(N($W287)&gt;0,AVERAGEIFS($Y$5:$Y$1000,$U$5:$U$1000,ROW(),$V$5:$V$1000,"Sub"),$Y287)))</f>
        <v/>
      </c>
      <c r="AD287" s="62">
        <f>IF($V287="","",IF(AND(ISNUMBER($G287),$G287&lt;=IF($S287=MesCiclo,InicioCiclo,$S287+MOD(2-WEEKDAY($S287),7))+13),1,IF(N($W287)&gt;0,AVERAGEIFS($Z$5:$Z$1000,$U$5:$U$1000,ROW(),$V$5:$V$1000,"Sub"),$Z287)))</f>
        <v/>
      </c>
      <c r="AE287" s="62">
        <f>IF($V287="","",IF(AND(ISNUMBER($G287),$G287&lt;=IF($S287=MesCiclo,InicioCiclo,$S287+MOD(2-WEEKDAY($S287),7))+20),1,IF(N($W287)&gt;0,AVERAGEIFS($AA$5:$AA$1000,$U$5:$U$1000,ROW(),$V$5:$V$1000,"Sub"),$AA287)))</f>
        <v/>
      </c>
      <c r="AF287" s="62">
        <f>IF($V287="","",IF(AND(ISNUMBER($G287),$G287&lt;=IF($S287=MesCiclo,InicioCiclo,$S287+MOD(2-WEEKDAY($S287),7))+27),1,IF(N($W287)&gt;0,AVERAGEIFS($AB$5:$AB$1000,$U$5:$U$1000,ROW(),$V$5:$V$1000,"Sub"),$AB287)))</f>
        <v/>
      </c>
      <c r="AG287" s="62">
        <f>IF($V287&lt;&gt;"Macro","",IF(COUNTIFS($S$5:$S$1000,$S287,$V$5:$V$1000,"Macro",$H$5:$H$1000,"&gt;0")=0,1/COUNTIFS($S$5:$S$1000,$S287,$V$5:$V$1000,"Macro"),IF(AND(ISNUMBER($H287),N($H287)&gt;0),$H287,SUMIFS($H$5:$H$1000,$S$5:$S$1000,$S287,$V$5:$V$1000,"Macro")/COUNTIFS($S$5:$S$1000,$S287,$V$5:$V$1000,"Macro",$H$5:$H$1000,"&gt;0"))/(COUNTIFS($S$5:$S$1000,$S287,$V$5:$V$1000,"Macro")*SUMIFS($H$5:$H$1000,$S$5:$S$1000,$S287,$V$5:$V$1000,"Macro")/COUNTIFS($S$5:$S$1000,$S287,$V$5:$V$1000,"Macro",$H$5:$H$1000,"&gt;0"))))</f>
        <v/>
      </c>
      <c r="AH287" s="62" t="n"/>
      <c r="AI287" s="62" t="n"/>
      <c r="AJ287" s="62" t="n"/>
      <c r="AK287" s="62" t="n"/>
      <c r="AL287" s="62">
        <f>IF(LEFT($C287,11)="[Jefatura] ",IFERROR(MATCH("Riesgo Financiero|"&amp;MID($C287,12,500),rDname_ADM,0),0),"")</f>
        <v/>
      </c>
      <c r="AM287" s="62">
        <f>IF(N($AL287)&gt;0,INDEX(rIni_ADM,$AL287),IF(ISNUMBER($E287),$E287,""))</f>
        <v/>
      </c>
      <c r="AN287" s="62">
        <f>IF(N($AL287)&gt;0,INDEX(rLim_ADM,$AL287),IF(ISNUMBER($F287),$F287,""))</f>
        <v/>
      </c>
    </row>
    <row r="288">
      <c r="A288" s="56">
        <f>IF(NOT((COUNTA($B288:$D288)+COUNTA($G288:$L288)+COUNTA($Q288))&gt;0),"",IF($V288="Macro",COUNTIFS($V$5:$V288,"Macro",$S$5:$S288,$S288),IF(N($U288)=0,"?",COUNTIFS(INDEX($V$5:$V$1000,1):INDEX($V$5:$V$1000,$U288-4),"Macro",INDEX($S$5:$S$1000,1):INDEX($S$5:$S$1000,$U288-4),INDEX($S$5:$S$1000,$U288-4))&amp;"."&amp;COUNTIFS($U$5:$U288,$U288,$V$5:$V288,"Sub"))))</f>
        <v/>
      </c>
      <c r="B288" s="57" t="n"/>
      <c r="C288" s="58" t="n"/>
      <c r="D288" s="58" t="n"/>
      <c r="E288" s="59">
        <f>IF(N($AL288)&gt;0,INDEX(rIni_ADM,$AL288),"")</f>
        <v/>
      </c>
      <c r="F288" s="59">
        <f>IF(N($AL288)&gt;0,INDEX(rLim_ADM,$AL288),"")</f>
        <v/>
      </c>
      <c r="G288" s="59" t="n"/>
      <c r="H288" s="60" t="n"/>
      <c r="I288" s="60" t="n"/>
      <c r="J288" s="60" t="n"/>
      <c r="K288" s="60" t="n"/>
      <c r="L288" s="60" t="n"/>
      <c r="M288" s="61">
        <f>IF(NOT((COUNTA($B288:$D288)+COUNTA($G288:$L288)+COUNTA($Q288))&gt;0),"",IF(ISNUMBER($G288),1,IF(N($W288)&gt;0,AVERAGEIFS($X$5:$X$1000,$U$5:$U$1000,ROW(),$V$5:$V$1000,"Sub"),$X288)))</f>
        <v/>
      </c>
      <c r="N288" s="56">
        <f>IF($M288="","",IF($M288&gt;=1,"Completado",IF($M288&gt;0,"En curso","Pendiente")))</f>
        <v/>
      </c>
      <c r="O288" s="56">
        <f>IF(NOT((COUNTA($B288:$D288)+COUNTA($G288:$L288)+COUNTA($Q288))&gt;0),"",IF(ISNUMBER($G288),IF(AND(ISNUMBER($AN288),$G288&gt;$AN288),"Cumplida con "&amp;($G288-$AN288)&amp;IF($G288-$AN288=1," día"," días")&amp;" de retraso","Cumplida"),IF(N($M288)&gt;=1,"Cumplida",IF(NOT(ISNUMBER($AN288)),"Sin fecha límite",IF($AN288&lt;FechaRef,"Vencida hace "&amp;(FechaRef-$AN288)&amp;IF(FechaRef-$AN288=1," día"," días"),IF($AN288=FechaRef,"Vence hoy",IF($AN288-FechaRef&lt;=DiasAlerta,"Vence en "&amp;($AN288-FechaRef)&amp;IF($AN288-FechaRef=1," día"," días"),"En plazo")))))))</f>
        <v/>
      </c>
      <c r="P288" s="62" t="n"/>
      <c r="Q288" s="58" t="n"/>
      <c r="R288" s="63">
        <f>IF(NOT((COUNTA($B288:$D288)+COUNTA($G288:$L288)+COUNTA($Q288))&gt;0),"",IF((IF($C288="","Falta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",""))="","✔ OK","⚠ "&amp;LEFT(IF($C288="","Falta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",""),LEN(IF($C288="","Falta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",""))-3)))</f>
        <v/>
      </c>
      <c r="S288" s="64">
        <f>IF(NOT((COUNTA($B288:$D288)+COUNTA($G288:$L288)+COUNTA($Q288))&gt;0),"",IF(AND($V288="Sub",N($U288)&gt;0),IF(ISNUMBER(INDEX($AM$5:$AM$1000,$U288-4)),DATE(YEAR(INDEX($AM$5:$AM$1000,$U288-4)),MONTH(INDEX($AM$5:$AM$1000,$U288-4)),1),IF(ISNUMBER(INDEX($AN$5:$AN$1000,$U288-4)),DATE(YEAR(INDEX($AN$5:$AN$1000,$U288-4)),MONTH(INDEX($AN$5:$AN$1000,$U288-4)),1),MesCiclo)),IF(ISNUMBER($AM288),DATE(YEAR($AM288),MONTH($AM288),1),IF(ISNUMBER($AN288),DATE(YEAR($AN288),MONTH($AN288),1),MesCiclo))))</f>
        <v/>
      </c>
      <c r="T288" s="62">
        <f>IF(OR($S288="",$S288&lt;&gt;MesCiclo),"",COUNTIF($S$5:$S288,MesCiclo))</f>
        <v/>
      </c>
      <c r="U288" s="62">
        <f>IF($V288="","",IF($V288="Macro",ROW(),IFERROR(LOOKUP(2,1/($V$5:$V288="Macro"),ROW($V$5:$V288)),0)))</f>
        <v/>
      </c>
      <c r="V288" s="62">
        <f>IF(NOT((COUNTA($B288:$D288)+COUNTA($G288:$L288)+COUNTA($Q288))&gt;0),"",IF($B288="Subactividad","Sub","Macro"))</f>
        <v/>
      </c>
      <c r="W288" s="62">
        <f>IF($V288="Macro",COUNTIFS($U$5:$U$1000,ROW(),$V$5:$V$1000,"Sub"),"")</f>
        <v/>
      </c>
      <c r="X288" s="62">
        <f>IF($V288="","",IF(ISNUMBER($G288),1,IFERROR(LOOKUP(2,1/($I288:$L288&lt;&gt;""),$I288:$L288),0)))</f>
        <v/>
      </c>
      <c r="Y288" s="62">
        <f>IF($V288="","",IF(AND(ISNUMBER($G288),$G288&lt;=IF($S288=MesCiclo,InicioCiclo,$S288+MOD(2-WEEKDAY($S288),7))+6),1,IF(ISNUMBER($I288),$I288,0)))</f>
        <v/>
      </c>
      <c r="Z288" s="62">
        <f>IF($V288="","",IF(AND(ISNUMBER($G288),$G288&lt;=IF($S288=MesCiclo,InicioCiclo,$S288+MOD(2-WEEKDAY($S288),7))+13),1,IF(ISNUMBER($J288),$J288,$Y288)))</f>
        <v/>
      </c>
      <c r="AA288" s="62">
        <f>IF($V288="","",IF(AND(ISNUMBER($G288),$G288&lt;=IF($S288=MesCiclo,InicioCiclo,$S288+MOD(2-WEEKDAY($S288),7))+20),1,IF(ISNUMBER($K288),$K288,$Z288)))</f>
        <v/>
      </c>
      <c r="AB288" s="62">
        <f>IF($V288="","",IF(AND(ISNUMBER($G288),$G288&lt;=IF($S288=MesCiclo,InicioCiclo,$S288+MOD(2-WEEKDAY($S288),7))+27),1,IF(ISNUMBER($L288),$L288,$AA288)))</f>
        <v/>
      </c>
      <c r="AC288" s="62">
        <f>IF($V288="","",IF(AND(ISNUMBER($G288),$G288&lt;=IF($S288=MesCiclo,InicioCiclo,$S288+MOD(2-WEEKDAY($S288),7))+6),1,IF(N($W288)&gt;0,AVERAGEIFS($Y$5:$Y$1000,$U$5:$U$1000,ROW(),$V$5:$V$1000,"Sub"),$Y288)))</f>
        <v/>
      </c>
      <c r="AD288" s="62">
        <f>IF($V288="","",IF(AND(ISNUMBER($G288),$G288&lt;=IF($S288=MesCiclo,InicioCiclo,$S288+MOD(2-WEEKDAY($S288),7))+13),1,IF(N($W288)&gt;0,AVERAGEIFS($Z$5:$Z$1000,$U$5:$U$1000,ROW(),$V$5:$V$1000,"Sub"),$Z288)))</f>
        <v/>
      </c>
      <c r="AE288" s="62">
        <f>IF($V288="","",IF(AND(ISNUMBER($G288),$G288&lt;=IF($S288=MesCiclo,InicioCiclo,$S288+MOD(2-WEEKDAY($S288),7))+20),1,IF(N($W288)&gt;0,AVERAGEIFS($AA$5:$AA$1000,$U$5:$U$1000,ROW(),$V$5:$V$1000,"Sub"),$AA288)))</f>
        <v/>
      </c>
      <c r="AF288" s="62">
        <f>IF($V288="","",IF(AND(ISNUMBER($G288),$G288&lt;=IF($S288=MesCiclo,InicioCiclo,$S288+MOD(2-WEEKDAY($S288),7))+27),1,IF(N($W288)&gt;0,AVERAGEIFS($AB$5:$AB$1000,$U$5:$U$1000,ROW(),$V$5:$V$1000,"Sub"),$AB288)))</f>
        <v/>
      </c>
      <c r="AG288" s="62">
        <f>IF($V288&lt;&gt;"Macro","",IF(COUNTIFS($S$5:$S$1000,$S288,$V$5:$V$1000,"Macro",$H$5:$H$1000,"&gt;0")=0,1/COUNTIFS($S$5:$S$1000,$S288,$V$5:$V$1000,"Macro"),IF(AND(ISNUMBER($H288),N($H288)&gt;0),$H288,SUMIFS($H$5:$H$1000,$S$5:$S$1000,$S288,$V$5:$V$1000,"Macro")/COUNTIFS($S$5:$S$1000,$S288,$V$5:$V$1000,"Macro",$H$5:$H$1000,"&gt;0"))/(COUNTIFS($S$5:$S$1000,$S288,$V$5:$V$1000,"Macro")*SUMIFS($H$5:$H$1000,$S$5:$S$1000,$S288,$V$5:$V$1000,"Macro")/COUNTIFS($S$5:$S$1000,$S288,$V$5:$V$1000,"Macro",$H$5:$H$1000,"&gt;0"))))</f>
        <v/>
      </c>
      <c r="AH288" s="62" t="n"/>
      <c r="AI288" s="62" t="n"/>
      <c r="AJ288" s="62" t="n"/>
      <c r="AK288" s="62" t="n"/>
      <c r="AL288" s="62">
        <f>IF(LEFT($C288,11)="[Jefatura] ",IFERROR(MATCH("Riesgo Financiero|"&amp;MID($C288,12,500),rDname_ADM,0),0),"")</f>
        <v/>
      </c>
      <c r="AM288" s="62">
        <f>IF(N($AL288)&gt;0,INDEX(rIni_ADM,$AL288),IF(ISNUMBER($E288),$E288,""))</f>
        <v/>
      </c>
      <c r="AN288" s="62">
        <f>IF(N($AL288)&gt;0,INDEX(rLim_ADM,$AL288),IF(ISNUMBER($F288),$F288,""))</f>
        <v/>
      </c>
    </row>
    <row r="289">
      <c r="A289" s="56">
        <f>IF(NOT((COUNTA($B289:$D289)+COUNTA($G289:$L289)+COUNTA($Q289))&gt;0),"",IF($V289="Macro",COUNTIFS($V$5:$V289,"Macro",$S$5:$S289,$S289),IF(N($U289)=0,"?",COUNTIFS(INDEX($V$5:$V$1000,1):INDEX($V$5:$V$1000,$U289-4),"Macro",INDEX($S$5:$S$1000,1):INDEX($S$5:$S$1000,$U289-4),INDEX($S$5:$S$1000,$U289-4))&amp;"."&amp;COUNTIFS($U$5:$U289,$U289,$V$5:$V289,"Sub"))))</f>
        <v/>
      </c>
      <c r="B289" s="57" t="n"/>
      <c r="C289" s="58" t="n"/>
      <c r="D289" s="58" t="n"/>
      <c r="E289" s="59">
        <f>IF(N($AL289)&gt;0,INDEX(rIni_ADM,$AL289),"")</f>
        <v/>
      </c>
      <c r="F289" s="59">
        <f>IF(N($AL289)&gt;0,INDEX(rLim_ADM,$AL289),"")</f>
        <v/>
      </c>
      <c r="G289" s="59" t="n"/>
      <c r="H289" s="60" t="n"/>
      <c r="I289" s="60" t="n"/>
      <c r="J289" s="60" t="n"/>
      <c r="K289" s="60" t="n"/>
      <c r="L289" s="60" t="n"/>
      <c r="M289" s="61">
        <f>IF(NOT((COUNTA($B289:$D289)+COUNTA($G289:$L289)+COUNTA($Q289))&gt;0),"",IF(ISNUMBER($G289),1,IF(N($W289)&gt;0,AVERAGEIFS($X$5:$X$1000,$U$5:$U$1000,ROW(),$V$5:$V$1000,"Sub"),$X289)))</f>
        <v/>
      </c>
      <c r="N289" s="56">
        <f>IF($M289="","",IF($M289&gt;=1,"Completado",IF($M289&gt;0,"En curso","Pendiente")))</f>
        <v/>
      </c>
      <c r="O289" s="56">
        <f>IF(NOT((COUNTA($B289:$D289)+COUNTA($G289:$L289)+COUNTA($Q289))&gt;0),"",IF(ISNUMBER($G289),IF(AND(ISNUMBER($AN289),$G289&gt;$AN289),"Cumplida con "&amp;($G289-$AN289)&amp;IF($G289-$AN289=1," día"," días")&amp;" de retraso","Cumplida"),IF(N($M289)&gt;=1,"Cumplida",IF(NOT(ISNUMBER($AN289)),"Sin fecha límite",IF($AN289&lt;FechaRef,"Vencida hace "&amp;(FechaRef-$AN289)&amp;IF(FechaRef-$AN289=1," día"," días"),IF($AN289=FechaRef,"Vence hoy",IF($AN289-FechaRef&lt;=DiasAlerta,"Vence en "&amp;($AN289-FechaRef)&amp;IF($AN289-FechaRef=1," día"," días"),"En plazo")))))))</f>
        <v/>
      </c>
      <c r="P289" s="62" t="n"/>
      <c r="Q289" s="58" t="n"/>
      <c r="R289" s="63">
        <f>IF(NOT((COUNTA($B289:$D289)+COUNTA($G289:$L289)+COUNTA($Q289))&gt;0),"",IF((IF($C289="","Falta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",""))="","✔ OK","⚠ "&amp;LEFT(IF($C289="","Falta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",""),LEN(IF($C289="","Falta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",""))-3)))</f>
        <v/>
      </c>
      <c r="S289" s="64">
        <f>IF(NOT((COUNTA($B289:$D289)+COUNTA($G289:$L289)+COUNTA($Q289))&gt;0),"",IF(AND($V289="Sub",N($U289)&gt;0),IF(ISNUMBER(INDEX($AM$5:$AM$1000,$U289-4)),DATE(YEAR(INDEX($AM$5:$AM$1000,$U289-4)),MONTH(INDEX($AM$5:$AM$1000,$U289-4)),1),IF(ISNUMBER(INDEX($AN$5:$AN$1000,$U289-4)),DATE(YEAR(INDEX($AN$5:$AN$1000,$U289-4)),MONTH(INDEX($AN$5:$AN$1000,$U289-4)),1),MesCiclo)),IF(ISNUMBER($AM289),DATE(YEAR($AM289),MONTH($AM289),1),IF(ISNUMBER($AN289),DATE(YEAR($AN289),MONTH($AN289),1),MesCiclo))))</f>
        <v/>
      </c>
      <c r="T289" s="62">
        <f>IF(OR($S289="",$S289&lt;&gt;MesCiclo),"",COUNTIF($S$5:$S289,MesCiclo))</f>
        <v/>
      </c>
      <c r="U289" s="62">
        <f>IF($V289="","",IF($V289="Macro",ROW(),IFERROR(LOOKUP(2,1/($V$5:$V289="Macro"),ROW($V$5:$V289)),0)))</f>
        <v/>
      </c>
      <c r="V289" s="62">
        <f>IF(NOT((COUNTA($B289:$D289)+COUNTA($G289:$L289)+COUNTA($Q289))&gt;0),"",IF($B289="Subactividad","Sub","Macro"))</f>
        <v/>
      </c>
      <c r="W289" s="62">
        <f>IF($V289="Macro",COUNTIFS($U$5:$U$1000,ROW(),$V$5:$V$1000,"Sub"),"")</f>
        <v/>
      </c>
      <c r="X289" s="62">
        <f>IF($V289="","",IF(ISNUMBER($G289),1,IFERROR(LOOKUP(2,1/($I289:$L289&lt;&gt;""),$I289:$L289),0)))</f>
        <v/>
      </c>
      <c r="Y289" s="62">
        <f>IF($V289="","",IF(AND(ISNUMBER($G289),$G289&lt;=IF($S289=MesCiclo,InicioCiclo,$S289+MOD(2-WEEKDAY($S289),7))+6),1,IF(ISNUMBER($I289),$I289,0)))</f>
        <v/>
      </c>
      <c r="Z289" s="62">
        <f>IF($V289="","",IF(AND(ISNUMBER($G289),$G289&lt;=IF($S289=MesCiclo,InicioCiclo,$S289+MOD(2-WEEKDAY($S289),7))+13),1,IF(ISNUMBER($J289),$J289,$Y289)))</f>
        <v/>
      </c>
      <c r="AA289" s="62">
        <f>IF($V289="","",IF(AND(ISNUMBER($G289),$G289&lt;=IF($S289=MesCiclo,InicioCiclo,$S289+MOD(2-WEEKDAY($S289),7))+20),1,IF(ISNUMBER($K289),$K289,$Z289)))</f>
        <v/>
      </c>
      <c r="AB289" s="62">
        <f>IF($V289="","",IF(AND(ISNUMBER($G289),$G289&lt;=IF($S289=MesCiclo,InicioCiclo,$S289+MOD(2-WEEKDAY($S289),7))+27),1,IF(ISNUMBER($L289),$L289,$AA289)))</f>
        <v/>
      </c>
      <c r="AC289" s="62">
        <f>IF($V289="","",IF(AND(ISNUMBER($G289),$G289&lt;=IF($S289=MesCiclo,InicioCiclo,$S289+MOD(2-WEEKDAY($S289),7))+6),1,IF(N($W289)&gt;0,AVERAGEIFS($Y$5:$Y$1000,$U$5:$U$1000,ROW(),$V$5:$V$1000,"Sub"),$Y289)))</f>
        <v/>
      </c>
      <c r="AD289" s="62">
        <f>IF($V289="","",IF(AND(ISNUMBER($G289),$G289&lt;=IF($S289=MesCiclo,InicioCiclo,$S289+MOD(2-WEEKDAY($S289),7))+13),1,IF(N($W289)&gt;0,AVERAGEIFS($Z$5:$Z$1000,$U$5:$U$1000,ROW(),$V$5:$V$1000,"Sub"),$Z289)))</f>
        <v/>
      </c>
      <c r="AE289" s="62">
        <f>IF($V289="","",IF(AND(ISNUMBER($G289),$G289&lt;=IF($S289=MesCiclo,InicioCiclo,$S289+MOD(2-WEEKDAY($S289),7))+20),1,IF(N($W289)&gt;0,AVERAGEIFS($AA$5:$AA$1000,$U$5:$U$1000,ROW(),$V$5:$V$1000,"Sub"),$AA289)))</f>
        <v/>
      </c>
      <c r="AF289" s="62">
        <f>IF($V289="","",IF(AND(ISNUMBER($G289),$G289&lt;=IF($S289=MesCiclo,InicioCiclo,$S289+MOD(2-WEEKDAY($S289),7))+27),1,IF(N($W289)&gt;0,AVERAGEIFS($AB$5:$AB$1000,$U$5:$U$1000,ROW(),$V$5:$V$1000,"Sub"),$AB289)))</f>
        <v/>
      </c>
      <c r="AG289" s="62">
        <f>IF($V289&lt;&gt;"Macro","",IF(COUNTIFS($S$5:$S$1000,$S289,$V$5:$V$1000,"Macro",$H$5:$H$1000,"&gt;0")=0,1/COUNTIFS($S$5:$S$1000,$S289,$V$5:$V$1000,"Macro"),IF(AND(ISNUMBER($H289),N($H289)&gt;0),$H289,SUMIFS($H$5:$H$1000,$S$5:$S$1000,$S289,$V$5:$V$1000,"Macro")/COUNTIFS($S$5:$S$1000,$S289,$V$5:$V$1000,"Macro",$H$5:$H$1000,"&gt;0"))/(COUNTIFS($S$5:$S$1000,$S289,$V$5:$V$1000,"Macro")*SUMIFS($H$5:$H$1000,$S$5:$S$1000,$S289,$V$5:$V$1000,"Macro")/COUNTIFS($S$5:$S$1000,$S289,$V$5:$V$1000,"Macro",$H$5:$H$1000,"&gt;0"))))</f>
        <v/>
      </c>
      <c r="AH289" s="62" t="n"/>
      <c r="AI289" s="62" t="n"/>
      <c r="AJ289" s="62" t="n"/>
      <c r="AK289" s="62" t="n"/>
      <c r="AL289" s="62">
        <f>IF(LEFT($C289,11)="[Jefatura] ",IFERROR(MATCH("Riesgo Financiero|"&amp;MID($C289,12,500),rDname_ADM,0),0),"")</f>
        <v/>
      </c>
      <c r="AM289" s="62">
        <f>IF(N($AL289)&gt;0,INDEX(rIni_ADM,$AL289),IF(ISNUMBER($E289),$E289,""))</f>
        <v/>
      </c>
      <c r="AN289" s="62">
        <f>IF(N($AL289)&gt;0,INDEX(rLim_ADM,$AL289),IF(ISNUMBER($F289),$F289,""))</f>
        <v/>
      </c>
    </row>
    <row r="290">
      <c r="A290" s="56">
        <f>IF(NOT((COUNTA($B290:$D290)+COUNTA($G290:$L290)+COUNTA($Q290))&gt;0),"",IF($V290="Macro",COUNTIFS($V$5:$V290,"Macro",$S$5:$S290,$S290),IF(N($U290)=0,"?",COUNTIFS(INDEX($V$5:$V$1000,1):INDEX($V$5:$V$1000,$U290-4),"Macro",INDEX($S$5:$S$1000,1):INDEX($S$5:$S$1000,$U290-4),INDEX($S$5:$S$1000,$U290-4))&amp;"."&amp;COUNTIFS($U$5:$U290,$U290,$V$5:$V290,"Sub"))))</f>
        <v/>
      </c>
      <c r="B290" s="57" t="n"/>
      <c r="C290" s="58" t="n"/>
      <c r="D290" s="58" t="n"/>
      <c r="E290" s="59">
        <f>IF(N($AL290)&gt;0,INDEX(rIni_ADM,$AL290),"")</f>
        <v/>
      </c>
      <c r="F290" s="59">
        <f>IF(N($AL290)&gt;0,INDEX(rLim_ADM,$AL290),"")</f>
        <v/>
      </c>
      <c r="G290" s="59" t="n"/>
      <c r="H290" s="60" t="n"/>
      <c r="I290" s="60" t="n"/>
      <c r="J290" s="60" t="n"/>
      <c r="K290" s="60" t="n"/>
      <c r="L290" s="60" t="n"/>
      <c r="M290" s="61">
        <f>IF(NOT((COUNTA($B290:$D290)+COUNTA($G290:$L290)+COUNTA($Q290))&gt;0),"",IF(ISNUMBER($G290),1,IF(N($W290)&gt;0,AVERAGEIFS($X$5:$X$1000,$U$5:$U$1000,ROW(),$V$5:$V$1000,"Sub"),$X290)))</f>
        <v/>
      </c>
      <c r="N290" s="56">
        <f>IF($M290="","",IF($M290&gt;=1,"Completado",IF($M290&gt;0,"En curso","Pendiente")))</f>
        <v/>
      </c>
      <c r="O290" s="56">
        <f>IF(NOT((COUNTA($B290:$D290)+COUNTA($G290:$L290)+COUNTA($Q290))&gt;0),"",IF(ISNUMBER($G290),IF(AND(ISNUMBER($AN290),$G290&gt;$AN290),"Cumplida con "&amp;($G290-$AN290)&amp;IF($G290-$AN290=1," día"," días")&amp;" de retraso","Cumplida"),IF(N($M290)&gt;=1,"Cumplida",IF(NOT(ISNUMBER($AN290)),"Sin fecha límite",IF($AN290&lt;FechaRef,"Vencida hace "&amp;(FechaRef-$AN290)&amp;IF(FechaRef-$AN290=1," día"," días"),IF($AN290=FechaRef,"Vence hoy",IF($AN290-FechaRef&lt;=DiasAlerta,"Vence en "&amp;($AN290-FechaRef)&amp;IF($AN290-FechaRef=1," día"," días"),"En plazo")))))))</f>
        <v/>
      </c>
      <c r="P290" s="62" t="n"/>
      <c r="Q290" s="58" t="n"/>
      <c r="R290" s="63">
        <f>IF(NOT((COUNTA($B290:$D290)+COUNTA($G290:$L290)+COUNTA($Q290))&gt;0),"",IF((IF($C290="","Falta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",""))="","✔ OK","⚠ "&amp;LEFT(IF($C290="","Falta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",""),LEN(IF($C290="","Falta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",""))-3)))</f>
        <v/>
      </c>
      <c r="S290" s="64">
        <f>IF(NOT((COUNTA($B290:$D290)+COUNTA($G290:$L290)+COUNTA($Q290))&gt;0),"",IF(AND($V290="Sub",N($U290)&gt;0),IF(ISNUMBER(INDEX($AM$5:$AM$1000,$U290-4)),DATE(YEAR(INDEX($AM$5:$AM$1000,$U290-4)),MONTH(INDEX($AM$5:$AM$1000,$U290-4)),1),IF(ISNUMBER(INDEX($AN$5:$AN$1000,$U290-4)),DATE(YEAR(INDEX($AN$5:$AN$1000,$U290-4)),MONTH(INDEX($AN$5:$AN$1000,$U290-4)),1),MesCiclo)),IF(ISNUMBER($AM290),DATE(YEAR($AM290),MONTH($AM290),1),IF(ISNUMBER($AN290),DATE(YEAR($AN290),MONTH($AN290),1),MesCiclo))))</f>
        <v/>
      </c>
      <c r="T290" s="62">
        <f>IF(OR($S290="",$S290&lt;&gt;MesCiclo),"",COUNTIF($S$5:$S290,MesCiclo))</f>
        <v/>
      </c>
      <c r="U290" s="62">
        <f>IF($V290="","",IF($V290="Macro",ROW(),IFERROR(LOOKUP(2,1/($V$5:$V290="Macro"),ROW($V$5:$V290)),0)))</f>
        <v/>
      </c>
      <c r="V290" s="62">
        <f>IF(NOT((COUNTA($B290:$D290)+COUNTA($G290:$L290)+COUNTA($Q290))&gt;0),"",IF($B290="Subactividad","Sub","Macro"))</f>
        <v/>
      </c>
      <c r="W290" s="62">
        <f>IF($V290="Macro",COUNTIFS($U$5:$U$1000,ROW(),$V$5:$V$1000,"Sub"),"")</f>
        <v/>
      </c>
      <c r="X290" s="62">
        <f>IF($V290="","",IF(ISNUMBER($G290),1,IFERROR(LOOKUP(2,1/($I290:$L290&lt;&gt;""),$I290:$L290),0)))</f>
        <v/>
      </c>
      <c r="Y290" s="62">
        <f>IF($V290="","",IF(AND(ISNUMBER($G290),$G290&lt;=IF($S290=MesCiclo,InicioCiclo,$S290+MOD(2-WEEKDAY($S290),7))+6),1,IF(ISNUMBER($I290),$I290,0)))</f>
        <v/>
      </c>
      <c r="Z290" s="62">
        <f>IF($V290="","",IF(AND(ISNUMBER($G290),$G290&lt;=IF($S290=MesCiclo,InicioCiclo,$S290+MOD(2-WEEKDAY($S290),7))+13),1,IF(ISNUMBER($J290),$J290,$Y290)))</f>
        <v/>
      </c>
      <c r="AA290" s="62">
        <f>IF($V290="","",IF(AND(ISNUMBER($G290),$G290&lt;=IF($S290=MesCiclo,InicioCiclo,$S290+MOD(2-WEEKDAY($S290),7))+20),1,IF(ISNUMBER($K290),$K290,$Z290)))</f>
        <v/>
      </c>
      <c r="AB290" s="62">
        <f>IF($V290="","",IF(AND(ISNUMBER($G290),$G290&lt;=IF($S290=MesCiclo,InicioCiclo,$S290+MOD(2-WEEKDAY($S290),7))+27),1,IF(ISNUMBER($L290),$L290,$AA290)))</f>
        <v/>
      </c>
      <c r="AC290" s="62">
        <f>IF($V290="","",IF(AND(ISNUMBER($G290),$G290&lt;=IF($S290=MesCiclo,InicioCiclo,$S290+MOD(2-WEEKDAY($S290),7))+6),1,IF(N($W290)&gt;0,AVERAGEIFS($Y$5:$Y$1000,$U$5:$U$1000,ROW(),$V$5:$V$1000,"Sub"),$Y290)))</f>
        <v/>
      </c>
      <c r="AD290" s="62">
        <f>IF($V290="","",IF(AND(ISNUMBER($G290),$G290&lt;=IF($S290=MesCiclo,InicioCiclo,$S290+MOD(2-WEEKDAY($S290),7))+13),1,IF(N($W290)&gt;0,AVERAGEIFS($Z$5:$Z$1000,$U$5:$U$1000,ROW(),$V$5:$V$1000,"Sub"),$Z290)))</f>
        <v/>
      </c>
      <c r="AE290" s="62">
        <f>IF($V290="","",IF(AND(ISNUMBER($G290),$G290&lt;=IF($S290=MesCiclo,InicioCiclo,$S290+MOD(2-WEEKDAY($S290),7))+20),1,IF(N($W290)&gt;0,AVERAGEIFS($AA$5:$AA$1000,$U$5:$U$1000,ROW(),$V$5:$V$1000,"Sub"),$AA290)))</f>
        <v/>
      </c>
      <c r="AF290" s="62">
        <f>IF($V290="","",IF(AND(ISNUMBER($G290),$G290&lt;=IF($S290=MesCiclo,InicioCiclo,$S290+MOD(2-WEEKDAY($S290),7))+27),1,IF(N($W290)&gt;0,AVERAGEIFS($AB$5:$AB$1000,$U$5:$U$1000,ROW(),$V$5:$V$1000,"Sub"),$AB290)))</f>
        <v/>
      </c>
      <c r="AG290" s="62">
        <f>IF($V290&lt;&gt;"Macro","",IF(COUNTIFS($S$5:$S$1000,$S290,$V$5:$V$1000,"Macro",$H$5:$H$1000,"&gt;0")=0,1/COUNTIFS($S$5:$S$1000,$S290,$V$5:$V$1000,"Macro"),IF(AND(ISNUMBER($H290),N($H290)&gt;0),$H290,SUMIFS($H$5:$H$1000,$S$5:$S$1000,$S290,$V$5:$V$1000,"Macro")/COUNTIFS($S$5:$S$1000,$S290,$V$5:$V$1000,"Macro",$H$5:$H$1000,"&gt;0"))/(COUNTIFS($S$5:$S$1000,$S290,$V$5:$V$1000,"Macro")*SUMIFS($H$5:$H$1000,$S$5:$S$1000,$S290,$V$5:$V$1000,"Macro")/COUNTIFS($S$5:$S$1000,$S290,$V$5:$V$1000,"Macro",$H$5:$H$1000,"&gt;0"))))</f>
        <v/>
      </c>
      <c r="AH290" s="62" t="n"/>
      <c r="AI290" s="62" t="n"/>
      <c r="AJ290" s="62" t="n"/>
      <c r="AK290" s="62" t="n"/>
      <c r="AL290" s="62">
        <f>IF(LEFT($C290,11)="[Jefatura] ",IFERROR(MATCH("Riesgo Financiero|"&amp;MID($C290,12,500),rDname_ADM,0),0),"")</f>
        <v/>
      </c>
      <c r="AM290" s="62">
        <f>IF(N($AL290)&gt;0,INDEX(rIni_ADM,$AL290),IF(ISNUMBER($E290),$E290,""))</f>
        <v/>
      </c>
      <c r="AN290" s="62">
        <f>IF(N($AL290)&gt;0,INDEX(rLim_ADM,$AL290),IF(ISNUMBER($F290),$F290,""))</f>
        <v/>
      </c>
    </row>
    <row r="291">
      <c r="A291" s="56">
        <f>IF(NOT((COUNTA($B291:$D291)+COUNTA($G291:$L291)+COUNTA($Q291))&gt;0),"",IF($V291="Macro",COUNTIFS($V$5:$V291,"Macro",$S$5:$S291,$S291),IF(N($U291)=0,"?",COUNTIFS(INDEX($V$5:$V$1000,1):INDEX($V$5:$V$1000,$U291-4),"Macro",INDEX($S$5:$S$1000,1):INDEX($S$5:$S$1000,$U291-4),INDEX($S$5:$S$1000,$U291-4))&amp;"."&amp;COUNTIFS($U$5:$U291,$U291,$V$5:$V291,"Sub"))))</f>
        <v/>
      </c>
      <c r="B291" s="57" t="n"/>
      <c r="C291" s="58" t="n"/>
      <c r="D291" s="58" t="n"/>
      <c r="E291" s="59">
        <f>IF(N($AL291)&gt;0,INDEX(rIni_ADM,$AL291),"")</f>
        <v/>
      </c>
      <c r="F291" s="59">
        <f>IF(N($AL291)&gt;0,INDEX(rLim_ADM,$AL291),"")</f>
        <v/>
      </c>
      <c r="G291" s="59" t="n"/>
      <c r="H291" s="60" t="n"/>
      <c r="I291" s="60" t="n"/>
      <c r="J291" s="60" t="n"/>
      <c r="K291" s="60" t="n"/>
      <c r="L291" s="60" t="n"/>
      <c r="M291" s="61">
        <f>IF(NOT((COUNTA($B291:$D291)+COUNTA($G291:$L291)+COUNTA($Q291))&gt;0),"",IF(ISNUMBER($G291),1,IF(N($W291)&gt;0,AVERAGEIFS($X$5:$X$1000,$U$5:$U$1000,ROW(),$V$5:$V$1000,"Sub"),$X291)))</f>
        <v/>
      </c>
      <c r="N291" s="56">
        <f>IF($M291="","",IF($M291&gt;=1,"Completado",IF($M291&gt;0,"En curso","Pendiente")))</f>
        <v/>
      </c>
      <c r="O291" s="56">
        <f>IF(NOT((COUNTA($B291:$D291)+COUNTA($G291:$L291)+COUNTA($Q291))&gt;0),"",IF(ISNUMBER($G291),IF(AND(ISNUMBER($AN291),$G291&gt;$AN291),"Cumplida con "&amp;($G291-$AN291)&amp;IF($G291-$AN291=1," día"," días")&amp;" de retraso","Cumplida"),IF(N($M291)&gt;=1,"Cumplida",IF(NOT(ISNUMBER($AN291)),"Sin fecha límite",IF($AN291&lt;FechaRef,"Vencida hace "&amp;(FechaRef-$AN291)&amp;IF(FechaRef-$AN291=1," día"," días"),IF($AN291=FechaRef,"Vence hoy",IF($AN291-FechaRef&lt;=DiasAlerta,"Vence en "&amp;($AN291-FechaRef)&amp;IF($AN291-FechaRef=1," día"," días"),"En plazo")))))))</f>
        <v/>
      </c>
      <c r="P291" s="62" t="n"/>
      <c r="Q291" s="58" t="n"/>
      <c r="R291" s="63">
        <f>IF(NOT((COUNTA($B291:$D291)+COUNTA($G291:$L291)+COUNTA($Q291))&gt;0),"",IF((IF($C291="","Falta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",""))="","✔ OK","⚠ "&amp;LEFT(IF($C291="","Falta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",""),LEN(IF($C291="","Falta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",""))-3)))</f>
        <v/>
      </c>
      <c r="S291" s="64">
        <f>IF(NOT((COUNTA($B291:$D291)+COUNTA($G291:$L291)+COUNTA($Q291))&gt;0),"",IF(AND($V291="Sub",N($U291)&gt;0),IF(ISNUMBER(INDEX($AM$5:$AM$1000,$U291-4)),DATE(YEAR(INDEX($AM$5:$AM$1000,$U291-4)),MONTH(INDEX($AM$5:$AM$1000,$U291-4)),1),IF(ISNUMBER(INDEX($AN$5:$AN$1000,$U291-4)),DATE(YEAR(INDEX($AN$5:$AN$1000,$U291-4)),MONTH(INDEX($AN$5:$AN$1000,$U291-4)),1),MesCiclo)),IF(ISNUMBER($AM291),DATE(YEAR($AM291),MONTH($AM291),1),IF(ISNUMBER($AN291),DATE(YEAR($AN291),MONTH($AN291),1),MesCiclo))))</f>
        <v/>
      </c>
      <c r="T291" s="62">
        <f>IF(OR($S291="",$S291&lt;&gt;MesCiclo),"",COUNTIF($S$5:$S291,MesCiclo))</f>
        <v/>
      </c>
      <c r="U291" s="62">
        <f>IF($V291="","",IF($V291="Macro",ROW(),IFERROR(LOOKUP(2,1/($V$5:$V291="Macro"),ROW($V$5:$V291)),0)))</f>
        <v/>
      </c>
      <c r="V291" s="62">
        <f>IF(NOT((COUNTA($B291:$D291)+COUNTA($G291:$L291)+COUNTA($Q291))&gt;0),"",IF($B291="Subactividad","Sub","Macro"))</f>
        <v/>
      </c>
      <c r="W291" s="62">
        <f>IF($V291="Macro",COUNTIFS($U$5:$U$1000,ROW(),$V$5:$V$1000,"Sub"),"")</f>
        <v/>
      </c>
      <c r="X291" s="62">
        <f>IF($V291="","",IF(ISNUMBER($G291),1,IFERROR(LOOKUP(2,1/($I291:$L291&lt;&gt;""),$I291:$L291),0)))</f>
        <v/>
      </c>
      <c r="Y291" s="62">
        <f>IF($V291="","",IF(AND(ISNUMBER($G291),$G291&lt;=IF($S291=MesCiclo,InicioCiclo,$S291+MOD(2-WEEKDAY($S291),7))+6),1,IF(ISNUMBER($I291),$I291,0)))</f>
        <v/>
      </c>
      <c r="Z291" s="62">
        <f>IF($V291="","",IF(AND(ISNUMBER($G291),$G291&lt;=IF($S291=MesCiclo,InicioCiclo,$S291+MOD(2-WEEKDAY($S291),7))+13),1,IF(ISNUMBER($J291),$J291,$Y291)))</f>
        <v/>
      </c>
      <c r="AA291" s="62">
        <f>IF($V291="","",IF(AND(ISNUMBER($G291),$G291&lt;=IF($S291=MesCiclo,InicioCiclo,$S291+MOD(2-WEEKDAY($S291),7))+20),1,IF(ISNUMBER($K291),$K291,$Z291)))</f>
        <v/>
      </c>
      <c r="AB291" s="62">
        <f>IF($V291="","",IF(AND(ISNUMBER($G291),$G291&lt;=IF($S291=MesCiclo,InicioCiclo,$S291+MOD(2-WEEKDAY($S291),7))+27),1,IF(ISNUMBER($L291),$L291,$AA291)))</f>
        <v/>
      </c>
      <c r="AC291" s="62">
        <f>IF($V291="","",IF(AND(ISNUMBER($G291),$G291&lt;=IF($S291=MesCiclo,InicioCiclo,$S291+MOD(2-WEEKDAY($S291),7))+6),1,IF(N($W291)&gt;0,AVERAGEIFS($Y$5:$Y$1000,$U$5:$U$1000,ROW(),$V$5:$V$1000,"Sub"),$Y291)))</f>
        <v/>
      </c>
      <c r="AD291" s="62">
        <f>IF($V291="","",IF(AND(ISNUMBER($G291),$G291&lt;=IF($S291=MesCiclo,InicioCiclo,$S291+MOD(2-WEEKDAY($S291),7))+13),1,IF(N($W291)&gt;0,AVERAGEIFS($Z$5:$Z$1000,$U$5:$U$1000,ROW(),$V$5:$V$1000,"Sub"),$Z291)))</f>
        <v/>
      </c>
      <c r="AE291" s="62">
        <f>IF($V291="","",IF(AND(ISNUMBER($G291),$G291&lt;=IF($S291=MesCiclo,InicioCiclo,$S291+MOD(2-WEEKDAY($S291),7))+20),1,IF(N($W291)&gt;0,AVERAGEIFS($AA$5:$AA$1000,$U$5:$U$1000,ROW(),$V$5:$V$1000,"Sub"),$AA291)))</f>
        <v/>
      </c>
      <c r="AF291" s="62">
        <f>IF($V291="","",IF(AND(ISNUMBER($G291),$G291&lt;=IF($S291=MesCiclo,InicioCiclo,$S291+MOD(2-WEEKDAY($S291),7))+27),1,IF(N($W291)&gt;0,AVERAGEIFS($AB$5:$AB$1000,$U$5:$U$1000,ROW(),$V$5:$V$1000,"Sub"),$AB291)))</f>
        <v/>
      </c>
      <c r="AG291" s="62">
        <f>IF($V291&lt;&gt;"Macro","",IF(COUNTIFS($S$5:$S$1000,$S291,$V$5:$V$1000,"Macro",$H$5:$H$1000,"&gt;0")=0,1/COUNTIFS($S$5:$S$1000,$S291,$V$5:$V$1000,"Macro"),IF(AND(ISNUMBER($H291),N($H291)&gt;0),$H291,SUMIFS($H$5:$H$1000,$S$5:$S$1000,$S291,$V$5:$V$1000,"Macro")/COUNTIFS($S$5:$S$1000,$S291,$V$5:$V$1000,"Macro",$H$5:$H$1000,"&gt;0"))/(COUNTIFS($S$5:$S$1000,$S291,$V$5:$V$1000,"Macro")*SUMIFS($H$5:$H$1000,$S$5:$S$1000,$S291,$V$5:$V$1000,"Macro")/COUNTIFS($S$5:$S$1000,$S291,$V$5:$V$1000,"Macro",$H$5:$H$1000,"&gt;0"))))</f>
        <v/>
      </c>
      <c r="AH291" s="62" t="n"/>
      <c r="AI291" s="62" t="n"/>
      <c r="AJ291" s="62" t="n"/>
      <c r="AK291" s="62" t="n"/>
      <c r="AL291" s="62">
        <f>IF(LEFT($C291,11)="[Jefatura] ",IFERROR(MATCH("Riesgo Financiero|"&amp;MID($C291,12,500),rDname_ADM,0),0),"")</f>
        <v/>
      </c>
      <c r="AM291" s="62">
        <f>IF(N($AL291)&gt;0,INDEX(rIni_ADM,$AL291),IF(ISNUMBER($E291),$E291,""))</f>
        <v/>
      </c>
      <c r="AN291" s="62">
        <f>IF(N($AL291)&gt;0,INDEX(rLim_ADM,$AL291),IF(ISNUMBER($F291),$F291,""))</f>
        <v/>
      </c>
    </row>
    <row r="292">
      <c r="A292" s="56">
        <f>IF(NOT((COUNTA($B292:$D292)+COUNTA($G292:$L292)+COUNTA($Q292))&gt;0),"",IF($V292="Macro",COUNTIFS($V$5:$V292,"Macro",$S$5:$S292,$S292),IF(N($U292)=0,"?",COUNTIFS(INDEX($V$5:$V$1000,1):INDEX($V$5:$V$1000,$U292-4),"Macro",INDEX($S$5:$S$1000,1):INDEX($S$5:$S$1000,$U292-4),INDEX($S$5:$S$1000,$U292-4))&amp;"."&amp;COUNTIFS($U$5:$U292,$U292,$V$5:$V292,"Sub"))))</f>
        <v/>
      </c>
      <c r="B292" s="57" t="n"/>
      <c r="C292" s="58" t="n"/>
      <c r="D292" s="58" t="n"/>
      <c r="E292" s="59">
        <f>IF(N($AL292)&gt;0,INDEX(rIni_ADM,$AL292),"")</f>
        <v/>
      </c>
      <c r="F292" s="59">
        <f>IF(N($AL292)&gt;0,INDEX(rLim_ADM,$AL292),"")</f>
        <v/>
      </c>
      <c r="G292" s="59" t="n"/>
      <c r="H292" s="60" t="n"/>
      <c r="I292" s="60" t="n"/>
      <c r="J292" s="60" t="n"/>
      <c r="K292" s="60" t="n"/>
      <c r="L292" s="60" t="n"/>
      <c r="M292" s="61">
        <f>IF(NOT((COUNTA($B292:$D292)+COUNTA($G292:$L292)+COUNTA($Q292))&gt;0),"",IF(ISNUMBER($G292),1,IF(N($W292)&gt;0,AVERAGEIFS($X$5:$X$1000,$U$5:$U$1000,ROW(),$V$5:$V$1000,"Sub"),$X292)))</f>
        <v/>
      </c>
      <c r="N292" s="56">
        <f>IF($M292="","",IF($M292&gt;=1,"Completado",IF($M292&gt;0,"En curso","Pendiente")))</f>
        <v/>
      </c>
      <c r="O292" s="56">
        <f>IF(NOT((COUNTA($B292:$D292)+COUNTA($G292:$L292)+COUNTA($Q292))&gt;0),"",IF(ISNUMBER($G292),IF(AND(ISNUMBER($AN292),$G292&gt;$AN292),"Cumplida con "&amp;($G292-$AN292)&amp;IF($G292-$AN292=1," día"," días")&amp;" de retraso","Cumplida"),IF(N($M292)&gt;=1,"Cumplida",IF(NOT(ISNUMBER($AN292)),"Sin fecha límite",IF($AN292&lt;FechaRef,"Vencida hace "&amp;(FechaRef-$AN292)&amp;IF(FechaRef-$AN292=1," día"," días"),IF($AN292=FechaRef,"Vence hoy",IF($AN292-FechaRef&lt;=DiasAlerta,"Vence en "&amp;($AN292-FechaRef)&amp;IF($AN292-FechaRef=1," día"," días"),"En plazo")))))))</f>
        <v/>
      </c>
      <c r="P292" s="62" t="n"/>
      <c r="Q292" s="58" t="n"/>
      <c r="R292" s="63">
        <f>IF(NOT((COUNTA($B292:$D292)+COUNTA($G292:$L292)+COUNTA($Q292))&gt;0),"",IF((IF($C292="","Falta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",""))="","✔ OK","⚠ "&amp;LEFT(IF($C292="","Falta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",""),LEN(IF($C292="","Falta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",""))-3)))</f>
        <v/>
      </c>
      <c r="S292" s="64">
        <f>IF(NOT((COUNTA($B292:$D292)+COUNTA($G292:$L292)+COUNTA($Q292))&gt;0),"",IF(AND($V292="Sub",N($U292)&gt;0),IF(ISNUMBER(INDEX($AM$5:$AM$1000,$U292-4)),DATE(YEAR(INDEX($AM$5:$AM$1000,$U292-4)),MONTH(INDEX($AM$5:$AM$1000,$U292-4)),1),IF(ISNUMBER(INDEX($AN$5:$AN$1000,$U292-4)),DATE(YEAR(INDEX($AN$5:$AN$1000,$U292-4)),MONTH(INDEX($AN$5:$AN$1000,$U292-4)),1),MesCiclo)),IF(ISNUMBER($AM292),DATE(YEAR($AM292),MONTH($AM292),1),IF(ISNUMBER($AN292),DATE(YEAR($AN292),MONTH($AN292),1),MesCiclo))))</f>
        <v/>
      </c>
      <c r="T292" s="62">
        <f>IF(OR($S292="",$S292&lt;&gt;MesCiclo),"",COUNTIF($S$5:$S292,MesCiclo))</f>
        <v/>
      </c>
      <c r="U292" s="62">
        <f>IF($V292="","",IF($V292="Macro",ROW(),IFERROR(LOOKUP(2,1/($V$5:$V292="Macro"),ROW($V$5:$V292)),0)))</f>
        <v/>
      </c>
      <c r="V292" s="62">
        <f>IF(NOT((COUNTA($B292:$D292)+COUNTA($G292:$L292)+COUNTA($Q292))&gt;0),"",IF($B292="Subactividad","Sub","Macro"))</f>
        <v/>
      </c>
      <c r="W292" s="62">
        <f>IF($V292="Macro",COUNTIFS($U$5:$U$1000,ROW(),$V$5:$V$1000,"Sub"),"")</f>
        <v/>
      </c>
      <c r="X292" s="62">
        <f>IF($V292="","",IF(ISNUMBER($G292),1,IFERROR(LOOKUP(2,1/($I292:$L292&lt;&gt;""),$I292:$L292),0)))</f>
        <v/>
      </c>
      <c r="Y292" s="62">
        <f>IF($V292="","",IF(AND(ISNUMBER($G292),$G292&lt;=IF($S292=MesCiclo,InicioCiclo,$S292+MOD(2-WEEKDAY($S292),7))+6),1,IF(ISNUMBER($I292),$I292,0)))</f>
        <v/>
      </c>
      <c r="Z292" s="62">
        <f>IF($V292="","",IF(AND(ISNUMBER($G292),$G292&lt;=IF($S292=MesCiclo,InicioCiclo,$S292+MOD(2-WEEKDAY($S292),7))+13),1,IF(ISNUMBER($J292),$J292,$Y292)))</f>
        <v/>
      </c>
      <c r="AA292" s="62">
        <f>IF($V292="","",IF(AND(ISNUMBER($G292),$G292&lt;=IF($S292=MesCiclo,InicioCiclo,$S292+MOD(2-WEEKDAY($S292),7))+20),1,IF(ISNUMBER($K292),$K292,$Z292)))</f>
        <v/>
      </c>
      <c r="AB292" s="62">
        <f>IF($V292="","",IF(AND(ISNUMBER($G292),$G292&lt;=IF($S292=MesCiclo,InicioCiclo,$S292+MOD(2-WEEKDAY($S292),7))+27),1,IF(ISNUMBER($L292),$L292,$AA292)))</f>
        <v/>
      </c>
      <c r="AC292" s="62">
        <f>IF($V292="","",IF(AND(ISNUMBER($G292),$G292&lt;=IF($S292=MesCiclo,InicioCiclo,$S292+MOD(2-WEEKDAY($S292),7))+6),1,IF(N($W292)&gt;0,AVERAGEIFS($Y$5:$Y$1000,$U$5:$U$1000,ROW(),$V$5:$V$1000,"Sub"),$Y292)))</f>
        <v/>
      </c>
      <c r="AD292" s="62">
        <f>IF($V292="","",IF(AND(ISNUMBER($G292),$G292&lt;=IF($S292=MesCiclo,InicioCiclo,$S292+MOD(2-WEEKDAY($S292),7))+13),1,IF(N($W292)&gt;0,AVERAGEIFS($Z$5:$Z$1000,$U$5:$U$1000,ROW(),$V$5:$V$1000,"Sub"),$Z292)))</f>
        <v/>
      </c>
      <c r="AE292" s="62">
        <f>IF($V292="","",IF(AND(ISNUMBER($G292),$G292&lt;=IF($S292=MesCiclo,InicioCiclo,$S292+MOD(2-WEEKDAY($S292),7))+20),1,IF(N($W292)&gt;0,AVERAGEIFS($AA$5:$AA$1000,$U$5:$U$1000,ROW(),$V$5:$V$1000,"Sub"),$AA292)))</f>
        <v/>
      </c>
      <c r="AF292" s="62">
        <f>IF($V292="","",IF(AND(ISNUMBER($G292),$G292&lt;=IF($S292=MesCiclo,InicioCiclo,$S292+MOD(2-WEEKDAY($S292),7))+27),1,IF(N($W292)&gt;0,AVERAGEIFS($AB$5:$AB$1000,$U$5:$U$1000,ROW(),$V$5:$V$1000,"Sub"),$AB292)))</f>
        <v/>
      </c>
      <c r="AG292" s="62">
        <f>IF($V292&lt;&gt;"Macro","",IF(COUNTIFS($S$5:$S$1000,$S292,$V$5:$V$1000,"Macro",$H$5:$H$1000,"&gt;0")=0,1/COUNTIFS($S$5:$S$1000,$S292,$V$5:$V$1000,"Macro"),IF(AND(ISNUMBER($H292),N($H292)&gt;0),$H292,SUMIFS($H$5:$H$1000,$S$5:$S$1000,$S292,$V$5:$V$1000,"Macro")/COUNTIFS($S$5:$S$1000,$S292,$V$5:$V$1000,"Macro",$H$5:$H$1000,"&gt;0"))/(COUNTIFS($S$5:$S$1000,$S292,$V$5:$V$1000,"Macro")*SUMIFS($H$5:$H$1000,$S$5:$S$1000,$S292,$V$5:$V$1000,"Macro")/COUNTIFS($S$5:$S$1000,$S292,$V$5:$V$1000,"Macro",$H$5:$H$1000,"&gt;0"))))</f>
        <v/>
      </c>
      <c r="AH292" s="62" t="n"/>
      <c r="AI292" s="62" t="n"/>
      <c r="AJ292" s="62" t="n"/>
      <c r="AK292" s="62" t="n"/>
      <c r="AL292" s="62">
        <f>IF(LEFT($C292,11)="[Jefatura] ",IFERROR(MATCH("Riesgo Financiero|"&amp;MID($C292,12,500),rDname_ADM,0),0),"")</f>
        <v/>
      </c>
      <c r="AM292" s="62">
        <f>IF(N($AL292)&gt;0,INDEX(rIni_ADM,$AL292),IF(ISNUMBER($E292),$E292,""))</f>
        <v/>
      </c>
      <c r="AN292" s="62">
        <f>IF(N($AL292)&gt;0,INDEX(rLim_ADM,$AL292),IF(ISNUMBER($F292),$F292,""))</f>
        <v/>
      </c>
    </row>
    <row r="293">
      <c r="A293" s="56">
        <f>IF(NOT((COUNTA($B293:$D293)+COUNTA($G293:$L293)+COUNTA($Q293))&gt;0),"",IF($V293="Macro",COUNTIFS($V$5:$V293,"Macro",$S$5:$S293,$S293),IF(N($U293)=0,"?",COUNTIFS(INDEX($V$5:$V$1000,1):INDEX($V$5:$V$1000,$U293-4),"Macro",INDEX($S$5:$S$1000,1):INDEX($S$5:$S$1000,$U293-4),INDEX($S$5:$S$1000,$U293-4))&amp;"."&amp;COUNTIFS($U$5:$U293,$U293,$V$5:$V293,"Sub"))))</f>
        <v/>
      </c>
      <c r="B293" s="57" t="n"/>
      <c r="C293" s="58" t="n"/>
      <c r="D293" s="58" t="n"/>
      <c r="E293" s="59">
        <f>IF(N($AL293)&gt;0,INDEX(rIni_ADM,$AL293),"")</f>
        <v/>
      </c>
      <c r="F293" s="59">
        <f>IF(N($AL293)&gt;0,INDEX(rLim_ADM,$AL293),"")</f>
        <v/>
      </c>
      <c r="G293" s="59" t="n"/>
      <c r="H293" s="60" t="n"/>
      <c r="I293" s="60" t="n"/>
      <c r="J293" s="60" t="n"/>
      <c r="K293" s="60" t="n"/>
      <c r="L293" s="60" t="n"/>
      <c r="M293" s="61">
        <f>IF(NOT((COUNTA($B293:$D293)+COUNTA($G293:$L293)+COUNTA($Q293))&gt;0),"",IF(ISNUMBER($G293),1,IF(N($W293)&gt;0,AVERAGEIFS($X$5:$X$1000,$U$5:$U$1000,ROW(),$V$5:$V$1000,"Sub"),$X293)))</f>
        <v/>
      </c>
      <c r="N293" s="56">
        <f>IF($M293="","",IF($M293&gt;=1,"Completado",IF($M293&gt;0,"En curso","Pendiente")))</f>
        <v/>
      </c>
      <c r="O293" s="56">
        <f>IF(NOT((COUNTA($B293:$D293)+COUNTA($G293:$L293)+COUNTA($Q293))&gt;0),"",IF(ISNUMBER($G293),IF(AND(ISNUMBER($AN293),$G293&gt;$AN293),"Cumplida con "&amp;($G293-$AN293)&amp;IF($G293-$AN293=1," día"," días")&amp;" de retraso","Cumplida"),IF(N($M293)&gt;=1,"Cumplida",IF(NOT(ISNUMBER($AN293)),"Sin fecha límite",IF($AN293&lt;FechaRef,"Vencida hace "&amp;(FechaRef-$AN293)&amp;IF(FechaRef-$AN293=1," día"," días"),IF($AN293=FechaRef,"Vence hoy",IF($AN293-FechaRef&lt;=DiasAlerta,"Vence en "&amp;($AN293-FechaRef)&amp;IF($AN293-FechaRef=1," día"," días"),"En plazo")))))))</f>
        <v/>
      </c>
      <c r="P293" s="62" t="n"/>
      <c r="Q293" s="58" t="n"/>
      <c r="R293" s="63">
        <f>IF(NOT((COUNTA($B293:$D293)+COUNTA($G293:$L293)+COUNTA($Q293))&gt;0),"",IF((IF($C293="","Falta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",""))="","✔ OK","⚠ "&amp;LEFT(IF($C293="","Falta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",""),LEN(IF($C293="","Falta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",""))-3)))</f>
        <v/>
      </c>
      <c r="S293" s="64">
        <f>IF(NOT((COUNTA($B293:$D293)+COUNTA($G293:$L293)+COUNTA($Q293))&gt;0),"",IF(AND($V293="Sub",N($U293)&gt;0),IF(ISNUMBER(INDEX($AM$5:$AM$1000,$U293-4)),DATE(YEAR(INDEX($AM$5:$AM$1000,$U293-4)),MONTH(INDEX($AM$5:$AM$1000,$U293-4)),1),IF(ISNUMBER(INDEX($AN$5:$AN$1000,$U293-4)),DATE(YEAR(INDEX($AN$5:$AN$1000,$U293-4)),MONTH(INDEX($AN$5:$AN$1000,$U293-4)),1),MesCiclo)),IF(ISNUMBER($AM293),DATE(YEAR($AM293),MONTH($AM293),1),IF(ISNUMBER($AN293),DATE(YEAR($AN293),MONTH($AN293),1),MesCiclo))))</f>
        <v/>
      </c>
      <c r="T293" s="62">
        <f>IF(OR($S293="",$S293&lt;&gt;MesCiclo),"",COUNTIF($S$5:$S293,MesCiclo))</f>
        <v/>
      </c>
      <c r="U293" s="62">
        <f>IF($V293="","",IF($V293="Macro",ROW(),IFERROR(LOOKUP(2,1/($V$5:$V293="Macro"),ROW($V$5:$V293)),0)))</f>
        <v/>
      </c>
      <c r="V293" s="62">
        <f>IF(NOT((COUNTA($B293:$D293)+COUNTA($G293:$L293)+COUNTA($Q293))&gt;0),"",IF($B293="Subactividad","Sub","Macro"))</f>
        <v/>
      </c>
      <c r="W293" s="62">
        <f>IF($V293="Macro",COUNTIFS($U$5:$U$1000,ROW(),$V$5:$V$1000,"Sub"),"")</f>
        <v/>
      </c>
      <c r="X293" s="62">
        <f>IF($V293="","",IF(ISNUMBER($G293),1,IFERROR(LOOKUP(2,1/($I293:$L293&lt;&gt;""),$I293:$L293),0)))</f>
        <v/>
      </c>
      <c r="Y293" s="62">
        <f>IF($V293="","",IF(AND(ISNUMBER($G293),$G293&lt;=IF($S293=MesCiclo,InicioCiclo,$S293+MOD(2-WEEKDAY($S293),7))+6),1,IF(ISNUMBER($I293),$I293,0)))</f>
        <v/>
      </c>
      <c r="Z293" s="62">
        <f>IF($V293="","",IF(AND(ISNUMBER($G293),$G293&lt;=IF($S293=MesCiclo,InicioCiclo,$S293+MOD(2-WEEKDAY($S293),7))+13),1,IF(ISNUMBER($J293),$J293,$Y293)))</f>
        <v/>
      </c>
      <c r="AA293" s="62">
        <f>IF($V293="","",IF(AND(ISNUMBER($G293),$G293&lt;=IF($S293=MesCiclo,InicioCiclo,$S293+MOD(2-WEEKDAY($S293),7))+20),1,IF(ISNUMBER($K293),$K293,$Z293)))</f>
        <v/>
      </c>
      <c r="AB293" s="62">
        <f>IF($V293="","",IF(AND(ISNUMBER($G293),$G293&lt;=IF($S293=MesCiclo,InicioCiclo,$S293+MOD(2-WEEKDAY($S293),7))+27),1,IF(ISNUMBER($L293),$L293,$AA293)))</f>
        <v/>
      </c>
      <c r="AC293" s="62">
        <f>IF($V293="","",IF(AND(ISNUMBER($G293),$G293&lt;=IF($S293=MesCiclo,InicioCiclo,$S293+MOD(2-WEEKDAY($S293),7))+6),1,IF(N($W293)&gt;0,AVERAGEIFS($Y$5:$Y$1000,$U$5:$U$1000,ROW(),$V$5:$V$1000,"Sub"),$Y293)))</f>
        <v/>
      </c>
      <c r="AD293" s="62">
        <f>IF($V293="","",IF(AND(ISNUMBER($G293),$G293&lt;=IF($S293=MesCiclo,InicioCiclo,$S293+MOD(2-WEEKDAY($S293),7))+13),1,IF(N($W293)&gt;0,AVERAGEIFS($Z$5:$Z$1000,$U$5:$U$1000,ROW(),$V$5:$V$1000,"Sub"),$Z293)))</f>
        <v/>
      </c>
      <c r="AE293" s="62">
        <f>IF($V293="","",IF(AND(ISNUMBER($G293),$G293&lt;=IF($S293=MesCiclo,InicioCiclo,$S293+MOD(2-WEEKDAY($S293),7))+20),1,IF(N($W293)&gt;0,AVERAGEIFS($AA$5:$AA$1000,$U$5:$U$1000,ROW(),$V$5:$V$1000,"Sub"),$AA293)))</f>
        <v/>
      </c>
      <c r="AF293" s="62">
        <f>IF($V293="","",IF(AND(ISNUMBER($G293),$G293&lt;=IF($S293=MesCiclo,InicioCiclo,$S293+MOD(2-WEEKDAY($S293),7))+27),1,IF(N($W293)&gt;0,AVERAGEIFS($AB$5:$AB$1000,$U$5:$U$1000,ROW(),$V$5:$V$1000,"Sub"),$AB293)))</f>
        <v/>
      </c>
      <c r="AG293" s="62">
        <f>IF($V293&lt;&gt;"Macro","",IF(COUNTIFS($S$5:$S$1000,$S293,$V$5:$V$1000,"Macro",$H$5:$H$1000,"&gt;0")=0,1/COUNTIFS($S$5:$S$1000,$S293,$V$5:$V$1000,"Macro"),IF(AND(ISNUMBER($H293),N($H293)&gt;0),$H293,SUMIFS($H$5:$H$1000,$S$5:$S$1000,$S293,$V$5:$V$1000,"Macro")/COUNTIFS($S$5:$S$1000,$S293,$V$5:$V$1000,"Macro",$H$5:$H$1000,"&gt;0"))/(COUNTIFS($S$5:$S$1000,$S293,$V$5:$V$1000,"Macro")*SUMIFS($H$5:$H$1000,$S$5:$S$1000,$S293,$V$5:$V$1000,"Macro")/COUNTIFS($S$5:$S$1000,$S293,$V$5:$V$1000,"Macro",$H$5:$H$1000,"&gt;0"))))</f>
        <v/>
      </c>
      <c r="AH293" s="62" t="n"/>
      <c r="AI293" s="62" t="n"/>
      <c r="AJ293" s="62" t="n"/>
      <c r="AK293" s="62" t="n"/>
      <c r="AL293" s="62">
        <f>IF(LEFT($C293,11)="[Jefatura] ",IFERROR(MATCH("Riesgo Financiero|"&amp;MID($C293,12,500),rDname_ADM,0),0),"")</f>
        <v/>
      </c>
      <c r="AM293" s="62">
        <f>IF(N($AL293)&gt;0,INDEX(rIni_ADM,$AL293),IF(ISNUMBER($E293),$E293,""))</f>
        <v/>
      </c>
      <c r="AN293" s="62">
        <f>IF(N($AL293)&gt;0,INDEX(rLim_ADM,$AL293),IF(ISNUMBER($F293),$F293,""))</f>
        <v/>
      </c>
    </row>
    <row r="294">
      <c r="A294" s="56">
        <f>IF(NOT((COUNTA($B294:$D294)+COUNTA($G294:$L294)+COUNTA($Q294))&gt;0),"",IF($V294="Macro",COUNTIFS($V$5:$V294,"Macro",$S$5:$S294,$S294),IF(N($U294)=0,"?",COUNTIFS(INDEX($V$5:$V$1000,1):INDEX($V$5:$V$1000,$U294-4),"Macro",INDEX($S$5:$S$1000,1):INDEX($S$5:$S$1000,$U294-4),INDEX($S$5:$S$1000,$U294-4))&amp;"."&amp;COUNTIFS($U$5:$U294,$U294,$V$5:$V294,"Sub"))))</f>
        <v/>
      </c>
      <c r="B294" s="57" t="n"/>
      <c r="C294" s="58" t="n"/>
      <c r="D294" s="58" t="n"/>
      <c r="E294" s="59">
        <f>IF(N($AL294)&gt;0,INDEX(rIni_ADM,$AL294),"")</f>
        <v/>
      </c>
      <c r="F294" s="59">
        <f>IF(N($AL294)&gt;0,INDEX(rLim_ADM,$AL294),"")</f>
        <v/>
      </c>
      <c r="G294" s="59" t="n"/>
      <c r="H294" s="60" t="n"/>
      <c r="I294" s="60" t="n"/>
      <c r="J294" s="60" t="n"/>
      <c r="K294" s="60" t="n"/>
      <c r="L294" s="60" t="n"/>
      <c r="M294" s="61">
        <f>IF(NOT((COUNTA($B294:$D294)+COUNTA($G294:$L294)+COUNTA($Q294))&gt;0),"",IF(ISNUMBER($G294),1,IF(N($W294)&gt;0,AVERAGEIFS($X$5:$X$1000,$U$5:$U$1000,ROW(),$V$5:$V$1000,"Sub"),$X294)))</f>
        <v/>
      </c>
      <c r="N294" s="56">
        <f>IF($M294="","",IF($M294&gt;=1,"Completado",IF($M294&gt;0,"En curso","Pendiente")))</f>
        <v/>
      </c>
      <c r="O294" s="56">
        <f>IF(NOT((COUNTA($B294:$D294)+COUNTA($G294:$L294)+COUNTA($Q294))&gt;0),"",IF(ISNUMBER($G294),IF(AND(ISNUMBER($AN294),$G294&gt;$AN294),"Cumplida con "&amp;($G294-$AN294)&amp;IF($G294-$AN294=1," día"," días")&amp;" de retraso","Cumplida"),IF(N($M294)&gt;=1,"Cumplida",IF(NOT(ISNUMBER($AN294)),"Sin fecha límite",IF($AN294&lt;FechaRef,"Vencida hace "&amp;(FechaRef-$AN294)&amp;IF(FechaRef-$AN294=1," día"," días"),IF($AN294=FechaRef,"Vence hoy",IF($AN294-FechaRef&lt;=DiasAlerta,"Vence en "&amp;($AN294-FechaRef)&amp;IF($AN294-FechaRef=1," día"," días"),"En plazo")))))))</f>
        <v/>
      </c>
      <c r="P294" s="62" t="n"/>
      <c r="Q294" s="58" t="n"/>
      <c r="R294" s="63">
        <f>IF(NOT((COUNTA($B294:$D294)+COUNTA($G294:$L294)+COUNTA($Q294))&gt;0),"",IF((IF($C294="","Falta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",""))="","✔ OK","⚠ "&amp;LEFT(IF($C294="","Falta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",""),LEN(IF($C294="","Falta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",""))-3)))</f>
        <v/>
      </c>
      <c r="S294" s="64">
        <f>IF(NOT((COUNTA($B294:$D294)+COUNTA($G294:$L294)+COUNTA($Q294))&gt;0),"",IF(AND($V294="Sub",N($U294)&gt;0),IF(ISNUMBER(INDEX($AM$5:$AM$1000,$U294-4)),DATE(YEAR(INDEX($AM$5:$AM$1000,$U294-4)),MONTH(INDEX($AM$5:$AM$1000,$U294-4)),1),IF(ISNUMBER(INDEX($AN$5:$AN$1000,$U294-4)),DATE(YEAR(INDEX($AN$5:$AN$1000,$U294-4)),MONTH(INDEX($AN$5:$AN$1000,$U294-4)),1),MesCiclo)),IF(ISNUMBER($AM294),DATE(YEAR($AM294),MONTH($AM294),1),IF(ISNUMBER($AN294),DATE(YEAR($AN294),MONTH($AN294),1),MesCiclo))))</f>
        <v/>
      </c>
      <c r="T294" s="62">
        <f>IF(OR($S294="",$S294&lt;&gt;MesCiclo),"",COUNTIF($S$5:$S294,MesCiclo))</f>
        <v/>
      </c>
      <c r="U294" s="62">
        <f>IF($V294="","",IF($V294="Macro",ROW(),IFERROR(LOOKUP(2,1/($V$5:$V294="Macro"),ROW($V$5:$V294)),0)))</f>
        <v/>
      </c>
      <c r="V294" s="62">
        <f>IF(NOT((COUNTA($B294:$D294)+COUNTA($G294:$L294)+COUNTA($Q294))&gt;0),"",IF($B294="Subactividad","Sub","Macro"))</f>
        <v/>
      </c>
      <c r="W294" s="62">
        <f>IF($V294="Macro",COUNTIFS($U$5:$U$1000,ROW(),$V$5:$V$1000,"Sub"),"")</f>
        <v/>
      </c>
      <c r="X294" s="62">
        <f>IF($V294="","",IF(ISNUMBER($G294),1,IFERROR(LOOKUP(2,1/($I294:$L294&lt;&gt;""),$I294:$L294),0)))</f>
        <v/>
      </c>
      <c r="Y294" s="62">
        <f>IF($V294="","",IF(AND(ISNUMBER($G294),$G294&lt;=IF($S294=MesCiclo,InicioCiclo,$S294+MOD(2-WEEKDAY($S294),7))+6),1,IF(ISNUMBER($I294),$I294,0)))</f>
        <v/>
      </c>
      <c r="Z294" s="62">
        <f>IF($V294="","",IF(AND(ISNUMBER($G294),$G294&lt;=IF($S294=MesCiclo,InicioCiclo,$S294+MOD(2-WEEKDAY($S294),7))+13),1,IF(ISNUMBER($J294),$J294,$Y294)))</f>
        <v/>
      </c>
      <c r="AA294" s="62">
        <f>IF($V294="","",IF(AND(ISNUMBER($G294),$G294&lt;=IF($S294=MesCiclo,InicioCiclo,$S294+MOD(2-WEEKDAY($S294),7))+20),1,IF(ISNUMBER($K294),$K294,$Z294)))</f>
        <v/>
      </c>
      <c r="AB294" s="62">
        <f>IF($V294="","",IF(AND(ISNUMBER($G294),$G294&lt;=IF($S294=MesCiclo,InicioCiclo,$S294+MOD(2-WEEKDAY($S294),7))+27),1,IF(ISNUMBER($L294),$L294,$AA294)))</f>
        <v/>
      </c>
      <c r="AC294" s="62">
        <f>IF($V294="","",IF(AND(ISNUMBER($G294),$G294&lt;=IF($S294=MesCiclo,InicioCiclo,$S294+MOD(2-WEEKDAY($S294),7))+6),1,IF(N($W294)&gt;0,AVERAGEIFS($Y$5:$Y$1000,$U$5:$U$1000,ROW(),$V$5:$V$1000,"Sub"),$Y294)))</f>
        <v/>
      </c>
      <c r="AD294" s="62">
        <f>IF($V294="","",IF(AND(ISNUMBER($G294),$G294&lt;=IF($S294=MesCiclo,InicioCiclo,$S294+MOD(2-WEEKDAY($S294),7))+13),1,IF(N($W294)&gt;0,AVERAGEIFS($Z$5:$Z$1000,$U$5:$U$1000,ROW(),$V$5:$V$1000,"Sub"),$Z294)))</f>
        <v/>
      </c>
      <c r="AE294" s="62">
        <f>IF($V294="","",IF(AND(ISNUMBER($G294),$G294&lt;=IF($S294=MesCiclo,InicioCiclo,$S294+MOD(2-WEEKDAY($S294),7))+20),1,IF(N($W294)&gt;0,AVERAGEIFS($AA$5:$AA$1000,$U$5:$U$1000,ROW(),$V$5:$V$1000,"Sub"),$AA294)))</f>
        <v/>
      </c>
      <c r="AF294" s="62">
        <f>IF($V294="","",IF(AND(ISNUMBER($G294),$G294&lt;=IF($S294=MesCiclo,InicioCiclo,$S294+MOD(2-WEEKDAY($S294),7))+27),1,IF(N($W294)&gt;0,AVERAGEIFS($AB$5:$AB$1000,$U$5:$U$1000,ROW(),$V$5:$V$1000,"Sub"),$AB294)))</f>
        <v/>
      </c>
      <c r="AG294" s="62">
        <f>IF($V294&lt;&gt;"Macro","",IF(COUNTIFS($S$5:$S$1000,$S294,$V$5:$V$1000,"Macro",$H$5:$H$1000,"&gt;0")=0,1/COUNTIFS($S$5:$S$1000,$S294,$V$5:$V$1000,"Macro"),IF(AND(ISNUMBER($H294),N($H294)&gt;0),$H294,SUMIFS($H$5:$H$1000,$S$5:$S$1000,$S294,$V$5:$V$1000,"Macro")/COUNTIFS($S$5:$S$1000,$S294,$V$5:$V$1000,"Macro",$H$5:$H$1000,"&gt;0"))/(COUNTIFS($S$5:$S$1000,$S294,$V$5:$V$1000,"Macro")*SUMIFS($H$5:$H$1000,$S$5:$S$1000,$S294,$V$5:$V$1000,"Macro")/COUNTIFS($S$5:$S$1000,$S294,$V$5:$V$1000,"Macro",$H$5:$H$1000,"&gt;0"))))</f>
        <v/>
      </c>
      <c r="AH294" s="62" t="n"/>
      <c r="AI294" s="62" t="n"/>
      <c r="AJ294" s="62" t="n"/>
      <c r="AK294" s="62" t="n"/>
      <c r="AL294" s="62">
        <f>IF(LEFT($C294,11)="[Jefatura] ",IFERROR(MATCH("Riesgo Financiero|"&amp;MID($C294,12,500),rDname_ADM,0),0),"")</f>
        <v/>
      </c>
      <c r="AM294" s="62">
        <f>IF(N($AL294)&gt;0,INDEX(rIni_ADM,$AL294),IF(ISNUMBER($E294),$E294,""))</f>
        <v/>
      </c>
      <c r="AN294" s="62">
        <f>IF(N($AL294)&gt;0,INDEX(rLim_ADM,$AL294),IF(ISNUMBER($F294),$F294,""))</f>
        <v/>
      </c>
    </row>
    <row r="295">
      <c r="A295" s="56">
        <f>IF(NOT((COUNTA($B295:$D295)+COUNTA($G295:$L295)+COUNTA($Q295))&gt;0),"",IF($V295="Macro",COUNTIFS($V$5:$V295,"Macro",$S$5:$S295,$S295),IF(N($U295)=0,"?",COUNTIFS(INDEX($V$5:$V$1000,1):INDEX($V$5:$V$1000,$U295-4),"Macro",INDEX($S$5:$S$1000,1):INDEX($S$5:$S$1000,$U295-4),INDEX($S$5:$S$1000,$U295-4))&amp;"."&amp;COUNTIFS($U$5:$U295,$U295,$V$5:$V295,"Sub"))))</f>
        <v/>
      </c>
      <c r="B295" s="57" t="n"/>
      <c r="C295" s="58" t="n"/>
      <c r="D295" s="58" t="n"/>
      <c r="E295" s="59">
        <f>IF(N($AL295)&gt;0,INDEX(rIni_ADM,$AL295),"")</f>
        <v/>
      </c>
      <c r="F295" s="59">
        <f>IF(N($AL295)&gt;0,INDEX(rLim_ADM,$AL295),"")</f>
        <v/>
      </c>
      <c r="G295" s="59" t="n"/>
      <c r="H295" s="60" t="n"/>
      <c r="I295" s="60" t="n"/>
      <c r="J295" s="60" t="n"/>
      <c r="K295" s="60" t="n"/>
      <c r="L295" s="60" t="n"/>
      <c r="M295" s="61">
        <f>IF(NOT((COUNTA($B295:$D295)+COUNTA($G295:$L295)+COUNTA($Q295))&gt;0),"",IF(ISNUMBER($G295),1,IF(N($W295)&gt;0,AVERAGEIFS($X$5:$X$1000,$U$5:$U$1000,ROW(),$V$5:$V$1000,"Sub"),$X295)))</f>
        <v/>
      </c>
      <c r="N295" s="56">
        <f>IF($M295="","",IF($M295&gt;=1,"Completado",IF($M295&gt;0,"En curso","Pendiente")))</f>
        <v/>
      </c>
      <c r="O295" s="56">
        <f>IF(NOT((COUNTA($B295:$D295)+COUNTA($G295:$L295)+COUNTA($Q295))&gt;0),"",IF(ISNUMBER($G295),IF(AND(ISNUMBER($AN295),$G295&gt;$AN295),"Cumplida con "&amp;($G295-$AN295)&amp;IF($G295-$AN295=1," día"," días")&amp;" de retraso","Cumplida"),IF(N($M295)&gt;=1,"Cumplida",IF(NOT(ISNUMBER($AN295)),"Sin fecha límite",IF($AN295&lt;FechaRef,"Vencida hace "&amp;(FechaRef-$AN295)&amp;IF(FechaRef-$AN295=1," día"," días"),IF($AN295=FechaRef,"Vence hoy",IF($AN295-FechaRef&lt;=DiasAlerta,"Vence en "&amp;($AN295-FechaRef)&amp;IF($AN295-FechaRef=1," día"," días"),"En plazo")))))))</f>
        <v/>
      </c>
      <c r="P295" s="62" t="n"/>
      <c r="Q295" s="58" t="n"/>
      <c r="R295" s="63">
        <f>IF(NOT((COUNTA($B295:$D295)+COUNTA($G295:$L295)+COUNTA($Q295))&gt;0),"",IF((IF($C295="","Falta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",""))="","✔ OK","⚠ "&amp;LEFT(IF($C295="","Falta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",""),LEN(IF($C295="","Falta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",""))-3)))</f>
        <v/>
      </c>
      <c r="S295" s="64">
        <f>IF(NOT((COUNTA($B295:$D295)+COUNTA($G295:$L295)+COUNTA($Q295))&gt;0),"",IF(AND($V295="Sub",N($U295)&gt;0),IF(ISNUMBER(INDEX($AM$5:$AM$1000,$U295-4)),DATE(YEAR(INDEX($AM$5:$AM$1000,$U295-4)),MONTH(INDEX($AM$5:$AM$1000,$U295-4)),1),IF(ISNUMBER(INDEX($AN$5:$AN$1000,$U295-4)),DATE(YEAR(INDEX($AN$5:$AN$1000,$U295-4)),MONTH(INDEX($AN$5:$AN$1000,$U295-4)),1),MesCiclo)),IF(ISNUMBER($AM295),DATE(YEAR($AM295),MONTH($AM295),1),IF(ISNUMBER($AN295),DATE(YEAR($AN295),MONTH($AN295),1),MesCiclo))))</f>
        <v/>
      </c>
      <c r="T295" s="62">
        <f>IF(OR($S295="",$S295&lt;&gt;MesCiclo),"",COUNTIF($S$5:$S295,MesCiclo))</f>
        <v/>
      </c>
      <c r="U295" s="62">
        <f>IF($V295="","",IF($V295="Macro",ROW(),IFERROR(LOOKUP(2,1/($V$5:$V295="Macro"),ROW($V$5:$V295)),0)))</f>
        <v/>
      </c>
      <c r="V295" s="62">
        <f>IF(NOT((COUNTA($B295:$D295)+COUNTA($G295:$L295)+COUNTA($Q295))&gt;0),"",IF($B295="Subactividad","Sub","Macro"))</f>
        <v/>
      </c>
      <c r="W295" s="62">
        <f>IF($V295="Macro",COUNTIFS($U$5:$U$1000,ROW(),$V$5:$V$1000,"Sub"),"")</f>
        <v/>
      </c>
      <c r="X295" s="62">
        <f>IF($V295="","",IF(ISNUMBER($G295),1,IFERROR(LOOKUP(2,1/($I295:$L295&lt;&gt;""),$I295:$L295),0)))</f>
        <v/>
      </c>
      <c r="Y295" s="62">
        <f>IF($V295="","",IF(AND(ISNUMBER($G295),$G295&lt;=IF($S295=MesCiclo,InicioCiclo,$S295+MOD(2-WEEKDAY($S295),7))+6),1,IF(ISNUMBER($I295),$I295,0)))</f>
        <v/>
      </c>
      <c r="Z295" s="62">
        <f>IF($V295="","",IF(AND(ISNUMBER($G295),$G295&lt;=IF($S295=MesCiclo,InicioCiclo,$S295+MOD(2-WEEKDAY($S295),7))+13),1,IF(ISNUMBER($J295),$J295,$Y295)))</f>
        <v/>
      </c>
      <c r="AA295" s="62">
        <f>IF($V295="","",IF(AND(ISNUMBER($G295),$G295&lt;=IF($S295=MesCiclo,InicioCiclo,$S295+MOD(2-WEEKDAY($S295),7))+20),1,IF(ISNUMBER($K295),$K295,$Z295)))</f>
        <v/>
      </c>
      <c r="AB295" s="62">
        <f>IF($V295="","",IF(AND(ISNUMBER($G295),$G295&lt;=IF($S295=MesCiclo,InicioCiclo,$S295+MOD(2-WEEKDAY($S295),7))+27),1,IF(ISNUMBER($L295),$L295,$AA295)))</f>
        <v/>
      </c>
      <c r="AC295" s="62">
        <f>IF($V295="","",IF(AND(ISNUMBER($G295),$G295&lt;=IF($S295=MesCiclo,InicioCiclo,$S295+MOD(2-WEEKDAY($S295),7))+6),1,IF(N($W295)&gt;0,AVERAGEIFS($Y$5:$Y$1000,$U$5:$U$1000,ROW(),$V$5:$V$1000,"Sub"),$Y295)))</f>
        <v/>
      </c>
      <c r="AD295" s="62">
        <f>IF($V295="","",IF(AND(ISNUMBER($G295),$G295&lt;=IF($S295=MesCiclo,InicioCiclo,$S295+MOD(2-WEEKDAY($S295),7))+13),1,IF(N($W295)&gt;0,AVERAGEIFS($Z$5:$Z$1000,$U$5:$U$1000,ROW(),$V$5:$V$1000,"Sub"),$Z295)))</f>
        <v/>
      </c>
      <c r="AE295" s="62">
        <f>IF($V295="","",IF(AND(ISNUMBER($G295),$G295&lt;=IF($S295=MesCiclo,InicioCiclo,$S295+MOD(2-WEEKDAY($S295),7))+20),1,IF(N($W295)&gt;0,AVERAGEIFS($AA$5:$AA$1000,$U$5:$U$1000,ROW(),$V$5:$V$1000,"Sub"),$AA295)))</f>
        <v/>
      </c>
      <c r="AF295" s="62">
        <f>IF($V295="","",IF(AND(ISNUMBER($G295),$G295&lt;=IF($S295=MesCiclo,InicioCiclo,$S295+MOD(2-WEEKDAY($S295),7))+27),1,IF(N($W295)&gt;0,AVERAGEIFS($AB$5:$AB$1000,$U$5:$U$1000,ROW(),$V$5:$V$1000,"Sub"),$AB295)))</f>
        <v/>
      </c>
      <c r="AG295" s="62">
        <f>IF($V295&lt;&gt;"Macro","",IF(COUNTIFS($S$5:$S$1000,$S295,$V$5:$V$1000,"Macro",$H$5:$H$1000,"&gt;0")=0,1/COUNTIFS($S$5:$S$1000,$S295,$V$5:$V$1000,"Macro"),IF(AND(ISNUMBER($H295),N($H295)&gt;0),$H295,SUMIFS($H$5:$H$1000,$S$5:$S$1000,$S295,$V$5:$V$1000,"Macro")/COUNTIFS($S$5:$S$1000,$S295,$V$5:$V$1000,"Macro",$H$5:$H$1000,"&gt;0"))/(COUNTIFS($S$5:$S$1000,$S295,$V$5:$V$1000,"Macro")*SUMIFS($H$5:$H$1000,$S$5:$S$1000,$S295,$V$5:$V$1000,"Macro")/COUNTIFS($S$5:$S$1000,$S295,$V$5:$V$1000,"Macro",$H$5:$H$1000,"&gt;0"))))</f>
        <v/>
      </c>
      <c r="AH295" s="62" t="n"/>
      <c r="AI295" s="62" t="n"/>
      <c r="AJ295" s="62" t="n"/>
      <c r="AK295" s="62" t="n"/>
      <c r="AL295" s="62">
        <f>IF(LEFT($C295,11)="[Jefatura] ",IFERROR(MATCH("Riesgo Financiero|"&amp;MID($C295,12,500),rDname_ADM,0),0),"")</f>
        <v/>
      </c>
      <c r="AM295" s="62">
        <f>IF(N($AL295)&gt;0,INDEX(rIni_ADM,$AL295),IF(ISNUMBER($E295),$E295,""))</f>
        <v/>
      </c>
      <c r="AN295" s="62">
        <f>IF(N($AL295)&gt;0,INDEX(rLim_ADM,$AL295),IF(ISNUMBER($F295),$F295,""))</f>
        <v/>
      </c>
    </row>
    <row r="296">
      <c r="A296" s="56">
        <f>IF(NOT((COUNTA($B296:$D296)+COUNTA($G296:$L296)+COUNTA($Q296))&gt;0),"",IF($V296="Macro",COUNTIFS($V$5:$V296,"Macro",$S$5:$S296,$S296),IF(N($U296)=0,"?",COUNTIFS(INDEX($V$5:$V$1000,1):INDEX($V$5:$V$1000,$U296-4),"Macro",INDEX($S$5:$S$1000,1):INDEX($S$5:$S$1000,$U296-4),INDEX($S$5:$S$1000,$U296-4))&amp;"."&amp;COUNTIFS($U$5:$U296,$U296,$V$5:$V296,"Sub"))))</f>
        <v/>
      </c>
      <c r="B296" s="57" t="n"/>
      <c r="C296" s="58" t="n"/>
      <c r="D296" s="58" t="n"/>
      <c r="E296" s="59">
        <f>IF(N($AL296)&gt;0,INDEX(rIni_ADM,$AL296),"")</f>
        <v/>
      </c>
      <c r="F296" s="59">
        <f>IF(N($AL296)&gt;0,INDEX(rLim_ADM,$AL296),"")</f>
        <v/>
      </c>
      <c r="G296" s="59" t="n"/>
      <c r="H296" s="60" t="n"/>
      <c r="I296" s="60" t="n"/>
      <c r="J296" s="60" t="n"/>
      <c r="K296" s="60" t="n"/>
      <c r="L296" s="60" t="n"/>
      <c r="M296" s="61">
        <f>IF(NOT((COUNTA($B296:$D296)+COUNTA($G296:$L296)+COUNTA($Q296))&gt;0),"",IF(ISNUMBER($G296),1,IF(N($W296)&gt;0,AVERAGEIFS($X$5:$X$1000,$U$5:$U$1000,ROW(),$V$5:$V$1000,"Sub"),$X296)))</f>
        <v/>
      </c>
      <c r="N296" s="56">
        <f>IF($M296="","",IF($M296&gt;=1,"Completado",IF($M296&gt;0,"En curso","Pendiente")))</f>
        <v/>
      </c>
      <c r="O296" s="56">
        <f>IF(NOT((COUNTA($B296:$D296)+COUNTA($G296:$L296)+COUNTA($Q296))&gt;0),"",IF(ISNUMBER($G296),IF(AND(ISNUMBER($AN296),$G296&gt;$AN296),"Cumplida con "&amp;($G296-$AN296)&amp;IF($G296-$AN296=1," día"," días")&amp;" de retraso","Cumplida"),IF(N($M296)&gt;=1,"Cumplida",IF(NOT(ISNUMBER($AN296)),"Sin fecha límite",IF($AN296&lt;FechaRef,"Vencida hace "&amp;(FechaRef-$AN296)&amp;IF(FechaRef-$AN296=1," día"," días"),IF($AN296=FechaRef,"Vence hoy",IF($AN296-FechaRef&lt;=DiasAlerta,"Vence en "&amp;($AN296-FechaRef)&amp;IF($AN296-FechaRef=1," día"," días"),"En plazo")))))))</f>
        <v/>
      </c>
      <c r="P296" s="62" t="n"/>
      <c r="Q296" s="58" t="n"/>
      <c r="R296" s="63">
        <f>IF(NOT((COUNTA($B296:$D296)+COUNTA($G296:$L296)+COUNTA($Q296))&gt;0),"",IF((IF($C296="","Falta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",""))="","✔ OK","⚠ "&amp;LEFT(IF($C296="","Falta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",""),LEN(IF($C296="","Falta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",""))-3)))</f>
        <v/>
      </c>
      <c r="S296" s="64">
        <f>IF(NOT((COUNTA($B296:$D296)+COUNTA($G296:$L296)+COUNTA($Q296))&gt;0),"",IF(AND($V296="Sub",N($U296)&gt;0),IF(ISNUMBER(INDEX($AM$5:$AM$1000,$U296-4)),DATE(YEAR(INDEX($AM$5:$AM$1000,$U296-4)),MONTH(INDEX($AM$5:$AM$1000,$U296-4)),1),IF(ISNUMBER(INDEX($AN$5:$AN$1000,$U296-4)),DATE(YEAR(INDEX($AN$5:$AN$1000,$U296-4)),MONTH(INDEX($AN$5:$AN$1000,$U296-4)),1),MesCiclo)),IF(ISNUMBER($AM296),DATE(YEAR($AM296),MONTH($AM296),1),IF(ISNUMBER($AN296),DATE(YEAR($AN296),MONTH($AN296),1),MesCiclo))))</f>
        <v/>
      </c>
      <c r="T296" s="62">
        <f>IF(OR($S296="",$S296&lt;&gt;MesCiclo),"",COUNTIF($S$5:$S296,MesCiclo))</f>
        <v/>
      </c>
      <c r="U296" s="62">
        <f>IF($V296="","",IF($V296="Macro",ROW(),IFERROR(LOOKUP(2,1/($V$5:$V296="Macro"),ROW($V$5:$V296)),0)))</f>
        <v/>
      </c>
      <c r="V296" s="62">
        <f>IF(NOT((COUNTA($B296:$D296)+COUNTA($G296:$L296)+COUNTA($Q296))&gt;0),"",IF($B296="Subactividad","Sub","Macro"))</f>
        <v/>
      </c>
      <c r="W296" s="62">
        <f>IF($V296="Macro",COUNTIFS($U$5:$U$1000,ROW(),$V$5:$V$1000,"Sub"),"")</f>
        <v/>
      </c>
      <c r="X296" s="62">
        <f>IF($V296="","",IF(ISNUMBER($G296),1,IFERROR(LOOKUP(2,1/($I296:$L296&lt;&gt;""),$I296:$L296),0)))</f>
        <v/>
      </c>
      <c r="Y296" s="62">
        <f>IF($V296="","",IF(AND(ISNUMBER($G296),$G296&lt;=IF($S296=MesCiclo,InicioCiclo,$S296+MOD(2-WEEKDAY($S296),7))+6),1,IF(ISNUMBER($I296),$I296,0)))</f>
        <v/>
      </c>
      <c r="Z296" s="62">
        <f>IF($V296="","",IF(AND(ISNUMBER($G296),$G296&lt;=IF($S296=MesCiclo,InicioCiclo,$S296+MOD(2-WEEKDAY($S296),7))+13),1,IF(ISNUMBER($J296),$J296,$Y296)))</f>
        <v/>
      </c>
      <c r="AA296" s="62">
        <f>IF($V296="","",IF(AND(ISNUMBER($G296),$G296&lt;=IF($S296=MesCiclo,InicioCiclo,$S296+MOD(2-WEEKDAY($S296),7))+20),1,IF(ISNUMBER($K296),$K296,$Z296)))</f>
        <v/>
      </c>
      <c r="AB296" s="62">
        <f>IF($V296="","",IF(AND(ISNUMBER($G296),$G296&lt;=IF($S296=MesCiclo,InicioCiclo,$S296+MOD(2-WEEKDAY($S296),7))+27),1,IF(ISNUMBER($L296),$L296,$AA296)))</f>
        <v/>
      </c>
      <c r="AC296" s="62">
        <f>IF($V296="","",IF(AND(ISNUMBER($G296),$G296&lt;=IF($S296=MesCiclo,InicioCiclo,$S296+MOD(2-WEEKDAY($S296),7))+6),1,IF(N($W296)&gt;0,AVERAGEIFS($Y$5:$Y$1000,$U$5:$U$1000,ROW(),$V$5:$V$1000,"Sub"),$Y296)))</f>
        <v/>
      </c>
      <c r="AD296" s="62">
        <f>IF($V296="","",IF(AND(ISNUMBER($G296),$G296&lt;=IF($S296=MesCiclo,InicioCiclo,$S296+MOD(2-WEEKDAY($S296),7))+13),1,IF(N($W296)&gt;0,AVERAGEIFS($Z$5:$Z$1000,$U$5:$U$1000,ROW(),$V$5:$V$1000,"Sub"),$Z296)))</f>
        <v/>
      </c>
      <c r="AE296" s="62">
        <f>IF($V296="","",IF(AND(ISNUMBER($G296),$G296&lt;=IF($S296=MesCiclo,InicioCiclo,$S296+MOD(2-WEEKDAY($S296),7))+20),1,IF(N($W296)&gt;0,AVERAGEIFS($AA$5:$AA$1000,$U$5:$U$1000,ROW(),$V$5:$V$1000,"Sub"),$AA296)))</f>
        <v/>
      </c>
      <c r="AF296" s="62">
        <f>IF($V296="","",IF(AND(ISNUMBER($G296),$G296&lt;=IF($S296=MesCiclo,InicioCiclo,$S296+MOD(2-WEEKDAY($S296),7))+27),1,IF(N($W296)&gt;0,AVERAGEIFS($AB$5:$AB$1000,$U$5:$U$1000,ROW(),$V$5:$V$1000,"Sub"),$AB296)))</f>
        <v/>
      </c>
      <c r="AG296" s="62">
        <f>IF($V296&lt;&gt;"Macro","",IF(COUNTIFS($S$5:$S$1000,$S296,$V$5:$V$1000,"Macro",$H$5:$H$1000,"&gt;0")=0,1/COUNTIFS($S$5:$S$1000,$S296,$V$5:$V$1000,"Macro"),IF(AND(ISNUMBER($H296),N($H296)&gt;0),$H296,SUMIFS($H$5:$H$1000,$S$5:$S$1000,$S296,$V$5:$V$1000,"Macro")/COUNTIFS($S$5:$S$1000,$S296,$V$5:$V$1000,"Macro",$H$5:$H$1000,"&gt;0"))/(COUNTIFS($S$5:$S$1000,$S296,$V$5:$V$1000,"Macro")*SUMIFS($H$5:$H$1000,$S$5:$S$1000,$S296,$V$5:$V$1000,"Macro")/COUNTIFS($S$5:$S$1000,$S296,$V$5:$V$1000,"Macro",$H$5:$H$1000,"&gt;0"))))</f>
        <v/>
      </c>
      <c r="AH296" s="62" t="n"/>
      <c r="AI296" s="62" t="n"/>
      <c r="AJ296" s="62" t="n"/>
      <c r="AK296" s="62" t="n"/>
      <c r="AL296" s="62">
        <f>IF(LEFT($C296,11)="[Jefatura] ",IFERROR(MATCH("Riesgo Financiero|"&amp;MID($C296,12,500),rDname_ADM,0),0),"")</f>
        <v/>
      </c>
      <c r="AM296" s="62">
        <f>IF(N($AL296)&gt;0,INDEX(rIni_ADM,$AL296),IF(ISNUMBER($E296),$E296,""))</f>
        <v/>
      </c>
      <c r="AN296" s="62">
        <f>IF(N($AL296)&gt;0,INDEX(rLim_ADM,$AL296),IF(ISNUMBER($F296),$F296,""))</f>
        <v/>
      </c>
    </row>
    <row r="297">
      <c r="A297" s="56">
        <f>IF(NOT((COUNTA($B297:$D297)+COUNTA($G297:$L297)+COUNTA($Q297))&gt;0),"",IF($V297="Macro",COUNTIFS($V$5:$V297,"Macro",$S$5:$S297,$S297),IF(N($U297)=0,"?",COUNTIFS(INDEX($V$5:$V$1000,1):INDEX($V$5:$V$1000,$U297-4),"Macro",INDEX($S$5:$S$1000,1):INDEX($S$5:$S$1000,$U297-4),INDEX($S$5:$S$1000,$U297-4))&amp;"."&amp;COUNTIFS($U$5:$U297,$U297,$V$5:$V297,"Sub"))))</f>
        <v/>
      </c>
      <c r="B297" s="57" t="n"/>
      <c r="C297" s="58" t="n"/>
      <c r="D297" s="58" t="n"/>
      <c r="E297" s="59">
        <f>IF(N($AL297)&gt;0,INDEX(rIni_ADM,$AL297),"")</f>
        <v/>
      </c>
      <c r="F297" s="59">
        <f>IF(N($AL297)&gt;0,INDEX(rLim_ADM,$AL297),"")</f>
        <v/>
      </c>
      <c r="G297" s="59" t="n"/>
      <c r="H297" s="60" t="n"/>
      <c r="I297" s="60" t="n"/>
      <c r="J297" s="60" t="n"/>
      <c r="K297" s="60" t="n"/>
      <c r="L297" s="60" t="n"/>
      <c r="M297" s="61">
        <f>IF(NOT((COUNTA($B297:$D297)+COUNTA($G297:$L297)+COUNTA($Q297))&gt;0),"",IF(ISNUMBER($G297),1,IF(N($W297)&gt;0,AVERAGEIFS($X$5:$X$1000,$U$5:$U$1000,ROW(),$V$5:$V$1000,"Sub"),$X297)))</f>
        <v/>
      </c>
      <c r="N297" s="56">
        <f>IF($M297="","",IF($M297&gt;=1,"Completado",IF($M297&gt;0,"En curso","Pendiente")))</f>
        <v/>
      </c>
      <c r="O297" s="56">
        <f>IF(NOT((COUNTA($B297:$D297)+COUNTA($G297:$L297)+COUNTA($Q297))&gt;0),"",IF(ISNUMBER($G297),IF(AND(ISNUMBER($AN297),$G297&gt;$AN297),"Cumplida con "&amp;($G297-$AN297)&amp;IF($G297-$AN297=1," día"," días")&amp;" de retraso","Cumplida"),IF(N($M297)&gt;=1,"Cumplida",IF(NOT(ISNUMBER($AN297)),"Sin fecha límite",IF($AN297&lt;FechaRef,"Vencida hace "&amp;(FechaRef-$AN297)&amp;IF(FechaRef-$AN297=1," día"," días"),IF($AN297=FechaRef,"Vence hoy",IF($AN297-FechaRef&lt;=DiasAlerta,"Vence en "&amp;($AN297-FechaRef)&amp;IF($AN297-FechaRef=1," día"," días"),"En plazo")))))))</f>
        <v/>
      </c>
      <c r="P297" s="62" t="n"/>
      <c r="Q297" s="58" t="n"/>
      <c r="R297" s="63">
        <f>IF(NOT((COUNTA($B297:$D297)+COUNTA($G297:$L297)+COUNTA($Q297))&gt;0),"",IF((IF($C297="","Falta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",""))="","✔ OK","⚠ "&amp;LEFT(IF($C297="","Falta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",""),LEN(IF($C297="","Falta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",""))-3)))</f>
        <v/>
      </c>
      <c r="S297" s="64">
        <f>IF(NOT((COUNTA($B297:$D297)+COUNTA($G297:$L297)+COUNTA($Q297))&gt;0),"",IF(AND($V297="Sub",N($U297)&gt;0),IF(ISNUMBER(INDEX($AM$5:$AM$1000,$U297-4)),DATE(YEAR(INDEX($AM$5:$AM$1000,$U297-4)),MONTH(INDEX($AM$5:$AM$1000,$U297-4)),1),IF(ISNUMBER(INDEX($AN$5:$AN$1000,$U297-4)),DATE(YEAR(INDEX($AN$5:$AN$1000,$U297-4)),MONTH(INDEX($AN$5:$AN$1000,$U297-4)),1),MesCiclo)),IF(ISNUMBER($AM297),DATE(YEAR($AM297),MONTH($AM297),1),IF(ISNUMBER($AN297),DATE(YEAR($AN297),MONTH($AN297),1),MesCiclo))))</f>
        <v/>
      </c>
      <c r="T297" s="62">
        <f>IF(OR($S297="",$S297&lt;&gt;MesCiclo),"",COUNTIF($S$5:$S297,MesCiclo))</f>
        <v/>
      </c>
      <c r="U297" s="62">
        <f>IF($V297="","",IF($V297="Macro",ROW(),IFERROR(LOOKUP(2,1/($V$5:$V297="Macro"),ROW($V$5:$V297)),0)))</f>
        <v/>
      </c>
      <c r="V297" s="62">
        <f>IF(NOT((COUNTA($B297:$D297)+COUNTA($G297:$L297)+COUNTA($Q297))&gt;0),"",IF($B297="Subactividad","Sub","Macro"))</f>
        <v/>
      </c>
      <c r="W297" s="62">
        <f>IF($V297="Macro",COUNTIFS($U$5:$U$1000,ROW(),$V$5:$V$1000,"Sub"),"")</f>
        <v/>
      </c>
      <c r="X297" s="62">
        <f>IF($V297="","",IF(ISNUMBER($G297),1,IFERROR(LOOKUP(2,1/($I297:$L297&lt;&gt;""),$I297:$L297),0)))</f>
        <v/>
      </c>
      <c r="Y297" s="62">
        <f>IF($V297="","",IF(AND(ISNUMBER($G297),$G297&lt;=IF($S297=MesCiclo,InicioCiclo,$S297+MOD(2-WEEKDAY($S297),7))+6),1,IF(ISNUMBER($I297),$I297,0)))</f>
        <v/>
      </c>
      <c r="Z297" s="62">
        <f>IF($V297="","",IF(AND(ISNUMBER($G297),$G297&lt;=IF($S297=MesCiclo,InicioCiclo,$S297+MOD(2-WEEKDAY($S297),7))+13),1,IF(ISNUMBER($J297),$J297,$Y297)))</f>
        <v/>
      </c>
      <c r="AA297" s="62">
        <f>IF($V297="","",IF(AND(ISNUMBER($G297),$G297&lt;=IF($S297=MesCiclo,InicioCiclo,$S297+MOD(2-WEEKDAY($S297),7))+20),1,IF(ISNUMBER($K297),$K297,$Z297)))</f>
        <v/>
      </c>
      <c r="AB297" s="62">
        <f>IF($V297="","",IF(AND(ISNUMBER($G297),$G297&lt;=IF($S297=MesCiclo,InicioCiclo,$S297+MOD(2-WEEKDAY($S297),7))+27),1,IF(ISNUMBER($L297),$L297,$AA297)))</f>
        <v/>
      </c>
      <c r="AC297" s="62">
        <f>IF($V297="","",IF(AND(ISNUMBER($G297),$G297&lt;=IF($S297=MesCiclo,InicioCiclo,$S297+MOD(2-WEEKDAY($S297),7))+6),1,IF(N($W297)&gt;0,AVERAGEIFS($Y$5:$Y$1000,$U$5:$U$1000,ROW(),$V$5:$V$1000,"Sub"),$Y297)))</f>
        <v/>
      </c>
      <c r="AD297" s="62">
        <f>IF($V297="","",IF(AND(ISNUMBER($G297),$G297&lt;=IF($S297=MesCiclo,InicioCiclo,$S297+MOD(2-WEEKDAY($S297),7))+13),1,IF(N($W297)&gt;0,AVERAGEIFS($Z$5:$Z$1000,$U$5:$U$1000,ROW(),$V$5:$V$1000,"Sub"),$Z297)))</f>
        <v/>
      </c>
      <c r="AE297" s="62">
        <f>IF($V297="","",IF(AND(ISNUMBER($G297),$G297&lt;=IF($S297=MesCiclo,InicioCiclo,$S297+MOD(2-WEEKDAY($S297),7))+20),1,IF(N($W297)&gt;0,AVERAGEIFS($AA$5:$AA$1000,$U$5:$U$1000,ROW(),$V$5:$V$1000,"Sub"),$AA297)))</f>
        <v/>
      </c>
      <c r="AF297" s="62">
        <f>IF($V297="","",IF(AND(ISNUMBER($G297),$G297&lt;=IF($S297=MesCiclo,InicioCiclo,$S297+MOD(2-WEEKDAY($S297),7))+27),1,IF(N($W297)&gt;0,AVERAGEIFS($AB$5:$AB$1000,$U$5:$U$1000,ROW(),$V$5:$V$1000,"Sub"),$AB297)))</f>
        <v/>
      </c>
      <c r="AG297" s="62">
        <f>IF($V297&lt;&gt;"Macro","",IF(COUNTIFS($S$5:$S$1000,$S297,$V$5:$V$1000,"Macro",$H$5:$H$1000,"&gt;0")=0,1/COUNTIFS($S$5:$S$1000,$S297,$V$5:$V$1000,"Macro"),IF(AND(ISNUMBER($H297),N($H297)&gt;0),$H297,SUMIFS($H$5:$H$1000,$S$5:$S$1000,$S297,$V$5:$V$1000,"Macro")/COUNTIFS($S$5:$S$1000,$S297,$V$5:$V$1000,"Macro",$H$5:$H$1000,"&gt;0"))/(COUNTIFS($S$5:$S$1000,$S297,$V$5:$V$1000,"Macro")*SUMIFS($H$5:$H$1000,$S$5:$S$1000,$S297,$V$5:$V$1000,"Macro")/COUNTIFS($S$5:$S$1000,$S297,$V$5:$V$1000,"Macro",$H$5:$H$1000,"&gt;0"))))</f>
        <v/>
      </c>
      <c r="AH297" s="62" t="n"/>
      <c r="AI297" s="62" t="n"/>
      <c r="AJ297" s="62" t="n"/>
      <c r="AK297" s="62" t="n"/>
      <c r="AL297" s="62">
        <f>IF(LEFT($C297,11)="[Jefatura] ",IFERROR(MATCH("Riesgo Financiero|"&amp;MID($C297,12,500),rDname_ADM,0),0),"")</f>
        <v/>
      </c>
      <c r="AM297" s="62">
        <f>IF(N($AL297)&gt;0,INDEX(rIni_ADM,$AL297),IF(ISNUMBER($E297),$E297,""))</f>
        <v/>
      </c>
      <c r="AN297" s="62">
        <f>IF(N($AL297)&gt;0,INDEX(rLim_ADM,$AL297),IF(ISNUMBER($F297),$F297,""))</f>
        <v/>
      </c>
    </row>
    <row r="298">
      <c r="A298" s="56">
        <f>IF(NOT((COUNTA($B298:$D298)+COUNTA($G298:$L298)+COUNTA($Q298))&gt;0),"",IF($V298="Macro",COUNTIFS($V$5:$V298,"Macro",$S$5:$S298,$S298),IF(N($U298)=0,"?",COUNTIFS(INDEX($V$5:$V$1000,1):INDEX($V$5:$V$1000,$U298-4),"Macro",INDEX($S$5:$S$1000,1):INDEX($S$5:$S$1000,$U298-4),INDEX($S$5:$S$1000,$U298-4))&amp;"."&amp;COUNTIFS($U$5:$U298,$U298,$V$5:$V298,"Sub"))))</f>
        <v/>
      </c>
      <c r="B298" s="57" t="n"/>
      <c r="C298" s="58" t="n"/>
      <c r="D298" s="58" t="n"/>
      <c r="E298" s="59">
        <f>IF(N($AL298)&gt;0,INDEX(rIni_ADM,$AL298),"")</f>
        <v/>
      </c>
      <c r="F298" s="59">
        <f>IF(N($AL298)&gt;0,INDEX(rLim_ADM,$AL298),"")</f>
        <v/>
      </c>
      <c r="G298" s="59" t="n"/>
      <c r="H298" s="60" t="n"/>
      <c r="I298" s="60" t="n"/>
      <c r="J298" s="60" t="n"/>
      <c r="K298" s="60" t="n"/>
      <c r="L298" s="60" t="n"/>
      <c r="M298" s="61">
        <f>IF(NOT((COUNTA($B298:$D298)+COUNTA($G298:$L298)+COUNTA($Q298))&gt;0),"",IF(ISNUMBER($G298),1,IF(N($W298)&gt;0,AVERAGEIFS($X$5:$X$1000,$U$5:$U$1000,ROW(),$V$5:$V$1000,"Sub"),$X298)))</f>
        <v/>
      </c>
      <c r="N298" s="56">
        <f>IF($M298="","",IF($M298&gt;=1,"Completado",IF($M298&gt;0,"En curso","Pendiente")))</f>
        <v/>
      </c>
      <c r="O298" s="56">
        <f>IF(NOT((COUNTA($B298:$D298)+COUNTA($G298:$L298)+COUNTA($Q298))&gt;0),"",IF(ISNUMBER($G298),IF(AND(ISNUMBER($AN298),$G298&gt;$AN298),"Cumplida con "&amp;($G298-$AN298)&amp;IF($G298-$AN298=1," día"," días")&amp;" de retraso","Cumplida"),IF(N($M298)&gt;=1,"Cumplida",IF(NOT(ISNUMBER($AN298)),"Sin fecha límite",IF($AN298&lt;FechaRef,"Vencida hace "&amp;(FechaRef-$AN298)&amp;IF(FechaRef-$AN298=1," día"," días"),IF($AN298=FechaRef,"Vence hoy",IF($AN298-FechaRef&lt;=DiasAlerta,"Vence en "&amp;($AN298-FechaRef)&amp;IF($AN298-FechaRef=1," día"," días"),"En plazo")))))))</f>
        <v/>
      </c>
      <c r="P298" s="62" t="n"/>
      <c r="Q298" s="58" t="n"/>
      <c r="R298" s="63">
        <f>IF(NOT((COUNTA($B298:$D298)+COUNTA($G298:$L298)+COUNTA($Q298))&gt;0),"",IF((IF($C298="","Falta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",""))="","✔ OK","⚠ "&amp;LEFT(IF($C298="","Falta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",""),LEN(IF($C298="","Falta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",""))-3)))</f>
        <v/>
      </c>
      <c r="S298" s="64">
        <f>IF(NOT((COUNTA($B298:$D298)+COUNTA($G298:$L298)+COUNTA($Q298))&gt;0),"",IF(AND($V298="Sub",N($U298)&gt;0),IF(ISNUMBER(INDEX($AM$5:$AM$1000,$U298-4)),DATE(YEAR(INDEX($AM$5:$AM$1000,$U298-4)),MONTH(INDEX($AM$5:$AM$1000,$U298-4)),1),IF(ISNUMBER(INDEX($AN$5:$AN$1000,$U298-4)),DATE(YEAR(INDEX($AN$5:$AN$1000,$U298-4)),MONTH(INDEX($AN$5:$AN$1000,$U298-4)),1),MesCiclo)),IF(ISNUMBER($AM298),DATE(YEAR($AM298),MONTH($AM298),1),IF(ISNUMBER($AN298),DATE(YEAR($AN298),MONTH($AN298),1),MesCiclo))))</f>
        <v/>
      </c>
      <c r="T298" s="62">
        <f>IF(OR($S298="",$S298&lt;&gt;MesCiclo),"",COUNTIF($S$5:$S298,MesCiclo))</f>
        <v/>
      </c>
      <c r="U298" s="62">
        <f>IF($V298="","",IF($V298="Macro",ROW(),IFERROR(LOOKUP(2,1/($V$5:$V298="Macro"),ROW($V$5:$V298)),0)))</f>
        <v/>
      </c>
      <c r="V298" s="62">
        <f>IF(NOT((COUNTA($B298:$D298)+COUNTA($G298:$L298)+COUNTA($Q298))&gt;0),"",IF($B298="Subactividad","Sub","Macro"))</f>
        <v/>
      </c>
      <c r="W298" s="62">
        <f>IF($V298="Macro",COUNTIFS($U$5:$U$1000,ROW(),$V$5:$V$1000,"Sub"),"")</f>
        <v/>
      </c>
      <c r="X298" s="62">
        <f>IF($V298="","",IF(ISNUMBER($G298),1,IFERROR(LOOKUP(2,1/($I298:$L298&lt;&gt;""),$I298:$L298),0)))</f>
        <v/>
      </c>
      <c r="Y298" s="62">
        <f>IF($V298="","",IF(AND(ISNUMBER($G298),$G298&lt;=IF($S298=MesCiclo,InicioCiclo,$S298+MOD(2-WEEKDAY($S298),7))+6),1,IF(ISNUMBER($I298),$I298,0)))</f>
        <v/>
      </c>
      <c r="Z298" s="62">
        <f>IF($V298="","",IF(AND(ISNUMBER($G298),$G298&lt;=IF($S298=MesCiclo,InicioCiclo,$S298+MOD(2-WEEKDAY($S298),7))+13),1,IF(ISNUMBER($J298),$J298,$Y298)))</f>
        <v/>
      </c>
      <c r="AA298" s="62">
        <f>IF($V298="","",IF(AND(ISNUMBER($G298),$G298&lt;=IF($S298=MesCiclo,InicioCiclo,$S298+MOD(2-WEEKDAY($S298),7))+20),1,IF(ISNUMBER($K298),$K298,$Z298)))</f>
        <v/>
      </c>
      <c r="AB298" s="62">
        <f>IF($V298="","",IF(AND(ISNUMBER($G298),$G298&lt;=IF($S298=MesCiclo,InicioCiclo,$S298+MOD(2-WEEKDAY($S298),7))+27),1,IF(ISNUMBER($L298),$L298,$AA298)))</f>
        <v/>
      </c>
      <c r="AC298" s="62">
        <f>IF($V298="","",IF(AND(ISNUMBER($G298),$G298&lt;=IF($S298=MesCiclo,InicioCiclo,$S298+MOD(2-WEEKDAY($S298),7))+6),1,IF(N($W298)&gt;0,AVERAGEIFS($Y$5:$Y$1000,$U$5:$U$1000,ROW(),$V$5:$V$1000,"Sub"),$Y298)))</f>
        <v/>
      </c>
      <c r="AD298" s="62">
        <f>IF($V298="","",IF(AND(ISNUMBER($G298),$G298&lt;=IF($S298=MesCiclo,InicioCiclo,$S298+MOD(2-WEEKDAY($S298),7))+13),1,IF(N($W298)&gt;0,AVERAGEIFS($Z$5:$Z$1000,$U$5:$U$1000,ROW(),$V$5:$V$1000,"Sub"),$Z298)))</f>
        <v/>
      </c>
      <c r="AE298" s="62">
        <f>IF($V298="","",IF(AND(ISNUMBER($G298),$G298&lt;=IF($S298=MesCiclo,InicioCiclo,$S298+MOD(2-WEEKDAY($S298),7))+20),1,IF(N($W298)&gt;0,AVERAGEIFS($AA$5:$AA$1000,$U$5:$U$1000,ROW(),$V$5:$V$1000,"Sub"),$AA298)))</f>
        <v/>
      </c>
      <c r="AF298" s="62">
        <f>IF($V298="","",IF(AND(ISNUMBER($G298),$G298&lt;=IF($S298=MesCiclo,InicioCiclo,$S298+MOD(2-WEEKDAY($S298),7))+27),1,IF(N($W298)&gt;0,AVERAGEIFS($AB$5:$AB$1000,$U$5:$U$1000,ROW(),$V$5:$V$1000,"Sub"),$AB298)))</f>
        <v/>
      </c>
      <c r="AG298" s="62">
        <f>IF($V298&lt;&gt;"Macro","",IF(COUNTIFS($S$5:$S$1000,$S298,$V$5:$V$1000,"Macro",$H$5:$H$1000,"&gt;0")=0,1/COUNTIFS($S$5:$S$1000,$S298,$V$5:$V$1000,"Macro"),IF(AND(ISNUMBER($H298),N($H298)&gt;0),$H298,SUMIFS($H$5:$H$1000,$S$5:$S$1000,$S298,$V$5:$V$1000,"Macro")/COUNTIFS($S$5:$S$1000,$S298,$V$5:$V$1000,"Macro",$H$5:$H$1000,"&gt;0"))/(COUNTIFS($S$5:$S$1000,$S298,$V$5:$V$1000,"Macro")*SUMIFS($H$5:$H$1000,$S$5:$S$1000,$S298,$V$5:$V$1000,"Macro")/COUNTIFS($S$5:$S$1000,$S298,$V$5:$V$1000,"Macro",$H$5:$H$1000,"&gt;0"))))</f>
        <v/>
      </c>
      <c r="AH298" s="62" t="n"/>
      <c r="AI298" s="62" t="n"/>
      <c r="AJ298" s="62" t="n"/>
      <c r="AK298" s="62" t="n"/>
      <c r="AL298" s="62">
        <f>IF(LEFT($C298,11)="[Jefatura] ",IFERROR(MATCH("Riesgo Financiero|"&amp;MID($C298,12,500),rDname_ADM,0),0),"")</f>
        <v/>
      </c>
      <c r="AM298" s="62">
        <f>IF(N($AL298)&gt;0,INDEX(rIni_ADM,$AL298),IF(ISNUMBER($E298),$E298,""))</f>
        <v/>
      </c>
      <c r="AN298" s="62">
        <f>IF(N($AL298)&gt;0,INDEX(rLim_ADM,$AL298),IF(ISNUMBER($F298),$F298,""))</f>
        <v/>
      </c>
    </row>
    <row r="299">
      <c r="A299" s="56">
        <f>IF(NOT((COUNTA($B299:$D299)+COUNTA($G299:$L299)+COUNTA($Q299))&gt;0),"",IF($V299="Macro",COUNTIFS($V$5:$V299,"Macro",$S$5:$S299,$S299),IF(N($U299)=0,"?",COUNTIFS(INDEX($V$5:$V$1000,1):INDEX($V$5:$V$1000,$U299-4),"Macro",INDEX($S$5:$S$1000,1):INDEX($S$5:$S$1000,$U299-4),INDEX($S$5:$S$1000,$U299-4))&amp;"."&amp;COUNTIFS($U$5:$U299,$U299,$V$5:$V299,"Sub"))))</f>
        <v/>
      </c>
      <c r="B299" s="57" t="n"/>
      <c r="C299" s="58" t="n"/>
      <c r="D299" s="58" t="n"/>
      <c r="E299" s="59">
        <f>IF(N($AL299)&gt;0,INDEX(rIni_ADM,$AL299),"")</f>
        <v/>
      </c>
      <c r="F299" s="59">
        <f>IF(N($AL299)&gt;0,INDEX(rLim_ADM,$AL299),"")</f>
        <v/>
      </c>
      <c r="G299" s="59" t="n"/>
      <c r="H299" s="60" t="n"/>
      <c r="I299" s="60" t="n"/>
      <c r="J299" s="60" t="n"/>
      <c r="K299" s="60" t="n"/>
      <c r="L299" s="60" t="n"/>
      <c r="M299" s="61">
        <f>IF(NOT((COUNTA($B299:$D299)+COUNTA($G299:$L299)+COUNTA($Q299))&gt;0),"",IF(ISNUMBER($G299),1,IF(N($W299)&gt;0,AVERAGEIFS($X$5:$X$1000,$U$5:$U$1000,ROW(),$V$5:$V$1000,"Sub"),$X299)))</f>
        <v/>
      </c>
      <c r="N299" s="56">
        <f>IF($M299="","",IF($M299&gt;=1,"Completado",IF($M299&gt;0,"En curso","Pendiente")))</f>
        <v/>
      </c>
      <c r="O299" s="56">
        <f>IF(NOT((COUNTA($B299:$D299)+COUNTA($G299:$L299)+COUNTA($Q299))&gt;0),"",IF(ISNUMBER($G299),IF(AND(ISNUMBER($AN299),$G299&gt;$AN299),"Cumplida con "&amp;($G299-$AN299)&amp;IF($G299-$AN299=1," día"," días")&amp;" de retraso","Cumplida"),IF(N($M299)&gt;=1,"Cumplida",IF(NOT(ISNUMBER($AN299)),"Sin fecha límite",IF($AN299&lt;FechaRef,"Vencida hace "&amp;(FechaRef-$AN299)&amp;IF(FechaRef-$AN299=1," día"," días"),IF($AN299=FechaRef,"Vence hoy",IF($AN299-FechaRef&lt;=DiasAlerta,"Vence en "&amp;($AN299-FechaRef)&amp;IF($AN299-FechaRef=1," día"," días"),"En plazo")))))))</f>
        <v/>
      </c>
      <c r="P299" s="62" t="n"/>
      <c r="Q299" s="58" t="n"/>
      <c r="R299" s="63">
        <f>IF(NOT((COUNTA($B299:$D299)+COUNTA($G299:$L299)+COUNTA($Q299))&gt;0),"",IF((IF($C299="","Falta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",""))="","✔ OK","⚠ "&amp;LEFT(IF($C299="","Falta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",""),LEN(IF($C299="","Falta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",""))-3)))</f>
        <v/>
      </c>
      <c r="S299" s="64">
        <f>IF(NOT((COUNTA($B299:$D299)+COUNTA($G299:$L299)+COUNTA($Q299))&gt;0),"",IF(AND($V299="Sub",N($U299)&gt;0),IF(ISNUMBER(INDEX($AM$5:$AM$1000,$U299-4)),DATE(YEAR(INDEX($AM$5:$AM$1000,$U299-4)),MONTH(INDEX($AM$5:$AM$1000,$U299-4)),1),IF(ISNUMBER(INDEX($AN$5:$AN$1000,$U299-4)),DATE(YEAR(INDEX($AN$5:$AN$1000,$U299-4)),MONTH(INDEX($AN$5:$AN$1000,$U299-4)),1),MesCiclo)),IF(ISNUMBER($AM299),DATE(YEAR($AM299),MONTH($AM299),1),IF(ISNUMBER($AN299),DATE(YEAR($AN299),MONTH($AN299),1),MesCiclo))))</f>
        <v/>
      </c>
      <c r="T299" s="62">
        <f>IF(OR($S299="",$S299&lt;&gt;MesCiclo),"",COUNTIF($S$5:$S299,MesCiclo))</f>
        <v/>
      </c>
      <c r="U299" s="62">
        <f>IF($V299="","",IF($V299="Macro",ROW(),IFERROR(LOOKUP(2,1/($V$5:$V299="Macro"),ROW($V$5:$V299)),0)))</f>
        <v/>
      </c>
      <c r="V299" s="62">
        <f>IF(NOT((COUNTA($B299:$D299)+COUNTA($G299:$L299)+COUNTA($Q299))&gt;0),"",IF($B299="Subactividad","Sub","Macro"))</f>
        <v/>
      </c>
      <c r="W299" s="62">
        <f>IF($V299="Macro",COUNTIFS($U$5:$U$1000,ROW(),$V$5:$V$1000,"Sub"),"")</f>
        <v/>
      </c>
      <c r="X299" s="62">
        <f>IF($V299="","",IF(ISNUMBER($G299),1,IFERROR(LOOKUP(2,1/($I299:$L299&lt;&gt;""),$I299:$L299),0)))</f>
        <v/>
      </c>
      <c r="Y299" s="62">
        <f>IF($V299="","",IF(AND(ISNUMBER($G299),$G299&lt;=IF($S299=MesCiclo,InicioCiclo,$S299+MOD(2-WEEKDAY($S299),7))+6),1,IF(ISNUMBER($I299),$I299,0)))</f>
        <v/>
      </c>
      <c r="Z299" s="62">
        <f>IF($V299="","",IF(AND(ISNUMBER($G299),$G299&lt;=IF($S299=MesCiclo,InicioCiclo,$S299+MOD(2-WEEKDAY($S299),7))+13),1,IF(ISNUMBER($J299),$J299,$Y299)))</f>
        <v/>
      </c>
      <c r="AA299" s="62">
        <f>IF($V299="","",IF(AND(ISNUMBER($G299),$G299&lt;=IF($S299=MesCiclo,InicioCiclo,$S299+MOD(2-WEEKDAY($S299),7))+20),1,IF(ISNUMBER($K299),$K299,$Z299)))</f>
        <v/>
      </c>
      <c r="AB299" s="62">
        <f>IF($V299="","",IF(AND(ISNUMBER($G299),$G299&lt;=IF($S299=MesCiclo,InicioCiclo,$S299+MOD(2-WEEKDAY($S299),7))+27),1,IF(ISNUMBER($L299),$L299,$AA299)))</f>
        <v/>
      </c>
      <c r="AC299" s="62">
        <f>IF($V299="","",IF(AND(ISNUMBER($G299),$G299&lt;=IF($S299=MesCiclo,InicioCiclo,$S299+MOD(2-WEEKDAY($S299),7))+6),1,IF(N($W299)&gt;0,AVERAGEIFS($Y$5:$Y$1000,$U$5:$U$1000,ROW(),$V$5:$V$1000,"Sub"),$Y299)))</f>
        <v/>
      </c>
      <c r="AD299" s="62">
        <f>IF($V299="","",IF(AND(ISNUMBER($G299),$G299&lt;=IF($S299=MesCiclo,InicioCiclo,$S299+MOD(2-WEEKDAY($S299),7))+13),1,IF(N($W299)&gt;0,AVERAGEIFS($Z$5:$Z$1000,$U$5:$U$1000,ROW(),$V$5:$V$1000,"Sub"),$Z299)))</f>
        <v/>
      </c>
      <c r="AE299" s="62">
        <f>IF($V299="","",IF(AND(ISNUMBER($G299),$G299&lt;=IF($S299=MesCiclo,InicioCiclo,$S299+MOD(2-WEEKDAY($S299),7))+20),1,IF(N($W299)&gt;0,AVERAGEIFS($AA$5:$AA$1000,$U$5:$U$1000,ROW(),$V$5:$V$1000,"Sub"),$AA299)))</f>
        <v/>
      </c>
      <c r="AF299" s="62">
        <f>IF($V299="","",IF(AND(ISNUMBER($G299),$G299&lt;=IF($S299=MesCiclo,InicioCiclo,$S299+MOD(2-WEEKDAY($S299),7))+27),1,IF(N($W299)&gt;0,AVERAGEIFS($AB$5:$AB$1000,$U$5:$U$1000,ROW(),$V$5:$V$1000,"Sub"),$AB299)))</f>
        <v/>
      </c>
      <c r="AG299" s="62">
        <f>IF($V299&lt;&gt;"Macro","",IF(COUNTIFS($S$5:$S$1000,$S299,$V$5:$V$1000,"Macro",$H$5:$H$1000,"&gt;0")=0,1/COUNTIFS($S$5:$S$1000,$S299,$V$5:$V$1000,"Macro"),IF(AND(ISNUMBER($H299),N($H299)&gt;0),$H299,SUMIFS($H$5:$H$1000,$S$5:$S$1000,$S299,$V$5:$V$1000,"Macro")/COUNTIFS($S$5:$S$1000,$S299,$V$5:$V$1000,"Macro",$H$5:$H$1000,"&gt;0"))/(COUNTIFS($S$5:$S$1000,$S299,$V$5:$V$1000,"Macro")*SUMIFS($H$5:$H$1000,$S$5:$S$1000,$S299,$V$5:$V$1000,"Macro")/COUNTIFS($S$5:$S$1000,$S299,$V$5:$V$1000,"Macro",$H$5:$H$1000,"&gt;0"))))</f>
        <v/>
      </c>
      <c r="AH299" s="62" t="n"/>
      <c r="AI299" s="62" t="n"/>
      <c r="AJ299" s="62" t="n"/>
      <c r="AK299" s="62" t="n"/>
      <c r="AL299" s="62">
        <f>IF(LEFT($C299,11)="[Jefatura] ",IFERROR(MATCH("Riesgo Financiero|"&amp;MID($C299,12,500),rDname_ADM,0),0),"")</f>
        <v/>
      </c>
      <c r="AM299" s="62">
        <f>IF(N($AL299)&gt;0,INDEX(rIni_ADM,$AL299),IF(ISNUMBER($E299),$E299,""))</f>
        <v/>
      </c>
      <c r="AN299" s="62">
        <f>IF(N($AL299)&gt;0,INDEX(rLim_ADM,$AL299),IF(ISNUMBER($F299),$F299,""))</f>
        <v/>
      </c>
    </row>
    <row r="300">
      <c r="A300" s="56">
        <f>IF(NOT((COUNTA($B300:$D300)+COUNTA($G300:$L300)+COUNTA($Q300))&gt;0),"",IF($V300="Macro",COUNTIFS($V$5:$V300,"Macro",$S$5:$S300,$S300),IF(N($U300)=0,"?",COUNTIFS(INDEX($V$5:$V$1000,1):INDEX($V$5:$V$1000,$U300-4),"Macro",INDEX($S$5:$S$1000,1):INDEX($S$5:$S$1000,$U300-4),INDEX($S$5:$S$1000,$U300-4))&amp;"."&amp;COUNTIFS($U$5:$U300,$U300,$V$5:$V300,"Sub"))))</f>
        <v/>
      </c>
      <c r="B300" s="57" t="n"/>
      <c r="C300" s="58" t="n"/>
      <c r="D300" s="58" t="n"/>
      <c r="E300" s="59">
        <f>IF(N($AL300)&gt;0,INDEX(rIni_ADM,$AL300),"")</f>
        <v/>
      </c>
      <c r="F300" s="59">
        <f>IF(N($AL300)&gt;0,INDEX(rLim_ADM,$AL300),"")</f>
        <v/>
      </c>
      <c r="G300" s="59" t="n"/>
      <c r="H300" s="60" t="n"/>
      <c r="I300" s="60" t="n"/>
      <c r="J300" s="60" t="n"/>
      <c r="K300" s="60" t="n"/>
      <c r="L300" s="60" t="n"/>
      <c r="M300" s="61">
        <f>IF(NOT((COUNTA($B300:$D300)+COUNTA($G300:$L300)+COUNTA($Q300))&gt;0),"",IF(ISNUMBER($G300),1,IF(N($W300)&gt;0,AVERAGEIFS($X$5:$X$1000,$U$5:$U$1000,ROW(),$V$5:$V$1000,"Sub"),$X300)))</f>
        <v/>
      </c>
      <c r="N300" s="56">
        <f>IF($M300="","",IF($M300&gt;=1,"Completado",IF($M300&gt;0,"En curso","Pendiente")))</f>
        <v/>
      </c>
      <c r="O300" s="56">
        <f>IF(NOT((COUNTA($B300:$D300)+COUNTA($G300:$L300)+COUNTA($Q300))&gt;0),"",IF(ISNUMBER($G300),IF(AND(ISNUMBER($AN300),$G300&gt;$AN300),"Cumplida con "&amp;($G300-$AN300)&amp;IF($G300-$AN300=1," día"," días")&amp;" de retraso","Cumplida"),IF(N($M300)&gt;=1,"Cumplida",IF(NOT(ISNUMBER($AN300)),"Sin fecha límite",IF($AN300&lt;FechaRef,"Vencida hace "&amp;(FechaRef-$AN300)&amp;IF(FechaRef-$AN300=1," día"," días"),IF($AN300=FechaRef,"Vence hoy",IF($AN300-FechaRef&lt;=DiasAlerta,"Vence en "&amp;($AN300-FechaRef)&amp;IF($AN300-FechaRef=1," día"," días"),"En plazo")))))))</f>
        <v/>
      </c>
      <c r="P300" s="62" t="n"/>
      <c r="Q300" s="58" t="n"/>
      <c r="R300" s="63">
        <f>IF(NOT((COUNTA($B300:$D300)+COUNTA($G300:$L300)+COUNTA($Q300))&gt;0),"",IF((IF($C300="","Falta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",""))="","✔ OK","⚠ "&amp;LEFT(IF($C300="","Falta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",""),LEN(IF($C300="","Falta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",""))-3)))</f>
        <v/>
      </c>
      <c r="S300" s="64">
        <f>IF(NOT((COUNTA($B300:$D300)+COUNTA($G300:$L300)+COUNTA($Q300))&gt;0),"",IF(AND($V300="Sub",N($U300)&gt;0),IF(ISNUMBER(INDEX($AM$5:$AM$1000,$U300-4)),DATE(YEAR(INDEX($AM$5:$AM$1000,$U300-4)),MONTH(INDEX($AM$5:$AM$1000,$U300-4)),1),IF(ISNUMBER(INDEX($AN$5:$AN$1000,$U300-4)),DATE(YEAR(INDEX($AN$5:$AN$1000,$U300-4)),MONTH(INDEX($AN$5:$AN$1000,$U300-4)),1),MesCiclo)),IF(ISNUMBER($AM300),DATE(YEAR($AM300),MONTH($AM300),1),IF(ISNUMBER($AN300),DATE(YEAR($AN300),MONTH($AN300),1),MesCiclo))))</f>
        <v/>
      </c>
      <c r="T300" s="62">
        <f>IF(OR($S300="",$S300&lt;&gt;MesCiclo),"",COUNTIF($S$5:$S300,MesCiclo))</f>
        <v/>
      </c>
      <c r="U300" s="62">
        <f>IF($V300="","",IF($V300="Macro",ROW(),IFERROR(LOOKUP(2,1/($V$5:$V300="Macro"),ROW($V$5:$V300)),0)))</f>
        <v/>
      </c>
      <c r="V300" s="62">
        <f>IF(NOT((COUNTA($B300:$D300)+COUNTA($G300:$L300)+COUNTA($Q300))&gt;0),"",IF($B300="Subactividad","Sub","Macro"))</f>
        <v/>
      </c>
      <c r="W300" s="62">
        <f>IF($V300="Macro",COUNTIFS($U$5:$U$1000,ROW(),$V$5:$V$1000,"Sub"),"")</f>
        <v/>
      </c>
      <c r="X300" s="62">
        <f>IF($V300="","",IF(ISNUMBER($G300),1,IFERROR(LOOKUP(2,1/($I300:$L300&lt;&gt;""),$I300:$L300),0)))</f>
        <v/>
      </c>
      <c r="Y300" s="62">
        <f>IF($V300="","",IF(AND(ISNUMBER($G300),$G300&lt;=IF($S300=MesCiclo,InicioCiclo,$S300+MOD(2-WEEKDAY($S300),7))+6),1,IF(ISNUMBER($I300),$I300,0)))</f>
        <v/>
      </c>
      <c r="Z300" s="62">
        <f>IF($V300="","",IF(AND(ISNUMBER($G300),$G300&lt;=IF($S300=MesCiclo,InicioCiclo,$S300+MOD(2-WEEKDAY($S300),7))+13),1,IF(ISNUMBER($J300),$J300,$Y300)))</f>
        <v/>
      </c>
      <c r="AA300" s="62">
        <f>IF($V300="","",IF(AND(ISNUMBER($G300),$G300&lt;=IF($S300=MesCiclo,InicioCiclo,$S300+MOD(2-WEEKDAY($S300),7))+20),1,IF(ISNUMBER($K300),$K300,$Z300)))</f>
        <v/>
      </c>
      <c r="AB300" s="62">
        <f>IF($V300="","",IF(AND(ISNUMBER($G300),$G300&lt;=IF($S300=MesCiclo,InicioCiclo,$S300+MOD(2-WEEKDAY($S300),7))+27),1,IF(ISNUMBER($L300),$L300,$AA300)))</f>
        <v/>
      </c>
      <c r="AC300" s="62">
        <f>IF($V300="","",IF(AND(ISNUMBER($G300),$G300&lt;=IF($S300=MesCiclo,InicioCiclo,$S300+MOD(2-WEEKDAY($S300),7))+6),1,IF(N($W300)&gt;0,AVERAGEIFS($Y$5:$Y$1000,$U$5:$U$1000,ROW(),$V$5:$V$1000,"Sub"),$Y300)))</f>
        <v/>
      </c>
      <c r="AD300" s="62">
        <f>IF($V300="","",IF(AND(ISNUMBER($G300),$G300&lt;=IF($S300=MesCiclo,InicioCiclo,$S300+MOD(2-WEEKDAY($S300),7))+13),1,IF(N($W300)&gt;0,AVERAGEIFS($Z$5:$Z$1000,$U$5:$U$1000,ROW(),$V$5:$V$1000,"Sub"),$Z300)))</f>
        <v/>
      </c>
      <c r="AE300" s="62">
        <f>IF($V300="","",IF(AND(ISNUMBER($G300),$G300&lt;=IF($S300=MesCiclo,InicioCiclo,$S300+MOD(2-WEEKDAY($S300),7))+20),1,IF(N($W300)&gt;0,AVERAGEIFS($AA$5:$AA$1000,$U$5:$U$1000,ROW(),$V$5:$V$1000,"Sub"),$AA300)))</f>
        <v/>
      </c>
      <c r="AF300" s="62">
        <f>IF($V300="","",IF(AND(ISNUMBER($G300),$G300&lt;=IF($S300=MesCiclo,InicioCiclo,$S300+MOD(2-WEEKDAY($S300),7))+27),1,IF(N($W300)&gt;0,AVERAGEIFS($AB$5:$AB$1000,$U$5:$U$1000,ROW(),$V$5:$V$1000,"Sub"),$AB300)))</f>
        <v/>
      </c>
      <c r="AG300" s="62">
        <f>IF($V300&lt;&gt;"Macro","",IF(COUNTIFS($S$5:$S$1000,$S300,$V$5:$V$1000,"Macro",$H$5:$H$1000,"&gt;0")=0,1/COUNTIFS($S$5:$S$1000,$S300,$V$5:$V$1000,"Macro"),IF(AND(ISNUMBER($H300),N($H300)&gt;0),$H300,SUMIFS($H$5:$H$1000,$S$5:$S$1000,$S300,$V$5:$V$1000,"Macro")/COUNTIFS($S$5:$S$1000,$S300,$V$5:$V$1000,"Macro",$H$5:$H$1000,"&gt;0"))/(COUNTIFS($S$5:$S$1000,$S300,$V$5:$V$1000,"Macro")*SUMIFS($H$5:$H$1000,$S$5:$S$1000,$S300,$V$5:$V$1000,"Macro")/COUNTIFS($S$5:$S$1000,$S300,$V$5:$V$1000,"Macro",$H$5:$H$1000,"&gt;0"))))</f>
        <v/>
      </c>
      <c r="AH300" s="62" t="n"/>
      <c r="AI300" s="62" t="n"/>
      <c r="AJ300" s="62" t="n"/>
      <c r="AK300" s="62" t="n"/>
      <c r="AL300" s="62">
        <f>IF(LEFT($C300,11)="[Jefatura] ",IFERROR(MATCH("Riesgo Financiero|"&amp;MID($C300,12,500),rDname_ADM,0),0),"")</f>
        <v/>
      </c>
      <c r="AM300" s="62">
        <f>IF(N($AL300)&gt;0,INDEX(rIni_ADM,$AL300),IF(ISNUMBER($E300),$E300,""))</f>
        <v/>
      </c>
      <c r="AN300" s="62">
        <f>IF(N($AL300)&gt;0,INDEX(rLim_ADM,$AL300),IF(ISNUMBER($F300),$F300,""))</f>
        <v/>
      </c>
    </row>
    <row r="301">
      <c r="A301" s="56">
        <f>IF(NOT((COUNTA($B301:$D301)+COUNTA($G301:$L301)+COUNTA($Q301))&gt;0),"",IF($V301="Macro",COUNTIFS($V$5:$V301,"Macro",$S$5:$S301,$S301),IF(N($U301)=0,"?",COUNTIFS(INDEX($V$5:$V$1000,1):INDEX($V$5:$V$1000,$U301-4),"Macro",INDEX($S$5:$S$1000,1):INDEX($S$5:$S$1000,$U301-4),INDEX($S$5:$S$1000,$U301-4))&amp;"."&amp;COUNTIFS($U$5:$U301,$U301,$V$5:$V301,"Sub"))))</f>
        <v/>
      </c>
      <c r="B301" s="57" t="n"/>
      <c r="C301" s="58" t="n"/>
      <c r="D301" s="58" t="n"/>
      <c r="E301" s="59">
        <f>IF(N($AL301)&gt;0,INDEX(rIni_ADM,$AL301),"")</f>
        <v/>
      </c>
      <c r="F301" s="59">
        <f>IF(N($AL301)&gt;0,INDEX(rLim_ADM,$AL301),"")</f>
        <v/>
      </c>
      <c r="G301" s="59" t="n"/>
      <c r="H301" s="60" t="n"/>
      <c r="I301" s="60" t="n"/>
      <c r="J301" s="60" t="n"/>
      <c r="K301" s="60" t="n"/>
      <c r="L301" s="60" t="n"/>
      <c r="M301" s="61">
        <f>IF(NOT((COUNTA($B301:$D301)+COUNTA($G301:$L301)+COUNTA($Q301))&gt;0),"",IF(ISNUMBER($G301),1,IF(N($W301)&gt;0,AVERAGEIFS($X$5:$X$1000,$U$5:$U$1000,ROW(),$V$5:$V$1000,"Sub"),$X301)))</f>
        <v/>
      </c>
      <c r="N301" s="56">
        <f>IF($M301="","",IF($M301&gt;=1,"Completado",IF($M301&gt;0,"En curso","Pendiente")))</f>
        <v/>
      </c>
      <c r="O301" s="56">
        <f>IF(NOT((COUNTA($B301:$D301)+COUNTA($G301:$L301)+COUNTA($Q301))&gt;0),"",IF(ISNUMBER($G301),IF(AND(ISNUMBER($AN301),$G301&gt;$AN301),"Cumplida con "&amp;($G301-$AN301)&amp;IF($G301-$AN301=1," día"," días")&amp;" de retraso","Cumplida"),IF(N($M301)&gt;=1,"Cumplida",IF(NOT(ISNUMBER($AN301)),"Sin fecha límite",IF($AN301&lt;FechaRef,"Vencida hace "&amp;(FechaRef-$AN301)&amp;IF(FechaRef-$AN301=1," día"," días"),IF($AN301=FechaRef,"Vence hoy",IF($AN301-FechaRef&lt;=DiasAlerta,"Vence en "&amp;($AN301-FechaRef)&amp;IF($AN301-FechaRef=1," día"," días"),"En plazo")))))))</f>
        <v/>
      </c>
      <c r="P301" s="62" t="n"/>
      <c r="Q301" s="58" t="n"/>
      <c r="R301" s="63">
        <f>IF(NOT((COUNTA($B301:$D301)+COUNTA($G301:$L301)+COUNTA($Q301))&gt;0),"",IF((IF($C301="","Falta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",""))="","✔ OK","⚠ "&amp;LEFT(IF($C301="","Falta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",""),LEN(IF($C301="","Falta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",""))-3)))</f>
        <v/>
      </c>
      <c r="S301" s="64">
        <f>IF(NOT((COUNTA($B301:$D301)+COUNTA($G301:$L301)+COUNTA($Q301))&gt;0),"",IF(AND($V301="Sub",N($U301)&gt;0),IF(ISNUMBER(INDEX($AM$5:$AM$1000,$U301-4)),DATE(YEAR(INDEX($AM$5:$AM$1000,$U301-4)),MONTH(INDEX($AM$5:$AM$1000,$U301-4)),1),IF(ISNUMBER(INDEX($AN$5:$AN$1000,$U301-4)),DATE(YEAR(INDEX($AN$5:$AN$1000,$U301-4)),MONTH(INDEX($AN$5:$AN$1000,$U301-4)),1),MesCiclo)),IF(ISNUMBER($AM301),DATE(YEAR($AM301),MONTH($AM301),1),IF(ISNUMBER($AN301),DATE(YEAR($AN301),MONTH($AN301),1),MesCiclo))))</f>
        <v/>
      </c>
      <c r="T301" s="62">
        <f>IF(OR($S301="",$S301&lt;&gt;MesCiclo),"",COUNTIF($S$5:$S301,MesCiclo))</f>
        <v/>
      </c>
      <c r="U301" s="62">
        <f>IF($V301="","",IF($V301="Macro",ROW(),IFERROR(LOOKUP(2,1/($V$5:$V301="Macro"),ROW($V$5:$V301)),0)))</f>
        <v/>
      </c>
      <c r="V301" s="62">
        <f>IF(NOT((COUNTA($B301:$D301)+COUNTA($G301:$L301)+COUNTA($Q301))&gt;0),"",IF($B301="Subactividad","Sub","Macro"))</f>
        <v/>
      </c>
      <c r="W301" s="62">
        <f>IF($V301="Macro",COUNTIFS($U$5:$U$1000,ROW(),$V$5:$V$1000,"Sub"),"")</f>
        <v/>
      </c>
      <c r="X301" s="62">
        <f>IF($V301="","",IF(ISNUMBER($G301),1,IFERROR(LOOKUP(2,1/($I301:$L301&lt;&gt;""),$I301:$L301),0)))</f>
        <v/>
      </c>
      <c r="Y301" s="62">
        <f>IF($V301="","",IF(AND(ISNUMBER($G301),$G301&lt;=IF($S301=MesCiclo,InicioCiclo,$S301+MOD(2-WEEKDAY($S301),7))+6),1,IF(ISNUMBER($I301),$I301,0)))</f>
        <v/>
      </c>
      <c r="Z301" s="62">
        <f>IF($V301="","",IF(AND(ISNUMBER($G301),$G301&lt;=IF($S301=MesCiclo,InicioCiclo,$S301+MOD(2-WEEKDAY($S301),7))+13),1,IF(ISNUMBER($J301),$J301,$Y301)))</f>
        <v/>
      </c>
      <c r="AA301" s="62">
        <f>IF($V301="","",IF(AND(ISNUMBER($G301),$G301&lt;=IF($S301=MesCiclo,InicioCiclo,$S301+MOD(2-WEEKDAY($S301),7))+20),1,IF(ISNUMBER($K301),$K301,$Z301)))</f>
        <v/>
      </c>
      <c r="AB301" s="62">
        <f>IF($V301="","",IF(AND(ISNUMBER($G301),$G301&lt;=IF($S301=MesCiclo,InicioCiclo,$S301+MOD(2-WEEKDAY($S301),7))+27),1,IF(ISNUMBER($L301),$L301,$AA301)))</f>
        <v/>
      </c>
      <c r="AC301" s="62">
        <f>IF($V301="","",IF(AND(ISNUMBER($G301),$G301&lt;=IF($S301=MesCiclo,InicioCiclo,$S301+MOD(2-WEEKDAY($S301),7))+6),1,IF(N($W301)&gt;0,AVERAGEIFS($Y$5:$Y$1000,$U$5:$U$1000,ROW(),$V$5:$V$1000,"Sub"),$Y301)))</f>
        <v/>
      </c>
      <c r="AD301" s="62">
        <f>IF($V301="","",IF(AND(ISNUMBER($G301),$G301&lt;=IF($S301=MesCiclo,InicioCiclo,$S301+MOD(2-WEEKDAY($S301),7))+13),1,IF(N($W301)&gt;0,AVERAGEIFS($Z$5:$Z$1000,$U$5:$U$1000,ROW(),$V$5:$V$1000,"Sub"),$Z301)))</f>
        <v/>
      </c>
      <c r="AE301" s="62">
        <f>IF($V301="","",IF(AND(ISNUMBER($G301),$G301&lt;=IF($S301=MesCiclo,InicioCiclo,$S301+MOD(2-WEEKDAY($S301),7))+20),1,IF(N($W301)&gt;0,AVERAGEIFS($AA$5:$AA$1000,$U$5:$U$1000,ROW(),$V$5:$V$1000,"Sub"),$AA301)))</f>
        <v/>
      </c>
      <c r="AF301" s="62">
        <f>IF($V301="","",IF(AND(ISNUMBER($G301),$G301&lt;=IF($S301=MesCiclo,InicioCiclo,$S301+MOD(2-WEEKDAY($S301),7))+27),1,IF(N($W301)&gt;0,AVERAGEIFS($AB$5:$AB$1000,$U$5:$U$1000,ROW(),$V$5:$V$1000,"Sub"),$AB301)))</f>
        <v/>
      </c>
      <c r="AG301" s="62">
        <f>IF($V301&lt;&gt;"Macro","",IF(COUNTIFS($S$5:$S$1000,$S301,$V$5:$V$1000,"Macro",$H$5:$H$1000,"&gt;0")=0,1/COUNTIFS($S$5:$S$1000,$S301,$V$5:$V$1000,"Macro"),IF(AND(ISNUMBER($H301),N($H301)&gt;0),$H301,SUMIFS($H$5:$H$1000,$S$5:$S$1000,$S301,$V$5:$V$1000,"Macro")/COUNTIFS($S$5:$S$1000,$S301,$V$5:$V$1000,"Macro",$H$5:$H$1000,"&gt;0"))/(COUNTIFS($S$5:$S$1000,$S301,$V$5:$V$1000,"Macro")*SUMIFS($H$5:$H$1000,$S$5:$S$1000,$S301,$V$5:$V$1000,"Macro")/COUNTIFS($S$5:$S$1000,$S301,$V$5:$V$1000,"Macro",$H$5:$H$1000,"&gt;0"))))</f>
        <v/>
      </c>
      <c r="AH301" s="62" t="n"/>
      <c r="AI301" s="62" t="n"/>
      <c r="AJ301" s="62" t="n"/>
      <c r="AK301" s="62" t="n"/>
      <c r="AL301" s="62">
        <f>IF(LEFT($C301,11)="[Jefatura] ",IFERROR(MATCH("Riesgo Financiero|"&amp;MID($C301,12,500),rDname_ADM,0),0),"")</f>
        <v/>
      </c>
      <c r="AM301" s="62">
        <f>IF(N($AL301)&gt;0,INDEX(rIni_ADM,$AL301),IF(ISNUMBER($E301),$E301,""))</f>
        <v/>
      </c>
      <c r="AN301" s="62">
        <f>IF(N($AL301)&gt;0,INDEX(rLim_ADM,$AL301),IF(ISNUMBER($F301),$F301,""))</f>
        <v/>
      </c>
    </row>
    <row r="302">
      <c r="A302" s="56">
        <f>IF(NOT((COUNTA($B302:$D302)+COUNTA($G302:$L302)+COUNTA($Q302))&gt;0),"",IF($V302="Macro",COUNTIFS($V$5:$V302,"Macro",$S$5:$S302,$S302),IF(N($U302)=0,"?",COUNTIFS(INDEX($V$5:$V$1000,1):INDEX($V$5:$V$1000,$U302-4),"Macro",INDEX($S$5:$S$1000,1):INDEX($S$5:$S$1000,$U302-4),INDEX($S$5:$S$1000,$U302-4))&amp;"."&amp;COUNTIFS($U$5:$U302,$U302,$V$5:$V302,"Sub"))))</f>
        <v/>
      </c>
      <c r="B302" s="57" t="n"/>
      <c r="C302" s="58" t="n"/>
      <c r="D302" s="58" t="n"/>
      <c r="E302" s="59">
        <f>IF(N($AL302)&gt;0,INDEX(rIni_ADM,$AL302),"")</f>
        <v/>
      </c>
      <c r="F302" s="59">
        <f>IF(N($AL302)&gt;0,INDEX(rLim_ADM,$AL302),"")</f>
        <v/>
      </c>
      <c r="G302" s="59" t="n"/>
      <c r="H302" s="60" t="n"/>
      <c r="I302" s="60" t="n"/>
      <c r="J302" s="60" t="n"/>
      <c r="K302" s="60" t="n"/>
      <c r="L302" s="60" t="n"/>
      <c r="M302" s="61">
        <f>IF(NOT((COUNTA($B302:$D302)+COUNTA($G302:$L302)+COUNTA($Q302))&gt;0),"",IF(ISNUMBER($G302),1,IF(N($W302)&gt;0,AVERAGEIFS($X$5:$X$1000,$U$5:$U$1000,ROW(),$V$5:$V$1000,"Sub"),$X302)))</f>
        <v/>
      </c>
      <c r="N302" s="56">
        <f>IF($M302="","",IF($M302&gt;=1,"Completado",IF($M302&gt;0,"En curso","Pendiente")))</f>
        <v/>
      </c>
      <c r="O302" s="56">
        <f>IF(NOT((COUNTA($B302:$D302)+COUNTA($G302:$L302)+COUNTA($Q302))&gt;0),"",IF(ISNUMBER($G302),IF(AND(ISNUMBER($AN302),$G302&gt;$AN302),"Cumplida con "&amp;($G302-$AN302)&amp;IF($G302-$AN302=1," día"," días")&amp;" de retraso","Cumplida"),IF(N($M302)&gt;=1,"Cumplida",IF(NOT(ISNUMBER($AN302)),"Sin fecha límite",IF($AN302&lt;FechaRef,"Vencida hace "&amp;(FechaRef-$AN302)&amp;IF(FechaRef-$AN302=1," día"," días"),IF($AN302=FechaRef,"Vence hoy",IF($AN302-FechaRef&lt;=DiasAlerta,"Vence en "&amp;($AN302-FechaRef)&amp;IF($AN302-FechaRef=1," día"," días"),"En plazo")))))))</f>
        <v/>
      </c>
      <c r="P302" s="62" t="n"/>
      <c r="Q302" s="58" t="n"/>
      <c r="R302" s="63">
        <f>IF(NOT((COUNTA($B302:$D302)+COUNTA($G302:$L302)+COUNTA($Q302))&gt;0),"",IF((IF($C302="","Falta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",""))="","✔ OK","⚠ "&amp;LEFT(IF($C302="","Falta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",""),LEN(IF($C302="","Falta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",""))-3)))</f>
        <v/>
      </c>
      <c r="S302" s="64">
        <f>IF(NOT((COUNTA($B302:$D302)+COUNTA($G302:$L302)+COUNTA($Q302))&gt;0),"",IF(AND($V302="Sub",N($U302)&gt;0),IF(ISNUMBER(INDEX($AM$5:$AM$1000,$U302-4)),DATE(YEAR(INDEX($AM$5:$AM$1000,$U302-4)),MONTH(INDEX($AM$5:$AM$1000,$U302-4)),1),IF(ISNUMBER(INDEX($AN$5:$AN$1000,$U302-4)),DATE(YEAR(INDEX($AN$5:$AN$1000,$U302-4)),MONTH(INDEX($AN$5:$AN$1000,$U302-4)),1),MesCiclo)),IF(ISNUMBER($AM302),DATE(YEAR($AM302),MONTH($AM302),1),IF(ISNUMBER($AN302),DATE(YEAR($AN302),MONTH($AN302),1),MesCiclo))))</f>
        <v/>
      </c>
      <c r="T302" s="62">
        <f>IF(OR($S302="",$S302&lt;&gt;MesCiclo),"",COUNTIF($S$5:$S302,MesCiclo))</f>
        <v/>
      </c>
      <c r="U302" s="62">
        <f>IF($V302="","",IF($V302="Macro",ROW(),IFERROR(LOOKUP(2,1/($V$5:$V302="Macro"),ROW($V$5:$V302)),0)))</f>
        <v/>
      </c>
      <c r="V302" s="62">
        <f>IF(NOT((COUNTA($B302:$D302)+COUNTA($G302:$L302)+COUNTA($Q302))&gt;0),"",IF($B302="Subactividad","Sub","Macro"))</f>
        <v/>
      </c>
      <c r="W302" s="62">
        <f>IF($V302="Macro",COUNTIFS($U$5:$U$1000,ROW(),$V$5:$V$1000,"Sub"),"")</f>
        <v/>
      </c>
      <c r="X302" s="62">
        <f>IF($V302="","",IF(ISNUMBER($G302),1,IFERROR(LOOKUP(2,1/($I302:$L302&lt;&gt;""),$I302:$L302),0)))</f>
        <v/>
      </c>
      <c r="Y302" s="62">
        <f>IF($V302="","",IF(AND(ISNUMBER($G302),$G302&lt;=IF($S302=MesCiclo,InicioCiclo,$S302+MOD(2-WEEKDAY($S302),7))+6),1,IF(ISNUMBER($I302),$I302,0)))</f>
        <v/>
      </c>
      <c r="Z302" s="62">
        <f>IF($V302="","",IF(AND(ISNUMBER($G302),$G302&lt;=IF($S302=MesCiclo,InicioCiclo,$S302+MOD(2-WEEKDAY($S302),7))+13),1,IF(ISNUMBER($J302),$J302,$Y302)))</f>
        <v/>
      </c>
      <c r="AA302" s="62">
        <f>IF($V302="","",IF(AND(ISNUMBER($G302),$G302&lt;=IF($S302=MesCiclo,InicioCiclo,$S302+MOD(2-WEEKDAY($S302),7))+20),1,IF(ISNUMBER($K302),$K302,$Z302)))</f>
        <v/>
      </c>
      <c r="AB302" s="62">
        <f>IF($V302="","",IF(AND(ISNUMBER($G302),$G302&lt;=IF($S302=MesCiclo,InicioCiclo,$S302+MOD(2-WEEKDAY($S302),7))+27),1,IF(ISNUMBER($L302),$L302,$AA302)))</f>
        <v/>
      </c>
      <c r="AC302" s="62">
        <f>IF($V302="","",IF(AND(ISNUMBER($G302),$G302&lt;=IF($S302=MesCiclo,InicioCiclo,$S302+MOD(2-WEEKDAY($S302),7))+6),1,IF(N($W302)&gt;0,AVERAGEIFS($Y$5:$Y$1000,$U$5:$U$1000,ROW(),$V$5:$V$1000,"Sub"),$Y302)))</f>
        <v/>
      </c>
      <c r="AD302" s="62">
        <f>IF($V302="","",IF(AND(ISNUMBER($G302),$G302&lt;=IF($S302=MesCiclo,InicioCiclo,$S302+MOD(2-WEEKDAY($S302),7))+13),1,IF(N($W302)&gt;0,AVERAGEIFS($Z$5:$Z$1000,$U$5:$U$1000,ROW(),$V$5:$V$1000,"Sub"),$Z302)))</f>
        <v/>
      </c>
      <c r="AE302" s="62">
        <f>IF($V302="","",IF(AND(ISNUMBER($G302),$G302&lt;=IF($S302=MesCiclo,InicioCiclo,$S302+MOD(2-WEEKDAY($S302),7))+20),1,IF(N($W302)&gt;0,AVERAGEIFS($AA$5:$AA$1000,$U$5:$U$1000,ROW(),$V$5:$V$1000,"Sub"),$AA302)))</f>
        <v/>
      </c>
      <c r="AF302" s="62">
        <f>IF($V302="","",IF(AND(ISNUMBER($G302),$G302&lt;=IF($S302=MesCiclo,InicioCiclo,$S302+MOD(2-WEEKDAY($S302),7))+27),1,IF(N($W302)&gt;0,AVERAGEIFS($AB$5:$AB$1000,$U$5:$U$1000,ROW(),$V$5:$V$1000,"Sub"),$AB302)))</f>
        <v/>
      </c>
      <c r="AG302" s="62">
        <f>IF($V302&lt;&gt;"Macro","",IF(COUNTIFS($S$5:$S$1000,$S302,$V$5:$V$1000,"Macro",$H$5:$H$1000,"&gt;0")=0,1/COUNTIFS($S$5:$S$1000,$S302,$V$5:$V$1000,"Macro"),IF(AND(ISNUMBER($H302),N($H302)&gt;0),$H302,SUMIFS($H$5:$H$1000,$S$5:$S$1000,$S302,$V$5:$V$1000,"Macro")/COUNTIFS($S$5:$S$1000,$S302,$V$5:$V$1000,"Macro",$H$5:$H$1000,"&gt;0"))/(COUNTIFS($S$5:$S$1000,$S302,$V$5:$V$1000,"Macro")*SUMIFS($H$5:$H$1000,$S$5:$S$1000,$S302,$V$5:$V$1000,"Macro")/COUNTIFS($S$5:$S$1000,$S302,$V$5:$V$1000,"Macro",$H$5:$H$1000,"&gt;0"))))</f>
        <v/>
      </c>
      <c r="AH302" s="62" t="n"/>
      <c r="AI302" s="62" t="n"/>
      <c r="AJ302" s="62" t="n"/>
      <c r="AK302" s="62" t="n"/>
      <c r="AL302" s="62">
        <f>IF(LEFT($C302,11)="[Jefatura] ",IFERROR(MATCH("Riesgo Financiero|"&amp;MID($C302,12,500),rDname_ADM,0),0),"")</f>
        <v/>
      </c>
      <c r="AM302" s="62">
        <f>IF(N($AL302)&gt;0,INDEX(rIni_ADM,$AL302),IF(ISNUMBER($E302),$E302,""))</f>
        <v/>
      </c>
      <c r="AN302" s="62">
        <f>IF(N($AL302)&gt;0,INDEX(rLim_ADM,$AL302),IF(ISNUMBER($F302),$F302,""))</f>
        <v/>
      </c>
    </row>
    <row r="303">
      <c r="A303" s="56">
        <f>IF(NOT((COUNTA($B303:$D303)+COUNTA($G303:$L303)+COUNTA($Q303))&gt;0),"",IF($V303="Macro",COUNTIFS($V$5:$V303,"Macro",$S$5:$S303,$S303),IF(N($U303)=0,"?",COUNTIFS(INDEX($V$5:$V$1000,1):INDEX($V$5:$V$1000,$U303-4),"Macro",INDEX($S$5:$S$1000,1):INDEX($S$5:$S$1000,$U303-4),INDEX($S$5:$S$1000,$U303-4))&amp;"."&amp;COUNTIFS($U$5:$U303,$U303,$V$5:$V303,"Sub"))))</f>
        <v/>
      </c>
      <c r="B303" s="57" t="n"/>
      <c r="C303" s="58" t="n"/>
      <c r="D303" s="58" t="n"/>
      <c r="E303" s="59">
        <f>IF(N($AL303)&gt;0,INDEX(rIni_ADM,$AL303),"")</f>
        <v/>
      </c>
      <c r="F303" s="59">
        <f>IF(N($AL303)&gt;0,INDEX(rLim_ADM,$AL303),"")</f>
        <v/>
      </c>
      <c r="G303" s="59" t="n"/>
      <c r="H303" s="60" t="n"/>
      <c r="I303" s="60" t="n"/>
      <c r="J303" s="60" t="n"/>
      <c r="K303" s="60" t="n"/>
      <c r="L303" s="60" t="n"/>
      <c r="M303" s="61">
        <f>IF(NOT((COUNTA($B303:$D303)+COUNTA($G303:$L303)+COUNTA($Q303))&gt;0),"",IF(ISNUMBER($G303),1,IF(N($W303)&gt;0,AVERAGEIFS($X$5:$X$1000,$U$5:$U$1000,ROW(),$V$5:$V$1000,"Sub"),$X303)))</f>
        <v/>
      </c>
      <c r="N303" s="56">
        <f>IF($M303="","",IF($M303&gt;=1,"Completado",IF($M303&gt;0,"En curso","Pendiente")))</f>
        <v/>
      </c>
      <c r="O303" s="56">
        <f>IF(NOT((COUNTA($B303:$D303)+COUNTA($G303:$L303)+COUNTA($Q303))&gt;0),"",IF(ISNUMBER($G303),IF(AND(ISNUMBER($AN303),$G303&gt;$AN303),"Cumplida con "&amp;($G303-$AN303)&amp;IF($G303-$AN303=1," día"," días")&amp;" de retraso","Cumplida"),IF(N($M303)&gt;=1,"Cumplida",IF(NOT(ISNUMBER($AN303)),"Sin fecha límite",IF($AN303&lt;FechaRef,"Vencida hace "&amp;(FechaRef-$AN303)&amp;IF(FechaRef-$AN303=1," día"," días"),IF($AN303=FechaRef,"Vence hoy",IF($AN303-FechaRef&lt;=DiasAlerta,"Vence en "&amp;($AN303-FechaRef)&amp;IF($AN303-FechaRef=1," día"," días"),"En plazo")))))))</f>
        <v/>
      </c>
      <c r="P303" s="62" t="n"/>
      <c r="Q303" s="58" t="n"/>
      <c r="R303" s="63">
        <f>IF(NOT((COUNTA($B303:$D303)+COUNTA($G303:$L303)+COUNTA($Q303))&gt;0),"",IF((IF($C303="","Falta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",""))="","✔ OK","⚠ "&amp;LEFT(IF($C303="","Falta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",""),LEN(IF($C303="","Falta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",""))-3)))</f>
        <v/>
      </c>
      <c r="S303" s="64">
        <f>IF(NOT((COUNTA($B303:$D303)+COUNTA($G303:$L303)+COUNTA($Q303))&gt;0),"",IF(AND($V303="Sub",N($U303)&gt;0),IF(ISNUMBER(INDEX($AM$5:$AM$1000,$U303-4)),DATE(YEAR(INDEX($AM$5:$AM$1000,$U303-4)),MONTH(INDEX($AM$5:$AM$1000,$U303-4)),1),IF(ISNUMBER(INDEX($AN$5:$AN$1000,$U303-4)),DATE(YEAR(INDEX($AN$5:$AN$1000,$U303-4)),MONTH(INDEX($AN$5:$AN$1000,$U303-4)),1),MesCiclo)),IF(ISNUMBER($AM303),DATE(YEAR($AM303),MONTH($AM303),1),IF(ISNUMBER($AN303),DATE(YEAR($AN303),MONTH($AN303),1),MesCiclo))))</f>
        <v/>
      </c>
      <c r="T303" s="62">
        <f>IF(OR($S303="",$S303&lt;&gt;MesCiclo),"",COUNTIF($S$5:$S303,MesCiclo))</f>
        <v/>
      </c>
      <c r="U303" s="62">
        <f>IF($V303="","",IF($V303="Macro",ROW(),IFERROR(LOOKUP(2,1/($V$5:$V303="Macro"),ROW($V$5:$V303)),0)))</f>
        <v/>
      </c>
      <c r="V303" s="62">
        <f>IF(NOT((COUNTA($B303:$D303)+COUNTA($G303:$L303)+COUNTA($Q303))&gt;0),"",IF($B303="Subactividad","Sub","Macro"))</f>
        <v/>
      </c>
      <c r="W303" s="62">
        <f>IF($V303="Macro",COUNTIFS($U$5:$U$1000,ROW(),$V$5:$V$1000,"Sub"),"")</f>
        <v/>
      </c>
      <c r="X303" s="62">
        <f>IF($V303="","",IF(ISNUMBER($G303),1,IFERROR(LOOKUP(2,1/($I303:$L303&lt;&gt;""),$I303:$L303),0)))</f>
        <v/>
      </c>
      <c r="Y303" s="62">
        <f>IF($V303="","",IF(AND(ISNUMBER($G303),$G303&lt;=IF($S303=MesCiclo,InicioCiclo,$S303+MOD(2-WEEKDAY($S303),7))+6),1,IF(ISNUMBER($I303),$I303,0)))</f>
        <v/>
      </c>
      <c r="Z303" s="62">
        <f>IF($V303="","",IF(AND(ISNUMBER($G303),$G303&lt;=IF($S303=MesCiclo,InicioCiclo,$S303+MOD(2-WEEKDAY($S303),7))+13),1,IF(ISNUMBER($J303),$J303,$Y303)))</f>
        <v/>
      </c>
      <c r="AA303" s="62">
        <f>IF($V303="","",IF(AND(ISNUMBER($G303),$G303&lt;=IF($S303=MesCiclo,InicioCiclo,$S303+MOD(2-WEEKDAY($S303),7))+20),1,IF(ISNUMBER($K303),$K303,$Z303)))</f>
        <v/>
      </c>
      <c r="AB303" s="62">
        <f>IF($V303="","",IF(AND(ISNUMBER($G303),$G303&lt;=IF($S303=MesCiclo,InicioCiclo,$S303+MOD(2-WEEKDAY($S303),7))+27),1,IF(ISNUMBER($L303),$L303,$AA303)))</f>
        <v/>
      </c>
      <c r="AC303" s="62">
        <f>IF($V303="","",IF(AND(ISNUMBER($G303),$G303&lt;=IF($S303=MesCiclo,InicioCiclo,$S303+MOD(2-WEEKDAY($S303),7))+6),1,IF(N($W303)&gt;0,AVERAGEIFS($Y$5:$Y$1000,$U$5:$U$1000,ROW(),$V$5:$V$1000,"Sub"),$Y303)))</f>
        <v/>
      </c>
      <c r="AD303" s="62">
        <f>IF($V303="","",IF(AND(ISNUMBER($G303),$G303&lt;=IF($S303=MesCiclo,InicioCiclo,$S303+MOD(2-WEEKDAY($S303),7))+13),1,IF(N($W303)&gt;0,AVERAGEIFS($Z$5:$Z$1000,$U$5:$U$1000,ROW(),$V$5:$V$1000,"Sub"),$Z303)))</f>
        <v/>
      </c>
      <c r="AE303" s="62">
        <f>IF($V303="","",IF(AND(ISNUMBER($G303),$G303&lt;=IF($S303=MesCiclo,InicioCiclo,$S303+MOD(2-WEEKDAY($S303),7))+20),1,IF(N($W303)&gt;0,AVERAGEIFS($AA$5:$AA$1000,$U$5:$U$1000,ROW(),$V$5:$V$1000,"Sub"),$AA303)))</f>
        <v/>
      </c>
      <c r="AF303" s="62">
        <f>IF($V303="","",IF(AND(ISNUMBER($G303),$G303&lt;=IF($S303=MesCiclo,InicioCiclo,$S303+MOD(2-WEEKDAY($S303),7))+27),1,IF(N($W303)&gt;0,AVERAGEIFS($AB$5:$AB$1000,$U$5:$U$1000,ROW(),$V$5:$V$1000,"Sub"),$AB303)))</f>
        <v/>
      </c>
      <c r="AG303" s="62">
        <f>IF($V303&lt;&gt;"Macro","",IF(COUNTIFS($S$5:$S$1000,$S303,$V$5:$V$1000,"Macro",$H$5:$H$1000,"&gt;0")=0,1/COUNTIFS($S$5:$S$1000,$S303,$V$5:$V$1000,"Macro"),IF(AND(ISNUMBER($H303),N($H303)&gt;0),$H303,SUMIFS($H$5:$H$1000,$S$5:$S$1000,$S303,$V$5:$V$1000,"Macro")/COUNTIFS($S$5:$S$1000,$S303,$V$5:$V$1000,"Macro",$H$5:$H$1000,"&gt;0"))/(COUNTIFS($S$5:$S$1000,$S303,$V$5:$V$1000,"Macro")*SUMIFS($H$5:$H$1000,$S$5:$S$1000,$S303,$V$5:$V$1000,"Macro")/COUNTIFS($S$5:$S$1000,$S303,$V$5:$V$1000,"Macro",$H$5:$H$1000,"&gt;0"))))</f>
        <v/>
      </c>
      <c r="AH303" s="62" t="n"/>
      <c r="AI303" s="62" t="n"/>
      <c r="AJ303" s="62" t="n"/>
      <c r="AK303" s="62" t="n"/>
      <c r="AL303" s="62">
        <f>IF(LEFT($C303,11)="[Jefatura] ",IFERROR(MATCH("Riesgo Financiero|"&amp;MID($C303,12,500),rDname_ADM,0),0),"")</f>
        <v/>
      </c>
      <c r="AM303" s="62">
        <f>IF(N($AL303)&gt;0,INDEX(rIni_ADM,$AL303),IF(ISNUMBER($E303),$E303,""))</f>
        <v/>
      </c>
      <c r="AN303" s="62">
        <f>IF(N($AL303)&gt;0,INDEX(rLim_ADM,$AL303),IF(ISNUMBER($F303),$F303,""))</f>
        <v/>
      </c>
    </row>
    <row r="304">
      <c r="A304" s="56">
        <f>IF(NOT((COUNTA($B304:$D304)+COUNTA($G304:$L304)+COUNTA($Q304))&gt;0),"",IF($V304="Macro",COUNTIFS($V$5:$V304,"Macro",$S$5:$S304,$S304),IF(N($U304)=0,"?",COUNTIFS(INDEX($V$5:$V$1000,1):INDEX($V$5:$V$1000,$U304-4),"Macro",INDEX($S$5:$S$1000,1):INDEX($S$5:$S$1000,$U304-4),INDEX($S$5:$S$1000,$U304-4))&amp;"."&amp;COUNTIFS($U$5:$U304,$U304,$V$5:$V304,"Sub"))))</f>
        <v/>
      </c>
      <c r="B304" s="57" t="n"/>
      <c r="C304" s="58" t="n"/>
      <c r="D304" s="58" t="n"/>
      <c r="E304" s="59">
        <f>IF(N($AL304)&gt;0,INDEX(rIni_ADM,$AL304),"")</f>
        <v/>
      </c>
      <c r="F304" s="59">
        <f>IF(N($AL304)&gt;0,INDEX(rLim_ADM,$AL304),"")</f>
        <v/>
      </c>
      <c r="G304" s="59" t="n"/>
      <c r="H304" s="60" t="n"/>
      <c r="I304" s="60" t="n"/>
      <c r="J304" s="60" t="n"/>
      <c r="K304" s="60" t="n"/>
      <c r="L304" s="60" t="n"/>
      <c r="M304" s="61">
        <f>IF(NOT((COUNTA($B304:$D304)+COUNTA($G304:$L304)+COUNTA($Q304))&gt;0),"",IF(ISNUMBER($G304),1,IF(N($W304)&gt;0,AVERAGEIFS($X$5:$X$1000,$U$5:$U$1000,ROW(),$V$5:$V$1000,"Sub"),$X304)))</f>
        <v/>
      </c>
      <c r="N304" s="56">
        <f>IF($M304="","",IF($M304&gt;=1,"Completado",IF($M304&gt;0,"En curso","Pendiente")))</f>
        <v/>
      </c>
      <c r="O304" s="56">
        <f>IF(NOT((COUNTA($B304:$D304)+COUNTA($G304:$L304)+COUNTA($Q304))&gt;0),"",IF(ISNUMBER($G304),IF(AND(ISNUMBER($AN304),$G304&gt;$AN304),"Cumplida con "&amp;($G304-$AN304)&amp;IF($G304-$AN304=1," día"," días")&amp;" de retraso","Cumplida"),IF(N($M304)&gt;=1,"Cumplida",IF(NOT(ISNUMBER($AN304)),"Sin fecha límite",IF($AN304&lt;FechaRef,"Vencida hace "&amp;(FechaRef-$AN304)&amp;IF(FechaRef-$AN304=1," día"," días"),IF($AN304=FechaRef,"Vence hoy",IF($AN304-FechaRef&lt;=DiasAlerta,"Vence en "&amp;($AN304-FechaRef)&amp;IF($AN304-FechaRef=1," día"," días"),"En plazo")))))))</f>
        <v/>
      </c>
      <c r="P304" s="62" t="n"/>
      <c r="Q304" s="58" t="n"/>
      <c r="R304" s="63">
        <f>IF(NOT((COUNTA($B304:$D304)+COUNTA($G304:$L304)+COUNTA($Q304))&gt;0),"",IF((IF($C304="","Falta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",""))="","✔ OK","⚠ "&amp;LEFT(IF($C304="","Falta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",""),LEN(IF($C304="","Falta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",""))-3)))</f>
        <v/>
      </c>
      <c r="S304" s="64">
        <f>IF(NOT((COUNTA($B304:$D304)+COUNTA($G304:$L304)+COUNTA($Q304))&gt;0),"",IF(AND($V304="Sub",N($U304)&gt;0),IF(ISNUMBER(INDEX($AM$5:$AM$1000,$U304-4)),DATE(YEAR(INDEX($AM$5:$AM$1000,$U304-4)),MONTH(INDEX($AM$5:$AM$1000,$U304-4)),1),IF(ISNUMBER(INDEX($AN$5:$AN$1000,$U304-4)),DATE(YEAR(INDEX($AN$5:$AN$1000,$U304-4)),MONTH(INDEX($AN$5:$AN$1000,$U304-4)),1),MesCiclo)),IF(ISNUMBER($AM304),DATE(YEAR($AM304),MONTH($AM304),1),IF(ISNUMBER($AN304),DATE(YEAR($AN304),MONTH($AN304),1),MesCiclo))))</f>
        <v/>
      </c>
      <c r="T304" s="62">
        <f>IF(OR($S304="",$S304&lt;&gt;MesCiclo),"",COUNTIF($S$5:$S304,MesCiclo))</f>
        <v/>
      </c>
      <c r="U304" s="62">
        <f>IF($V304="","",IF($V304="Macro",ROW(),IFERROR(LOOKUP(2,1/($V$5:$V304="Macro"),ROW($V$5:$V304)),0)))</f>
        <v/>
      </c>
      <c r="V304" s="62">
        <f>IF(NOT((COUNTA($B304:$D304)+COUNTA($G304:$L304)+COUNTA($Q304))&gt;0),"",IF($B304="Subactividad","Sub","Macro"))</f>
        <v/>
      </c>
      <c r="W304" s="62">
        <f>IF($V304="Macro",COUNTIFS($U$5:$U$1000,ROW(),$V$5:$V$1000,"Sub"),"")</f>
        <v/>
      </c>
      <c r="X304" s="62">
        <f>IF($V304="","",IF(ISNUMBER($G304),1,IFERROR(LOOKUP(2,1/($I304:$L304&lt;&gt;""),$I304:$L304),0)))</f>
        <v/>
      </c>
      <c r="Y304" s="62">
        <f>IF($V304="","",IF(AND(ISNUMBER($G304),$G304&lt;=IF($S304=MesCiclo,InicioCiclo,$S304+MOD(2-WEEKDAY($S304),7))+6),1,IF(ISNUMBER($I304),$I304,0)))</f>
        <v/>
      </c>
      <c r="Z304" s="62">
        <f>IF($V304="","",IF(AND(ISNUMBER($G304),$G304&lt;=IF($S304=MesCiclo,InicioCiclo,$S304+MOD(2-WEEKDAY($S304),7))+13),1,IF(ISNUMBER($J304),$J304,$Y304)))</f>
        <v/>
      </c>
      <c r="AA304" s="62">
        <f>IF($V304="","",IF(AND(ISNUMBER($G304),$G304&lt;=IF($S304=MesCiclo,InicioCiclo,$S304+MOD(2-WEEKDAY($S304),7))+20),1,IF(ISNUMBER($K304),$K304,$Z304)))</f>
        <v/>
      </c>
      <c r="AB304" s="62">
        <f>IF($V304="","",IF(AND(ISNUMBER($G304),$G304&lt;=IF($S304=MesCiclo,InicioCiclo,$S304+MOD(2-WEEKDAY($S304),7))+27),1,IF(ISNUMBER($L304),$L304,$AA304)))</f>
        <v/>
      </c>
      <c r="AC304" s="62">
        <f>IF($V304="","",IF(AND(ISNUMBER($G304),$G304&lt;=IF($S304=MesCiclo,InicioCiclo,$S304+MOD(2-WEEKDAY($S304),7))+6),1,IF(N($W304)&gt;0,AVERAGEIFS($Y$5:$Y$1000,$U$5:$U$1000,ROW(),$V$5:$V$1000,"Sub"),$Y304)))</f>
        <v/>
      </c>
      <c r="AD304" s="62">
        <f>IF($V304="","",IF(AND(ISNUMBER($G304),$G304&lt;=IF($S304=MesCiclo,InicioCiclo,$S304+MOD(2-WEEKDAY($S304),7))+13),1,IF(N($W304)&gt;0,AVERAGEIFS($Z$5:$Z$1000,$U$5:$U$1000,ROW(),$V$5:$V$1000,"Sub"),$Z304)))</f>
        <v/>
      </c>
      <c r="AE304" s="62">
        <f>IF($V304="","",IF(AND(ISNUMBER($G304),$G304&lt;=IF($S304=MesCiclo,InicioCiclo,$S304+MOD(2-WEEKDAY($S304),7))+20),1,IF(N($W304)&gt;0,AVERAGEIFS($AA$5:$AA$1000,$U$5:$U$1000,ROW(),$V$5:$V$1000,"Sub"),$AA304)))</f>
        <v/>
      </c>
      <c r="AF304" s="62">
        <f>IF($V304="","",IF(AND(ISNUMBER($G304),$G304&lt;=IF($S304=MesCiclo,InicioCiclo,$S304+MOD(2-WEEKDAY($S304),7))+27),1,IF(N($W304)&gt;0,AVERAGEIFS($AB$5:$AB$1000,$U$5:$U$1000,ROW(),$V$5:$V$1000,"Sub"),$AB304)))</f>
        <v/>
      </c>
      <c r="AG304" s="62">
        <f>IF($V304&lt;&gt;"Macro","",IF(COUNTIFS($S$5:$S$1000,$S304,$V$5:$V$1000,"Macro",$H$5:$H$1000,"&gt;0")=0,1/COUNTIFS($S$5:$S$1000,$S304,$V$5:$V$1000,"Macro"),IF(AND(ISNUMBER($H304),N($H304)&gt;0),$H304,SUMIFS($H$5:$H$1000,$S$5:$S$1000,$S304,$V$5:$V$1000,"Macro")/COUNTIFS($S$5:$S$1000,$S304,$V$5:$V$1000,"Macro",$H$5:$H$1000,"&gt;0"))/(COUNTIFS($S$5:$S$1000,$S304,$V$5:$V$1000,"Macro")*SUMIFS($H$5:$H$1000,$S$5:$S$1000,$S304,$V$5:$V$1000,"Macro")/COUNTIFS($S$5:$S$1000,$S304,$V$5:$V$1000,"Macro",$H$5:$H$1000,"&gt;0"))))</f>
        <v/>
      </c>
      <c r="AH304" s="62" t="n"/>
      <c r="AI304" s="62" t="n"/>
      <c r="AJ304" s="62" t="n"/>
      <c r="AK304" s="62" t="n"/>
      <c r="AL304" s="62">
        <f>IF(LEFT($C304,11)="[Jefatura] ",IFERROR(MATCH("Riesgo Financiero|"&amp;MID($C304,12,500),rDname_ADM,0),0),"")</f>
        <v/>
      </c>
      <c r="AM304" s="62">
        <f>IF(N($AL304)&gt;0,INDEX(rIni_ADM,$AL304),IF(ISNUMBER($E304),$E304,""))</f>
        <v/>
      </c>
      <c r="AN304" s="62">
        <f>IF(N($AL304)&gt;0,INDEX(rLim_ADM,$AL304),IF(ISNUMBER($F304),$F304,""))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S1"/>
    <mergeCell ref="M3:O3"/>
    <mergeCell ref="E3:J3"/>
    <mergeCell ref="A2:S2"/>
    <mergeCell ref="K3:L3"/>
    <mergeCell ref="Q3:S3"/>
  </mergeCells>
  <conditionalFormatting sqref="M3:O3">
    <cfRule type="expression" priority="1" dxfId="8" stopIfTrue="1">
      <formula>COUNTIFS($S$5:$S$1000,MesCiclo,$O$5:$O$1000,"Vencida*")&gt;0</formula>
    </cfRule>
    <cfRule type="expression" priority="2" dxfId="9" stopIfTrue="1">
      <formula>COUNTIFS($S$5:$S$1000,MesCiclo,$O$5:$O$1000,"Vence*")&gt;0</formula>
    </cfRule>
    <cfRule type="expression" priority="3" dxfId="0">
      <formula>TRUE</formula>
    </cfRule>
  </conditionalFormatting>
  <conditionalFormatting sqref="Q3:S3">
    <cfRule type="expression" priority="4" dxfId="9" stopIfTrue="1">
      <formula>(COUNTIFS('Administración'!$D$5:$D$1000,"Riesgo Financiero",'Administración'!$S$5:$S$1000,MesCiclo,'Administración'!$V$5:$V$1000,"Macro")-COUNTIFS('Administración'!$D$5:$D$1000,"Riesgo Financiero",'Administración'!$S$5:$S$1000,MesCiclo,'Administración'!$V$5:$V$1000,"Macro",'Administración'!$AH$5:$AH$1000,"&gt;0"))&gt;0</formula>
    </cfRule>
    <cfRule type="expression" priority="5" dxfId="0">
      <formula>COUNTIFS('Administración'!$D$5:$D$1000,"Riesgo Financiero",'Administración'!$S$5:$S$1000,MesCiclo,'Administración'!$V$5:$V$1000,"Macro")&gt;0</formula>
    </cfRule>
  </conditionalFormatting>
  <conditionalFormatting sqref="C5:C1000">
    <cfRule type="expression" priority="6" dxfId="10" stopIfTrue="1">
      <formula>LEFT($C5,11)="[Jefatura] "</formula>
    </cfRule>
    <cfRule type="expression" priority="9" dxfId="11">
      <formula>$V5="Sub"</formula>
    </cfRule>
  </conditionalFormatting>
  <conditionalFormatting sqref="A5:C1000">
    <cfRule type="expression" priority="7" dxfId="5" stopIfTrue="1">
      <formula>AND($V5="Macro",$C5="")</formula>
    </cfRule>
    <cfRule type="expression" priority="8" dxfId="22">
      <formula>$V5="Macro"</formula>
    </cfRule>
  </conditionalFormatting>
  <conditionalFormatting sqref="N5:N1000">
    <cfRule type="expression" priority="10" dxfId="0">
      <formula>$N5="Completado"</formula>
    </cfRule>
    <cfRule type="expression" priority="11" dxfId="4">
      <formula>$N5="En curso"</formula>
    </cfRule>
    <cfRule type="expression" priority="12" dxfId="5">
      <formula>$N5="Pendiente"</formula>
    </cfRule>
  </conditionalFormatting>
  <conditionalFormatting sqref="O5:O1000">
    <cfRule type="expression" priority="13" dxfId="8" stopIfTrue="1">
      <formula>LEFT($O5,7)="Vencida"</formula>
    </cfRule>
    <cfRule type="expression" priority="14" dxfId="9" stopIfTrue="1">
      <formula>LEFT($O5,5)="Vence"</formula>
    </cfRule>
    <cfRule type="expression" priority="15" dxfId="0" stopIfTrue="1">
      <formula>LEFT($O5,8)="Cumplida"</formula>
    </cfRule>
    <cfRule type="expression" priority="16" dxfId="13" stopIfTrue="1">
      <formula>$O5="En plazo"</formula>
    </cfRule>
    <cfRule type="expression" priority="17" dxfId="5">
      <formula>$O5="Sin fecha límite"</formula>
    </cfRule>
  </conditionalFormatting>
  <conditionalFormatting sqref="M5:M1000">
    <cfRule type="expression" priority="18" dxfId="0">
      <formula>AND(ISNUMBER($M5),$M5&gt;=1)</formula>
    </cfRule>
    <cfRule type="dataBar" priority="19">
      <dataBar showValue="1">
        <cfvo type="num" val="0"/>
        <cfvo type="num" val="1"/>
        <color rgb="005B9BD5"/>
      </dataBar>
    </cfRule>
  </conditionalFormatting>
  <conditionalFormatting sqref="G5:G1000">
    <cfRule type="expression" priority="20" dxfId="0">
      <formula>ISNUMBER($G5)</formula>
    </cfRule>
  </conditionalFormatting>
  <conditionalFormatting sqref="F5:F1000">
    <cfRule type="expression" priority="21" dxfId="6" stopIfTrue="1">
      <formula>AND(ISNUMBER($AN5),$AN5&lt;FechaRef,N($M5)&lt;1)</formula>
    </cfRule>
    <cfRule type="expression" priority="22" dxfId="7">
      <formula>AND(ISNUMBER($AN5),$AN5&gt;=FechaRef,$AN5-FechaRef&lt;=DiasAlerta,N($M5)&lt;1)</formula>
    </cfRule>
  </conditionalFormatting>
  <conditionalFormatting sqref="E5:F1000">
    <cfRule type="expression" priority="23" dxfId="10" stopIfTrue="1">
      <formula>AND(N($AL5)&gt;0)</formula>
    </cfRule>
    <cfRule type="expression" priority="24" dxfId="5" stopIfTrue="1">
      <formula>AND((COUNTA($B5:$D5)+COUNTA($G5:$L5)+COUNTA($Q5))&gt;0,$AM5="")</formula>
    </cfRule>
    <cfRule type="expression" priority="25" dxfId="6">
      <formula>AND(ISNUMBER($E5),ISNUMBER($F5),$E5&gt;$F5)</formula>
    </cfRule>
  </conditionalFormatting>
  <conditionalFormatting sqref="H5:H1000">
    <cfRule type="expression" priority="26" dxfId="5" stopIfTrue="1">
      <formula>AND($V5="Sub",$H5&lt;&gt;"")</formula>
    </cfRule>
    <cfRule type="expression" priority="27" dxfId="14" stopIfTrue="1">
      <formula>$V5="Sub"</formula>
    </cfRule>
  </conditionalFormatting>
  <conditionalFormatting sqref="I5:L1000">
    <cfRule type="expression" priority="28" dxfId="5" stopIfTrue="1">
      <formula>AND(N($W5)&gt;0,I5&lt;&gt;"")</formula>
    </cfRule>
    <cfRule type="expression" priority="29" dxfId="14" stopIfTrue="1">
      <formula>OR(N($W5)&gt;0,ISNUMBER($G5))</formula>
    </cfRule>
    <cfRule type="expression" priority="30" dxfId="5" stopIfTrue="1">
      <formula>AND(I5&lt;&gt;"",OR(NOT(ISNUMBER(I5)),I5&gt;1,I5&lt;0))</formula>
    </cfRule>
  </conditionalFormatting>
  <conditionalFormatting sqref="J5:L1000">
    <cfRule type="expression" priority="31" dxfId="6">
      <formula>AND(J5&lt;&gt;"",J5&lt;MAX($I5:I5))</formula>
    </cfRule>
  </conditionalFormatting>
  <conditionalFormatting sqref="Q5:Q1000">
    <cfRule type="expression" priority="32" dxfId="5">
      <formula>AND(ObsObligatoria="Sí",ISNUMBER($F5),$F5&lt;FechaRef,N($M5)&lt;1,$Q5="")</formula>
    </cfRule>
  </conditionalFormatting>
  <conditionalFormatting sqref="R5:R1000">
    <cfRule type="expression" priority="33" dxfId="5">
      <formula>LEFT($R5,1)="⚠"</formula>
    </cfRule>
    <cfRule type="expression" priority="34" dxfId="15">
      <formula>LEFT($R5,1)="✔"</formula>
    </cfRule>
  </conditionalFormatting>
  <conditionalFormatting sqref="S5:S1000">
    <cfRule type="expression" priority="35" dxfId="1">
      <formula>AND($S5&lt;&gt;"",$S5=MesCiclo)</formula>
    </cfRule>
  </conditionalFormatting>
  <dataValidations count="6">
    <dataValidation sqref="E5:F1000" showDropDown="0" showInputMessage="1" showErrorMessage="1" allowBlank="1" errorTitle="Fecha no permitida" error="Si la actividad es de la jefatura ([Jefatura]), las fechas las pone la jefatura y no se pueden cambiar. En sus actividades propias escriba una fecha válida (dd/mm/aaaa)." promptTitle="Fechas" prompt="En actividades [Jefatura] las fechas aparecen solas (las pone la jefatura). En las propias, escriba la fecha." type="custom">
      <formula1>AND(LEFT($C5,11)&lt;&gt;"[Jefatura] ",ISNUMBER(E5),E5&gt;36526)</formula1>
    </dataValidation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). Vacío = Macroactividad." type="list">
      <formula1>"Macroactividad,Subactividad"</formula1>
    </dataValidation>
    <dataValidation sqref="G5:G1000" showDropDown="0" showInputMessage="1" showErrorMessage="1" allowBlank="1" errorTitle="Fecha no válida" error="Ingrese una fecha válida (dd/mm/aaaa)." promptTitle="Fecha de cumplimiento" prompt="Escriba la fecha en que se cumplió. La actividad queda al 100% y ya no aparece vencida." type="date" operator="greaterThan">
      <formula1>36526</formula1>
    </dataValidation>
    <dataValidation sqref="H5:H1000" showDropDown="0" showInputMessage="1" showErrorMessage="1" allowBlank="1" errorTitle="Peso no válido" error="Ingrese un porcentaje entre 0% y 100% (por ejemplo 40%)." promptTitle="Peso (solo macroactividades)" prompt="Opcional. Vacío = todas las macroactividades del mes valen igual. Si escribe pesos, se ajustan solos a 100%. Las subactividades no llevan peso." type="decimal" operator="between">
      <formula1>0</formula1>
      <formula2>1</formula2>
    </dataValidation>
    <dataValidation sqref="I5:L1000" showDropDown="0" showInputMessage="1" showErrorMessage="1" allowBlank="1" errorTitle="Avance no válido" error="Ingrese un porcentaje entre 0% y 100%. Deje la celda vacía si la semana no ha llegado." promptTitle="Avance parcial (opcional)" prompt="% TOTAL logrado hasta esta semana. Cuando termine, escriba la Fecha de cumplimiento. Si la macroactividad tiene subactividades, déjelo vacío." type="decimal" operator="between">
      <formula1>0</formula1>
      <formula2>1</formula2>
    </dataValidation>
    <dataValidation sqref="C5:C1000" showDropDown="0" showInputMessage="1" showErrorMessage="0" allowBlank="1" promptTitle="Actividad" prompt="Escriba el nombre, o elija en la lista una actividad delegada por la jefatura." type="list">
      <formula1>ListaDeleg_RF</formula1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Q10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2" customWidth="1" min="3" max="3"/>
    <col width="12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20" customWidth="1" min="12" max="12"/>
    <col width="46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28" customHeight="1">
      <c r="A1" s="82" t="inlineStr">
        <is>
          <t>Actividades del mes por semana – Riesgo Financiero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</row>
    <row r="2" ht="34" customHeight="1">
      <c r="A2" s="74" t="inlineStr">
        <is>
          <t>HOJA AUTOMÁTICA Y BLOQUEADA: muestra solo las actividades del mes indicado abajo, tomadas de «Cronograma R. Financiero». No hay que escribir nada aquí. Cada macroactividad (resaltada) va seguida de sus subactividades (↳). La barra de color marca las semanas en que cada actividad está programada y dentro aparece el avance de esa semana. La columna «Alerta de plazo» indica lo vencido y lo que está por vencer.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</row>
    <row r="3">
      <c r="A3" s="75" t="inlineStr">
        <is>
          <t>Mes:</t>
        </is>
      </c>
      <c r="B3" s="76">
        <f>MesCiclo</f>
        <v/>
      </c>
      <c r="E3" s="77" t="inlineStr">
        <is>
          <t>Semana del:</t>
        </is>
      </c>
      <c r="F3" s="78">
        <f>(InicioCiclo+0)</f>
        <v/>
      </c>
      <c r="G3" s="78">
        <f>(InicioCiclo+7)</f>
        <v/>
      </c>
      <c r="H3" s="78">
        <f>(InicioCiclo+14)</f>
        <v/>
      </c>
      <c r="I3" s="78">
        <f>(InicioCiclo+21)</f>
        <v/>
      </c>
    </row>
    <row r="4" ht="34" customHeight="1">
      <c r="A4" s="54" t="inlineStr">
        <is>
          <t>N°</t>
        </is>
      </c>
      <c r="B4" s="54" t="inlineStr">
        <is>
          <t>Actividad</t>
        </is>
      </c>
      <c r="C4" s="54" t="inlineStr">
        <is>
          <t>Fecha de inicio</t>
        </is>
      </c>
      <c r="D4" s="54" t="inlineStr">
        <is>
          <t>Fecha límite</t>
        </is>
      </c>
      <c r="E4" s="54" t="inlineStr">
        <is>
          <t>Semana de entrega</t>
        </is>
      </c>
      <c r="F4" s="69" t="inlineStr">
        <is>
          <t>Semana 1</t>
        </is>
      </c>
      <c r="G4" s="69" t="inlineStr">
        <is>
          <t>Semana 2</t>
        </is>
      </c>
      <c r="H4" s="69" t="inlineStr">
        <is>
          <t>Semana 3</t>
        </is>
      </c>
      <c r="I4" s="69" t="inlineStr">
        <is>
          <t>Semana 4</t>
        </is>
      </c>
      <c r="J4" s="54" t="inlineStr">
        <is>
          <t>% Avance actual</t>
        </is>
      </c>
      <c r="K4" s="54" t="inlineStr">
        <is>
          <t>Estado</t>
        </is>
      </c>
      <c r="L4" s="54" t="inlineStr">
        <is>
          <t>Alerta de plazo</t>
        </is>
      </c>
      <c r="M4" s="54" t="inlineStr">
        <is>
          <t>Observaciones</t>
        </is>
      </c>
      <c r="N4" t="inlineStr">
        <is>
          <t>Fila origen (aux)</t>
        </is>
      </c>
      <c r="O4" t="inlineStr">
        <is>
          <t>Tipo (aux)</t>
        </is>
      </c>
      <c r="P4" t="inlineStr">
        <is>
          <t>N subactividades (aux)</t>
        </is>
      </c>
      <c r="Q4" t="inlineStr">
        <is>
          <t>N° alerta de plazo (aux)</t>
        </is>
      </c>
    </row>
    <row r="5">
      <c r="A5" s="56">
        <f>IF($N5="","",INDEX('Cronograma R. Financiero'!$A$5:$A$1000,$N5))</f>
        <v/>
      </c>
      <c r="B5" s="62">
        <f>IF($N5="","",IF($O5="Sub","      ↳  "&amp;INDEX('Cronograma R. Financiero'!$C$5:$C$1000,$N5),INDEX('Cronograma R. Financiero'!$C$5:$C$1000,$N5)&amp;""))</f>
        <v/>
      </c>
      <c r="C5" s="79">
        <f>IF($N5="","",IF(INDEX('Cronograma R. Financiero'!$AM$5:$AM$1000,$N5)="","",INDEX('Cronograma R. Financiero'!$AM$5:$AM$1000,$N5)))</f>
        <v/>
      </c>
      <c r="D5" s="79">
        <f>IF($N5="","",IF(INDEX('Cronograma R. Financiero'!$AN$5:$AN$1000,$N5)="","",INDEX('Cronograma R. Financiero'!$AN$5:$AN$1000,$N5)))</f>
        <v/>
      </c>
      <c r="E5" s="56">
        <f>IF($N5="","",IF(NOT(ISNUMBER($D5)),"",IF($D5&lt;InicioCiclo,"Antes del ciclo",IF($D5&gt;=InicioCiclo+28,"Después del ciclo","Semana "&amp;(INT(($D5-InicioCiclo)/7)+1)))))</f>
        <v/>
      </c>
      <c r="F5" s="61">
        <f>IF($N5="","",IF($P5&gt;0,IF(1&lt;=SemanaActual,INDEX('Cronograma R. Financiero'!$AC$5:$AC$1000,$N5),""),IF(INDEX('Cronograma R. Financiero'!$I$5:$I$1000,$N5)="","",INDEX('Cronograma R. Financiero'!$I$5:$I$1000,$N5))))</f>
        <v/>
      </c>
      <c r="G5" s="61">
        <f>IF($N5="","",IF($P5&gt;0,IF(2&lt;=SemanaActual,INDEX('Cronograma R. Financiero'!$AD$5:$AD$1000,$N5),""),IF(INDEX('Cronograma R. Financiero'!$J$5:$J$1000,$N5)="","",INDEX('Cronograma R. Financiero'!$J$5:$J$1000,$N5))))</f>
        <v/>
      </c>
      <c r="H5" s="61">
        <f>IF($N5="","",IF($P5&gt;0,IF(3&lt;=SemanaActual,INDEX('Cronograma R. Financiero'!$AE$5:$AE$1000,$N5),""),IF(INDEX('Cronograma R. Financiero'!$K$5:$K$1000,$N5)="","",INDEX('Cronograma R. Financiero'!$K$5:$K$1000,$N5))))</f>
        <v/>
      </c>
      <c r="I5" s="61">
        <f>IF($N5="","",IF($P5&gt;0,IF(4&lt;=SemanaActual,INDEX('Cronograma R. Financiero'!$AF$5:$AF$1000,$N5),""),IF(INDEX('Cronograma R. Financiero'!$L$5:$L$1000,$N5)="","",INDEX('Cronograma R. Financiero'!$L$5:$L$1000,$N5))))</f>
        <v/>
      </c>
      <c r="J5" s="61">
        <f>IF($N5="","",INDEX('Cronograma R. Financiero'!$M$5:$M$1000,$N5))</f>
        <v/>
      </c>
      <c r="K5" s="56">
        <f>IF($N5="","",IF(N($J5)&gt;=1,"Completado",IF(AND(ISNUMBER($D5),$D5&lt;FechaRef),"Vencida",IF(N($J5)&gt;0,"En curso","Pendiente"))))</f>
        <v/>
      </c>
      <c r="L5" s="56">
        <f>IF($N5="","",INDEX('Cronograma R. Financiero'!$O$5:$O$1000,$N5)&amp;"")</f>
        <v/>
      </c>
      <c r="M5" s="62">
        <f>IF($N5="","",INDEX('Cronograma R. Financiero'!$Q$5:$Q$1000,$N5)&amp;"")</f>
        <v/>
      </c>
      <c r="N5">
        <f>IFERROR(MATCH(ROW()-4,rOrden_RF,0),"")</f>
        <v/>
      </c>
      <c r="O5">
        <f>IF($N5="","",INDEX('Cronograma R. Financiero'!$V$5:$V$1000,$N5))</f>
        <v/>
      </c>
      <c r="P5">
        <f>IF($N5="","",N(INDEX('Cronograma R. Financiero'!$W$5:$W$1000,$N5)))</f>
        <v/>
      </c>
      <c r="Q5">
        <f>IF(OR(LEFT($L5,7)="Vencida",LEFT($L5,5)="Vence"),SUMPRODUCT(--(LEFT($L$5:$L5,7)="Vencida"))+SUMPRODUCT(--(LEFT($L$5:$L5,5)="Vence")),"")</f>
        <v/>
      </c>
    </row>
    <row r="6">
      <c r="A6" s="56">
        <f>IF($N6="","",INDEX('Cronograma R. Financiero'!$A$5:$A$1000,$N6))</f>
        <v/>
      </c>
      <c r="B6" s="62">
        <f>IF($N6="","",IF($O6="Sub","      ↳  "&amp;INDEX('Cronograma R. Financiero'!$C$5:$C$1000,$N6),INDEX('Cronograma R. Financiero'!$C$5:$C$1000,$N6)&amp;""))</f>
        <v/>
      </c>
      <c r="C6" s="79">
        <f>IF($N6="","",IF(INDEX('Cronograma R. Financiero'!$AM$5:$AM$1000,$N6)="","",INDEX('Cronograma R. Financiero'!$AM$5:$AM$1000,$N6)))</f>
        <v/>
      </c>
      <c r="D6" s="79">
        <f>IF($N6="","",IF(INDEX('Cronograma R. Financiero'!$AN$5:$AN$1000,$N6)="","",INDEX('Cronograma R. Financiero'!$AN$5:$AN$1000,$N6)))</f>
        <v/>
      </c>
      <c r="E6" s="56">
        <f>IF($N6="","",IF(NOT(ISNUMBER($D6)),"",IF($D6&lt;InicioCiclo,"Antes del ciclo",IF($D6&gt;=InicioCiclo+28,"Después del ciclo","Semana "&amp;(INT(($D6-InicioCiclo)/7)+1)))))</f>
        <v/>
      </c>
      <c r="F6" s="61">
        <f>IF($N6="","",IF($P6&gt;0,IF(1&lt;=SemanaActual,INDEX('Cronograma R. Financiero'!$AC$5:$AC$1000,$N6),""),IF(INDEX('Cronograma R. Financiero'!$I$5:$I$1000,$N6)="","",INDEX('Cronograma R. Financiero'!$I$5:$I$1000,$N6))))</f>
        <v/>
      </c>
      <c r="G6" s="61">
        <f>IF($N6="","",IF($P6&gt;0,IF(2&lt;=SemanaActual,INDEX('Cronograma R. Financiero'!$AD$5:$AD$1000,$N6),""),IF(INDEX('Cronograma R. Financiero'!$J$5:$J$1000,$N6)="","",INDEX('Cronograma R. Financiero'!$J$5:$J$1000,$N6))))</f>
        <v/>
      </c>
      <c r="H6" s="61">
        <f>IF($N6="","",IF($P6&gt;0,IF(3&lt;=SemanaActual,INDEX('Cronograma R. Financiero'!$AE$5:$AE$1000,$N6),""),IF(INDEX('Cronograma R. Financiero'!$K$5:$K$1000,$N6)="","",INDEX('Cronograma R. Financiero'!$K$5:$K$1000,$N6))))</f>
        <v/>
      </c>
      <c r="I6" s="61">
        <f>IF($N6="","",IF($P6&gt;0,IF(4&lt;=SemanaActual,INDEX('Cronograma R. Financiero'!$AF$5:$AF$1000,$N6),""),IF(INDEX('Cronograma R. Financiero'!$L$5:$L$1000,$N6)="","",INDEX('Cronograma R. Financiero'!$L$5:$L$1000,$N6))))</f>
        <v/>
      </c>
      <c r="J6" s="61">
        <f>IF($N6="","",INDEX('Cronograma R. Financiero'!$M$5:$M$1000,$N6))</f>
        <v/>
      </c>
      <c r="K6" s="56">
        <f>IF($N6="","",IF(N($J6)&gt;=1,"Completado",IF(AND(ISNUMBER($D6),$D6&lt;FechaRef),"Vencida",IF(N($J6)&gt;0,"En curso","Pendiente"))))</f>
        <v/>
      </c>
      <c r="L6" s="56">
        <f>IF($N6="","",INDEX('Cronograma R. Financiero'!$O$5:$O$1000,$N6)&amp;"")</f>
        <v/>
      </c>
      <c r="M6" s="62">
        <f>IF($N6="","",INDEX('Cronograma R. Financiero'!$Q$5:$Q$1000,$N6)&amp;"")</f>
        <v/>
      </c>
      <c r="N6">
        <f>IFERROR(MATCH(ROW()-4,rOrden_RF,0),"")</f>
        <v/>
      </c>
      <c r="O6">
        <f>IF($N6="","",INDEX('Cronograma R. Financiero'!$V$5:$V$1000,$N6))</f>
        <v/>
      </c>
      <c r="P6">
        <f>IF($N6="","",N(INDEX('Cronograma R. Financiero'!$W$5:$W$1000,$N6)))</f>
        <v/>
      </c>
      <c r="Q6">
        <f>IF(OR(LEFT($L6,7)="Vencida",LEFT($L6,5)="Vence"),SUMPRODUCT(--(LEFT($L$5:$L6,7)="Vencida"))+SUMPRODUCT(--(LEFT($L$5:$L6,5)="Vence")),"")</f>
        <v/>
      </c>
    </row>
    <row r="7">
      <c r="A7" s="56">
        <f>IF($N7="","",INDEX('Cronograma R. Financiero'!$A$5:$A$1000,$N7))</f>
        <v/>
      </c>
      <c r="B7" s="62">
        <f>IF($N7="","",IF($O7="Sub","      ↳  "&amp;INDEX('Cronograma R. Financiero'!$C$5:$C$1000,$N7),INDEX('Cronograma R. Financiero'!$C$5:$C$1000,$N7)&amp;""))</f>
        <v/>
      </c>
      <c r="C7" s="79">
        <f>IF($N7="","",IF(INDEX('Cronograma R. Financiero'!$AM$5:$AM$1000,$N7)="","",INDEX('Cronograma R. Financiero'!$AM$5:$AM$1000,$N7)))</f>
        <v/>
      </c>
      <c r="D7" s="79">
        <f>IF($N7="","",IF(INDEX('Cronograma R. Financiero'!$AN$5:$AN$1000,$N7)="","",INDEX('Cronograma R. Financiero'!$AN$5:$AN$1000,$N7)))</f>
        <v/>
      </c>
      <c r="E7" s="56">
        <f>IF($N7="","",IF(NOT(ISNUMBER($D7)),"",IF($D7&lt;InicioCiclo,"Antes del ciclo",IF($D7&gt;=InicioCiclo+28,"Después del ciclo","Semana "&amp;(INT(($D7-InicioCiclo)/7)+1)))))</f>
        <v/>
      </c>
      <c r="F7" s="61">
        <f>IF($N7="","",IF($P7&gt;0,IF(1&lt;=SemanaActual,INDEX('Cronograma R. Financiero'!$AC$5:$AC$1000,$N7),""),IF(INDEX('Cronograma R. Financiero'!$I$5:$I$1000,$N7)="","",INDEX('Cronograma R. Financiero'!$I$5:$I$1000,$N7))))</f>
        <v/>
      </c>
      <c r="G7" s="61">
        <f>IF($N7="","",IF($P7&gt;0,IF(2&lt;=SemanaActual,INDEX('Cronograma R. Financiero'!$AD$5:$AD$1000,$N7),""),IF(INDEX('Cronograma R. Financiero'!$J$5:$J$1000,$N7)="","",INDEX('Cronograma R. Financiero'!$J$5:$J$1000,$N7))))</f>
        <v/>
      </c>
      <c r="H7" s="61">
        <f>IF($N7="","",IF($P7&gt;0,IF(3&lt;=SemanaActual,INDEX('Cronograma R. Financiero'!$AE$5:$AE$1000,$N7),""),IF(INDEX('Cronograma R. Financiero'!$K$5:$K$1000,$N7)="","",INDEX('Cronograma R. Financiero'!$K$5:$K$1000,$N7))))</f>
        <v/>
      </c>
      <c r="I7" s="61">
        <f>IF($N7="","",IF($P7&gt;0,IF(4&lt;=SemanaActual,INDEX('Cronograma R. Financiero'!$AF$5:$AF$1000,$N7),""),IF(INDEX('Cronograma R. Financiero'!$L$5:$L$1000,$N7)="","",INDEX('Cronograma R. Financiero'!$L$5:$L$1000,$N7))))</f>
        <v/>
      </c>
      <c r="J7" s="61">
        <f>IF($N7="","",INDEX('Cronograma R. Financiero'!$M$5:$M$1000,$N7))</f>
        <v/>
      </c>
      <c r="K7" s="56">
        <f>IF($N7="","",IF(N($J7)&gt;=1,"Completado",IF(AND(ISNUMBER($D7),$D7&lt;FechaRef),"Vencida",IF(N($J7)&gt;0,"En curso","Pendiente"))))</f>
        <v/>
      </c>
      <c r="L7" s="56">
        <f>IF($N7="","",INDEX('Cronograma R. Financiero'!$O$5:$O$1000,$N7)&amp;"")</f>
        <v/>
      </c>
      <c r="M7" s="62">
        <f>IF($N7="","",INDEX('Cronograma R. Financiero'!$Q$5:$Q$1000,$N7)&amp;"")</f>
        <v/>
      </c>
      <c r="N7">
        <f>IFERROR(MATCH(ROW()-4,rOrden_RF,0),"")</f>
        <v/>
      </c>
      <c r="O7">
        <f>IF($N7="","",INDEX('Cronograma R. Financiero'!$V$5:$V$1000,$N7))</f>
        <v/>
      </c>
      <c r="P7">
        <f>IF($N7="","",N(INDEX('Cronograma R. Financiero'!$W$5:$W$1000,$N7)))</f>
        <v/>
      </c>
      <c r="Q7">
        <f>IF(OR(LEFT($L7,7)="Vencida",LEFT($L7,5)="Vence"),SUMPRODUCT(--(LEFT($L$5:$L7,7)="Vencida"))+SUMPRODUCT(--(LEFT($L$5:$L7,5)="Vence")),"")</f>
        <v/>
      </c>
    </row>
    <row r="8">
      <c r="A8" s="56">
        <f>IF($N8="","",INDEX('Cronograma R. Financiero'!$A$5:$A$1000,$N8))</f>
        <v/>
      </c>
      <c r="B8" s="62">
        <f>IF($N8="","",IF($O8="Sub","      ↳  "&amp;INDEX('Cronograma R. Financiero'!$C$5:$C$1000,$N8),INDEX('Cronograma R. Financiero'!$C$5:$C$1000,$N8)&amp;""))</f>
        <v/>
      </c>
      <c r="C8" s="79">
        <f>IF($N8="","",IF(INDEX('Cronograma R. Financiero'!$AM$5:$AM$1000,$N8)="","",INDEX('Cronograma R. Financiero'!$AM$5:$AM$1000,$N8)))</f>
        <v/>
      </c>
      <c r="D8" s="79">
        <f>IF($N8="","",IF(INDEX('Cronograma R. Financiero'!$AN$5:$AN$1000,$N8)="","",INDEX('Cronograma R. Financiero'!$AN$5:$AN$1000,$N8)))</f>
        <v/>
      </c>
      <c r="E8" s="56">
        <f>IF($N8="","",IF(NOT(ISNUMBER($D8)),"",IF($D8&lt;InicioCiclo,"Antes del ciclo",IF($D8&gt;=InicioCiclo+28,"Después del ciclo","Semana "&amp;(INT(($D8-InicioCiclo)/7)+1)))))</f>
        <v/>
      </c>
      <c r="F8" s="61">
        <f>IF($N8="","",IF($P8&gt;0,IF(1&lt;=SemanaActual,INDEX('Cronograma R. Financiero'!$AC$5:$AC$1000,$N8),""),IF(INDEX('Cronograma R. Financiero'!$I$5:$I$1000,$N8)="","",INDEX('Cronograma R. Financiero'!$I$5:$I$1000,$N8))))</f>
        <v/>
      </c>
      <c r="G8" s="61">
        <f>IF($N8="","",IF($P8&gt;0,IF(2&lt;=SemanaActual,INDEX('Cronograma R. Financiero'!$AD$5:$AD$1000,$N8),""),IF(INDEX('Cronograma R. Financiero'!$J$5:$J$1000,$N8)="","",INDEX('Cronograma R. Financiero'!$J$5:$J$1000,$N8))))</f>
        <v/>
      </c>
      <c r="H8" s="61">
        <f>IF($N8="","",IF($P8&gt;0,IF(3&lt;=SemanaActual,INDEX('Cronograma R. Financiero'!$AE$5:$AE$1000,$N8),""),IF(INDEX('Cronograma R. Financiero'!$K$5:$K$1000,$N8)="","",INDEX('Cronograma R. Financiero'!$K$5:$K$1000,$N8))))</f>
        <v/>
      </c>
      <c r="I8" s="61">
        <f>IF($N8="","",IF($P8&gt;0,IF(4&lt;=SemanaActual,INDEX('Cronograma R. Financiero'!$AF$5:$AF$1000,$N8),""),IF(INDEX('Cronograma R. Financiero'!$L$5:$L$1000,$N8)="","",INDEX('Cronograma R. Financiero'!$L$5:$L$1000,$N8))))</f>
        <v/>
      </c>
      <c r="J8" s="61">
        <f>IF($N8="","",INDEX('Cronograma R. Financiero'!$M$5:$M$1000,$N8))</f>
        <v/>
      </c>
      <c r="K8" s="56">
        <f>IF($N8="","",IF(N($J8)&gt;=1,"Completado",IF(AND(ISNUMBER($D8),$D8&lt;FechaRef),"Vencida",IF(N($J8)&gt;0,"En curso","Pendiente"))))</f>
        <v/>
      </c>
      <c r="L8" s="56">
        <f>IF($N8="","",INDEX('Cronograma R. Financiero'!$O$5:$O$1000,$N8)&amp;"")</f>
        <v/>
      </c>
      <c r="M8" s="62">
        <f>IF($N8="","",INDEX('Cronograma R. Financiero'!$Q$5:$Q$1000,$N8)&amp;"")</f>
        <v/>
      </c>
      <c r="N8">
        <f>IFERROR(MATCH(ROW()-4,rOrden_RF,0),"")</f>
        <v/>
      </c>
      <c r="O8">
        <f>IF($N8="","",INDEX('Cronograma R. Financiero'!$V$5:$V$1000,$N8))</f>
        <v/>
      </c>
      <c r="P8">
        <f>IF($N8="","",N(INDEX('Cronograma R. Financiero'!$W$5:$W$1000,$N8)))</f>
        <v/>
      </c>
      <c r="Q8">
        <f>IF(OR(LEFT($L8,7)="Vencida",LEFT($L8,5)="Vence"),SUMPRODUCT(--(LEFT($L$5:$L8,7)="Vencida"))+SUMPRODUCT(--(LEFT($L$5:$L8,5)="Vence")),"")</f>
        <v/>
      </c>
    </row>
    <row r="9">
      <c r="A9" s="56">
        <f>IF($N9="","",INDEX('Cronograma R. Financiero'!$A$5:$A$1000,$N9))</f>
        <v/>
      </c>
      <c r="B9" s="62">
        <f>IF($N9="","",IF($O9="Sub","      ↳  "&amp;INDEX('Cronograma R. Financiero'!$C$5:$C$1000,$N9),INDEX('Cronograma R. Financiero'!$C$5:$C$1000,$N9)&amp;""))</f>
        <v/>
      </c>
      <c r="C9" s="79">
        <f>IF($N9="","",IF(INDEX('Cronograma R. Financiero'!$AM$5:$AM$1000,$N9)="","",INDEX('Cronograma R. Financiero'!$AM$5:$AM$1000,$N9)))</f>
        <v/>
      </c>
      <c r="D9" s="79">
        <f>IF($N9="","",IF(INDEX('Cronograma R. Financiero'!$AN$5:$AN$1000,$N9)="","",INDEX('Cronograma R. Financiero'!$AN$5:$AN$1000,$N9)))</f>
        <v/>
      </c>
      <c r="E9" s="56">
        <f>IF($N9="","",IF(NOT(ISNUMBER($D9)),"",IF($D9&lt;InicioCiclo,"Antes del ciclo",IF($D9&gt;=InicioCiclo+28,"Después del ciclo","Semana "&amp;(INT(($D9-InicioCiclo)/7)+1)))))</f>
        <v/>
      </c>
      <c r="F9" s="61">
        <f>IF($N9="","",IF($P9&gt;0,IF(1&lt;=SemanaActual,INDEX('Cronograma R. Financiero'!$AC$5:$AC$1000,$N9),""),IF(INDEX('Cronograma R. Financiero'!$I$5:$I$1000,$N9)="","",INDEX('Cronograma R. Financiero'!$I$5:$I$1000,$N9))))</f>
        <v/>
      </c>
      <c r="G9" s="61">
        <f>IF($N9="","",IF($P9&gt;0,IF(2&lt;=SemanaActual,INDEX('Cronograma R. Financiero'!$AD$5:$AD$1000,$N9),""),IF(INDEX('Cronograma R. Financiero'!$J$5:$J$1000,$N9)="","",INDEX('Cronograma R. Financiero'!$J$5:$J$1000,$N9))))</f>
        <v/>
      </c>
      <c r="H9" s="61">
        <f>IF($N9="","",IF($P9&gt;0,IF(3&lt;=SemanaActual,INDEX('Cronograma R. Financiero'!$AE$5:$AE$1000,$N9),""),IF(INDEX('Cronograma R. Financiero'!$K$5:$K$1000,$N9)="","",INDEX('Cronograma R. Financiero'!$K$5:$K$1000,$N9))))</f>
        <v/>
      </c>
      <c r="I9" s="61">
        <f>IF($N9="","",IF($P9&gt;0,IF(4&lt;=SemanaActual,INDEX('Cronograma R. Financiero'!$AF$5:$AF$1000,$N9),""),IF(INDEX('Cronograma R. Financiero'!$L$5:$L$1000,$N9)="","",INDEX('Cronograma R. Financiero'!$L$5:$L$1000,$N9))))</f>
        <v/>
      </c>
      <c r="J9" s="61">
        <f>IF($N9="","",INDEX('Cronograma R. Financiero'!$M$5:$M$1000,$N9))</f>
        <v/>
      </c>
      <c r="K9" s="56">
        <f>IF($N9="","",IF(N($J9)&gt;=1,"Completado",IF(AND(ISNUMBER($D9),$D9&lt;FechaRef),"Vencida",IF(N($J9)&gt;0,"En curso","Pendiente"))))</f>
        <v/>
      </c>
      <c r="L9" s="56">
        <f>IF($N9="","",INDEX('Cronograma R. Financiero'!$O$5:$O$1000,$N9)&amp;"")</f>
        <v/>
      </c>
      <c r="M9" s="62">
        <f>IF($N9="","",INDEX('Cronograma R. Financiero'!$Q$5:$Q$1000,$N9)&amp;"")</f>
        <v/>
      </c>
      <c r="N9">
        <f>IFERROR(MATCH(ROW()-4,rOrden_RF,0),"")</f>
        <v/>
      </c>
      <c r="O9">
        <f>IF($N9="","",INDEX('Cronograma R. Financiero'!$V$5:$V$1000,$N9))</f>
        <v/>
      </c>
      <c r="P9">
        <f>IF($N9="","",N(INDEX('Cronograma R. Financiero'!$W$5:$W$1000,$N9)))</f>
        <v/>
      </c>
      <c r="Q9">
        <f>IF(OR(LEFT($L9,7)="Vencida",LEFT($L9,5)="Vence"),SUMPRODUCT(--(LEFT($L$5:$L9,7)="Vencida"))+SUMPRODUCT(--(LEFT($L$5:$L9,5)="Vence")),"")</f>
        <v/>
      </c>
    </row>
    <row r="10">
      <c r="A10" s="56">
        <f>IF($N10="","",INDEX('Cronograma R. Financiero'!$A$5:$A$1000,$N10))</f>
        <v/>
      </c>
      <c r="B10" s="62">
        <f>IF($N10="","",IF($O10="Sub","      ↳  "&amp;INDEX('Cronograma R. Financiero'!$C$5:$C$1000,$N10),INDEX('Cronograma R. Financiero'!$C$5:$C$1000,$N10)&amp;""))</f>
        <v/>
      </c>
      <c r="C10" s="79">
        <f>IF($N10="","",IF(INDEX('Cronograma R. Financiero'!$AM$5:$AM$1000,$N10)="","",INDEX('Cronograma R. Financiero'!$AM$5:$AM$1000,$N10)))</f>
        <v/>
      </c>
      <c r="D10" s="79">
        <f>IF($N10="","",IF(INDEX('Cronograma R. Financiero'!$AN$5:$AN$1000,$N10)="","",INDEX('Cronograma R. Financiero'!$AN$5:$AN$1000,$N10)))</f>
        <v/>
      </c>
      <c r="E10" s="56">
        <f>IF($N10="","",IF(NOT(ISNUMBER($D10)),"",IF($D10&lt;InicioCiclo,"Antes del ciclo",IF($D10&gt;=InicioCiclo+28,"Después del ciclo","Semana "&amp;(INT(($D10-InicioCiclo)/7)+1)))))</f>
        <v/>
      </c>
      <c r="F10" s="61">
        <f>IF($N10="","",IF($P10&gt;0,IF(1&lt;=SemanaActual,INDEX('Cronograma R. Financiero'!$AC$5:$AC$1000,$N10),""),IF(INDEX('Cronograma R. Financiero'!$I$5:$I$1000,$N10)="","",INDEX('Cronograma R. Financiero'!$I$5:$I$1000,$N10))))</f>
        <v/>
      </c>
      <c r="G10" s="61">
        <f>IF($N10="","",IF($P10&gt;0,IF(2&lt;=SemanaActual,INDEX('Cronograma R. Financiero'!$AD$5:$AD$1000,$N10),""),IF(INDEX('Cronograma R. Financiero'!$J$5:$J$1000,$N10)="","",INDEX('Cronograma R. Financiero'!$J$5:$J$1000,$N10))))</f>
        <v/>
      </c>
      <c r="H10" s="61">
        <f>IF($N10="","",IF($P10&gt;0,IF(3&lt;=SemanaActual,INDEX('Cronograma R. Financiero'!$AE$5:$AE$1000,$N10),""),IF(INDEX('Cronograma R. Financiero'!$K$5:$K$1000,$N10)="","",INDEX('Cronograma R. Financiero'!$K$5:$K$1000,$N10))))</f>
        <v/>
      </c>
      <c r="I10" s="61">
        <f>IF($N10="","",IF($P10&gt;0,IF(4&lt;=SemanaActual,INDEX('Cronograma R. Financiero'!$AF$5:$AF$1000,$N10),""),IF(INDEX('Cronograma R. Financiero'!$L$5:$L$1000,$N10)="","",INDEX('Cronograma R. Financiero'!$L$5:$L$1000,$N10))))</f>
        <v/>
      </c>
      <c r="J10" s="61">
        <f>IF($N10="","",INDEX('Cronograma R. Financiero'!$M$5:$M$1000,$N10))</f>
        <v/>
      </c>
      <c r="K10" s="56">
        <f>IF($N10="","",IF(N($J10)&gt;=1,"Completado",IF(AND(ISNUMBER($D10),$D10&lt;FechaRef),"Vencida",IF(N($J10)&gt;0,"En curso","Pendiente"))))</f>
        <v/>
      </c>
      <c r="L10" s="56">
        <f>IF($N10="","",INDEX('Cronograma R. Financiero'!$O$5:$O$1000,$N10)&amp;"")</f>
        <v/>
      </c>
      <c r="M10" s="62">
        <f>IF($N10="","",INDEX('Cronograma R. Financiero'!$Q$5:$Q$1000,$N10)&amp;"")</f>
        <v/>
      </c>
      <c r="N10">
        <f>IFERROR(MATCH(ROW()-4,rOrden_RF,0),"")</f>
        <v/>
      </c>
      <c r="O10">
        <f>IF($N10="","",INDEX('Cronograma R. Financiero'!$V$5:$V$1000,$N10))</f>
        <v/>
      </c>
      <c r="P10">
        <f>IF($N10="","",N(INDEX('Cronograma R. Financiero'!$W$5:$W$1000,$N10)))</f>
        <v/>
      </c>
      <c r="Q10">
        <f>IF(OR(LEFT($L10,7)="Vencida",LEFT($L10,5)="Vence"),SUMPRODUCT(--(LEFT($L$5:$L10,7)="Vencida"))+SUMPRODUCT(--(LEFT($L$5:$L10,5)="Vence")),"")</f>
        <v/>
      </c>
    </row>
    <row r="11">
      <c r="A11" s="56">
        <f>IF($N11="","",INDEX('Cronograma R. Financiero'!$A$5:$A$1000,$N11))</f>
        <v/>
      </c>
      <c r="B11" s="62">
        <f>IF($N11="","",IF($O11="Sub","      ↳  "&amp;INDEX('Cronograma R. Financiero'!$C$5:$C$1000,$N11),INDEX('Cronograma R. Financiero'!$C$5:$C$1000,$N11)&amp;""))</f>
        <v/>
      </c>
      <c r="C11" s="79">
        <f>IF($N11="","",IF(INDEX('Cronograma R. Financiero'!$AM$5:$AM$1000,$N11)="","",INDEX('Cronograma R. Financiero'!$AM$5:$AM$1000,$N11)))</f>
        <v/>
      </c>
      <c r="D11" s="79">
        <f>IF($N11="","",IF(INDEX('Cronograma R. Financiero'!$AN$5:$AN$1000,$N11)="","",INDEX('Cronograma R. Financiero'!$AN$5:$AN$1000,$N11)))</f>
        <v/>
      </c>
      <c r="E11" s="56">
        <f>IF($N11="","",IF(NOT(ISNUMBER($D11)),"",IF($D11&lt;InicioCiclo,"Antes del ciclo",IF($D11&gt;=InicioCiclo+28,"Después del ciclo","Semana "&amp;(INT(($D11-InicioCiclo)/7)+1)))))</f>
        <v/>
      </c>
      <c r="F11" s="61">
        <f>IF($N11="","",IF($P11&gt;0,IF(1&lt;=SemanaActual,INDEX('Cronograma R. Financiero'!$AC$5:$AC$1000,$N11),""),IF(INDEX('Cronograma R. Financiero'!$I$5:$I$1000,$N11)="","",INDEX('Cronograma R. Financiero'!$I$5:$I$1000,$N11))))</f>
        <v/>
      </c>
      <c r="G11" s="61">
        <f>IF($N11="","",IF($P11&gt;0,IF(2&lt;=SemanaActual,INDEX('Cronograma R. Financiero'!$AD$5:$AD$1000,$N11),""),IF(INDEX('Cronograma R. Financiero'!$J$5:$J$1000,$N11)="","",INDEX('Cronograma R. Financiero'!$J$5:$J$1000,$N11))))</f>
        <v/>
      </c>
      <c r="H11" s="61">
        <f>IF($N11="","",IF($P11&gt;0,IF(3&lt;=SemanaActual,INDEX('Cronograma R. Financiero'!$AE$5:$AE$1000,$N11),""),IF(INDEX('Cronograma R. Financiero'!$K$5:$K$1000,$N11)="","",INDEX('Cronograma R. Financiero'!$K$5:$K$1000,$N11))))</f>
        <v/>
      </c>
      <c r="I11" s="61">
        <f>IF($N11="","",IF($P11&gt;0,IF(4&lt;=SemanaActual,INDEX('Cronograma R. Financiero'!$AF$5:$AF$1000,$N11),""),IF(INDEX('Cronograma R. Financiero'!$L$5:$L$1000,$N11)="","",INDEX('Cronograma R. Financiero'!$L$5:$L$1000,$N11))))</f>
        <v/>
      </c>
      <c r="J11" s="61">
        <f>IF($N11="","",INDEX('Cronograma R. Financiero'!$M$5:$M$1000,$N11))</f>
        <v/>
      </c>
      <c r="K11" s="56">
        <f>IF($N11="","",IF(N($J11)&gt;=1,"Completado",IF(AND(ISNUMBER($D11),$D11&lt;FechaRef),"Vencida",IF(N($J11)&gt;0,"En curso","Pendiente"))))</f>
        <v/>
      </c>
      <c r="L11" s="56">
        <f>IF($N11="","",INDEX('Cronograma R. Financiero'!$O$5:$O$1000,$N11)&amp;"")</f>
        <v/>
      </c>
      <c r="M11" s="62">
        <f>IF($N11="","",INDEX('Cronograma R. Financiero'!$Q$5:$Q$1000,$N11)&amp;"")</f>
        <v/>
      </c>
      <c r="N11">
        <f>IFERROR(MATCH(ROW()-4,rOrden_RF,0),"")</f>
        <v/>
      </c>
      <c r="O11">
        <f>IF($N11="","",INDEX('Cronograma R. Financiero'!$V$5:$V$1000,$N11))</f>
        <v/>
      </c>
      <c r="P11">
        <f>IF($N11="","",N(INDEX('Cronograma R. Financiero'!$W$5:$W$1000,$N11)))</f>
        <v/>
      </c>
      <c r="Q11">
        <f>IF(OR(LEFT($L11,7)="Vencida",LEFT($L11,5)="Vence"),SUMPRODUCT(--(LEFT($L$5:$L11,7)="Vencida"))+SUMPRODUCT(--(LEFT($L$5:$L11,5)="Vence")),"")</f>
        <v/>
      </c>
    </row>
    <row r="12">
      <c r="A12" s="56">
        <f>IF($N12="","",INDEX('Cronograma R. Financiero'!$A$5:$A$1000,$N12))</f>
        <v/>
      </c>
      <c r="B12" s="62">
        <f>IF($N12="","",IF($O12="Sub","      ↳  "&amp;INDEX('Cronograma R. Financiero'!$C$5:$C$1000,$N12),INDEX('Cronograma R. Financiero'!$C$5:$C$1000,$N12)&amp;""))</f>
        <v/>
      </c>
      <c r="C12" s="79">
        <f>IF($N12="","",IF(INDEX('Cronograma R. Financiero'!$AM$5:$AM$1000,$N12)="","",INDEX('Cronograma R. Financiero'!$AM$5:$AM$1000,$N12)))</f>
        <v/>
      </c>
      <c r="D12" s="79">
        <f>IF($N12="","",IF(INDEX('Cronograma R. Financiero'!$AN$5:$AN$1000,$N12)="","",INDEX('Cronograma R. Financiero'!$AN$5:$AN$1000,$N12)))</f>
        <v/>
      </c>
      <c r="E12" s="56">
        <f>IF($N12="","",IF(NOT(ISNUMBER($D12)),"",IF($D12&lt;InicioCiclo,"Antes del ciclo",IF($D12&gt;=InicioCiclo+28,"Después del ciclo","Semana "&amp;(INT(($D12-InicioCiclo)/7)+1)))))</f>
        <v/>
      </c>
      <c r="F12" s="61">
        <f>IF($N12="","",IF($P12&gt;0,IF(1&lt;=SemanaActual,INDEX('Cronograma R. Financiero'!$AC$5:$AC$1000,$N12),""),IF(INDEX('Cronograma R. Financiero'!$I$5:$I$1000,$N12)="","",INDEX('Cronograma R. Financiero'!$I$5:$I$1000,$N12))))</f>
        <v/>
      </c>
      <c r="G12" s="61">
        <f>IF($N12="","",IF($P12&gt;0,IF(2&lt;=SemanaActual,INDEX('Cronograma R. Financiero'!$AD$5:$AD$1000,$N12),""),IF(INDEX('Cronograma R. Financiero'!$J$5:$J$1000,$N12)="","",INDEX('Cronograma R. Financiero'!$J$5:$J$1000,$N12))))</f>
        <v/>
      </c>
      <c r="H12" s="61">
        <f>IF($N12="","",IF($P12&gt;0,IF(3&lt;=SemanaActual,INDEX('Cronograma R. Financiero'!$AE$5:$AE$1000,$N12),""),IF(INDEX('Cronograma R. Financiero'!$K$5:$K$1000,$N12)="","",INDEX('Cronograma R. Financiero'!$K$5:$K$1000,$N12))))</f>
        <v/>
      </c>
      <c r="I12" s="61">
        <f>IF($N12="","",IF($P12&gt;0,IF(4&lt;=SemanaActual,INDEX('Cronograma R. Financiero'!$AF$5:$AF$1000,$N12),""),IF(INDEX('Cronograma R. Financiero'!$L$5:$L$1000,$N12)="","",INDEX('Cronograma R. Financiero'!$L$5:$L$1000,$N12))))</f>
        <v/>
      </c>
      <c r="J12" s="61">
        <f>IF($N12="","",INDEX('Cronograma R. Financiero'!$M$5:$M$1000,$N12))</f>
        <v/>
      </c>
      <c r="K12" s="56">
        <f>IF($N12="","",IF(N($J12)&gt;=1,"Completado",IF(AND(ISNUMBER($D12),$D12&lt;FechaRef),"Vencida",IF(N($J12)&gt;0,"En curso","Pendiente"))))</f>
        <v/>
      </c>
      <c r="L12" s="56">
        <f>IF($N12="","",INDEX('Cronograma R. Financiero'!$O$5:$O$1000,$N12)&amp;"")</f>
        <v/>
      </c>
      <c r="M12" s="62">
        <f>IF($N12="","",INDEX('Cronograma R. Financiero'!$Q$5:$Q$1000,$N12)&amp;"")</f>
        <v/>
      </c>
      <c r="N12">
        <f>IFERROR(MATCH(ROW()-4,rOrden_RF,0),"")</f>
        <v/>
      </c>
      <c r="O12">
        <f>IF($N12="","",INDEX('Cronograma R. Financiero'!$V$5:$V$1000,$N12))</f>
        <v/>
      </c>
      <c r="P12">
        <f>IF($N12="","",N(INDEX('Cronograma R. Financiero'!$W$5:$W$1000,$N12)))</f>
        <v/>
      </c>
      <c r="Q12">
        <f>IF(OR(LEFT($L12,7)="Vencida",LEFT($L12,5)="Vence"),SUMPRODUCT(--(LEFT($L$5:$L12,7)="Vencida"))+SUMPRODUCT(--(LEFT($L$5:$L12,5)="Vence")),"")</f>
        <v/>
      </c>
    </row>
    <row r="13">
      <c r="A13" s="56">
        <f>IF($N13="","",INDEX('Cronograma R. Financiero'!$A$5:$A$1000,$N13))</f>
        <v/>
      </c>
      <c r="B13" s="62">
        <f>IF($N13="","",IF($O13="Sub","      ↳  "&amp;INDEX('Cronograma R. Financiero'!$C$5:$C$1000,$N13),INDEX('Cronograma R. Financiero'!$C$5:$C$1000,$N13)&amp;""))</f>
        <v/>
      </c>
      <c r="C13" s="79">
        <f>IF($N13="","",IF(INDEX('Cronograma R. Financiero'!$AM$5:$AM$1000,$N13)="","",INDEX('Cronograma R. Financiero'!$AM$5:$AM$1000,$N13)))</f>
        <v/>
      </c>
      <c r="D13" s="79">
        <f>IF($N13="","",IF(INDEX('Cronograma R. Financiero'!$AN$5:$AN$1000,$N13)="","",INDEX('Cronograma R. Financiero'!$AN$5:$AN$1000,$N13)))</f>
        <v/>
      </c>
      <c r="E13" s="56">
        <f>IF($N13="","",IF(NOT(ISNUMBER($D13)),"",IF($D13&lt;InicioCiclo,"Antes del ciclo",IF($D13&gt;=InicioCiclo+28,"Después del ciclo","Semana "&amp;(INT(($D13-InicioCiclo)/7)+1)))))</f>
        <v/>
      </c>
      <c r="F13" s="61">
        <f>IF($N13="","",IF($P13&gt;0,IF(1&lt;=SemanaActual,INDEX('Cronograma R. Financiero'!$AC$5:$AC$1000,$N13),""),IF(INDEX('Cronograma R. Financiero'!$I$5:$I$1000,$N13)="","",INDEX('Cronograma R. Financiero'!$I$5:$I$1000,$N13))))</f>
        <v/>
      </c>
      <c r="G13" s="61">
        <f>IF($N13="","",IF($P13&gt;0,IF(2&lt;=SemanaActual,INDEX('Cronograma R. Financiero'!$AD$5:$AD$1000,$N13),""),IF(INDEX('Cronograma R. Financiero'!$J$5:$J$1000,$N13)="","",INDEX('Cronograma R. Financiero'!$J$5:$J$1000,$N13))))</f>
        <v/>
      </c>
      <c r="H13" s="61">
        <f>IF($N13="","",IF($P13&gt;0,IF(3&lt;=SemanaActual,INDEX('Cronograma R. Financiero'!$AE$5:$AE$1000,$N13),""),IF(INDEX('Cronograma R. Financiero'!$K$5:$K$1000,$N13)="","",INDEX('Cronograma R. Financiero'!$K$5:$K$1000,$N13))))</f>
        <v/>
      </c>
      <c r="I13" s="61">
        <f>IF($N13="","",IF($P13&gt;0,IF(4&lt;=SemanaActual,INDEX('Cronograma R. Financiero'!$AF$5:$AF$1000,$N13),""),IF(INDEX('Cronograma R. Financiero'!$L$5:$L$1000,$N13)="","",INDEX('Cronograma R. Financiero'!$L$5:$L$1000,$N13))))</f>
        <v/>
      </c>
      <c r="J13" s="61">
        <f>IF($N13="","",INDEX('Cronograma R. Financiero'!$M$5:$M$1000,$N13))</f>
        <v/>
      </c>
      <c r="K13" s="56">
        <f>IF($N13="","",IF(N($J13)&gt;=1,"Completado",IF(AND(ISNUMBER($D13),$D13&lt;FechaRef),"Vencida",IF(N($J13)&gt;0,"En curso","Pendiente"))))</f>
        <v/>
      </c>
      <c r="L13" s="56">
        <f>IF($N13="","",INDEX('Cronograma R. Financiero'!$O$5:$O$1000,$N13)&amp;"")</f>
        <v/>
      </c>
      <c r="M13" s="62">
        <f>IF($N13="","",INDEX('Cronograma R. Financiero'!$Q$5:$Q$1000,$N13)&amp;"")</f>
        <v/>
      </c>
      <c r="N13">
        <f>IFERROR(MATCH(ROW()-4,rOrden_RF,0),"")</f>
        <v/>
      </c>
      <c r="O13">
        <f>IF($N13="","",INDEX('Cronograma R. Financiero'!$V$5:$V$1000,$N13))</f>
        <v/>
      </c>
      <c r="P13">
        <f>IF($N13="","",N(INDEX('Cronograma R. Financiero'!$W$5:$W$1000,$N13)))</f>
        <v/>
      </c>
      <c r="Q13">
        <f>IF(OR(LEFT($L13,7)="Vencida",LEFT($L13,5)="Vence"),SUMPRODUCT(--(LEFT($L$5:$L13,7)="Vencida"))+SUMPRODUCT(--(LEFT($L$5:$L13,5)="Vence")),"")</f>
        <v/>
      </c>
    </row>
    <row r="14">
      <c r="A14" s="56">
        <f>IF($N14="","",INDEX('Cronograma R. Financiero'!$A$5:$A$1000,$N14))</f>
        <v/>
      </c>
      <c r="B14" s="62">
        <f>IF($N14="","",IF($O14="Sub","      ↳  "&amp;INDEX('Cronograma R. Financiero'!$C$5:$C$1000,$N14),INDEX('Cronograma R. Financiero'!$C$5:$C$1000,$N14)&amp;""))</f>
        <v/>
      </c>
      <c r="C14" s="79">
        <f>IF($N14="","",IF(INDEX('Cronograma R. Financiero'!$AM$5:$AM$1000,$N14)="","",INDEX('Cronograma R. Financiero'!$AM$5:$AM$1000,$N14)))</f>
        <v/>
      </c>
      <c r="D14" s="79">
        <f>IF($N14="","",IF(INDEX('Cronograma R. Financiero'!$AN$5:$AN$1000,$N14)="","",INDEX('Cronograma R. Financiero'!$AN$5:$AN$1000,$N14)))</f>
        <v/>
      </c>
      <c r="E14" s="56">
        <f>IF($N14="","",IF(NOT(ISNUMBER($D14)),"",IF($D14&lt;InicioCiclo,"Antes del ciclo",IF($D14&gt;=InicioCiclo+28,"Después del ciclo","Semana "&amp;(INT(($D14-InicioCiclo)/7)+1)))))</f>
        <v/>
      </c>
      <c r="F14" s="61">
        <f>IF($N14="","",IF($P14&gt;0,IF(1&lt;=SemanaActual,INDEX('Cronograma R. Financiero'!$AC$5:$AC$1000,$N14),""),IF(INDEX('Cronograma R. Financiero'!$I$5:$I$1000,$N14)="","",INDEX('Cronograma R. Financiero'!$I$5:$I$1000,$N14))))</f>
        <v/>
      </c>
      <c r="G14" s="61">
        <f>IF($N14="","",IF($P14&gt;0,IF(2&lt;=SemanaActual,INDEX('Cronograma R. Financiero'!$AD$5:$AD$1000,$N14),""),IF(INDEX('Cronograma R. Financiero'!$J$5:$J$1000,$N14)="","",INDEX('Cronograma R. Financiero'!$J$5:$J$1000,$N14))))</f>
        <v/>
      </c>
      <c r="H14" s="61">
        <f>IF($N14="","",IF($P14&gt;0,IF(3&lt;=SemanaActual,INDEX('Cronograma R. Financiero'!$AE$5:$AE$1000,$N14),""),IF(INDEX('Cronograma R. Financiero'!$K$5:$K$1000,$N14)="","",INDEX('Cronograma R. Financiero'!$K$5:$K$1000,$N14))))</f>
        <v/>
      </c>
      <c r="I14" s="61">
        <f>IF($N14="","",IF($P14&gt;0,IF(4&lt;=SemanaActual,INDEX('Cronograma R. Financiero'!$AF$5:$AF$1000,$N14),""),IF(INDEX('Cronograma R. Financiero'!$L$5:$L$1000,$N14)="","",INDEX('Cronograma R. Financiero'!$L$5:$L$1000,$N14))))</f>
        <v/>
      </c>
      <c r="J14" s="61">
        <f>IF($N14="","",INDEX('Cronograma R. Financiero'!$M$5:$M$1000,$N14))</f>
        <v/>
      </c>
      <c r="K14" s="56">
        <f>IF($N14="","",IF(N($J14)&gt;=1,"Completado",IF(AND(ISNUMBER($D14),$D14&lt;FechaRef),"Vencida",IF(N($J14)&gt;0,"En curso","Pendiente"))))</f>
        <v/>
      </c>
      <c r="L14" s="56">
        <f>IF($N14="","",INDEX('Cronograma R. Financiero'!$O$5:$O$1000,$N14)&amp;"")</f>
        <v/>
      </c>
      <c r="M14" s="62">
        <f>IF($N14="","",INDEX('Cronograma R. Financiero'!$Q$5:$Q$1000,$N14)&amp;"")</f>
        <v/>
      </c>
      <c r="N14">
        <f>IFERROR(MATCH(ROW()-4,rOrden_RF,0),"")</f>
        <v/>
      </c>
      <c r="O14">
        <f>IF($N14="","",INDEX('Cronograma R. Financiero'!$V$5:$V$1000,$N14))</f>
        <v/>
      </c>
      <c r="P14">
        <f>IF($N14="","",N(INDEX('Cronograma R. Financiero'!$W$5:$W$1000,$N14)))</f>
        <v/>
      </c>
      <c r="Q14">
        <f>IF(OR(LEFT($L14,7)="Vencida",LEFT($L14,5)="Vence"),SUMPRODUCT(--(LEFT($L$5:$L14,7)="Vencida"))+SUMPRODUCT(--(LEFT($L$5:$L14,5)="Vence")),"")</f>
        <v/>
      </c>
    </row>
    <row r="15">
      <c r="A15" s="56">
        <f>IF($N15="","",INDEX('Cronograma R. Financiero'!$A$5:$A$1000,$N15))</f>
        <v/>
      </c>
      <c r="B15" s="62">
        <f>IF($N15="","",IF($O15="Sub","      ↳  "&amp;INDEX('Cronograma R. Financiero'!$C$5:$C$1000,$N15),INDEX('Cronograma R. Financiero'!$C$5:$C$1000,$N15)&amp;""))</f>
        <v/>
      </c>
      <c r="C15" s="79">
        <f>IF($N15="","",IF(INDEX('Cronograma R. Financiero'!$AM$5:$AM$1000,$N15)="","",INDEX('Cronograma R. Financiero'!$AM$5:$AM$1000,$N15)))</f>
        <v/>
      </c>
      <c r="D15" s="79">
        <f>IF($N15="","",IF(INDEX('Cronograma R. Financiero'!$AN$5:$AN$1000,$N15)="","",INDEX('Cronograma R. Financiero'!$AN$5:$AN$1000,$N15)))</f>
        <v/>
      </c>
      <c r="E15" s="56">
        <f>IF($N15="","",IF(NOT(ISNUMBER($D15)),"",IF($D15&lt;InicioCiclo,"Antes del ciclo",IF($D15&gt;=InicioCiclo+28,"Después del ciclo","Semana "&amp;(INT(($D15-InicioCiclo)/7)+1)))))</f>
        <v/>
      </c>
      <c r="F15" s="61">
        <f>IF($N15="","",IF($P15&gt;0,IF(1&lt;=SemanaActual,INDEX('Cronograma R. Financiero'!$AC$5:$AC$1000,$N15),""),IF(INDEX('Cronograma R. Financiero'!$I$5:$I$1000,$N15)="","",INDEX('Cronograma R. Financiero'!$I$5:$I$1000,$N15))))</f>
        <v/>
      </c>
      <c r="G15" s="61">
        <f>IF($N15="","",IF($P15&gt;0,IF(2&lt;=SemanaActual,INDEX('Cronograma R. Financiero'!$AD$5:$AD$1000,$N15),""),IF(INDEX('Cronograma R. Financiero'!$J$5:$J$1000,$N15)="","",INDEX('Cronograma R. Financiero'!$J$5:$J$1000,$N15))))</f>
        <v/>
      </c>
      <c r="H15" s="61">
        <f>IF($N15="","",IF($P15&gt;0,IF(3&lt;=SemanaActual,INDEX('Cronograma R. Financiero'!$AE$5:$AE$1000,$N15),""),IF(INDEX('Cronograma R. Financiero'!$K$5:$K$1000,$N15)="","",INDEX('Cronograma R. Financiero'!$K$5:$K$1000,$N15))))</f>
        <v/>
      </c>
      <c r="I15" s="61">
        <f>IF($N15="","",IF($P15&gt;0,IF(4&lt;=SemanaActual,INDEX('Cronograma R. Financiero'!$AF$5:$AF$1000,$N15),""),IF(INDEX('Cronograma R. Financiero'!$L$5:$L$1000,$N15)="","",INDEX('Cronograma R. Financiero'!$L$5:$L$1000,$N15))))</f>
        <v/>
      </c>
      <c r="J15" s="61">
        <f>IF($N15="","",INDEX('Cronograma R. Financiero'!$M$5:$M$1000,$N15))</f>
        <v/>
      </c>
      <c r="K15" s="56">
        <f>IF($N15="","",IF(N($J15)&gt;=1,"Completado",IF(AND(ISNUMBER($D15),$D15&lt;FechaRef),"Vencida",IF(N($J15)&gt;0,"En curso","Pendiente"))))</f>
        <v/>
      </c>
      <c r="L15" s="56">
        <f>IF($N15="","",INDEX('Cronograma R. Financiero'!$O$5:$O$1000,$N15)&amp;"")</f>
        <v/>
      </c>
      <c r="M15" s="62">
        <f>IF($N15="","",INDEX('Cronograma R. Financiero'!$Q$5:$Q$1000,$N15)&amp;"")</f>
        <v/>
      </c>
      <c r="N15">
        <f>IFERROR(MATCH(ROW()-4,rOrden_RF,0),"")</f>
        <v/>
      </c>
      <c r="O15">
        <f>IF($N15="","",INDEX('Cronograma R. Financiero'!$V$5:$V$1000,$N15))</f>
        <v/>
      </c>
      <c r="P15">
        <f>IF($N15="","",N(INDEX('Cronograma R. Financiero'!$W$5:$W$1000,$N15)))</f>
        <v/>
      </c>
      <c r="Q15">
        <f>IF(OR(LEFT($L15,7)="Vencida",LEFT($L15,5)="Vence"),SUMPRODUCT(--(LEFT($L$5:$L15,7)="Vencida"))+SUMPRODUCT(--(LEFT($L$5:$L15,5)="Vence")),"")</f>
        <v/>
      </c>
    </row>
    <row r="16">
      <c r="A16" s="56">
        <f>IF($N16="","",INDEX('Cronograma R. Financiero'!$A$5:$A$1000,$N16))</f>
        <v/>
      </c>
      <c r="B16" s="62">
        <f>IF($N16="","",IF($O16="Sub","      ↳  "&amp;INDEX('Cronograma R. Financiero'!$C$5:$C$1000,$N16),INDEX('Cronograma R. Financiero'!$C$5:$C$1000,$N16)&amp;""))</f>
        <v/>
      </c>
      <c r="C16" s="79">
        <f>IF($N16="","",IF(INDEX('Cronograma R. Financiero'!$AM$5:$AM$1000,$N16)="","",INDEX('Cronograma R. Financiero'!$AM$5:$AM$1000,$N16)))</f>
        <v/>
      </c>
      <c r="D16" s="79">
        <f>IF($N16="","",IF(INDEX('Cronograma R. Financiero'!$AN$5:$AN$1000,$N16)="","",INDEX('Cronograma R. Financiero'!$AN$5:$AN$1000,$N16)))</f>
        <v/>
      </c>
      <c r="E16" s="56">
        <f>IF($N16="","",IF(NOT(ISNUMBER($D16)),"",IF($D16&lt;InicioCiclo,"Antes del ciclo",IF($D16&gt;=InicioCiclo+28,"Después del ciclo","Semana "&amp;(INT(($D16-InicioCiclo)/7)+1)))))</f>
        <v/>
      </c>
      <c r="F16" s="61">
        <f>IF($N16="","",IF($P16&gt;0,IF(1&lt;=SemanaActual,INDEX('Cronograma R. Financiero'!$AC$5:$AC$1000,$N16),""),IF(INDEX('Cronograma R. Financiero'!$I$5:$I$1000,$N16)="","",INDEX('Cronograma R. Financiero'!$I$5:$I$1000,$N16))))</f>
        <v/>
      </c>
      <c r="G16" s="61">
        <f>IF($N16="","",IF($P16&gt;0,IF(2&lt;=SemanaActual,INDEX('Cronograma R. Financiero'!$AD$5:$AD$1000,$N16),""),IF(INDEX('Cronograma R. Financiero'!$J$5:$J$1000,$N16)="","",INDEX('Cronograma R. Financiero'!$J$5:$J$1000,$N16))))</f>
        <v/>
      </c>
      <c r="H16" s="61">
        <f>IF($N16="","",IF($P16&gt;0,IF(3&lt;=SemanaActual,INDEX('Cronograma R. Financiero'!$AE$5:$AE$1000,$N16),""),IF(INDEX('Cronograma R. Financiero'!$K$5:$K$1000,$N16)="","",INDEX('Cronograma R. Financiero'!$K$5:$K$1000,$N16))))</f>
        <v/>
      </c>
      <c r="I16" s="61">
        <f>IF($N16="","",IF($P16&gt;0,IF(4&lt;=SemanaActual,INDEX('Cronograma R. Financiero'!$AF$5:$AF$1000,$N16),""),IF(INDEX('Cronograma R. Financiero'!$L$5:$L$1000,$N16)="","",INDEX('Cronograma R. Financiero'!$L$5:$L$1000,$N16))))</f>
        <v/>
      </c>
      <c r="J16" s="61">
        <f>IF($N16="","",INDEX('Cronograma R. Financiero'!$M$5:$M$1000,$N16))</f>
        <v/>
      </c>
      <c r="K16" s="56">
        <f>IF($N16="","",IF(N($J16)&gt;=1,"Completado",IF(AND(ISNUMBER($D16),$D16&lt;FechaRef),"Vencida",IF(N($J16)&gt;0,"En curso","Pendiente"))))</f>
        <v/>
      </c>
      <c r="L16" s="56">
        <f>IF($N16="","",INDEX('Cronograma R. Financiero'!$O$5:$O$1000,$N16)&amp;"")</f>
        <v/>
      </c>
      <c r="M16" s="62">
        <f>IF($N16="","",INDEX('Cronograma R. Financiero'!$Q$5:$Q$1000,$N16)&amp;"")</f>
        <v/>
      </c>
      <c r="N16">
        <f>IFERROR(MATCH(ROW()-4,rOrden_RF,0),"")</f>
        <v/>
      </c>
      <c r="O16">
        <f>IF($N16="","",INDEX('Cronograma R. Financiero'!$V$5:$V$1000,$N16))</f>
        <v/>
      </c>
      <c r="P16">
        <f>IF($N16="","",N(INDEX('Cronograma R. Financiero'!$W$5:$W$1000,$N16)))</f>
        <v/>
      </c>
      <c r="Q16">
        <f>IF(OR(LEFT($L16,7)="Vencida",LEFT($L16,5)="Vence"),SUMPRODUCT(--(LEFT($L$5:$L16,7)="Vencida"))+SUMPRODUCT(--(LEFT($L$5:$L16,5)="Vence")),"")</f>
        <v/>
      </c>
    </row>
    <row r="17">
      <c r="A17" s="56">
        <f>IF($N17="","",INDEX('Cronograma R. Financiero'!$A$5:$A$1000,$N17))</f>
        <v/>
      </c>
      <c r="B17" s="62">
        <f>IF($N17="","",IF($O17="Sub","      ↳  "&amp;INDEX('Cronograma R. Financiero'!$C$5:$C$1000,$N17),INDEX('Cronograma R. Financiero'!$C$5:$C$1000,$N17)&amp;""))</f>
        <v/>
      </c>
      <c r="C17" s="79">
        <f>IF($N17="","",IF(INDEX('Cronograma R. Financiero'!$AM$5:$AM$1000,$N17)="","",INDEX('Cronograma R. Financiero'!$AM$5:$AM$1000,$N17)))</f>
        <v/>
      </c>
      <c r="D17" s="79">
        <f>IF($N17="","",IF(INDEX('Cronograma R. Financiero'!$AN$5:$AN$1000,$N17)="","",INDEX('Cronograma R. Financiero'!$AN$5:$AN$1000,$N17)))</f>
        <v/>
      </c>
      <c r="E17" s="56">
        <f>IF($N17="","",IF(NOT(ISNUMBER($D17)),"",IF($D17&lt;InicioCiclo,"Antes del ciclo",IF($D17&gt;=InicioCiclo+28,"Después del ciclo","Semana "&amp;(INT(($D17-InicioCiclo)/7)+1)))))</f>
        <v/>
      </c>
      <c r="F17" s="61">
        <f>IF($N17="","",IF($P17&gt;0,IF(1&lt;=SemanaActual,INDEX('Cronograma R. Financiero'!$AC$5:$AC$1000,$N17),""),IF(INDEX('Cronograma R. Financiero'!$I$5:$I$1000,$N17)="","",INDEX('Cronograma R. Financiero'!$I$5:$I$1000,$N17))))</f>
        <v/>
      </c>
      <c r="G17" s="61">
        <f>IF($N17="","",IF($P17&gt;0,IF(2&lt;=SemanaActual,INDEX('Cronograma R. Financiero'!$AD$5:$AD$1000,$N17),""),IF(INDEX('Cronograma R. Financiero'!$J$5:$J$1000,$N17)="","",INDEX('Cronograma R. Financiero'!$J$5:$J$1000,$N17))))</f>
        <v/>
      </c>
      <c r="H17" s="61">
        <f>IF($N17="","",IF($P17&gt;0,IF(3&lt;=SemanaActual,INDEX('Cronograma R. Financiero'!$AE$5:$AE$1000,$N17),""),IF(INDEX('Cronograma R. Financiero'!$K$5:$K$1000,$N17)="","",INDEX('Cronograma R. Financiero'!$K$5:$K$1000,$N17))))</f>
        <v/>
      </c>
      <c r="I17" s="61">
        <f>IF($N17="","",IF($P17&gt;0,IF(4&lt;=SemanaActual,INDEX('Cronograma R. Financiero'!$AF$5:$AF$1000,$N17),""),IF(INDEX('Cronograma R. Financiero'!$L$5:$L$1000,$N17)="","",INDEX('Cronograma R. Financiero'!$L$5:$L$1000,$N17))))</f>
        <v/>
      </c>
      <c r="J17" s="61">
        <f>IF($N17="","",INDEX('Cronograma R. Financiero'!$M$5:$M$1000,$N17))</f>
        <v/>
      </c>
      <c r="K17" s="56">
        <f>IF($N17="","",IF(N($J17)&gt;=1,"Completado",IF(AND(ISNUMBER($D17),$D17&lt;FechaRef),"Vencida",IF(N($J17)&gt;0,"En curso","Pendiente"))))</f>
        <v/>
      </c>
      <c r="L17" s="56">
        <f>IF($N17="","",INDEX('Cronograma R. Financiero'!$O$5:$O$1000,$N17)&amp;"")</f>
        <v/>
      </c>
      <c r="M17" s="62">
        <f>IF($N17="","",INDEX('Cronograma R. Financiero'!$Q$5:$Q$1000,$N17)&amp;"")</f>
        <v/>
      </c>
      <c r="N17">
        <f>IFERROR(MATCH(ROW()-4,rOrden_RF,0),"")</f>
        <v/>
      </c>
      <c r="O17">
        <f>IF($N17="","",INDEX('Cronograma R. Financiero'!$V$5:$V$1000,$N17))</f>
        <v/>
      </c>
      <c r="P17">
        <f>IF($N17="","",N(INDEX('Cronograma R. Financiero'!$W$5:$W$1000,$N17)))</f>
        <v/>
      </c>
      <c r="Q17">
        <f>IF(OR(LEFT($L17,7)="Vencida",LEFT($L17,5)="Vence"),SUMPRODUCT(--(LEFT($L$5:$L17,7)="Vencida"))+SUMPRODUCT(--(LEFT($L$5:$L17,5)="Vence")),"")</f>
        <v/>
      </c>
    </row>
    <row r="18">
      <c r="A18" s="56">
        <f>IF($N18="","",INDEX('Cronograma R. Financiero'!$A$5:$A$1000,$N18))</f>
        <v/>
      </c>
      <c r="B18" s="62">
        <f>IF($N18="","",IF($O18="Sub","      ↳  "&amp;INDEX('Cronograma R. Financiero'!$C$5:$C$1000,$N18),INDEX('Cronograma R. Financiero'!$C$5:$C$1000,$N18)&amp;""))</f>
        <v/>
      </c>
      <c r="C18" s="79">
        <f>IF($N18="","",IF(INDEX('Cronograma R. Financiero'!$AM$5:$AM$1000,$N18)="","",INDEX('Cronograma R. Financiero'!$AM$5:$AM$1000,$N18)))</f>
        <v/>
      </c>
      <c r="D18" s="79">
        <f>IF($N18="","",IF(INDEX('Cronograma R. Financiero'!$AN$5:$AN$1000,$N18)="","",INDEX('Cronograma R. Financiero'!$AN$5:$AN$1000,$N18)))</f>
        <v/>
      </c>
      <c r="E18" s="56">
        <f>IF($N18="","",IF(NOT(ISNUMBER($D18)),"",IF($D18&lt;InicioCiclo,"Antes del ciclo",IF($D18&gt;=InicioCiclo+28,"Después del ciclo","Semana "&amp;(INT(($D18-InicioCiclo)/7)+1)))))</f>
        <v/>
      </c>
      <c r="F18" s="61">
        <f>IF($N18="","",IF($P18&gt;0,IF(1&lt;=SemanaActual,INDEX('Cronograma R. Financiero'!$AC$5:$AC$1000,$N18),""),IF(INDEX('Cronograma R. Financiero'!$I$5:$I$1000,$N18)="","",INDEX('Cronograma R. Financiero'!$I$5:$I$1000,$N18))))</f>
        <v/>
      </c>
      <c r="G18" s="61">
        <f>IF($N18="","",IF($P18&gt;0,IF(2&lt;=SemanaActual,INDEX('Cronograma R. Financiero'!$AD$5:$AD$1000,$N18),""),IF(INDEX('Cronograma R. Financiero'!$J$5:$J$1000,$N18)="","",INDEX('Cronograma R. Financiero'!$J$5:$J$1000,$N18))))</f>
        <v/>
      </c>
      <c r="H18" s="61">
        <f>IF($N18="","",IF($P18&gt;0,IF(3&lt;=SemanaActual,INDEX('Cronograma R. Financiero'!$AE$5:$AE$1000,$N18),""),IF(INDEX('Cronograma R. Financiero'!$K$5:$K$1000,$N18)="","",INDEX('Cronograma R. Financiero'!$K$5:$K$1000,$N18))))</f>
        <v/>
      </c>
      <c r="I18" s="61">
        <f>IF($N18="","",IF($P18&gt;0,IF(4&lt;=SemanaActual,INDEX('Cronograma R. Financiero'!$AF$5:$AF$1000,$N18),""),IF(INDEX('Cronograma R. Financiero'!$L$5:$L$1000,$N18)="","",INDEX('Cronograma R. Financiero'!$L$5:$L$1000,$N18))))</f>
        <v/>
      </c>
      <c r="J18" s="61">
        <f>IF($N18="","",INDEX('Cronograma R. Financiero'!$M$5:$M$1000,$N18))</f>
        <v/>
      </c>
      <c r="K18" s="56">
        <f>IF($N18="","",IF(N($J18)&gt;=1,"Completado",IF(AND(ISNUMBER($D18),$D18&lt;FechaRef),"Vencida",IF(N($J18)&gt;0,"En curso","Pendiente"))))</f>
        <v/>
      </c>
      <c r="L18" s="56">
        <f>IF($N18="","",INDEX('Cronograma R. Financiero'!$O$5:$O$1000,$N18)&amp;"")</f>
        <v/>
      </c>
      <c r="M18" s="62">
        <f>IF($N18="","",INDEX('Cronograma R. Financiero'!$Q$5:$Q$1000,$N18)&amp;"")</f>
        <v/>
      </c>
      <c r="N18">
        <f>IFERROR(MATCH(ROW()-4,rOrden_RF,0),"")</f>
        <v/>
      </c>
      <c r="O18">
        <f>IF($N18="","",INDEX('Cronograma R. Financiero'!$V$5:$V$1000,$N18))</f>
        <v/>
      </c>
      <c r="P18">
        <f>IF($N18="","",N(INDEX('Cronograma R. Financiero'!$W$5:$W$1000,$N18)))</f>
        <v/>
      </c>
      <c r="Q18">
        <f>IF(OR(LEFT($L18,7)="Vencida",LEFT($L18,5)="Vence"),SUMPRODUCT(--(LEFT($L$5:$L18,7)="Vencida"))+SUMPRODUCT(--(LEFT($L$5:$L18,5)="Vence")),"")</f>
        <v/>
      </c>
    </row>
    <row r="19">
      <c r="A19" s="56">
        <f>IF($N19="","",INDEX('Cronograma R. Financiero'!$A$5:$A$1000,$N19))</f>
        <v/>
      </c>
      <c r="B19" s="62">
        <f>IF($N19="","",IF($O19="Sub","      ↳  "&amp;INDEX('Cronograma R. Financiero'!$C$5:$C$1000,$N19),INDEX('Cronograma R. Financiero'!$C$5:$C$1000,$N19)&amp;""))</f>
        <v/>
      </c>
      <c r="C19" s="79">
        <f>IF($N19="","",IF(INDEX('Cronograma R. Financiero'!$AM$5:$AM$1000,$N19)="","",INDEX('Cronograma R. Financiero'!$AM$5:$AM$1000,$N19)))</f>
        <v/>
      </c>
      <c r="D19" s="79">
        <f>IF($N19="","",IF(INDEX('Cronograma R. Financiero'!$AN$5:$AN$1000,$N19)="","",INDEX('Cronograma R. Financiero'!$AN$5:$AN$1000,$N19)))</f>
        <v/>
      </c>
      <c r="E19" s="56">
        <f>IF($N19="","",IF(NOT(ISNUMBER($D19)),"",IF($D19&lt;InicioCiclo,"Antes del ciclo",IF($D19&gt;=InicioCiclo+28,"Después del ciclo","Semana "&amp;(INT(($D19-InicioCiclo)/7)+1)))))</f>
        <v/>
      </c>
      <c r="F19" s="61">
        <f>IF($N19="","",IF($P19&gt;0,IF(1&lt;=SemanaActual,INDEX('Cronograma R. Financiero'!$AC$5:$AC$1000,$N19),""),IF(INDEX('Cronograma R. Financiero'!$I$5:$I$1000,$N19)="","",INDEX('Cronograma R. Financiero'!$I$5:$I$1000,$N19))))</f>
        <v/>
      </c>
      <c r="G19" s="61">
        <f>IF($N19="","",IF($P19&gt;0,IF(2&lt;=SemanaActual,INDEX('Cronograma R. Financiero'!$AD$5:$AD$1000,$N19),""),IF(INDEX('Cronograma R. Financiero'!$J$5:$J$1000,$N19)="","",INDEX('Cronograma R. Financiero'!$J$5:$J$1000,$N19))))</f>
        <v/>
      </c>
      <c r="H19" s="61">
        <f>IF($N19="","",IF($P19&gt;0,IF(3&lt;=SemanaActual,INDEX('Cronograma R. Financiero'!$AE$5:$AE$1000,$N19),""),IF(INDEX('Cronograma R. Financiero'!$K$5:$K$1000,$N19)="","",INDEX('Cronograma R. Financiero'!$K$5:$K$1000,$N19))))</f>
        <v/>
      </c>
      <c r="I19" s="61">
        <f>IF($N19="","",IF($P19&gt;0,IF(4&lt;=SemanaActual,INDEX('Cronograma R. Financiero'!$AF$5:$AF$1000,$N19),""),IF(INDEX('Cronograma R. Financiero'!$L$5:$L$1000,$N19)="","",INDEX('Cronograma R. Financiero'!$L$5:$L$1000,$N19))))</f>
        <v/>
      </c>
      <c r="J19" s="61">
        <f>IF($N19="","",INDEX('Cronograma R. Financiero'!$M$5:$M$1000,$N19))</f>
        <v/>
      </c>
      <c r="K19" s="56">
        <f>IF($N19="","",IF(N($J19)&gt;=1,"Completado",IF(AND(ISNUMBER($D19),$D19&lt;FechaRef),"Vencida",IF(N($J19)&gt;0,"En curso","Pendiente"))))</f>
        <v/>
      </c>
      <c r="L19" s="56">
        <f>IF($N19="","",INDEX('Cronograma R. Financiero'!$O$5:$O$1000,$N19)&amp;"")</f>
        <v/>
      </c>
      <c r="M19" s="62">
        <f>IF($N19="","",INDEX('Cronograma R. Financiero'!$Q$5:$Q$1000,$N19)&amp;"")</f>
        <v/>
      </c>
      <c r="N19">
        <f>IFERROR(MATCH(ROW()-4,rOrden_RF,0),"")</f>
        <v/>
      </c>
      <c r="O19">
        <f>IF($N19="","",INDEX('Cronograma R. Financiero'!$V$5:$V$1000,$N19))</f>
        <v/>
      </c>
      <c r="P19">
        <f>IF($N19="","",N(INDEX('Cronograma R. Financiero'!$W$5:$W$1000,$N19)))</f>
        <v/>
      </c>
      <c r="Q19">
        <f>IF(OR(LEFT($L19,7)="Vencida",LEFT($L19,5)="Vence"),SUMPRODUCT(--(LEFT($L$5:$L19,7)="Vencida"))+SUMPRODUCT(--(LEFT($L$5:$L19,5)="Vence")),"")</f>
        <v/>
      </c>
    </row>
    <row r="20">
      <c r="A20" s="56">
        <f>IF($N20="","",INDEX('Cronograma R. Financiero'!$A$5:$A$1000,$N20))</f>
        <v/>
      </c>
      <c r="B20" s="62">
        <f>IF($N20="","",IF($O20="Sub","      ↳  "&amp;INDEX('Cronograma R. Financiero'!$C$5:$C$1000,$N20),INDEX('Cronograma R. Financiero'!$C$5:$C$1000,$N20)&amp;""))</f>
        <v/>
      </c>
      <c r="C20" s="79">
        <f>IF($N20="","",IF(INDEX('Cronograma R. Financiero'!$AM$5:$AM$1000,$N20)="","",INDEX('Cronograma R. Financiero'!$AM$5:$AM$1000,$N20)))</f>
        <v/>
      </c>
      <c r="D20" s="79">
        <f>IF($N20="","",IF(INDEX('Cronograma R. Financiero'!$AN$5:$AN$1000,$N20)="","",INDEX('Cronograma R. Financiero'!$AN$5:$AN$1000,$N20)))</f>
        <v/>
      </c>
      <c r="E20" s="56">
        <f>IF($N20="","",IF(NOT(ISNUMBER($D20)),"",IF($D20&lt;InicioCiclo,"Antes del ciclo",IF($D20&gt;=InicioCiclo+28,"Después del ciclo","Semana "&amp;(INT(($D20-InicioCiclo)/7)+1)))))</f>
        <v/>
      </c>
      <c r="F20" s="61">
        <f>IF($N20="","",IF($P20&gt;0,IF(1&lt;=SemanaActual,INDEX('Cronograma R. Financiero'!$AC$5:$AC$1000,$N20),""),IF(INDEX('Cronograma R. Financiero'!$I$5:$I$1000,$N20)="","",INDEX('Cronograma R. Financiero'!$I$5:$I$1000,$N20))))</f>
        <v/>
      </c>
      <c r="G20" s="61">
        <f>IF($N20="","",IF($P20&gt;0,IF(2&lt;=SemanaActual,INDEX('Cronograma R. Financiero'!$AD$5:$AD$1000,$N20),""),IF(INDEX('Cronograma R. Financiero'!$J$5:$J$1000,$N20)="","",INDEX('Cronograma R. Financiero'!$J$5:$J$1000,$N20))))</f>
        <v/>
      </c>
      <c r="H20" s="61">
        <f>IF($N20="","",IF($P20&gt;0,IF(3&lt;=SemanaActual,INDEX('Cronograma R. Financiero'!$AE$5:$AE$1000,$N20),""),IF(INDEX('Cronograma R. Financiero'!$K$5:$K$1000,$N20)="","",INDEX('Cronograma R. Financiero'!$K$5:$K$1000,$N20))))</f>
        <v/>
      </c>
      <c r="I20" s="61">
        <f>IF($N20="","",IF($P20&gt;0,IF(4&lt;=SemanaActual,INDEX('Cronograma R. Financiero'!$AF$5:$AF$1000,$N20),""),IF(INDEX('Cronograma R. Financiero'!$L$5:$L$1000,$N20)="","",INDEX('Cronograma R. Financiero'!$L$5:$L$1000,$N20))))</f>
        <v/>
      </c>
      <c r="J20" s="61">
        <f>IF($N20="","",INDEX('Cronograma R. Financiero'!$M$5:$M$1000,$N20))</f>
        <v/>
      </c>
      <c r="K20" s="56">
        <f>IF($N20="","",IF(N($J20)&gt;=1,"Completado",IF(AND(ISNUMBER($D20),$D20&lt;FechaRef),"Vencida",IF(N($J20)&gt;0,"En curso","Pendiente"))))</f>
        <v/>
      </c>
      <c r="L20" s="56">
        <f>IF($N20="","",INDEX('Cronograma R. Financiero'!$O$5:$O$1000,$N20)&amp;"")</f>
        <v/>
      </c>
      <c r="M20" s="62">
        <f>IF($N20="","",INDEX('Cronograma R. Financiero'!$Q$5:$Q$1000,$N20)&amp;"")</f>
        <v/>
      </c>
      <c r="N20">
        <f>IFERROR(MATCH(ROW()-4,rOrden_RF,0),"")</f>
        <v/>
      </c>
      <c r="O20">
        <f>IF($N20="","",INDEX('Cronograma R. Financiero'!$V$5:$V$1000,$N20))</f>
        <v/>
      </c>
      <c r="P20">
        <f>IF($N20="","",N(INDEX('Cronograma R. Financiero'!$W$5:$W$1000,$N20)))</f>
        <v/>
      </c>
      <c r="Q20">
        <f>IF(OR(LEFT($L20,7)="Vencida",LEFT($L20,5)="Vence"),SUMPRODUCT(--(LEFT($L$5:$L20,7)="Vencida"))+SUMPRODUCT(--(LEFT($L$5:$L20,5)="Vence")),"")</f>
        <v/>
      </c>
    </row>
    <row r="21">
      <c r="A21" s="56">
        <f>IF($N21="","",INDEX('Cronograma R. Financiero'!$A$5:$A$1000,$N21))</f>
        <v/>
      </c>
      <c r="B21" s="62">
        <f>IF($N21="","",IF($O21="Sub","      ↳  "&amp;INDEX('Cronograma R. Financiero'!$C$5:$C$1000,$N21),INDEX('Cronograma R. Financiero'!$C$5:$C$1000,$N21)&amp;""))</f>
        <v/>
      </c>
      <c r="C21" s="79">
        <f>IF($N21="","",IF(INDEX('Cronograma R. Financiero'!$AM$5:$AM$1000,$N21)="","",INDEX('Cronograma R. Financiero'!$AM$5:$AM$1000,$N21)))</f>
        <v/>
      </c>
      <c r="D21" s="79">
        <f>IF($N21="","",IF(INDEX('Cronograma R. Financiero'!$AN$5:$AN$1000,$N21)="","",INDEX('Cronograma R. Financiero'!$AN$5:$AN$1000,$N21)))</f>
        <v/>
      </c>
      <c r="E21" s="56">
        <f>IF($N21="","",IF(NOT(ISNUMBER($D21)),"",IF($D21&lt;InicioCiclo,"Antes del ciclo",IF($D21&gt;=InicioCiclo+28,"Después del ciclo","Semana "&amp;(INT(($D21-InicioCiclo)/7)+1)))))</f>
        <v/>
      </c>
      <c r="F21" s="61">
        <f>IF($N21="","",IF($P21&gt;0,IF(1&lt;=SemanaActual,INDEX('Cronograma R. Financiero'!$AC$5:$AC$1000,$N21),""),IF(INDEX('Cronograma R. Financiero'!$I$5:$I$1000,$N21)="","",INDEX('Cronograma R. Financiero'!$I$5:$I$1000,$N21))))</f>
        <v/>
      </c>
      <c r="G21" s="61">
        <f>IF($N21="","",IF($P21&gt;0,IF(2&lt;=SemanaActual,INDEX('Cronograma R. Financiero'!$AD$5:$AD$1000,$N21),""),IF(INDEX('Cronograma R. Financiero'!$J$5:$J$1000,$N21)="","",INDEX('Cronograma R. Financiero'!$J$5:$J$1000,$N21))))</f>
        <v/>
      </c>
      <c r="H21" s="61">
        <f>IF($N21="","",IF($P21&gt;0,IF(3&lt;=SemanaActual,INDEX('Cronograma R. Financiero'!$AE$5:$AE$1000,$N21),""),IF(INDEX('Cronograma R. Financiero'!$K$5:$K$1000,$N21)="","",INDEX('Cronograma R. Financiero'!$K$5:$K$1000,$N21))))</f>
        <v/>
      </c>
      <c r="I21" s="61">
        <f>IF($N21="","",IF($P21&gt;0,IF(4&lt;=SemanaActual,INDEX('Cronograma R. Financiero'!$AF$5:$AF$1000,$N21),""),IF(INDEX('Cronograma R. Financiero'!$L$5:$L$1000,$N21)="","",INDEX('Cronograma R. Financiero'!$L$5:$L$1000,$N21))))</f>
        <v/>
      </c>
      <c r="J21" s="61">
        <f>IF($N21="","",INDEX('Cronograma R. Financiero'!$M$5:$M$1000,$N21))</f>
        <v/>
      </c>
      <c r="K21" s="56">
        <f>IF($N21="","",IF(N($J21)&gt;=1,"Completado",IF(AND(ISNUMBER($D21),$D21&lt;FechaRef),"Vencida",IF(N($J21)&gt;0,"En curso","Pendiente"))))</f>
        <v/>
      </c>
      <c r="L21" s="56">
        <f>IF($N21="","",INDEX('Cronograma R. Financiero'!$O$5:$O$1000,$N21)&amp;"")</f>
        <v/>
      </c>
      <c r="M21" s="62">
        <f>IF($N21="","",INDEX('Cronograma R. Financiero'!$Q$5:$Q$1000,$N21)&amp;"")</f>
        <v/>
      </c>
      <c r="N21">
        <f>IFERROR(MATCH(ROW()-4,rOrden_RF,0),"")</f>
        <v/>
      </c>
      <c r="O21">
        <f>IF($N21="","",INDEX('Cronograma R. Financiero'!$V$5:$V$1000,$N21))</f>
        <v/>
      </c>
      <c r="P21">
        <f>IF($N21="","",N(INDEX('Cronograma R. Financiero'!$W$5:$W$1000,$N21)))</f>
        <v/>
      </c>
      <c r="Q21">
        <f>IF(OR(LEFT($L21,7)="Vencida",LEFT($L21,5)="Vence"),SUMPRODUCT(--(LEFT($L$5:$L21,7)="Vencida"))+SUMPRODUCT(--(LEFT($L$5:$L21,5)="Vence")),"")</f>
        <v/>
      </c>
    </row>
    <row r="22">
      <c r="A22" s="56">
        <f>IF($N22="","",INDEX('Cronograma R. Financiero'!$A$5:$A$1000,$N22))</f>
        <v/>
      </c>
      <c r="B22" s="62">
        <f>IF($N22="","",IF($O22="Sub","      ↳  "&amp;INDEX('Cronograma R. Financiero'!$C$5:$C$1000,$N22),INDEX('Cronograma R. Financiero'!$C$5:$C$1000,$N22)&amp;""))</f>
        <v/>
      </c>
      <c r="C22" s="79">
        <f>IF($N22="","",IF(INDEX('Cronograma R. Financiero'!$AM$5:$AM$1000,$N22)="","",INDEX('Cronograma R. Financiero'!$AM$5:$AM$1000,$N22)))</f>
        <v/>
      </c>
      <c r="D22" s="79">
        <f>IF($N22="","",IF(INDEX('Cronograma R. Financiero'!$AN$5:$AN$1000,$N22)="","",INDEX('Cronograma R. Financiero'!$AN$5:$AN$1000,$N22)))</f>
        <v/>
      </c>
      <c r="E22" s="56">
        <f>IF($N22="","",IF(NOT(ISNUMBER($D22)),"",IF($D22&lt;InicioCiclo,"Antes del ciclo",IF($D22&gt;=InicioCiclo+28,"Después del ciclo","Semana "&amp;(INT(($D22-InicioCiclo)/7)+1)))))</f>
        <v/>
      </c>
      <c r="F22" s="61">
        <f>IF($N22="","",IF($P22&gt;0,IF(1&lt;=SemanaActual,INDEX('Cronograma R. Financiero'!$AC$5:$AC$1000,$N22),""),IF(INDEX('Cronograma R. Financiero'!$I$5:$I$1000,$N22)="","",INDEX('Cronograma R. Financiero'!$I$5:$I$1000,$N22))))</f>
        <v/>
      </c>
      <c r="G22" s="61">
        <f>IF($N22="","",IF($P22&gt;0,IF(2&lt;=SemanaActual,INDEX('Cronograma R. Financiero'!$AD$5:$AD$1000,$N22),""),IF(INDEX('Cronograma R. Financiero'!$J$5:$J$1000,$N22)="","",INDEX('Cronograma R. Financiero'!$J$5:$J$1000,$N22))))</f>
        <v/>
      </c>
      <c r="H22" s="61">
        <f>IF($N22="","",IF($P22&gt;0,IF(3&lt;=SemanaActual,INDEX('Cronograma R. Financiero'!$AE$5:$AE$1000,$N22),""),IF(INDEX('Cronograma R. Financiero'!$K$5:$K$1000,$N22)="","",INDEX('Cronograma R. Financiero'!$K$5:$K$1000,$N22))))</f>
        <v/>
      </c>
      <c r="I22" s="61">
        <f>IF($N22="","",IF($P22&gt;0,IF(4&lt;=SemanaActual,INDEX('Cronograma R. Financiero'!$AF$5:$AF$1000,$N22),""),IF(INDEX('Cronograma R. Financiero'!$L$5:$L$1000,$N22)="","",INDEX('Cronograma R. Financiero'!$L$5:$L$1000,$N22))))</f>
        <v/>
      </c>
      <c r="J22" s="61">
        <f>IF($N22="","",INDEX('Cronograma R. Financiero'!$M$5:$M$1000,$N22))</f>
        <v/>
      </c>
      <c r="K22" s="56">
        <f>IF($N22="","",IF(N($J22)&gt;=1,"Completado",IF(AND(ISNUMBER($D22),$D22&lt;FechaRef),"Vencida",IF(N($J22)&gt;0,"En curso","Pendiente"))))</f>
        <v/>
      </c>
      <c r="L22" s="56">
        <f>IF($N22="","",INDEX('Cronograma R. Financiero'!$O$5:$O$1000,$N22)&amp;"")</f>
        <v/>
      </c>
      <c r="M22" s="62">
        <f>IF($N22="","",INDEX('Cronograma R. Financiero'!$Q$5:$Q$1000,$N22)&amp;"")</f>
        <v/>
      </c>
      <c r="N22">
        <f>IFERROR(MATCH(ROW()-4,rOrden_RF,0),"")</f>
        <v/>
      </c>
      <c r="O22">
        <f>IF($N22="","",INDEX('Cronograma R. Financiero'!$V$5:$V$1000,$N22))</f>
        <v/>
      </c>
      <c r="P22">
        <f>IF($N22="","",N(INDEX('Cronograma R. Financiero'!$W$5:$W$1000,$N22)))</f>
        <v/>
      </c>
      <c r="Q22">
        <f>IF(OR(LEFT($L22,7)="Vencida",LEFT($L22,5)="Vence"),SUMPRODUCT(--(LEFT($L$5:$L22,7)="Vencida"))+SUMPRODUCT(--(LEFT($L$5:$L22,5)="Vence")),"")</f>
        <v/>
      </c>
    </row>
    <row r="23">
      <c r="A23" s="56">
        <f>IF($N23="","",INDEX('Cronograma R. Financiero'!$A$5:$A$1000,$N23))</f>
        <v/>
      </c>
      <c r="B23" s="62">
        <f>IF($N23="","",IF($O23="Sub","      ↳  "&amp;INDEX('Cronograma R. Financiero'!$C$5:$C$1000,$N23),INDEX('Cronograma R. Financiero'!$C$5:$C$1000,$N23)&amp;""))</f>
        <v/>
      </c>
      <c r="C23" s="79">
        <f>IF($N23="","",IF(INDEX('Cronograma R. Financiero'!$AM$5:$AM$1000,$N23)="","",INDEX('Cronograma R. Financiero'!$AM$5:$AM$1000,$N23)))</f>
        <v/>
      </c>
      <c r="D23" s="79">
        <f>IF($N23="","",IF(INDEX('Cronograma R. Financiero'!$AN$5:$AN$1000,$N23)="","",INDEX('Cronograma R. Financiero'!$AN$5:$AN$1000,$N23)))</f>
        <v/>
      </c>
      <c r="E23" s="56">
        <f>IF($N23="","",IF(NOT(ISNUMBER($D23)),"",IF($D23&lt;InicioCiclo,"Antes del ciclo",IF($D23&gt;=InicioCiclo+28,"Después del ciclo","Semana "&amp;(INT(($D23-InicioCiclo)/7)+1)))))</f>
        <v/>
      </c>
      <c r="F23" s="61">
        <f>IF($N23="","",IF($P23&gt;0,IF(1&lt;=SemanaActual,INDEX('Cronograma R. Financiero'!$AC$5:$AC$1000,$N23),""),IF(INDEX('Cronograma R. Financiero'!$I$5:$I$1000,$N23)="","",INDEX('Cronograma R. Financiero'!$I$5:$I$1000,$N23))))</f>
        <v/>
      </c>
      <c r="G23" s="61">
        <f>IF($N23="","",IF($P23&gt;0,IF(2&lt;=SemanaActual,INDEX('Cronograma R. Financiero'!$AD$5:$AD$1000,$N23),""),IF(INDEX('Cronograma R. Financiero'!$J$5:$J$1000,$N23)="","",INDEX('Cronograma R. Financiero'!$J$5:$J$1000,$N23))))</f>
        <v/>
      </c>
      <c r="H23" s="61">
        <f>IF($N23="","",IF($P23&gt;0,IF(3&lt;=SemanaActual,INDEX('Cronograma R. Financiero'!$AE$5:$AE$1000,$N23),""),IF(INDEX('Cronograma R. Financiero'!$K$5:$K$1000,$N23)="","",INDEX('Cronograma R. Financiero'!$K$5:$K$1000,$N23))))</f>
        <v/>
      </c>
      <c r="I23" s="61">
        <f>IF($N23="","",IF($P23&gt;0,IF(4&lt;=SemanaActual,INDEX('Cronograma R. Financiero'!$AF$5:$AF$1000,$N23),""),IF(INDEX('Cronograma R. Financiero'!$L$5:$L$1000,$N23)="","",INDEX('Cronograma R. Financiero'!$L$5:$L$1000,$N23))))</f>
        <v/>
      </c>
      <c r="J23" s="61">
        <f>IF($N23="","",INDEX('Cronograma R. Financiero'!$M$5:$M$1000,$N23))</f>
        <v/>
      </c>
      <c r="K23" s="56">
        <f>IF($N23="","",IF(N($J23)&gt;=1,"Completado",IF(AND(ISNUMBER($D23),$D23&lt;FechaRef),"Vencida",IF(N($J23)&gt;0,"En curso","Pendiente"))))</f>
        <v/>
      </c>
      <c r="L23" s="56">
        <f>IF($N23="","",INDEX('Cronograma R. Financiero'!$O$5:$O$1000,$N23)&amp;"")</f>
        <v/>
      </c>
      <c r="M23" s="62">
        <f>IF($N23="","",INDEX('Cronograma R. Financiero'!$Q$5:$Q$1000,$N23)&amp;"")</f>
        <v/>
      </c>
      <c r="N23">
        <f>IFERROR(MATCH(ROW()-4,rOrden_RF,0),"")</f>
        <v/>
      </c>
      <c r="O23">
        <f>IF($N23="","",INDEX('Cronograma R. Financiero'!$V$5:$V$1000,$N23))</f>
        <v/>
      </c>
      <c r="P23">
        <f>IF($N23="","",N(INDEX('Cronograma R. Financiero'!$W$5:$W$1000,$N23)))</f>
        <v/>
      </c>
      <c r="Q23">
        <f>IF(OR(LEFT($L23,7)="Vencida",LEFT($L23,5)="Vence"),SUMPRODUCT(--(LEFT($L$5:$L23,7)="Vencida"))+SUMPRODUCT(--(LEFT($L$5:$L23,5)="Vence")),"")</f>
        <v/>
      </c>
    </row>
    <row r="24">
      <c r="A24" s="56">
        <f>IF($N24="","",INDEX('Cronograma R. Financiero'!$A$5:$A$1000,$N24))</f>
        <v/>
      </c>
      <c r="B24" s="62">
        <f>IF($N24="","",IF($O24="Sub","      ↳  "&amp;INDEX('Cronograma R. Financiero'!$C$5:$C$1000,$N24),INDEX('Cronograma R. Financiero'!$C$5:$C$1000,$N24)&amp;""))</f>
        <v/>
      </c>
      <c r="C24" s="79">
        <f>IF($N24="","",IF(INDEX('Cronograma R. Financiero'!$AM$5:$AM$1000,$N24)="","",INDEX('Cronograma R. Financiero'!$AM$5:$AM$1000,$N24)))</f>
        <v/>
      </c>
      <c r="D24" s="79">
        <f>IF($N24="","",IF(INDEX('Cronograma R. Financiero'!$AN$5:$AN$1000,$N24)="","",INDEX('Cronograma R. Financiero'!$AN$5:$AN$1000,$N24)))</f>
        <v/>
      </c>
      <c r="E24" s="56">
        <f>IF($N24="","",IF(NOT(ISNUMBER($D24)),"",IF($D24&lt;InicioCiclo,"Antes del ciclo",IF($D24&gt;=InicioCiclo+28,"Después del ciclo","Semana "&amp;(INT(($D24-InicioCiclo)/7)+1)))))</f>
        <v/>
      </c>
      <c r="F24" s="61">
        <f>IF($N24="","",IF($P24&gt;0,IF(1&lt;=SemanaActual,INDEX('Cronograma R. Financiero'!$AC$5:$AC$1000,$N24),""),IF(INDEX('Cronograma R. Financiero'!$I$5:$I$1000,$N24)="","",INDEX('Cronograma R. Financiero'!$I$5:$I$1000,$N24))))</f>
        <v/>
      </c>
      <c r="G24" s="61">
        <f>IF($N24="","",IF($P24&gt;0,IF(2&lt;=SemanaActual,INDEX('Cronograma R. Financiero'!$AD$5:$AD$1000,$N24),""),IF(INDEX('Cronograma R. Financiero'!$J$5:$J$1000,$N24)="","",INDEX('Cronograma R. Financiero'!$J$5:$J$1000,$N24))))</f>
        <v/>
      </c>
      <c r="H24" s="61">
        <f>IF($N24="","",IF($P24&gt;0,IF(3&lt;=SemanaActual,INDEX('Cronograma R. Financiero'!$AE$5:$AE$1000,$N24),""),IF(INDEX('Cronograma R. Financiero'!$K$5:$K$1000,$N24)="","",INDEX('Cronograma R. Financiero'!$K$5:$K$1000,$N24))))</f>
        <v/>
      </c>
      <c r="I24" s="61">
        <f>IF($N24="","",IF($P24&gt;0,IF(4&lt;=SemanaActual,INDEX('Cronograma R. Financiero'!$AF$5:$AF$1000,$N24),""),IF(INDEX('Cronograma R. Financiero'!$L$5:$L$1000,$N24)="","",INDEX('Cronograma R. Financiero'!$L$5:$L$1000,$N24))))</f>
        <v/>
      </c>
      <c r="J24" s="61">
        <f>IF($N24="","",INDEX('Cronograma R. Financiero'!$M$5:$M$1000,$N24))</f>
        <v/>
      </c>
      <c r="K24" s="56">
        <f>IF($N24="","",IF(N($J24)&gt;=1,"Completado",IF(AND(ISNUMBER($D24),$D24&lt;FechaRef),"Vencida",IF(N($J24)&gt;0,"En curso","Pendiente"))))</f>
        <v/>
      </c>
      <c r="L24" s="56">
        <f>IF($N24="","",INDEX('Cronograma R. Financiero'!$O$5:$O$1000,$N24)&amp;"")</f>
        <v/>
      </c>
      <c r="M24" s="62">
        <f>IF($N24="","",INDEX('Cronograma R. Financiero'!$Q$5:$Q$1000,$N24)&amp;"")</f>
        <v/>
      </c>
      <c r="N24">
        <f>IFERROR(MATCH(ROW()-4,rOrden_RF,0),"")</f>
        <v/>
      </c>
      <c r="O24">
        <f>IF($N24="","",INDEX('Cronograma R. Financiero'!$V$5:$V$1000,$N24))</f>
        <v/>
      </c>
      <c r="P24">
        <f>IF($N24="","",N(INDEX('Cronograma R. Financiero'!$W$5:$W$1000,$N24)))</f>
        <v/>
      </c>
      <c r="Q24">
        <f>IF(OR(LEFT($L24,7)="Vencida",LEFT($L24,5)="Vence"),SUMPRODUCT(--(LEFT($L$5:$L24,7)="Vencida"))+SUMPRODUCT(--(LEFT($L$5:$L24,5)="Vence")),"")</f>
        <v/>
      </c>
    </row>
    <row r="25">
      <c r="A25" s="56">
        <f>IF($N25="","",INDEX('Cronograma R. Financiero'!$A$5:$A$1000,$N25))</f>
        <v/>
      </c>
      <c r="B25" s="62">
        <f>IF($N25="","",IF($O25="Sub","      ↳  "&amp;INDEX('Cronograma R. Financiero'!$C$5:$C$1000,$N25),INDEX('Cronograma R. Financiero'!$C$5:$C$1000,$N25)&amp;""))</f>
        <v/>
      </c>
      <c r="C25" s="79">
        <f>IF($N25="","",IF(INDEX('Cronograma R. Financiero'!$AM$5:$AM$1000,$N25)="","",INDEX('Cronograma R. Financiero'!$AM$5:$AM$1000,$N25)))</f>
        <v/>
      </c>
      <c r="D25" s="79">
        <f>IF($N25="","",IF(INDEX('Cronograma R. Financiero'!$AN$5:$AN$1000,$N25)="","",INDEX('Cronograma R. Financiero'!$AN$5:$AN$1000,$N25)))</f>
        <v/>
      </c>
      <c r="E25" s="56">
        <f>IF($N25="","",IF(NOT(ISNUMBER($D25)),"",IF($D25&lt;InicioCiclo,"Antes del ciclo",IF($D25&gt;=InicioCiclo+28,"Después del ciclo","Semana "&amp;(INT(($D25-InicioCiclo)/7)+1)))))</f>
        <v/>
      </c>
      <c r="F25" s="61">
        <f>IF($N25="","",IF($P25&gt;0,IF(1&lt;=SemanaActual,INDEX('Cronograma R. Financiero'!$AC$5:$AC$1000,$N25),""),IF(INDEX('Cronograma R. Financiero'!$I$5:$I$1000,$N25)="","",INDEX('Cronograma R. Financiero'!$I$5:$I$1000,$N25))))</f>
        <v/>
      </c>
      <c r="G25" s="61">
        <f>IF($N25="","",IF($P25&gt;0,IF(2&lt;=SemanaActual,INDEX('Cronograma R. Financiero'!$AD$5:$AD$1000,$N25),""),IF(INDEX('Cronograma R. Financiero'!$J$5:$J$1000,$N25)="","",INDEX('Cronograma R. Financiero'!$J$5:$J$1000,$N25))))</f>
        <v/>
      </c>
      <c r="H25" s="61">
        <f>IF($N25="","",IF($P25&gt;0,IF(3&lt;=SemanaActual,INDEX('Cronograma R. Financiero'!$AE$5:$AE$1000,$N25),""),IF(INDEX('Cronograma R. Financiero'!$K$5:$K$1000,$N25)="","",INDEX('Cronograma R. Financiero'!$K$5:$K$1000,$N25))))</f>
        <v/>
      </c>
      <c r="I25" s="61">
        <f>IF($N25="","",IF($P25&gt;0,IF(4&lt;=SemanaActual,INDEX('Cronograma R. Financiero'!$AF$5:$AF$1000,$N25),""),IF(INDEX('Cronograma R. Financiero'!$L$5:$L$1000,$N25)="","",INDEX('Cronograma R. Financiero'!$L$5:$L$1000,$N25))))</f>
        <v/>
      </c>
      <c r="J25" s="61">
        <f>IF($N25="","",INDEX('Cronograma R. Financiero'!$M$5:$M$1000,$N25))</f>
        <v/>
      </c>
      <c r="K25" s="56">
        <f>IF($N25="","",IF(N($J25)&gt;=1,"Completado",IF(AND(ISNUMBER($D25),$D25&lt;FechaRef),"Vencida",IF(N($J25)&gt;0,"En curso","Pendiente"))))</f>
        <v/>
      </c>
      <c r="L25" s="56">
        <f>IF($N25="","",INDEX('Cronograma R. Financiero'!$O$5:$O$1000,$N25)&amp;"")</f>
        <v/>
      </c>
      <c r="M25" s="62">
        <f>IF($N25="","",INDEX('Cronograma R. Financiero'!$Q$5:$Q$1000,$N25)&amp;"")</f>
        <v/>
      </c>
      <c r="N25">
        <f>IFERROR(MATCH(ROW()-4,rOrden_RF,0),"")</f>
        <v/>
      </c>
      <c r="O25">
        <f>IF($N25="","",INDEX('Cronograma R. Financiero'!$V$5:$V$1000,$N25))</f>
        <v/>
      </c>
      <c r="P25">
        <f>IF($N25="","",N(INDEX('Cronograma R. Financiero'!$W$5:$W$1000,$N25)))</f>
        <v/>
      </c>
      <c r="Q25">
        <f>IF(OR(LEFT($L25,7)="Vencida",LEFT($L25,5)="Vence"),SUMPRODUCT(--(LEFT($L$5:$L25,7)="Vencida"))+SUMPRODUCT(--(LEFT($L$5:$L25,5)="Vence")),"")</f>
        <v/>
      </c>
    </row>
    <row r="26">
      <c r="A26" s="56">
        <f>IF($N26="","",INDEX('Cronograma R. Financiero'!$A$5:$A$1000,$N26))</f>
        <v/>
      </c>
      <c r="B26" s="62">
        <f>IF($N26="","",IF($O26="Sub","      ↳  "&amp;INDEX('Cronograma R. Financiero'!$C$5:$C$1000,$N26),INDEX('Cronograma R. Financiero'!$C$5:$C$1000,$N26)&amp;""))</f>
        <v/>
      </c>
      <c r="C26" s="79">
        <f>IF($N26="","",IF(INDEX('Cronograma R. Financiero'!$AM$5:$AM$1000,$N26)="","",INDEX('Cronograma R. Financiero'!$AM$5:$AM$1000,$N26)))</f>
        <v/>
      </c>
      <c r="D26" s="79">
        <f>IF($N26="","",IF(INDEX('Cronograma R. Financiero'!$AN$5:$AN$1000,$N26)="","",INDEX('Cronograma R. Financiero'!$AN$5:$AN$1000,$N26)))</f>
        <v/>
      </c>
      <c r="E26" s="56">
        <f>IF($N26="","",IF(NOT(ISNUMBER($D26)),"",IF($D26&lt;InicioCiclo,"Antes del ciclo",IF($D26&gt;=InicioCiclo+28,"Después del ciclo","Semana "&amp;(INT(($D26-InicioCiclo)/7)+1)))))</f>
        <v/>
      </c>
      <c r="F26" s="61">
        <f>IF($N26="","",IF($P26&gt;0,IF(1&lt;=SemanaActual,INDEX('Cronograma R. Financiero'!$AC$5:$AC$1000,$N26),""),IF(INDEX('Cronograma R. Financiero'!$I$5:$I$1000,$N26)="","",INDEX('Cronograma R. Financiero'!$I$5:$I$1000,$N26))))</f>
        <v/>
      </c>
      <c r="G26" s="61">
        <f>IF($N26="","",IF($P26&gt;0,IF(2&lt;=SemanaActual,INDEX('Cronograma R. Financiero'!$AD$5:$AD$1000,$N26),""),IF(INDEX('Cronograma R. Financiero'!$J$5:$J$1000,$N26)="","",INDEX('Cronograma R. Financiero'!$J$5:$J$1000,$N26))))</f>
        <v/>
      </c>
      <c r="H26" s="61">
        <f>IF($N26="","",IF($P26&gt;0,IF(3&lt;=SemanaActual,INDEX('Cronograma R. Financiero'!$AE$5:$AE$1000,$N26),""),IF(INDEX('Cronograma R. Financiero'!$K$5:$K$1000,$N26)="","",INDEX('Cronograma R. Financiero'!$K$5:$K$1000,$N26))))</f>
        <v/>
      </c>
      <c r="I26" s="61">
        <f>IF($N26="","",IF($P26&gt;0,IF(4&lt;=SemanaActual,INDEX('Cronograma R. Financiero'!$AF$5:$AF$1000,$N26),""),IF(INDEX('Cronograma R. Financiero'!$L$5:$L$1000,$N26)="","",INDEX('Cronograma R. Financiero'!$L$5:$L$1000,$N26))))</f>
        <v/>
      </c>
      <c r="J26" s="61">
        <f>IF($N26="","",INDEX('Cronograma R. Financiero'!$M$5:$M$1000,$N26))</f>
        <v/>
      </c>
      <c r="K26" s="56">
        <f>IF($N26="","",IF(N($J26)&gt;=1,"Completado",IF(AND(ISNUMBER($D26),$D26&lt;FechaRef),"Vencida",IF(N($J26)&gt;0,"En curso","Pendiente"))))</f>
        <v/>
      </c>
      <c r="L26" s="56">
        <f>IF($N26="","",INDEX('Cronograma R. Financiero'!$O$5:$O$1000,$N26)&amp;"")</f>
        <v/>
      </c>
      <c r="M26" s="62">
        <f>IF($N26="","",INDEX('Cronograma R. Financiero'!$Q$5:$Q$1000,$N26)&amp;"")</f>
        <v/>
      </c>
      <c r="N26">
        <f>IFERROR(MATCH(ROW()-4,rOrden_RF,0),"")</f>
        <v/>
      </c>
      <c r="O26">
        <f>IF($N26="","",INDEX('Cronograma R. Financiero'!$V$5:$V$1000,$N26))</f>
        <v/>
      </c>
      <c r="P26">
        <f>IF($N26="","",N(INDEX('Cronograma R. Financiero'!$W$5:$W$1000,$N26)))</f>
        <v/>
      </c>
      <c r="Q26">
        <f>IF(OR(LEFT($L26,7)="Vencida",LEFT($L26,5)="Vence"),SUMPRODUCT(--(LEFT($L$5:$L26,7)="Vencida"))+SUMPRODUCT(--(LEFT($L$5:$L26,5)="Vence")),"")</f>
        <v/>
      </c>
    </row>
    <row r="27">
      <c r="A27" s="56">
        <f>IF($N27="","",INDEX('Cronograma R. Financiero'!$A$5:$A$1000,$N27))</f>
        <v/>
      </c>
      <c r="B27" s="62">
        <f>IF($N27="","",IF($O27="Sub","      ↳  "&amp;INDEX('Cronograma R. Financiero'!$C$5:$C$1000,$N27),INDEX('Cronograma R. Financiero'!$C$5:$C$1000,$N27)&amp;""))</f>
        <v/>
      </c>
      <c r="C27" s="79">
        <f>IF($N27="","",IF(INDEX('Cronograma R. Financiero'!$AM$5:$AM$1000,$N27)="","",INDEX('Cronograma R. Financiero'!$AM$5:$AM$1000,$N27)))</f>
        <v/>
      </c>
      <c r="D27" s="79">
        <f>IF($N27="","",IF(INDEX('Cronograma R. Financiero'!$AN$5:$AN$1000,$N27)="","",INDEX('Cronograma R. Financiero'!$AN$5:$AN$1000,$N27)))</f>
        <v/>
      </c>
      <c r="E27" s="56">
        <f>IF($N27="","",IF(NOT(ISNUMBER($D27)),"",IF($D27&lt;InicioCiclo,"Antes del ciclo",IF($D27&gt;=InicioCiclo+28,"Después del ciclo","Semana "&amp;(INT(($D27-InicioCiclo)/7)+1)))))</f>
        <v/>
      </c>
      <c r="F27" s="61">
        <f>IF($N27="","",IF($P27&gt;0,IF(1&lt;=SemanaActual,INDEX('Cronograma R. Financiero'!$AC$5:$AC$1000,$N27),""),IF(INDEX('Cronograma R. Financiero'!$I$5:$I$1000,$N27)="","",INDEX('Cronograma R. Financiero'!$I$5:$I$1000,$N27))))</f>
        <v/>
      </c>
      <c r="G27" s="61">
        <f>IF($N27="","",IF($P27&gt;0,IF(2&lt;=SemanaActual,INDEX('Cronograma R. Financiero'!$AD$5:$AD$1000,$N27),""),IF(INDEX('Cronograma R. Financiero'!$J$5:$J$1000,$N27)="","",INDEX('Cronograma R. Financiero'!$J$5:$J$1000,$N27))))</f>
        <v/>
      </c>
      <c r="H27" s="61">
        <f>IF($N27="","",IF($P27&gt;0,IF(3&lt;=SemanaActual,INDEX('Cronograma R. Financiero'!$AE$5:$AE$1000,$N27),""),IF(INDEX('Cronograma R. Financiero'!$K$5:$K$1000,$N27)="","",INDEX('Cronograma R. Financiero'!$K$5:$K$1000,$N27))))</f>
        <v/>
      </c>
      <c r="I27" s="61">
        <f>IF($N27="","",IF($P27&gt;0,IF(4&lt;=SemanaActual,INDEX('Cronograma R. Financiero'!$AF$5:$AF$1000,$N27),""),IF(INDEX('Cronograma R. Financiero'!$L$5:$L$1000,$N27)="","",INDEX('Cronograma R. Financiero'!$L$5:$L$1000,$N27))))</f>
        <v/>
      </c>
      <c r="J27" s="61">
        <f>IF($N27="","",INDEX('Cronograma R. Financiero'!$M$5:$M$1000,$N27))</f>
        <v/>
      </c>
      <c r="K27" s="56">
        <f>IF($N27="","",IF(N($J27)&gt;=1,"Completado",IF(AND(ISNUMBER($D27),$D27&lt;FechaRef),"Vencida",IF(N($J27)&gt;0,"En curso","Pendiente"))))</f>
        <v/>
      </c>
      <c r="L27" s="56">
        <f>IF($N27="","",INDEX('Cronograma R. Financiero'!$O$5:$O$1000,$N27)&amp;"")</f>
        <v/>
      </c>
      <c r="M27" s="62">
        <f>IF($N27="","",INDEX('Cronograma R. Financiero'!$Q$5:$Q$1000,$N27)&amp;"")</f>
        <v/>
      </c>
      <c r="N27">
        <f>IFERROR(MATCH(ROW()-4,rOrden_RF,0),"")</f>
        <v/>
      </c>
      <c r="O27">
        <f>IF($N27="","",INDEX('Cronograma R. Financiero'!$V$5:$V$1000,$N27))</f>
        <v/>
      </c>
      <c r="P27">
        <f>IF($N27="","",N(INDEX('Cronograma R. Financiero'!$W$5:$W$1000,$N27)))</f>
        <v/>
      </c>
      <c r="Q27">
        <f>IF(OR(LEFT($L27,7)="Vencida",LEFT($L27,5)="Vence"),SUMPRODUCT(--(LEFT($L$5:$L27,7)="Vencida"))+SUMPRODUCT(--(LEFT($L$5:$L27,5)="Vence")),"")</f>
        <v/>
      </c>
    </row>
    <row r="28">
      <c r="A28" s="56">
        <f>IF($N28="","",INDEX('Cronograma R. Financiero'!$A$5:$A$1000,$N28))</f>
        <v/>
      </c>
      <c r="B28" s="62">
        <f>IF($N28="","",IF($O28="Sub","      ↳  "&amp;INDEX('Cronograma R. Financiero'!$C$5:$C$1000,$N28),INDEX('Cronograma R. Financiero'!$C$5:$C$1000,$N28)&amp;""))</f>
        <v/>
      </c>
      <c r="C28" s="79">
        <f>IF($N28="","",IF(INDEX('Cronograma R. Financiero'!$AM$5:$AM$1000,$N28)="","",INDEX('Cronograma R. Financiero'!$AM$5:$AM$1000,$N28)))</f>
        <v/>
      </c>
      <c r="D28" s="79">
        <f>IF($N28="","",IF(INDEX('Cronograma R. Financiero'!$AN$5:$AN$1000,$N28)="","",INDEX('Cronograma R. Financiero'!$AN$5:$AN$1000,$N28)))</f>
        <v/>
      </c>
      <c r="E28" s="56">
        <f>IF($N28="","",IF(NOT(ISNUMBER($D28)),"",IF($D28&lt;InicioCiclo,"Antes del ciclo",IF($D28&gt;=InicioCiclo+28,"Después del ciclo","Semana "&amp;(INT(($D28-InicioCiclo)/7)+1)))))</f>
        <v/>
      </c>
      <c r="F28" s="61">
        <f>IF($N28="","",IF($P28&gt;0,IF(1&lt;=SemanaActual,INDEX('Cronograma R. Financiero'!$AC$5:$AC$1000,$N28),""),IF(INDEX('Cronograma R. Financiero'!$I$5:$I$1000,$N28)="","",INDEX('Cronograma R. Financiero'!$I$5:$I$1000,$N28))))</f>
        <v/>
      </c>
      <c r="G28" s="61">
        <f>IF($N28="","",IF($P28&gt;0,IF(2&lt;=SemanaActual,INDEX('Cronograma R. Financiero'!$AD$5:$AD$1000,$N28),""),IF(INDEX('Cronograma R. Financiero'!$J$5:$J$1000,$N28)="","",INDEX('Cronograma R. Financiero'!$J$5:$J$1000,$N28))))</f>
        <v/>
      </c>
      <c r="H28" s="61">
        <f>IF($N28="","",IF($P28&gt;0,IF(3&lt;=SemanaActual,INDEX('Cronograma R. Financiero'!$AE$5:$AE$1000,$N28),""),IF(INDEX('Cronograma R. Financiero'!$K$5:$K$1000,$N28)="","",INDEX('Cronograma R. Financiero'!$K$5:$K$1000,$N28))))</f>
        <v/>
      </c>
      <c r="I28" s="61">
        <f>IF($N28="","",IF($P28&gt;0,IF(4&lt;=SemanaActual,INDEX('Cronograma R. Financiero'!$AF$5:$AF$1000,$N28),""),IF(INDEX('Cronograma R. Financiero'!$L$5:$L$1000,$N28)="","",INDEX('Cronograma R. Financiero'!$L$5:$L$1000,$N28))))</f>
        <v/>
      </c>
      <c r="J28" s="61">
        <f>IF($N28="","",INDEX('Cronograma R. Financiero'!$M$5:$M$1000,$N28))</f>
        <v/>
      </c>
      <c r="K28" s="56">
        <f>IF($N28="","",IF(N($J28)&gt;=1,"Completado",IF(AND(ISNUMBER($D28),$D28&lt;FechaRef),"Vencida",IF(N($J28)&gt;0,"En curso","Pendiente"))))</f>
        <v/>
      </c>
      <c r="L28" s="56">
        <f>IF($N28="","",INDEX('Cronograma R. Financiero'!$O$5:$O$1000,$N28)&amp;"")</f>
        <v/>
      </c>
      <c r="M28" s="62">
        <f>IF($N28="","",INDEX('Cronograma R. Financiero'!$Q$5:$Q$1000,$N28)&amp;"")</f>
        <v/>
      </c>
      <c r="N28">
        <f>IFERROR(MATCH(ROW()-4,rOrden_RF,0),"")</f>
        <v/>
      </c>
      <c r="O28">
        <f>IF($N28="","",INDEX('Cronograma R. Financiero'!$V$5:$V$1000,$N28))</f>
        <v/>
      </c>
      <c r="P28">
        <f>IF($N28="","",N(INDEX('Cronograma R. Financiero'!$W$5:$W$1000,$N28)))</f>
        <v/>
      </c>
      <c r="Q28">
        <f>IF(OR(LEFT($L28,7)="Vencida",LEFT($L28,5)="Vence"),SUMPRODUCT(--(LEFT($L$5:$L28,7)="Vencida"))+SUMPRODUCT(--(LEFT($L$5:$L28,5)="Vence")),"")</f>
        <v/>
      </c>
    </row>
    <row r="29">
      <c r="A29" s="56">
        <f>IF($N29="","",INDEX('Cronograma R. Financiero'!$A$5:$A$1000,$N29))</f>
        <v/>
      </c>
      <c r="B29" s="62">
        <f>IF($N29="","",IF($O29="Sub","      ↳  "&amp;INDEX('Cronograma R. Financiero'!$C$5:$C$1000,$N29),INDEX('Cronograma R. Financiero'!$C$5:$C$1000,$N29)&amp;""))</f>
        <v/>
      </c>
      <c r="C29" s="79">
        <f>IF($N29="","",IF(INDEX('Cronograma R. Financiero'!$AM$5:$AM$1000,$N29)="","",INDEX('Cronograma R. Financiero'!$AM$5:$AM$1000,$N29)))</f>
        <v/>
      </c>
      <c r="D29" s="79">
        <f>IF($N29="","",IF(INDEX('Cronograma R. Financiero'!$AN$5:$AN$1000,$N29)="","",INDEX('Cronograma R. Financiero'!$AN$5:$AN$1000,$N29)))</f>
        <v/>
      </c>
      <c r="E29" s="56">
        <f>IF($N29="","",IF(NOT(ISNUMBER($D29)),"",IF($D29&lt;InicioCiclo,"Antes del ciclo",IF($D29&gt;=InicioCiclo+28,"Después del ciclo","Semana "&amp;(INT(($D29-InicioCiclo)/7)+1)))))</f>
        <v/>
      </c>
      <c r="F29" s="61">
        <f>IF($N29="","",IF($P29&gt;0,IF(1&lt;=SemanaActual,INDEX('Cronograma R. Financiero'!$AC$5:$AC$1000,$N29),""),IF(INDEX('Cronograma R. Financiero'!$I$5:$I$1000,$N29)="","",INDEX('Cronograma R. Financiero'!$I$5:$I$1000,$N29))))</f>
        <v/>
      </c>
      <c r="G29" s="61">
        <f>IF($N29="","",IF($P29&gt;0,IF(2&lt;=SemanaActual,INDEX('Cronograma R. Financiero'!$AD$5:$AD$1000,$N29),""),IF(INDEX('Cronograma R. Financiero'!$J$5:$J$1000,$N29)="","",INDEX('Cronograma R. Financiero'!$J$5:$J$1000,$N29))))</f>
        <v/>
      </c>
      <c r="H29" s="61">
        <f>IF($N29="","",IF($P29&gt;0,IF(3&lt;=SemanaActual,INDEX('Cronograma R. Financiero'!$AE$5:$AE$1000,$N29),""),IF(INDEX('Cronograma R. Financiero'!$K$5:$K$1000,$N29)="","",INDEX('Cronograma R. Financiero'!$K$5:$K$1000,$N29))))</f>
        <v/>
      </c>
      <c r="I29" s="61">
        <f>IF($N29="","",IF($P29&gt;0,IF(4&lt;=SemanaActual,INDEX('Cronograma R. Financiero'!$AF$5:$AF$1000,$N29),""),IF(INDEX('Cronograma R. Financiero'!$L$5:$L$1000,$N29)="","",INDEX('Cronograma R. Financiero'!$L$5:$L$1000,$N29))))</f>
        <v/>
      </c>
      <c r="J29" s="61">
        <f>IF($N29="","",INDEX('Cronograma R. Financiero'!$M$5:$M$1000,$N29))</f>
        <v/>
      </c>
      <c r="K29" s="56">
        <f>IF($N29="","",IF(N($J29)&gt;=1,"Completado",IF(AND(ISNUMBER($D29),$D29&lt;FechaRef),"Vencida",IF(N($J29)&gt;0,"En curso","Pendiente"))))</f>
        <v/>
      </c>
      <c r="L29" s="56">
        <f>IF($N29="","",INDEX('Cronograma R. Financiero'!$O$5:$O$1000,$N29)&amp;"")</f>
        <v/>
      </c>
      <c r="M29" s="62">
        <f>IF($N29="","",INDEX('Cronograma R. Financiero'!$Q$5:$Q$1000,$N29)&amp;"")</f>
        <v/>
      </c>
      <c r="N29">
        <f>IFERROR(MATCH(ROW()-4,rOrden_RF,0),"")</f>
        <v/>
      </c>
      <c r="O29">
        <f>IF($N29="","",INDEX('Cronograma R. Financiero'!$V$5:$V$1000,$N29))</f>
        <v/>
      </c>
      <c r="P29">
        <f>IF($N29="","",N(INDEX('Cronograma R. Financiero'!$W$5:$W$1000,$N29)))</f>
        <v/>
      </c>
      <c r="Q29">
        <f>IF(OR(LEFT($L29,7)="Vencida",LEFT($L29,5)="Vence"),SUMPRODUCT(--(LEFT($L$5:$L29,7)="Vencida"))+SUMPRODUCT(--(LEFT($L$5:$L29,5)="Vence")),"")</f>
        <v/>
      </c>
    </row>
    <row r="30">
      <c r="A30" s="56">
        <f>IF($N30="","",INDEX('Cronograma R. Financiero'!$A$5:$A$1000,$N30))</f>
        <v/>
      </c>
      <c r="B30" s="62">
        <f>IF($N30="","",IF($O30="Sub","      ↳  "&amp;INDEX('Cronograma R. Financiero'!$C$5:$C$1000,$N30),INDEX('Cronograma R. Financiero'!$C$5:$C$1000,$N30)&amp;""))</f>
        <v/>
      </c>
      <c r="C30" s="79">
        <f>IF($N30="","",IF(INDEX('Cronograma R. Financiero'!$AM$5:$AM$1000,$N30)="","",INDEX('Cronograma R. Financiero'!$AM$5:$AM$1000,$N30)))</f>
        <v/>
      </c>
      <c r="D30" s="79">
        <f>IF($N30="","",IF(INDEX('Cronograma R. Financiero'!$AN$5:$AN$1000,$N30)="","",INDEX('Cronograma R. Financiero'!$AN$5:$AN$1000,$N30)))</f>
        <v/>
      </c>
      <c r="E30" s="56">
        <f>IF($N30="","",IF(NOT(ISNUMBER($D30)),"",IF($D30&lt;InicioCiclo,"Antes del ciclo",IF($D30&gt;=InicioCiclo+28,"Después del ciclo","Semana "&amp;(INT(($D30-InicioCiclo)/7)+1)))))</f>
        <v/>
      </c>
      <c r="F30" s="61">
        <f>IF($N30="","",IF($P30&gt;0,IF(1&lt;=SemanaActual,INDEX('Cronograma R. Financiero'!$AC$5:$AC$1000,$N30),""),IF(INDEX('Cronograma R. Financiero'!$I$5:$I$1000,$N30)="","",INDEX('Cronograma R. Financiero'!$I$5:$I$1000,$N30))))</f>
        <v/>
      </c>
      <c r="G30" s="61">
        <f>IF($N30="","",IF($P30&gt;0,IF(2&lt;=SemanaActual,INDEX('Cronograma R. Financiero'!$AD$5:$AD$1000,$N30),""),IF(INDEX('Cronograma R. Financiero'!$J$5:$J$1000,$N30)="","",INDEX('Cronograma R. Financiero'!$J$5:$J$1000,$N30))))</f>
        <v/>
      </c>
      <c r="H30" s="61">
        <f>IF($N30="","",IF($P30&gt;0,IF(3&lt;=SemanaActual,INDEX('Cronograma R. Financiero'!$AE$5:$AE$1000,$N30),""),IF(INDEX('Cronograma R. Financiero'!$K$5:$K$1000,$N30)="","",INDEX('Cronograma R. Financiero'!$K$5:$K$1000,$N30))))</f>
        <v/>
      </c>
      <c r="I30" s="61">
        <f>IF($N30="","",IF($P30&gt;0,IF(4&lt;=SemanaActual,INDEX('Cronograma R. Financiero'!$AF$5:$AF$1000,$N30),""),IF(INDEX('Cronograma R. Financiero'!$L$5:$L$1000,$N30)="","",INDEX('Cronograma R. Financiero'!$L$5:$L$1000,$N30))))</f>
        <v/>
      </c>
      <c r="J30" s="61">
        <f>IF($N30="","",INDEX('Cronograma R. Financiero'!$M$5:$M$1000,$N30))</f>
        <v/>
      </c>
      <c r="K30" s="56">
        <f>IF($N30="","",IF(N($J30)&gt;=1,"Completado",IF(AND(ISNUMBER($D30),$D30&lt;FechaRef),"Vencida",IF(N($J30)&gt;0,"En curso","Pendiente"))))</f>
        <v/>
      </c>
      <c r="L30" s="56">
        <f>IF($N30="","",INDEX('Cronograma R. Financiero'!$O$5:$O$1000,$N30)&amp;"")</f>
        <v/>
      </c>
      <c r="M30" s="62">
        <f>IF($N30="","",INDEX('Cronograma R. Financiero'!$Q$5:$Q$1000,$N30)&amp;"")</f>
        <v/>
      </c>
      <c r="N30">
        <f>IFERROR(MATCH(ROW()-4,rOrden_RF,0),"")</f>
        <v/>
      </c>
      <c r="O30">
        <f>IF($N30="","",INDEX('Cronograma R. Financiero'!$V$5:$V$1000,$N30))</f>
        <v/>
      </c>
      <c r="P30">
        <f>IF($N30="","",N(INDEX('Cronograma R. Financiero'!$W$5:$W$1000,$N30)))</f>
        <v/>
      </c>
      <c r="Q30">
        <f>IF(OR(LEFT($L30,7)="Vencida",LEFT($L30,5)="Vence"),SUMPRODUCT(--(LEFT($L$5:$L30,7)="Vencida"))+SUMPRODUCT(--(LEFT($L$5:$L30,5)="Vence")),"")</f>
        <v/>
      </c>
    </row>
    <row r="31">
      <c r="A31" s="56">
        <f>IF($N31="","",INDEX('Cronograma R. Financiero'!$A$5:$A$1000,$N31))</f>
        <v/>
      </c>
      <c r="B31" s="62">
        <f>IF($N31="","",IF($O31="Sub","      ↳  "&amp;INDEX('Cronograma R. Financiero'!$C$5:$C$1000,$N31),INDEX('Cronograma R. Financiero'!$C$5:$C$1000,$N31)&amp;""))</f>
        <v/>
      </c>
      <c r="C31" s="79">
        <f>IF($N31="","",IF(INDEX('Cronograma R. Financiero'!$AM$5:$AM$1000,$N31)="","",INDEX('Cronograma R. Financiero'!$AM$5:$AM$1000,$N31)))</f>
        <v/>
      </c>
      <c r="D31" s="79">
        <f>IF($N31="","",IF(INDEX('Cronograma R. Financiero'!$AN$5:$AN$1000,$N31)="","",INDEX('Cronograma R. Financiero'!$AN$5:$AN$1000,$N31)))</f>
        <v/>
      </c>
      <c r="E31" s="56">
        <f>IF($N31="","",IF(NOT(ISNUMBER($D31)),"",IF($D31&lt;InicioCiclo,"Antes del ciclo",IF($D31&gt;=InicioCiclo+28,"Después del ciclo","Semana "&amp;(INT(($D31-InicioCiclo)/7)+1)))))</f>
        <v/>
      </c>
      <c r="F31" s="61">
        <f>IF($N31="","",IF($P31&gt;0,IF(1&lt;=SemanaActual,INDEX('Cronograma R. Financiero'!$AC$5:$AC$1000,$N31),""),IF(INDEX('Cronograma R. Financiero'!$I$5:$I$1000,$N31)="","",INDEX('Cronograma R. Financiero'!$I$5:$I$1000,$N31))))</f>
        <v/>
      </c>
      <c r="G31" s="61">
        <f>IF($N31="","",IF($P31&gt;0,IF(2&lt;=SemanaActual,INDEX('Cronograma R. Financiero'!$AD$5:$AD$1000,$N31),""),IF(INDEX('Cronograma R. Financiero'!$J$5:$J$1000,$N31)="","",INDEX('Cronograma R. Financiero'!$J$5:$J$1000,$N31))))</f>
        <v/>
      </c>
      <c r="H31" s="61">
        <f>IF($N31="","",IF($P31&gt;0,IF(3&lt;=SemanaActual,INDEX('Cronograma R. Financiero'!$AE$5:$AE$1000,$N31),""),IF(INDEX('Cronograma R. Financiero'!$K$5:$K$1000,$N31)="","",INDEX('Cronograma R. Financiero'!$K$5:$K$1000,$N31))))</f>
        <v/>
      </c>
      <c r="I31" s="61">
        <f>IF($N31="","",IF($P31&gt;0,IF(4&lt;=SemanaActual,INDEX('Cronograma R. Financiero'!$AF$5:$AF$1000,$N31),""),IF(INDEX('Cronograma R. Financiero'!$L$5:$L$1000,$N31)="","",INDEX('Cronograma R. Financiero'!$L$5:$L$1000,$N31))))</f>
        <v/>
      </c>
      <c r="J31" s="61">
        <f>IF($N31="","",INDEX('Cronograma R. Financiero'!$M$5:$M$1000,$N31))</f>
        <v/>
      </c>
      <c r="K31" s="56">
        <f>IF($N31="","",IF(N($J31)&gt;=1,"Completado",IF(AND(ISNUMBER($D31),$D31&lt;FechaRef),"Vencida",IF(N($J31)&gt;0,"En curso","Pendiente"))))</f>
        <v/>
      </c>
      <c r="L31" s="56">
        <f>IF($N31="","",INDEX('Cronograma R. Financiero'!$O$5:$O$1000,$N31)&amp;"")</f>
        <v/>
      </c>
      <c r="M31" s="62">
        <f>IF($N31="","",INDEX('Cronograma R. Financiero'!$Q$5:$Q$1000,$N31)&amp;"")</f>
        <v/>
      </c>
      <c r="N31">
        <f>IFERROR(MATCH(ROW()-4,rOrden_RF,0),"")</f>
        <v/>
      </c>
      <c r="O31">
        <f>IF($N31="","",INDEX('Cronograma R. Financiero'!$V$5:$V$1000,$N31))</f>
        <v/>
      </c>
      <c r="P31">
        <f>IF($N31="","",N(INDEX('Cronograma R. Financiero'!$W$5:$W$1000,$N31)))</f>
        <v/>
      </c>
      <c r="Q31">
        <f>IF(OR(LEFT($L31,7)="Vencida",LEFT($L31,5)="Vence"),SUMPRODUCT(--(LEFT($L$5:$L31,7)="Vencida"))+SUMPRODUCT(--(LEFT($L$5:$L31,5)="Vence")),"")</f>
        <v/>
      </c>
    </row>
    <row r="32">
      <c r="A32" s="56">
        <f>IF($N32="","",INDEX('Cronograma R. Financiero'!$A$5:$A$1000,$N32))</f>
        <v/>
      </c>
      <c r="B32" s="62">
        <f>IF($N32="","",IF($O32="Sub","      ↳  "&amp;INDEX('Cronograma R. Financiero'!$C$5:$C$1000,$N32),INDEX('Cronograma R. Financiero'!$C$5:$C$1000,$N32)&amp;""))</f>
        <v/>
      </c>
      <c r="C32" s="79">
        <f>IF($N32="","",IF(INDEX('Cronograma R. Financiero'!$AM$5:$AM$1000,$N32)="","",INDEX('Cronograma R. Financiero'!$AM$5:$AM$1000,$N32)))</f>
        <v/>
      </c>
      <c r="D32" s="79">
        <f>IF($N32="","",IF(INDEX('Cronograma R. Financiero'!$AN$5:$AN$1000,$N32)="","",INDEX('Cronograma R. Financiero'!$AN$5:$AN$1000,$N32)))</f>
        <v/>
      </c>
      <c r="E32" s="56">
        <f>IF($N32="","",IF(NOT(ISNUMBER($D32)),"",IF($D32&lt;InicioCiclo,"Antes del ciclo",IF($D32&gt;=InicioCiclo+28,"Después del ciclo","Semana "&amp;(INT(($D32-InicioCiclo)/7)+1)))))</f>
        <v/>
      </c>
      <c r="F32" s="61">
        <f>IF($N32="","",IF($P32&gt;0,IF(1&lt;=SemanaActual,INDEX('Cronograma R. Financiero'!$AC$5:$AC$1000,$N32),""),IF(INDEX('Cronograma R. Financiero'!$I$5:$I$1000,$N32)="","",INDEX('Cronograma R. Financiero'!$I$5:$I$1000,$N32))))</f>
        <v/>
      </c>
      <c r="G32" s="61">
        <f>IF($N32="","",IF($P32&gt;0,IF(2&lt;=SemanaActual,INDEX('Cronograma R. Financiero'!$AD$5:$AD$1000,$N32),""),IF(INDEX('Cronograma R. Financiero'!$J$5:$J$1000,$N32)="","",INDEX('Cronograma R. Financiero'!$J$5:$J$1000,$N32))))</f>
        <v/>
      </c>
      <c r="H32" s="61">
        <f>IF($N32="","",IF($P32&gt;0,IF(3&lt;=SemanaActual,INDEX('Cronograma R. Financiero'!$AE$5:$AE$1000,$N32),""),IF(INDEX('Cronograma R. Financiero'!$K$5:$K$1000,$N32)="","",INDEX('Cronograma R. Financiero'!$K$5:$K$1000,$N32))))</f>
        <v/>
      </c>
      <c r="I32" s="61">
        <f>IF($N32="","",IF($P32&gt;0,IF(4&lt;=SemanaActual,INDEX('Cronograma R. Financiero'!$AF$5:$AF$1000,$N32),""),IF(INDEX('Cronograma R. Financiero'!$L$5:$L$1000,$N32)="","",INDEX('Cronograma R. Financiero'!$L$5:$L$1000,$N32))))</f>
        <v/>
      </c>
      <c r="J32" s="61">
        <f>IF($N32="","",INDEX('Cronograma R. Financiero'!$M$5:$M$1000,$N32))</f>
        <v/>
      </c>
      <c r="K32" s="56">
        <f>IF($N32="","",IF(N($J32)&gt;=1,"Completado",IF(AND(ISNUMBER($D32),$D32&lt;FechaRef),"Vencida",IF(N($J32)&gt;0,"En curso","Pendiente"))))</f>
        <v/>
      </c>
      <c r="L32" s="56">
        <f>IF($N32="","",INDEX('Cronograma R. Financiero'!$O$5:$O$1000,$N32)&amp;"")</f>
        <v/>
      </c>
      <c r="M32" s="62">
        <f>IF($N32="","",INDEX('Cronograma R. Financiero'!$Q$5:$Q$1000,$N32)&amp;"")</f>
        <v/>
      </c>
      <c r="N32">
        <f>IFERROR(MATCH(ROW()-4,rOrden_RF,0),"")</f>
        <v/>
      </c>
      <c r="O32">
        <f>IF($N32="","",INDEX('Cronograma R. Financiero'!$V$5:$V$1000,$N32))</f>
        <v/>
      </c>
      <c r="P32">
        <f>IF($N32="","",N(INDEX('Cronograma R. Financiero'!$W$5:$W$1000,$N32)))</f>
        <v/>
      </c>
      <c r="Q32">
        <f>IF(OR(LEFT($L32,7)="Vencida",LEFT($L32,5)="Vence"),SUMPRODUCT(--(LEFT($L$5:$L32,7)="Vencida"))+SUMPRODUCT(--(LEFT($L$5:$L32,5)="Vence")),"")</f>
        <v/>
      </c>
    </row>
    <row r="33">
      <c r="A33" s="56">
        <f>IF($N33="","",INDEX('Cronograma R. Financiero'!$A$5:$A$1000,$N33))</f>
        <v/>
      </c>
      <c r="B33" s="62">
        <f>IF($N33="","",IF($O33="Sub","      ↳  "&amp;INDEX('Cronograma R. Financiero'!$C$5:$C$1000,$N33),INDEX('Cronograma R. Financiero'!$C$5:$C$1000,$N33)&amp;""))</f>
        <v/>
      </c>
      <c r="C33" s="79">
        <f>IF($N33="","",IF(INDEX('Cronograma R. Financiero'!$AM$5:$AM$1000,$N33)="","",INDEX('Cronograma R. Financiero'!$AM$5:$AM$1000,$N33)))</f>
        <v/>
      </c>
      <c r="D33" s="79">
        <f>IF($N33="","",IF(INDEX('Cronograma R. Financiero'!$AN$5:$AN$1000,$N33)="","",INDEX('Cronograma R. Financiero'!$AN$5:$AN$1000,$N33)))</f>
        <v/>
      </c>
      <c r="E33" s="56">
        <f>IF($N33="","",IF(NOT(ISNUMBER($D33)),"",IF($D33&lt;InicioCiclo,"Antes del ciclo",IF($D33&gt;=InicioCiclo+28,"Después del ciclo","Semana "&amp;(INT(($D33-InicioCiclo)/7)+1)))))</f>
        <v/>
      </c>
      <c r="F33" s="61">
        <f>IF($N33="","",IF($P33&gt;0,IF(1&lt;=SemanaActual,INDEX('Cronograma R. Financiero'!$AC$5:$AC$1000,$N33),""),IF(INDEX('Cronograma R. Financiero'!$I$5:$I$1000,$N33)="","",INDEX('Cronograma R. Financiero'!$I$5:$I$1000,$N33))))</f>
        <v/>
      </c>
      <c r="G33" s="61">
        <f>IF($N33="","",IF($P33&gt;0,IF(2&lt;=SemanaActual,INDEX('Cronograma R. Financiero'!$AD$5:$AD$1000,$N33),""),IF(INDEX('Cronograma R. Financiero'!$J$5:$J$1000,$N33)="","",INDEX('Cronograma R. Financiero'!$J$5:$J$1000,$N33))))</f>
        <v/>
      </c>
      <c r="H33" s="61">
        <f>IF($N33="","",IF($P33&gt;0,IF(3&lt;=SemanaActual,INDEX('Cronograma R. Financiero'!$AE$5:$AE$1000,$N33),""),IF(INDEX('Cronograma R. Financiero'!$K$5:$K$1000,$N33)="","",INDEX('Cronograma R. Financiero'!$K$5:$K$1000,$N33))))</f>
        <v/>
      </c>
      <c r="I33" s="61">
        <f>IF($N33="","",IF($P33&gt;0,IF(4&lt;=SemanaActual,INDEX('Cronograma R. Financiero'!$AF$5:$AF$1000,$N33),""),IF(INDEX('Cronograma R. Financiero'!$L$5:$L$1000,$N33)="","",INDEX('Cronograma R. Financiero'!$L$5:$L$1000,$N33))))</f>
        <v/>
      </c>
      <c r="J33" s="61">
        <f>IF($N33="","",INDEX('Cronograma R. Financiero'!$M$5:$M$1000,$N33))</f>
        <v/>
      </c>
      <c r="K33" s="56">
        <f>IF($N33="","",IF(N($J33)&gt;=1,"Completado",IF(AND(ISNUMBER($D33),$D33&lt;FechaRef),"Vencida",IF(N($J33)&gt;0,"En curso","Pendiente"))))</f>
        <v/>
      </c>
      <c r="L33" s="56">
        <f>IF($N33="","",INDEX('Cronograma R. Financiero'!$O$5:$O$1000,$N33)&amp;"")</f>
        <v/>
      </c>
      <c r="M33" s="62">
        <f>IF($N33="","",INDEX('Cronograma R. Financiero'!$Q$5:$Q$1000,$N33)&amp;"")</f>
        <v/>
      </c>
      <c r="N33">
        <f>IFERROR(MATCH(ROW()-4,rOrden_RF,0),"")</f>
        <v/>
      </c>
      <c r="O33">
        <f>IF($N33="","",INDEX('Cronograma R. Financiero'!$V$5:$V$1000,$N33))</f>
        <v/>
      </c>
      <c r="P33">
        <f>IF($N33="","",N(INDEX('Cronograma R. Financiero'!$W$5:$W$1000,$N33)))</f>
        <v/>
      </c>
      <c r="Q33">
        <f>IF(OR(LEFT($L33,7)="Vencida",LEFT($L33,5)="Vence"),SUMPRODUCT(--(LEFT($L$5:$L33,7)="Vencida"))+SUMPRODUCT(--(LEFT($L$5:$L33,5)="Vence")),"")</f>
        <v/>
      </c>
    </row>
    <row r="34">
      <c r="A34" s="56">
        <f>IF($N34="","",INDEX('Cronograma R. Financiero'!$A$5:$A$1000,$N34))</f>
        <v/>
      </c>
      <c r="B34" s="62">
        <f>IF($N34="","",IF($O34="Sub","      ↳  "&amp;INDEX('Cronograma R. Financiero'!$C$5:$C$1000,$N34),INDEX('Cronograma R. Financiero'!$C$5:$C$1000,$N34)&amp;""))</f>
        <v/>
      </c>
      <c r="C34" s="79">
        <f>IF($N34="","",IF(INDEX('Cronograma R. Financiero'!$AM$5:$AM$1000,$N34)="","",INDEX('Cronograma R. Financiero'!$AM$5:$AM$1000,$N34)))</f>
        <v/>
      </c>
      <c r="D34" s="79">
        <f>IF($N34="","",IF(INDEX('Cronograma R. Financiero'!$AN$5:$AN$1000,$N34)="","",INDEX('Cronograma R. Financiero'!$AN$5:$AN$1000,$N34)))</f>
        <v/>
      </c>
      <c r="E34" s="56">
        <f>IF($N34="","",IF(NOT(ISNUMBER($D34)),"",IF($D34&lt;InicioCiclo,"Antes del ciclo",IF($D34&gt;=InicioCiclo+28,"Después del ciclo","Semana "&amp;(INT(($D34-InicioCiclo)/7)+1)))))</f>
        <v/>
      </c>
      <c r="F34" s="61">
        <f>IF($N34="","",IF($P34&gt;0,IF(1&lt;=SemanaActual,INDEX('Cronograma R. Financiero'!$AC$5:$AC$1000,$N34),""),IF(INDEX('Cronograma R. Financiero'!$I$5:$I$1000,$N34)="","",INDEX('Cronograma R. Financiero'!$I$5:$I$1000,$N34))))</f>
        <v/>
      </c>
      <c r="G34" s="61">
        <f>IF($N34="","",IF($P34&gt;0,IF(2&lt;=SemanaActual,INDEX('Cronograma R. Financiero'!$AD$5:$AD$1000,$N34),""),IF(INDEX('Cronograma R. Financiero'!$J$5:$J$1000,$N34)="","",INDEX('Cronograma R. Financiero'!$J$5:$J$1000,$N34))))</f>
        <v/>
      </c>
      <c r="H34" s="61">
        <f>IF($N34="","",IF($P34&gt;0,IF(3&lt;=SemanaActual,INDEX('Cronograma R. Financiero'!$AE$5:$AE$1000,$N34),""),IF(INDEX('Cronograma R. Financiero'!$K$5:$K$1000,$N34)="","",INDEX('Cronograma R. Financiero'!$K$5:$K$1000,$N34))))</f>
        <v/>
      </c>
      <c r="I34" s="61">
        <f>IF($N34="","",IF($P34&gt;0,IF(4&lt;=SemanaActual,INDEX('Cronograma R. Financiero'!$AF$5:$AF$1000,$N34),""),IF(INDEX('Cronograma R. Financiero'!$L$5:$L$1000,$N34)="","",INDEX('Cronograma R. Financiero'!$L$5:$L$1000,$N34))))</f>
        <v/>
      </c>
      <c r="J34" s="61">
        <f>IF($N34="","",INDEX('Cronograma R. Financiero'!$M$5:$M$1000,$N34))</f>
        <v/>
      </c>
      <c r="K34" s="56">
        <f>IF($N34="","",IF(N($J34)&gt;=1,"Completado",IF(AND(ISNUMBER($D34),$D34&lt;FechaRef),"Vencida",IF(N($J34)&gt;0,"En curso","Pendiente"))))</f>
        <v/>
      </c>
      <c r="L34" s="56">
        <f>IF($N34="","",INDEX('Cronograma R. Financiero'!$O$5:$O$1000,$N34)&amp;"")</f>
        <v/>
      </c>
      <c r="M34" s="62">
        <f>IF($N34="","",INDEX('Cronograma R. Financiero'!$Q$5:$Q$1000,$N34)&amp;"")</f>
        <v/>
      </c>
      <c r="N34">
        <f>IFERROR(MATCH(ROW()-4,rOrden_RF,0),"")</f>
        <v/>
      </c>
      <c r="O34">
        <f>IF($N34="","",INDEX('Cronograma R. Financiero'!$V$5:$V$1000,$N34))</f>
        <v/>
      </c>
      <c r="P34">
        <f>IF($N34="","",N(INDEX('Cronograma R. Financiero'!$W$5:$W$1000,$N34)))</f>
        <v/>
      </c>
      <c r="Q34">
        <f>IF(OR(LEFT($L34,7)="Vencida",LEFT($L34,5)="Vence"),SUMPRODUCT(--(LEFT($L$5:$L34,7)="Vencida"))+SUMPRODUCT(--(LEFT($L$5:$L34,5)="Vence")),"")</f>
        <v/>
      </c>
    </row>
    <row r="35">
      <c r="A35" s="56">
        <f>IF($N35="","",INDEX('Cronograma R. Financiero'!$A$5:$A$1000,$N35))</f>
        <v/>
      </c>
      <c r="B35" s="62">
        <f>IF($N35="","",IF($O35="Sub","      ↳  "&amp;INDEX('Cronograma R. Financiero'!$C$5:$C$1000,$N35),INDEX('Cronograma R. Financiero'!$C$5:$C$1000,$N35)&amp;""))</f>
        <v/>
      </c>
      <c r="C35" s="79">
        <f>IF($N35="","",IF(INDEX('Cronograma R. Financiero'!$AM$5:$AM$1000,$N35)="","",INDEX('Cronograma R. Financiero'!$AM$5:$AM$1000,$N35)))</f>
        <v/>
      </c>
      <c r="D35" s="79">
        <f>IF($N35="","",IF(INDEX('Cronograma R. Financiero'!$AN$5:$AN$1000,$N35)="","",INDEX('Cronograma R. Financiero'!$AN$5:$AN$1000,$N35)))</f>
        <v/>
      </c>
      <c r="E35" s="56">
        <f>IF($N35="","",IF(NOT(ISNUMBER($D35)),"",IF($D35&lt;InicioCiclo,"Antes del ciclo",IF($D35&gt;=InicioCiclo+28,"Después del ciclo","Semana "&amp;(INT(($D35-InicioCiclo)/7)+1)))))</f>
        <v/>
      </c>
      <c r="F35" s="61">
        <f>IF($N35="","",IF($P35&gt;0,IF(1&lt;=SemanaActual,INDEX('Cronograma R. Financiero'!$AC$5:$AC$1000,$N35),""),IF(INDEX('Cronograma R. Financiero'!$I$5:$I$1000,$N35)="","",INDEX('Cronograma R. Financiero'!$I$5:$I$1000,$N35))))</f>
        <v/>
      </c>
      <c r="G35" s="61">
        <f>IF($N35="","",IF($P35&gt;0,IF(2&lt;=SemanaActual,INDEX('Cronograma R. Financiero'!$AD$5:$AD$1000,$N35),""),IF(INDEX('Cronograma R. Financiero'!$J$5:$J$1000,$N35)="","",INDEX('Cronograma R. Financiero'!$J$5:$J$1000,$N35))))</f>
        <v/>
      </c>
      <c r="H35" s="61">
        <f>IF($N35="","",IF($P35&gt;0,IF(3&lt;=SemanaActual,INDEX('Cronograma R. Financiero'!$AE$5:$AE$1000,$N35),""),IF(INDEX('Cronograma R. Financiero'!$K$5:$K$1000,$N35)="","",INDEX('Cronograma R. Financiero'!$K$5:$K$1000,$N35))))</f>
        <v/>
      </c>
      <c r="I35" s="61">
        <f>IF($N35="","",IF($P35&gt;0,IF(4&lt;=SemanaActual,INDEX('Cronograma R. Financiero'!$AF$5:$AF$1000,$N35),""),IF(INDEX('Cronograma R. Financiero'!$L$5:$L$1000,$N35)="","",INDEX('Cronograma R. Financiero'!$L$5:$L$1000,$N35))))</f>
        <v/>
      </c>
      <c r="J35" s="61">
        <f>IF($N35="","",INDEX('Cronograma R. Financiero'!$M$5:$M$1000,$N35))</f>
        <v/>
      </c>
      <c r="K35" s="56">
        <f>IF($N35="","",IF(N($J35)&gt;=1,"Completado",IF(AND(ISNUMBER($D35),$D35&lt;FechaRef),"Vencida",IF(N($J35)&gt;0,"En curso","Pendiente"))))</f>
        <v/>
      </c>
      <c r="L35" s="56">
        <f>IF($N35="","",INDEX('Cronograma R. Financiero'!$O$5:$O$1000,$N35)&amp;"")</f>
        <v/>
      </c>
      <c r="M35" s="62">
        <f>IF($N35="","",INDEX('Cronograma R. Financiero'!$Q$5:$Q$1000,$N35)&amp;"")</f>
        <v/>
      </c>
      <c r="N35">
        <f>IFERROR(MATCH(ROW()-4,rOrden_RF,0),"")</f>
        <v/>
      </c>
      <c r="O35">
        <f>IF($N35="","",INDEX('Cronograma R. Financiero'!$V$5:$V$1000,$N35))</f>
        <v/>
      </c>
      <c r="P35">
        <f>IF($N35="","",N(INDEX('Cronograma R. Financiero'!$W$5:$W$1000,$N35)))</f>
        <v/>
      </c>
      <c r="Q35">
        <f>IF(OR(LEFT($L35,7)="Vencida",LEFT($L35,5)="Vence"),SUMPRODUCT(--(LEFT($L$5:$L35,7)="Vencida"))+SUMPRODUCT(--(LEFT($L$5:$L35,5)="Vence")),"")</f>
        <v/>
      </c>
    </row>
    <row r="36">
      <c r="A36" s="56">
        <f>IF($N36="","",INDEX('Cronograma R. Financiero'!$A$5:$A$1000,$N36))</f>
        <v/>
      </c>
      <c r="B36" s="62">
        <f>IF($N36="","",IF($O36="Sub","      ↳  "&amp;INDEX('Cronograma R. Financiero'!$C$5:$C$1000,$N36),INDEX('Cronograma R. Financiero'!$C$5:$C$1000,$N36)&amp;""))</f>
        <v/>
      </c>
      <c r="C36" s="79">
        <f>IF($N36="","",IF(INDEX('Cronograma R. Financiero'!$AM$5:$AM$1000,$N36)="","",INDEX('Cronograma R. Financiero'!$AM$5:$AM$1000,$N36)))</f>
        <v/>
      </c>
      <c r="D36" s="79">
        <f>IF($N36="","",IF(INDEX('Cronograma R. Financiero'!$AN$5:$AN$1000,$N36)="","",INDEX('Cronograma R. Financiero'!$AN$5:$AN$1000,$N36)))</f>
        <v/>
      </c>
      <c r="E36" s="56">
        <f>IF($N36="","",IF(NOT(ISNUMBER($D36)),"",IF($D36&lt;InicioCiclo,"Antes del ciclo",IF($D36&gt;=InicioCiclo+28,"Después del ciclo","Semana "&amp;(INT(($D36-InicioCiclo)/7)+1)))))</f>
        <v/>
      </c>
      <c r="F36" s="61">
        <f>IF($N36="","",IF($P36&gt;0,IF(1&lt;=SemanaActual,INDEX('Cronograma R. Financiero'!$AC$5:$AC$1000,$N36),""),IF(INDEX('Cronograma R. Financiero'!$I$5:$I$1000,$N36)="","",INDEX('Cronograma R. Financiero'!$I$5:$I$1000,$N36))))</f>
        <v/>
      </c>
      <c r="G36" s="61">
        <f>IF($N36="","",IF($P36&gt;0,IF(2&lt;=SemanaActual,INDEX('Cronograma R. Financiero'!$AD$5:$AD$1000,$N36),""),IF(INDEX('Cronograma R. Financiero'!$J$5:$J$1000,$N36)="","",INDEX('Cronograma R. Financiero'!$J$5:$J$1000,$N36))))</f>
        <v/>
      </c>
      <c r="H36" s="61">
        <f>IF($N36="","",IF($P36&gt;0,IF(3&lt;=SemanaActual,INDEX('Cronograma R. Financiero'!$AE$5:$AE$1000,$N36),""),IF(INDEX('Cronograma R. Financiero'!$K$5:$K$1000,$N36)="","",INDEX('Cronograma R. Financiero'!$K$5:$K$1000,$N36))))</f>
        <v/>
      </c>
      <c r="I36" s="61">
        <f>IF($N36="","",IF($P36&gt;0,IF(4&lt;=SemanaActual,INDEX('Cronograma R. Financiero'!$AF$5:$AF$1000,$N36),""),IF(INDEX('Cronograma R. Financiero'!$L$5:$L$1000,$N36)="","",INDEX('Cronograma R. Financiero'!$L$5:$L$1000,$N36))))</f>
        <v/>
      </c>
      <c r="J36" s="61">
        <f>IF($N36="","",INDEX('Cronograma R. Financiero'!$M$5:$M$1000,$N36))</f>
        <v/>
      </c>
      <c r="K36" s="56">
        <f>IF($N36="","",IF(N($J36)&gt;=1,"Completado",IF(AND(ISNUMBER($D36),$D36&lt;FechaRef),"Vencida",IF(N($J36)&gt;0,"En curso","Pendiente"))))</f>
        <v/>
      </c>
      <c r="L36" s="56">
        <f>IF($N36="","",INDEX('Cronograma R. Financiero'!$O$5:$O$1000,$N36)&amp;"")</f>
        <v/>
      </c>
      <c r="M36" s="62">
        <f>IF($N36="","",INDEX('Cronograma R. Financiero'!$Q$5:$Q$1000,$N36)&amp;"")</f>
        <v/>
      </c>
      <c r="N36">
        <f>IFERROR(MATCH(ROW()-4,rOrden_RF,0),"")</f>
        <v/>
      </c>
      <c r="O36">
        <f>IF($N36="","",INDEX('Cronograma R. Financiero'!$V$5:$V$1000,$N36))</f>
        <v/>
      </c>
      <c r="P36">
        <f>IF($N36="","",N(INDEX('Cronograma R. Financiero'!$W$5:$W$1000,$N36)))</f>
        <v/>
      </c>
      <c r="Q36">
        <f>IF(OR(LEFT($L36,7)="Vencida",LEFT($L36,5)="Vence"),SUMPRODUCT(--(LEFT($L$5:$L36,7)="Vencida"))+SUMPRODUCT(--(LEFT($L$5:$L36,5)="Vence")),"")</f>
        <v/>
      </c>
    </row>
    <row r="37">
      <c r="A37" s="56">
        <f>IF($N37="","",INDEX('Cronograma R. Financiero'!$A$5:$A$1000,$N37))</f>
        <v/>
      </c>
      <c r="B37" s="62">
        <f>IF($N37="","",IF($O37="Sub","      ↳  "&amp;INDEX('Cronograma R. Financiero'!$C$5:$C$1000,$N37),INDEX('Cronograma R. Financiero'!$C$5:$C$1000,$N37)&amp;""))</f>
        <v/>
      </c>
      <c r="C37" s="79">
        <f>IF($N37="","",IF(INDEX('Cronograma R. Financiero'!$AM$5:$AM$1000,$N37)="","",INDEX('Cronograma R. Financiero'!$AM$5:$AM$1000,$N37)))</f>
        <v/>
      </c>
      <c r="D37" s="79">
        <f>IF($N37="","",IF(INDEX('Cronograma R. Financiero'!$AN$5:$AN$1000,$N37)="","",INDEX('Cronograma R. Financiero'!$AN$5:$AN$1000,$N37)))</f>
        <v/>
      </c>
      <c r="E37" s="56">
        <f>IF($N37="","",IF(NOT(ISNUMBER($D37)),"",IF($D37&lt;InicioCiclo,"Antes del ciclo",IF($D37&gt;=InicioCiclo+28,"Después del ciclo","Semana "&amp;(INT(($D37-InicioCiclo)/7)+1)))))</f>
        <v/>
      </c>
      <c r="F37" s="61">
        <f>IF($N37="","",IF($P37&gt;0,IF(1&lt;=SemanaActual,INDEX('Cronograma R. Financiero'!$AC$5:$AC$1000,$N37),""),IF(INDEX('Cronograma R. Financiero'!$I$5:$I$1000,$N37)="","",INDEX('Cronograma R. Financiero'!$I$5:$I$1000,$N37))))</f>
        <v/>
      </c>
      <c r="G37" s="61">
        <f>IF($N37="","",IF($P37&gt;0,IF(2&lt;=SemanaActual,INDEX('Cronograma R. Financiero'!$AD$5:$AD$1000,$N37),""),IF(INDEX('Cronograma R. Financiero'!$J$5:$J$1000,$N37)="","",INDEX('Cronograma R. Financiero'!$J$5:$J$1000,$N37))))</f>
        <v/>
      </c>
      <c r="H37" s="61">
        <f>IF($N37="","",IF($P37&gt;0,IF(3&lt;=SemanaActual,INDEX('Cronograma R. Financiero'!$AE$5:$AE$1000,$N37),""),IF(INDEX('Cronograma R. Financiero'!$K$5:$K$1000,$N37)="","",INDEX('Cronograma R. Financiero'!$K$5:$K$1000,$N37))))</f>
        <v/>
      </c>
      <c r="I37" s="61">
        <f>IF($N37="","",IF($P37&gt;0,IF(4&lt;=SemanaActual,INDEX('Cronograma R. Financiero'!$AF$5:$AF$1000,$N37),""),IF(INDEX('Cronograma R. Financiero'!$L$5:$L$1000,$N37)="","",INDEX('Cronograma R. Financiero'!$L$5:$L$1000,$N37))))</f>
        <v/>
      </c>
      <c r="J37" s="61">
        <f>IF($N37="","",INDEX('Cronograma R. Financiero'!$M$5:$M$1000,$N37))</f>
        <v/>
      </c>
      <c r="K37" s="56">
        <f>IF($N37="","",IF(N($J37)&gt;=1,"Completado",IF(AND(ISNUMBER($D37),$D37&lt;FechaRef),"Vencida",IF(N($J37)&gt;0,"En curso","Pendiente"))))</f>
        <v/>
      </c>
      <c r="L37" s="56">
        <f>IF($N37="","",INDEX('Cronograma R. Financiero'!$O$5:$O$1000,$N37)&amp;"")</f>
        <v/>
      </c>
      <c r="M37" s="62">
        <f>IF($N37="","",INDEX('Cronograma R. Financiero'!$Q$5:$Q$1000,$N37)&amp;"")</f>
        <v/>
      </c>
      <c r="N37">
        <f>IFERROR(MATCH(ROW()-4,rOrden_RF,0),"")</f>
        <v/>
      </c>
      <c r="O37">
        <f>IF($N37="","",INDEX('Cronograma R. Financiero'!$V$5:$V$1000,$N37))</f>
        <v/>
      </c>
      <c r="P37">
        <f>IF($N37="","",N(INDEX('Cronograma R. Financiero'!$W$5:$W$1000,$N37)))</f>
        <v/>
      </c>
      <c r="Q37">
        <f>IF(OR(LEFT($L37,7)="Vencida",LEFT($L37,5)="Vence"),SUMPRODUCT(--(LEFT($L$5:$L37,7)="Vencida"))+SUMPRODUCT(--(LEFT($L$5:$L37,5)="Vence")),"")</f>
        <v/>
      </c>
    </row>
    <row r="38">
      <c r="A38" s="56">
        <f>IF($N38="","",INDEX('Cronograma R. Financiero'!$A$5:$A$1000,$N38))</f>
        <v/>
      </c>
      <c r="B38" s="62">
        <f>IF($N38="","",IF($O38="Sub","      ↳  "&amp;INDEX('Cronograma R. Financiero'!$C$5:$C$1000,$N38),INDEX('Cronograma R. Financiero'!$C$5:$C$1000,$N38)&amp;""))</f>
        <v/>
      </c>
      <c r="C38" s="79">
        <f>IF($N38="","",IF(INDEX('Cronograma R. Financiero'!$AM$5:$AM$1000,$N38)="","",INDEX('Cronograma R. Financiero'!$AM$5:$AM$1000,$N38)))</f>
        <v/>
      </c>
      <c r="D38" s="79">
        <f>IF($N38="","",IF(INDEX('Cronograma R. Financiero'!$AN$5:$AN$1000,$N38)="","",INDEX('Cronograma R. Financiero'!$AN$5:$AN$1000,$N38)))</f>
        <v/>
      </c>
      <c r="E38" s="56">
        <f>IF($N38="","",IF(NOT(ISNUMBER($D38)),"",IF($D38&lt;InicioCiclo,"Antes del ciclo",IF($D38&gt;=InicioCiclo+28,"Después del ciclo","Semana "&amp;(INT(($D38-InicioCiclo)/7)+1)))))</f>
        <v/>
      </c>
      <c r="F38" s="61">
        <f>IF($N38="","",IF($P38&gt;0,IF(1&lt;=SemanaActual,INDEX('Cronograma R. Financiero'!$AC$5:$AC$1000,$N38),""),IF(INDEX('Cronograma R. Financiero'!$I$5:$I$1000,$N38)="","",INDEX('Cronograma R. Financiero'!$I$5:$I$1000,$N38))))</f>
        <v/>
      </c>
      <c r="G38" s="61">
        <f>IF($N38="","",IF($P38&gt;0,IF(2&lt;=SemanaActual,INDEX('Cronograma R. Financiero'!$AD$5:$AD$1000,$N38),""),IF(INDEX('Cronograma R. Financiero'!$J$5:$J$1000,$N38)="","",INDEX('Cronograma R. Financiero'!$J$5:$J$1000,$N38))))</f>
        <v/>
      </c>
      <c r="H38" s="61">
        <f>IF($N38="","",IF($P38&gt;0,IF(3&lt;=SemanaActual,INDEX('Cronograma R. Financiero'!$AE$5:$AE$1000,$N38),""),IF(INDEX('Cronograma R. Financiero'!$K$5:$K$1000,$N38)="","",INDEX('Cronograma R. Financiero'!$K$5:$K$1000,$N38))))</f>
        <v/>
      </c>
      <c r="I38" s="61">
        <f>IF($N38="","",IF($P38&gt;0,IF(4&lt;=SemanaActual,INDEX('Cronograma R. Financiero'!$AF$5:$AF$1000,$N38),""),IF(INDEX('Cronograma R. Financiero'!$L$5:$L$1000,$N38)="","",INDEX('Cronograma R. Financiero'!$L$5:$L$1000,$N38))))</f>
        <v/>
      </c>
      <c r="J38" s="61">
        <f>IF($N38="","",INDEX('Cronograma R. Financiero'!$M$5:$M$1000,$N38))</f>
        <v/>
      </c>
      <c r="K38" s="56">
        <f>IF($N38="","",IF(N($J38)&gt;=1,"Completado",IF(AND(ISNUMBER($D38),$D38&lt;FechaRef),"Vencida",IF(N($J38)&gt;0,"En curso","Pendiente"))))</f>
        <v/>
      </c>
      <c r="L38" s="56">
        <f>IF($N38="","",INDEX('Cronograma R. Financiero'!$O$5:$O$1000,$N38)&amp;"")</f>
        <v/>
      </c>
      <c r="M38" s="62">
        <f>IF($N38="","",INDEX('Cronograma R. Financiero'!$Q$5:$Q$1000,$N38)&amp;"")</f>
        <v/>
      </c>
      <c r="N38">
        <f>IFERROR(MATCH(ROW()-4,rOrden_RF,0),"")</f>
        <v/>
      </c>
      <c r="O38">
        <f>IF($N38="","",INDEX('Cronograma R. Financiero'!$V$5:$V$1000,$N38))</f>
        <v/>
      </c>
      <c r="P38">
        <f>IF($N38="","",N(INDEX('Cronograma R. Financiero'!$W$5:$W$1000,$N38)))</f>
        <v/>
      </c>
      <c r="Q38">
        <f>IF(OR(LEFT($L38,7)="Vencida",LEFT($L38,5)="Vence"),SUMPRODUCT(--(LEFT($L$5:$L38,7)="Vencida"))+SUMPRODUCT(--(LEFT($L$5:$L38,5)="Vence")),"")</f>
        <v/>
      </c>
    </row>
    <row r="39">
      <c r="A39" s="56">
        <f>IF($N39="","",INDEX('Cronograma R. Financiero'!$A$5:$A$1000,$N39))</f>
        <v/>
      </c>
      <c r="B39" s="62">
        <f>IF($N39="","",IF($O39="Sub","      ↳  "&amp;INDEX('Cronograma R. Financiero'!$C$5:$C$1000,$N39),INDEX('Cronograma R. Financiero'!$C$5:$C$1000,$N39)&amp;""))</f>
        <v/>
      </c>
      <c r="C39" s="79">
        <f>IF($N39="","",IF(INDEX('Cronograma R. Financiero'!$AM$5:$AM$1000,$N39)="","",INDEX('Cronograma R. Financiero'!$AM$5:$AM$1000,$N39)))</f>
        <v/>
      </c>
      <c r="D39" s="79">
        <f>IF($N39="","",IF(INDEX('Cronograma R. Financiero'!$AN$5:$AN$1000,$N39)="","",INDEX('Cronograma R. Financiero'!$AN$5:$AN$1000,$N39)))</f>
        <v/>
      </c>
      <c r="E39" s="56">
        <f>IF($N39="","",IF(NOT(ISNUMBER($D39)),"",IF($D39&lt;InicioCiclo,"Antes del ciclo",IF($D39&gt;=InicioCiclo+28,"Después del ciclo","Semana "&amp;(INT(($D39-InicioCiclo)/7)+1)))))</f>
        <v/>
      </c>
      <c r="F39" s="61">
        <f>IF($N39="","",IF($P39&gt;0,IF(1&lt;=SemanaActual,INDEX('Cronograma R. Financiero'!$AC$5:$AC$1000,$N39),""),IF(INDEX('Cronograma R. Financiero'!$I$5:$I$1000,$N39)="","",INDEX('Cronograma R. Financiero'!$I$5:$I$1000,$N39))))</f>
        <v/>
      </c>
      <c r="G39" s="61">
        <f>IF($N39="","",IF($P39&gt;0,IF(2&lt;=SemanaActual,INDEX('Cronograma R. Financiero'!$AD$5:$AD$1000,$N39),""),IF(INDEX('Cronograma R. Financiero'!$J$5:$J$1000,$N39)="","",INDEX('Cronograma R. Financiero'!$J$5:$J$1000,$N39))))</f>
        <v/>
      </c>
      <c r="H39" s="61">
        <f>IF($N39="","",IF($P39&gt;0,IF(3&lt;=SemanaActual,INDEX('Cronograma R. Financiero'!$AE$5:$AE$1000,$N39),""),IF(INDEX('Cronograma R. Financiero'!$K$5:$K$1000,$N39)="","",INDEX('Cronograma R. Financiero'!$K$5:$K$1000,$N39))))</f>
        <v/>
      </c>
      <c r="I39" s="61">
        <f>IF($N39="","",IF($P39&gt;0,IF(4&lt;=SemanaActual,INDEX('Cronograma R. Financiero'!$AF$5:$AF$1000,$N39),""),IF(INDEX('Cronograma R. Financiero'!$L$5:$L$1000,$N39)="","",INDEX('Cronograma R. Financiero'!$L$5:$L$1000,$N39))))</f>
        <v/>
      </c>
      <c r="J39" s="61">
        <f>IF($N39="","",INDEX('Cronograma R. Financiero'!$M$5:$M$1000,$N39))</f>
        <v/>
      </c>
      <c r="K39" s="56">
        <f>IF($N39="","",IF(N($J39)&gt;=1,"Completado",IF(AND(ISNUMBER($D39),$D39&lt;FechaRef),"Vencida",IF(N($J39)&gt;0,"En curso","Pendiente"))))</f>
        <v/>
      </c>
      <c r="L39" s="56">
        <f>IF($N39="","",INDEX('Cronograma R. Financiero'!$O$5:$O$1000,$N39)&amp;"")</f>
        <v/>
      </c>
      <c r="M39" s="62">
        <f>IF($N39="","",INDEX('Cronograma R. Financiero'!$Q$5:$Q$1000,$N39)&amp;"")</f>
        <v/>
      </c>
      <c r="N39">
        <f>IFERROR(MATCH(ROW()-4,rOrden_RF,0),"")</f>
        <v/>
      </c>
      <c r="O39">
        <f>IF($N39="","",INDEX('Cronograma R. Financiero'!$V$5:$V$1000,$N39))</f>
        <v/>
      </c>
      <c r="P39">
        <f>IF($N39="","",N(INDEX('Cronograma R. Financiero'!$W$5:$W$1000,$N39)))</f>
        <v/>
      </c>
      <c r="Q39">
        <f>IF(OR(LEFT($L39,7)="Vencida",LEFT($L39,5)="Vence"),SUMPRODUCT(--(LEFT($L$5:$L39,7)="Vencida"))+SUMPRODUCT(--(LEFT($L$5:$L39,5)="Vence")),"")</f>
        <v/>
      </c>
    </row>
    <row r="40">
      <c r="A40" s="56">
        <f>IF($N40="","",INDEX('Cronograma R. Financiero'!$A$5:$A$1000,$N40))</f>
        <v/>
      </c>
      <c r="B40" s="62">
        <f>IF($N40="","",IF($O40="Sub","      ↳  "&amp;INDEX('Cronograma R. Financiero'!$C$5:$C$1000,$N40),INDEX('Cronograma R. Financiero'!$C$5:$C$1000,$N40)&amp;""))</f>
        <v/>
      </c>
      <c r="C40" s="79">
        <f>IF($N40="","",IF(INDEX('Cronograma R. Financiero'!$AM$5:$AM$1000,$N40)="","",INDEX('Cronograma R. Financiero'!$AM$5:$AM$1000,$N40)))</f>
        <v/>
      </c>
      <c r="D40" s="79">
        <f>IF($N40="","",IF(INDEX('Cronograma R. Financiero'!$AN$5:$AN$1000,$N40)="","",INDEX('Cronograma R. Financiero'!$AN$5:$AN$1000,$N40)))</f>
        <v/>
      </c>
      <c r="E40" s="56">
        <f>IF($N40="","",IF(NOT(ISNUMBER($D40)),"",IF($D40&lt;InicioCiclo,"Antes del ciclo",IF($D40&gt;=InicioCiclo+28,"Después del ciclo","Semana "&amp;(INT(($D40-InicioCiclo)/7)+1)))))</f>
        <v/>
      </c>
      <c r="F40" s="61">
        <f>IF($N40="","",IF($P40&gt;0,IF(1&lt;=SemanaActual,INDEX('Cronograma R. Financiero'!$AC$5:$AC$1000,$N40),""),IF(INDEX('Cronograma R. Financiero'!$I$5:$I$1000,$N40)="","",INDEX('Cronograma R. Financiero'!$I$5:$I$1000,$N40))))</f>
        <v/>
      </c>
      <c r="G40" s="61">
        <f>IF($N40="","",IF($P40&gt;0,IF(2&lt;=SemanaActual,INDEX('Cronograma R. Financiero'!$AD$5:$AD$1000,$N40),""),IF(INDEX('Cronograma R. Financiero'!$J$5:$J$1000,$N40)="","",INDEX('Cronograma R. Financiero'!$J$5:$J$1000,$N40))))</f>
        <v/>
      </c>
      <c r="H40" s="61">
        <f>IF($N40="","",IF($P40&gt;0,IF(3&lt;=SemanaActual,INDEX('Cronograma R. Financiero'!$AE$5:$AE$1000,$N40),""),IF(INDEX('Cronograma R. Financiero'!$K$5:$K$1000,$N40)="","",INDEX('Cronograma R. Financiero'!$K$5:$K$1000,$N40))))</f>
        <v/>
      </c>
      <c r="I40" s="61">
        <f>IF($N40="","",IF($P40&gt;0,IF(4&lt;=SemanaActual,INDEX('Cronograma R. Financiero'!$AF$5:$AF$1000,$N40),""),IF(INDEX('Cronograma R. Financiero'!$L$5:$L$1000,$N40)="","",INDEX('Cronograma R. Financiero'!$L$5:$L$1000,$N40))))</f>
        <v/>
      </c>
      <c r="J40" s="61">
        <f>IF($N40="","",INDEX('Cronograma R. Financiero'!$M$5:$M$1000,$N40))</f>
        <v/>
      </c>
      <c r="K40" s="56">
        <f>IF($N40="","",IF(N($J40)&gt;=1,"Completado",IF(AND(ISNUMBER($D40),$D40&lt;FechaRef),"Vencida",IF(N($J40)&gt;0,"En curso","Pendiente"))))</f>
        <v/>
      </c>
      <c r="L40" s="56">
        <f>IF($N40="","",INDEX('Cronograma R. Financiero'!$O$5:$O$1000,$N40)&amp;"")</f>
        <v/>
      </c>
      <c r="M40" s="62">
        <f>IF($N40="","",INDEX('Cronograma R. Financiero'!$Q$5:$Q$1000,$N40)&amp;"")</f>
        <v/>
      </c>
      <c r="N40">
        <f>IFERROR(MATCH(ROW()-4,rOrden_RF,0),"")</f>
        <v/>
      </c>
      <c r="O40">
        <f>IF($N40="","",INDEX('Cronograma R. Financiero'!$V$5:$V$1000,$N40))</f>
        <v/>
      </c>
      <c r="P40">
        <f>IF($N40="","",N(INDEX('Cronograma R. Financiero'!$W$5:$W$1000,$N40)))</f>
        <v/>
      </c>
      <c r="Q40">
        <f>IF(OR(LEFT($L40,7)="Vencida",LEFT($L40,5)="Vence"),SUMPRODUCT(--(LEFT($L$5:$L40,7)="Vencida"))+SUMPRODUCT(--(LEFT($L$5:$L40,5)="Vence")),"")</f>
        <v/>
      </c>
    </row>
    <row r="41">
      <c r="A41" s="56">
        <f>IF($N41="","",INDEX('Cronograma R. Financiero'!$A$5:$A$1000,$N41))</f>
        <v/>
      </c>
      <c r="B41" s="62">
        <f>IF($N41="","",IF($O41="Sub","      ↳  "&amp;INDEX('Cronograma R. Financiero'!$C$5:$C$1000,$N41),INDEX('Cronograma R. Financiero'!$C$5:$C$1000,$N41)&amp;""))</f>
        <v/>
      </c>
      <c r="C41" s="79">
        <f>IF($N41="","",IF(INDEX('Cronograma R. Financiero'!$AM$5:$AM$1000,$N41)="","",INDEX('Cronograma R. Financiero'!$AM$5:$AM$1000,$N41)))</f>
        <v/>
      </c>
      <c r="D41" s="79">
        <f>IF($N41="","",IF(INDEX('Cronograma R. Financiero'!$AN$5:$AN$1000,$N41)="","",INDEX('Cronograma R. Financiero'!$AN$5:$AN$1000,$N41)))</f>
        <v/>
      </c>
      <c r="E41" s="56">
        <f>IF($N41="","",IF(NOT(ISNUMBER($D41)),"",IF($D41&lt;InicioCiclo,"Antes del ciclo",IF($D41&gt;=InicioCiclo+28,"Después del ciclo","Semana "&amp;(INT(($D41-InicioCiclo)/7)+1)))))</f>
        <v/>
      </c>
      <c r="F41" s="61">
        <f>IF($N41="","",IF($P41&gt;0,IF(1&lt;=SemanaActual,INDEX('Cronograma R. Financiero'!$AC$5:$AC$1000,$N41),""),IF(INDEX('Cronograma R. Financiero'!$I$5:$I$1000,$N41)="","",INDEX('Cronograma R. Financiero'!$I$5:$I$1000,$N41))))</f>
        <v/>
      </c>
      <c r="G41" s="61">
        <f>IF($N41="","",IF($P41&gt;0,IF(2&lt;=SemanaActual,INDEX('Cronograma R. Financiero'!$AD$5:$AD$1000,$N41),""),IF(INDEX('Cronograma R. Financiero'!$J$5:$J$1000,$N41)="","",INDEX('Cronograma R. Financiero'!$J$5:$J$1000,$N41))))</f>
        <v/>
      </c>
      <c r="H41" s="61">
        <f>IF($N41="","",IF($P41&gt;0,IF(3&lt;=SemanaActual,INDEX('Cronograma R. Financiero'!$AE$5:$AE$1000,$N41),""),IF(INDEX('Cronograma R. Financiero'!$K$5:$K$1000,$N41)="","",INDEX('Cronograma R. Financiero'!$K$5:$K$1000,$N41))))</f>
        <v/>
      </c>
      <c r="I41" s="61">
        <f>IF($N41="","",IF($P41&gt;0,IF(4&lt;=SemanaActual,INDEX('Cronograma R. Financiero'!$AF$5:$AF$1000,$N41),""),IF(INDEX('Cronograma R. Financiero'!$L$5:$L$1000,$N41)="","",INDEX('Cronograma R. Financiero'!$L$5:$L$1000,$N41))))</f>
        <v/>
      </c>
      <c r="J41" s="61">
        <f>IF($N41="","",INDEX('Cronograma R. Financiero'!$M$5:$M$1000,$N41))</f>
        <v/>
      </c>
      <c r="K41" s="56">
        <f>IF($N41="","",IF(N($J41)&gt;=1,"Completado",IF(AND(ISNUMBER($D41),$D41&lt;FechaRef),"Vencida",IF(N($J41)&gt;0,"En curso","Pendiente"))))</f>
        <v/>
      </c>
      <c r="L41" s="56">
        <f>IF($N41="","",INDEX('Cronograma R. Financiero'!$O$5:$O$1000,$N41)&amp;"")</f>
        <v/>
      </c>
      <c r="M41" s="62">
        <f>IF($N41="","",INDEX('Cronograma R. Financiero'!$Q$5:$Q$1000,$N41)&amp;"")</f>
        <v/>
      </c>
      <c r="N41">
        <f>IFERROR(MATCH(ROW()-4,rOrden_RF,0),"")</f>
        <v/>
      </c>
      <c r="O41">
        <f>IF($N41="","",INDEX('Cronograma R. Financiero'!$V$5:$V$1000,$N41))</f>
        <v/>
      </c>
      <c r="P41">
        <f>IF($N41="","",N(INDEX('Cronograma R. Financiero'!$W$5:$W$1000,$N41)))</f>
        <v/>
      </c>
      <c r="Q41">
        <f>IF(OR(LEFT($L41,7)="Vencida",LEFT($L41,5)="Vence"),SUMPRODUCT(--(LEFT($L$5:$L41,7)="Vencida"))+SUMPRODUCT(--(LEFT($L$5:$L41,5)="Vence")),"")</f>
        <v/>
      </c>
    </row>
    <row r="42">
      <c r="A42" s="56">
        <f>IF($N42="","",INDEX('Cronograma R. Financiero'!$A$5:$A$1000,$N42))</f>
        <v/>
      </c>
      <c r="B42" s="62">
        <f>IF($N42="","",IF($O42="Sub","      ↳  "&amp;INDEX('Cronograma R. Financiero'!$C$5:$C$1000,$N42),INDEX('Cronograma R. Financiero'!$C$5:$C$1000,$N42)&amp;""))</f>
        <v/>
      </c>
      <c r="C42" s="79">
        <f>IF($N42="","",IF(INDEX('Cronograma R. Financiero'!$AM$5:$AM$1000,$N42)="","",INDEX('Cronograma R. Financiero'!$AM$5:$AM$1000,$N42)))</f>
        <v/>
      </c>
      <c r="D42" s="79">
        <f>IF($N42="","",IF(INDEX('Cronograma R. Financiero'!$AN$5:$AN$1000,$N42)="","",INDEX('Cronograma R. Financiero'!$AN$5:$AN$1000,$N42)))</f>
        <v/>
      </c>
      <c r="E42" s="56">
        <f>IF($N42="","",IF(NOT(ISNUMBER($D42)),"",IF($D42&lt;InicioCiclo,"Antes del ciclo",IF($D42&gt;=InicioCiclo+28,"Después del ciclo","Semana "&amp;(INT(($D42-InicioCiclo)/7)+1)))))</f>
        <v/>
      </c>
      <c r="F42" s="61">
        <f>IF($N42="","",IF($P42&gt;0,IF(1&lt;=SemanaActual,INDEX('Cronograma R. Financiero'!$AC$5:$AC$1000,$N42),""),IF(INDEX('Cronograma R. Financiero'!$I$5:$I$1000,$N42)="","",INDEX('Cronograma R. Financiero'!$I$5:$I$1000,$N42))))</f>
        <v/>
      </c>
      <c r="G42" s="61">
        <f>IF($N42="","",IF($P42&gt;0,IF(2&lt;=SemanaActual,INDEX('Cronograma R. Financiero'!$AD$5:$AD$1000,$N42),""),IF(INDEX('Cronograma R. Financiero'!$J$5:$J$1000,$N42)="","",INDEX('Cronograma R. Financiero'!$J$5:$J$1000,$N42))))</f>
        <v/>
      </c>
      <c r="H42" s="61">
        <f>IF($N42="","",IF($P42&gt;0,IF(3&lt;=SemanaActual,INDEX('Cronograma R. Financiero'!$AE$5:$AE$1000,$N42),""),IF(INDEX('Cronograma R. Financiero'!$K$5:$K$1000,$N42)="","",INDEX('Cronograma R. Financiero'!$K$5:$K$1000,$N42))))</f>
        <v/>
      </c>
      <c r="I42" s="61">
        <f>IF($N42="","",IF($P42&gt;0,IF(4&lt;=SemanaActual,INDEX('Cronograma R. Financiero'!$AF$5:$AF$1000,$N42),""),IF(INDEX('Cronograma R. Financiero'!$L$5:$L$1000,$N42)="","",INDEX('Cronograma R. Financiero'!$L$5:$L$1000,$N42))))</f>
        <v/>
      </c>
      <c r="J42" s="61">
        <f>IF($N42="","",INDEX('Cronograma R. Financiero'!$M$5:$M$1000,$N42))</f>
        <v/>
      </c>
      <c r="K42" s="56">
        <f>IF($N42="","",IF(N($J42)&gt;=1,"Completado",IF(AND(ISNUMBER($D42),$D42&lt;FechaRef),"Vencida",IF(N($J42)&gt;0,"En curso","Pendiente"))))</f>
        <v/>
      </c>
      <c r="L42" s="56">
        <f>IF($N42="","",INDEX('Cronograma R. Financiero'!$O$5:$O$1000,$N42)&amp;"")</f>
        <v/>
      </c>
      <c r="M42" s="62">
        <f>IF($N42="","",INDEX('Cronograma R. Financiero'!$Q$5:$Q$1000,$N42)&amp;"")</f>
        <v/>
      </c>
      <c r="N42">
        <f>IFERROR(MATCH(ROW()-4,rOrden_RF,0),"")</f>
        <v/>
      </c>
      <c r="O42">
        <f>IF($N42="","",INDEX('Cronograma R. Financiero'!$V$5:$V$1000,$N42))</f>
        <v/>
      </c>
      <c r="P42">
        <f>IF($N42="","",N(INDEX('Cronograma R. Financiero'!$W$5:$W$1000,$N42)))</f>
        <v/>
      </c>
      <c r="Q42">
        <f>IF(OR(LEFT($L42,7)="Vencida",LEFT($L42,5)="Vence"),SUMPRODUCT(--(LEFT($L$5:$L42,7)="Vencida"))+SUMPRODUCT(--(LEFT($L$5:$L42,5)="Vence")),"")</f>
        <v/>
      </c>
    </row>
    <row r="43">
      <c r="A43" s="56">
        <f>IF($N43="","",INDEX('Cronograma R. Financiero'!$A$5:$A$1000,$N43))</f>
        <v/>
      </c>
      <c r="B43" s="62">
        <f>IF($N43="","",IF($O43="Sub","      ↳  "&amp;INDEX('Cronograma R. Financiero'!$C$5:$C$1000,$N43),INDEX('Cronograma R. Financiero'!$C$5:$C$1000,$N43)&amp;""))</f>
        <v/>
      </c>
      <c r="C43" s="79">
        <f>IF($N43="","",IF(INDEX('Cronograma R. Financiero'!$AM$5:$AM$1000,$N43)="","",INDEX('Cronograma R. Financiero'!$AM$5:$AM$1000,$N43)))</f>
        <v/>
      </c>
      <c r="D43" s="79">
        <f>IF($N43="","",IF(INDEX('Cronograma R. Financiero'!$AN$5:$AN$1000,$N43)="","",INDEX('Cronograma R. Financiero'!$AN$5:$AN$1000,$N43)))</f>
        <v/>
      </c>
      <c r="E43" s="56">
        <f>IF($N43="","",IF(NOT(ISNUMBER($D43)),"",IF($D43&lt;InicioCiclo,"Antes del ciclo",IF($D43&gt;=InicioCiclo+28,"Después del ciclo","Semana "&amp;(INT(($D43-InicioCiclo)/7)+1)))))</f>
        <v/>
      </c>
      <c r="F43" s="61">
        <f>IF($N43="","",IF($P43&gt;0,IF(1&lt;=SemanaActual,INDEX('Cronograma R. Financiero'!$AC$5:$AC$1000,$N43),""),IF(INDEX('Cronograma R. Financiero'!$I$5:$I$1000,$N43)="","",INDEX('Cronograma R. Financiero'!$I$5:$I$1000,$N43))))</f>
        <v/>
      </c>
      <c r="G43" s="61">
        <f>IF($N43="","",IF($P43&gt;0,IF(2&lt;=SemanaActual,INDEX('Cronograma R. Financiero'!$AD$5:$AD$1000,$N43),""),IF(INDEX('Cronograma R. Financiero'!$J$5:$J$1000,$N43)="","",INDEX('Cronograma R. Financiero'!$J$5:$J$1000,$N43))))</f>
        <v/>
      </c>
      <c r="H43" s="61">
        <f>IF($N43="","",IF($P43&gt;0,IF(3&lt;=SemanaActual,INDEX('Cronograma R. Financiero'!$AE$5:$AE$1000,$N43),""),IF(INDEX('Cronograma R. Financiero'!$K$5:$K$1000,$N43)="","",INDEX('Cronograma R. Financiero'!$K$5:$K$1000,$N43))))</f>
        <v/>
      </c>
      <c r="I43" s="61">
        <f>IF($N43="","",IF($P43&gt;0,IF(4&lt;=SemanaActual,INDEX('Cronograma R. Financiero'!$AF$5:$AF$1000,$N43),""),IF(INDEX('Cronograma R. Financiero'!$L$5:$L$1000,$N43)="","",INDEX('Cronograma R. Financiero'!$L$5:$L$1000,$N43))))</f>
        <v/>
      </c>
      <c r="J43" s="61">
        <f>IF($N43="","",INDEX('Cronograma R. Financiero'!$M$5:$M$1000,$N43))</f>
        <v/>
      </c>
      <c r="K43" s="56">
        <f>IF($N43="","",IF(N($J43)&gt;=1,"Completado",IF(AND(ISNUMBER($D43),$D43&lt;FechaRef),"Vencida",IF(N($J43)&gt;0,"En curso","Pendiente"))))</f>
        <v/>
      </c>
      <c r="L43" s="56">
        <f>IF($N43="","",INDEX('Cronograma R. Financiero'!$O$5:$O$1000,$N43)&amp;"")</f>
        <v/>
      </c>
      <c r="M43" s="62">
        <f>IF($N43="","",INDEX('Cronograma R. Financiero'!$Q$5:$Q$1000,$N43)&amp;"")</f>
        <v/>
      </c>
      <c r="N43">
        <f>IFERROR(MATCH(ROW()-4,rOrden_RF,0),"")</f>
        <v/>
      </c>
      <c r="O43">
        <f>IF($N43="","",INDEX('Cronograma R. Financiero'!$V$5:$V$1000,$N43))</f>
        <v/>
      </c>
      <c r="P43">
        <f>IF($N43="","",N(INDEX('Cronograma R. Financiero'!$W$5:$W$1000,$N43)))</f>
        <v/>
      </c>
      <c r="Q43">
        <f>IF(OR(LEFT($L43,7)="Vencida",LEFT($L43,5)="Vence"),SUMPRODUCT(--(LEFT($L$5:$L43,7)="Vencida"))+SUMPRODUCT(--(LEFT($L$5:$L43,5)="Vence")),"")</f>
        <v/>
      </c>
    </row>
    <row r="44">
      <c r="A44" s="56">
        <f>IF($N44="","",INDEX('Cronograma R. Financiero'!$A$5:$A$1000,$N44))</f>
        <v/>
      </c>
      <c r="B44" s="62">
        <f>IF($N44="","",IF($O44="Sub","      ↳  "&amp;INDEX('Cronograma R. Financiero'!$C$5:$C$1000,$N44),INDEX('Cronograma R. Financiero'!$C$5:$C$1000,$N44)&amp;""))</f>
        <v/>
      </c>
      <c r="C44" s="79">
        <f>IF($N44="","",IF(INDEX('Cronograma R. Financiero'!$AM$5:$AM$1000,$N44)="","",INDEX('Cronograma R. Financiero'!$AM$5:$AM$1000,$N44)))</f>
        <v/>
      </c>
      <c r="D44" s="79">
        <f>IF($N44="","",IF(INDEX('Cronograma R. Financiero'!$AN$5:$AN$1000,$N44)="","",INDEX('Cronograma R. Financiero'!$AN$5:$AN$1000,$N44)))</f>
        <v/>
      </c>
      <c r="E44" s="56">
        <f>IF($N44="","",IF(NOT(ISNUMBER($D44)),"",IF($D44&lt;InicioCiclo,"Antes del ciclo",IF($D44&gt;=InicioCiclo+28,"Después del ciclo","Semana "&amp;(INT(($D44-InicioCiclo)/7)+1)))))</f>
        <v/>
      </c>
      <c r="F44" s="61">
        <f>IF($N44="","",IF($P44&gt;0,IF(1&lt;=SemanaActual,INDEX('Cronograma R. Financiero'!$AC$5:$AC$1000,$N44),""),IF(INDEX('Cronograma R. Financiero'!$I$5:$I$1000,$N44)="","",INDEX('Cronograma R. Financiero'!$I$5:$I$1000,$N44))))</f>
        <v/>
      </c>
      <c r="G44" s="61">
        <f>IF($N44="","",IF($P44&gt;0,IF(2&lt;=SemanaActual,INDEX('Cronograma R. Financiero'!$AD$5:$AD$1000,$N44),""),IF(INDEX('Cronograma R. Financiero'!$J$5:$J$1000,$N44)="","",INDEX('Cronograma R. Financiero'!$J$5:$J$1000,$N44))))</f>
        <v/>
      </c>
      <c r="H44" s="61">
        <f>IF($N44="","",IF($P44&gt;0,IF(3&lt;=SemanaActual,INDEX('Cronograma R. Financiero'!$AE$5:$AE$1000,$N44),""),IF(INDEX('Cronograma R. Financiero'!$K$5:$K$1000,$N44)="","",INDEX('Cronograma R. Financiero'!$K$5:$K$1000,$N44))))</f>
        <v/>
      </c>
      <c r="I44" s="61">
        <f>IF($N44="","",IF($P44&gt;0,IF(4&lt;=SemanaActual,INDEX('Cronograma R. Financiero'!$AF$5:$AF$1000,$N44),""),IF(INDEX('Cronograma R. Financiero'!$L$5:$L$1000,$N44)="","",INDEX('Cronograma R. Financiero'!$L$5:$L$1000,$N44))))</f>
        <v/>
      </c>
      <c r="J44" s="61">
        <f>IF($N44="","",INDEX('Cronograma R. Financiero'!$M$5:$M$1000,$N44))</f>
        <v/>
      </c>
      <c r="K44" s="56">
        <f>IF($N44="","",IF(N($J44)&gt;=1,"Completado",IF(AND(ISNUMBER($D44),$D44&lt;FechaRef),"Vencida",IF(N($J44)&gt;0,"En curso","Pendiente"))))</f>
        <v/>
      </c>
      <c r="L44" s="56">
        <f>IF($N44="","",INDEX('Cronograma R. Financiero'!$O$5:$O$1000,$N44)&amp;"")</f>
        <v/>
      </c>
      <c r="M44" s="62">
        <f>IF($N44="","",INDEX('Cronograma R. Financiero'!$Q$5:$Q$1000,$N44)&amp;"")</f>
        <v/>
      </c>
      <c r="N44">
        <f>IFERROR(MATCH(ROW()-4,rOrden_RF,0),"")</f>
        <v/>
      </c>
      <c r="O44">
        <f>IF($N44="","",INDEX('Cronograma R. Financiero'!$V$5:$V$1000,$N44))</f>
        <v/>
      </c>
      <c r="P44">
        <f>IF($N44="","",N(INDEX('Cronograma R. Financiero'!$W$5:$W$1000,$N44)))</f>
        <v/>
      </c>
      <c r="Q44">
        <f>IF(OR(LEFT($L44,7)="Vencida",LEFT($L44,5)="Vence"),SUMPRODUCT(--(LEFT($L$5:$L44,7)="Vencida"))+SUMPRODUCT(--(LEFT($L$5:$L44,5)="Vence")),"")</f>
        <v/>
      </c>
    </row>
    <row r="45">
      <c r="A45" s="56">
        <f>IF($N45="","",INDEX('Cronograma R. Financiero'!$A$5:$A$1000,$N45))</f>
        <v/>
      </c>
      <c r="B45" s="62">
        <f>IF($N45="","",IF($O45="Sub","      ↳  "&amp;INDEX('Cronograma R. Financiero'!$C$5:$C$1000,$N45),INDEX('Cronograma R. Financiero'!$C$5:$C$1000,$N45)&amp;""))</f>
        <v/>
      </c>
      <c r="C45" s="79">
        <f>IF($N45="","",IF(INDEX('Cronograma R. Financiero'!$AM$5:$AM$1000,$N45)="","",INDEX('Cronograma R. Financiero'!$AM$5:$AM$1000,$N45)))</f>
        <v/>
      </c>
      <c r="D45" s="79">
        <f>IF($N45="","",IF(INDEX('Cronograma R. Financiero'!$AN$5:$AN$1000,$N45)="","",INDEX('Cronograma R. Financiero'!$AN$5:$AN$1000,$N45)))</f>
        <v/>
      </c>
      <c r="E45" s="56">
        <f>IF($N45="","",IF(NOT(ISNUMBER($D45)),"",IF($D45&lt;InicioCiclo,"Antes del ciclo",IF($D45&gt;=InicioCiclo+28,"Después del ciclo","Semana "&amp;(INT(($D45-InicioCiclo)/7)+1)))))</f>
        <v/>
      </c>
      <c r="F45" s="61">
        <f>IF($N45="","",IF($P45&gt;0,IF(1&lt;=SemanaActual,INDEX('Cronograma R. Financiero'!$AC$5:$AC$1000,$N45),""),IF(INDEX('Cronograma R. Financiero'!$I$5:$I$1000,$N45)="","",INDEX('Cronograma R. Financiero'!$I$5:$I$1000,$N45))))</f>
        <v/>
      </c>
      <c r="G45" s="61">
        <f>IF($N45="","",IF($P45&gt;0,IF(2&lt;=SemanaActual,INDEX('Cronograma R. Financiero'!$AD$5:$AD$1000,$N45),""),IF(INDEX('Cronograma R. Financiero'!$J$5:$J$1000,$N45)="","",INDEX('Cronograma R. Financiero'!$J$5:$J$1000,$N45))))</f>
        <v/>
      </c>
      <c r="H45" s="61">
        <f>IF($N45="","",IF($P45&gt;0,IF(3&lt;=SemanaActual,INDEX('Cronograma R. Financiero'!$AE$5:$AE$1000,$N45),""),IF(INDEX('Cronograma R. Financiero'!$K$5:$K$1000,$N45)="","",INDEX('Cronograma R. Financiero'!$K$5:$K$1000,$N45))))</f>
        <v/>
      </c>
      <c r="I45" s="61">
        <f>IF($N45="","",IF($P45&gt;0,IF(4&lt;=SemanaActual,INDEX('Cronograma R. Financiero'!$AF$5:$AF$1000,$N45),""),IF(INDEX('Cronograma R. Financiero'!$L$5:$L$1000,$N45)="","",INDEX('Cronograma R. Financiero'!$L$5:$L$1000,$N45))))</f>
        <v/>
      </c>
      <c r="J45" s="61">
        <f>IF($N45="","",INDEX('Cronograma R. Financiero'!$M$5:$M$1000,$N45))</f>
        <v/>
      </c>
      <c r="K45" s="56">
        <f>IF($N45="","",IF(N($J45)&gt;=1,"Completado",IF(AND(ISNUMBER($D45),$D45&lt;FechaRef),"Vencida",IF(N($J45)&gt;0,"En curso","Pendiente"))))</f>
        <v/>
      </c>
      <c r="L45" s="56">
        <f>IF($N45="","",INDEX('Cronograma R. Financiero'!$O$5:$O$1000,$N45)&amp;"")</f>
        <v/>
      </c>
      <c r="M45" s="62">
        <f>IF($N45="","",INDEX('Cronograma R. Financiero'!$Q$5:$Q$1000,$N45)&amp;"")</f>
        <v/>
      </c>
      <c r="N45">
        <f>IFERROR(MATCH(ROW()-4,rOrden_RF,0),"")</f>
        <v/>
      </c>
      <c r="O45">
        <f>IF($N45="","",INDEX('Cronograma R. Financiero'!$V$5:$V$1000,$N45))</f>
        <v/>
      </c>
      <c r="P45">
        <f>IF($N45="","",N(INDEX('Cronograma R. Financiero'!$W$5:$W$1000,$N45)))</f>
        <v/>
      </c>
      <c r="Q45">
        <f>IF(OR(LEFT($L45,7)="Vencida",LEFT($L45,5)="Vence"),SUMPRODUCT(--(LEFT($L$5:$L45,7)="Vencida"))+SUMPRODUCT(--(LEFT($L$5:$L45,5)="Vence")),"")</f>
        <v/>
      </c>
    </row>
    <row r="46">
      <c r="A46" s="56">
        <f>IF($N46="","",INDEX('Cronograma R. Financiero'!$A$5:$A$1000,$N46))</f>
        <v/>
      </c>
      <c r="B46" s="62">
        <f>IF($N46="","",IF($O46="Sub","      ↳  "&amp;INDEX('Cronograma R. Financiero'!$C$5:$C$1000,$N46),INDEX('Cronograma R. Financiero'!$C$5:$C$1000,$N46)&amp;""))</f>
        <v/>
      </c>
      <c r="C46" s="79">
        <f>IF($N46="","",IF(INDEX('Cronograma R. Financiero'!$AM$5:$AM$1000,$N46)="","",INDEX('Cronograma R. Financiero'!$AM$5:$AM$1000,$N46)))</f>
        <v/>
      </c>
      <c r="D46" s="79">
        <f>IF($N46="","",IF(INDEX('Cronograma R. Financiero'!$AN$5:$AN$1000,$N46)="","",INDEX('Cronograma R. Financiero'!$AN$5:$AN$1000,$N46)))</f>
        <v/>
      </c>
      <c r="E46" s="56">
        <f>IF($N46="","",IF(NOT(ISNUMBER($D46)),"",IF($D46&lt;InicioCiclo,"Antes del ciclo",IF($D46&gt;=InicioCiclo+28,"Después del ciclo","Semana "&amp;(INT(($D46-InicioCiclo)/7)+1)))))</f>
        <v/>
      </c>
      <c r="F46" s="61">
        <f>IF($N46="","",IF($P46&gt;0,IF(1&lt;=SemanaActual,INDEX('Cronograma R. Financiero'!$AC$5:$AC$1000,$N46),""),IF(INDEX('Cronograma R. Financiero'!$I$5:$I$1000,$N46)="","",INDEX('Cronograma R. Financiero'!$I$5:$I$1000,$N46))))</f>
        <v/>
      </c>
      <c r="G46" s="61">
        <f>IF($N46="","",IF($P46&gt;0,IF(2&lt;=SemanaActual,INDEX('Cronograma R. Financiero'!$AD$5:$AD$1000,$N46),""),IF(INDEX('Cronograma R. Financiero'!$J$5:$J$1000,$N46)="","",INDEX('Cronograma R. Financiero'!$J$5:$J$1000,$N46))))</f>
        <v/>
      </c>
      <c r="H46" s="61">
        <f>IF($N46="","",IF($P46&gt;0,IF(3&lt;=SemanaActual,INDEX('Cronograma R. Financiero'!$AE$5:$AE$1000,$N46),""),IF(INDEX('Cronograma R. Financiero'!$K$5:$K$1000,$N46)="","",INDEX('Cronograma R. Financiero'!$K$5:$K$1000,$N46))))</f>
        <v/>
      </c>
      <c r="I46" s="61">
        <f>IF($N46="","",IF($P46&gt;0,IF(4&lt;=SemanaActual,INDEX('Cronograma R. Financiero'!$AF$5:$AF$1000,$N46),""),IF(INDEX('Cronograma R. Financiero'!$L$5:$L$1000,$N46)="","",INDEX('Cronograma R. Financiero'!$L$5:$L$1000,$N46))))</f>
        <v/>
      </c>
      <c r="J46" s="61">
        <f>IF($N46="","",INDEX('Cronograma R. Financiero'!$M$5:$M$1000,$N46))</f>
        <v/>
      </c>
      <c r="K46" s="56">
        <f>IF($N46="","",IF(N($J46)&gt;=1,"Completado",IF(AND(ISNUMBER($D46),$D46&lt;FechaRef),"Vencida",IF(N($J46)&gt;0,"En curso","Pendiente"))))</f>
        <v/>
      </c>
      <c r="L46" s="56">
        <f>IF($N46="","",INDEX('Cronograma R. Financiero'!$O$5:$O$1000,$N46)&amp;"")</f>
        <v/>
      </c>
      <c r="M46" s="62">
        <f>IF($N46="","",INDEX('Cronograma R. Financiero'!$Q$5:$Q$1000,$N46)&amp;"")</f>
        <v/>
      </c>
      <c r="N46">
        <f>IFERROR(MATCH(ROW()-4,rOrden_RF,0),"")</f>
        <v/>
      </c>
      <c r="O46">
        <f>IF($N46="","",INDEX('Cronograma R. Financiero'!$V$5:$V$1000,$N46))</f>
        <v/>
      </c>
      <c r="P46">
        <f>IF($N46="","",N(INDEX('Cronograma R. Financiero'!$W$5:$W$1000,$N46)))</f>
        <v/>
      </c>
      <c r="Q46">
        <f>IF(OR(LEFT($L46,7)="Vencida",LEFT($L46,5)="Vence"),SUMPRODUCT(--(LEFT($L$5:$L46,7)="Vencida"))+SUMPRODUCT(--(LEFT($L$5:$L46,5)="Vence")),"")</f>
        <v/>
      </c>
    </row>
    <row r="47">
      <c r="A47" s="56">
        <f>IF($N47="","",INDEX('Cronograma R. Financiero'!$A$5:$A$1000,$N47))</f>
        <v/>
      </c>
      <c r="B47" s="62">
        <f>IF($N47="","",IF($O47="Sub","      ↳  "&amp;INDEX('Cronograma R. Financiero'!$C$5:$C$1000,$N47),INDEX('Cronograma R. Financiero'!$C$5:$C$1000,$N47)&amp;""))</f>
        <v/>
      </c>
      <c r="C47" s="79">
        <f>IF($N47="","",IF(INDEX('Cronograma R. Financiero'!$AM$5:$AM$1000,$N47)="","",INDEX('Cronograma R. Financiero'!$AM$5:$AM$1000,$N47)))</f>
        <v/>
      </c>
      <c r="D47" s="79">
        <f>IF($N47="","",IF(INDEX('Cronograma R. Financiero'!$AN$5:$AN$1000,$N47)="","",INDEX('Cronograma R. Financiero'!$AN$5:$AN$1000,$N47)))</f>
        <v/>
      </c>
      <c r="E47" s="56">
        <f>IF($N47="","",IF(NOT(ISNUMBER($D47)),"",IF($D47&lt;InicioCiclo,"Antes del ciclo",IF($D47&gt;=InicioCiclo+28,"Después del ciclo","Semana "&amp;(INT(($D47-InicioCiclo)/7)+1)))))</f>
        <v/>
      </c>
      <c r="F47" s="61">
        <f>IF($N47="","",IF($P47&gt;0,IF(1&lt;=SemanaActual,INDEX('Cronograma R. Financiero'!$AC$5:$AC$1000,$N47),""),IF(INDEX('Cronograma R. Financiero'!$I$5:$I$1000,$N47)="","",INDEX('Cronograma R. Financiero'!$I$5:$I$1000,$N47))))</f>
        <v/>
      </c>
      <c r="G47" s="61">
        <f>IF($N47="","",IF($P47&gt;0,IF(2&lt;=SemanaActual,INDEX('Cronograma R. Financiero'!$AD$5:$AD$1000,$N47),""),IF(INDEX('Cronograma R. Financiero'!$J$5:$J$1000,$N47)="","",INDEX('Cronograma R. Financiero'!$J$5:$J$1000,$N47))))</f>
        <v/>
      </c>
      <c r="H47" s="61">
        <f>IF($N47="","",IF($P47&gt;0,IF(3&lt;=SemanaActual,INDEX('Cronograma R. Financiero'!$AE$5:$AE$1000,$N47),""),IF(INDEX('Cronograma R. Financiero'!$K$5:$K$1000,$N47)="","",INDEX('Cronograma R. Financiero'!$K$5:$K$1000,$N47))))</f>
        <v/>
      </c>
      <c r="I47" s="61">
        <f>IF($N47="","",IF($P47&gt;0,IF(4&lt;=SemanaActual,INDEX('Cronograma R. Financiero'!$AF$5:$AF$1000,$N47),""),IF(INDEX('Cronograma R. Financiero'!$L$5:$L$1000,$N47)="","",INDEX('Cronograma R. Financiero'!$L$5:$L$1000,$N47))))</f>
        <v/>
      </c>
      <c r="J47" s="61">
        <f>IF($N47="","",INDEX('Cronograma R. Financiero'!$M$5:$M$1000,$N47))</f>
        <v/>
      </c>
      <c r="K47" s="56">
        <f>IF($N47="","",IF(N($J47)&gt;=1,"Completado",IF(AND(ISNUMBER($D47),$D47&lt;FechaRef),"Vencida",IF(N($J47)&gt;0,"En curso","Pendiente"))))</f>
        <v/>
      </c>
      <c r="L47" s="56">
        <f>IF($N47="","",INDEX('Cronograma R. Financiero'!$O$5:$O$1000,$N47)&amp;"")</f>
        <v/>
      </c>
      <c r="M47" s="62">
        <f>IF($N47="","",INDEX('Cronograma R. Financiero'!$Q$5:$Q$1000,$N47)&amp;"")</f>
        <v/>
      </c>
      <c r="N47">
        <f>IFERROR(MATCH(ROW()-4,rOrden_RF,0),"")</f>
        <v/>
      </c>
      <c r="O47">
        <f>IF($N47="","",INDEX('Cronograma R. Financiero'!$V$5:$V$1000,$N47))</f>
        <v/>
      </c>
      <c r="P47">
        <f>IF($N47="","",N(INDEX('Cronograma R. Financiero'!$W$5:$W$1000,$N47)))</f>
        <v/>
      </c>
      <c r="Q47">
        <f>IF(OR(LEFT($L47,7)="Vencida",LEFT($L47,5)="Vence"),SUMPRODUCT(--(LEFT($L$5:$L47,7)="Vencida"))+SUMPRODUCT(--(LEFT($L$5:$L47,5)="Vence")),"")</f>
        <v/>
      </c>
    </row>
    <row r="48">
      <c r="A48" s="56">
        <f>IF($N48="","",INDEX('Cronograma R. Financiero'!$A$5:$A$1000,$N48))</f>
        <v/>
      </c>
      <c r="B48" s="62">
        <f>IF($N48="","",IF($O48="Sub","      ↳  "&amp;INDEX('Cronograma R. Financiero'!$C$5:$C$1000,$N48),INDEX('Cronograma R. Financiero'!$C$5:$C$1000,$N48)&amp;""))</f>
        <v/>
      </c>
      <c r="C48" s="79">
        <f>IF($N48="","",IF(INDEX('Cronograma R. Financiero'!$AM$5:$AM$1000,$N48)="","",INDEX('Cronograma R. Financiero'!$AM$5:$AM$1000,$N48)))</f>
        <v/>
      </c>
      <c r="D48" s="79">
        <f>IF($N48="","",IF(INDEX('Cronograma R. Financiero'!$AN$5:$AN$1000,$N48)="","",INDEX('Cronograma R. Financiero'!$AN$5:$AN$1000,$N48)))</f>
        <v/>
      </c>
      <c r="E48" s="56">
        <f>IF($N48="","",IF(NOT(ISNUMBER($D48)),"",IF($D48&lt;InicioCiclo,"Antes del ciclo",IF($D48&gt;=InicioCiclo+28,"Después del ciclo","Semana "&amp;(INT(($D48-InicioCiclo)/7)+1)))))</f>
        <v/>
      </c>
      <c r="F48" s="61">
        <f>IF($N48="","",IF($P48&gt;0,IF(1&lt;=SemanaActual,INDEX('Cronograma R. Financiero'!$AC$5:$AC$1000,$N48),""),IF(INDEX('Cronograma R. Financiero'!$I$5:$I$1000,$N48)="","",INDEX('Cronograma R. Financiero'!$I$5:$I$1000,$N48))))</f>
        <v/>
      </c>
      <c r="G48" s="61">
        <f>IF($N48="","",IF($P48&gt;0,IF(2&lt;=SemanaActual,INDEX('Cronograma R. Financiero'!$AD$5:$AD$1000,$N48),""),IF(INDEX('Cronograma R. Financiero'!$J$5:$J$1000,$N48)="","",INDEX('Cronograma R. Financiero'!$J$5:$J$1000,$N48))))</f>
        <v/>
      </c>
      <c r="H48" s="61">
        <f>IF($N48="","",IF($P48&gt;0,IF(3&lt;=SemanaActual,INDEX('Cronograma R. Financiero'!$AE$5:$AE$1000,$N48),""),IF(INDEX('Cronograma R. Financiero'!$K$5:$K$1000,$N48)="","",INDEX('Cronograma R. Financiero'!$K$5:$K$1000,$N48))))</f>
        <v/>
      </c>
      <c r="I48" s="61">
        <f>IF($N48="","",IF($P48&gt;0,IF(4&lt;=SemanaActual,INDEX('Cronograma R. Financiero'!$AF$5:$AF$1000,$N48),""),IF(INDEX('Cronograma R. Financiero'!$L$5:$L$1000,$N48)="","",INDEX('Cronograma R. Financiero'!$L$5:$L$1000,$N48))))</f>
        <v/>
      </c>
      <c r="J48" s="61">
        <f>IF($N48="","",INDEX('Cronograma R. Financiero'!$M$5:$M$1000,$N48))</f>
        <v/>
      </c>
      <c r="K48" s="56">
        <f>IF($N48="","",IF(N($J48)&gt;=1,"Completado",IF(AND(ISNUMBER($D48),$D48&lt;FechaRef),"Vencida",IF(N($J48)&gt;0,"En curso","Pendiente"))))</f>
        <v/>
      </c>
      <c r="L48" s="56">
        <f>IF($N48="","",INDEX('Cronograma R. Financiero'!$O$5:$O$1000,$N48)&amp;"")</f>
        <v/>
      </c>
      <c r="M48" s="62">
        <f>IF($N48="","",INDEX('Cronograma R. Financiero'!$Q$5:$Q$1000,$N48)&amp;"")</f>
        <v/>
      </c>
      <c r="N48">
        <f>IFERROR(MATCH(ROW()-4,rOrden_RF,0),"")</f>
        <v/>
      </c>
      <c r="O48">
        <f>IF($N48="","",INDEX('Cronograma R. Financiero'!$V$5:$V$1000,$N48))</f>
        <v/>
      </c>
      <c r="P48">
        <f>IF($N48="","",N(INDEX('Cronograma R. Financiero'!$W$5:$W$1000,$N48)))</f>
        <v/>
      </c>
      <c r="Q48">
        <f>IF(OR(LEFT($L48,7)="Vencida",LEFT($L48,5)="Vence"),SUMPRODUCT(--(LEFT($L$5:$L48,7)="Vencida"))+SUMPRODUCT(--(LEFT($L$5:$L48,5)="Vence")),"")</f>
        <v/>
      </c>
    </row>
    <row r="49">
      <c r="A49" s="56">
        <f>IF($N49="","",INDEX('Cronograma R. Financiero'!$A$5:$A$1000,$N49))</f>
        <v/>
      </c>
      <c r="B49" s="62">
        <f>IF($N49="","",IF($O49="Sub","      ↳  "&amp;INDEX('Cronograma R. Financiero'!$C$5:$C$1000,$N49),INDEX('Cronograma R. Financiero'!$C$5:$C$1000,$N49)&amp;""))</f>
        <v/>
      </c>
      <c r="C49" s="79">
        <f>IF($N49="","",IF(INDEX('Cronograma R. Financiero'!$AM$5:$AM$1000,$N49)="","",INDEX('Cronograma R. Financiero'!$AM$5:$AM$1000,$N49)))</f>
        <v/>
      </c>
      <c r="D49" s="79">
        <f>IF($N49="","",IF(INDEX('Cronograma R. Financiero'!$AN$5:$AN$1000,$N49)="","",INDEX('Cronograma R. Financiero'!$AN$5:$AN$1000,$N49)))</f>
        <v/>
      </c>
      <c r="E49" s="56">
        <f>IF($N49="","",IF(NOT(ISNUMBER($D49)),"",IF($D49&lt;InicioCiclo,"Antes del ciclo",IF($D49&gt;=InicioCiclo+28,"Después del ciclo","Semana "&amp;(INT(($D49-InicioCiclo)/7)+1)))))</f>
        <v/>
      </c>
      <c r="F49" s="61">
        <f>IF($N49="","",IF($P49&gt;0,IF(1&lt;=SemanaActual,INDEX('Cronograma R. Financiero'!$AC$5:$AC$1000,$N49),""),IF(INDEX('Cronograma R. Financiero'!$I$5:$I$1000,$N49)="","",INDEX('Cronograma R. Financiero'!$I$5:$I$1000,$N49))))</f>
        <v/>
      </c>
      <c r="G49" s="61">
        <f>IF($N49="","",IF($P49&gt;0,IF(2&lt;=SemanaActual,INDEX('Cronograma R. Financiero'!$AD$5:$AD$1000,$N49),""),IF(INDEX('Cronograma R. Financiero'!$J$5:$J$1000,$N49)="","",INDEX('Cronograma R. Financiero'!$J$5:$J$1000,$N49))))</f>
        <v/>
      </c>
      <c r="H49" s="61">
        <f>IF($N49="","",IF($P49&gt;0,IF(3&lt;=SemanaActual,INDEX('Cronograma R. Financiero'!$AE$5:$AE$1000,$N49),""),IF(INDEX('Cronograma R. Financiero'!$K$5:$K$1000,$N49)="","",INDEX('Cronograma R. Financiero'!$K$5:$K$1000,$N49))))</f>
        <v/>
      </c>
      <c r="I49" s="61">
        <f>IF($N49="","",IF($P49&gt;0,IF(4&lt;=SemanaActual,INDEX('Cronograma R. Financiero'!$AF$5:$AF$1000,$N49),""),IF(INDEX('Cronograma R. Financiero'!$L$5:$L$1000,$N49)="","",INDEX('Cronograma R. Financiero'!$L$5:$L$1000,$N49))))</f>
        <v/>
      </c>
      <c r="J49" s="61">
        <f>IF($N49="","",INDEX('Cronograma R. Financiero'!$M$5:$M$1000,$N49))</f>
        <v/>
      </c>
      <c r="K49" s="56">
        <f>IF($N49="","",IF(N($J49)&gt;=1,"Completado",IF(AND(ISNUMBER($D49),$D49&lt;FechaRef),"Vencida",IF(N($J49)&gt;0,"En curso","Pendiente"))))</f>
        <v/>
      </c>
      <c r="L49" s="56">
        <f>IF($N49="","",INDEX('Cronograma R. Financiero'!$O$5:$O$1000,$N49)&amp;"")</f>
        <v/>
      </c>
      <c r="M49" s="62">
        <f>IF($N49="","",INDEX('Cronograma R. Financiero'!$Q$5:$Q$1000,$N49)&amp;"")</f>
        <v/>
      </c>
      <c r="N49">
        <f>IFERROR(MATCH(ROW()-4,rOrden_RF,0),"")</f>
        <v/>
      </c>
      <c r="O49">
        <f>IF($N49="","",INDEX('Cronograma R. Financiero'!$V$5:$V$1000,$N49))</f>
        <v/>
      </c>
      <c r="P49">
        <f>IF($N49="","",N(INDEX('Cronograma R. Financiero'!$W$5:$W$1000,$N49)))</f>
        <v/>
      </c>
      <c r="Q49">
        <f>IF(OR(LEFT($L49,7)="Vencida",LEFT($L49,5)="Vence"),SUMPRODUCT(--(LEFT($L$5:$L49,7)="Vencida"))+SUMPRODUCT(--(LEFT($L$5:$L49,5)="Vence")),"")</f>
        <v/>
      </c>
    </row>
    <row r="50">
      <c r="A50" s="56">
        <f>IF($N50="","",INDEX('Cronograma R. Financiero'!$A$5:$A$1000,$N50))</f>
        <v/>
      </c>
      <c r="B50" s="62">
        <f>IF($N50="","",IF($O50="Sub","      ↳  "&amp;INDEX('Cronograma R. Financiero'!$C$5:$C$1000,$N50),INDEX('Cronograma R. Financiero'!$C$5:$C$1000,$N50)&amp;""))</f>
        <v/>
      </c>
      <c r="C50" s="79">
        <f>IF($N50="","",IF(INDEX('Cronograma R. Financiero'!$AM$5:$AM$1000,$N50)="","",INDEX('Cronograma R. Financiero'!$AM$5:$AM$1000,$N50)))</f>
        <v/>
      </c>
      <c r="D50" s="79">
        <f>IF($N50="","",IF(INDEX('Cronograma R. Financiero'!$AN$5:$AN$1000,$N50)="","",INDEX('Cronograma R. Financiero'!$AN$5:$AN$1000,$N50)))</f>
        <v/>
      </c>
      <c r="E50" s="56">
        <f>IF($N50="","",IF(NOT(ISNUMBER($D50)),"",IF($D50&lt;InicioCiclo,"Antes del ciclo",IF($D50&gt;=InicioCiclo+28,"Después del ciclo","Semana "&amp;(INT(($D50-InicioCiclo)/7)+1)))))</f>
        <v/>
      </c>
      <c r="F50" s="61">
        <f>IF($N50="","",IF($P50&gt;0,IF(1&lt;=SemanaActual,INDEX('Cronograma R. Financiero'!$AC$5:$AC$1000,$N50),""),IF(INDEX('Cronograma R. Financiero'!$I$5:$I$1000,$N50)="","",INDEX('Cronograma R. Financiero'!$I$5:$I$1000,$N50))))</f>
        <v/>
      </c>
      <c r="G50" s="61">
        <f>IF($N50="","",IF($P50&gt;0,IF(2&lt;=SemanaActual,INDEX('Cronograma R. Financiero'!$AD$5:$AD$1000,$N50),""),IF(INDEX('Cronograma R. Financiero'!$J$5:$J$1000,$N50)="","",INDEX('Cronograma R. Financiero'!$J$5:$J$1000,$N50))))</f>
        <v/>
      </c>
      <c r="H50" s="61">
        <f>IF($N50="","",IF($P50&gt;0,IF(3&lt;=SemanaActual,INDEX('Cronograma R. Financiero'!$AE$5:$AE$1000,$N50),""),IF(INDEX('Cronograma R. Financiero'!$K$5:$K$1000,$N50)="","",INDEX('Cronograma R. Financiero'!$K$5:$K$1000,$N50))))</f>
        <v/>
      </c>
      <c r="I50" s="61">
        <f>IF($N50="","",IF($P50&gt;0,IF(4&lt;=SemanaActual,INDEX('Cronograma R. Financiero'!$AF$5:$AF$1000,$N50),""),IF(INDEX('Cronograma R. Financiero'!$L$5:$L$1000,$N50)="","",INDEX('Cronograma R. Financiero'!$L$5:$L$1000,$N50))))</f>
        <v/>
      </c>
      <c r="J50" s="61">
        <f>IF($N50="","",INDEX('Cronograma R. Financiero'!$M$5:$M$1000,$N50))</f>
        <v/>
      </c>
      <c r="K50" s="56">
        <f>IF($N50="","",IF(N($J50)&gt;=1,"Completado",IF(AND(ISNUMBER($D50),$D50&lt;FechaRef),"Vencida",IF(N($J50)&gt;0,"En curso","Pendiente"))))</f>
        <v/>
      </c>
      <c r="L50" s="56">
        <f>IF($N50="","",INDEX('Cronograma R. Financiero'!$O$5:$O$1000,$N50)&amp;"")</f>
        <v/>
      </c>
      <c r="M50" s="62">
        <f>IF($N50="","",INDEX('Cronograma R. Financiero'!$Q$5:$Q$1000,$N50)&amp;"")</f>
        <v/>
      </c>
      <c r="N50">
        <f>IFERROR(MATCH(ROW()-4,rOrden_RF,0),"")</f>
        <v/>
      </c>
      <c r="O50">
        <f>IF($N50="","",INDEX('Cronograma R. Financiero'!$V$5:$V$1000,$N50))</f>
        <v/>
      </c>
      <c r="P50">
        <f>IF($N50="","",N(INDEX('Cronograma R. Financiero'!$W$5:$W$1000,$N50)))</f>
        <v/>
      </c>
      <c r="Q50">
        <f>IF(OR(LEFT($L50,7)="Vencida",LEFT($L50,5)="Vence"),SUMPRODUCT(--(LEFT($L$5:$L50,7)="Vencida"))+SUMPRODUCT(--(LEFT($L$5:$L50,5)="Vence")),"")</f>
        <v/>
      </c>
    </row>
    <row r="51">
      <c r="A51" s="56">
        <f>IF($N51="","",INDEX('Cronograma R. Financiero'!$A$5:$A$1000,$N51))</f>
        <v/>
      </c>
      <c r="B51" s="62">
        <f>IF($N51="","",IF($O51="Sub","      ↳  "&amp;INDEX('Cronograma R. Financiero'!$C$5:$C$1000,$N51),INDEX('Cronograma R. Financiero'!$C$5:$C$1000,$N51)&amp;""))</f>
        <v/>
      </c>
      <c r="C51" s="79">
        <f>IF($N51="","",IF(INDEX('Cronograma R. Financiero'!$AM$5:$AM$1000,$N51)="","",INDEX('Cronograma R. Financiero'!$AM$5:$AM$1000,$N51)))</f>
        <v/>
      </c>
      <c r="D51" s="79">
        <f>IF($N51="","",IF(INDEX('Cronograma R. Financiero'!$AN$5:$AN$1000,$N51)="","",INDEX('Cronograma R. Financiero'!$AN$5:$AN$1000,$N51)))</f>
        <v/>
      </c>
      <c r="E51" s="56">
        <f>IF($N51="","",IF(NOT(ISNUMBER($D51)),"",IF($D51&lt;InicioCiclo,"Antes del ciclo",IF($D51&gt;=InicioCiclo+28,"Después del ciclo","Semana "&amp;(INT(($D51-InicioCiclo)/7)+1)))))</f>
        <v/>
      </c>
      <c r="F51" s="61">
        <f>IF($N51="","",IF($P51&gt;0,IF(1&lt;=SemanaActual,INDEX('Cronograma R. Financiero'!$AC$5:$AC$1000,$N51),""),IF(INDEX('Cronograma R. Financiero'!$I$5:$I$1000,$N51)="","",INDEX('Cronograma R. Financiero'!$I$5:$I$1000,$N51))))</f>
        <v/>
      </c>
      <c r="G51" s="61">
        <f>IF($N51="","",IF($P51&gt;0,IF(2&lt;=SemanaActual,INDEX('Cronograma R. Financiero'!$AD$5:$AD$1000,$N51),""),IF(INDEX('Cronograma R. Financiero'!$J$5:$J$1000,$N51)="","",INDEX('Cronograma R. Financiero'!$J$5:$J$1000,$N51))))</f>
        <v/>
      </c>
      <c r="H51" s="61">
        <f>IF($N51="","",IF($P51&gt;0,IF(3&lt;=SemanaActual,INDEX('Cronograma R. Financiero'!$AE$5:$AE$1000,$N51),""),IF(INDEX('Cronograma R. Financiero'!$K$5:$K$1000,$N51)="","",INDEX('Cronograma R. Financiero'!$K$5:$K$1000,$N51))))</f>
        <v/>
      </c>
      <c r="I51" s="61">
        <f>IF($N51="","",IF($P51&gt;0,IF(4&lt;=SemanaActual,INDEX('Cronograma R. Financiero'!$AF$5:$AF$1000,$N51),""),IF(INDEX('Cronograma R. Financiero'!$L$5:$L$1000,$N51)="","",INDEX('Cronograma R. Financiero'!$L$5:$L$1000,$N51))))</f>
        <v/>
      </c>
      <c r="J51" s="61">
        <f>IF($N51="","",INDEX('Cronograma R. Financiero'!$M$5:$M$1000,$N51))</f>
        <v/>
      </c>
      <c r="K51" s="56">
        <f>IF($N51="","",IF(N($J51)&gt;=1,"Completado",IF(AND(ISNUMBER($D51),$D51&lt;FechaRef),"Vencida",IF(N($J51)&gt;0,"En curso","Pendiente"))))</f>
        <v/>
      </c>
      <c r="L51" s="56">
        <f>IF($N51="","",INDEX('Cronograma R. Financiero'!$O$5:$O$1000,$N51)&amp;"")</f>
        <v/>
      </c>
      <c r="M51" s="62">
        <f>IF($N51="","",INDEX('Cronograma R. Financiero'!$Q$5:$Q$1000,$N51)&amp;"")</f>
        <v/>
      </c>
      <c r="N51">
        <f>IFERROR(MATCH(ROW()-4,rOrden_RF,0),"")</f>
        <v/>
      </c>
      <c r="O51">
        <f>IF($N51="","",INDEX('Cronograma R. Financiero'!$V$5:$V$1000,$N51))</f>
        <v/>
      </c>
      <c r="P51">
        <f>IF($N51="","",N(INDEX('Cronograma R. Financiero'!$W$5:$W$1000,$N51)))</f>
        <v/>
      </c>
      <c r="Q51">
        <f>IF(OR(LEFT($L51,7)="Vencida",LEFT($L51,5)="Vence"),SUMPRODUCT(--(LEFT($L$5:$L51,7)="Vencida"))+SUMPRODUCT(--(LEFT($L$5:$L51,5)="Vence")),"")</f>
        <v/>
      </c>
    </row>
    <row r="52">
      <c r="A52" s="56">
        <f>IF($N52="","",INDEX('Cronograma R. Financiero'!$A$5:$A$1000,$N52))</f>
        <v/>
      </c>
      <c r="B52" s="62">
        <f>IF($N52="","",IF($O52="Sub","      ↳  "&amp;INDEX('Cronograma R. Financiero'!$C$5:$C$1000,$N52),INDEX('Cronograma R. Financiero'!$C$5:$C$1000,$N52)&amp;""))</f>
        <v/>
      </c>
      <c r="C52" s="79">
        <f>IF($N52="","",IF(INDEX('Cronograma R. Financiero'!$AM$5:$AM$1000,$N52)="","",INDEX('Cronograma R. Financiero'!$AM$5:$AM$1000,$N52)))</f>
        <v/>
      </c>
      <c r="D52" s="79">
        <f>IF($N52="","",IF(INDEX('Cronograma R. Financiero'!$AN$5:$AN$1000,$N52)="","",INDEX('Cronograma R. Financiero'!$AN$5:$AN$1000,$N52)))</f>
        <v/>
      </c>
      <c r="E52" s="56">
        <f>IF($N52="","",IF(NOT(ISNUMBER($D52)),"",IF($D52&lt;InicioCiclo,"Antes del ciclo",IF($D52&gt;=InicioCiclo+28,"Después del ciclo","Semana "&amp;(INT(($D52-InicioCiclo)/7)+1)))))</f>
        <v/>
      </c>
      <c r="F52" s="61">
        <f>IF($N52="","",IF($P52&gt;0,IF(1&lt;=SemanaActual,INDEX('Cronograma R. Financiero'!$AC$5:$AC$1000,$N52),""),IF(INDEX('Cronograma R. Financiero'!$I$5:$I$1000,$N52)="","",INDEX('Cronograma R. Financiero'!$I$5:$I$1000,$N52))))</f>
        <v/>
      </c>
      <c r="G52" s="61">
        <f>IF($N52="","",IF($P52&gt;0,IF(2&lt;=SemanaActual,INDEX('Cronograma R. Financiero'!$AD$5:$AD$1000,$N52),""),IF(INDEX('Cronograma R. Financiero'!$J$5:$J$1000,$N52)="","",INDEX('Cronograma R. Financiero'!$J$5:$J$1000,$N52))))</f>
        <v/>
      </c>
      <c r="H52" s="61">
        <f>IF($N52="","",IF($P52&gt;0,IF(3&lt;=SemanaActual,INDEX('Cronograma R. Financiero'!$AE$5:$AE$1000,$N52),""),IF(INDEX('Cronograma R. Financiero'!$K$5:$K$1000,$N52)="","",INDEX('Cronograma R. Financiero'!$K$5:$K$1000,$N52))))</f>
        <v/>
      </c>
      <c r="I52" s="61">
        <f>IF($N52="","",IF($P52&gt;0,IF(4&lt;=SemanaActual,INDEX('Cronograma R. Financiero'!$AF$5:$AF$1000,$N52),""),IF(INDEX('Cronograma R. Financiero'!$L$5:$L$1000,$N52)="","",INDEX('Cronograma R. Financiero'!$L$5:$L$1000,$N52))))</f>
        <v/>
      </c>
      <c r="J52" s="61">
        <f>IF($N52="","",INDEX('Cronograma R. Financiero'!$M$5:$M$1000,$N52))</f>
        <v/>
      </c>
      <c r="K52" s="56">
        <f>IF($N52="","",IF(N($J52)&gt;=1,"Completado",IF(AND(ISNUMBER($D52),$D52&lt;FechaRef),"Vencida",IF(N($J52)&gt;0,"En curso","Pendiente"))))</f>
        <v/>
      </c>
      <c r="L52" s="56">
        <f>IF($N52="","",INDEX('Cronograma R. Financiero'!$O$5:$O$1000,$N52)&amp;"")</f>
        <v/>
      </c>
      <c r="M52" s="62">
        <f>IF($N52="","",INDEX('Cronograma R. Financiero'!$Q$5:$Q$1000,$N52)&amp;"")</f>
        <v/>
      </c>
      <c r="N52">
        <f>IFERROR(MATCH(ROW()-4,rOrden_RF,0),"")</f>
        <v/>
      </c>
      <c r="O52">
        <f>IF($N52="","",INDEX('Cronograma R. Financiero'!$V$5:$V$1000,$N52))</f>
        <v/>
      </c>
      <c r="P52">
        <f>IF($N52="","",N(INDEX('Cronograma R. Financiero'!$W$5:$W$1000,$N52)))</f>
        <v/>
      </c>
      <c r="Q52">
        <f>IF(OR(LEFT($L52,7)="Vencida",LEFT($L52,5)="Vence"),SUMPRODUCT(--(LEFT($L$5:$L52,7)="Vencida"))+SUMPRODUCT(--(LEFT($L$5:$L52,5)="Vence")),"")</f>
        <v/>
      </c>
    </row>
    <row r="53">
      <c r="A53" s="56">
        <f>IF($N53="","",INDEX('Cronograma R. Financiero'!$A$5:$A$1000,$N53))</f>
        <v/>
      </c>
      <c r="B53" s="62">
        <f>IF($N53="","",IF($O53="Sub","      ↳  "&amp;INDEX('Cronograma R. Financiero'!$C$5:$C$1000,$N53),INDEX('Cronograma R. Financiero'!$C$5:$C$1000,$N53)&amp;""))</f>
        <v/>
      </c>
      <c r="C53" s="79">
        <f>IF($N53="","",IF(INDEX('Cronograma R. Financiero'!$AM$5:$AM$1000,$N53)="","",INDEX('Cronograma R. Financiero'!$AM$5:$AM$1000,$N53)))</f>
        <v/>
      </c>
      <c r="D53" s="79">
        <f>IF($N53="","",IF(INDEX('Cronograma R. Financiero'!$AN$5:$AN$1000,$N53)="","",INDEX('Cronograma R. Financiero'!$AN$5:$AN$1000,$N53)))</f>
        <v/>
      </c>
      <c r="E53" s="56">
        <f>IF($N53="","",IF(NOT(ISNUMBER($D53)),"",IF($D53&lt;InicioCiclo,"Antes del ciclo",IF($D53&gt;=InicioCiclo+28,"Después del ciclo","Semana "&amp;(INT(($D53-InicioCiclo)/7)+1)))))</f>
        <v/>
      </c>
      <c r="F53" s="61">
        <f>IF($N53="","",IF($P53&gt;0,IF(1&lt;=SemanaActual,INDEX('Cronograma R. Financiero'!$AC$5:$AC$1000,$N53),""),IF(INDEX('Cronograma R. Financiero'!$I$5:$I$1000,$N53)="","",INDEX('Cronograma R. Financiero'!$I$5:$I$1000,$N53))))</f>
        <v/>
      </c>
      <c r="G53" s="61">
        <f>IF($N53="","",IF($P53&gt;0,IF(2&lt;=SemanaActual,INDEX('Cronograma R. Financiero'!$AD$5:$AD$1000,$N53),""),IF(INDEX('Cronograma R. Financiero'!$J$5:$J$1000,$N53)="","",INDEX('Cronograma R. Financiero'!$J$5:$J$1000,$N53))))</f>
        <v/>
      </c>
      <c r="H53" s="61">
        <f>IF($N53="","",IF($P53&gt;0,IF(3&lt;=SemanaActual,INDEX('Cronograma R. Financiero'!$AE$5:$AE$1000,$N53),""),IF(INDEX('Cronograma R. Financiero'!$K$5:$K$1000,$N53)="","",INDEX('Cronograma R. Financiero'!$K$5:$K$1000,$N53))))</f>
        <v/>
      </c>
      <c r="I53" s="61">
        <f>IF($N53="","",IF($P53&gt;0,IF(4&lt;=SemanaActual,INDEX('Cronograma R. Financiero'!$AF$5:$AF$1000,$N53),""),IF(INDEX('Cronograma R. Financiero'!$L$5:$L$1000,$N53)="","",INDEX('Cronograma R. Financiero'!$L$5:$L$1000,$N53))))</f>
        <v/>
      </c>
      <c r="J53" s="61">
        <f>IF($N53="","",INDEX('Cronograma R. Financiero'!$M$5:$M$1000,$N53))</f>
        <v/>
      </c>
      <c r="K53" s="56">
        <f>IF($N53="","",IF(N($J53)&gt;=1,"Completado",IF(AND(ISNUMBER($D53),$D53&lt;FechaRef),"Vencida",IF(N($J53)&gt;0,"En curso","Pendiente"))))</f>
        <v/>
      </c>
      <c r="L53" s="56">
        <f>IF($N53="","",INDEX('Cronograma R. Financiero'!$O$5:$O$1000,$N53)&amp;"")</f>
        <v/>
      </c>
      <c r="M53" s="62">
        <f>IF($N53="","",INDEX('Cronograma R. Financiero'!$Q$5:$Q$1000,$N53)&amp;"")</f>
        <v/>
      </c>
      <c r="N53">
        <f>IFERROR(MATCH(ROW()-4,rOrden_RF,0),"")</f>
        <v/>
      </c>
      <c r="O53">
        <f>IF($N53="","",INDEX('Cronograma R. Financiero'!$V$5:$V$1000,$N53))</f>
        <v/>
      </c>
      <c r="P53">
        <f>IF($N53="","",N(INDEX('Cronograma R. Financiero'!$W$5:$W$1000,$N53)))</f>
        <v/>
      </c>
      <c r="Q53">
        <f>IF(OR(LEFT($L53,7)="Vencida",LEFT($L53,5)="Vence"),SUMPRODUCT(--(LEFT($L$5:$L53,7)="Vencida"))+SUMPRODUCT(--(LEFT($L$5:$L53,5)="Vence")),"")</f>
        <v/>
      </c>
    </row>
    <row r="54">
      <c r="A54" s="56">
        <f>IF($N54="","",INDEX('Cronograma R. Financiero'!$A$5:$A$1000,$N54))</f>
        <v/>
      </c>
      <c r="B54" s="62">
        <f>IF($N54="","",IF($O54="Sub","      ↳  "&amp;INDEX('Cronograma R. Financiero'!$C$5:$C$1000,$N54),INDEX('Cronograma R. Financiero'!$C$5:$C$1000,$N54)&amp;""))</f>
        <v/>
      </c>
      <c r="C54" s="79">
        <f>IF($N54="","",IF(INDEX('Cronograma R. Financiero'!$AM$5:$AM$1000,$N54)="","",INDEX('Cronograma R. Financiero'!$AM$5:$AM$1000,$N54)))</f>
        <v/>
      </c>
      <c r="D54" s="79">
        <f>IF($N54="","",IF(INDEX('Cronograma R. Financiero'!$AN$5:$AN$1000,$N54)="","",INDEX('Cronograma R. Financiero'!$AN$5:$AN$1000,$N54)))</f>
        <v/>
      </c>
      <c r="E54" s="56">
        <f>IF($N54="","",IF(NOT(ISNUMBER($D54)),"",IF($D54&lt;InicioCiclo,"Antes del ciclo",IF($D54&gt;=InicioCiclo+28,"Después del ciclo","Semana "&amp;(INT(($D54-InicioCiclo)/7)+1)))))</f>
        <v/>
      </c>
      <c r="F54" s="61">
        <f>IF($N54="","",IF($P54&gt;0,IF(1&lt;=SemanaActual,INDEX('Cronograma R. Financiero'!$AC$5:$AC$1000,$N54),""),IF(INDEX('Cronograma R. Financiero'!$I$5:$I$1000,$N54)="","",INDEX('Cronograma R. Financiero'!$I$5:$I$1000,$N54))))</f>
        <v/>
      </c>
      <c r="G54" s="61">
        <f>IF($N54="","",IF($P54&gt;0,IF(2&lt;=SemanaActual,INDEX('Cronograma R. Financiero'!$AD$5:$AD$1000,$N54),""),IF(INDEX('Cronograma R. Financiero'!$J$5:$J$1000,$N54)="","",INDEX('Cronograma R. Financiero'!$J$5:$J$1000,$N54))))</f>
        <v/>
      </c>
      <c r="H54" s="61">
        <f>IF($N54="","",IF($P54&gt;0,IF(3&lt;=SemanaActual,INDEX('Cronograma R. Financiero'!$AE$5:$AE$1000,$N54),""),IF(INDEX('Cronograma R. Financiero'!$K$5:$K$1000,$N54)="","",INDEX('Cronograma R. Financiero'!$K$5:$K$1000,$N54))))</f>
        <v/>
      </c>
      <c r="I54" s="61">
        <f>IF($N54="","",IF($P54&gt;0,IF(4&lt;=SemanaActual,INDEX('Cronograma R. Financiero'!$AF$5:$AF$1000,$N54),""),IF(INDEX('Cronograma R. Financiero'!$L$5:$L$1000,$N54)="","",INDEX('Cronograma R. Financiero'!$L$5:$L$1000,$N54))))</f>
        <v/>
      </c>
      <c r="J54" s="61">
        <f>IF($N54="","",INDEX('Cronograma R. Financiero'!$M$5:$M$1000,$N54))</f>
        <v/>
      </c>
      <c r="K54" s="56">
        <f>IF($N54="","",IF(N($J54)&gt;=1,"Completado",IF(AND(ISNUMBER($D54),$D54&lt;FechaRef),"Vencida",IF(N($J54)&gt;0,"En curso","Pendiente"))))</f>
        <v/>
      </c>
      <c r="L54" s="56">
        <f>IF($N54="","",INDEX('Cronograma R. Financiero'!$O$5:$O$1000,$N54)&amp;"")</f>
        <v/>
      </c>
      <c r="M54" s="62">
        <f>IF($N54="","",INDEX('Cronograma R. Financiero'!$Q$5:$Q$1000,$N54)&amp;"")</f>
        <v/>
      </c>
      <c r="N54">
        <f>IFERROR(MATCH(ROW()-4,rOrden_RF,0),"")</f>
        <v/>
      </c>
      <c r="O54">
        <f>IF($N54="","",INDEX('Cronograma R. Financiero'!$V$5:$V$1000,$N54))</f>
        <v/>
      </c>
      <c r="P54">
        <f>IF($N54="","",N(INDEX('Cronograma R. Financiero'!$W$5:$W$1000,$N54)))</f>
        <v/>
      </c>
      <c r="Q54">
        <f>IF(OR(LEFT($L54,7)="Vencida",LEFT($L54,5)="Vence"),SUMPRODUCT(--(LEFT($L$5:$L54,7)="Vencida"))+SUMPRODUCT(--(LEFT($L$5:$L54,5)="Vence")),"")</f>
        <v/>
      </c>
    </row>
    <row r="55">
      <c r="A55" s="56">
        <f>IF($N55="","",INDEX('Cronograma R. Financiero'!$A$5:$A$1000,$N55))</f>
        <v/>
      </c>
      <c r="B55" s="62">
        <f>IF($N55="","",IF($O55="Sub","      ↳  "&amp;INDEX('Cronograma R. Financiero'!$C$5:$C$1000,$N55),INDEX('Cronograma R. Financiero'!$C$5:$C$1000,$N55)&amp;""))</f>
        <v/>
      </c>
      <c r="C55" s="79">
        <f>IF($N55="","",IF(INDEX('Cronograma R. Financiero'!$AM$5:$AM$1000,$N55)="","",INDEX('Cronograma R. Financiero'!$AM$5:$AM$1000,$N55)))</f>
        <v/>
      </c>
      <c r="D55" s="79">
        <f>IF($N55="","",IF(INDEX('Cronograma R. Financiero'!$AN$5:$AN$1000,$N55)="","",INDEX('Cronograma R. Financiero'!$AN$5:$AN$1000,$N55)))</f>
        <v/>
      </c>
      <c r="E55" s="56">
        <f>IF($N55="","",IF(NOT(ISNUMBER($D55)),"",IF($D55&lt;InicioCiclo,"Antes del ciclo",IF($D55&gt;=InicioCiclo+28,"Después del ciclo","Semana "&amp;(INT(($D55-InicioCiclo)/7)+1)))))</f>
        <v/>
      </c>
      <c r="F55" s="61">
        <f>IF($N55="","",IF($P55&gt;0,IF(1&lt;=SemanaActual,INDEX('Cronograma R. Financiero'!$AC$5:$AC$1000,$N55),""),IF(INDEX('Cronograma R. Financiero'!$I$5:$I$1000,$N55)="","",INDEX('Cronograma R. Financiero'!$I$5:$I$1000,$N55))))</f>
        <v/>
      </c>
      <c r="G55" s="61">
        <f>IF($N55="","",IF($P55&gt;0,IF(2&lt;=SemanaActual,INDEX('Cronograma R. Financiero'!$AD$5:$AD$1000,$N55),""),IF(INDEX('Cronograma R. Financiero'!$J$5:$J$1000,$N55)="","",INDEX('Cronograma R. Financiero'!$J$5:$J$1000,$N55))))</f>
        <v/>
      </c>
      <c r="H55" s="61">
        <f>IF($N55="","",IF($P55&gt;0,IF(3&lt;=SemanaActual,INDEX('Cronograma R. Financiero'!$AE$5:$AE$1000,$N55),""),IF(INDEX('Cronograma R. Financiero'!$K$5:$K$1000,$N55)="","",INDEX('Cronograma R. Financiero'!$K$5:$K$1000,$N55))))</f>
        <v/>
      </c>
      <c r="I55" s="61">
        <f>IF($N55="","",IF($P55&gt;0,IF(4&lt;=SemanaActual,INDEX('Cronograma R. Financiero'!$AF$5:$AF$1000,$N55),""),IF(INDEX('Cronograma R. Financiero'!$L$5:$L$1000,$N55)="","",INDEX('Cronograma R. Financiero'!$L$5:$L$1000,$N55))))</f>
        <v/>
      </c>
      <c r="J55" s="61">
        <f>IF($N55="","",INDEX('Cronograma R. Financiero'!$M$5:$M$1000,$N55))</f>
        <v/>
      </c>
      <c r="K55" s="56">
        <f>IF($N55="","",IF(N($J55)&gt;=1,"Completado",IF(AND(ISNUMBER($D55),$D55&lt;FechaRef),"Vencida",IF(N($J55)&gt;0,"En curso","Pendiente"))))</f>
        <v/>
      </c>
      <c r="L55" s="56">
        <f>IF($N55="","",INDEX('Cronograma R. Financiero'!$O$5:$O$1000,$N55)&amp;"")</f>
        <v/>
      </c>
      <c r="M55" s="62">
        <f>IF($N55="","",INDEX('Cronograma R. Financiero'!$Q$5:$Q$1000,$N55)&amp;"")</f>
        <v/>
      </c>
      <c r="N55">
        <f>IFERROR(MATCH(ROW()-4,rOrden_RF,0),"")</f>
        <v/>
      </c>
      <c r="O55">
        <f>IF($N55="","",INDEX('Cronograma R. Financiero'!$V$5:$V$1000,$N55))</f>
        <v/>
      </c>
      <c r="P55">
        <f>IF($N55="","",N(INDEX('Cronograma R. Financiero'!$W$5:$W$1000,$N55)))</f>
        <v/>
      </c>
      <c r="Q55">
        <f>IF(OR(LEFT($L55,7)="Vencida",LEFT($L55,5)="Vence"),SUMPRODUCT(--(LEFT($L$5:$L55,7)="Vencida"))+SUMPRODUCT(--(LEFT($L$5:$L55,5)="Vence")),"")</f>
        <v/>
      </c>
    </row>
    <row r="56">
      <c r="A56" s="56">
        <f>IF($N56="","",INDEX('Cronograma R. Financiero'!$A$5:$A$1000,$N56))</f>
        <v/>
      </c>
      <c r="B56" s="62">
        <f>IF($N56="","",IF($O56="Sub","      ↳  "&amp;INDEX('Cronograma R. Financiero'!$C$5:$C$1000,$N56),INDEX('Cronograma R. Financiero'!$C$5:$C$1000,$N56)&amp;""))</f>
        <v/>
      </c>
      <c r="C56" s="79">
        <f>IF($N56="","",IF(INDEX('Cronograma R. Financiero'!$AM$5:$AM$1000,$N56)="","",INDEX('Cronograma R. Financiero'!$AM$5:$AM$1000,$N56)))</f>
        <v/>
      </c>
      <c r="D56" s="79">
        <f>IF($N56="","",IF(INDEX('Cronograma R. Financiero'!$AN$5:$AN$1000,$N56)="","",INDEX('Cronograma R. Financiero'!$AN$5:$AN$1000,$N56)))</f>
        <v/>
      </c>
      <c r="E56" s="56">
        <f>IF($N56="","",IF(NOT(ISNUMBER($D56)),"",IF($D56&lt;InicioCiclo,"Antes del ciclo",IF($D56&gt;=InicioCiclo+28,"Después del ciclo","Semana "&amp;(INT(($D56-InicioCiclo)/7)+1)))))</f>
        <v/>
      </c>
      <c r="F56" s="61">
        <f>IF($N56="","",IF($P56&gt;0,IF(1&lt;=SemanaActual,INDEX('Cronograma R. Financiero'!$AC$5:$AC$1000,$N56),""),IF(INDEX('Cronograma R. Financiero'!$I$5:$I$1000,$N56)="","",INDEX('Cronograma R. Financiero'!$I$5:$I$1000,$N56))))</f>
        <v/>
      </c>
      <c r="G56" s="61">
        <f>IF($N56="","",IF($P56&gt;0,IF(2&lt;=SemanaActual,INDEX('Cronograma R. Financiero'!$AD$5:$AD$1000,$N56),""),IF(INDEX('Cronograma R. Financiero'!$J$5:$J$1000,$N56)="","",INDEX('Cronograma R. Financiero'!$J$5:$J$1000,$N56))))</f>
        <v/>
      </c>
      <c r="H56" s="61">
        <f>IF($N56="","",IF($P56&gt;0,IF(3&lt;=SemanaActual,INDEX('Cronograma R. Financiero'!$AE$5:$AE$1000,$N56),""),IF(INDEX('Cronograma R. Financiero'!$K$5:$K$1000,$N56)="","",INDEX('Cronograma R. Financiero'!$K$5:$K$1000,$N56))))</f>
        <v/>
      </c>
      <c r="I56" s="61">
        <f>IF($N56="","",IF($P56&gt;0,IF(4&lt;=SemanaActual,INDEX('Cronograma R. Financiero'!$AF$5:$AF$1000,$N56),""),IF(INDEX('Cronograma R. Financiero'!$L$5:$L$1000,$N56)="","",INDEX('Cronograma R. Financiero'!$L$5:$L$1000,$N56))))</f>
        <v/>
      </c>
      <c r="J56" s="61">
        <f>IF($N56="","",INDEX('Cronograma R. Financiero'!$M$5:$M$1000,$N56))</f>
        <v/>
      </c>
      <c r="K56" s="56">
        <f>IF($N56="","",IF(N($J56)&gt;=1,"Completado",IF(AND(ISNUMBER($D56),$D56&lt;FechaRef),"Vencida",IF(N($J56)&gt;0,"En curso","Pendiente"))))</f>
        <v/>
      </c>
      <c r="L56" s="56">
        <f>IF($N56="","",INDEX('Cronograma R. Financiero'!$O$5:$O$1000,$N56)&amp;"")</f>
        <v/>
      </c>
      <c r="M56" s="62">
        <f>IF($N56="","",INDEX('Cronograma R. Financiero'!$Q$5:$Q$1000,$N56)&amp;"")</f>
        <v/>
      </c>
      <c r="N56">
        <f>IFERROR(MATCH(ROW()-4,rOrden_RF,0),"")</f>
        <v/>
      </c>
      <c r="O56">
        <f>IF($N56="","",INDEX('Cronograma R. Financiero'!$V$5:$V$1000,$N56))</f>
        <v/>
      </c>
      <c r="P56">
        <f>IF($N56="","",N(INDEX('Cronograma R. Financiero'!$W$5:$W$1000,$N56)))</f>
        <v/>
      </c>
      <c r="Q56">
        <f>IF(OR(LEFT($L56,7)="Vencida",LEFT($L56,5)="Vence"),SUMPRODUCT(--(LEFT($L$5:$L56,7)="Vencida"))+SUMPRODUCT(--(LEFT($L$5:$L56,5)="Vence")),"")</f>
        <v/>
      </c>
    </row>
    <row r="57">
      <c r="A57" s="56">
        <f>IF($N57="","",INDEX('Cronograma R. Financiero'!$A$5:$A$1000,$N57))</f>
        <v/>
      </c>
      <c r="B57" s="62">
        <f>IF($N57="","",IF($O57="Sub","      ↳  "&amp;INDEX('Cronograma R. Financiero'!$C$5:$C$1000,$N57),INDEX('Cronograma R. Financiero'!$C$5:$C$1000,$N57)&amp;""))</f>
        <v/>
      </c>
      <c r="C57" s="79">
        <f>IF($N57="","",IF(INDEX('Cronograma R. Financiero'!$AM$5:$AM$1000,$N57)="","",INDEX('Cronograma R. Financiero'!$AM$5:$AM$1000,$N57)))</f>
        <v/>
      </c>
      <c r="D57" s="79">
        <f>IF($N57="","",IF(INDEX('Cronograma R. Financiero'!$AN$5:$AN$1000,$N57)="","",INDEX('Cronograma R. Financiero'!$AN$5:$AN$1000,$N57)))</f>
        <v/>
      </c>
      <c r="E57" s="56">
        <f>IF($N57="","",IF(NOT(ISNUMBER($D57)),"",IF($D57&lt;InicioCiclo,"Antes del ciclo",IF($D57&gt;=InicioCiclo+28,"Después del ciclo","Semana "&amp;(INT(($D57-InicioCiclo)/7)+1)))))</f>
        <v/>
      </c>
      <c r="F57" s="61">
        <f>IF($N57="","",IF($P57&gt;0,IF(1&lt;=SemanaActual,INDEX('Cronograma R. Financiero'!$AC$5:$AC$1000,$N57),""),IF(INDEX('Cronograma R. Financiero'!$I$5:$I$1000,$N57)="","",INDEX('Cronograma R. Financiero'!$I$5:$I$1000,$N57))))</f>
        <v/>
      </c>
      <c r="G57" s="61">
        <f>IF($N57="","",IF($P57&gt;0,IF(2&lt;=SemanaActual,INDEX('Cronograma R. Financiero'!$AD$5:$AD$1000,$N57),""),IF(INDEX('Cronograma R. Financiero'!$J$5:$J$1000,$N57)="","",INDEX('Cronograma R. Financiero'!$J$5:$J$1000,$N57))))</f>
        <v/>
      </c>
      <c r="H57" s="61">
        <f>IF($N57="","",IF($P57&gt;0,IF(3&lt;=SemanaActual,INDEX('Cronograma R. Financiero'!$AE$5:$AE$1000,$N57),""),IF(INDEX('Cronograma R. Financiero'!$K$5:$K$1000,$N57)="","",INDEX('Cronograma R. Financiero'!$K$5:$K$1000,$N57))))</f>
        <v/>
      </c>
      <c r="I57" s="61">
        <f>IF($N57="","",IF($P57&gt;0,IF(4&lt;=SemanaActual,INDEX('Cronograma R. Financiero'!$AF$5:$AF$1000,$N57),""),IF(INDEX('Cronograma R. Financiero'!$L$5:$L$1000,$N57)="","",INDEX('Cronograma R. Financiero'!$L$5:$L$1000,$N57))))</f>
        <v/>
      </c>
      <c r="J57" s="61">
        <f>IF($N57="","",INDEX('Cronograma R. Financiero'!$M$5:$M$1000,$N57))</f>
        <v/>
      </c>
      <c r="K57" s="56">
        <f>IF($N57="","",IF(N($J57)&gt;=1,"Completado",IF(AND(ISNUMBER($D57),$D57&lt;FechaRef),"Vencida",IF(N($J57)&gt;0,"En curso","Pendiente"))))</f>
        <v/>
      </c>
      <c r="L57" s="56">
        <f>IF($N57="","",INDEX('Cronograma R. Financiero'!$O$5:$O$1000,$N57)&amp;"")</f>
        <v/>
      </c>
      <c r="M57" s="62">
        <f>IF($N57="","",INDEX('Cronograma R. Financiero'!$Q$5:$Q$1000,$N57)&amp;"")</f>
        <v/>
      </c>
      <c r="N57">
        <f>IFERROR(MATCH(ROW()-4,rOrden_RF,0),"")</f>
        <v/>
      </c>
      <c r="O57">
        <f>IF($N57="","",INDEX('Cronograma R. Financiero'!$V$5:$V$1000,$N57))</f>
        <v/>
      </c>
      <c r="P57">
        <f>IF($N57="","",N(INDEX('Cronograma R. Financiero'!$W$5:$W$1000,$N57)))</f>
        <v/>
      </c>
      <c r="Q57">
        <f>IF(OR(LEFT($L57,7)="Vencida",LEFT($L57,5)="Vence"),SUMPRODUCT(--(LEFT($L$5:$L57,7)="Vencida"))+SUMPRODUCT(--(LEFT($L$5:$L57,5)="Vence")),"")</f>
        <v/>
      </c>
    </row>
    <row r="58">
      <c r="A58" s="56">
        <f>IF($N58="","",INDEX('Cronograma R. Financiero'!$A$5:$A$1000,$N58))</f>
        <v/>
      </c>
      <c r="B58" s="62">
        <f>IF($N58="","",IF($O58="Sub","      ↳  "&amp;INDEX('Cronograma R. Financiero'!$C$5:$C$1000,$N58),INDEX('Cronograma R. Financiero'!$C$5:$C$1000,$N58)&amp;""))</f>
        <v/>
      </c>
      <c r="C58" s="79">
        <f>IF($N58="","",IF(INDEX('Cronograma R. Financiero'!$AM$5:$AM$1000,$N58)="","",INDEX('Cronograma R. Financiero'!$AM$5:$AM$1000,$N58)))</f>
        <v/>
      </c>
      <c r="D58" s="79">
        <f>IF($N58="","",IF(INDEX('Cronograma R. Financiero'!$AN$5:$AN$1000,$N58)="","",INDEX('Cronograma R. Financiero'!$AN$5:$AN$1000,$N58)))</f>
        <v/>
      </c>
      <c r="E58" s="56">
        <f>IF($N58="","",IF(NOT(ISNUMBER($D58)),"",IF($D58&lt;InicioCiclo,"Antes del ciclo",IF($D58&gt;=InicioCiclo+28,"Después del ciclo","Semana "&amp;(INT(($D58-InicioCiclo)/7)+1)))))</f>
        <v/>
      </c>
      <c r="F58" s="61">
        <f>IF($N58="","",IF($P58&gt;0,IF(1&lt;=SemanaActual,INDEX('Cronograma R. Financiero'!$AC$5:$AC$1000,$N58),""),IF(INDEX('Cronograma R. Financiero'!$I$5:$I$1000,$N58)="","",INDEX('Cronograma R. Financiero'!$I$5:$I$1000,$N58))))</f>
        <v/>
      </c>
      <c r="G58" s="61">
        <f>IF($N58="","",IF($P58&gt;0,IF(2&lt;=SemanaActual,INDEX('Cronograma R. Financiero'!$AD$5:$AD$1000,$N58),""),IF(INDEX('Cronograma R. Financiero'!$J$5:$J$1000,$N58)="","",INDEX('Cronograma R. Financiero'!$J$5:$J$1000,$N58))))</f>
        <v/>
      </c>
      <c r="H58" s="61">
        <f>IF($N58="","",IF($P58&gt;0,IF(3&lt;=SemanaActual,INDEX('Cronograma R. Financiero'!$AE$5:$AE$1000,$N58),""),IF(INDEX('Cronograma R. Financiero'!$K$5:$K$1000,$N58)="","",INDEX('Cronograma R. Financiero'!$K$5:$K$1000,$N58))))</f>
        <v/>
      </c>
      <c r="I58" s="61">
        <f>IF($N58="","",IF($P58&gt;0,IF(4&lt;=SemanaActual,INDEX('Cronograma R. Financiero'!$AF$5:$AF$1000,$N58),""),IF(INDEX('Cronograma R. Financiero'!$L$5:$L$1000,$N58)="","",INDEX('Cronograma R. Financiero'!$L$5:$L$1000,$N58))))</f>
        <v/>
      </c>
      <c r="J58" s="61">
        <f>IF($N58="","",INDEX('Cronograma R. Financiero'!$M$5:$M$1000,$N58))</f>
        <v/>
      </c>
      <c r="K58" s="56">
        <f>IF($N58="","",IF(N($J58)&gt;=1,"Completado",IF(AND(ISNUMBER($D58),$D58&lt;FechaRef),"Vencida",IF(N($J58)&gt;0,"En curso","Pendiente"))))</f>
        <v/>
      </c>
      <c r="L58" s="56">
        <f>IF($N58="","",INDEX('Cronograma R. Financiero'!$O$5:$O$1000,$N58)&amp;"")</f>
        <v/>
      </c>
      <c r="M58" s="62">
        <f>IF($N58="","",INDEX('Cronograma R. Financiero'!$Q$5:$Q$1000,$N58)&amp;"")</f>
        <v/>
      </c>
      <c r="N58">
        <f>IFERROR(MATCH(ROW()-4,rOrden_RF,0),"")</f>
        <v/>
      </c>
      <c r="O58">
        <f>IF($N58="","",INDEX('Cronograma R. Financiero'!$V$5:$V$1000,$N58))</f>
        <v/>
      </c>
      <c r="P58">
        <f>IF($N58="","",N(INDEX('Cronograma R. Financiero'!$W$5:$W$1000,$N58)))</f>
        <v/>
      </c>
      <c r="Q58">
        <f>IF(OR(LEFT($L58,7)="Vencida",LEFT($L58,5)="Vence"),SUMPRODUCT(--(LEFT($L$5:$L58,7)="Vencida"))+SUMPRODUCT(--(LEFT($L$5:$L58,5)="Vence")),"")</f>
        <v/>
      </c>
    </row>
    <row r="59">
      <c r="A59" s="56">
        <f>IF($N59="","",INDEX('Cronograma R. Financiero'!$A$5:$A$1000,$N59))</f>
        <v/>
      </c>
      <c r="B59" s="62">
        <f>IF($N59="","",IF($O59="Sub","      ↳  "&amp;INDEX('Cronograma R. Financiero'!$C$5:$C$1000,$N59),INDEX('Cronograma R. Financiero'!$C$5:$C$1000,$N59)&amp;""))</f>
        <v/>
      </c>
      <c r="C59" s="79">
        <f>IF($N59="","",IF(INDEX('Cronograma R. Financiero'!$AM$5:$AM$1000,$N59)="","",INDEX('Cronograma R. Financiero'!$AM$5:$AM$1000,$N59)))</f>
        <v/>
      </c>
      <c r="D59" s="79">
        <f>IF($N59="","",IF(INDEX('Cronograma R. Financiero'!$AN$5:$AN$1000,$N59)="","",INDEX('Cronograma R. Financiero'!$AN$5:$AN$1000,$N59)))</f>
        <v/>
      </c>
      <c r="E59" s="56">
        <f>IF($N59="","",IF(NOT(ISNUMBER($D59)),"",IF($D59&lt;InicioCiclo,"Antes del ciclo",IF($D59&gt;=InicioCiclo+28,"Después del ciclo","Semana "&amp;(INT(($D59-InicioCiclo)/7)+1)))))</f>
        <v/>
      </c>
      <c r="F59" s="61">
        <f>IF($N59="","",IF($P59&gt;0,IF(1&lt;=SemanaActual,INDEX('Cronograma R. Financiero'!$AC$5:$AC$1000,$N59),""),IF(INDEX('Cronograma R. Financiero'!$I$5:$I$1000,$N59)="","",INDEX('Cronograma R. Financiero'!$I$5:$I$1000,$N59))))</f>
        <v/>
      </c>
      <c r="G59" s="61">
        <f>IF($N59="","",IF($P59&gt;0,IF(2&lt;=SemanaActual,INDEX('Cronograma R. Financiero'!$AD$5:$AD$1000,$N59),""),IF(INDEX('Cronograma R. Financiero'!$J$5:$J$1000,$N59)="","",INDEX('Cronograma R. Financiero'!$J$5:$J$1000,$N59))))</f>
        <v/>
      </c>
      <c r="H59" s="61">
        <f>IF($N59="","",IF($P59&gt;0,IF(3&lt;=SemanaActual,INDEX('Cronograma R. Financiero'!$AE$5:$AE$1000,$N59),""),IF(INDEX('Cronograma R. Financiero'!$K$5:$K$1000,$N59)="","",INDEX('Cronograma R. Financiero'!$K$5:$K$1000,$N59))))</f>
        <v/>
      </c>
      <c r="I59" s="61">
        <f>IF($N59="","",IF($P59&gt;0,IF(4&lt;=SemanaActual,INDEX('Cronograma R. Financiero'!$AF$5:$AF$1000,$N59),""),IF(INDEX('Cronograma R. Financiero'!$L$5:$L$1000,$N59)="","",INDEX('Cronograma R. Financiero'!$L$5:$L$1000,$N59))))</f>
        <v/>
      </c>
      <c r="J59" s="61">
        <f>IF($N59="","",INDEX('Cronograma R. Financiero'!$M$5:$M$1000,$N59))</f>
        <v/>
      </c>
      <c r="K59" s="56">
        <f>IF($N59="","",IF(N($J59)&gt;=1,"Completado",IF(AND(ISNUMBER($D59),$D59&lt;FechaRef),"Vencida",IF(N($J59)&gt;0,"En curso","Pendiente"))))</f>
        <v/>
      </c>
      <c r="L59" s="56">
        <f>IF($N59="","",INDEX('Cronograma R. Financiero'!$O$5:$O$1000,$N59)&amp;"")</f>
        <v/>
      </c>
      <c r="M59" s="62">
        <f>IF($N59="","",INDEX('Cronograma R. Financiero'!$Q$5:$Q$1000,$N59)&amp;"")</f>
        <v/>
      </c>
      <c r="N59">
        <f>IFERROR(MATCH(ROW()-4,rOrden_RF,0),"")</f>
        <v/>
      </c>
      <c r="O59">
        <f>IF($N59="","",INDEX('Cronograma R. Financiero'!$V$5:$V$1000,$N59))</f>
        <v/>
      </c>
      <c r="P59">
        <f>IF($N59="","",N(INDEX('Cronograma R. Financiero'!$W$5:$W$1000,$N59)))</f>
        <v/>
      </c>
      <c r="Q59">
        <f>IF(OR(LEFT($L59,7)="Vencida",LEFT($L59,5)="Vence"),SUMPRODUCT(--(LEFT($L$5:$L59,7)="Vencida"))+SUMPRODUCT(--(LEFT($L$5:$L59,5)="Vence")),"")</f>
        <v/>
      </c>
    </row>
    <row r="60">
      <c r="A60" s="56">
        <f>IF($N60="","",INDEX('Cronograma R. Financiero'!$A$5:$A$1000,$N60))</f>
        <v/>
      </c>
      <c r="B60" s="62">
        <f>IF($N60="","",IF($O60="Sub","      ↳  "&amp;INDEX('Cronograma R. Financiero'!$C$5:$C$1000,$N60),INDEX('Cronograma R. Financiero'!$C$5:$C$1000,$N60)&amp;""))</f>
        <v/>
      </c>
      <c r="C60" s="79">
        <f>IF($N60="","",IF(INDEX('Cronograma R. Financiero'!$AM$5:$AM$1000,$N60)="","",INDEX('Cronograma R. Financiero'!$AM$5:$AM$1000,$N60)))</f>
        <v/>
      </c>
      <c r="D60" s="79">
        <f>IF($N60="","",IF(INDEX('Cronograma R. Financiero'!$AN$5:$AN$1000,$N60)="","",INDEX('Cronograma R. Financiero'!$AN$5:$AN$1000,$N60)))</f>
        <v/>
      </c>
      <c r="E60" s="56">
        <f>IF($N60="","",IF(NOT(ISNUMBER($D60)),"",IF($D60&lt;InicioCiclo,"Antes del ciclo",IF($D60&gt;=InicioCiclo+28,"Después del ciclo","Semana "&amp;(INT(($D60-InicioCiclo)/7)+1)))))</f>
        <v/>
      </c>
      <c r="F60" s="61">
        <f>IF($N60="","",IF($P60&gt;0,IF(1&lt;=SemanaActual,INDEX('Cronograma R. Financiero'!$AC$5:$AC$1000,$N60),""),IF(INDEX('Cronograma R. Financiero'!$I$5:$I$1000,$N60)="","",INDEX('Cronograma R. Financiero'!$I$5:$I$1000,$N60))))</f>
        <v/>
      </c>
      <c r="G60" s="61">
        <f>IF($N60="","",IF($P60&gt;0,IF(2&lt;=SemanaActual,INDEX('Cronograma R. Financiero'!$AD$5:$AD$1000,$N60),""),IF(INDEX('Cronograma R. Financiero'!$J$5:$J$1000,$N60)="","",INDEX('Cronograma R. Financiero'!$J$5:$J$1000,$N60))))</f>
        <v/>
      </c>
      <c r="H60" s="61">
        <f>IF($N60="","",IF($P60&gt;0,IF(3&lt;=SemanaActual,INDEX('Cronograma R. Financiero'!$AE$5:$AE$1000,$N60),""),IF(INDEX('Cronograma R. Financiero'!$K$5:$K$1000,$N60)="","",INDEX('Cronograma R. Financiero'!$K$5:$K$1000,$N60))))</f>
        <v/>
      </c>
      <c r="I60" s="61">
        <f>IF($N60="","",IF($P60&gt;0,IF(4&lt;=SemanaActual,INDEX('Cronograma R. Financiero'!$AF$5:$AF$1000,$N60),""),IF(INDEX('Cronograma R. Financiero'!$L$5:$L$1000,$N60)="","",INDEX('Cronograma R. Financiero'!$L$5:$L$1000,$N60))))</f>
        <v/>
      </c>
      <c r="J60" s="61">
        <f>IF($N60="","",INDEX('Cronograma R. Financiero'!$M$5:$M$1000,$N60))</f>
        <v/>
      </c>
      <c r="K60" s="56">
        <f>IF($N60="","",IF(N($J60)&gt;=1,"Completado",IF(AND(ISNUMBER($D60),$D60&lt;FechaRef),"Vencida",IF(N($J60)&gt;0,"En curso","Pendiente"))))</f>
        <v/>
      </c>
      <c r="L60" s="56">
        <f>IF($N60="","",INDEX('Cronograma R. Financiero'!$O$5:$O$1000,$N60)&amp;"")</f>
        <v/>
      </c>
      <c r="M60" s="62">
        <f>IF($N60="","",INDEX('Cronograma R. Financiero'!$Q$5:$Q$1000,$N60)&amp;"")</f>
        <v/>
      </c>
      <c r="N60">
        <f>IFERROR(MATCH(ROW()-4,rOrden_RF,0),"")</f>
        <v/>
      </c>
      <c r="O60">
        <f>IF($N60="","",INDEX('Cronograma R. Financiero'!$V$5:$V$1000,$N60))</f>
        <v/>
      </c>
      <c r="P60">
        <f>IF($N60="","",N(INDEX('Cronograma R. Financiero'!$W$5:$W$1000,$N60)))</f>
        <v/>
      </c>
      <c r="Q60">
        <f>IF(OR(LEFT($L60,7)="Vencida",LEFT($L60,5)="Vence"),SUMPRODUCT(--(LEFT($L$5:$L60,7)="Vencida"))+SUMPRODUCT(--(LEFT($L$5:$L60,5)="Vence")),"")</f>
        <v/>
      </c>
    </row>
    <row r="61">
      <c r="A61" s="56">
        <f>IF($N61="","",INDEX('Cronograma R. Financiero'!$A$5:$A$1000,$N61))</f>
        <v/>
      </c>
      <c r="B61" s="62">
        <f>IF($N61="","",IF($O61="Sub","      ↳  "&amp;INDEX('Cronograma R. Financiero'!$C$5:$C$1000,$N61),INDEX('Cronograma R. Financiero'!$C$5:$C$1000,$N61)&amp;""))</f>
        <v/>
      </c>
      <c r="C61" s="79">
        <f>IF($N61="","",IF(INDEX('Cronograma R. Financiero'!$AM$5:$AM$1000,$N61)="","",INDEX('Cronograma R. Financiero'!$AM$5:$AM$1000,$N61)))</f>
        <v/>
      </c>
      <c r="D61" s="79">
        <f>IF($N61="","",IF(INDEX('Cronograma R. Financiero'!$AN$5:$AN$1000,$N61)="","",INDEX('Cronograma R. Financiero'!$AN$5:$AN$1000,$N61)))</f>
        <v/>
      </c>
      <c r="E61" s="56">
        <f>IF($N61="","",IF(NOT(ISNUMBER($D61)),"",IF($D61&lt;InicioCiclo,"Antes del ciclo",IF($D61&gt;=InicioCiclo+28,"Después del ciclo","Semana "&amp;(INT(($D61-InicioCiclo)/7)+1)))))</f>
        <v/>
      </c>
      <c r="F61" s="61">
        <f>IF($N61="","",IF($P61&gt;0,IF(1&lt;=SemanaActual,INDEX('Cronograma R. Financiero'!$AC$5:$AC$1000,$N61),""),IF(INDEX('Cronograma R. Financiero'!$I$5:$I$1000,$N61)="","",INDEX('Cronograma R. Financiero'!$I$5:$I$1000,$N61))))</f>
        <v/>
      </c>
      <c r="G61" s="61">
        <f>IF($N61="","",IF($P61&gt;0,IF(2&lt;=SemanaActual,INDEX('Cronograma R. Financiero'!$AD$5:$AD$1000,$N61),""),IF(INDEX('Cronograma R. Financiero'!$J$5:$J$1000,$N61)="","",INDEX('Cronograma R. Financiero'!$J$5:$J$1000,$N61))))</f>
        <v/>
      </c>
      <c r="H61" s="61">
        <f>IF($N61="","",IF($P61&gt;0,IF(3&lt;=SemanaActual,INDEX('Cronograma R. Financiero'!$AE$5:$AE$1000,$N61),""),IF(INDEX('Cronograma R. Financiero'!$K$5:$K$1000,$N61)="","",INDEX('Cronograma R. Financiero'!$K$5:$K$1000,$N61))))</f>
        <v/>
      </c>
      <c r="I61" s="61">
        <f>IF($N61="","",IF($P61&gt;0,IF(4&lt;=SemanaActual,INDEX('Cronograma R. Financiero'!$AF$5:$AF$1000,$N61),""),IF(INDEX('Cronograma R. Financiero'!$L$5:$L$1000,$N61)="","",INDEX('Cronograma R. Financiero'!$L$5:$L$1000,$N61))))</f>
        <v/>
      </c>
      <c r="J61" s="61">
        <f>IF($N61="","",INDEX('Cronograma R. Financiero'!$M$5:$M$1000,$N61))</f>
        <v/>
      </c>
      <c r="K61" s="56">
        <f>IF($N61="","",IF(N($J61)&gt;=1,"Completado",IF(AND(ISNUMBER($D61),$D61&lt;FechaRef),"Vencida",IF(N($J61)&gt;0,"En curso","Pendiente"))))</f>
        <v/>
      </c>
      <c r="L61" s="56">
        <f>IF($N61="","",INDEX('Cronograma R. Financiero'!$O$5:$O$1000,$N61)&amp;"")</f>
        <v/>
      </c>
      <c r="M61" s="62">
        <f>IF($N61="","",INDEX('Cronograma R. Financiero'!$Q$5:$Q$1000,$N61)&amp;"")</f>
        <v/>
      </c>
      <c r="N61">
        <f>IFERROR(MATCH(ROW()-4,rOrden_RF,0),"")</f>
        <v/>
      </c>
      <c r="O61">
        <f>IF($N61="","",INDEX('Cronograma R. Financiero'!$V$5:$V$1000,$N61))</f>
        <v/>
      </c>
      <c r="P61">
        <f>IF($N61="","",N(INDEX('Cronograma R. Financiero'!$W$5:$W$1000,$N61)))</f>
        <v/>
      </c>
      <c r="Q61">
        <f>IF(OR(LEFT($L61,7)="Vencida",LEFT($L61,5)="Vence"),SUMPRODUCT(--(LEFT($L$5:$L61,7)="Vencida"))+SUMPRODUCT(--(LEFT($L$5:$L61,5)="Vence")),"")</f>
        <v/>
      </c>
    </row>
    <row r="62">
      <c r="A62" s="56">
        <f>IF($N62="","",INDEX('Cronograma R. Financiero'!$A$5:$A$1000,$N62))</f>
        <v/>
      </c>
      <c r="B62" s="62">
        <f>IF($N62="","",IF($O62="Sub","      ↳  "&amp;INDEX('Cronograma R. Financiero'!$C$5:$C$1000,$N62),INDEX('Cronograma R. Financiero'!$C$5:$C$1000,$N62)&amp;""))</f>
        <v/>
      </c>
      <c r="C62" s="79">
        <f>IF($N62="","",IF(INDEX('Cronograma R. Financiero'!$AM$5:$AM$1000,$N62)="","",INDEX('Cronograma R. Financiero'!$AM$5:$AM$1000,$N62)))</f>
        <v/>
      </c>
      <c r="D62" s="79">
        <f>IF($N62="","",IF(INDEX('Cronograma R. Financiero'!$AN$5:$AN$1000,$N62)="","",INDEX('Cronograma R. Financiero'!$AN$5:$AN$1000,$N62)))</f>
        <v/>
      </c>
      <c r="E62" s="56">
        <f>IF($N62="","",IF(NOT(ISNUMBER($D62)),"",IF($D62&lt;InicioCiclo,"Antes del ciclo",IF($D62&gt;=InicioCiclo+28,"Después del ciclo","Semana "&amp;(INT(($D62-InicioCiclo)/7)+1)))))</f>
        <v/>
      </c>
      <c r="F62" s="61">
        <f>IF($N62="","",IF($P62&gt;0,IF(1&lt;=SemanaActual,INDEX('Cronograma R. Financiero'!$AC$5:$AC$1000,$N62),""),IF(INDEX('Cronograma R. Financiero'!$I$5:$I$1000,$N62)="","",INDEX('Cronograma R. Financiero'!$I$5:$I$1000,$N62))))</f>
        <v/>
      </c>
      <c r="G62" s="61">
        <f>IF($N62="","",IF($P62&gt;0,IF(2&lt;=SemanaActual,INDEX('Cronograma R. Financiero'!$AD$5:$AD$1000,$N62),""),IF(INDEX('Cronograma R. Financiero'!$J$5:$J$1000,$N62)="","",INDEX('Cronograma R. Financiero'!$J$5:$J$1000,$N62))))</f>
        <v/>
      </c>
      <c r="H62" s="61">
        <f>IF($N62="","",IF($P62&gt;0,IF(3&lt;=SemanaActual,INDEX('Cronograma R. Financiero'!$AE$5:$AE$1000,$N62),""),IF(INDEX('Cronograma R. Financiero'!$K$5:$K$1000,$N62)="","",INDEX('Cronograma R. Financiero'!$K$5:$K$1000,$N62))))</f>
        <v/>
      </c>
      <c r="I62" s="61">
        <f>IF($N62="","",IF($P62&gt;0,IF(4&lt;=SemanaActual,INDEX('Cronograma R. Financiero'!$AF$5:$AF$1000,$N62),""),IF(INDEX('Cronograma R. Financiero'!$L$5:$L$1000,$N62)="","",INDEX('Cronograma R. Financiero'!$L$5:$L$1000,$N62))))</f>
        <v/>
      </c>
      <c r="J62" s="61">
        <f>IF($N62="","",INDEX('Cronograma R. Financiero'!$M$5:$M$1000,$N62))</f>
        <v/>
      </c>
      <c r="K62" s="56">
        <f>IF($N62="","",IF(N($J62)&gt;=1,"Completado",IF(AND(ISNUMBER($D62),$D62&lt;FechaRef),"Vencida",IF(N($J62)&gt;0,"En curso","Pendiente"))))</f>
        <v/>
      </c>
      <c r="L62" s="56">
        <f>IF($N62="","",INDEX('Cronograma R. Financiero'!$O$5:$O$1000,$N62)&amp;"")</f>
        <v/>
      </c>
      <c r="M62" s="62">
        <f>IF($N62="","",INDEX('Cronograma R. Financiero'!$Q$5:$Q$1000,$N62)&amp;"")</f>
        <v/>
      </c>
      <c r="N62">
        <f>IFERROR(MATCH(ROW()-4,rOrden_RF,0),"")</f>
        <v/>
      </c>
      <c r="O62">
        <f>IF($N62="","",INDEX('Cronograma R. Financiero'!$V$5:$V$1000,$N62))</f>
        <v/>
      </c>
      <c r="P62">
        <f>IF($N62="","",N(INDEX('Cronograma R. Financiero'!$W$5:$W$1000,$N62)))</f>
        <v/>
      </c>
      <c r="Q62">
        <f>IF(OR(LEFT($L62,7)="Vencida",LEFT($L62,5)="Vence"),SUMPRODUCT(--(LEFT($L$5:$L62,7)="Vencida"))+SUMPRODUCT(--(LEFT($L$5:$L62,5)="Vence")),"")</f>
        <v/>
      </c>
    </row>
    <row r="63">
      <c r="A63" s="56">
        <f>IF($N63="","",INDEX('Cronograma R. Financiero'!$A$5:$A$1000,$N63))</f>
        <v/>
      </c>
      <c r="B63" s="62">
        <f>IF($N63="","",IF($O63="Sub","      ↳  "&amp;INDEX('Cronograma R. Financiero'!$C$5:$C$1000,$N63),INDEX('Cronograma R. Financiero'!$C$5:$C$1000,$N63)&amp;""))</f>
        <v/>
      </c>
      <c r="C63" s="79">
        <f>IF($N63="","",IF(INDEX('Cronograma R. Financiero'!$AM$5:$AM$1000,$N63)="","",INDEX('Cronograma R. Financiero'!$AM$5:$AM$1000,$N63)))</f>
        <v/>
      </c>
      <c r="D63" s="79">
        <f>IF($N63="","",IF(INDEX('Cronograma R. Financiero'!$AN$5:$AN$1000,$N63)="","",INDEX('Cronograma R. Financiero'!$AN$5:$AN$1000,$N63)))</f>
        <v/>
      </c>
      <c r="E63" s="56">
        <f>IF($N63="","",IF(NOT(ISNUMBER($D63)),"",IF($D63&lt;InicioCiclo,"Antes del ciclo",IF($D63&gt;=InicioCiclo+28,"Después del ciclo","Semana "&amp;(INT(($D63-InicioCiclo)/7)+1)))))</f>
        <v/>
      </c>
      <c r="F63" s="61">
        <f>IF($N63="","",IF($P63&gt;0,IF(1&lt;=SemanaActual,INDEX('Cronograma R. Financiero'!$AC$5:$AC$1000,$N63),""),IF(INDEX('Cronograma R. Financiero'!$I$5:$I$1000,$N63)="","",INDEX('Cronograma R. Financiero'!$I$5:$I$1000,$N63))))</f>
        <v/>
      </c>
      <c r="G63" s="61">
        <f>IF($N63="","",IF($P63&gt;0,IF(2&lt;=SemanaActual,INDEX('Cronograma R. Financiero'!$AD$5:$AD$1000,$N63),""),IF(INDEX('Cronograma R. Financiero'!$J$5:$J$1000,$N63)="","",INDEX('Cronograma R. Financiero'!$J$5:$J$1000,$N63))))</f>
        <v/>
      </c>
      <c r="H63" s="61">
        <f>IF($N63="","",IF($P63&gt;0,IF(3&lt;=SemanaActual,INDEX('Cronograma R. Financiero'!$AE$5:$AE$1000,$N63),""),IF(INDEX('Cronograma R. Financiero'!$K$5:$K$1000,$N63)="","",INDEX('Cronograma R. Financiero'!$K$5:$K$1000,$N63))))</f>
        <v/>
      </c>
      <c r="I63" s="61">
        <f>IF($N63="","",IF($P63&gt;0,IF(4&lt;=SemanaActual,INDEX('Cronograma R. Financiero'!$AF$5:$AF$1000,$N63),""),IF(INDEX('Cronograma R. Financiero'!$L$5:$L$1000,$N63)="","",INDEX('Cronograma R. Financiero'!$L$5:$L$1000,$N63))))</f>
        <v/>
      </c>
      <c r="J63" s="61">
        <f>IF($N63="","",INDEX('Cronograma R. Financiero'!$M$5:$M$1000,$N63))</f>
        <v/>
      </c>
      <c r="K63" s="56">
        <f>IF($N63="","",IF(N($J63)&gt;=1,"Completado",IF(AND(ISNUMBER($D63),$D63&lt;FechaRef),"Vencida",IF(N($J63)&gt;0,"En curso","Pendiente"))))</f>
        <v/>
      </c>
      <c r="L63" s="56">
        <f>IF($N63="","",INDEX('Cronograma R. Financiero'!$O$5:$O$1000,$N63)&amp;"")</f>
        <v/>
      </c>
      <c r="M63" s="62">
        <f>IF($N63="","",INDEX('Cronograma R. Financiero'!$Q$5:$Q$1000,$N63)&amp;"")</f>
        <v/>
      </c>
      <c r="N63">
        <f>IFERROR(MATCH(ROW()-4,rOrden_RF,0),"")</f>
        <v/>
      </c>
      <c r="O63">
        <f>IF($N63="","",INDEX('Cronograma R. Financiero'!$V$5:$V$1000,$N63))</f>
        <v/>
      </c>
      <c r="P63">
        <f>IF($N63="","",N(INDEX('Cronograma R. Financiero'!$W$5:$W$1000,$N63)))</f>
        <v/>
      </c>
      <c r="Q63">
        <f>IF(OR(LEFT($L63,7)="Vencida",LEFT($L63,5)="Vence"),SUMPRODUCT(--(LEFT($L$5:$L63,7)="Vencida"))+SUMPRODUCT(--(LEFT($L$5:$L63,5)="Vence")),"")</f>
        <v/>
      </c>
    </row>
    <row r="64">
      <c r="A64" s="56">
        <f>IF($N64="","",INDEX('Cronograma R. Financiero'!$A$5:$A$1000,$N64))</f>
        <v/>
      </c>
      <c r="B64" s="62">
        <f>IF($N64="","",IF($O64="Sub","      ↳  "&amp;INDEX('Cronograma R. Financiero'!$C$5:$C$1000,$N64),INDEX('Cronograma R. Financiero'!$C$5:$C$1000,$N64)&amp;""))</f>
        <v/>
      </c>
      <c r="C64" s="79">
        <f>IF($N64="","",IF(INDEX('Cronograma R. Financiero'!$AM$5:$AM$1000,$N64)="","",INDEX('Cronograma R. Financiero'!$AM$5:$AM$1000,$N64)))</f>
        <v/>
      </c>
      <c r="D64" s="79">
        <f>IF($N64="","",IF(INDEX('Cronograma R. Financiero'!$AN$5:$AN$1000,$N64)="","",INDEX('Cronograma R. Financiero'!$AN$5:$AN$1000,$N64)))</f>
        <v/>
      </c>
      <c r="E64" s="56">
        <f>IF($N64="","",IF(NOT(ISNUMBER($D64)),"",IF($D64&lt;InicioCiclo,"Antes del ciclo",IF($D64&gt;=InicioCiclo+28,"Después del ciclo","Semana "&amp;(INT(($D64-InicioCiclo)/7)+1)))))</f>
        <v/>
      </c>
      <c r="F64" s="61">
        <f>IF($N64="","",IF($P64&gt;0,IF(1&lt;=SemanaActual,INDEX('Cronograma R. Financiero'!$AC$5:$AC$1000,$N64),""),IF(INDEX('Cronograma R. Financiero'!$I$5:$I$1000,$N64)="","",INDEX('Cronograma R. Financiero'!$I$5:$I$1000,$N64))))</f>
        <v/>
      </c>
      <c r="G64" s="61">
        <f>IF($N64="","",IF($P64&gt;0,IF(2&lt;=SemanaActual,INDEX('Cronograma R. Financiero'!$AD$5:$AD$1000,$N64),""),IF(INDEX('Cronograma R. Financiero'!$J$5:$J$1000,$N64)="","",INDEX('Cronograma R. Financiero'!$J$5:$J$1000,$N64))))</f>
        <v/>
      </c>
      <c r="H64" s="61">
        <f>IF($N64="","",IF($P64&gt;0,IF(3&lt;=SemanaActual,INDEX('Cronograma R. Financiero'!$AE$5:$AE$1000,$N64),""),IF(INDEX('Cronograma R. Financiero'!$K$5:$K$1000,$N64)="","",INDEX('Cronograma R. Financiero'!$K$5:$K$1000,$N64))))</f>
        <v/>
      </c>
      <c r="I64" s="61">
        <f>IF($N64="","",IF($P64&gt;0,IF(4&lt;=SemanaActual,INDEX('Cronograma R. Financiero'!$AF$5:$AF$1000,$N64),""),IF(INDEX('Cronograma R. Financiero'!$L$5:$L$1000,$N64)="","",INDEX('Cronograma R. Financiero'!$L$5:$L$1000,$N64))))</f>
        <v/>
      </c>
      <c r="J64" s="61">
        <f>IF($N64="","",INDEX('Cronograma R. Financiero'!$M$5:$M$1000,$N64))</f>
        <v/>
      </c>
      <c r="K64" s="56">
        <f>IF($N64="","",IF(N($J64)&gt;=1,"Completado",IF(AND(ISNUMBER($D64),$D64&lt;FechaRef),"Vencida",IF(N($J64)&gt;0,"En curso","Pendiente"))))</f>
        <v/>
      </c>
      <c r="L64" s="56">
        <f>IF($N64="","",INDEX('Cronograma R. Financiero'!$O$5:$O$1000,$N64)&amp;"")</f>
        <v/>
      </c>
      <c r="M64" s="62">
        <f>IF($N64="","",INDEX('Cronograma R. Financiero'!$Q$5:$Q$1000,$N64)&amp;"")</f>
        <v/>
      </c>
      <c r="N64">
        <f>IFERROR(MATCH(ROW()-4,rOrden_RF,0),"")</f>
        <v/>
      </c>
      <c r="O64">
        <f>IF($N64="","",INDEX('Cronograma R. Financiero'!$V$5:$V$1000,$N64))</f>
        <v/>
      </c>
      <c r="P64">
        <f>IF($N64="","",N(INDEX('Cronograma R. Financiero'!$W$5:$W$1000,$N64)))</f>
        <v/>
      </c>
      <c r="Q64">
        <f>IF(OR(LEFT($L64,7)="Vencida",LEFT($L64,5)="Vence"),SUMPRODUCT(--(LEFT($L$5:$L64,7)="Vencida"))+SUMPRODUCT(--(LEFT($L$5:$L64,5)="Vence")),"")</f>
        <v/>
      </c>
    </row>
    <row r="65">
      <c r="A65" s="56">
        <f>IF($N65="","",INDEX('Cronograma R. Financiero'!$A$5:$A$1000,$N65))</f>
        <v/>
      </c>
      <c r="B65" s="62">
        <f>IF($N65="","",IF($O65="Sub","      ↳  "&amp;INDEX('Cronograma R. Financiero'!$C$5:$C$1000,$N65),INDEX('Cronograma R. Financiero'!$C$5:$C$1000,$N65)&amp;""))</f>
        <v/>
      </c>
      <c r="C65" s="79">
        <f>IF($N65="","",IF(INDEX('Cronograma R. Financiero'!$AM$5:$AM$1000,$N65)="","",INDEX('Cronograma R. Financiero'!$AM$5:$AM$1000,$N65)))</f>
        <v/>
      </c>
      <c r="D65" s="79">
        <f>IF($N65="","",IF(INDEX('Cronograma R. Financiero'!$AN$5:$AN$1000,$N65)="","",INDEX('Cronograma R. Financiero'!$AN$5:$AN$1000,$N65)))</f>
        <v/>
      </c>
      <c r="E65" s="56">
        <f>IF($N65="","",IF(NOT(ISNUMBER($D65)),"",IF($D65&lt;InicioCiclo,"Antes del ciclo",IF($D65&gt;=InicioCiclo+28,"Después del ciclo","Semana "&amp;(INT(($D65-InicioCiclo)/7)+1)))))</f>
        <v/>
      </c>
      <c r="F65" s="61">
        <f>IF($N65="","",IF($P65&gt;0,IF(1&lt;=SemanaActual,INDEX('Cronograma R. Financiero'!$AC$5:$AC$1000,$N65),""),IF(INDEX('Cronograma R. Financiero'!$I$5:$I$1000,$N65)="","",INDEX('Cronograma R. Financiero'!$I$5:$I$1000,$N65))))</f>
        <v/>
      </c>
      <c r="G65" s="61">
        <f>IF($N65="","",IF($P65&gt;0,IF(2&lt;=SemanaActual,INDEX('Cronograma R. Financiero'!$AD$5:$AD$1000,$N65),""),IF(INDEX('Cronograma R. Financiero'!$J$5:$J$1000,$N65)="","",INDEX('Cronograma R. Financiero'!$J$5:$J$1000,$N65))))</f>
        <v/>
      </c>
      <c r="H65" s="61">
        <f>IF($N65="","",IF($P65&gt;0,IF(3&lt;=SemanaActual,INDEX('Cronograma R. Financiero'!$AE$5:$AE$1000,$N65),""),IF(INDEX('Cronograma R. Financiero'!$K$5:$K$1000,$N65)="","",INDEX('Cronograma R. Financiero'!$K$5:$K$1000,$N65))))</f>
        <v/>
      </c>
      <c r="I65" s="61">
        <f>IF($N65="","",IF($P65&gt;0,IF(4&lt;=SemanaActual,INDEX('Cronograma R. Financiero'!$AF$5:$AF$1000,$N65),""),IF(INDEX('Cronograma R. Financiero'!$L$5:$L$1000,$N65)="","",INDEX('Cronograma R. Financiero'!$L$5:$L$1000,$N65))))</f>
        <v/>
      </c>
      <c r="J65" s="61">
        <f>IF($N65="","",INDEX('Cronograma R. Financiero'!$M$5:$M$1000,$N65))</f>
        <v/>
      </c>
      <c r="K65" s="56">
        <f>IF($N65="","",IF(N($J65)&gt;=1,"Completado",IF(AND(ISNUMBER($D65),$D65&lt;FechaRef),"Vencida",IF(N($J65)&gt;0,"En curso","Pendiente"))))</f>
        <v/>
      </c>
      <c r="L65" s="56">
        <f>IF($N65="","",INDEX('Cronograma R. Financiero'!$O$5:$O$1000,$N65)&amp;"")</f>
        <v/>
      </c>
      <c r="M65" s="62">
        <f>IF($N65="","",INDEX('Cronograma R. Financiero'!$Q$5:$Q$1000,$N65)&amp;"")</f>
        <v/>
      </c>
      <c r="N65">
        <f>IFERROR(MATCH(ROW()-4,rOrden_RF,0),"")</f>
        <v/>
      </c>
      <c r="O65">
        <f>IF($N65="","",INDEX('Cronograma R. Financiero'!$V$5:$V$1000,$N65))</f>
        <v/>
      </c>
      <c r="P65">
        <f>IF($N65="","",N(INDEX('Cronograma R. Financiero'!$W$5:$W$1000,$N65)))</f>
        <v/>
      </c>
      <c r="Q65">
        <f>IF(OR(LEFT($L65,7)="Vencida",LEFT($L65,5)="Vence"),SUMPRODUCT(--(LEFT($L$5:$L65,7)="Vencida"))+SUMPRODUCT(--(LEFT($L$5:$L65,5)="Vence")),"")</f>
        <v/>
      </c>
    </row>
    <row r="66">
      <c r="A66" s="56">
        <f>IF($N66="","",INDEX('Cronograma R. Financiero'!$A$5:$A$1000,$N66))</f>
        <v/>
      </c>
      <c r="B66" s="62">
        <f>IF($N66="","",IF($O66="Sub","      ↳  "&amp;INDEX('Cronograma R. Financiero'!$C$5:$C$1000,$N66),INDEX('Cronograma R. Financiero'!$C$5:$C$1000,$N66)&amp;""))</f>
        <v/>
      </c>
      <c r="C66" s="79">
        <f>IF($N66="","",IF(INDEX('Cronograma R. Financiero'!$AM$5:$AM$1000,$N66)="","",INDEX('Cronograma R. Financiero'!$AM$5:$AM$1000,$N66)))</f>
        <v/>
      </c>
      <c r="D66" s="79">
        <f>IF($N66="","",IF(INDEX('Cronograma R. Financiero'!$AN$5:$AN$1000,$N66)="","",INDEX('Cronograma R. Financiero'!$AN$5:$AN$1000,$N66)))</f>
        <v/>
      </c>
      <c r="E66" s="56">
        <f>IF($N66="","",IF(NOT(ISNUMBER($D66)),"",IF($D66&lt;InicioCiclo,"Antes del ciclo",IF($D66&gt;=InicioCiclo+28,"Después del ciclo","Semana "&amp;(INT(($D66-InicioCiclo)/7)+1)))))</f>
        <v/>
      </c>
      <c r="F66" s="61">
        <f>IF($N66="","",IF($P66&gt;0,IF(1&lt;=SemanaActual,INDEX('Cronograma R. Financiero'!$AC$5:$AC$1000,$N66),""),IF(INDEX('Cronograma R. Financiero'!$I$5:$I$1000,$N66)="","",INDEX('Cronograma R. Financiero'!$I$5:$I$1000,$N66))))</f>
        <v/>
      </c>
      <c r="G66" s="61">
        <f>IF($N66="","",IF($P66&gt;0,IF(2&lt;=SemanaActual,INDEX('Cronograma R. Financiero'!$AD$5:$AD$1000,$N66),""),IF(INDEX('Cronograma R. Financiero'!$J$5:$J$1000,$N66)="","",INDEX('Cronograma R. Financiero'!$J$5:$J$1000,$N66))))</f>
        <v/>
      </c>
      <c r="H66" s="61">
        <f>IF($N66="","",IF($P66&gt;0,IF(3&lt;=SemanaActual,INDEX('Cronograma R. Financiero'!$AE$5:$AE$1000,$N66),""),IF(INDEX('Cronograma R. Financiero'!$K$5:$K$1000,$N66)="","",INDEX('Cronograma R. Financiero'!$K$5:$K$1000,$N66))))</f>
        <v/>
      </c>
      <c r="I66" s="61">
        <f>IF($N66="","",IF($P66&gt;0,IF(4&lt;=SemanaActual,INDEX('Cronograma R. Financiero'!$AF$5:$AF$1000,$N66),""),IF(INDEX('Cronograma R. Financiero'!$L$5:$L$1000,$N66)="","",INDEX('Cronograma R. Financiero'!$L$5:$L$1000,$N66))))</f>
        <v/>
      </c>
      <c r="J66" s="61">
        <f>IF($N66="","",INDEX('Cronograma R. Financiero'!$M$5:$M$1000,$N66))</f>
        <v/>
      </c>
      <c r="K66" s="56">
        <f>IF($N66="","",IF(N($J66)&gt;=1,"Completado",IF(AND(ISNUMBER($D66),$D66&lt;FechaRef),"Vencida",IF(N($J66)&gt;0,"En curso","Pendiente"))))</f>
        <v/>
      </c>
      <c r="L66" s="56">
        <f>IF($N66="","",INDEX('Cronograma R. Financiero'!$O$5:$O$1000,$N66)&amp;"")</f>
        <v/>
      </c>
      <c r="M66" s="62">
        <f>IF($N66="","",INDEX('Cronograma R. Financiero'!$Q$5:$Q$1000,$N66)&amp;"")</f>
        <v/>
      </c>
      <c r="N66">
        <f>IFERROR(MATCH(ROW()-4,rOrden_RF,0),"")</f>
        <v/>
      </c>
      <c r="O66">
        <f>IF($N66="","",INDEX('Cronograma R. Financiero'!$V$5:$V$1000,$N66))</f>
        <v/>
      </c>
      <c r="P66">
        <f>IF($N66="","",N(INDEX('Cronograma R. Financiero'!$W$5:$W$1000,$N66)))</f>
        <v/>
      </c>
      <c r="Q66">
        <f>IF(OR(LEFT($L66,7)="Vencida",LEFT($L66,5)="Vence"),SUMPRODUCT(--(LEFT($L$5:$L66,7)="Vencida"))+SUMPRODUCT(--(LEFT($L$5:$L66,5)="Vence")),"")</f>
        <v/>
      </c>
    </row>
    <row r="67">
      <c r="A67" s="56">
        <f>IF($N67="","",INDEX('Cronograma R. Financiero'!$A$5:$A$1000,$N67))</f>
        <v/>
      </c>
      <c r="B67" s="62">
        <f>IF($N67="","",IF($O67="Sub","      ↳  "&amp;INDEX('Cronograma R. Financiero'!$C$5:$C$1000,$N67),INDEX('Cronograma R. Financiero'!$C$5:$C$1000,$N67)&amp;""))</f>
        <v/>
      </c>
      <c r="C67" s="79">
        <f>IF($N67="","",IF(INDEX('Cronograma R. Financiero'!$AM$5:$AM$1000,$N67)="","",INDEX('Cronograma R. Financiero'!$AM$5:$AM$1000,$N67)))</f>
        <v/>
      </c>
      <c r="D67" s="79">
        <f>IF($N67="","",IF(INDEX('Cronograma R. Financiero'!$AN$5:$AN$1000,$N67)="","",INDEX('Cronograma R. Financiero'!$AN$5:$AN$1000,$N67)))</f>
        <v/>
      </c>
      <c r="E67" s="56">
        <f>IF($N67="","",IF(NOT(ISNUMBER($D67)),"",IF($D67&lt;InicioCiclo,"Antes del ciclo",IF($D67&gt;=InicioCiclo+28,"Después del ciclo","Semana "&amp;(INT(($D67-InicioCiclo)/7)+1)))))</f>
        <v/>
      </c>
      <c r="F67" s="61">
        <f>IF($N67="","",IF($P67&gt;0,IF(1&lt;=SemanaActual,INDEX('Cronograma R. Financiero'!$AC$5:$AC$1000,$N67),""),IF(INDEX('Cronograma R. Financiero'!$I$5:$I$1000,$N67)="","",INDEX('Cronograma R. Financiero'!$I$5:$I$1000,$N67))))</f>
        <v/>
      </c>
      <c r="G67" s="61">
        <f>IF($N67="","",IF($P67&gt;0,IF(2&lt;=SemanaActual,INDEX('Cronograma R. Financiero'!$AD$5:$AD$1000,$N67),""),IF(INDEX('Cronograma R. Financiero'!$J$5:$J$1000,$N67)="","",INDEX('Cronograma R. Financiero'!$J$5:$J$1000,$N67))))</f>
        <v/>
      </c>
      <c r="H67" s="61">
        <f>IF($N67="","",IF($P67&gt;0,IF(3&lt;=SemanaActual,INDEX('Cronograma R. Financiero'!$AE$5:$AE$1000,$N67),""),IF(INDEX('Cronograma R. Financiero'!$K$5:$K$1000,$N67)="","",INDEX('Cronograma R. Financiero'!$K$5:$K$1000,$N67))))</f>
        <v/>
      </c>
      <c r="I67" s="61">
        <f>IF($N67="","",IF($P67&gt;0,IF(4&lt;=SemanaActual,INDEX('Cronograma R. Financiero'!$AF$5:$AF$1000,$N67),""),IF(INDEX('Cronograma R. Financiero'!$L$5:$L$1000,$N67)="","",INDEX('Cronograma R. Financiero'!$L$5:$L$1000,$N67))))</f>
        <v/>
      </c>
      <c r="J67" s="61">
        <f>IF($N67="","",INDEX('Cronograma R. Financiero'!$M$5:$M$1000,$N67))</f>
        <v/>
      </c>
      <c r="K67" s="56">
        <f>IF($N67="","",IF(N($J67)&gt;=1,"Completado",IF(AND(ISNUMBER($D67),$D67&lt;FechaRef),"Vencida",IF(N($J67)&gt;0,"En curso","Pendiente"))))</f>
        <v/>
      </c>
      <c r="L67" s="56">
        <f>IF($N67="","",INDEX('Cronograma R. Financiero'!$O$5:$O$1000,$N67)&amp;"")</f>
        <v/>
      </c>
      <c r="M67" s="62">
        <f>IF($N67="","",INDEX('Cronograma R. Financiero'!$Q$5:$Q$1000,$N67)&amp;"")</f>
        <v/>
      </c>
      <c r="N67">
        <f>IFERROR(MATCH(ROW()-4,rOrden_RF,0),"")</f>
        <v/>
      </c>
      <c r="O67">
        <f>IF($N67="","",INDEX('Cronograma R. Financiero'!$V$5:$V$1000,$N67))</f>
        <v/>
      </c>
      <c r="P67">
        <f>IF($N67="","",N(INDEX('Cronograma R. Financiero'!$W$5:$W$1000,$N67)))</f>
        <v/>
      </c>
      <c r="Q67">
        <f>IF(OR(LEFT($L67,7)="Vencida",LEFT($L67,5)="Vence"),SUMPRODUCT(--(LEFT($L$5:$L67,7)="Vencida"))+SUMPRODUCT(--(LEFT($L$5:$L67,5)="Vence")),"")</f>
        <v/>
      </c>
    </row>
    <row r="68">
      <c r="A68" s="56">
        <f>IF($N68="","",INDEX('Cronograma R. Financiero'!$A$5:$A$1000,$N68))</f>
        <v/>
      </c>
      <c r="B68" s="62">
        <f>IF($N68="","",IF($O68="Sub","      ↳  "&amp;INDEX('Cronograma R. Financiero'!$C$5:$C$1000,$N68),INDEX('Cronograma R. Financiero'!$C$5:$C$1000,$N68)&amp;""))</f>
        <v/>
      </c>
      <c r="C68" s="79">
        <f>IF($N68="","",IF(INDEX('Cronograma R. Financiero'!$AM$5:$AM$1000,$N68)="","",INDEX('Cronograma R. Financiero'!$AM$5:$AM$1000,$N68)))</f>
        <v/>
      </c>
      <c r="D68" s="79">
        <f>IF($N68="","",IF(INDEX('Cronograma R. Financiero'!$AN$5:$AN$1000,$N68)="","",INDEX('Cronograma R. Financiero'!$AN$5:$AN$1000,$N68)))</f>
        <v/>
      </c>
      <c r="E68" s="56">
        <f>IF($N68="","",IF(NOT(ISNUMBER($D68)),"",IF($D68&lt;InicioCiclo,"Antes del ciclo",IF($D68&gt;=InicioCiclo+28,"Después del ciclo","Semana "&amp;(INT(($D68-InicioCiclo)/7)+1)))))</f>
        <v/>
      </c>
      <c r="F68" s="61">
        <f>IF($N68="","",IF($P68&gt;0,IF(1&lt;=SemanaActual,INDEX('Cronograma R. Financiero'!$AC$5:$AC$1000,$N68),""),IF(INDEX('Cronograma R. Financiero'!$I$5:$I$1000,$N68)="","",INDEX('Cronograma R. Financiero'!$I$5:$I$1000,$N68))))</f>
        <v/>
      </c>
      <c r="G68" s="61">
        <f>IF($N68="","",IF($P68&gt;0,IF(2&lt;=SemanaActual,INDEX('Cronograma R. Financiero'!$AD$5:$AD$1000,$N68),""),IF(INDEX('Cronograma R. Financiero'!$J$5:$J$1000,$N68)="","",INDEX('Cronograma R. Financiero'!$J$5:$J$1000,$N68))))</f>
        <v/>
      </c>
      <c r="H68" s="61">
        <f>IF($N68="","",IF($P68&gt;0,IF(3&lt;=SemanaActual,INDEX('Cronograma R. Financiero'!$AE$5:$AE$1000,$N68),""),IF(INDEX('Cronograma R. Financiero'!$K$5:$K$1000,$N68)="","",INDEX('Cronograma R. Financiero'!$K$5:$K$1000,$N68))))</f>
        <v/>
      </c>
      <c r="I68" s="61">
        <f>IF($N68="","",IF($P68&gt;0,IF(4&lt;=SemanaActual,INDEX('Cronograma R. Financiero'!$AF$5:$AF$1000,$N68),""),IF(INDEX('Cronograma R. Financiero'!$L$5:$L$1000,$N68)="","",INDEX('Cronograma R. Financiero'!$L$5:$L$1000,$N68))))</f>
        <v/>
      </c>
      <c r="J68" s="61">
        <f>IF($N68="","",INDEX('Cronograma R. Financiero'!$M$5:$M$1000,$N68))</f>
        <v/>
      </c>
      <c r="K68" s="56">
        <f>IF($N68="","",IF(N($J68)&gt;=1,"Completado",IF(AND(ISNUMBER($D68),$D68&lt;FechaRef),"Vencida",IF(N($J68)&gt;0,"En curso","Pendiente"))))</f>
        <v/>
      </c>
      <c r="L68" s="56">
        <f>IF($N68="","",INDEX('Cronograma R. Financiero'!$O$5:$O$1000,$N68)&amp;"")</f>
        <v/>
      </c>
      <c r="M68" s="62">
        <f>IF($N68="","",INDEX('Cronograma R. Financiero'!$Q$5:$Q$1000,$N68)&amp;"")</f>
        <v/>
      </c>
      <c r="N68">
        <f>IFERROR(MATCH(ROW()-4,rOrden_RF,0),"")</f>
        <v/>
      </c>
      <c r="O68">
        <f>IF($N68="","",INDEX('Cronograma R. Financiero'!$V$5:$V$1000,$N68))</f>
        <v/>
      </c>
      <c r="P68">
        <f>IF($N68="","",N(INDEX('Cronograma R. Financiero'!$W$5:$W$1000,$N68)))</f>
        <v/>
      </c>
      <c r="Q68">
        <f>IF(OR(LEFT($L68,7)="Vencida",LEFT($L68,5)="Vence"),SUMPRODUCT(--(LEFT($L$5:$L68,7)="Vencida"))+SUMPRODUCT(--(LEFT($L$5:$L68,5)="Vence")),"")</f>
        <v/>
      </c>
    </row>
    <row r="69">
      <c r="A69" s="56">
        <f>IF($N69="","",INDEX('Cronograma R. Financiero'!$A$5:$A$1000,$N69))</f>
        <v/>
      </c>
      <c r="B69" s="62">
        <f>IF($N69="","",IF($O69="Sub","      ↳  "&amp;INDEX('Cronograma R. Financiero'!$C$5:$C$1000,$N69),INDEX('Cronograma R. Financiero'!$C$5:$C$1000,$N69)&amp;""))</f>
        <v/>
      </c>
      <c r="C69" s="79">
        <f>IF($N69="","",IF(INDEX('Cronograma R. Financiero'!$AM$5:$AM$1000,$N69)="","",INDEX('Cronograma R. Financiero'!$AM$5:$AM$1000,$N69)))</f>
        <v/>
      </c>
      <c r="D69" s="79">
        <f>IF($N69="","",IF(INDEX('Cronograma R. Financiero'!$AN$5:$AN$1000,$N69)="","",INDEX('Cronograma R. Financiero'!$AN$5:$AN$1000,$N69)))</f>
        <v/>
      </c>
      <c r="E69" s="56">
        <f>IF($N69="","",IF(NOT(ISNUMBER($D69)),"",IF($D69&lt;InicioCiclo,"Antes del ciclo",IF($D69&gt;=InicioCiclo+28,"Después del ciclo","Semana "&amp;(INT(($D69-InicioCiclo)/7)+1)))))</f>
        <v/>
      </c>
      <c r="F69" s="61">
        <f>IF($N69="","",IF($P69&gt;0,IF(1&lt;=SemanaActual,INDEX('Cronograma R. Financiero'!$AC$5:$AC$1000,$N69),""),IF(INDEX('Cronograma R. Financiero'!$I$5:$I$1000,$N69)="","",INDEX('Cronograma R. Financiero'!$I$5:$I$1000,$N69))))</f>
        <v/>
      </c>
      <c r="G69" s="61">
        <f>IF($N69="","",IF($P69&gt;0,IF(2&lt;=SemanaActual,INDEX('Cronograma R. Financiero'!$AD$5:$AD$1000,$N69),""),IF(INDEX('Cronograma R. Financiero'!$J$5:$J$1000,$N69)="","",INDEX('Cronograma R. Financiero'!$J$5:$J$1000,$N69))))</f>
        <v/>
      </c>
      <c r="H69" s="61">
        <f>IF($N69="","",IF($P69&gt;0,IF(3&lt;=SemanaActual,INDEX('Cronograma R. Financiero'!$AE$5:$AE$1000,$N69),""),IF(INDEX('Cronograma R. Financiero'!$K$5:$K$1000,$N69)="","",INDEX('Cronograma R. Financiero'!$K$5:$K$1000,$N69))))</f>
        <v/>
      </c>
      <c r="I69" s="61">
        <f>IF($N69="","",IF($P69&gt;0,IF(4&lt;=SemanaActual,INDEX('Cronograma R. Financiero'!$AF$5:$AF$1000,$N69),""),IF(INDEX('Cronograma R. Financiero'!$L$5:$L$1000,$N69)="","",INDEX('Cronograma R. Financiero'!$L$5:$L$1000,$N69))))</f>
        <v/>
      </c>
      <c r="J69" s="61">
        <f>IF($N69="","",INDEX('Cronograma R. Financiero'!$M$5:$M$1000,$N69))</f>
        <v/>
      </c>
      <c r="K69" s="56">
        <f>IF($N69="","",IF(N($J69)&gt;=1,"Completado",IF(AND(ISNUMBER($D69),$D69&lt;FechaRef),"Vencida",IF(N($J69)&gt;0,"En curso","Pendiente"))))</f>
        <v/>
      </c>
      <c r="L69" s="56">
        <f>IF($N69="","",INDEX('Cronograma R. Financiero'!$O$5:$O$1000,$N69)&amp;"")</f>
        <v/>
      </c>
      <c r="M69" s="62">
        <f>IF($N69="","",INDEX('Cronograma R. Financiero'!$Q$5:$Q$1000,$N69)&amp;"")</f>
        <v/>
      </c>
      <c r="N69">
        <f>IFERROR(MATCH(ROW()-4,rOrden_RF,0),"")</f>
        <v/>
      </c>
      <c r="O69">
        <f>IF($N69="","",INDEX('Cronograma R. Financiero'!$V$5:$V$1000,$N69))</f>
        <v/>
      </c>
      <c r="P69">
        <f>IF($N69="","",N(INDEX('Cronograma R. Financiero'!$W$5:$W$1000,$N69)))</f>
        <v/>
      </c>
      <c r="Q69">
        <f>IF(OR(LEFT($L69,7)="Vencida",LEFT($L69,5)="Vence"),SUMPRODUCT(--(LEFT($L$5:$L69,7)="Vencida"))+SUMPRODUCT(--(LEFT($L$5:$L69,5)="Vence")),"")</f>
        <v/>
      </c>
    </row>
    <row r="70">
      <c r="A70" s="56">
        <f>IF($N70="","",INDEX('Cronograma R. Financiero'!$A$5:$A$1000,$N70))</f>
        <v/>
      </c>
      <c r="B70" s="62">
        <f>IF($N70="","",IF($O70="Sub","      ↳  "&amp;INDEX('Cronograma R. Financiero'!$C$5:$C$1000,$N70),INDEX('Cronograma R. Financiero'!$C$5:$C$1000,$N70)&amp;""))</f>
        <v/>
      </c>
      <c r="C70" s="79">
        <f>IF($N70="","",IF(INDEX('Cronograma R. Financiero'!$AM$5:$AM$1000,$N70)="","",INDEX('Cronograma R. Financiero'!$AM$5:$AM$1000,$N70)))</f>
        <v/>
      </c>
      <c r="D70" s="79">
        <f>IF($N70="","",IF(INDEX('Cronograma R. Financiero'!$AN$5:$AN$1000,$N70)="","",INDEX('Cronograma R. Financiero'!$AN$5:$AN$1000,$N70)))</f>
        <v/>
      </c>
      <c r="E70" s="56">
        <f>IF($N70="","",IF(NOT(ISNUMBER($D70)),"",IF($D70&lt;InicioCiclo,"Antes del ciclo",IF($D70&gt;=InicioCiclo+28,"Después del ciclo","Semana "&amp;(INT(($D70-InicioCiclo)/7)+1)))))</f>
        <v/>
      </c>
      <c r="F70" s="61">
        <f>IF($N70="","",IF($P70&gt;0,IF(1&lt;=SemanaActual,INDEX('Cronograma R. Financiero'!$AC$5:$AC$1000,$N70),""),IF(INDEX('Cronograma R. Financiero'!$I$5:$I$1000,$N70)="","",INDEX('Cronograma R. Financiero'!$I$5:$I$1000,$N70))))</f>
        <v/>
      </c>
      <c r="G70" s="61">
        <f>IF($N70="","",IF($P70&gt;0,IF(2&lt;=SemanaActual,INDEX('Cronograma R. Financiero'!$AD$5:$AD$1000,$N70),""),IF(INDEX('Cronograma R. Financiero'!$J$5:$J$1000,$N70)="","",INDEX('Cronograma R. Financiero'!$J$5:$J$1000,$N70))))</f>
        <v/>
      </c>
      <c r="H70" s="61">
        <f>IF($N70="","",IF($P70&gt;0,IF(3&lt;=SemanaActual,INDEX('Cronograma R. Financiero'!$AE$5:$AE$1000,$N70),""),IF(INDEX('Cronograma R. Financiero'!$K$5:$K$1000,$N70)="","",INDEX('Cronograma R. Financiero'!$K$5:$K$1000,$N70))))</f>
        <v/>
      </c>
      <c r="I70" s="61">
        <f>IF($N70="","",IF($P70&gt;0,IF(4&lt;=SemanaActual,INDEX('Cronograma R. Financiero'!$AF$5:$AF$1000,$N70),""),IF(INDEX('Cronograma R. Financiero'!$L$5:$L$1000,$N70)="","",INDEX('Cronograma R. Financiero'!$L$5:$L$1000,$N70))))</f>
        <v/>
      </c>
      <c r="J70" s="61">
        <f>IF($N70="","",INDEX('Cronograma R. Financiero'!$M$5:$M$1000,$N70))</f>
        <v/>
      </c>
      <c r="K70" s="56">
        <f>IF($N70="","",IF(N($J70)&gt;=1,"Completado",IF(AND(ISNUMBER($D70),$D70&lt;FechaRef),"Vencida",IF(N($J70)&gt;0,"En curso","Pendiente"))))</f>
        <v/>
      </c>
      <c r="L70" s="56">
        <f>IF($N70="","",INDEX('Cronograma R. Financiero'!$O$5:$O$1000,$N70)&amp;"")</f>
        <v/>
      </c>
      <c r="M70" s="62">
        <f>IF($N70="","",INDEX('Cronograma R. Financiero'!$Q$5:$Q$1000,$N70)&amp;"")</f>
        <v/>
      </c>
      <c r="N70">
        <f>IFERROR(MATCH(ROW()-4,rOrden_RF,0),"")</f>
        <v/>
      </c>
      <c r="O70">
        <f>IF($N70="","",INDEX('Cronograma R. Financiero'!$V$5:$V$1000,$N70))</f>
        <v/>
      </c>
      <c r="P70">
        <f>IF($N70="","",N(INDEX('Cronograma R. Financiero'!$W$5:$W$1000,$N70)))</f>
        <v/>
      </c>
      <c r="Q70">
        <f>IF(OR(LEFT($L70,7)="Vencida",LEFT($L70,5)="Vence"),SUMPRODUCT(--(LEFT($L$5:$L70,7)="Vencida"))+SUMPRODUCT(--(LEFT($L$5:$L70,5)="Vence")),"")</f>
        <v/>
      </c>
    </row>
    <row r="71">
      <c r="A71" s="56">
        <f>IF($N71="","",INDEX('Cronograma R. Financiero'!$A$5:$A$1000,$N71))</f>
        <v/>
      </c>
      <c r="B71" s="62">
        <f>IF($N71="","",IF($O71="Sub","      ↳  "&amp;INDEX('Cronograma R. Financiero'!$C$5:$C$1000,$N71),INDEX('Cronograma R. Financiero'!$C$5:$C$1000,$N71)&amp;""))</f>
        <v/>
      </c>
      <c r="C71" s="79">
        <f>IF($N71="","",IF(INDEX('Cronograma R. Financiero'!$AM$5:$AM$1000,$N71)="","",INDEX('Cronograma R. Financiero'!$AM$5:$AM$1000,$N71)))</f>
        <v/>
      </c>
      <c r="D71" s="79">
        <f>IF($N71="","",IF(INDEX('Cronograma R. Financiero'!$AN$5:$AN$1000,$N71)="","",INDEX('Cronograma R. Financiero'!$AN$5:$AN$1000,$N71)))</f>
        <v/>
      </c>
      <c r="E71" s="56">
        <f>IF($N71="","",IF(NOT(ISNUMBER($D71)),"",IF($D71&lt;InicioCiclo,"Antes del ciclo",IF($D71&gt;=InicioCiclo+28,"Después del ciclo","Semana "&amp;(INT(($D71-InicioCiclo)/7)+1)))))</f>
        <v/>
      </c>
      <c r="F71" s="61">
        <f>IF($N71="","",IF($P71&gt;0,IF(1&lt;=SemanaActual,INDEX('Cronograma R. Financiero'!$AC$5:$AC$1000,$N71),""),IF(INDEX('Cronograma R. Financiero'!$I$5:$I$1000,$N71)="","",INDEX('Cronograma R. Financiero'!$I$5:$I$1000,$N71))))</f>
        <v/>
      </c>
      <c r="G71" s="61">
        <f>IF($N71="","",IF($P71&gt;0,IF(2&lt;=SemanaActual,INDEX('Cronograma R. Financiero'!$AD$5:$AD$1000,$N71),""),IF(INDEX('Cronograma R. Financiero'!$J$5:$J$1000,$N71)="","",INDEX('Cronograma R. Financiero'!$J$5:$J$1000,$N71))))</f>
        <v/>
      </c>
      <c r="H71" s="61">
        <f>IF($N71="","",IF($P71&gt;0,IF(3&lt;=SemanaActual,INDEX('Cronograma R. Financiero'!$AE$5:$AE$1000,$N71),""),IF(INDEX('Cronograma R. Financiero'!$K$5:$K$1000,$N71)="","",INDEX('Cronograma R. Financiero'!$K$5:$K$1000,$N71))))</f>
        <v/>
      </c>
      <c r="I71" s="61">
        <f>IF($N71="","",IF($P71&gt;0,IF(4&lt;=SemanaActual,INDEX('Cronograma R. Financiero'!$AF$5:$AF$1000,$N71),""),IF(INDEX('Cronograma R. Financiero'!$L$5:$L$1000,$N71)="","",INDEX('Cronograma R. Financiero'!$L$5:$L$1000,$N71))))</f>
        <v/>
      </c>
      <c r="J71" s="61">
        <f>IF($N71="","",INDEX('Cronograma R. Financiero'!$M$5:$M$1000,$N71))</f>
        <v/>
      </c>
      <c r="K71" s="56">
        <f>IF($N71="","",IF(N($J71)&gt;=1,"Completado",IF(AND(ISNUMBER($D71),$D71&lt;FechaRef),"Vencida",IF(N($J71)&gt;0,"En curso","Pendiente"))))</f>
        <v/>
      </c>
      <c r="L71" s="56">
        <f>IF($N71="","",INDEX('Cronograma R. Financiero'!$O$5:$O$1000,$N71)&amp;"")</f>
        <v/>
      </c>
      <c r="M71" s="62">
        <f>IF($N71="","",INDEX('Cronograma R. Financiero'!$Q$5:$Q$1000,$N71)&amp;"")</f>
        <v/>
      </c>
      <c r="N71">
        <f>IFERROR(MATCH(ROW()-4,rOrden_RF,0),"")</f>
        <v/>
      </c>
      <c r="O71">
        <f>IF($N71="","",INDEX('Cronograma R. Financiero'!$V$5:$V$1000,$N71))</f>
        <v/>
      </c>
      <c r="P71">
        <f>IF($N71="","",N(INDEX('Cronograma R. Financiero'!$W$5:$W$1000,$N71)))</f>
        <v/>
      </c>
      <c r="Q71">
        <f>IF(OR(LEFT($L71,7)="Vencida",LEFT($L71,5)="Vence"),SUMPRODUCT(--(LEFT($L$5:$L71,7)="Vencida"))+SUMPRODUCT(--(LEFT($L$5:$L71,5)="Vence")),"")</f>
        <v/>
      </c>
    </row>
    <row r="72">
      <c r="A72" s="56">
        <f>IF($N72="","",INDEX('Cronograma R. Financiero'!$A$5:$A$1000,$N72))</f>
        <v/>
      </c>
      <c r="B72" s="62">
        <f>IF($N72="","",IF($O72="Sub","      ↳  "&amp;INDEX('Cronograma R. Financiero'!$C$5:$C$1000,$N72),INDEX('Cronograma R. Financiero'!$C$5:$C$1000,$N72)&amp;""))</f>
        <v/>
      </c>
      <c r="C72" s="79">
        <f>IF($N72="","",IF(INDEX('Cronograma R. Financiero'!$AM$5:$AM$1000,$N72)="","",INDEX('Cronograma R. Financiero'!$AM$5:$AM$1000,$N72)))</f>
        <v/>
      </c>
      <c r="D72" s="79">
        <f>IF($N72="","",IF(INDEX('Cronograma R. Financiero'!$AN$5:$AN$1000,$N72)="","",INDEX('Cronograma R. Financiero'!$AN$5:$AN$1000,$N72)))</f>
        <v/>
      </c>
      <c r="E72" s="56">
        <f>IF($N72="","",IF(NOT(ISNUMBER($D72)),"",IF($D72&lt;InicioCiclo,"Antes del ciclo",IF($D72&gt;=InicioCiclo+28,"Después del ciclo","Semana "&amp;(INT(($D72-InicioCiclo)/7)+1)))))</f>
        <v/>
      </c>
      <c r="F72" s="61">
        <f>IF($N72="","",IF($P72&gt;0,IF(1&lt;=SemanaActual,INDEX('Cronograma R. Financiero'!$AC$5:$AC$1000,$N72),""),IF(INDEX('Cronograma R. Financiero'!$I$5:$I$1000,$N72)="","",INDEX('Cronograma R. Financiero'!$I$5:$I$1000,$N72))))</f>
        <v/>
      </c>
      <c r="G72" s="61">
        <f>IF($N72="","",IF($P72&gt;0,IF(2&lt;=SemanaActual,INDEX('Cronograma R. Financiero'!$AD$5:$AD$1000,$N72),""),IF(INDEX('Cronograma R. Financiero'!$J$5:$J$1000,$N72)="","",INDEX('Cronograma R. Financiero'!$J$5:$J$1000,$N72))))</f>
        <v/>
      </c>
      <c r="H72" s="61">
        <f>IF($N72="","",IF($P72&gt;0,IF(3&lt;=SemanaActual,INDEX('Cronograma R. Financiero'!$AE$5:$AE$1000,$N72),""),IF(INDEX('Cronograma R. Financiero'!$K$5:$K$1000,$N72)="","",INDEX('Cronograma R. Financiero'!$K$5:$K$1000,$N72))))</f>
        <v/>
      </c>
      <c r="I72" s="61">
        <f>IF($N72="","",IF($P72&gt;0,IF(4&lt;=SemanaActual,INDEX('Cronograma R. Financiero'!$AF$5:$AF$1000,$N72),""),IF(INDEX('Cronograma R. Financiero'!$L$5:$L$1000,$N72)="","",INDEX('Cronograma R. Financiero'!$L$5:$L$1000,$N72))))</f>
        <v/>
      </c>
      <c r="J72" s="61">
        <f>IF($N72="","",INDEX('Cronograma R. Financiero'!$M$5:$M$1000,$N72))</f>
        <v/>
      </c>
      <c r="K72" s="56">
        <f>IF($N72="","",IF(N($J72)&gt;=1,"Completado",IF(AND(ISNUMBER($D72),$D72&lt;FechaRef),"Vencida",IF(N($J72)&gt;0,"En curso","Pendiente"))))</f>
        <v/>
      </c>
      <c r="L72" s="56">
        <f>IF($N72="","",INDEX('Cronograma R. Financiero'!$O$5:$O$1000,$N72)&amp;"")</f>
        <v/>
      </c>
      <c r="M72" s="62">
        <f>IF($N72="","",INDEX('Cronograma R. Financiero'!$Q$5:$Q$1000,$N72)&amp;"")</f>
        <v/>
      </c>
      <c r="N72">
        <f>IFERROR(MATCH(ROW()-4,rOrden_RF,0),"")</f>
        <v/>
      </c>
      <c r="O72">
        <f>IF($N72="","",INDEX('Cronograma R. Financiero'!$V$5:$V$1000,$N72))</f>
        <v/>
      </c>
      <c r="P72">
        <f>IF($N72="","",N(INDEX('Cronograma R. Financiero'!$W$5:$W$1000,$N72)))</f>
        <v/>
      </c>
      <c r="Q72">
        <f>IF(OR(LEFT($L72,7)="Vencida",LEFT($L72,5)="Vence"),SUMPRODUCT(--(LEFT($L$5:$L72,7)="Vencida"))+SUMPRODUCT(--(LEFT($L$5:$L72,5)="Vence")),"")</f>
        <v/>
      </c>
    </row>
    <row r="73">
      <c r="A73" s="56">
        <f>IF($N73="","",INDEX('Cronograma R. Financiero'!$A$5:$A$1000,$N73))</f>
        <v/>
      </c>
      <c r="B73" s="62">
        <f>IF($N73="","",IF($O73="Sub","      ↳  "&amp;INDEX('Cronograma R. Financiero'!$C$5:$C$1000,$N73),INDEX('Cronograma R. Financiero'!$C$5:$C$1000,$N73)&amp;""))</f>
        <v/>
      </c>
      <c r="C73" s="79">
        <f>IF($N73="","",IF(INDEX('Cronograma R. Financiero'!$AM$5:$AM$1000,$N73)="","",INDEX('Cronograma R. Financiero'!$AM$5:$AM$1000,$N73)))</f>
        <v/>
      </c>
      <c r="D73" s="79">
        <f>IF($N73="","",IF(INDEX('Cronograma R. Financiero'!$AN$5:$AN$1000,$N73)="","",INDEX('Cronograma R. Financiero'!$AN$5:$AN$1000,$N73)))</f>
        <v/>
      </c>
      <c r="E73" s="56">
        <f>IF($N73="","",IF(NOT(ISNUMBER($D73)),"",IF($D73&lt;InicioCiclo,"Antes del ciclo",IF($D73&gt;=InicioCiclo+28,"Después del ciclo","Semana "&amp;(INT(($D73-InicioCiclo)/7)+1)))))</f>
        <v/>
      </c>
      <c r="F73" s="61">
        <f>IF($N73="","",IF($P73&gt;0,IF(1&lt;=SemanaActual,INDEX('Cronograma R. Financiero'!$AC$5:$AC$1000,$N73),""),IF(INDEX('Cronograma R. Financiero'!$I$5:$I$1000,$N73)="","",INDEX('Cronograma R. Financiero'!$I$5:$I$1000,$N73))))</f>
        <v/>
      </c>
      <c r="G73" s="61">
        <f>IF($N73="","",IF($P73&gt;0,IF(2&lt;=SemanaActual,INDEX('Cronograma R. Financiero'!$AD$5:$AD$1000,$N73),""),IF(INDEX('Cronograma R. Financiero'!$J$5:$J$1000,$N73)="","",INDEX('Cronograma R. Financiero'!$J$5:$J$1000,$N73))))</f>
        <v/>
      </c>
      <c r="H73" s="61">
        <f>IF($N73="","",IF($P73&gt;0,IF(3&lt;=SemanaActual,INDEX('Cronograma R. Financiero'!$AE$5:$AE$1000,$N73),""),IF(INDEX('Cronograma R. Financiero'!$K$5:$K$1000,$N73)="","",INDEX('Cronograma R. Financiero'!$K$5:$K$1000,$N73))))</f>
        <v/>
      </c>
      <c r="I73" s="61">
        <f>IF($N73="","",IF($P73&gt;0,IF(4&lt;=SemanaActual,INDEX('Cronograma R. Financiero'!$AF$5:$AF$1000,$N73),""),IF(INDEX('Cronograma R. Financiero'!$L$5:$L$1000,$N73)="","",INDEX('Cronograma R. Financiero'!$L$5:$L$1000,$N73))))</f>
        <v/>
      </c>
      <c r="J73" s="61">
        <f>IF($N73="","",INDEX('Cronograma R. Financiero'!$M$5:$M$1000,$N73))</f>
        <v/>
      </c>
      <c r="K73" s="56">
        <f>IF($N73="","",IF(N($J73)&gt;=1,"Completado",IF(AND(ISNUMBER($D73),$D73&lt;FechaRef),"Vencida",IF(N($J73)&gt;0,"En curso","Pendiente"))))</f>
        <v/>
      </c>
      <c r="L73" s="56">
        <f>IF($N73="","",INDEX('Cronograma R. Financiero'!$O$5:$O$1000,$N73)&amp;"")</f>
        <v/>
      </c>
      <c r="M73" s="62">
        <f>IF($N73="","",INDEX('Cronograma R. Financiero'!$Q$5:$Q$1000,$N73)&amp;"")</f>
        <v/>
      </c>
      <c r="N73">
        <f>IFERROR(MATCH(ROW()-4,rOrden_RF,0),"")</f>
        <v/>
      </c>
      <c r="O73">
        <f>IF($N73="","",INDEX('Cronograma R. Financiero'!$V$5:$V$1000,$N73))</f>
        <v/>
      </c>
      <c r="P73">
        <f>IF($N73="","",N(INDEX('Cronograma R. Financiero'!$W$5:$W$1000,$N73)))</f>
        <v/>
      </c>
      <c r="Q73">
        <f>IF(OR(LEFT($L73,7)="Vencida",LEFT($L73,5)="Vence"),SUMPRODUCT(--(LEFT($L$5:$L73,7)="Vencida"))+SUMPRODUCT(--(LEFT($L$5:$L73,5)="Vence")),"")</f>
        <v/>
      </c>
    </row>
    <row r="74">
      <c r="A74" s="56">
        <f>IF($N74="","",INDEX('Cronograma R. Financiero'!$A$5:$A$1000,$N74))</f>
        <v/>
      </c>
      <c r="B74" s="62">
        <f>IF($N74="","",IF($O74="Sub","      ↳  "&amp;INDEX('Cronograma R. Financiero'!$C$5:$C$1000,$N74),INDEX('Cronograma R. Financiero'!$C$5:$C$1000,$N74)&amp;""))</f>
        <v/>
      </c>
      <c r="C74" s="79">
        <f>IF($N74="","",IF(INDEX('Cronograma R. Financiero'!$AM$5:$AM$1000,$N74)="","",INDEX('Cronograma R. Financiero'!$AM$5:$AM$1000,$N74)))</f>
        <v/>
      </c>
      <c r="D74" s="79">
        <f>IF($N74="","",IF(INDEX('Cronograma R. Financiero'!$AN$5:$AN$1000,$N74)="","",INDEX('Cronograma R. Financiero'!$AN$5:$AN$1000,$N74)))</f>
        <v/>
      </c>
      <c r="E74" s="56">
        <f>IF($N74="","",IF(NOT(ISNUMBER($D74)),"",IF($D74&lt;InicioCiclo,"Antes del ciclo",IF($D74&gt;=InicioCiclo+28,"Después del ciclo","Semana "&amp;(INT(($D74-InicioCiclo)/7)+1)))))</f>
        <v/>
      </c>
      <c r="F74" s="61">
        <f>IF($N74="","",IF($P74&gt;0,IF(1&lt;=SemanaActual,INDEX('Cronograma R. Financiero'!$AC$5:$AC$1000,$N74),""),IF(INDEX('Cronograma R. Financiero'!$I$5:$I$1000,$N74)="","",INDEX('Cronograma R. Financiero'!$I$5:$I$1000,$N74))))</f>
        <v/>
      </c>
      <c r="G74" s="61">
        <f>IF($N74="","",IF($P74&gt;0,IF(2&lt;=SemanaActual,INDEX('Cronograma R. Financiero'!$AD$5:$AD$1000,$N74),""),IF(INDEX('Cronograma R. Financiero'!$J$5:$J$1000,$N74)="","",INDEX('Cronograma R. Financiero'!$J$5:$J$1000,$N74))))</f>
        <v/>
      </c>
      <c r="H74" s="61">
        <f>IF($N74="","",IF($P74&gt;0,IF(3&lt;=SemanaActual,INDEX('Cronograma R. Financiero'!$AE$5:$AE$1000,$N74),""),IF(INDEX('Cronograma R. Financiero'!$K$5:$K$1000,$N74)="","",INDEX('Cronograma R. Financiero'!$K$5:$K$1000,$N74))))</f>
        <v/>
      </c>
      <c r="I74" s="61">
        <f>IF($N74="","",IF($P74&gt;0,IF(4&lt;=SemanaActual,INDEX('Cronograma R. Financiero'!$AF$5:$AF$1000,$N74),""),IF(INDEX('Cronograma R. Financiero'!$L$5:$L$1000,$N74)="","",INDEX('Cronograma R. Financiero'!$L$5:$L$1000,$N74))))</f>
        <v/>
      </c>
      <c r="J74" s="61">
        <f>IF($N74="","",INDEX('Cronograma R. Financiero'!$M$5:$M$1000,$N74))</f>
        <v/>
      </c>
      <c r="K74" s="56">
        <f>IF($N74="","",IF(N($J74)&gt;=1,"Completado",IF(AND(ISNUMBER($D74),$D74&lt;FechaRef),"Vencida",IF(N($J74)&gt;0,"En curso","Pendiente"))))</f>
        <v/>
      </c>
      <c r="L74" s="56">
        <f>IF($N74="","",INDEX('Cronograma R. Financiero'!$O$5:$O$1000,$N74)&amp;"")</f>
        <v/>
      </c>
      <c r="M74" s="62">
        <f>IF($N74="","",INDEX('Cronograma R. Financiero'!$Q$5:$Q$1000,$N74)&amp;"")</f>
        <v/>
      </c>
      <c r="N74">
        <f>IFERROR(MATCH(ROW()-4,rOrden_RF,0),"")</f>
        <v/>
      </c>
      <c r="O74">
        <f>IF($N74="","",INDEX('Cronograma R. Financiero'!$V$5:$V$1000,$N74))</f>
        <v/>
      </c>
      <c r="P74">
        <f>IF($N74="","",N(INDEX('Cronograma R. Financiero'!$W$5:$W$1000,$N74)))</f>
        <v/>
      </c>
      <c r="Q74">
        <f>IF(OR(LEFT($L74,7)="Vencida",LEFT($L74,5)="Vence"),SUMPRODUCT(--(LEFT($L$5:$L74,7)="Vencida"))+SUMPRODUCT(--(LEFT($L$5:$L74,5)="Vence")),"")</f>
        <v/>
      </c>
    </row>
    <row r="75">
      <c r="A75" s="56">
        <f>IF($N75="","",INDEX('Cronograma R. Financiero'!$A$5:$A$1000,$N75))</f>
        <v/>
      </c>
      <c r="B75" s="62">
        <f>IF($N75="","",IF($O75="Sub","      ↳  "&amp;INDEX('Cronograma R. Financiero'!$C$5:$C$1000,$N75),INDEX('Cronograma R. Financiero'!$C$5:$C$1000,$N75)&amp;""))</f>
        <v/>
      </c>
      <c r="C75" s="79">
        <f>IF($N75="","",IF(INDEX('Cronograma R. Financiero'!$AM$5:$AM$1000,$N75)="","",INDEX('Cronograma R. Financiero'!$AM$5:$AM$1000,$N75)))</f>
        <v/>
      </c>
      <c r="D75" s="79">
        <f>IF($N75="","",IF(INDEX('Cronograma R. Financiero'!$AN$5:$AN$1000,$N75)="","",INDEX('Cronograma R. Financiero'!$AN$5:$AN$1000,$N75)))</f>
        <v/>
      </c>
      <c r="E75" s="56">
        <f>IF($N75="","",IF(NOT(ISNUMBER($D75)),"",IF($D75&lt;InicioCiclo,"Antes del ciclo",IF($D75&gt;=InicioCiclo+28,"Después del ciclo","Semana "&amp;(INT(($D75-InicioCiclo)/7)+1)))))</f>
        <v/>
      </c>
      <c r="F75" s="61">
        <f>IF($N75="","",IF($P75&gt;0,IF(1&lt;=SemanaActual,INDEX('Cronograma R. Financiero'!$AC$5:$AC$1000,$N75),""),IF(INDEX('Cronograma R. Financiero'!$I$5:$I$1000,$N75)="","",INDEX('Cronograma R. Financiero'!$I$5:$I$1000,$N75))))</f>
        <v/>
      </c>
      <c r="G75" s="61">
        <f>IF($N75="","",IF($P75&gt;0,IF(2&lt;=SemanaActual,INDEX('Cronograma R. Financiero'!$AD$5:$AD$1000,$N75),""),IF(INDEX('Cronograma R. Financiero'!$J$5:$J$1000,$N75)="","",INDEX('Cronograma R. Financiero'!$J$5:$J$1000,$N75))))</f>
        <v/>
      </c>
      <c r="H75" s="61">
        <f>IF($N75="","",IF($P75&gt;0,IF(3&lt;=SemanaActual,INDEX('Cronograma R. Financiero'!$AE$5:$AE$1000,$N75),""),IF(INDEX('Cronograma R. Financiero'!$K$5:$K$1000,$N75)="","",INDEX('Cronograma R. Financiero'!$K$5:$K$1000,$N75))))</f>
        <v/>
      </c>
      <c r="I75" s="61">
        <f>IF($N75="","",IF($P75&gt;0,IF(4&lt;=SemanaActual,INDEX('Cronograma R. Financiero'!$AF$5:$AF$1000,$N75),""),IF(INDEX('Cronograma R. Financiero'!$L$5:$L$1000,$N75)="","",INDEX('Cronograma R. Financiero'!$L$5:$L$1000,$N75))))</f>
        <v/>
      </c>
      <c r="J75" s="61">
        <f>IF($N75="","",INDEX('Cronograma R. Financiero'!$M$5:$M$1000,$N75))</f>
        <v/>
      </c>
      <c r="K75" s="56">
        <f>IF($N75="","",IF(N($J75)&gt;=1,"Completado",IF(AND(ISNUMBER($D75),$D75&lt;FechaRef),"Vencida",IF(N($J75)&gt;0,"En curso","Pendiente"))))</f>
        <v/>
      </c>
      <c r="L75" s="56">
        <f>IF($N75="","",INDEX('Cronograma R. Financiero'!$O$5:$O$1000,$N75)&amp;"")</f>
        <v/>
      </c>
      <c r="M75" s="62">
        <f>IF($N75="","",INDEX('Cronograma R. Financiero'!$Q$5:$Q$1000,$N75)&amp;"")</f>
        <v/>
      </c>
      <c r="N75">
        <f>IFERROR(MATCH(ROW()-4,rOrden_RF,0),"")</f>
        <v/>
      </c>
      <c r="O75">
        <f>IF($N75="","",INDEX('Cronograma R. Financiero'!$V$5:$V$1000,$N75))</f>
        <v/>
      </c>
      <c r="P75">
        <f>IF($N75="","",N(INDEX('Cronograma R. Financiero'!$W$5:$W$1000,$N75)))</f>
        <v/>
      </c>
      <c r="Q75">
        <f>IF(OR(LEFT($L75,7)="Vencida",LEFT($L75,5)="Vence"),SUMPRODUCT(--(LEFT($L$5:$L75,7)="Vencida"))+SUMPRODUCT(--(LEFT($L$5:$L75,5)="Vence")),"")</f>
        <v/>
      </c>
    </row>
    <row r="76">
      <c r="A76" s="56">
        <f>IF($N76="","",INDEX('Cronograma R. Financiero'!$A$5:$A$1000,$N76))</f>
        <v/>
      </c>
      <c r="B76" s="62">
        <f>IF($N76="","",IF($O76="Sub","      ↳  "&amp;INDEX('Cronograma R. Financiero'!$C$5:$C$1000,$N76),INDEX('Cronograma R. Financiero'!$C$5:$C$1000,$N76)&amp;""))</f>
        <v/>
      </c>
      <c r="C76" s="79">
        <f>IF($N76="","",IF(INDEX('Cronograma R. Financiero'!$AM$5:$AM$1000,$N76)="","",INDEX('Cronograma R. Financiero'!$AM$5:$AM$1000,$N76)))</f>
        <v/>
      </c>
      <c r="D76" s="79">
        <f>IF($N76="","",IF(INDEX('Cronograma R. Financiero'!$AN$5:$AN$1000,$N76)="","",INDEX('Cronograma R. Financiero'!$AN$5:$AN$1000,$N76)))</f>
        <v/>
      </c>
      <c r="E76" s="56">
        <f>IF($N76="","",IF(NOT(ISNUMBER($D76)),"",IF($D76&lt;InicioCiclo,"Antes del ciclo",IF($D76&gt;=InicioCiclo+28,"Después del ciclo","Semana "&amp;(INT(($D76-InicioCiclo)/7)+1)))))</f>
        <v/>
      </c>
      <c r="F76" s="61">
        <f>IF($N76="","",IF($P76&gt;0,IF(1&lt;=SemanaActual,INDEX('Cronograma R. Financiero'!$AC$5:$AC$1000,$N76),""),IF(INDEX('Cronograma R. Financiero'!$I$5:$I$1000,$N76)="","",INDEX('Cronograma R. Financiero'!$I$5:$I$1000,$N76))))</f>
        <v/>
      </c>
      <c r="G76" s="61">
        <f>IF($N76="","",IF($P76&gt;0,IF(2&lt;=SemanaActual,INDEX('Cronograma R. Financiero'!$AD$5:$AD$1000,$N76),""),IF(INDEX('Cronograma R. Financiero'!$J$5:$J$1000,$N76)="","",INDEX('Cronograma R. Financiero'!$J$5:$J$1000,$N76))))</f>
        <v/>
      </c>
      <c r="H76" s="61">
        <f>IF($N76="","",IF($P76&gt;0,IF(3&lt;=SemanaActual,INDEX('Cronograma R. Financiero'!$AE$5:$AE$1000,$N76),""),IF(INDEX('Cronograma R. Financiero'!$K$5:$K$1000,$N76)="","",INDEX('Cronograma R. Financiero'!$K$5:$K$1000,$N76))))</f>
        <v/>
      </c>
      <c r="I76" s="61">
        <f>IF($N76="","",IF($P76&gt;0,IF(4&lt;=SemanaActual,INDEX('Cronograma R. Financiero'!$AF$5:$AF$1000,$N76),""),IF(INDEX('Cronograma R. Financiero'!$L$5:$L$1000,$N76)="","",INDEX('Cronograma R. Financiero'!$L$5:$L$1000,$N76))))</f>
        <v/>
      </c>
      <c r="J76" s="61">
        <f>IF($N76="","",INDEX('Cronograma R. Financiero'!$M$5:$M$1000,$N76))</f>
        <v/>
      </c>
      <c r="K76" s="56">
        <f>IF($N76="","",IF(N($J76)&gt;=1,"Completado",IF(AND(ISNUMBER($D76),$D76&lt;FechaRef),"Vencida",IF(N($J76)&gt;0,"En curso","Pendiente"))))</f>
        <v/>
      </c>
      <c r="L76" s="56">
        <f>IF($N76="","",INDEX('Cronograma R. Financiero'!$O$5:$O$1000,$N76)&amp;"")</f>
        <v/>
      </c>
      <c r="M76" s="62">
        <f>IF($N76="","",INDEX('Cronograma R. Financiero'!$Q$5:$Q$1000,$N76)&amp;"")</f>
        <v/>
      </c>
      <c r="N76">
        <f>IFERROR(MATCH(ROW()-4,rOrden_RF,0),"")</f>
        <v/>
      </c>
      <c r="O76">
        <f>IF($N76="","",INDEX('Cronograma R. Financiero'!$V$5:$V$1000,$N76))</f>
        <v/>
      </c>
      <c r="P76">
        <f>IF($N76="","",N(INDEX('Cronograma R. Financiero'!$W$5:$W$1000,$N76)))</f>
        <v/>
      </c>
      <c r="Q76">
        <f>IF(OR(LEFT($L76,7)="Vencida",LEFT($L76,5)="Vence"),SUMPRODUCT(--(LEFT($L$5:$L76,7)="Vencida"))+SUMPRODUCT(--(LEFT($L$5:$L76,5)="Vence")),"")</f>
        <v/>
      </c>
    </row>
    <row r="77">
      <c r="A77" s="56">
        <f>IF($N77="","",INDEX('Cronograma R. Financiero'!$A$5:$A$1000,$N77))</f>
        <v/>
      </c>
      <c r="B77" s="62">
        <f>IF($N77="","",IF($O77="Sub","      ↳  "&amp;INDEX('Cronograma R. Financiero'!$C$5:$C$1000,$N77),INDEX('Cronograma R. Financiero'!$C$5:$C$1000,$N77)&amp;""))</f>
        <v/>
      </c>
      <c r="C77" s="79">
        <f>IF($N77="","",IF(INDEX('Cronograma R. Financiero'!$AM$5:$AM$1000,$N77)="","",INDEX('Cronograma R. Financiero'!$AM$5:$AM$1000,$N77)))</f>
        <v/>
      </c>
      <c r="D77" s="79">
        <f>IF($N77="","",IF(INDEX('Cronograma R. Financiero'!$AN$5:$AN$1000,$N77)="","",INDEX('Cronograma R. Financiero'!$AN$5:$AN$1000,$N77)))</f>
        <v/>
      </c>
      <c r="E77" s="56">
        <f>IF($N77="","",IF(NOT(ISNUMBER($D77)),"",IF($D77&lt;InicioCiclo,"Antes del ciclo",IF($D77&gt;=InicioCiclo+28,"Después del ciclo","Semana "&amp;(INT(($D77-InicioCiclo)/7)+1)))))</f>
        <v/>
      </c>
      <c r="F77" s="61">
        <f>IF($N77="","",IF($P77&gt;0,IF(1&lt;=SemanaActual,INDEX('Cronograma R. Financiero'!$AC$5:$AC$1000,$N77),""),IF(INDEX('Cronograma R. Financiero'!$I$5:$I$1000,$N77)="","",INDEX('Cronograma R. Financiero'!$I$5:$I$1000,$N77))))</f>
        <v/>
      </c>
      <c r="G77" s="61">
        <f>IF($N77="","",IF($P77&gt;0,IF(2&lt;=SemanaActual,INDEX('Cronograma R. Financiero'!$AD$5:$AD$1000,$N77),""),IF(INDEX('Cronograma R. Financiero'!$J$5:$J$1000,$N77)="","",INDEX('Cronograma R. Financiero'!$J$5:$J$1000,$N77))))</f>
        <v/>
      </c>
      <c r="H77" s="61">
        <f>IF($N77="","",IF($P77&gt;0,IF(3&lt;=SemanaActual,INDEX('Cronograma R. Financiero'!$AE$5:$AE$1000,$N77),""),IF(INDEX('Cronograma R. Financiero'!$K$5:$K$1000,$N77)="","",INDEX('Cronograma R. Financiero'!$K$5:$K$1000,$N77))))</f>
        <v/>
      </c>
      <c r="I77" s="61">
        <f>IF($N77="","",IF($P77&gt;0,IF(4&lt;=SemanaActual,INDEX('Cronograma R. Financiero'!$AF$5:$AF$1000,$N77),""),IF(INDEX('Cronograma R. Financiero'!$L$5:$L$1000,$N77)="","",INDEX('Cronograma R. Financiero'!$L$5:$L$1000,$N77))))</f>
        <v/>
      </c>
      <c r="J77" s="61">
        <f>IF($N77="","",INDEX('Cronograma R. Financiero'!$M$5:$M$1000,$N77))</f>
        <v/>
      </c>
      <c r="K77" s="56">
        <f>IF($N77="","",IF(N($J77)&gt;=1,"Completado",IF(AND(ISNUMBER($D77),$D77&lt;FechaRef),"Vencida",IF(N($J77)&gt;0,"En curso","Pendiente"))))</f>
        <v/>
      </c>
      <c r="L77" s="56">
        <f>IF($N77="","",INDEX('Cronograma R. Financiero'!$O$5:$O$1000,$N77)&amp;"")</f>
        <v/>
      </c>
      <c r="M77" s="62">
        <f>IF($N77="","",INDEX('Cronograma R. Financiero'!$Q$5:$Q$1000,$N77)&amp;"")</f>
        <v/>
      </c>
      <c r="N77">
        <f>IFERROR(MATCH(ROW()-4,rOrden_RF,0),"")</f>
        <v/>
      </c>
      <c r="O77">
        <f>IF($N77="","",INDEX('Cronograma R. Financiero'!$V$5:$V$1000,$N77))</f>
        <v/>
      </c>
      <c r="P77">
        <f>IF($N77="","",N(INDEX('Cronograma R. Financiero'!$W$5:$W$1000,$N77)))</f>
        <v/>
      </c>
      <c r="Q77">
        <f>IF(OR(LEFT($L77,7)="Vencida",LEFT($L77,5)="Vence"),SUMPRODUCT(--(LEFT($L$5:$L77,7)="Vencida"))+SUMPRODUCT(--(LEFT($L$5:$L77,5)="Vence")),"")</f>
        <v/>
      </c>
    </row>
    <row r="78">
      <c r="A78" s="56">
        <f>IF($N78="","",INDEX('Cronograma R. Financiero'!$A$5:$A$1000,$N78))</f>
        <v/>
      </c>
      <c r="B78" s="62">
        <f>IF($N78="","",IF($O78="Sub","      ↳  "&amp;INDEX('Cronograma R. Financiero'!$C$5:$C$1000,$N78),INDEX('Cronograma R. Financiero'!$C$5:$C$1000,$N78)&amp;""))</f>
        <v/>
      </c>
      <c r="C78" s="79">
        <f>IF($N78="","",IF(INDEX('Cronograma R. Financiero'!$AM$5:$AM$1000,$N78)="","",INDEX('Cronograma R. Financiero'!$AM$5:$AM$1000,$N78)))</f>
        <v/>
      </c>
      <c r="D78" s="79">
        <f>IF($N78="","",IF(INDEX('Cronograma R. Financiero'!$AN$5:$AN$1000,$N78)="","",INDEX('Cronograma R. Financiero'!$AN$5:$AN$1000,$N78)))</f>
        <v/>
      </c>
      <c r="E78" s="56">
        <f>IF($N78="","",IF(NOT(ISNUMBER($D78)),"",IF($D78&lt;InicioCiclo,"Antes del ciclo",IF($D78&gt;=InicioCiclo+28,"Después del ciclo","Semana "&amp;(INT(($D78-InicioCiclo)/7)+1)))))</f>
        <v/>
      </c>
      <c r="F78" s="61">
        <f>IF($N78="","",IF($P78&gt;0,IF(1&lt;=SemanaActual,INDEX('Cronograma R. Financiero'!$AC$5:$AC$1000,$N78),""),IF(INDEX('Cronograma R. Financiero'!$I$5:$I$1000,$N78)="","",INDEX('Cronograma R. Financiero'!$I$5:$I$1000,$N78))))</f>
        <v/>
      </c>
      <c r="G78" s="61">
        <f>IF($N78="","",IF($P78&gt;0,IF(2&lt;=SemanaActual,INDEX('Cronograma R. Financiero'!$AD$5:$AD$1000,$N78),""),IF(INDEX('Cronograma R. Financiero'!$J$5:$J$1000,$N78)="","",INDEX('Cronograma R. Financiero'!$J$5:$J$1000,$N78))))</f>
        <v/>
      </c>
      <c r="H78" s="61">
        <f>IF($N78="","",IF($P78&gt;0,IF(3&lt;=SemanaActual,INDEX('Cronograma R. Financiero'!$AE$5:$AE$1000,$N78),""),IF(INDEX('Cronograma R. Financiero'!$K$5:$K$1000,$N78)="","",INDEX('Cronograma R. Financiero'!$K$5:$K$1000,$N78))))</f>
        <v/>
      </c>
      <c r="I78" s="61">
        <f>IF($N78="","",IF($P78&gt;0,IF(4&lt;=SemanaActual,INDEX('Cronograma R. Financiero'!$AF$5:$AF$1000,$N78),""),IF(INDEX('Cronograma R. Financiero'!$L$5:$L$1000,$N78)="","",INDEX('Cronograma R. Financiero'!$L$5:$L$1000,$N78))))</f>
        <v/>
      </c>
      <c r="J78" s="61">
        <f>IF($N78="","",INDEX('Cronograma R. Financiero'!$M$5:$M$1000,$N78))</f>
        <v/>
      </c>
      <c r="K78" s="56">
        <f>IF($N78="","",IF(N($J78)&gt;=1,"Completado",IF(AND(ISNUMBER($D78),$D78&lt;FechaRef),"Vencida",IF(N($J78)&gt;0,"En curso","Pendiente"))))</f>
        <v/>
      </c>
      <c r="L78" s="56">
        <f>IF($N78="","",INDEX('Cronograma R. Financiero'!$O$5:$O$1000,$N78)&amp;"")</f>
        <v/>
      </c>
      <c r="M78" s="62">
        <f>IF($N78="","",INDEX('Cronograma R. Financiero'!$Q$5:$Q$1000,$N78)&amp;"")</f>
        <v/>
      </c>
      <c r="N78">
        <f>IFERROR(MATCH(ROW()-4,rOrden_RF,0),"")</f>
        <v/>
      </c>
      <c r="O78">
        <f>IF($N78="","",INDEX('Cronograma R. Financiero'!$V$5:$V$1000,$N78))</f>
        <v/>
      </c>
      <c r="P78">
        <f>IF($N78="","",N(INDEX('Cronograma R. Financiero'!$W$5:$W$1000,$N78)))</f>
        <v/>
      </c>
      <c r="Q78">
        <f>IF(OR(LEFT($L78,7)="Vencida",LEFT($L78,5)="Vence"),SUMPRODUCT(--(LEFT($L$5:$L78,7)="Vencida"))+SUMPRODUCT(--(LEFT($L$5:$L78,5)="Vence")),"")</f>
        <v/>
      </c>
    </row>
    <row r="79">
      <c r="A79" s="56">
        <f>IF($N79="","",INDEX('Cronograma R. Financiero'!$A$5:$A$1000,$N79))</f>
        <v/>
      </c>
      <c r="B79" s="62">
        <f>IF($N79="","",IF($O79="Sub","      ↳  "&amp;INDEX('Cronograma R. Financiero'!$C$5:$C$1000,$N79),INDEX('Cronograma R. Financiero'!$C$5:$C$1000,$N79)&amp;""))</f>
        <v/>
      </c>
      <c r="C79" s="79">
        <f>IF($N79="","",IF(INDEX('Cronograma R. Financiero'!$AM$5:$AM$1000,$N79)="","",INDEX('Cronograma R. Financiero'!$AM$5:$AM$1000,$N79)))</f>
        <v/>
      </c>
      <c r="D79" s="79">
        <f>IF($N79="","",IF(INDEX('Cronograma R. Financiero'!$AN$5:$AN$1000,$N79)="","",INDEX('Cronograma R. Financiero'!$AN$5:$AN$1000,$N79)))</f>
        <v/>
      </c>
      <c r="E79" s="56">
        <f>IF($N79="","",IF(NOT(ISNUMBER($D79)),"",IF($D79&lt;InicioCiclo,"Antes del ciclo",IF($D79&gt;=InicioCiclo+28,"Después del ciclo","Semana "&amp;(INT(($D79-InicioCiclo)/7)+1)))))</f>
        <v/>
      </c>
      <c r="F79" s="61">
        <f>IF($N79="","",IF($P79&gt;0,IF(1&lt;=SemanaActual,INDEX('Cronograma R. Financiero'!$AC$5:$AC$1000,$N79),""),IF(INDEX('Cronograma R. Financiero'!$I$5:$I$1000,$N79)="","",INDEX('Cronograma R. Financiero'!$I$5:$I$1000,$N79))))</f>
        <v/>
      </c>
      <c r="G79" s="61">
        <f>IF($N79="","",IF($P79&gt;0,IF(2&lt;=SemanaActual,INDEX('Cronograma R. Financiero'!$AD$5:$AD$1000,$N79),""),IF(INDEX('Cronograma R. Financiero'!$J$5:$J$1000,$N79)="","",INDEX('Cronograma R. Financiero'!$J$5:$J$1000,$N79))))</f>
        <v/>
      </c>
      <c r="H79" s="61">
        <f>IF($N79="","",IF($P79&gt;0,IF(3&lt;=SemanaActual,INDEX('Cronograma R. Financiero'!$AE$5:$AE$1000,$N79),""),IF(INDEX('Cronograma R. Financiero'!$K$5:$K$1000,$N79)="","",INDEX('Cronograma R. Financiero'!$K$5:$K$1000,$N79))))</f>
        <v/>
      </c>
      <c r="I79" s="61">
        <f>IF($N79="","",IF($P79&gt;0,IF(4&lt;=SemanaActual,INDEX('Cronograma R. Financiero'!$AF$5:$AF$1000,$N79),""),IF(INDEX('Cronograma R. Financiero'!$L$5:$L$1000,$N79)="","",INDEX('Cronograma R. Financiero'!$L$5:$L$1000,$N79))))</f>
        <v/>
      </c>
      <c r="J79" s="61">
        <f>IF($N79="","",INDEX('Cronograma R. Financiero'!$M$5:$M$1000,$N79))</f>
        <v/>
      </c>
      <c r="K79" s="56">
        <f>IF($N79="","",IF(N($J79)&gt;=1,"Completado",IF(AND(ISNUMBER($D79),$D79&lt;FechaRef),"Vencida",IF(N($J79)&gt;0,"En curso","Pendiente"))))</f>
        <v/>
      </c>
      <c r="L79" s="56">
        <f>IF($N79="","",INDEX('Cronograma R. Financiero'!$O$5:$O$1000,$N79)&amp;"")</f>
        <v/>
      </c>
      <c r="M79" s="62">
        <f>IF($N79="","",INDEX('Cronograma R. Financiero'!$Q$5:$Q$1000,$N79)&amp;"")</f>
        <v/>
      </c>
      <c r="N79">
        <f>IFERROR(MATCH(ROW()-4,rOrden_RF,0),"")</f>
        <v/>
      </c>
      <c r="O79">
        <f>IF($N79="","",INDEX('Cronograma R. Financiero'!$V$5:$V$1000,$N79))</f>
        <v/>
      </c>
      <c r="P79">
        <f>IF($N79="","",N(INDEX('Cronograma R. Financiero'!$W$5:$W$1000,$N79)))</f>
        <v/>
      </c>
      <c r="Q79">
        <f>IF(OR(LEFT($L79,7)="Vencida",LEFT($L79,5)="Vence"),SUMPRODUCT(--(LEFT($L$5:$L79,7)="Vencida"))+SUMPRODUCT(--(LEFT($L$5:$L79,5)="Vence")),"")</f>
        <v/>
      </c>
    </row>
    <row r="80">
      <c r="A80" s="56">
        <f>IF($N80="","",INDEX('Cronograma R. Financiero'!$A$5:$A$1000,$N80))</f>
        <v/>
      </c>
      <c r="B80" s="62">
        <f>IF($N80="","",IF($O80="Sub","      ↳  "&amp;INDEX('Cronograma R. Financiero'!$C$5:$C$1000,$N80),INDEX('Cronograma R. Financiero'!$C$5:$C$1000,$N80)&amp;""))</f>
        <v/>
      </c>
      <c r="C80" s="79">
        <f>IF($N80="","",IF(INDEX('Cronograma R. Financiero'!$AM$5:$AM$1000,$N80)="","",INDEX('Cronograma R. Financiero'!$AM$5:$AM$1000,$N80)))</f>
        <v/>
      </c>
      <c r="D80" s="79">
        <f>IF($N80="","",IF(INDEX('Cronograma R. Financiero'!$AN$5:$AN$1000,$N80)="","",INDEX('Cronograma R. Financiero'!$AN$5:$AN$1000,$N80)))</f>
        <v/>
      </c>
      <c r="E80" s="56">
        <f>IF($N80="","",IF(NOT(ISNUMBER($D80)),"",IF($D80&lt;InicioCiclo,"Antes del ciclo",IF($D80&gt;=InicioCiclo+28,"Después del ciclo","Semana "&amp;(INT(($D80-InicioCiclo)/7)+1)))))</f>
        <v/>
      </c>
      <c r="F80" s="61">
        <f>IF($N80="","",IF($P80&gt;0,IF(1&lt;=SemanaActual,INDEX('Cronograma R. Financiero'!$AC$5:$AC$1000,$N80),""),IF(INDEX('Cronograma R. Financiero'!$I$5:$I$1000,$N80)="","",INDEX('Cronograma R. Financiero'!$I$5:$I$1000,$N80))))</f>
        <v/>
      </c>
      <c r="G80" s="61">
        <f>IF($N80="","",IF($P80&gt;0,IF(2&lt;=SemanaActual,INDEX('Cronograma R. Financiero'!$AD$5:$AD$1000,$N80),""),IF(INDEX('Cronograma R. Financiero'!$J$5:$J$1000,$N80)="","",INDEX('Cronograma R. Financiero'!$J$5:$J$1000,$N80))))</f>
        <v/>
      </c>
      <c r="H80" s="61">
        <f>IF($N80="","",IF($P80&gt;0,IF(3&lt;=SemanaActual,INDEX('Cronograma R. Financiero'!$AE$5:$AE$1000,$N80),""),IF(INDEX('Cronograma R. Financiero'!$K$5:$K$1000,$N80)="","",INDEX('Cronograma R. Financiero'!$K$5:$K$1000,$N80))))</f>
        <v/>
      </c>
      <c r="I80" s="61">
        <f>IF($N80="","",IF($P80&gt;0,IF(4&lt;=SemanaActual,INDEX('Cronograma R. Financiero'!$AF$5:$AF$1000,$N80),""),IF(INDEX('Cronograma R. Financiero'!$L$5:$L$1000,$N80)="","",INDEX('Cronograma R. Financiero'!$L$5:$L$1000,$N80))))</f>
        <v/>
      </c>
      <c r="J80" s="61">
        <f>IF($N80="","",INDEX('Cronograma R. Financiero'!$M$5:$M$1000,$N80))</f>
        <v/>
      </c>
      <c r="K80" s="56">
        <f>IF($N80="","",IF(N($J80)&gt;=1,"Completado",IF(AND(ISNUMBER($D80),$D80&lt;FechaRef),"Vencida",IF(N($J80)&gt;0,"En curso","Pendiente"))))</f>
        <v/>
      </c>
      <c r="L80" s="56">
        <f>IF($N80="","",INDEX('Cronograma R. Financiero'!$O$5:$O$1000,$N80)&amp;"")</f>
        <v/>
      </c>
      <c r="M80" s="62">
        <f>IF($N80="","",INDEX('Cronograma R. Financiero'!$Q$5:$Q$1000,$N80)&amp;"")</f>
        <v/>
      </c>
      <c r="N80">
        <f>IFERROR(MATCH(ROW()-4,rOrden_RF,0),"")</f>
        <v/>
      </c>
      <c r="O80">
        <f>IF($N80="","",INDEX('Cronograma R. Financiero'!$V$5:$V$1000,$N80))</f>
        <v/>
      </c>
      <c r="P80">
        <f>IF($N80="","",N(INDEX('Cronograma R. Financiero'!$W$5:$W$1000,$N80)))</f>
        <v/>
      </c>
      <c r="Q80">
        <f>IF(OR(LEFT($L80,7)="Vencida",LEFT($L80,5)="Vence"),SUMPRODUCT(--(LEFT($L$5:$L80,7)="Vencida"))+SUMPRODUCT(--(LEFT($L$5:$L80,5)="Vence")),"")</f>
        <v/>
      </c>
    </row>
    <row r="81">
      <c r="A81" s="56">
        <f>IF($N81="","",INDEX('Cronograma R. Financiero'!$A$5:$A$1000,$N81))</f>
        <v/>
      </c>
      <c r="B81" s="62">
        <f>IF($N81="","",IF($O81="Sub","      ↳  "&amp;INDEX('Cronograma R. Financiero'!$C$5:$C$1000,$N81),INDEX('Cronograma R. Financiero'!$C$5:$C$1000,$N81)&amp;""))</f>
        <v/>
      </c>
      <c r="C81" s="79">
        <f>IF($N81="","",IF(INDEX('Cronograma R. Financiero'!$AM$5:$AM$1000,$N81)="","",INDEX('Cronograma R. Financiero'!$AM$5:$AM$1000,$N81)))</f>
        <v/>
      </c>
      <c r="D81" s="79">
        <f>IF($N81="","",IF(INDEX('Cronograma R. Financiero'!$AN$5:$AN$1000,$N81)="","",INDEX('Cronograma R. Financiero'!$AN$5:$AN$1000,$N81)))</f>
        <v/>
      </c>
      <c r="E81" s="56">
        <f>IF($N81="","",IF(NOT(ISNUMBER($D81)),"",IF($D81&lt;InicioCiclo,"Antes del ciclo",IF($D81&gt;=InicioCiclo+28,"Después del ciclo","Semana "&amp;(INT(($D81-InicioCiclo)/7)+1)))))</f>
        <v/>
      </c>
      <c r="F81" s="61">
        <f>IF($N81="","",IF($P81&gt;0,IF(1&lt;=SemanaActual,INDEX('Cronograma R. Financiero'!$AC$5:$AC$1000,$N81),""),IF(INDEX('Cronograma R. Financiero'!$I$5:$I$1000,$N81)="","",INDEX('Cronograma R. Financiero'!$I$5:$I$1000,$N81))))</f>
        <v/>
      </c>
      <c r="G81" s="61">
        <f>IF($N81="","",IF($P81&gt;0,IF(2&lt;=SemanaActual,INDEX('Cronograma R. Financiero'!$AD$5:$AD$1000,$N81),""),IF(INDEX('Cronograma R. Financiero'!$J$5:$J$1000,$N81)="","",INDEX('Cronograma R. Financiero'!$J$5:$J$1000,$N81))))</f>
        <v/>
      </c>
      <c r="H81" s="61">
        <f>IF($N81="","",IF($P81&gt;0,IF(3&lt;=SemanaActual,INDEX('Cronograma R. Financiero'!$AE$5:$AE$1000,$N81),""),IF(INDEX('Cronograma R. Financiero'!$K$5:$K$1000,$N81)="","",INDEX('Cronograma R. Financiero'!$K$5:$K$1000,$N81))))</f>
        <v/>
      </c>
      <c r="I81" s="61">
        <f>IF($N81="","",IF($P81&gt;0,IF(4&lt;=SemanaActual,INDEX('Cronograma R. Financiero'!$AF$5:$AF$1000,$N81),""),IF(INDEX('Cronograma R. Financiero'!$L$5:$L$1000,$N81)="","",INDEX('Cronograma R. Financiero'!$L$5:$L$1000,$N81))))</f>
        <v/>
      </c>
      <c r="J81" s="61">
        <f>IF($N81="","",INDEX('Cronograma R. Financiero'!$M$5:$M$1000,$N81))</f>
        <v/>
      </c>
      <c r="K81" s="56">
        <f>IF($N81="","",IF(N($J81)&gt;=1,"Completado",IF(AND(ISNUMBER($D81),$D81&lt;FechaRef),"Vencida",IF(N($J81)&gt;0,"En curso","Pendiente"))))</f>
        <v/>
      </c>
      <c r="L81" s="56">
        <f>IF($N81="","",INDEX('Cronograma R. Financiero'!$O$5:$O$1000,$N81)&amp;"")</f>
        <v/>
      </c>
      <c r="M81" s="62">
        <f>IF($N81="","",INDEX('Cronograma R. Financiero'!$Q$5:$Q$1000,$N81)&amp;"")</f>
        <v/>
      </c>
      <c r="N81">
        <f>IFERROR(MATCH(ROW()-4,rOrden_RF,0),"")</f>
        <v/>
      </c>
      <c r="O81">
        <f>IF($N81="","",INDEX('Cronograma R. Financiero'!$V$5:$V$1000,$N81))</f>
        <v/>
      </c>
      <c r="P81">
        <f>IF($N81="","",N(INDEX('Cronograma R. Financiero'!$W$5:$W$1000,$N81)))</f>
        <v/>
      </c>
      <c r="Q81">
        <f>IF(OR(LEFT($L81,7)="Vencida",LEFT($L81,5)="Vence"),SUMPRODUCT(--(LEFT($L$5:$L81,7)="Vencida"))+SUMPRODUCT(--(LEFT($L$5:$L81,5)="Vence")),"")</f>
        <v/>
      </c>
    </row>
    <row r="82">
      <c r="A82" s="56">
        <f>IF($N82="","",INDEX('Cronograma R. Financiero'!$A$5:$A$1000,$N82))</f>
        <v/>
      </c>
      <c r="B82" s="62">
        <f>IF($N82="","",IF($O82="Sub","      ↳  "&amp;INDEX('Cronograma R. Financiero'!$C$5:$C$1000,$N82),INDEX('Cronograma R. Financiero'!$C$5:$C$1000,$N82)&amp;""))</f>
        <v/>
      </c>
      <c r="C82" s="79">
        <f>IF($N82="","",IF(INDEX('Cronograma R. Financiero'!$AM$5:$AM$1000,$N82)="","",INDEX('Cronograma R. Financiero'!$AM$5:$AM$1000,$N82)))</f>
        <v/>
      </c>
      <c r="D82" s="79">
        <f>IF($N82="","",IF(INDEX('Cronograma R. Financiero'!$AN$5:$AN$1000,$N82)="","",INDEX('Cronograma R. Financiero'!$AN$5:$AN$1000,$N82)))</f>
        <v/>
      </c>
      <c r="E82" s="56">
        <f>IF($N82="","",IF(NOT(ISNUMBER($D82)),"",IF($D82&lt;InicioCiclo,"Antes del ciclo",IF($D82&gt;=InicioCiclo+28,"Después del ciclo","Semana "&amp;(INT(($D82-InicioCiclo)/7)+1)))))</f>
        <v/>
      </c>
      <c r="F82" s="61">
        <f>IF($N82="","",IF($P82&gt;0,IF(1&lt;=SemanaActual,INDEX('Cronograma R. Financiero'!$AC$5:$AC$1000,$N82),""),IF(INDEX('Cronograma R. Financiero'!$I$5:$I$1000,$N82)="","",INDEX('Cronograma R. Financiero'!$I$5:$I$1000,$N82))))</f>
        <v/>
      </c>
      <c r="G82" s="61">
        <f>IF($N82="","",IF($P82&gt;0,IF(2&lt;=SemanaActual,INDEX('Cronograma R. Financiero'!$AD$5:$AD$1000,$N82),""),IF(INDEX('Cronograma R. Financiero'!$J$5:$J$1000,$N82)="","",INDEX('Cronograma R. Financiero'!$J$5:$J$1000,$N82))))</f>
        <v/>
      </c>
      <c r="H82" s="61">
        <f>IF($N82="","",IF($P82&gt;0,IF(3&lt;=SemanaActual,INDEX('Cronograma R. Financiero'!$AE$5:$AE$1000,$N82),""),IF(INDEX('Cronograma R. Financiero'!$K$5:$K$1000,$N82)="","",INDEX('Cronograma R. Financiero'!$K$5:$K$1000,$N82))))</f>
        <v/>
      </c>
      <c r="I82" s="61">
        <f>IF($N82="","",IF($P82&gt;0,IF(4&lt;=SemanaActual,INDEX('Cronograma R. Financiero'!$AF$5:$AF$1000,$N82),""),IF(INDEX('Cronograma R. Financiero'!$L$5:$L$1000,$N82)="","",INDEX('Cronograma R. Financiero'!$L$5:$L$1000,$N82))))</f>
        <v/>
      </c>
      <c r="J82" s="61">
        <f>IF($N82="","",INDEX('Cronograma R. Financiero'!$M$5:$M$1000,$N82))</f>
        <v/>
      </c>
      <c r="K82" s="56">
        <f>IF($N82="","",IF(N($J82)&gt;=1,"Completado",IF(AND(ISNUMBER($D82),$D82&lt;FechaRef),"Vencida",IF(N($J82)&gt;0,"En curso","Pendiente"))))</f>
        <v/>
      </c>
      <c r="L82" s="56">
        <f>IF($N82="","",INDEX('Cronograma R. Financiero'!$O$5:$O$1000,$N82)&amp;"")</f>
        <v/>
      </c>
      <c r="M82" s="62">
        <f>IF($N82="","",INDEX('Cronograma R. Financiero'!$Q$5:$Q$1000,$N82)&amp;"")</f>
        <v/>
      </c>
      <c r="N82">
        <f>IFERROR(MATCH(ROW()-4,rOrden_RF,0),"")</f>
        <v/>
      </c>
      <c r="O82">
        <f>IF($N82="","",INDEX('Cronograma R. Financiero'!$V$5:$V$1000,$N82))</f>
        <v/>
      </c>
      <c r="P82">
        <f>IF($N82="","",N(INDEX('Cronograma R. Financiero'!$W$5:$W$1000,$N82)))</f>
        <v/>
      </c>
      <c r="Q82">
        <f>IF(OR(LEFT($L82,7)="Vencida",LEFT($L82,5)="Vence"),SUMPRODUCT(--(LEFT($L$5:$L82,7)="Vencida"))+SUMPRODUCT(--(LEFT($L$5:$L82,5)="Vence")),"")</f>
        <v/>
      </c>
    </row>
    <row r="83">
      <c r="A83" s="56">
        <f>IF($N83="","",INDEX('Cronograma R. Financiero'!$A$5:$A$1000,$N83))</f>
        <v/>
      </c>
      <c r="B83" s="62">
        <f>IF($N83="","",IF($O83="Sub","      ↳  "&amp;INDEX('Cronograma R. Financiero'!$C$5:$C$1000,$N83),INDEX('Cronograma R. Financiero'!$C$5:$C$1000,$N83)&amp;""))</f>
        <v/>
      </c>
      <c r="C83" s="79">
        <f>IF($N83="","",IF(INDEX('Cronograma R. Financiero'!$AM$5:$AM$1000,$N83)="","",INDEX('Cronograma R. Financiero'!$AM$5:$AM$1000,$N83)))</f>
        <v/>
      </c>
      <c r="D83" s="79">
        <f>IF($N83="","",IF(INDEX('Cronograma R. Financiero'!$AN$5:$AN$1000,$N83)="","",INDEX('Cronograma R. Financiero'!$AN$5:$AN$1000,$N83)))</f>
        <v/>
      </c>
      <c r="E83" s="56">
        <f>IF($N83="","",IF(NOT(ISNUMBER($D83)),"",IF($D83&lt;InicioCiclo,"Antes del ciclo",IF($D83&gt;=InicioCiclo+28,"Después del ciclo","Semana "&amp;(INT(($D83-InicioCiclo)/7)+1)))))</f>
        <v/>
      </c>
      <c r="F83" s="61">
        <f>IF($N83="","",IF($P83&gt;0,IF(1&lt;=SemanaActual,INDEX('Cronograma R. Financiero'!$AC$5:$AC$1000,$N83),""),IF(INDEX('Cronograma R. Financiero'!$I$5:$I$1000,$N83)="","",INDEX('Cronograma R. Financiero'!$I$5:$I$1000,$N83))))</f>
        <v/>
      </c>
      <c r="G83" s="61">
        <f>IF($N83="","",IF($P83&gt;0,IF(2&lt;=SemanaActual,INDEX('Cronograma R. Financiero'!$AD$5:$AD$1000,$N83),""),IF(INDEX('Cronograma R. Financiero'!$J$5:$J$1000,$N83)="","",INDEX('Cronograma R. Financiero'!$J$5:$J$1000,$N83))))</f>
        <v/>
      </c>
      <c r="H83" s="61">
        <f>IF($N83="","",IF($P83&gt;0,IF(3&lt;=SemanaActual,INDEX('Cronograma R. Financiero'!$AE$5:$AE$1000,$N83),""),IF(INDEX('Cronograma R. Financiero'!$K$5:$K$1000,$N83)="","",INDEX('Cronograma R. Financiero'!$K$5:$K$1000,$N83))))</f>
        <v/>
      </c>
      <c r="I83" s="61">
        <f>IF($N83="","",IF($P83&gt;0,IF(4&lt;=SemanaActual,INDEX('Cronograma R. Financiero'!$AF$5:$AF$1000,$N83),""),IF(INDEX('Cronograma R. Financiero'!$L$5:$L$1000,$N83)="","",INDEX('Cronograma R. Financiero'!$L$5:$L$1000,$N83))))</f>
        <v/>
      </c>
      <c r="J83" s="61">
        <f>IF($N83="","",INDEX('Cronograma R. Financiero'!$M$5:$M$1000,$N83))</f>
        <v/>
      </c>
      <c r="K83" s="56">
        <f>IF($N83="","",IF(N($J83)&gt;=1,"Completado",IF(AND(ISNUMBER($D83),$D83&lt;FechaRef),"Vencida",IF(N($J83)&gt;0,"En curso","Pendiente"))))</f>
        <v/>
      </c>
      <c r="L83" s="56">
        <f>IF($N83="","",INDEX('Cronograma R. Financiero'!$O$5:$O$1000,$N83)&amp;"")</f>
        <v/>
      </c>
      <c r="M83" s="62">
        <f>IF($N83="","",INDEX('Cronograma R. Financiero'!$Q$5:$Q$1000,$N83)&amp;"")</f>
        <v/>
      </c>
      <c r="N83">
        <f>IFERROR(MATCH(ROW()-4,rOrden_RF,0),"")</f>
        <v/>
      </c>
      <c r="O83">
        <f>IF($N83="","",INDEX('Cronograma R. Financiero'!$V$5:$V$1000,$N83))</f>
        <v/>
      </c>
      <c r="P83">
        <f>IF($N83="","",N(INDEX('Cronograma R. Financiero'!$W$5:$W$1000,$N83)))</f>
        <v/>
      </c>
      <c r="Q83">
        <f>IF(OR(LEFT($L83,7)="Vencida",LEFT($L83,5)="Vence"),SUMPRODUCT(--(LEFT($L$5:$L83,7)="Vencida"))+SUMPRODUCT(--(LEFT($L$5:$L83,5)="Vence")),"")</f>
        <v/>
      </c>
    </row>
    <row r="84">
      <c r="A84" s="56">
        <f>IF($N84="","",INDEX('Cronograma R. Financiero'!$A$5:$A$1000,$N84))</f>
        <v/>
      </c>
      <c r="B84" s="62">
        <f>IF($N84="","",IF($O84="Sub","      ↳  "&amp;INDEX('Cronograma R. Financiero'!$C$5:$C$1000,$N84),INDEX('Cronograma R. Financiero'!$C$5:$C$1000,$N84)&amp;""))</f>
        <v/>
      </c>
      <c r="C84" s="79">
        <f>IF($N84="","",IF(INDEX('Cronograma R. Financiero'!$AM$5:$AM$1000,$N84)="","",INDEX('Cronograma R. Financiero'!$AM$5:$AM$1000,$N84)))</f>
        <v/>
      </c>
      <c r="D84" s="79">
        <f>IF($N84="","",IF(INDEX('Cronograma R. Financiero'!$AN$5:$AN$1000,$N84)="","",INDEX('Cronograma R. Financiero'!$AN$5:$AN$1000,$N84)))</f>
        <v/>
      </c>
      <c r="E84" s="56">
        <f>IF($N84="","",IF(NOT(ISNUMBER($D84)),"",IF($D84&lt;InicioCiclo,"Antes del ciclo",IF($D84&gt;=InicioCiclo+28,"Después del ciclo","Semana "&amp;(INT(($D84-InicioCiclo)/7)+1)))))</f>
        <v/>
      </c>
      <c r="F84" s="61">
        <f>IF($N84="","",IF($P84&gt;0,IF(1&lt;=SemanaActual,INDEX('Cronograma R. Financiero'!$AC$5:$AC$1000,$N84),""),IF(INDEX('Cronograma R. Financiero'!$I$5:$I$1000,$N84)="","",INDEX('Cronograma R. Financiero'!$I$5:$I$1000,$N84))))</f>
        <v/>
      </c>
      <c r="G84" s="61">
        <f>IF($N84="","",IF($P84&gt;0,IF(2&lt;=SemanaActual,INDEX('Cronograma R. Financiero'!$AD$5:$AD$1000,$N84),""),IF(INDEX('Cronograma R. Financiero'!$J$5:$J$1000,$N84)="","",INDEX('Cronograma R. Financiero'!$J$5:$J$1000,$N84))))</f>
        <v/>
      </c>
      <c r="H84" s="61">
        <f>IF($N84="","",IF($P84&gt;0,IF(3&lt;=SemanaActual,INDEX('Cronograma R. Financiero'!$AE$5:$AE$1000,$N84),""),IF(INDEX('Cronograma R. Financiero'!$K$5:$K$1000,$N84)="","",INDEX('Cronograma R. Financiero'!$K$5:$K$1000,$N84))))</f>
        <v/>
      </c>
      <c r="I84" s="61">
        <f>IF($N84="","",IF($P84&gt;0,IF(4&lt;=SemanaActual,INDEX('Cronograma R. Financiero'!$AF$5:$AF$1000,$N84),""),IF(INDEX('Cronograma R. Financiero'!$L$5:$L$1000,$N84)="","",INDEX('Cronograma R. Financiero'!$L$5:$L$1000,$N84))))</f>
        <v/>
      </c>
      <c r="J84" s="61">
        <f>IF($N84="","",INDEX('Cronograma R. Financiero'!$M$5:$M$1000,$N84))</f>
        <v/>
      </c>
      <c r="K84" s="56">
        <f>IF($N84="","",IF(N($J84)&gt;=1,"Completado",IF(AND(ISNUMBER($D84),$D84&lt;FechaRef),"Vencida",IF(N($J84)&gt;0,"En curso","Pendiente"))))</f>
        <v/>
      </c>
      <c r="L84" s="56">
        <f>IF($N84="","",INDEX('Cronograma R. Financiero'!$O$5:$O$1000,$N84)&amp;"")</f>
        <v/>
      </c>
      <c r="M84" s="62">
        <f>IF($N84="","",INDEX('Cronograma R. Financiero'!$Q$5:$Q$1000,$N84)&amp;"")</f>
        <v/>
      </c>
      <c r="N84">
        <f>IFERROR(MATCH(ROW()-4,rOrden_RF,0),"")</f>
        <v/>
      </c>
      <c r="O84">
        <f>IF($N84="","",INDEX('Cronograma R. Financiero'!$V$5:$V$1000,$N84))</f>
        <v/>
      </c>
      <c r="P84">
        <f>IF($N84="","",N(INDEX('Cronograma R. Financiero'!$W$5:$W$1000,$N84)))</f>
        <v/>
      </c>
      <c r="Q84">
        <f>IF(OR(LEFT($L84,7)="Vencida",LEFT($L84,5)="Vence"),SUMPRODUCT(--(LEFT($L$5:$L84,7)="Vencida"))+SUMPRODUCT(--(LEFT($L$5:$L84,5)="Vence")),"")</f>
        <v/>
      </c>
    </row>
    <row r="85">
      <c r="A85" s="56">
        <f>IF($N85="","",INDEX('Cronograma R. Financiero'!$A$5:$A$1000,$N85))</f>
        <v/>
      </c>
      <c r="B85" s="62">
        <f>IF($N85="","",IF($O85="Sub","      ↳  "&amp;INDEX('Cronograma R. Financiero'!$C$5:$C$1000,$N85),INDEX('Cronograma R. Financiero'!$C$5:$C$1000,$N85)&amp;""))</f>
        <v/>
      </c>
      <c r="C85" s="79">
        <f>IF($N85="","",IF(INDEX('Cronograma R. Financiero'!$AM$5:$AM$1000,$N85)="","",INDEX('Cronograma R. Financiero'!$AM$5:$AM$1000,$N85)))</f>
        <v/>
      </c>
      <c r="D85" s="79">
        <f>IF($N85="","",IF(INDEX('Cronograma R. Financiero'!$AN$5:$AN$1000,$N85)="","",INDEX('Cronograma R. Financiero'!$AN$5:$AN$1000,$N85)))</f>
        <v/>
      </c>
      <c r="E85" s="56">
        <f>IF($N85="","",IF(NOT(ISNUMBER($D85)),"",IF($D85&lt;InicioCiclo,"Antes del ciclo",IF($D85&gt;=InicioCiclo+28,"Después del ciclo","Semana "&amp;(INT(($D85-InicioCiclo)/7)+1)))))</f>
        <v/>
      </c>
      <c r="F85" s="61">
        <f>IF($N85="","",IF($P85&gt;0,IF(1&lt;=SemanaActual,INDEX('Cronograma R. Financiero'!$AC$5:$AC$1000,$N85),""),IF(INDEX('Cronograma R. Financiero'!$I$5:$I$1000,$N85)="","",INDEX('Cronograma R. Financiero'!$I$5:$I$1000,$N85))))</f>
        <v/>
      </c>
      <c r="G85" s="61">
        <f>IF($N85="","",IF($P85&gt;0,IF(2&lt;=SemanaActual,INDEX('Cronograma R. Financiero'!$AD$5:$AD$1000,$N85),""),IF(INDEX('Cronograma R. Financiero'!$J$5:$J$1000,$N85)="","",INDEX('Cronograma R. Financiero'!$J$5:$J$1000,$N85))))</f>
        <v/>
      </c>
      <c r="H85" s="61">
        <f>IF($N85="","",IF($P85&gt;0,IF(3&lt;=SemanaActual,INDEX('Cronograma R. Financiero'!$AE$5:$AE$1000,$N85),""),IF(INDEX('Cronograma R. Financiero'!$K$5:$K$1000,$N85)="","",INDEX('Cronograma R. Financiero'!$K$5:$K$1000,$N85))))</f>
        <v/>
      </c>
      <c r="I85" s="61">
        <f>IF($N85="","",IF($P85&gt;0,IF(4&lt;=SemanaActual,INDEX('Cronograma R. Financiero'!$AF$5:$AF$1000,$N85),""),IF(INDEX('Cronograma R. Financiero'!$L$5:$L$1000,$N85)="","",INDEX('Cronograma R. Financiero'!$L$5:$L$1000,$N85))))</f>
        <v/>
      </c>
      <c r="J85" s="61">
        <f>IF($N85="","",INDEX('Cronograma R. Financiero'!$M$5:$M$1000,$N85))</f>
        <v/>
      </c>
      <c r="K85" s="56">
        <f>IF($N85="","",IF(N($J85)&gt;=1,"Completado",IF(AND(ISNUMBER($D85),$D85&lt;FechaRef),"Vencida",IF(N($J85)&gt;0,"En curso","Pendiente"))))</f>
        <v/>
      </c>
      <c r="L85" s="56">
        <f>IF($N85="","",INDEX('Cronograma R. Financiero'!$O$5:$O$1000,$N85)&amp;"")</f>
        <v/>
      </c>
      <c r="M85" s="62">
        <f>IF($N85="","",INDEX('Cronograma R. Financiero'!$Q$5:$Q$1000,$N85)&amp;"")</f>
        <v/>
      </c>
      <c r="N85">
        <f>IFERROR(MATCH(ROW()-4,rOrden_RF,0),"")</f>
        <v/>
      </c>
      <c r="O85">
        <f>IF($N85="","",INDEX('Cronograma R. Financiero'!$V$5:$V$1000,$N85))</f>
        <v/>
      </c>
      <c r="P85">
        <f>IF($N85="","",N(INDEX('Cronograma R. Financiero'!$W$5:$W$1000,$N85)))</f>
        <v/>
      </c>
      <c r="Q85">
        <f>IF(OR(LEFT($L85,7)="Vencida",LEFT($L85,5)="Vence"),SUMPRODUCT(--(LEFT($L$5:$L85,7)="Vencida"))+SUMPRODUCT(--(LEFT($L$5:$L85,5)="Vence")),"")</f>
        <v/>
      </c>
    </row>
    <row r="86">
      <c r="A86" s="56">
        <f>IF($N86="","",INDEX('Cronograma R. Financiero'!$A$5:$A$1000,$N86))</f>
        <v/>
      </c>
      <c r="B86" s="62">
        <f>IF($N86="","",IF($O86="Sub","      ↳  "&amp;INDEX('Cronograma R. Financiero'!$C$5:$C$1000,$N86),INDEX('Cronograma R. Financiero'!$C$5:$C$1000,$N86)&amp;""))</f>
        <v/>
      </c>
      <c r="C86" s="79">
        <f>IF($N86="","",IF(INDEX('Cronograma R. Financiero'!$AM$5:$AM$1000,$N86)="","",INDEX('Cronograma R. Financiero'!$AM$5:$AM$1000,$N86)))</f>
        <v/>
      </c>
      <c r="D86" s="79">
        <f>IF($N86="","",IF(INDEX('Cronograma R. Financiero'!$AN$5:$AN$1000,$N86)="","",INDEX('Cronograma R. Financiero'!$AN$5:$AN$1000,$N86)))</f>
        <v/>
      </c>
      <c r="E86" s="56">
        <f>IF($N86="","",IF(NOT(ISNUMBER($D86)),"",IF($D86&lt;InicioCiclo,"Antes del ciclo",IF($D86&gt;=InicioCiclo+28,"Después del ciclo","Semana "&amp;(INT(($D86-InicioCiclo)/7)+1)))))</f>
        <v/>
      </c>
      <c r="F86" s="61">
        <f>IF($N86="","",IF($P86&gt;0,IF(1&lt;=SemanaActual,INDEX('Cronograma R. Financiero'!$AC$5:$AC$1000,$N86),""),IF(INDEX('Cronograma R. Financiero'!$I$5:$I$1000,$N86)="","",INDEX('Cronograma R. Financiero'!$I$5:$I$1000,$N86))))</f>
        <v/>
      </c>
      <c r="G86" s="61">
        <f>IF($N86="","",IF($P86&gt;0,IF(2&lt;=SemanaActual,INDEX('Cronograma R. Financiero'!$AD$5:$AD$1000,$N86),""),IF(INDEX('Cronograma R. Financiero'!$J$5:$J$1000,$N86)="","",INDEX('Cronograma R. Financiero'!$J$5:$J$1000,$N86))))</f>
        <v/>
      </c>
      <c r="H86" s="61">
        <f>IF($N86="","",IF($P86&gt;0,IF(3&lt;=SemanaActual,INDEX('Cronograma R. Financiero'!$AE$5:$AE$1000,$N86),""),IF(INDEX('Cronograma R. Financiero'!$K$5:$K$1000,$N86)="","",INDEX('Cronograma R. Financiero'!$K$5:$K$1000,$N86))))</f>
        <v/>
      </c>
      <c r="I86" s="61">
        <f>IF($N86="","",IF($P86&gt;0,IF(4&lt;=SemanaActual,INDEX('Cronograma R. Financiero'!$AF$5:$AF$1000,$N86),""),IF(INDEX('Cronograma R. Financiero'!$L$5:$L$1000,$N86)="","",INDEX('Cronograma R. Financiero'!$L$5:$L$1000,$N86))))</f>
        <v/>
      </c>
      <c r="J86" s="61">
        <f>IF($N86="","",INDEX('Cronograma R. Financiero'!$M$5:$M$1000,$N86))</f>
        <v/>
      </c>
      <c r="K86" s="56">
        <f>IF($N86="","",IF(N($J86)&gt;=1,"Completado",IF(AND(ISNUMBER($D86),$D86&lt;FechaRef),"Vencida",IF(N($J86)&gt;0,"En curso","Pendiente"))))</f>
        <v/>
      </c>
      <c r="L86" s="56">
        <f>IF($N86="","",INDEX('Cronograma R. Financiero'!$O$5:$O$1000,$N86)&amp;"")</f>
        <v/>
      </c>
      <c r="M86" s="62">
        <f>IF($N86="","",INDEX('Cronograma R. Financiero'!$Q$5:$Q$1000,$N86)&amp;"")</f>
        <v/>
      </c>
      <c r="N86">
        <f>IFERROR(MATCH(ROW()-4,rOrden_RF,0),"")</f>
        <v/>
      </c>
      <c r="O86">
        <f>IF($N86="","",INDEX('Cronograma R. Financiero'!$V$5:$V$1000,$N86))</f>
        <v/>
      </c>
      <c r="P86">
        <f>IF($N86="","",N(INDEX('Cronograma R. Financiero'!$W$5:$W$1000,$N86)))</f>
        <v/>
      </c>
      <c r="Q86">
        <f>IF(OR(LEFT($L86,7)="Vencida",LEFT($L86,5)="Vence"),SUMPRODUCT(--(LEFT($L$5:$L86,7)="Vencida"))+SUMPRODUCT(--(LEFT($L$5:$L86,5)="Vence")),"")</f>
        <v/>
      </c>
    </row>
    <row r="87">
      <c r="A87" s="56">
        <f>IF($N87="","",INDEX('Cronograma R. Financiero'!$A$5:$A$1000,$N87))</f>
        <v/>
      </c>
      <c r="B87" s="62">
        <f>IF($N87="","",IF($O87="Sub","      ↳  "&amp;INDEX('Cronograma R. Financiero'!$C$5:$C$1000,$N87),INDEX('Cronograma R. Financiero'!$C$5:$C$1000,$N87)&amp;""))</f>
        <v/>
      </c>
      <c r="C87" s="79">
        <f>IF($N87="","",IF(INDEX('Cronograma R. Financiero'!$AM$5:$AM$1000,$N87)="","",INDEX('Cronograma R. Financiero'!$AM$5:$AM$1000,$N87)))</f>
        <v/>
      </c>
      <c r="D87" s="79">
        <f>IF($N87="","",IF(INDEX('Cronograma R. Financiero'!$AN$5:$AN$1000,$N87)="","",INDEX('Cronograma R. Financiero'!$AN$5:$AN$1000,$N87)))</f>
        <v/>
      </c>
      <c r="E87" s="56">
        <f>IF($N87="","",IF(NOT(ISNUMBER($D87)),"",IF($D87&lt;InicioCiclo,"Antes del ciclo",IF($D87&gt;=InicioCiclo+28,"Después del ciclo","Semana "&amp;(INT(($D87-InicioCiclo)/7)+1)))))</f>
        <v/>
      </c>
      <c r="F87" s="61">
        <f>IF($N87="","",IF($P87&gt;0,IF(1&lt;=SemanaActual,INDEX('Cronograma R. Financiero'!$AC$5:$AC$1000,$N87),""),IF(INDEX('Cronograma R. Financiero'!$I$5:$I$1000,$N87)="","",INDEX('Cronograma R. Financiero'!$I$5:$I$1000,$N87))))</f>
        <v/>
      </c>
      <c r="G87" s="61">
        <f>IF($N87="","",IF($P87&gt;0,IF(2&lt;=SemanaActual,INDEX('Cronograma R. Financiero'!$AD$5:$AD$1000,$N87),""),IF(INDEX('Cronograma R. Financiero'!$J$5:$J$1000,$N87)="","",INDEX('Cronograma R. Financiero'!$J$5:$J$1000,$N87))))</f>
        <v/>
      </c>
      <c r="H87" s="61">
        <f>IF($N87="","",IF($P87&gt;0,IF(3&lt;=SemanaActual,INDEX('Cronograma R. Financiero'!$AE$5:$AE$1000,$N87),""),IF(INDEX('Cronograma R. Financiero'!$K$5:$K$1000,$N87)="","",INDEX('Cronograma R. Financiero'!$K$5:$K$1000,$N87))))</f>
        <v/>
      </c>
      <c r="I87" s="61">
        <f>IF($N87="","",IF($P87&gt;0,IF(4&lt;=SemanaActual,INDEX('Cronograma R. Financiero'!$AF$5:$AF$1000,$N87),""),IF(INDEX('Cronograma R. Financiero'!$L$5:$L$1000,$N87)="","",INDEX('Cronograma R. Financiero'!$L$5:$L$1000,$N87))))</f>
        <v/>
      </c>
      <c r="J87" s="61">
        <f>IF($N87="","",INDEX('Cronograma R. Financiero'!$M$5:$M$1000,$N87))</f>
        <v/>
      </c>
      <c r="K87" s="56">
        <f>IF($N87="","",IF(N($J87)&gt;=1,"Completado",IF(AND(ISNUMBER($D87),$D87&lt;FechaRef),"Vencida",IF(N($J87)&gt;0,"En curso","Pendiente"))))</f>
        <v/>
      </c>
      <c r="L87" s="56">
        <f>IF($N87="","",INDEX('Cronograma R. Financiero'!$O$5:$O$1000,$N87)&amp;"")</f>
        <v/>
      </c>
      <c r="M87" s="62">
        <f>IF($N87="","",INDEX('Cronograma R. Financiero'!$Q$5:$Q$1000,$N87)&amp;"")</f>
        <v/>
      </c>
      <c r="N87">
        <f>IFERROR(MATCH(ROW()-4,rOrden_RF,0),"")</f>
        <v/>
      </c>
      <c r="O87">
        <f>IF($N87="","",INDEX('Cronograma R. Financiero'!$V$5:$V$1000,$N87))</f>
        <v/>
      </c>
      <c r="P87">
        <f>IF($N87="","",N(INDEX('Cronograma R. Financiero'!$W$5:$W$1000,$N87)))</f>
        <v/>
      </c>
      <c r="Q87">
        <f>IF(OR(LEFT($L87,7)="Vencida",LEFT($L87,5)="Vence"),SUMPRODUCT(--(LEFT($L$5:$L87,7)="Vencida"))+SUMPRODUCT(--(LEFT($L$5:$L87,5)="Vence")),"")</f>
        <v/>
      </c>
    </row>
    <row r="88">
      <c r="A88" s="56">
        <f>IF($N88="","",INDEX('Cronograma R. Financiero'!$A$5:$A$1000,$N88))</f>
        <v/>
      </c>
      <c r="B88" s="62">
        <f>IF($N88="","",IF($O88="Sub","      ↳  "&amp;INDEX('Cronograma R. Financiero'!$C$5:$C$1000,$N88),INDEX('Cronograma R. Financiero'!$C$5:$C$1000,$N88)&amp;""))</f>
        <v/>
      </c>
      <c r="C88" s="79">
        <f>IF($N88="","",IF(INDEX('Cronograma R. Financiero'!$AM$5:$AM$1000,$N88)="","",INDEX('Cronograma R. Financiero'!$AM$5:$AM$1000,$N88)))</f>
        <v/>
      </c>
      <c r="D88" s="79">
        <f>IF($N88="","",IF(INDEX('Cronograma R. Financiero'!$AN$5:$AN$1000,$N88)="","",INDEX('Cronograma R. Financiero'!$AN$5:$AN$1000,$N88)))</f>
        <v/>
      </c>
      <c r="E88" s="56">
        <f>IF($N88="","",IF(NOT(ISNUMBER($D88)),"",IF($D88&lt;InicioCiclo,"Antes del ciclo",IF($D88&gt;=InicioCiclo+28,"Después del ciclo","Semana "&amp;(INT(($D88-InicioCiclo)/7)+1)))))</f>
        <v/>
      </c>
      <c r="F88" s="61">
        <f>IF($N88="","",IF($P88&gt;0,IF(1&lt;=SemanaActual,INDEX('Cronograma R. Financiero'!$AC$5:$AC$1000,$N88),""),IF(INDEX('Cronograma R. Financiero'!$I$5:$I$1000,$N88)="","",INDEX('Cronograma R. Financiero'!$I$5:$I$1000,$N88))))</f>
        <v/>
      </c>
      <c r="G88" s="61">
        <f>IF($N88="","",IF($P88&gt;0,IF(2&lt;=SemanaActual,INDEX('Cronograma R. Financiero'!$AD$5:$AD$1000,$N88),""),IF(INDEX('Cronograma R. Financiero'!$J$5:$J$1000,$N88)="","",INDEX('Cronograma R. Financiero'!$J$5:$J$1000,$N88))))</f>
        <v/>
      </c>
      <c r="H88" s="61">
        <f>IF($N88="","",IF($P88&gt;0,IF(3&lt;=SemanaActual,INDEX('Cronograma R. Financiero'!$AE$5:$AE$1000,$N88),""),IF(INDEX('Cronograma R. Financiero'!$K$5:$K$1000,$N88)="","",INDEX('Cronograma R. Financiero'!$K$5:$K$1000,$N88))))</f>
        <v/>
      </c>
      <c r="I88" s="61">
        <f>IF($N88="","",IF($P88&gt;0,IF(4&lt;=SemanaActual,INDEX('Cronograma R. Financiero'!$AF$5:$AF$1000,$N88),""),IF(INDEX('Cronograma R. Financiero'!$L$5:$L$1000,$N88)="","",INDEX('Cronograma R. Financiero'!$L$5:$L$1000,$N88))))</f>
        <v/>
      </c>
      <c r="J88" s="61">
        <f>IF($N88="","",INDEX('Cronograma R. Financiero'!$M$5:$M$1000,$N88))</f>
        <v/>
      </c>
      <c r="K88" s="56">
        <f>IF($N88="","",IF(N($J88)&gt;=1,"Completado",IF(AND(ISNUMBER($D88),$D88&lt;FechaRef),"Vencida",IF(N($J88)&gt;0,"En curso","Pendiente"))))</f>
        <v/>
      </c>
      <c r="L88" s="56">
        <f>IF($N88="","",INDEX('Cronograma R. Financiero'!$O$5:$O$1000,$N88)&amp;"")</f>
        <v/>
      </c>
      <c r="M88" s="62">
        <f>IF($N88="","",INDEX('Cronograma R. Financiero'!$Q$5:$Q$1000,$N88)&amp;"")</f>
        <v/>
      </c>
      <c r="N88">
        <f>IFERROR(MATCH(ROW()-4,rOrden_RF,0),"")</f>
        <v/>
      </c>
      <c r="O88">
        <f>IF($N88="","",INDEX('Cronograma R. Financiero'!$V$5:$V$1000,$N88))</f>
        <v/>
      </c>
      <c r="P88">
        <f>IF($N88="","",N(INDEX('Cronograma R. Financiero'!$W$5:$W$1000,$N88)))</f>
        <v/>
      </c>
      <c r="Q88">
        <f>IF(OR(LEFT($L88,7)="Vencida",LEFT($L88,5)="Vence"),SUMPRODUCT(--(LEFT($L$5:$L88,7)="Vencida"))+SUMPRODUCT(--(LEFT($L$5:$L88,5)="Vence")),"")</f>
        <v/>
      </c>
    </row>
    <row r="89">
      <c r="A89" s="56">
        <f>IF($N89="","",INDEX('Cronograma R. Financiero'!$A$5:$A$1000,$N89))</f>
        <v/>
      </c>
      <c r="B89" s="62">
        <f>IF($N89="","",IF($O89="Sub","      ↳  "&amp;INDEX('Cronograma R. Financiero'!$C$5:$C$1000,$N89),INDEX('Cronograma R. Financiero'!$C$5:$C$1000,$N89)&amp;""))</f>
        <v/>
      </c>
      <c r="C89" s="79">
        <f>IF($N89="","",IF(INDEX('Cronograma R. Financiero'!$AM$5:$AM$1000,$N89)="","",INDEX('Cronograma R. Financiero'!$AM$5:$AM$1000,$N89)))</f>
        <v/>
      </c>
      <c r="D89" s="79">
        <f>IF($N89="","",IF(INDEX('Cronograma R. Financiero'!$AN$5:$AN$1000,$N89)="","",INDEX('Cronograma R. Financiero'!$AN$5:$AN$1000,$N89)))</f>
        <v/>
      </c>
      <c r="E89" s="56">
        <f>IF($N89="","",IF(NOT(ISNUMBER($D89)),"",IF($D89&lt;InicioCiclo,"Antes del ciclo",IF($D89&gt;=InicioCiclo+28,"Después del ciclo","Semana "&amp;(INT(($D89-InicioCiclo)/7)+1)))))</f>
        <v/>
      </c>
      <c r="F89" s="61">
        <f>IF($N89="","",IF($P89&gt;0,IF(1&lt;=SemanaActual,INDEX('Cronograma R. Financiero'!$AC$5:$AC$1000,$N89),""),IF(INDEX('Cronograma R. Financiero'!$I$5:$I$1000,$N89)="","",INDEX('Cronograma R. Financiero'!$I$5:$I$1000,$N89))))</f>
        <v/>
      </c>
      <c r="G89" s="61">
        <f>IF($N89="","",IF($P89&gt;0,IF(2&lt;=SemanaActual,INDEX('Cronograma R. Financiero'!$AD$5:$AD$1000,$N89),""),IF(INDEX('Cronograma R. Financiero'!$J$5:$J$1000,$N89)="","",INDEX('Cronograma R. Financiero'!$J$5:$J$1000,$N89))))</f>
        <v/>
      </c>
      <c r="H89" s="61">
        <f>IF($N89="","",IF($P89&gt;0,IF(3&lt;=SemanaActual,INDEX('Cronograma R. Financiero'!$AE$5:$AE$1000,$N89),""),IF(INDEX('Cronograma R. Financiero'!$K$5:$K$1000,$N89)="","",INDEX('Cronograma R. Financiero'!$K$5:$K$1000,$N89))))</f>
        <v/>
      </c>
      <c r="I89" s="61">
        <f>IF($N89="","",IF($P89&gt;0,IF(4&lt;=SemanaActual,INDEX('Cronograma R. Financiero'!$AF$5:$AF$1000,$N89),""),IF(INDEX('Cronograma R. Financiero'!$L$5:$L$1000,$N89)="","",INDEX('Cronograma R. Financiero'!$L$5:$L$1000,$N89))))</f>
        <v/>
      </c>
      <c r="J89" s="61">
        <f>IF($N89="","",INDEX('Cronograma R. Financiero'!$M$5:$M$1000,$N89))</f>
        <v/>
      </c>
      <c r="K89" s="56">
        <f>IF($N89="","",IF(N($J89)&gt;=1,"Completado",IF(AND(ISNUMBER($D89),$D89&lt;FechaRef),"Vencida",IF(N($J89)&gt;0,"En curso","Pendiente"))))</f>
        <v/>
      </c>
      <c r="L89" s="56">
        <f>IF($N89="","",INDEX('Cronograma R. Financiero'!$O$5:$O$1000,$N89)&amp;"")</f>
        <v/>
      </c>
      <c r="M89" s="62">
        <f>IF($N89="","",INDEX('Cronograma R. Financiero'!$Q$5:$Q$1000,$N89)&amp;"")</f>
        <v/>
      </c>
      <c r="N89">
        <f>IFERROR(MATCH(ROW()-4,rOrden_RF,0),"")</f>
        <v/>
      </c>
      <c r="O89">
        <f>IF($N89="","",INDEX('Cronograma R. Financiero'!$V$5:$V$1000,$N89))</f>
        <v/>
      </c>
      <c r="P89">
        <f>IF($N89="","",N(INDEX('Cronograma R. Financiero'!$W$5:$W$1000,$N89)))</f>
        <v/>
      </c>
      <c r="Q89">
        <f>IF(OR(LEFT($L89,7)="Vencida",LEFT($L89,5)="Vence"),SUMPRODUCT(--(LEFT($L$5:$L89,7)="Vencida"))+SUMPRODUCT(--(LEFT($L$5:$L89,5)="Vence")),"")</f>
        <v/>
      </c>
    </row>
    <row r="90">
      <c r="A90" s="56">
        <f>IF($N90="","",INDEX('Cronograma R. Financiero'!$A$5:$A$1000,$N90))</f>
        <v/>
      </c>
      <c r="B90" s="62">
        <f>IF($N90="","",IF($O90="Sub","      ↳  "&amp;INDEX('Cronograma R. Financiero'!$C$5:$C$1000,$N90),INDEX('Cronograma R. Financiero'!$C$5:$C$1000,$N90)&amp;""))</f>
        <v/>
      </c>
      <c r="C90" s="79">
        <f>IF($N90="","",IF(INDEX('Cronograma R. Financiero'!$AM$5:$AM$1000,$N90)="","",INDEX('Cronograma R. Financiero'!$AM$5:$AM$1000,$N90)))</f>
        <v/>
      </c>
      <c r="D90" s="79">
        <f>IF($N90="","",IF(INDEX('Cronograma R. Financiero'!$AN$5:$AN$1000,$N90)="","",INDEX('Cronograma R. Financiero'!$AN$5:$AN$1000,$N90)))</f>
        <v/>
      </c>
      <c r="E90" s="56">
        <f>IF($N90="","",IF(NOT(ISNUMBER($D90)),"",IF($D90&lt;InicioCiclo,"Antes del ciclo",IF($D90&gt;=InicioCiclo+28,"Después del ciclo","Semana "&amp;(INT(($D90-InicioCiclo)/7)+1)))))</f>
        <v/>
      </c>
      <c r="F90" s="61">
        <f>IF($N90="","",IF($P90&gt;0,IF(1&lt;=SemanaActual,INDEX('Cronograma R. Financiero'!$AC$5:$AC$1000,$N90),""),IF(INDEX('Cronograma R. Financiero'!$I$5:$I$1000,$N90)="","",INDEX('Cronograma R. Financiero'!$I$5:$I$1000,$N90))))</f>
        <v/>
      </c>
      <c r="G90" s="61">
        <f>IF($N90="","",IF($P90&gt;0,IF(2&lt;=SemanaActual,INDEX('Cronograma R. Financiero'!$AD$5:$AD$1000,$N90),""),IF(INDEX('Cronograma R. Financiero'!$J$5:$J$1000,$N90)="","",INDEX('Cronograma R. Financiero'!$J$5:$J$1000,$N90))))</f>
        <v/>
      </c>
      <c r="H90" s="61">
        <f>IF($N90="","",IF($P90&gt;0,IF(3&lt;=SemanaActual,INDEX('Cronograma R. Financiero'!$AE$5:$AE$1000,$N90),""),IF(INDEX('Cronograma R. Financiero'!$K$5:$K$1000,$N90)="","",INDEX('Cronograma R. Financiero'!$K$5:$K$1000,$N90))))</f>
        <v/>
      </c>
      <c r="I90" s="61">
        <f>IF($N90="","",IF($P90&gt;0,IF(4&lt;=SemanaActual,INDEX('Cronograma R. Financiero'!$AF$5:$AF$1000,$N90),""),IF(INDEX('Cronograma R. Financiero'!$L$5:$L$1000,$N90)="","",INDEX('Cronograma R. Financiero'!$L$5:$L$1000,$N90))))</f>
        <v/>
      </c>
      <c r="J90" s="61">
        <f>IF($N90="","",INDEX('Cronograma R. Financiero'!$M$5:$M$1000,$N90))</f>
        <v/>
      </c>
      <c r="K90" s="56">
        <f>IF($N90="","",IF(N($J90)&gt;=1,"Completado",IF(AND(ISNUMBER($D90),$D90&lt;FechaRef),"Vencida",IF(N($J90)&gt;0,"En curso","Pendiente"))))</f>
        <v/>
      </c>
      <c r="L90" s="56">
        <f>IF($N90="","",INDEX('Cronograma R. Financiero'!$O$5:$O$1000,$N90)&amp;"")</f>
        <v/>
      </c>
      <c r="M90" s="62">
        <f>IF($N90="","",INDEX('Cronograma R. Financiero'!$Q$5:$Q$1000,$N90)&amp;"")</f>
        <v/>
      </c>
      <c r="N90">
        <f>IFERROR(MATCH(ROW()-4,rOrden_RF,0),"")</f>
        <v/>
      </c>
      <c r="O90">
        <f>IF($N90="","",INDEX('Cronograma R. Financiero'!$V$5:$V$1000,$N90))</f>
        <v/>
      </c>
      <c r="P90">
        <f>IF($N90="","",N(INDEX('Cronograma R. Financiero'!$W$5:$W$1000,$N90)))</f>
        <v/>
      </c>
      <c r="Q90">
        <f>IF(OR(LEFT($L90,7)="Vencida",LEFT($L90,5)="Vence"),SUMPRODUCT(--(LEFT($L$5:$L90,7)="Vencida"))+SUMPRODUCT(--(LEFT($L$5:$L90,5)="Vence")),"")</f>
        <v/>
      </c>
    </row>
    <row r="91">
      <c r="A91" s="56">
        <f>IF($N91="","",INDEX('Cronograma R. Financiero'!$A$5:$A$1000,$N91))</f>
        <v/>
      </c>
      <c r="B91" s="62">
        <f>IF($N91="","",IF($O91="Sub","      ↳  "&amp;INDEX('Cronograma R. Financiero'!$C$5:$C$1000,$N91),INDEX('Cronograma R. Financiero'!$C$5:$C$1000,$N91)&amp;""))</f>
        <v/>
      </c>
      <c r="C91" s="79">
        <f>IF($N91="","",IF(INDEX('Cronograma R. Financiero'!$AM$5:$AM$1000,$N91)="","",INDEX('Cronograma R. Financiero'!$AM$5:$AM$1000,$N91)))</f>
        <v/>
      </c>
      <c r="D91" s="79">
        <f>IF($N91="","",IF(INDEX('Cronograma R. Financiero'!$AN$5:$AN$1000,$N91)="","",INDEX('Cronograma R. Financiero'!$AN$5:$AN$1000,$N91)))</f>
        <v/>
      </c>
      <c r="E91" s="56">
        <f>IF($N91="","",IF(NOT(ISNUMBER($D91)),"",IF($D91&lt;InicioCiclo,"Antes del ciclo",IF($D91&gt;=InicioCiclo+28,"Después del ciclo","Semana "&amp;(INT(($D91-InicioCiclo)/7)+1)))))</f>
        <v/>
      </c>
      <c r="F91" s="61">
        <f>IF($N91="","",IF($P91&gt;0,IF(1&lt;=SemanaActual,INDEX('Cronograma R. Financiero'!$AC$5:$AC$1000,$N91),""),IF(INDEX('Cronograma R. Financiero'!$I$5:$I$1000,$N91)="","",INDEX('Cronograma R. Financiero'!$I$5:$I$1000,$N91))))</f>
        <v/>
      </c>
      <c r="G91" s="61">
        <f>IF($N91="","",IF($P91&gt;0,IF(2&lt;=SemanaActual,INDEX('Cronograma R. Financiero'!$AD$5:$AD$1000,$N91),""),IF(INDEX('Cronograma R. Financiero'!$J$5:$J$1000,$N91)="","",INDEX('Cronograma R. Financiero'!$J$5:$J$1000,$N91))))</f>
        <v/>
      </c>
      <c r="H91" s="61">
        <f>IF($N91="","",IF($P91&gt;0,IF(3&lt;=SemanaActual,INDEX('Cronograma R. Financiero'!$AE$5:$AE$1000,$N91),""),IF(INDEX('Cronograma R. Financiero'!$K$5:$K$1000,$N91)="","",INDEX('Cronograma R. Financiero'!$K$5:$K$1000,$N91))))</f>
        <v/>
      </c>
      <c r="I91" s="61">
        <f>IF($N91="","",IF($P91&gt;0,IF(4&lt;=SemanaActual,INDEX('Cronograma R. Financiero'!$AF$5:$AF$1000,$N91),""),IF(INDEX('Cronograma R. Financiero'!$L$5:$L$1000,$N91)="","",INDEX('Cronograma R. Financiero'!$L$5:$L$1000,$N91))))</f>
        <v/>
      </c>
      <c r="J91" s="61">
        <f>IF($N91="","",INDEX('Cronograma R. Financiero'!$M$5:$M$1000,$N91))</f>
        <v/>
      </c>
      <c r="K91" s="56">
        <f>IF($N91="","",IF(N($J91)&gt;=1,"Completado",IF(AND(ISNUMBER($D91),$D91&lt;FechaRef),"Vencida",IF(N($J91)&gt;0,"En curso","Pendiente"))))</f>
        <v/>
      </c>
      <c r="L91" s="56">
        <f>IF($N91="","",INDEX('Cronograma R. Financiero'!$O$5:$O$1000,$N91)&amp;"")</f>
        <v/>
      </c>
      <c r="M91" s="62">
        <f>IF($N91="","",INDEX('Cronograma R. Financiero'!$Q$5:$Q$1000,$N91)&amp;"")</f>
        <v/>
      </c>
      <c r="N91">
        <f>IFERROR(MATCH(ROW()-4,rOrden_RF,0),"")</f>
        <v/>
      </c>
      <c r="O91">
        <f>IF($N91="","",INDEX('Cronograma R. Financiero'!$V$5:$V$1000,$N91))</f>
        <v/>
      </c>
      <c r="P91">
        <f>IF($N91="","",N(INDEX('Cronograma R. Financiero'!$W$5:$W$1000,$N91)))</f>
        <v/>
      </c>
      <c r="Q91">
        <f>IF(OR(LEFT($L91,7)="Vencida",LEFT($L91,5)="Vence"),SUMPRODUCT(--(LEFT($L$5:$L91,7)="Vencida"))+SUMPRODUCT(--(LEFT($L$5:$L91,5)="Vence")),"")</f>
        <v/>
      </c>
    </row>
    <row r="92">
      <c r="A92" s="56">
        <f>IF($N92="","",INDEX('Cronograma R. Financiero'!$A$5:$A$1000,$N92))</f>
        <v/>
      </c>
      <c r="B92" s="62">
        <f>IF($N92="","",IF($O92="Sub","      ↳  "&amp;INDEX('Cronograma R. Financiero'!$C$5:$C$1000,$N92),INDEX('Cronograma R. Financiero'!$C$5:$C$1000,$N92)&amp;""))</f>
        <v/>
      </c>
      <c r="C92" s="79">
        <f>IF($N92="","",IF(INDEX('Cronograma R. Financiero'!$AM$5:$AM$1000,$N92)="","",INDEX('Cronograma R. Financiero'!$AM$5:$AM$1000,$N92)))</f>
        <v/>
      </c>
      <c r="D92" s="79">
        <f>IF($N92="","",IF(INDEX('Cronograma R. Financiero'!$AN$5:$AN$1000,$N92)="","",INDEX('Cronograma R. Financiero'!$AN$5:$AN$1000,$N92)))</f>
        <v/>
      </c>
      <c r="E92" s="56">
        <f>IF($N92="","",IF(NOT(ISNUMBER($D92)),"",IF($D92&lt;InicioCiclo,"Antes del ciclo",IF($D92&gt;=InicioCiclo+28,"Después del ciclo","Semana "&amp;(INT(($D92-InicioCiclo)/7)+1)))))</f>
        <v/>
      </c>
      <c r="F92" s="61">
        <f>IF($N92="","",IF($P92&gt;0,IF(1&lt;=SemanaActual,INDEX('Cronograma R. Financiero'!$AC$5:$AC$1000,$N92),""),IF(INDEX('Cronograma R. Financiero'!$I$5:$I$1000,$N92)="","",INDEX('Cronograma R. Financiero'!$I$5:$I$1000,$N92))))</f>
        <v/>
      </c>
      <c r="G92" s="61">
        <f>IF($N92="","",IF($P92&gt;0,IF(2&lt;=SemanaActual,INDEX('Cronograma R. Financiero'!$AD$5:$AD$1000,$N92),""),IF(INDEX('Cronograma R. Financiero'!$J$5:$J$1000,$N92)="","",INDEX('Cronograma R. Financiero'!$J$5:$J$1000,$N92))))</f>
        <v/>
      </c>
      <c r="H92" s="61">
        <f>IF($N92="","",IF($P92&gt;0,IF(3&lt;=SemanaActual,INDEX('Cronograma R. Financiero'!$AE$5:$AE$1000,$N92),""),IF(INDEX('Cronograma R. Financiero'!$K$5:$K$1000,$N92)="","",INDEX('Cronograma R. Financiero'!$K$5:$K$1000,$N92))))</f>
        <v/>
      </c>
      <c r="I92" s="61">
        <f>IF($N92="","",IF($P92&gt;0,IF(4&lt;=SemanaActual,INDEX('Cronograma R. Financiero'!$AF$5:$AF$1000,$N92),""),IF(INDEX('Cronograma R. Financiero'!$L$5:$L$1000,$N92)="","",INDEX('Cronograma R. Financiero'!$L$5:$L$1000,$N92))))</f>
        <v/>
      </c>
      <c r="J92" s="61">
        <f>IF($N92="","",INDEX('Cronograma R. Financiero'!$M$5:$M$1000,$N92))</f>
        <v/>
      </c>
      <c r="K92" s="56">
        <f>IF($N92="","",IF(N($J92)&gt;=1,"Completado",IF(AND(ISNUMBER($D92),$D92&lt;FechaRef),"Vencida",IF(N($J92)&gt;0,"En curso","Pendiente"))))</f>
        <v/>
      </c>
      <c r="L92" s="56">
        <f>IF($N92="","",INDEX('Cronograma R. Financiero'!$O$5:$O$1000,$N92)&amp;"")</f>
        <v/>
      </c>
      <c r="M92" s="62">
        <f>IF($N92="","",INDEX('Cronograma R. Financiero'!$Q$5:$Q$1000,$N92)&amp;"")</f>
        <v/>
      </c>
      <c r="N92">
        <f>IFERROR(MATCH(ROW()-4,rOrden_RF,0),"")</f>
        <v/>
      </c>
      <c r="O92">
        <f>IF($N92="","",INDEX('Cronograma R. Financiero'!$V$5:$V$1000,$N92))</f>
        <v/>
      </c>
      <c r="P92">
        <f>IF($N92="","",N(INDEX('Cronograma R. Financiero'!$W$5:$W$1000,$N92)))</f>
        <v/>
      </c>
      <c r="Q92">
        <f>IF(OR(LEFT($L92,7)="Vencida",LEFT($L92,5)="Vence"),SUMPRODUCT(--(LEFT($L$5:$L92,7)="Vencida"))+SUMPRODUCT(--(LEFT($L$5:$L92,5)="Vence")),"")</f>
        <v/>
      </c>
    </row>
    <row r="93">
      <c r="A93" s="56">
        <f>IF($N93="","",INDEX('Cronograma R. Financiero'!$A$5:$A$1000,$N93))</f>
        <v/>
      </c>
      <c r="B93" s="62">
        <f>IF($N93="","",IF($O93="Sub","      ↳  "&amp;INDEX('Cronograma R. Financiero'!$C$5:$C$1000,$N93),INDEX('Cronograma R. Financiero'!$C$5:$C$1000,$N93)&amp;""))</f>
        <v/>
      </c>
      <c r="C93" s="79">
        <f>IF($N93="","",IF(INDEX('Cronograma R. Financiero'!$AM$5:$AM$1000,$N93)="","",INDEX('Cronograma R. Financiero'!$AM$5:$AM$1000,$N93)))</f>
        <v/>
      </c>
      <c r="D93" s="79">
        <f>IF($N93="","",IF(INDEX('Cronograma R. Financiero'!$AN$5:$AN$1000,$N93)="","",INDEX('Cronograma R. Financiero'!$AN$5:$AN$1000,$N93)))</f>
        <v/>
      </c>
      <c r="E93" s="56">
        <f>IF($N93="","",IF(NOT(ISNUMBER($D93)),"",IF($D93&lt;InicioCiclo,"Antes del ciclo",IF($D93&gt;=InicioCiclo+28,"Después del ciclo","Semana "&amp;(INT(($D93-InicioCiclo)/7)+1)))))</f>
        <v/>
      </c>
      <c r="F93" s="61">
        <f>IF($N93="","",IF($P93&gt;0,IF(1&lt;=SemanaActual,INDEX('Cronograma R. Financiero'!$AC$5:$AC$1000,$N93),""),IF(INDEX('Cronograma R. Financiero'!$I$5:$I$1000,$N93)="","",INDEX('Cronograma R. Financiero'!$I$5:$I$1000,$N93))))</f>
        <v/>
      </c>
      <c r="G93" s="61">
        <f>IF($N93="","",IF($P93&gt;0,IF(2&lt;=SemanaActual,INDEX('Cronograma R. Financiero'!$AD$5:$AD$1000,$N93),""),IF(INDEX('Cronograma R. Financiero'!$J$5:$J$1000,$N93)="","",INDEX('Cronograma R. Financiero'!$J$5:$J$1000,$N93))))</f>
        <v/>
      </c>
      <c r="H93" s="61">
        <f>IF($N93="","",IF($P93&gt;0,IF(3&lt;=SemanaActual,INDEX('Cronograma R. Financiero'!$AE$5:$AE$1000,$N93),""),IF(INDEX('Cronograma R. Financiero'!$K$5:$K$1000,$N93)="","",INDEX('Cronograma R. Financiero'!$K$5:$K$1000,$N93))))</f>
        <v/>
      </c>
      <c r="I93" s="61">
        <f>IF($N93="","",IF($P93&gt;0,IF(4&lt;=SemanaActual,INDEX('Cronograma R. Financiero'!$AF$5:$AF$1000,$N93),""),IF(INDEX('Cronograma R. Financiero'!$L$5:$L$1000,$N93)="","",INDEX('Cronograma R. Financiero'!$L$5:$L$1000,$N93))))</f>
        <v/>
      </c>
      <c r="J93" s="61">
        <f>IF($N93="","",INDEX('Cronograma R. Financiero'!$M$5:$M$1000,$N93))</f>
        <v/>
      </c>
      <c r="K93" s="56">
        <f>IF($N93="","",IF(N($J93)&gt;=1,"Completado",IF(AND(ISNUMBER($D93),$D93&lt;FechaRef),"Vencida",IF(N($J93)&gt;0,"En curso","Pendiente"))))</f>
        <v/>
      </c>
      <c r="L93" s="56">
        <f>IF($N93="","",INDEX('Cronograma R. Financiero'!$O$5:$O$1000,$N93)&amp;"")</f>
        <v/>
      </c>
      <c r="M93" s="62">
        <f>IF($N93="","",INDEX('Cronograma R. Financiero'!$Q$5:$Q$1000,$N93)&amp;"")</f>
        <v/>
      </c>
      <c r="N93">
        <f>IFERROR(MATCH(ROW()-4,rOrden_RF,0),"")</f>
        <v/>
      </c>
      <c r="O93">
        <f>IF($N93="","",INDEX('Cronograma R. Financiero'!$V$5:$V$1000,$N93))</f>
        <v/>
      </c>
      <c r="P93">
        <f>IF($N93="","",N(INDEX('Cronograma R. Financiero'!$W$5:$W$1000,$N93)))</f>
        <v/>
      </c>
      <c r="Q93">
        <f>IF(OR(LEFT($L93,7)="Vencida",LEFT($L93,5)="Vence"),SUMPRODUCT(--(LEFT($L$5:$L93,7)="Vencida"))+SUMPRODUCT(--(LEFT($L$5:$L93,5)="Vence")),"")</f>
        <v/>
      </c>
    </row>
    <row r="94">
      <c r="A94" s="56">
        <f>IF($N94="","",INDEX('Cronograma R. Financiero'!$A$5:$A$1000,$N94))</f>
        <v/>
      </c>
      <c r="B94" s="62">
        <f>IF($N94="","",IF($O94="Sub","      ↳  "&amp;INDEX('Cronograma R. Financiero'!$C$5:$C$1000,$N94),INDEX('Cronograma R. Financiero'!$C$5:$C$1000,$N94)&amp;""))</f>
        <v/>
      </c>
      <c r="C94" s="79">
        <f>IF($N94="","",IF(INDEX('Cronograma R. Financiero'!$AM$5:$AM$1000,$N94)="","",INDEX('Cronograma R. Financiero'!$AM$5:$AM$1000,$N94)))</f>
        <v/>
      </c>
      <c r="D94" s="79">
        <f>IF($N94="","",IF(INDEX('Cronograma R. Financiero'!$AN$5:$AN$1000,$N94)="","",INDEX('Cronograma R. Financiero'!$AN$5:$AN$1000,$N94)))</f>
        <v/>
      </c>
      <c r="E94" s="56">
        <f>IF($N94="","",IF(NOT(ISNUMBER($D94)),"",IF($D94&lt;InicioCiclo,"Antes del ciclo",IF($D94&gt;=InicioCiclo+28,"Después del ciclo","Semana "&amp;(INT(($D94-InicioCiclo)/7)+1)))))</f>
        <v/>
      </c>
      <c r="F94" s="61">
        <f>IF($N94="","",IF($P94&gt;0,IF(1&lt;=SemanaActual,INDEX('Cronograma R. Financiero'!$AC$5:$AC$1000,$N94),""),IF(INDEX('Cronograma R. Financiero'!$I$5:$I$1000,$N94)="","",INDEX('Cronograma R. Financiero'!$I$5:$I$1000,$N94))))</f>
        <v/>
      </c>
      <c r="G94" s="61">
        <f>IF($N94="","",IF($P94&gt;0,IF(2&lt;=SemanaActual,INDEX('Cronograma R. Financiero'!$AD$5:$AD$1000,$N94),""),IF(INDEX('Cronograma R. Financiero'!$J$5:$J$1000,$N94)="","",INDEX('Cronograma R. Financiero'!$J$5:$J$1000,$N94))))</f>
        <v/>
      </c>
      <c r="H94" s="61">
        <f>IF($N94="","",IF($P94&gt;0,IF(3&lt;=SemanaActual,INDEX('Cronograma R. Financiero'!$AE$5:$AE$1000,$N94),""),IF(INDEX('Cronograma R. Financiero'!$K$5:$K$1000,$N94)="","",INDEX('Cronograma R. Financiero'!$K$5:$K$1000,$N94))))</f>
        <v/>
      </c>
      <c r="I94" s="61">
        <f>IF($N94="","",IF($P94&gt;0,IF(4&lt;=SemanaActual,INDEX('Cronograma R. Financiero'!$AF$5:$AF$1000,$N94),""),IF(INDEX('Cronograma R. Financiero'!$L$5:$L$1000,$N94)="","",INDEX('Cronograma R. Financiero'!$L$5:$L$1000,$N94))))</f>
        <v/>
      </c>
      <c r="J94" s="61">
        <f>IF($N94="","",INDEX('Cronograma R. Financiero'!$M$5:$M$1000,$N94))</f>
        <v/>
      </c>
      <c r="K94" s="56">
        <f>IF($N94="","",IF(N($J94)&gt;=1,"Completado",IF(AND(ISNUMBER($D94),$D94&lt;FechaRef),"Vencida",IF(N($J94)&gt;0,"En curso","Pendiente"))))</f>
        <v/>
      </c>
      <c r="L94" s="56">
        <f>IF($N94="","",INDEX('Cronograma R. Financiero'!$O$5:$O$1000,$N94)&amp;"")</f>
        <v/>
      </c>
      <c r="M94" s="62">
        <f>IF($N94="","",INDEX('Cronograma R. Financiero'!$Q$5:$Q$1000,$N94)&amp;"")</f>
        <v/>
      </c>
      <c r="N94">
        <f>IFERROR(MATCH(ROW()-4,rOrden_RF,0),"")</f>
        <v/>
      </c>
      <c r="O94">
        <f>IF($N94="","",INDEX('Cronograma R. Financiero'!$V$5:$V$1000,$N94))</f>
        <v/>
      </c>
      <c r="P94">
        <f>IF($N94="","",N(INDEX('Cronograma R. Financiero'!$W$5:$W$1000,$N94)))</f>
        <v/>
      </c>
      <c r="Q94">
        <f>IF(OR(LEFT($L94,7)="Vencida",LEFT($L94,5)="Vence"),SUMPRODUCT(--(LEFT($L$5:$L94,7)="Vencida"))+SUMPRODUCT(--(LEFT($L$5:$L94,5)="Vence")),"")</f>
        <v/>
      </c>
    </row>
    <row r="95">
      <c r="A95" s="56">
        <f>IF($N95="","",INDEX('Cronograma R. Financiero'!$A$5:$A$1000,$N95))</f>
        <v/>
      </c>
      <c r="B95" s="62">
        <f>IF($N95="","",IF($O95="Sub","      ↳  "&amp;INDEX('Cronograma R. Financiero'!$C$5:$C$1000,$N95),INDEX('Cronograma R. Financiero'!$C$5:$C$1000,$N95)&amp;""))</f>
        <v/>
      </c>
      <c r="C95" s="79">
        <f>IF($N95="","",IF(INDEX('Cronograma R. Financiero'!$AM$5:$AM$1000,$N95)="","",INDEX('Cronograma R. Financiero'!$AM$5:$AM$1000,$N95)))</f>
        <v/>
      </c>
      <c r="D95" s="79">
        <f>IF($N95="","",IF(INDEX('Cronograma R. Financiero'!$AN$5:$AN$1000,$N95)="","",INDEX('Cronograma R. Financiero'!$AN$5:$AN$1000,$N95)))</f>
        <v/>
      </c>
      <c r="E95" s="56">
        <f>IF($N95="","",IF(NOT(ISNUMBER($D95)),"",IF($D95&lt;InicioCiclo,"Antes del ciclo",IF($D95&gt;=InicioCiclo+28,"Después del ciclo","Semana "&amp;(INT(($D95-InicioCiclo)/7)+1)))))</f>
        <v/>
      </c>
      <c r="F95" s="61">
        <f>IF($N95="","",IF($P95&gt;0,IF(1&lt;=SemanaActual,INDEX('Cronograma R. Financiero'!$AC$5:$AC$1000,$N95),""),IF(INDEX('Cronograma R. Financiero'!$I$5:$I$1000,$N95)="","",INDEX('Cronograma R. Financiero'!$I$5:$I$1000,$N95))))</f>
        <v/>
      </c>
      <c r="G95" s="61">
        <f>IF($N95="","",IF($P95&gt;0,IF(2&lt;=SemanaActual,INDEX('Cronograma R. Financiero'!$AD$5:$AD$1000,$N95),""),IF(INDEX('Cronograma R. Financiero'!$J$5:$J$1000,$N95)="","",INDEX('Cronograma R. Financiero'!$J$5:$J$1000,$N95))))</f>
        <v/>
      </c>
      <c r="H95" s="61">
        <f>IF($N95="","",IF($P95&gt;0,IF(3&lt;=SemanaActual,INDEX('Cronograma R. Financiero'!$AE$5:$AE$1000,$N95),""),IF(INDEX('Cronograma R. Financiero'!$K$5:$K$1000,$N95)="","",INDEX('Cronograma R. Financiero'!$K$5:$K$1000,$N95))))</f>
        <v/>
      </c>
      <c r="I95" s="61">
        <f>IF($N95="","",IF($P95&gt;0,IF(4&lt;=SemanaActual,INDEX('Cronograma R. Financiero'!$AF$5:$AF$1000,$N95),""),IF(INDEX('Cronograma R. Financiero'!$L$5:$L$1000,$N95)="","",INDEX('Cronograma R. Financiero'!$L$5:$L$1000,$N95))))</f>
        <v/>
      </c>
      <c r="J95" s="61">
        <f>IF($N95="","",INDEX('Cronograma R. Financiero'!$M$5:$M$1000,$N95))</f>
        <v/>
      </c>
      <c r="K95" s="56">
        <f>IF($N95="","",IF(N($J95)&gt;=1,"Completado",IF(AND(ISNUMBER($D95),$D95&lt;FechaRef),"Vencida",IF(N($J95)&gt;0,"En curso","Pendiente"))))</f>
        <v/>
      </c>
      <c r="L95" s="56">
        <f>IF($N95="","",INDEX('Cronograma R. Financiero'!$O$5:$O$1000,$N95)&amp;"")</f>
        <v/>
      </c>
      <c r="M95" s="62">
        <f>IF($N95="","",INDEX('Cronograma R. Financiero'!$Q$5:$Q$1000,$N95)&amp;"")</f>
        <v/>
      </c>
      <c r="N95">
        <f>IFERROR(MATCH(ROW()-4,rOrden_RF,0),"")</f>
        <v/>
      </c>
      <c r="O95">
        <f>IF($N95="","",INDEX('Cronograma R. Financiero'!$V$5:$V$1000,$N95))</f>
        <v/>
      </c>
      <c r="P95">
        <f>IF($N95="","",N(INDEX('Cronograma R. Financiero'!$W$5:$W$1000,$N95)))</f>
        <v/>
      </c>
      <c r="Q95">
        <f>IF(OR(LEFT($L95,7)="Vencida",LEFT($L95,5)="Vence"),SUMPRODUCT(--(LEFT($L$5:$L95,7)="Vencida"))+SUMPRODUCT(--(LEFT($L$5:$L95,5)="Vence")),"")</f>
        <v/>
      </c>
    </row>
    <row r="96">
      <c r="A96" s="56">
        <f>IF($N96="","",INDEX('Cronograma R. Financiero'!$A$5:$A$1000,$N96))</f>
        <v/>
      </c>
      <c r="B96" s="62">
        <f>IF($N96="","",IF($O96="Sub","      ↳  "&amp;INDEX('Cronograma R. Financiero'!$C$5:$C$1000,$N96),INDEX('Cronograma R. Financiero'!$C$5:$C$1000,$N96)&amp;""))</f>
        <v/>
      </c>
      <c r="C96" s="79">
        <f>IF($N96="","",IF(INDEX('Cronograma R. Financiero'!$AM$5:$AM$1000,$N96)="","",INDEX('Cronograma R. Financiero'!$AM$5:$AM$1000,$N96)))</f>
        <v/>
      </c>
      <c r="D96" s="79">
        <f>IF($N96="","",IF(INDEX('Cronograma R. Financiero'!$AN$5:$AN$1000,$N96)="","",INDEX('Cronograma R. Financiero'!$AN$5:$AN$1000,$N96)))</f>
        <v/>
      </c>
      <c r="E96" s="56">
        <f>IF($N96="","",IF(NOT(ISNUMBER($D96)),"",IF($D96&lt;InicioCiclo,"Antes del ciclo",IF($D96&gt;=InicioCiclo+28,"Después del ciclo","Semana "&amp;(INT(($D96-InicioCiclo)/7)+1)))))</f>
        <v/>
      </c>
      <c r="F96" s="61">
        <f>IF($N96="","",IF($P96&gt;0,IF(1&lt;=SemanaActual,INDEX('Cronograma R. Financiero'!$AC$5:$AC$1000,$N96),""),IF(INDEX('Cronograma R. Financiero'!$I$5:$I$1000,$N96)="","",INDEX('Cronograma R. Financiero'!$I$5:$I$1000,$N96))))</f>
        <v/>
      </c>
      <c r="G96" s="61">
        <f>IF($N96="","",IF($P96&gt;0,IF(2&lt;=SemanaActual,INDEX('Cronograma R. Financiero'!$AD$5:$AD$1000,$N96),""),IF(INDEX('Cronograma R. Financiero'!$J$5:$J$1000,$N96)="","",INDEX('Cronograma R. Financiero'!$J$5:$J$1000,$N96))))</f>
        <v/>
      </c>
      <c r="H96" s="61">
        <f>IF($N96="","",IF($P96&gt;0,IF(3&lt;=SemanaActual,INDEX('Cronograma R. Financiero'!$AE$5:$AE$1000,$N96),""),IF(INDEX('Cronograma R. Financiero'!$K$5:$K$1000,$N96)="","",INDEX('Cronograma R. Financiero'!$K$5:$K$1000,$N96))))</f>
        <v/>
      </c>
      <c r="I96" s="61">
        <f>IF($N96="","",IF($P96&gt;0,IF(4&lt;=SemanaActual,INDEX('Cronograma R. Financiero'!$AF$5:$AF$1000,$N96),""),IF(INDEX('Cronograma R. Financiero'!$L$5:$L$1000,$N96)="","",INDEX('Cronograma R. Financiero'!$L$5:$L$1000,$N96))))</f>
        <v/>
      </c>
      <c r="J96" s="61">
        <f>IF($N96="","",INDEX('Cronograma R. Financiero'!$M$5:$M$1000,$N96))</f>
        <v/>
      </c>
      <c r="K96" s="56">
        <f>IF($N96="","",IF(N($J96)&gt;=1,"Completado",IF(AND(ISNUMBER($D96),$D96&lt;FechaRef),"Vencida",IF(N($J96)&gt;0,"En curso","Pendiente"))))</f>
        <v/>
      </c>
      <c r="L96" s="56">
        <f>IF($N96="","",INDEX('Cronograma R. Financiero'!$O$5:$O$1000,$N96)&amp;"")</f>
        <v/>
      </c>
      <c r="M96" s="62">
        <f>IF($N96="","",INDEX('Cronograma R. Financiero'!$Q$5:$Q$1000,$N96)&amp;"")</f>
        <v/>
      </c>
      <c r="N96">
        <f>IFERROR(MATCH(ROW()-4,rOrden_RF,0),"")</f>
        <v/>
      </c>
      <c r="O96">
        <f>IF($N96="","",INDEX('Cronograma R. Financiero'!$V$5:$V$1000,$N96))</f>
        <v/>
      </c>
      <c r="P96">
        <f>IF($N96="","",N(INDEX('Cronograma R. Financiero'!$W$5:$W$1000,$N96)))</f>
        <v/>
      </c>
      <c r="Q96">
        <f>IF(OR(LEFT($L96,7)="Vencida",LEFT($L96,5)="Vence"),SUMPRODUCT(--(LEFT($L$5:$L96,7)="Vencida"))+SUMPRODUCT(--(LEFT($L$5:$L96,5)="Vence")),"")</f>
        <v/>
      </c>
    </row>
    <row r="97">
      <c r="A97" s="56">
        <f>IF($N97="","",INDEX('Cronograma R. Financiero'!$A$5:$A$1000,$N97))</f>
        <v/>
      </c>
      <c r="B97" s="62">
        <f>IF($N97="","",IF($O97="Sub","      ↳  "&amp;INDEX('Cronograma R. Financiero'!$C$5:$C$1000,$N97),INDEX('Cronograma R. Financiero'!$C$5:$C$1000,$N97)&amp;""))</f>
        <v/>
      </c>
      <c r="C97" s="79">
        <f>IF($N97="","",IF(INDEX('Cronograma R. Financiero'!$AM$5:$AM$1000,$N97)="","",INDEX('Cronograma R. Financiero'!$AM$5:$AM$1000,$N97)))</f>
        <v/>
      </c>
      <c r="D97" s="79">
        <f>IF($N97="","",IF(INDEX('Cronograma R. Financiero'!$AN$5:$AN$1000,$N97)="","",INDEX('Cronograma R. Financiero'!$AN$5:$AN$1000,$N97)))</f>
        <v/>
      </c>
      <c r="E97" s="56">
        <f>IF($N97="","",IF(NOT(ISNUMBER($D97)),"",IF($D97&lt;InicioCiclo,"Antes del ciclo",IF($D97&gt;=InicioCiclo+28,"Después del ciclo","Semana "&amp;(INT(($D97-InicioCiclo)/7)+1)))))</f>
        <v/>
      </c>
      <c r="F97" s="61">
        <f>IF($N97="","",IF($P97&gt;0,IF(1&lt;=SemanaActual,INDEX('Cronograma R. Financiero'!$AC$5:$AC$1000,$N97),""),IF(INDEX('Cronograma R. Financiero'!$I$5:$I$1000,$N97)="","",INDEX('Cronograma R. Financiero'!$I$5:$I$1000,$N97))))</f>
        <v/>
      </c>
      <c r="G97" s="61">
        <f>IF($N97="","",IF($P97&gt;0,IF(2&lt;=SemanaActual,INDEX('Cronograma R. Financiero'!$AD$5:$AD$1000,$N97),""),IF(INDEX('Cronograma R. Financiero'!$J$5:$J$1000,$N97)="","",INDEX('Cronograma R. Financiero'!$J$5:$J$1000,$N97))))</f>
        <v/>
      </c>
      <c r="H97" s="61">
        <f>IF($N97="","",IF($P97&gt;0,IF(3&lt;=SemanaActual,INDEX('Cronograma R. Financiero'!$AE$5:$AE$1000,$N97),""),IF(INDEX('Cronograma R. Financiero'!$K$5:$K$1000,$N97)="","",INDEX('Cronograma R. Financiero'!$K$5:$K$1000,$N97))))</f>
        <v/>
      </c>
      <c r="I97" s="61">
        <f>IF($N97="","",IF($P97&gt;0,IF(4&lt;=SemanaActual,INDEX('Cronograma R. Financiero'!$AF$5:$AF$1000,$N97),""),IF(INDEX('Cronograma R. Financiero'!$L$5:$L$1000,$N97)="","",INDEX('Cronograma R. Financiero'!$L$5:$L$1000,$N97))))</f>
        <v/>
      </c>
      <c r="J97" s="61">
        <f>IF($N97="","",INDEX('Cronograma R. Financiero'!$M$5:$M$1000,$N97))</f>
        <v/>
      </c>
      <c r="K97" s="56">
        <f>IF($N97="","",IF(N($J97)&gt;=1,"Completado",IF(AND(ISNUMBER($D97),$D97&lt;FechaRef),"Vencida",IF(N($J97)&gt;0,"En curso","Pendiente"))))</f>
        <v/>
      </c>
      <c r="L97" s="56">
        <f>IF($N97="","",INDEX('Cronograma R. Financiero'!$O$5:$O$1000,$N97)&amp;"")</f>
        <v/>
      </c>
      <c r="M97" s="62">
        <f>IF($N97="","",INDEX('Cronograma R. Financiero'!$Q$5:$Q$1000,$N97)&amp;"")</f>
        <v/>
      </c>
      <c r="N97">
        <f>IFERROR(MATCH(ROW()-4,rOrden_RF,0),"")</f>
        <v/>
      </c>
      <c r="O97">
        <f>IF($N97="","",INDEX('Cronograma R. Financiero'!$V$5:$V$1000,$N97))</f>
        <v/>
      </c>
      <c r="P97">
        <f>IF($N97="","",N(INDEX('Cronograma R. Financiero'!$W$5:$W$1000,$N97)))</f>
        <v/>
      </c>
      <c r="Q97">
        <f>IF(OR(LEFT($L97,7)="Vencida",LEFT($L97,5)="Vence"),SUMPRODUCT(--(LEFT($L$5:$L97,7)="Vencida"))+SUMPRODUCT(--(LEFT($L$5:$L97,5)="Vence")),"")</f>
        <v/>
      </c>
    </row>
    <row r="98">
      <c r="A98" s="56">
        <f>IF($N98="","",INDEX('Cronograma R. Financiero'!$A$5:$A$1000,$N98))</f>
        <v/>
      </c>
      <c r="B98" s="62">
        <f>IF($N98="","",IF($O98="Sub","      ↳  "&amp;INDEX('Cronograma R. Financiero'!$C$5:$C$1000,$N98),INDEX('Cronograma R. Financiero'!$C$5:$C$1000,$N98)&amp;""))</f>
        <v/>
      </c>
      <c r="C98" s="79">
        <f>IF($N98="","",IF(INDEX('Cronograma R. Financiero'!$AM$5:$AM$1000,$N98)="","",INDEX('Cronograma R. Financiero'!$AM$5:$AM$1000,$N98)))</f>
        <v/>
      </c>
      <c r="D98" s="79">
        <f>IF($N98="","",IF(INDEX('Cronograma R. Financiero'!$AN$5:$AN$1000,$N98)="","",INDEX('Cronograma R. Financiero'!$AN$5:$AN$1000,$N98)))</f>
        <v/>
      </c>
      <c r="E98" s="56">
        <f>IF($N98="","",IF(NOT(ISNUMBER($D98)),"",IF($D98&lt;InicioCiclo,"Antes del ciclo",IF($D98&gt;=InicioCiclo+28,"Después del ciclo","Semana "&amp;(INT(($D98-InicioCiclo)/7)+1)))))</f>
        <v/>
      </c>
      <c r="F98" s="61">
        <f>IF($N98="","",IF($P98&gt;0,IF(1&lt;=SemanaActual,INDEX('Cronograma R. Financiero'!$AC$5:$AC$1000,$N98),""),IF(INDEX('Cronograma R. Financiero'!$I$5:$I$1000,$N98)="","",INDEX('Cronograma R. Financiero'!$I$5:$I$1000,$N98))))</f>
        <v/>
      </c>
      <c r="G98" s="61">
        <f>IF($N98="","",IF($P98&gt;0,IF(2&lt;=SemanaActual,INDEX('Cronograma R. Financiero'!$AD$5:$AD$1000,$N98),""),IF(INDEX('Cronograma R. Financiero'!$J$5:$J$1000,$N98)="","",INDEX('Cronograma R. Financiero'!$J$5:$J$1000,$N98))))</f>
        <v/>
      </c>
      <c r="H98" s="61">
        <f>IF($N98="","",IF($P98&gt;0,IF(3&lt;=SemanaActual,INDEX('Cronograma R. Financiero'!$AE$5:$AE$1000,$N98),""),IF(INDEX('Cronograma R. Financiero'!$K$5:$K$1000,$N98)="","",INDEX('Cronograma R. Financiero'!$K$5:$K$1000,$N98))))</f>
        <v/>
      </c>
      <c r="I98" s="61">
        <f>IF($N98="","",IF($P98&gt;0,IF(4&lt;=SemanaActual,INDEX('Cronograma R. Financiero'!$AF$5:$AF$1000,$N98),""),IF(INDEX('Cronograma R. Financiero'!$L$5:$L$1000,$N98)="","",INDEX('Cronograma R. Financiero'!$L$5:$L$1000,$N98))))</f>
        <v/>
      </c>
      <c r="J98" s="61">
        <f>IF($N98="","",INDEX('Cronograma R. Financiero'!$M$5:$M$1000,$N98))</f>
        <v/>
      </c>
      <c r="K98" s="56">
        <f>IF($N98="","",IF(N($J98)&gt;=1,"Completado",IF(AND(ISNUMBER($D98),$D98&lt;FechaRef),"Vencida",IF(N($J98)&gt;0,"En curso","Pendiente"))))</f>
        <v/>
      </c>
      <c r="L98" s="56">
        <f>IF($N98="","",INDEX('Cronograma R. Financiero'!$O$5:$O$1000,$N98)&amp;"")</f>
        <v/>
      </c>
      <c r="M98" s="62">
        <f>IF($N98="","",INDEX('Cronograma R. Financiero'!$Q$5:$Q$1000,$N98)&amp;"")</f>
        <v/>
      </c>
      <c r="N98">
        <f>IFERROR(MATCH(ROW()-4,rOrden_RF,0),"")</f>
        <v/>
      </c>
      <c r="O98">
        <f>IF($N98="","",INDEX('Cronograma R. Financiero'!$V$5:$V$1000,$N98))</f>
        <v/>
      </c>
      <c r="P98">
        <f>IF($N98="","",N(INDEX('Cronograma R. Financiero'!$W$5:$W$1000,$N98)))</f>
        <v/>
      </c>
      <c r="Q98">
        <f>IF(OR(LEFT($L98,7)="Vencida",LEFT($L98,5)="Vence"),SUMPRODUCT(--(LEFT($L$5:$L98,7)="Vencida"))+SUMPRODUCT(--(LEFT($L$5:$L98,5)="Vence")),"")</f>
        <v/>
      </c>
    </row>
    <row r="99">
      <c r="A99" s="56">
        <f>IF($N99="","",INDEX('Cronograma R. Financiero'!$A$5:$A$1000,$N99))</f>
        <v/>
      </c>
      <c r="B99" s="62">
        <f>IF($N99="","",IF($O99="Sub","      ↳  "&amp;INDEX('Cronograma R. Financiero'!$C$5:$C$1000,$N99),INDEX('Cronograma R. Financiero'!$C$5:$C$1000,$N99)&amp;""))</f>
        <v/>
      </c>
      <c r="C99" s="79">
        <f>IF($N99="","",IF(INDEX('Cronograma R. Financiero'!$AM$5:$AM$1000,$N99)="","",INDEX('Cronograma R. Financiero'!$AM$5:$AM$1000,$N99)))</f>
        <v/>
      </c>
      <c r="D99" s="79">
        <f>IF($N99="","",IF(INDEX('Cronograma R. Financiero'!$AN$5:$AN$1000,$N99)="","",INDEX('Cronograma R. Financiero'!$AN$5:$AN$1000,$N99)))</f>
        <v/>
      </c>
      <c r="E99" s="56">
        <f>IF($N99="","",IF(NOT(ISNUMBER($D99)),"",IF($D99&lt;InicioCiclo,"Antes del ciclo",IF($D99&gt;=InicioCiclo+28,"Después del ciclo","Semana "&amp;(INT(($D99-InicioCiclo)/7)+1)))))</f>
        <v/>
      </c>
      <c r="F99" s="61">
        <f>IF($N99="","",IF($P99&gt;0,IF(1&lt;=SemanaActual,INDEX('Cronograma R. Financiero'!$AC$5:$AC$1000,$N99),""),IF(INDEX('Cronograma R. Financiero'!$I$5:$I$1000,$N99)="","",INDEX('Cronograma R. Financiero'!$I$5:$I$1000,$N99))))</f>
        <v/>
      </c>
      <c r="G99" s="61">
        <f>IF($N99="","",IF($P99&gt;0,IF(2&lt;=SemanaActual,INDEX('Cronograma R. Financiero'!$AD$5:$AD$1000,$N99),""),IF(INDEX('Cronograma R. Financiero'!$J$5:$J$1000,$N99)="","",INDEX('Cronograma R. Financiero'!$J$5:$J$1000,$N99))))</f>
        <v/>
      </c>
      <c r="H99" s="61">
        <f>IF($N99="","",IF($P99&gt;0,IF(3&lt;=SemanaActual,INDEX('Cronograma R. Financiero'!$AE$5:$AE$1000,$N99),""),IF(INDEX('Cronograma R. Financiero'!$K$5:$K$1000,$N99)="","",INDEX('Cronograma R. Financiero'!$K$5:$K$1000,$N99))))</f>
        <v/>
      </c>
      <c r="I99" s="61">
        <f>IF($N99="","",IF($P99&gt;0,IF(4&lt;=SemanaActual,INDEX('Cronograma R. Financiero'!$AF$5:$AF$1000,$N99),""),IF(INDEX('Cronograma R. Financiero'!$L$5:$L$1000,$N99)="","",INDEX('Cronograma R. Financiero'!$L$5:$L$1000,$N99))))</f>
        <v/>
      </c>
      <c r="J99" s="61">
        <f>IF($N99="","",INDEX('Cronograma R. Financiero'!$M$5:$M$1000,$N99))</f>
        <v/>
      </c>
      <c r="K99" s="56">
        <f>IF($N99="","",IF(N($J99)&gt;=1,"Completado",IF(AND(ISNUMBER($D99),$D99&lt;FechaRef),"Vencida",IF(N($J99)&gt;0,"En curso","Pendiente"))))</f>
        <v/>
      </c>
      <c r="L99" s="56">
        <f>IF($N99="","",INDEX('Cronograma R. Financiero'!$O$5:$O$1000,$N99)&amp;"")</f>
        <v/>
      </c>
      <c r="M99" s="62">
        <f>IF($N99="","",INDEX('Cronograma R. Financiero'!$Q$5:$Q$1000,$N99)&amp;"")</f>
        <v/>
      </c>
      <c r="N99">
        <f>IFERROR(MATCH(ROW()-4,rOrden_RF,0),"")</f>
        <v/>
      </c>
      <c r="O99">
        <f>IF($N99="","",INDEX('Cronograma R. Financiero'!$V$5:$V$1000,$N99))</f>
        <v/>
      </c>
      <c r="P99">
        <f>IF($N99="","",N(INDEX('Cronograma R. Financiero'!$W$5:$W$1000,$N99)))</f>
        <v/>
      </c>
      <c r="Q99">
        <f>IF(OR(LEFT($L99,7)="Vencida",LEFT($L99,5)="Vence"),SUMPRODUCT(--(LEFT($L$5:$L99,7)="Vencida"))+SUMPRODUCT(--(LEFT($L$5:$L99,5)="Vence")),"")</f>
        <v/>
      </c>
    </row>
    <row r="100">
      <c r="A100" s="56">
        <f>IF($N100="","",INDEX('Cronograma R. Financiero'!$A$5:$A$1000,$N100))</f>
        <v/>
      </c>
      <c r="B100" s="62">
        <f>IF($N100="","",IF($O100="Sub","      ↳  "&amp;INDEX('Cronograma R. Financiero'!$C$5:$C$1000,$N100),INDEX('Cronograma R. Financiero'!$C$5:$C$1000,$N100)&amp;""))</f>
        <v/>
      </c>
      <c r="C100" s="79">
        <f>IF($N100="","",IF(INDEX('Cronograma R. Financiero'!$AM$5:$AM$1000,$N100)="","",INDEX('Cronograma R. Financiero'!$AM$5:$AM$1000,$N100)))</f>
        <v/>
      </c>
      <c r="D100" s="79">
        <f>IF($N100="","",IF(INDEX('Cronograma R. Financiero'!$AN$5:$AN$1000,$N100)="","",INDEX('Cronograma R. Financiero'!$AN$5:$AN$1000,$N100)))</f>
        <v/>
      </c>
      <c r="E100" s="56">
        <f>IF($N100="","",IF(NOT(ISNUMBER($D100)),"",IF($D100&lt;InicioCiclo,"Antes del ciclo",IF($D100&gt;=InicioCiclo+28,"Después del ciclo","Semana "&amp;(INT(($D100-InicioCiclo)/7)+1)))))</f>
        <v/>
      </c>
      <c r="F100" s="61">
        <f>IF($N100="","",IF($P100&gt;0,IF(1&lt;=SemanaActual,INDEX('Cronograma R. Financiero'!$AC$5:$AC$1000,$N100),""),IF(INDEX('Cronograma R. Financiero'!$I$5:$I$1000,$N100)="","",INDEX('Cronograma R. Financiero'!$I$5:$I$1000,$N100))))</f>
        <v/>
      </c>
      <c r="G100" s="61">
        <f>IF($N100="","",IF($P100&gt;0,IF(2&lt;=SemanaActual,INDEX('Cronograma R. Financiero'!$AD$5:$AD$1000,$N100),""),IF(INDEX('Cronograma R. Financiero'!$J$5:$J$1000,$N100)="","",INDEX('Cronograma R. Financiero'!$J$5:$J$1000,$N100))))</f>
        <v/>
      </c>
      <c r="H100" s="61">
        <f>IF($N100="","",IF($P100&gt;0,IF(3&lt;=SemanaActual,INDEX('Cronograma R. Financiero'!$AE$5:$AE$1000,$N100),""),IF(INDEX('Cronograma R. Financiero'!$K$5:$K$1000,$N100)="","",INDEX('Cronograma R. Financiero'!$K$5:$K$1000,$N100))))</f>
        <v/>
      </c>
      <c r="I100" s="61">
        <f>IF($N100="","",IF($P100&gt;0,IF(4&lt;=SemanaActual,INDEX('Cronograma R. Financiero'!$AF$5:$AF$1000,$N100),""),IF(INDEX('Cronograma R. Financiero'!$L$5:$L$1000,$N100)="","",INDEX('Cronograma R. Financiero'!$L$5:$L$1000,$N100))))</f>
        <v/>
      </c>
      <c r="J100" s="61">
        <f>IF($N100="","",INDEX('Cronograma R. Financiero'!$M$5:$M$1000,$N100))</f>
        <v/>
      </c>
      <c r="K100" s="56">
        <f>IF($N100="","",IF(N($J100)&gt;=1,"Completado",IF(AND(ISNUMBER($D100),$D100&lt;FechaRef),"Vencida",IF(N($J100)&gt;0,"En curso","Pendiente"))))</f>
        <v/>
      </c>
      <c r="L100" s="56">
        <f>IF($N100="","",INDEX('Cronograma R. Financiero'!$O$5:$O$1000,$N100)&amp;"")</f>
        <v/>
      </c>
      <c r="M100" s="62">
        <f>IF($N100="","",INDEX('Cronograma R. Financiero'!$Q$5:$Q$1000,$N100)&amp;"")</f>
        <v/>
      </c>
      <c r="N100">
        <f>IFERROR(MATCH(ROW()-4,rOrden_RF,0),"")</f>
        <v/>
      </c>
      <c r="O100">
        <f>IF($N100="","",INDEX('Cronograma R. Financiero'!$V$5:$V$1000,$N100))</f>
        <v/>
      </c>
      <c r="P100">
        <f>IF($N100="","",N(INDEX('Cronograma R. Financiero'!$W$5:$W$1000,$N100)))</f>
        <v/>
      </c>
      <c r="Q100">
        <f>IF(OR(LEFT($L100,7)="Vencida",LEFT($L100,5)="Vence"),SUMPRODUCT(--(LEFT($L$5:$L100,7)="Vencida"))+SUMPRODUCT(--(LEFT($L$5:$L100,5)="Vence")),"")</f>
        <v/>
      </c>
    </row>
    <row r="101">
      <c r="A101" s="56">
        <f>IF($N101="","",INDEX('Cronograma R. Financiero'!$A$5:$A$1000,$N101))</f>
        <v/>
      </c>
      <c r="B101" s="62">
        <f>IF($N101="","",IF($O101="Sub","      ↳  "&amp;INDEX('Cronograma R. Financiero'!$C$5:$C$1000,$N101),INDEX('Cronograma R. Financiero'!$C$5:$C$1000,$N101)&amp;""))</f>
        <v/>
      </c>
      <c r="C101" s="79">
        <f>IF($N101="","",IF(INDEX('Cronograma R. Financiero'!$AM$5:$AM$1000,$N101)="","",INDEX('Cronograma R. Financiero'!$AM$5:$AM$1000,$N101)))</f>
        <v/>
      </c>
      <c r="D101" s="79">
        <f>IF($N101="","",IF(INDEX('Cronograma R. Financiero'!$AN$5:$AN$1000,$N101)="","",INDEX('Cronograma R. Financiero'!$AN$5:$AN$1000,$N101)))</f>
        <v/>
      </c>
      <c r="E101" s="56">
        <f>IF($N101="","",IF(NOT(ISNUMBER($D101)),"",IF($D101&lt;InicioCiclo,"Antes del ciclo",IF($D101&gt;=InicioCiclo+28,"Después del ciclo","Semana "&amp;(INT(($D101-InicioCiclo)/7)+1)))))</f>
        <v/>
      </c>
      <c r="F101" s="61">
        <f>IF($N101="","",IF($P101&gt;0,IF(1&lt;=SemanaActual,INDEX('Cronograma R. Financiero'!$AC$5:$AC$1000,$N101),""),IF(INDEX('Cronograma R. Financiero'!$I$5:$I$1000,$N101)="","",INDEX('Cronograma R. Financiero'!$I$5:$I$1000,$N101))))</f>
        <v/>
      </c>
      <c r="G101" s="61">
        <f>IF($N101="","",IF($P101&gt;0,IF(2&lt;=SemanaActual,INDEX('Cronograma R. Financiero'!$AD$5:$AD$1000,$N101),""),IF(INDEX('Cronograma R. Financiero'!$J$5:$J$1000,$N101)="","",INDEX('Cronograma R. Financiero'!$J$5:$J$1000,$N101))))</f>
        <v/>
      </c>
      <c r="H101" s="61">
        <f>IF($N101="","",IF($P101&gt;0,IF(3&lt;=SemanaActual,INDEX('Cronograma R. Financiero'!$AE$5:$AE$1000,$N101),""),IF(INDEX('Cronograma R. Financiero'!$K$5:$K$1000,$N101)="","",INDEX('Cronograma R. Financiero'!$K$5:$K$1000,$N101))))</f>
        <v/>
      </c>
      <c r="I101" s="61">
        <f>IF($N101="","",IF($P101&gt;0,IF(4&lt;=SemanaActual,INDEX('Cronograma R. Financiero'!$AF$5:$AF$1000,$N101),""),IF(INDEX('Cronograma R. Financiero'!$L$5:$L$1000,$N101)="","",INDEX('Cronograma R. Financiero'!$L$5:$L$1000,$N101))))</f>
        <v/>
      </c>
      <c r="J101" s="61">
        <f>IF($N101="","",INDEX('Cronograma R. Financiero'!$M$5:$M$1000,$N101))</f>
        <v/>
      </c>
      <c r="K101" s="56">
        <f>IF($N101="","",IF(N($J101)&gt;=1,"Completado",IF(AND(ISNUMBER($D101),$D101&lt;FechaRef),"Vencida",IF(N($J101)&gt;0,"En curso","Pendiente"))))</f>
        <v/>
      </c>
      <c r="L101" s="56">
        <f>IF($N101="","",INDEX('Cronograma R. Financiero'!$O$5:$O$1000,$N101)&amp;"")</f>
        <v/>
      </c>
      <c r="M101" s="62">
        <f>IF($N101="","",INDEX('Cronograma R. Financiero'!$Q$5:$Q$1000,$N101)&amp;"")</f>
        <v/>
      </c>
      <c r="N101">
        <f>IFERROR(MATCH(ROW()-4,rOrden_RF,0),"")</f>
        <v/>
      </c>
      <c r="O101">
        <f>IF($N101="","",INDEX('Cronograma R. Financiero'!$V$5:$V$1000,$N101))</f>
        <v/>
      </c>
      <c r="P101">
        <f>IF($N101="","",N(INDEX('Cronograma R. Financiero'!$W$5:$W$1000,$N101)))</f>
        <v/>
      </c>
      <c r="Q101">
        <f>IF(OR(LEFT($L101,7)="Vencida",LEFT($L101,5)="Vence"),SUMPRODUCT(--(LEFT($L$5:$L101,7)="Vencida"))+SUMPRODUCT(--(LEFT($L$5:$L101,5)="Vence")),"")</f>
        <v/>
      </c>
    </row>
    <row r="102">
      <c r="A102" s="56">
        <f>IF($N102="","",INDEX('Cronograma R. Financiero'!$A$5:$A$1000,$N102))</f>
        <v/>
      </c>
      <c r="B102" s="62">
        <f>IF($N102="","",IF($O102="Sub","      ↳  "&amp;INDEX('Cronograma R. Financiero'!$C$5:$C$1000,$N102),INDEX('Cronograma R. Financiero'!$C$5:$C$1000,$N102)&amp;""))</f>
        <v/>
      </c>
      <c r="C102" s="79">
        <f>IF($N102="","",IF(INDEX('Cronograma R. Financiero'!$AM$5:$AM$1000,$N102)="","",INDEX('Cronograma R. Financiero'!$AM$5:$AM$1000,$N102)))</f>
        <v/>
      </c>
      <c r="D102" s="79">
        <f>IF($N102="","",IF(INDEX('Cronograma R. Financiero'!$AN$5:$AN$1000,$N102)="","",INDEX('Cronograma R. Financiero'!$AN$5:$AN$1000,$N102)))</f>
        <v/>
      </c>
      <c r="E102" s="56">
        <f>IF($N102="","",IF(NOT(ISNUMBER($D102)),"",IF($D102&lt;InicioCiclo,"Antes del ciclo",IF($D102&gt;=InicioCiclo+28,"Después del ciclo","Semana "&amp;(INT(($D102-InicioCiclo)/7)+1)))))</f>
        <v/>
      </c>
      <c r="F102" s="61">
        <f>IF($N102="","",IF($P102&gt;0,IF(1&lt;=SemanaActual,INDEX('Cronograma R. Financiero'!$AC$5:$AC$1000,$N102),""),IF(INDEX('Cronograma R. Financiero'!$I$5:$I$1000,$N102)="","",INDEX('Cronograma R. Financiero'!$I$5:$I$1000,$N102))))</f>
        <v/>
      </c>
      <c r="G102" s="61">
        <f>IF($N102="","",IF($P102&gt;0,IF(2&lt;=SemanaActual,INDEX('Cronograma R. Financiero'!$AD$5:$AD$1000,$N102),""),IF(INDEX('Cronograma R. Financiero'!$J$5:$J$1000,$N102)="","",INDEX('Cronograma R. Financiero'!$J$5:$J$1000,$N102))))</f>
        <v/>
      </c>
      <c r="H102" s="61">
        <f>IF($N102="","",IF($P102&gt;0,IF(3&lt;=SemanaActual,INDEX('Cronograma R. Financiero'!$AE$5:$AE$1000,$N102),""),IF(INDEX('Cronograma R. Financiero'!$K$5:$K$1000,$N102)="","",INDEX('Cronograma R. Financiero'!$K$5:$K$1000,$N102))))</f>
        <v/>
      </c>
      <c r="I102" s="61">
        <f>IF($N102="","",IF($P102&gt;0,IF(4&lt;=SemanaActual,INDEX('Cronograma R. Financiero'!$AF$5:$AF$1000,$N102),""),IF(INDEX('Cronograma R. Financiero'!$L$5:$L$1000,$N102)="","",INDEX('Cronograma R. Financiero'!$L$5:$L$1000,$N102))))</f>
        <v/>
      </c>
      <c r="J102" s="61">
        <f>IF($N102="","",INDEX('Cronograma R. Financiero'!$M$5:$M$1000,$N102))</f>
        <v/>
      </c>
      <c r="K102" s="56">
        <f>IF($N102="","",IF(N($J102)&gt;=1,"Completado",IF(AND(ISNUMBER($D102),$D102&lt;FechaRef),"Vencida",IF(N($J102)&gt;0,"En curso","Pendiente"))))</f>
        <v/>
      </c>
      <c r="L102" s="56">
        <f>IF($N102="","",INDEX('Cronograma R. Financiero'!$O$5:$O$1000,$N102)&amp;"")</f>
        <v/>
      </c>
      <c r="M102" s="62">
        <f>IF($N102="","",INDEX('Cronograma R. Financiero'!$Q$5:$Q$1000,$N102)&amp;"")</f>
        <v/>
      </c>
      <c r="N102">
        <f>IFERROR(MATCH(ROW()-4,rOrden_RF,0),"")</f>
        <v/>
      </c>
      <c r="O102">
        <f>IF($N102="","",INDEX('Cronograma R. Financiero'!$V$5:$V$1000,$N102))</f>
        <v/>
      </c>
      <c r="P102">
        <f>IF($N102="","",N(INDEX('Cronograma R. Financiero'!$W$5:$W$1000,$N102)))</f>
        <v/>
      </c>
      <c r="Q102">
        <f>IF(OR(LEFT($L102,7)="Vencida",LEFT($L102,5)="Vence"),SUMPRODUCT(--(LEFT($L$5:$L102,7)="Vencida"))+SUMPRODUCT(--(LEFT($L$5:$L102,5)="Vence")),"")</f>
        <v/>
      </c>
    </row>
    <row r="103">
      <c r="A103" s="56">
        <f>IF($N103="","",INDEX('Cronograma R. Financiero'!$A$5:$A$1000,$N103))</f>
        <v/>
      </c>
      <c r="B103" s="62">
        <f>IF($N103="","",IF($O103="Sub","      ↳  "&amp;INDEX('Cronograma R. Financiero'!$C$5:$C$1000,$N103),INDEX('Cronograma R. Financiero'!$C$5:$C$1000,$N103)&amp;""))</f>
        <v/>
      </c>
      <c r="C103" s="79">
        <f>IF($N103="","",IF(INDEX('Cronograma R. Financiero'!$AM$5:$AM$1000,$N103)="","",INDEX('Cronograma R. Financiero'!$AM$5:$AM$1000,$N103)))</f>
        <v/>
      </c>
      <c r="D103" s="79">
        <f>IF($N103="","",IF(INDEX('Cronograma R. Financiero'!$AN$5:$AN$1000,$N103)="","",INDEX('Cronograma R. Financiero'!$AN$5:$AN$1000,$N103)))</f>
        <v/>
      </c>
      <c r="E103" s="56">
        <f>IF($N103="","",IF(NOT(ISNUMBER($D103)),"",IF($D103&lt;InicioCiclo,"Antes del ciclo",IF($D103&gt;=InicioCiclo+28,"Después del ciclo","Semana "&amp;(INT(($D103-InicioCiclo)/7)+1)))))</f>
        <v/>
      </c>
      <c r="F103" s="61">
        <f>IF($N103="","",IF($P103&gt;0,IF(1&lt;=SemanaActual,INDEX('Cronograma R. Financiero'!$AC$5:$AC$1000,$N103),""),IF(INDEX('Cronograma R. Financiero'!$I$5:$I$1000,$N103)="","",INDEX('Cronograma R. Financiero'!$I$5:$I$1000,$N103))))</f>
        <v/>
      </c>
      <c r="G103" s="61">
        <f>IF($N103="","",IF($P103&gt;0,IF(2&lt;=SemanaActual,INDEX('Cronograma R. Financiero'!$AD$5:$AD$1000,$N103),""),IF(INDEX('Cronograma R. Financiero'!$J$5:$J$1000,$N103)="","",INDEX('Cronograma R. Financiero'!$J$5:$J$1000,$N103))))</f>
        <v/>
      </c>
      <c r="H103" s="61">
        <f>IF($N103="","",IF($P103&gt;0,IF(3&lt;=SemanaActual,INDEX('Cronograma R. Financiero'!$AE$5:$AE$1000,$N103),""),IF(INDEX('Cronograma R. Financiero'!$K$5:$K$1000,$N103)="","",INDEX('Cronograma R. Financiero'!$K$5:$K$1000,$N103))))</f>
        <v/>
      </c>
      <c r="I103" s="61">
        <f>IF($N103="","",IF($P103&gt;0,IF(4&lt;=SemanaActual,INDEX('Cronograma R. Financiero'!$AF$5:$AF$1000,$N103),""),IF(INDEX('Cronograma R. Financiero'!$L$5:$L$1000,$N103)="","",INDEX('Cronograma R. Financiero'!$L$5:$L$1000,$N103))))</f>
        <v/>
      </c>
      <c r="J103" s="61">
        <f>IF($N103="","",INDEX('Cronograma R. Financiero'!$M$5:$M$1000,$N103))</f>
        <v/>
      </c>
      <c r="K103" s="56">
        <f>IF($N103="","",IF(N($J103)&gt;=1,"Completado",IF(AND(ISNUMBER($D103),$D103&lt;FechaRef),"Vencida",IF(N($J103)&gt;0,"En curso","Pendiente"))))</f>
        <v/>
      </c>
      <c r="L103" s="56">
        <f>IF($N103="","",INDEX('Cronograma R. Financiero'!$O$5:$O$1000,$N103)&amp;"")</f>
        <v/>
      </c>
      <c r="M103" s="62">
        <f>IF($N103="","",INDEX('Cronograma R. Financiero'!$Q$5:$Q$1000,$N103)&amp;"")</f>
        <v/>
      </c>
      <c r="N103">
        <f>IFERROR(MATCH(ROW()-4,rOrden_RF,0),"")</f>
        <v/>
      </c>
      <c r="O103">
        <f>IF($N103="","",INDEX('Cronograma R. Financiero'!$V$5:$V$1000,$N103))</f>
        <v/>
      </c>
      <c r="P103">
        <f>IF($N103="","",N(INDEX('Cronograma R. Financiero'!$W$5:$W$1000,$N103)))</f>
        <v/>
      </c>
      <c r="Q103">
        <f>IF(OR(LEFT($L103,7)="Vencida",LEFT($L103,5)="Vence"),SUMPRODUCT(--(LEFT($L$5:$L103,7)="Vencida"))+SUMPRODUCT(--(LEFT($L$5:$L103,5)="Vence")),"")</f>
        <v/>
      </c>
    </row>
    <row r="104">
      <c r="A104" s="56">
        <f>IF($N104="","",INDEX('Cronograma R. Financiero'!$A$5:$A$1000,$N104))</f>
        <v/>
      </c>
      <c r="B104" s="62">
        <f>IF($N104="","",IF($O104="Sub","      ↳  "&amp;INDEX('Cronograma R. Financiero'!$C$5:$C$1000,$N104),INDEX('Cronograma R. Financiero'!$C$5:$C$1000,$N104)&amp;""))</f>
        <v/>
      </c>
      <c r="C104" s="79">
        <f>IF($N104="","",IF(INDEX('Cronograma R. Financiero'!$AM$5:$AM$1000,$N104)="","",INDEX('Cronograma R. Financiero'!$AM$5:$AM$1000,$N104)))</f>
        <v/>
      </c>
      <c r="D104" s="79">
        <f>IF($N104="","",IF(INDEX('Cronograma R. Financiero'!$AN$5:$AN$1000,$N104)="","",INDEX('Cronograma R. Financiero'!$AN$5:$AN$1000,$N104)))</f>
        <v/>
      </c>
      <c r="E104" s="56">
        <f>IF($N104="","",IF(NOT(ISNUMBER($D104)),"",IF($D104&lt;InicioCiclo,"Antes del ciclo",IF($D104&gt;=InicioCiclo+28,"Después del ciclo","Semana "&amp;(INT(($D104-InicioCiclo)/7)+1)))))</f>
        <v/>
      </c>
      <c r="F104" s="61">
        <f>IF($N104="","",IF($P104&gt;0,IF(1&lt;=SemanaActual,INDEX('Cronograma R. Financiero'!$AC$5:$AC$1000,$N104),""),IF(INDEX('Cronograma R. Financiero'!$I$5:$I$1000,$N104)="","",INDEX('Cronograma R. Financiero'!$I$5:$I$1000,$N104))))</f>
        <v/>
      </c>
      <c r="G104" s="61">
        <f>IF($N104="","",IF($P104&gt;0,IF(2&lt;=SemanaActual,INDEX('Cronograma R. Financiero'!$AD$5:$AD$1000,$N104),""),IF(INDEX('Cronograma R. Financiero'!$J$5:$J$1000,$N104)="","",INDEX('Cronograma R. Financiero'!$J$5:$J$1000,$N104))))</f>
        <v/>
      </c>
      <c r="H104" s="61">
        <f>IF($N104="","",IF($P104&gt;0,IF(3&lt;=SemanaActual,INDEX('Cronograma R. Financiero'!$AE$5:$AE$1000,$N104),""),IF(INDEX('Cronograma R. Financiero'!$K$5:$K$1000,$N104)="","",INDEX('Cronograma R. Financiero'!$K$5:$K$1000,$N104))))</f>
        <v/>
      </c>
      <c r="I104" s="61">
        <f>IF($N104="","",IF($P104&gt;0,IF(4&lt;=SemanaActual,INDEX('Cronograma R. Financiero'!$AF$5:$AF$1000,$N104),""),IF(INDEX('Cronograma R. Financiero'!$L$5:$L$1000,$N104)="","",INDEX('Cronograma R. Financiero'!$L$5:$L$1000,$N104))))</f>
        <v/>
      </c>
      <c r="J104" s="61">
        <f>IF($N104="","",INDEX('Cronograma R. Financiero'!$M$5:$M$1000,$N104))</f>
        <v/>
      </c>
      <c r="K104" s="56">
        <f>IF($N104="","",IF(N($J104)&gt;=1,"Completado",IF(AND(ISNUMBER($D104),$D104&lt;FechaRef),"Vencida",IF(N($J104)&gt;0,"En curso","Pendiente"))))</f>
        <v/>
      </c>
      <c r="L104" s="56">
        <f>IF($N104="","",INDEX('Cronograma R. Financiero'!$O$5:$O$1000,$N104)&amp;"")</f>
        <v/>
      </c>
      <c r="M104" s="62">
        <f>IF($N104="","",INDEX('Cronograma R. Financiero'!$Q$5:$Q$1000,$N104)&amp;"")</f>
        <v/>
      </c>
      <c r="N104">
        <f>IFERROR(MATCH(ROW()-4,rOrden_RF,0),"")</f>
        <v/>
      </c>
      <c r="O104">
        <f>IF($N104="","",INDEX('Cronograma R. Financiero'!$V$5:$V$1000,$N104))</f>
        <v/>
      </c>
      <c r="P104">
        <f>IF($N104="","",N(INDEX('Cronograma R. Financiero'!$W$5:$W$1000,$N104)))</f>
        <v/>
      </c>
      <c r="Q104">
        <f>IF(OR(LEFT($L104,7)="Vencida",LEFT($L104,5)="Vence"),SUMPRODUCT(--(LEFT($L$5:$L104,7)="Vencida"))+SUMPRODUCT(--(LEFT($L$5:$L104,5)="Vence")),"")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M2"/>
    <mergeCell ref="A1:M1"/>
  </mergeCells>
  <conditionalFormatting sqref="F5:I104">
    <cfRule type="expression" priority="1" dxfId="6" stopIfTrue="1">
      <formula>AND(AND(ISNUMBER($C5),ISNUMBER($D5),$C5&lt;=InicioCiclo+7*(COLUMN(F5)-6)+6,$D5&gt;=InicioCiclo+7*(COLUMN(F5)-6)),$K5="Vencida")</formula>
    </cfRule>
    <cfRule type="expression" priority="2" dxfId="23">
      <formula>AND(ISNUMBER($C5),ISNUMBER($D5),$C5&lt;=InicioCiclo+7*(COLUMN(F5)-6)+6,$D5&gt;=InicioCiclo+7*(COLUMN(F5)-6))</formula>
    </cfRule>
  </conditionalFormatting>
  <conditionalFormatting sqref="A5:B104">
    <cfRule type="expression" priority="3" dxfId="22">
      <formula>$O5="Macro"</formula>
    </cfRule>
  </conditionalFormatting>
  <conditionalFormatting sqref="K5:K104">
    <cfRule type="expression" priority="4" dxfId="0">
      <formula>$K5="Completado"</formula>
    </cfRule>
    <cfRule type="expression" priority="5" dxfId="6">
      <formula>$K5="Vencida"</formula>
    </cfRule>
    <cfRule type="expression" priority="6" dxfId="4">
      <formula>$K5="En curso"</formula>
    </cfRule>
    <cfRule type="expression" priority="7" dxfId="5">
      <formula>$K5="Pendiente"</formula>
    </cfRule>
  </conditionalFormatting>
  <conditionalFormatting sqref="L5:L104">
    <cfRule type="expression" priority="8" dxfId="8" stopIfTrue="1">
      <formula>LEFT($L5,7)="Vencida"</formula>
    </cfRule>
    <cfRule type="expression" priority="9" dxfId="9" stopIfTrue="1">
      <formula>LEFT($L5,5)="Vence"</formula>
    </cfRule>
    <cfRule type="expression" priority="10" dxfId="0" stopIfTrue="1">
      <formula>LEFT($L5,8)="Cumplida"</formula>
    </cfRule>
    <cfRule type="expression" priority="11" dxfId="13" stopIfTrue="1">
      <formula>$L5="En plazo"</formula>
    </cfRule>
    <cfRule type="expression" priority="12" dxfId="5">
      <formula>$L5="Sin fecha límite"</formula>
    </cfRule>
  </conditionalFormatting>
  <conditionalFormatting sqref="E5:E104">
    <cfRule type="expression" priority="13" dxfId="1">
      <formula>$E5="Semana "&amp;SemanaActual</formula>
    </cfRule>
  </conditionalFormatting>
  <conditionalFormatting sqref="J5:J104">
    <cfRule type="dataBar" priority="14">
      <dataBar showValue="1">
        <cfvo type="num" val="0"/>
        <cfvo type="num" val="1"/>
        <color rgb="005B9BD5"/>
      </dataBar>
    </cfRule>
  </conditionalFormatting>
  <conditionalFormatting sqref="F4:I4">
    <cfRule type="expression" priority="15" dxfId="1">
      <formula>COLUMN(F4)-5=SemanaActual</formula>
    </cfRule>
  </conditionalFormatting>
  <conditionalFormatting sqref="F3:I3">
    <cfRule type="expression" priority="16" dxfId="1">
      <formula>COLUMN(F3)-5=SemanaActual</formula>
    </cfRule>
  </conditionalFormatting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AN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48" customWidth="1" min="3" max="3"/>
    <col hidden="1" width="22" customWidth="1" min="4" max="4"/>
    <col width="12" customWidth="1" min="5" max="5"/>
    <col width="12" customWidth="1" min="6" max="6"/>
    <col width="14" customWidth="1" min="7" max="7"/>
    <col width="12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  <col width="12" customWidth="1" min="14" max="14"/>
    <col width="24" customWidth="1" min="15" max="15"/>
    <col hidden="1" width="30" customWidth="1" min="16" max="16"/>
    <col width="36" customWidth="1" min="17" max="17"/>
    <col width="44" customWidth="1" min="18" max="18"/>
    <col width="14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</cols>
  <sheetData>
    <row r="1" ht="28" customHeight="1">
      <c r="A1" s="84" t="inlineStr">
        <is>
          <t>Cronograma – Asistente Técnico de Riesgo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84" t="n"/>
      <c r="L1" s="84" t="n"/>
      <c r="M1" s="84" t="n"/>
      <c r="N1" s="84" t="n"/>
      <c r="O1" s="84" t="n"/>
      <c r="P1" s="84" t="n"/>
      <c r="Q1" s="84" t="n"/>
      <c r="R1" s="84" t="n"/>
      <c r="S1" s="84" t="n"/>
    </row>
    <row r="2" ht="44" customHeight="1">
      <c r="A2" s="48" t="inlineStr">
        <is>
          <t>Llene solo las celdas GRIS SUAVE; las AZUL CLARO son automáticas. En «Tipo» elija Macroactividad o Subactividad: las subactividades van en las filas de ABAJO de su macroactividad (se ven con ↳) y su promedio da el % de la macroactividad. Cuando termine algo, escriba la FECHA DE CUMPLIMIENTO: queda al 100% y ya no aparece vencido. Si quiere registrar avances parciales, escriba en cada semana el % total logrado hasta esa semana. Cada mes agregue sus actividades debajo de las anteriores (no borre los meses pasados: quedan como historial).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  <c r="L2" s="48" t="n"/>
      <c r="M2" s="48" t="n"/>
      <c r="N2" s="48" t="n"/>
      <c r="O2" s="48" t="n"/>
      <c r="P2" s="48" t="n"/>
      <c r="Q2" s="48" t="n"/>
      <c r="R2" s="48" t="n"/>
      <c r="S2" s="48" t="n"/>
    </row>
    <row r="3" ht="22" customHeight="1">
      <c r="A3" s="49" t="inlineStr">
        <is>
          <t>Llenar</t>
        </is>
      </c>
      <c r="B3" s="50" t="inlineStr">
        <is>
          <t>Automático</t>
        </is>
      </c>
      <c r="C3" s="85" t="inlineStr">
        <is>
          <t>Macroactividad (fila resaltada)</t>
        </is>
      </c>
      <c r="E3" s="6" t="inlineStr">
        <is>
          <t>Peso: solo macroactividades. Si lo deja vacío valen igual; si lo escribe, se ajusta solo a 100%.</t>
        </is>
      </c>
      <c r="F3" s="6" t="n"/>
      <c r="G3" s="6" t="n"/>
      <c r="H3" s="6" t="n"/>
      <c r="I3" s="6" t="n"/>
      <c r="J3" s="6" t="n"/>
      <c r="K3" s="52" t="inlineStr">
        <is>
          <t>Plazos del mes:</t>
        </is>
      </c>
      <c r="M3" s="43">
        <f>COUNTIFS($S$5:$S$1000,MesCiclo,$O$5:$O$1000,"Vencida*")&amp;" vencida(s)  ·  "&amp;COUNTIFS($S$5:$S$1000,MesCiclo,$O$5:$O$1000,"Vence*")&amp;" por vencer"</f>
        <v/>
      </c>
      <c r="N3" s="43" t="n"/>
      <c r="O3" s="43" t="n"/>
      <c r="Q3" s="45">
        <f>IF(COUNTIFS('Administración'!$D$5:$D$1000,"Asistente Técnico de Riesgo",'Administración'!$S$5:$S$1000,MesCiclo,'Administración'!$V$5:$V$1000,"Macro")=0,"Sin actividades delegadas por la jefatura este mes","★ La jefatura le delegó "&amp;COUNTIFS('Administración'!$D$5:$D$1000,"Asistente Técnico de Riesgo",'Administración'!$S$5:$S$1000,MesCiclo,'Administración'!$V$5:$V$1000,"Macro")&amp;" actividad(es) este mes · "&amp;(COUNTIFS('Administración'!$D$5:$D$1000,"Asistente Técnico de Riesgo",'Administración'!$S$5:$S$1000,MesCiclo,'Administración'!$V$5:$V$1000,"Macro")-COUNTIFS('Administración'!$D$5:$D$1000,"Asistente Técnico de Riesgo",'Administración'!$S$5:$S$1000,MesCiclo,'Administración'!$V$5:$V$1000,"Macro",'Administración'!$AH$5:$AH$1000,"&gt;0"))&amp;" pendiente(s) de agregar (elíjalas en la lista de «Actividad»). Cuentan en su avance del mes.")</f>
        <v/>
      </c>
      <c r="R3" s="45" t="n"/>
      <c r="S3" s="45" t="n"/>
    </row>
    <row r="4" ht="42" customHeight="1">
      <c r="A4" s="54" t="inlineStr">
        <is>
          <t>N°</t>
        </is>
      </c>
      <c r="B4" s="7" t="inlineStr">
        <is>
          <t>Tipo</t>
        </is>
      </c>
      <c r="C4" s="7" t="inlineStr">
        <is>
          <t>Actividad</t>
        </is>
      </c>
      <c r="D4" s="7" t="inlineStr">
        <is>
          <t>Delegar a</t>
        </is>
      </c>
      <c r="E4" s="7" t="inlineStr">
        <is>
          <t>Fecha de inicio</t>
        </is>
      </c>
      <c r="F4" s="7" t="inlineStr">
        <is>
          <t>Fecha límite</t>
        </is>
      </c>
      <c r="G4" s="7" t="inlineStr">
        <is>
          <t>Fecha de cumplimiento</t>
        </is>
      </c>
      <c r="H4" s="7" t="inlineStr">
        <is>
          <t>Peso (%)</t>
        </is>
      </c>
      <c r="I4" s="7" t="inlineStr">
        <is>
          <t>Avance Semana 1 (%)</t>
        </is>
      </c>
      <c r="J4" s="7" t="inlineStr">
        <is>
          <t>Avance Semana 2 (%)</t>
        </is>
      </c>
      <c r="K4" s="7" t="inlineStr">
        <is>
          <t>Avance Semana 3 (%)</t>
        </is>
      </c>
      <c r="L4" s="7" t="inlineStr">
        <is>
          <t>Avance Semana 4 (%)</t>
        </is>
      </c>
      <c r="M4" s="54" t="inlineStr">
        <is>
          <t>% de Avance Total Actual</t>
        </is>
      </c>
      <c r="N4" s="54" t="inlineStr">
        <is>
          <t>Estado</t>
        </is>
      </c>
      <c r="O4" s="54" t="inlineStr">
        <is>
          <t>Alerta de plazo</t>
        </is>
      </c>
      <c r="P4" s="54" t="inlineStr">
        <is>
          <t>Seguimiento de la delegación</t>
        </is>
      </c>
      <c r="Q4" s="7" t="inlineStr">
        <is>
          <t>Observaciones</t>
        </is>
      </c>
      <c r="R4" s="54" t="inlineStr">
        <is>
          <t>Revisión automática (alertas)</t>
        </is>
      </c>
      <c r="S4" s="54" t="inlineStr">
        <is>
          <t>Mes</t>
        </is>
      </c>
      <c r="T4" s="54" t="inlineStr">
        <is>
          <t>Orden en el mes (aux)</t>
        </is>
      </c>
      <c r="U4" s="54" t="inlineStr">
        <is>
          <t>Grupo (aux)</t>
        </is>
      </c>
      <c r="V4" s="54" t="inlineStr">
        <is>
          <t>Tipo (aux)</t>
        </is>
      </c>
      <c r="W4" s="54" t="inlineStr">
        <is>
          <t>N subactividades (aux)</t>
        </is>
      </c>
      <c r="X4" s="54" t="inlineStr">
        <is>
          <t>Avance propio (aux)</t>
        </is>
      </c>
      <c r="Y4" s="54" t="inlineStr">
        <is>
          <t>Propio S1 (aux)</t>
        </is>
      </c>
      <c r="Z4" s="54" t="inlineStr">
        <is>
          <t>Propio S2 (aux)</t>
        </is>
      </c>
      <c r="AA4" s="54" t="inlineStr">
        <is>
          <t>Propio S3 (aux)</t>
        </is>
      </c>
      <c r="AB4" s="54" t="inlineStr">
        <is>
          <t>Propio S4 (aux)</t>
        </is>
      </c>
      <c r="AC4" s="54" t="inlineStr">
        <is>
          <t>Efectivo S1 (aux)</t>
        </is>
      </c>
      <c r="AD4" s="54" t="inlineStr">
        <is>
          <t>Efectivo S2 (aux)</t>
        </is>
      </c>
      <c r="AE4" s="54" t="inlineStr">
        <is>
          <t>Efectivo S3 (aux)</t>
        </is>
      </c>
      <c r="AF4" s="54" t="inlineStr">
        <is>
          <t>Efectivo S4 (aux)</t>
        </is>
      </c>
      <c r="AG4" s="54" t="inlineStr">
        <is>
          <t>Peso efectivo (aux)</t>
        </is>
      </c>
      <c r="AH4" s="54" t="inlineStr">
        <is>
          <t>Fila en el puesto (aux)</t>
        </is>
      </c>
      <c r="AI4" s="54" t="inlineStr">
        <is>
          <t>N° delegada en el mes (aux)</t>
        </is>
      </c>
      <c r="AJ4" s="54" t="inlineStr">
        <is>
          <t>Clave delegada (aux)</t>
        </is>
      </c>
      <c r="AK4" s="54" t="inlineStr">
        <is>
          <t>Clave puesto-actividad (aux)</t>
        </is>
      </c>
      <c r="AL4" s="54" t="inlineStr">
        <is>
          <t>Fila en Administración (aux)</t>
        </is>
      </c>
      <c r="AM4" s="54" t="inlineStr">
        <is>
          <t>Inicio efectivo (aux)</t>
        </is>
      </c>
      <c r="AN4" s="54" t="inlineStr">
        <is>
          <t>Límite efectivo (aux)</t>
        </is>
      </c>
    </row>
    <row r="5">
      <c r="A5" s="56">
        <f>IF(NOT((COUNTA($B5:$D5)+COUNTA($G5:$L5)+COUNTA($Q5))&gt;0),"",IF($V5="Macro",COUNTIFS($V$5:$V5,"Macro",$S$5:$S5,$S5),IF(N($U5)=0,"?",COUNTIFS(INDEX($V$5:$V$1000,1):INDEX($V$5:$V$1000,$U5-4),"Macro",INDEX($S$5:$S$1000,1):INDEX($S$5:$S$1000,$U5-4),INDEX($S$5:$S$1000,$U5-4))&amp;"."&amp;COUNTIFS($U$5:$U5,$U5,$V$5:$V5,"Sub"))))</f>
        <v/>
      </c>
      <c r="B5" s="57" t="n"/>
      <c r="C5" s="58" t="n"/>
      <c r="D5" s="58" t="n"/>
      <c r="E5" s="59">
        <f>IF(N($AL5)&gt;0,INDEX(rIni_ADM,$AL5),"")</f>
        <v/>
      </c>
      <c r="F5" s="59">
        <f>IF(N($AL5)&gt;0,INDEX(rLim_ADM,$AL5),"")</f>
        <v/>
      </c>
      <c r="G5" s="59" t="n"/>
      <c r="H5" s="60" t="n"/>
      <c r="I5" s="60" t="n"/>
      <c r="J5" s="60" t="n"/>
      <c r="K5" s="60" t="n"/>
      <c r="L5" s="60" t="n"/>
      <c r="M5" s="61">
        <f>IF(NOT((COUNTA($B5:$D5)+COUNTA($G5:$L5)+COUNTA($Q5))&gt;0),"",IF(ISNUMBER($G5),1,IF(N($W5)&gt;0,AVERAGEIFS($X$5:$X$1000,$U$5:$U$1000,ROW(),$V$5:$V$1000,"Sub"),$X5)))</f>
        <v/>
      </c>
      <c r="N5" s="56">
        <f>IF($M5="","",IF($M5&gt;=1,"Completado",IF($M5&gt;0,"En curso","Pendiente")))</f>
        <v/>
      </c>
      <c r="O5" s="56">
        <f>IF(NOT((COUNTA($B5:$D5)+COUNTA($G5:$L5)+COUNTA($Q5))&gt;0),"",IF(ISNUMBER($G5),IF(AND(ISNUMBER($AN5),$G5&gt;$AN5),"Cumplida con "&amp;($G5-$AN5)&amp;IF($G5-$AN5=1," día"," días")&amp;" de retraso","Cumplida"),IF(N($M5)&gt;=1,"Cumplida",IF(NOT(ISNUMBER($AN5)),"Sin fecha límite",IF($AN5&lt;FechaRef,"Vencida hace "&amp;(FechaRef-$AN5)&amp;IF(FechaRef-$AN5=1," día"," días"),IF($AN5=FechaRef,"Vence hoy",IF($AN5-FechaRef&lt;=DiasAlerta,"Vence en "&amp;($AN5-FechaRef)&amp;IF($AN5-FechaRef=1," día"," días"),"En plazo")))))))</f>
        <v/>
      </c>
      <c r="P5" s="62" t="n"/>
      <c r="Q5" s="58" t="n"/>
      <c r="R5" s="63">
        <f>IF(NOT((COUNTA($B5:$D5)+COUNTA($G5:$L5)+COUNTA($Q5))&gt;0),"",IF((IF($C5="","Falta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",""))="","✔ OK","⚠ "&amp;LEFT(IF($C5="","Falta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",""),LEN(IF($C5="","Falta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",""))-3)))</f>
        <v/>
      </c>
      <c r="S5" s="64">
        <f>IF(NOT((COUNTA($B5:$D5)+COUNTA($G5:$L5)+COUNTA($Q5))&gt;0),"",IF(AND($V5="Sub",N($U5)&gt;0),IF(ISNUMBER(INDEX($AM$5:$AM$1000,$U5-4)),DATE(YEAR(INDEX($AM$5:$AM$1000,$U5-4)),MONTH(INDEX($AM$5:$AM$1000,$U5-4)),1),IF(ISNUMBER(INDEX($AN$5:$AN$1000,$U5-4)),DATE(YEAR(INDEX($AN$5:$AN$1000,$U5-4)),MONTH(INDEX($AN$5:$AN$1000,$U5-4)),1),MesCiclo)),IF(ISNUMBER($AM5),DATE(YEAR($AM5),MONTH($AM5),1),IF(ISNUMBER($AN5),DATE(YEAR($AN5),MONTH($AN5),1),MesCiclo))))</f>
        <v/>
      </c>
      <c r="T5" s="62">
        <f>IF(OR($S5="",$S5&lt;&gt;MesCiclo),"",COUNTIF($S$5:$S5,MesCiclo))</f>
        <v/>
      </c>
      <c r="U5" s="62">
        <f>IF($V5="","",IF($V5="Macro",ROW(),IFERROR(LOOKUP(2,1/($V$5:$V5="Macro"),ROW($V$5:$V5)),0)))</f>
        <v/>
      </c>
      <c r="V5" s="62">
        <f>IF(NOT((COUNTA($B5:$D5)+COUNTA($G5:$L5)+COUNTA($Q5))&gt;0),"",IF($B5="Subactividad","Sub","Macro"))</f>
        <v/>
      </c>
      <c r="W5" s="62">
        <f>IF($V5="Macro",COUNTIFS($U$5:$U$1000,ROW(),$V$5:$V$1000,"Sub"),"")</f>
        <v/>
      </c>
      <c r="X5" s="62">
        <f>IF($V5="","",IF(ISNUMBER($G5),1,IFERROR(LOOKUP(2,1/($I5:$L5&lt;&gt;""),$I5:$L5),0)))</f>
        <v/>
      </c>
      <c r="Y5" s="62">
        <f>IF($V5="","",IF(AND(ISNUMBER($G5),$G5&lt;=IF($S5=MesCiclo,InicioCiclo,$S5+MOD(2-WEEKDAY($S5),7))+6),1,IF(ISNUMBER($I5),$I5,0)))</f>
        <v/>
      </c>
      <c r="Z5" s="62">
        <f>IF($V5="","",IF(AND(ISNUMBER($G5),$G5&lt;=IF($S5=MesCiclo,InicioCiclo,$S5+MOD(2-WEEKDAY($S5),7))+13),1,IF(ISNUMBER($J5),$J5,$Y5)))</f>
        <v/>
      </c>
      <c r="AA5" s="62">
        <f>IF($V5="","",IF(AND(ISNUMBER($G5),$G5&lt;=IF($S5=MesCiclo,InicioCiclo,$S5+MOD(2-WEEKDAY($S5),7))+20),1,IF(ISNUMBER($K5),$K5,$Z5)))</f>
        <v/>
      </c>
      <c r="AB5" s="62">
        <f>IF($V5="","",IF(AND(ISNUMBER($G5),$G5&lt;=IF($S5=MesCiclo,InicioCiclo,$S5+MOD(2-WEEKDAY($S5),7))+27),1,IF(ISNUMBER($L5),$L5,$AA5)))</f>
        <v/>
      </c>
      <c r="AC5" s="62">
        <f>IF($V5="","",IF(AND(ISNUMBER($G5),$G5&lt;=IF($S5=MesCiclo,InicioCiclo,$S5+MOD(2-WEEKDAY($S5),7))+6),1,IF(N($W5)&gt;0,AVERAGEIFS($Y$5:$Y$1000,$U$5:$U$1000,ROW(),$V$5:$V$1000,"Sub"),$Y5)))</f>
        <v/>
      </c>
      <c r="AD5" s="62">
        <f>IF($V5="","",IF(AND(ISNUMBER($G5),$G5&lt;=IF($S5=MesCiclo,InicioCiclo,$S5+MOD(2-WEEKDAY($S5),7))+13),1,IF(N($W5)&gt;0,AVERAGEIFS($Z$5:$Z$1000,$U$5:$U$1000,ROW(),$V$5:$V$1000,"Sub"),$Z5)))</f>
        <v/>
      </c>
      <c r="AE5" s="62">
        <f>IF($V5="","",IF(AND(ISNUMBER($G5),$G5&lt;=IF($S5=MesCiclo,InicioCiclo,$S5+MOD(2-WEEKDAY($S5),7))+20),1,IF(N($W5)&gt;0,AVERAGEIFS($AA$5:$AA$1000,$U$5:$U$1000,ROW(),$V$5:$V$1000,"Sub"),$AA5)))</f>
        <v/>
      </c>
      <c r="AF5" s="62">
        <f>IF($V5="","",IF(AND(ISNUMBER($G5),$G5&lt;=IF($S5=MesCiclo,InicioCiclo,$S5+MOD(2-WEEKDAY($S5),7))+27),1,IF(N($W5)&gt;0,AVERAGEIFS($AB$5:$AB$1000,$U$5:$U$1000,ROW(),$V$5:$V$1000,"Sub"),$AB5)))</f>
        <v/>
      </c>
      <c r="AG5" s="62">
        <f>IF($V5&lt;&gt;"Macro","",IF(COUNTIFS($S$5:$S$1000,$S5,$V$5:$V$1000,"Macro",$H$5:$H$1000,"&gt;0")=0,1/COUNTIFS($S$5:$S$1000,$S5,$V$5:$V$1000,"Macro"),IF(AND(ISNUMBER($H5),N($H5)&gt;0),$H5,SUMIFS($H$5:$H$1000,$S$5:$S$1000,$S5,$V$5:$V$1000,"Macro")/COUNTIFS($S$5:$S$1000,$S5,$V$5:$V$1000,"Macro",$H$5:$H$1000,"&gt;0"))/(COUNTIFS($S$5:$S$1000,$S5,$V$5:$V$1000,"Macro")*SUMIFS($H$5:$H$1000,$S$5:$S$1000,$S5,$V$5:$V$1000,"Macro")/COUNTIFS($S$5:$S$1000,$S5,$V$5:$V$1000,"Macro",$H$5:$H$1000,"&gt;0"))))</f>
        <v/>
      </c>
      <c r="AH5" s="62" t="n"/>
      <c r="AI5" s="62" t="n"/>
      <c r="AJ5" s="62" t="n"/>
      <c r="AK5" s="62" t="n"/>
      <c r="AL5" s="62">
        <f>IF(LEFT($C5,11)="[Jefatura] ",IFERROR(MATCH("Asistente Técnico de Riesgo|"&amp;MID($C5,12,500),rDname_ADM,0),0),"")</f>
        <v/>
      </c>
      <c r="AM5" s="62">
        <f>IF(N($AL5)&gt;0,INDEX(rIni_ADM,$AL5),IF(ISNUMBER($E5),$E5,""))</f>
        <v/>
      </c>
      <c r="AN5" s="62">
        <f>IF(N($AL5)&gt;0,INDEX(rLim_ADM,$AL5),IF(ISNUMBER($F5),$F5,""))</f>
        <v/>
      </c>
    </row>
    <row r="6">
      <c r="A6" s="56">
        <f>IF(NOT((COUNTA($B6:$D6)+COUNTA($G6:$L6)+COUNTA($Q6))&gt;0),"",IF($V6="Macro",COUNTIFS($V$5:$V6,"Macro",$S$5:$S6,$S6),IF(N($U6)=0,"?",COUNTIFS(INDEX($V$5:$V$1000,1):INDEX($V$5:$V$1000,$U6-4),"Macro",INDEX($S$5:$S$1000,1):INDEX($S$5:$S$1000,$U6-4),INDEX($S$5:$S$1000,$U6-4))&amp;"."&amp;COUNTIFS($U$5:$U6,$U6,$V$5:$V6,"Sub"))))</f>
        <v/>
      </c>
      <c r="B6" s="57" t="n"/>
      <c r="C6" s="58" t="n"/>
      <c r="D6" s="58" t="n"/>
      <c r="E6" s="59">
        <f>IF(N($AL6)&gt;0,INDEX(rIni_ADM,$AL6),"")</f>
        <v/>
      </c>
      <c r="F6" s="59">
        <f>IF(N($AL6)&gt;0,INDEX(rLim_ADM,$AL6),"")</f>
        <v/>
      </c>
      <c r="G6" s="59" t="n"/>
      <c r="H6" s="60" t="n"/>
      <c r="I6" s="60" t="n"/>
      <c r="J6" s="60" t="n"/>
      <c r="K6" s="60" t="n"/>
      <c r="L6" s="60" t="n"/>
      <c r="M6" s="61">
        <f>IF(NOT((COUNTA($B6:$D6)+COUNTA($G6:$L6)+COUNTA($Q6))&gt;0),"",IF(ISNUMBER($G6),1,IF(N($W6)&gt;0,AVERAGEIFS($X$5:$X$1000,$U$5:$U$1000,ROW(),$V$5:$V$1000,"Sub"),$X6)))</f>
        <v/>
      </c>
      <c r="N6" s="56">
        <f>IF($M6="","",IF($M6&gt;=1,"Completado",IF($M6&gt;0,"En curso","Pendiente")))</f>
        <v/>
      </c>
      <c r="O6" s="56">
        <f>IF(NOT((COUNTA($B6:$D6)+COUNTA($G6:$L6)+COUNTA($Q6))&gt;0),"",IF(ISNUMBER($G6),IF(AND(ISNUMBER($AN6),$G6&gt;$AN6),"Cumplida con "&amp;($G6-$AN6)&amp;IF($G6-$AN6=1," día"," días")&amp;" de retraso","Cumplida"),IF(N($M6)&gt;=1,"Cumplida",IF(NOT(ISNUMBER($AN6)),"Sin fecha límite",IF($AN6&lt;FechaRef,"Vencida hace "&amp;(FechaRef-$AN6)&amp;IF(FechaRef-$AN6=1," día"," días"),IF($AN6=FechaRef,"Vence hoy",IF($AN6-FechaRef&lt;=DiasAlerta,"Vence en "&amp;($AN6-FechaRef)&amp;IF($AN6-FechaRef=1," día"," días"),"En plazo")))))))</f>
        <v/>
      </c>
      <c r="P6" s="62" t="n"/>
      <c r="Q6" s="58" t="n"/>
      <c r="R6" s="63">
        <f>IF(NOT((COUNTA($B6:$D6)+COUNTA($G6:$L6)+COUNTA($Q6))&gt;0),"",IF((IF($C6="","Falta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",""))="","✔ OK","⚠ "&amp;LEFT(IF($C6="","Falta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",""),LEN(IF($C6="","Falta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",""))-3)))</f>
        <v/>
      </c>
      <c r="S6" s="64">
        <f>IF(NOT((COUNTA($B6:$D6)+COUNTA($G6:$L6)+COUNTA($Q6))&gt;0),"",IF(AND($V6="Sub",N($U6)&gt;0),IF(ISNUMBER(INDEX($AM$5:$AM$1000,$U6-4)),DATE(YEAR(INDEX($AM$5:$AM$1000,$U6-4)),MONTH(INDEX($AM$5:$AM$1000,$U6-4)),1),IF(ISNUMBER(INDEX($AN$5:$AN$1000,$U6-4)),DATE(YEAR(INDEX($AN$5:$AN$1000,$U6-4)),MONTH(INDEX($AN$5:$AN$1000,$U6-4)),1),MesCiclo)),IF(ISNUMBER($AM6),DATE(YEAR($AM6),MONTH($AM6),1),IF(ISNUMBER($AN6),DATE(YEAR($AN6),MONTH($AN6),1),MesCiclo))))</f>
        <v/>
      </c>
      <c r="T6" s="62">
        <f>IF(OR($S6="",$S6&lt;&gt;MesCiclo),"",COUNTIF($S$5:$S6,MesCiclo))</f>
        <v/>
      </c>
      <c r="U6" s="62">
        <f>IF($V6="","",IF($V6="Macro",ROW(),IFERROR(LOOKUP(2,1/($V$5:$V6="Macro"),ROW($V$5:$V6)),0)))</f>
        <v/>
      </c>
      <c r="V6" s="62">
        <f>IF(NOT((COUNTA($B6:$D6)+COUNTA($G6:$L6)+COUNTA($Q6))&gt;0),"",IF($B6="Subactividad","Sub","Macro"))</f>
        <v/>
      </c>
      <c r="W6" s="62">
        <f>IF($V6="Macro",COUNTIFS($U$5:$U$1000,ROW(),$V$5:$V$1000,"Sub"),"")</f>
        <v/>
      </c>
      <c r="X6" s="62">
        <f>IF($V6="","",IF(ISNUMBER($G6),1,IFERROR(LOOKUP(2,1/($I6:$L6&lt;&gt;""),$I6:$L6),0)))</f>
        <v/>
      </c>
      <c r="Y6" s="62">
        <f>IF($V6="","",IF(AND(ISNUMBER($G6),$G6&lt;=IF($S6=MesCiclo,InicioCiclo,$S6+MOD(2-WEEKDAY($S6),7))+6),1,IF(ISNUMBER($I6),$I6,0)))</f>
        <v/>
      </c>
      <c r="Z6" s="62">
        <f>IF($V6="","",IF(AND(ISNUMBER($G6),$G6&lt;=IF($S6=MesCiclo,InicioCiclo,$S6+MOD(2-WEEKDAY($S6),7))+13),1,IF(ISNUMBER($J6),$J6,$Y6)))</f>
        <v/>
      </c>
      <c r="AA6" s="62">
        <f>IF($V6="","",IF(AND(ISNUMBER($G6),$G6&lt;=IF($S6=MesCiclo,InicioCiclo,$S6+MOD(2-WEEKDAY($S6),7))+20),1,IF(ISNUMBER($K6),$K6,$Z6)))</f>
        <v/>
      </c>
      <c r="AB6" s="62">
        <f>IF($V6="","",IF(AND(ISNUMBER($G6),$G6&lt;=IF($S6=MesCiclo,InicioCiclo,$S6+MOD(2-WEEKDAY($S6),7))+27),1,IF(ISNUMBER($L6),$L6,$AA6)))</f>
        <v/>
      </c>
      <c r="AC6" s="62">
        <f>IF($V6="","",IF(AND(ISNUMBER($G6),$G6&lt;=IF($S6=MesCiclo,InicioCiclo,$S6+MOD(2-WEEKDAY($S6),7))+6),1,IF(N($W6)&gt;0,AVERAGEIFS($Y$5:$Y$1000,$U$5:$U$1000,ROW(),$V$5:$V$1000,"Sub"),$Y6)))</f>
        <v/>
      </c>
      <c r="AD6" s="62">
        <f>IF($V6="","",IF(AND(ISNUMBER($G6),$G6&lt;=IF($S6=MesCiclo,InicioCiclo,$S6+MOD(2-WEEKDAY($S6),7))+13),1,IF(N($W6)&gt;0,AVERAGEIFS($Z$5:$Z$1000,$U$5:$U$1000,ROW(),$V$5:$V$1000,"Sub"),$Z6)))</f>
        <v/>
      </c>
      <c r="AE6" s="62">
        <f>IF($V6="","",IF(AND(ISNUMBER($G6),$G6&lt;=IF($S6=MesCiclo,InicioCiclo,$S6+MOD(2-WEEKDAY($S6),7))+20),1,IF(N($W6)&gt;0,AVERAGEIFS($AA$5:$AA$1000,$U$5:$U$1000,ROW(),$V$5:$V$1000,"Sub"),$AA6)))</f>
        <v/>
      </c>
      <c r="AF6" s="62">
        <f>IF($V6="","",IF(AND(ISNUMBER($G6),$G6&lt;=IF($S6=MesCiclo,InicioCiclo,$S6+MOD(2-WEEKDAY($S6),7))+27),1,IF(N($W6)&gt;0,AVERAGEIFS($AB$5:$AB$1000,$U$5:$U$1000,ROW(),$V$5:$V$1000,"Sub"),$AB6)))</f>
        <v/>
      </c>
      <c r="AG6" s="62">
        <f>IF($V6&lt;&gt;"Macro","",IF(COUNTIFS($S$5:$S$1000,$S6,$V$5:$V$1000,"Macro",$H$5:$H$1000,"&gt;0")=0,1/COUNTIFS($S$5:$S$1000,$S6,$V$5:$V$1000,"Macro"),IF(AND(ISNUMBER($H6),N($H6)&gt;0),$H6,SUMIFS($H$5:$H$1000,$S$5:$S$1000,$S6,$V$5:$V$1000,"Macro")/COUNTIFS($S$5:$S$1000,$S6,$V$5:$V$1000,"Macro",$H$5:$H$1000,"&gt;0"))/(COUNTIFS($S$5:$S$1000,$S6,$V$5:$V$1000,"Macro")*SUMIFS($H$5:$H$1000,$S$5:$S$1000,$S6,$V$5:$V$1000,"Macro")/COUNTIFS($S$5:$S$1000,$S6,$V$5:$V$1000,"Macro",$H$5:$H$1000,"&gt;0"))))</f>
        <v/>
      </c>
      <c r="AH6" s="62" t="n"/>
      <c r="AI6" s="62" t="n"/>
      <c r="AJ6" s="62" t="n"/>
      <c r="AK6" s="62" t="n"/>
      <c r="AL6" s="62">
        <f>IF(LEFT($C6,11)="[Jefatura] ",IFERROR(MATCH("Asistente Técnico de Riesgo|"&amp;MID($C6,12,500),rDname_ADM,0),0),"")</f>
        <v/>
      </c>
      <c r="AM6" s="62">
        <f>IF(N($AL6)&gt;0,INDEX(rIni_ADM,$AL6),IF(ISNUMBER($E6),$E6,""))</f>
        <v/>
      </c>
      <c r="AN6" s="62">
        <f>IF(N($AL6)&gt;0,INDEX(rLim_ADM,$AL6),IF(ISNUMBER($F6),$F6,""))</f>
        <v/>
      </c>
    </row>
    <row r="7">
      <c r="A7" s="56">
        <f>IF(NOT((COUNTA($B7:$D7)+COUNTA($G7:$L7)+COUNTA($Q7))&gt;0),"",IF($V7="Macro",COUNTIFS($V$5:$V7,"Macro",$S$5:$S7,$S7),IF(N($U7)=0,"?",COUNTIFS(INDEX($V$5:$V$1000,1):INDEX($V$5:$V$1000,$U7-4),"Macro",INDEX($S$5:$S$1000,1):INDEX($S$5:$S$1000,$U7-4),INDEX($S$5:$S$1000,$U7-4))&amp;"."&amp;COUNTIFS($U$5:$U7,$U7,$V$5:$V7,"Sub"))))</f>
        <v/>
      </c>
      <c r="B7" s="57" t="n"/>
      <c r="C7" s="58" t="n"/>
      <c r="D7" s="58" t="n"/>
      <c r="E7" s="59">
        <f>IF(N($AL7)&gt;0,INDEX(rIni_ADM,$AL7),"")</f>
        <v/>
      </c>
      <c r="F7" s="59">
        <f>IF(N($AL7)&gt;0,INDEX(rLim_ADM,$AL7),"")</f>
        <v/>
      </c>
      <c r="G7" s="59" t="n"/>
      <c r="H7" s="60" t="n"/>
      <c r="I7" s="60" t="n"/>
      <c r="J7" s="60" t="n"/>
      <c r="K7" s="60" t="n"/>
      <c r="L7" s="60" t="n"/>
      <c r="M7" s="61">
        <f>IF(NOT((COUNTA($B7:$D7)+COUNTA($G7:$L7)+COUNTA($Q7))&gt;0),"",IF(ISNUMBER($G7),1,IF(N($W7)&gt;0,AVERAGEIFS($X$5:$X$1000,$U$5:$U$1000,ROW(),$V$5:$V$1000,"Sub"),$X7)))</f>
        <v/>
      </c>
      <c r="N7" s="56">
        <f>IF($M7="","",IF($M7&gt;=1,"Completado",IF($M7&gt;0,"En curso","Pendiente")))</f>
        <v/>
      </c>
      <c r="O7" s="56">
        <f>IF(NOT((COUNTA($B7:$D7)+COUNTA($G7:$L7)+COUNTA($Q7))&gt;0),"",IF(ISNUMBER($G7),IF(AND(ISNUMBER($AN7),$G7&gt;$AN7),"Cumplida con "&amp;($G7-$AN7)&amp;IF($G7-$AN7=1," día"," días")&amp;" de retraso","Cumplida"),IF(N($M7)&gt;=1,"Cumplida",IF(NOT(ISNUMBER($AN7)),"Sin fecha límite",IF($AN7&lt;FechaRef,"Vencida hace "&amp;(FechaRef-$AN7)&amp;IF(FechaRef-$AN7=1," día"," días"),IF($AN7=FechaRef,"Vence hoy",IF($AN7-FechaRef&lt;=DiasAlerta,"Vence en "&amp;($AN7-FechaRef)&amp;IF($AN7-FechaRef=1," día"," días"),"En plazo")))))))</f>
        <v/>
      </c>
      <c r="P7" s="62" t="n"/>
      <c r="Q7" s="58" t="n"/>
      <c r="R7" s="63">
        <f>IF(NOT((COUNTA($B7:$D7)+COUNTA($G7:$L7)+COUNTA($Q7))&gt;0),"",IF((IF($C7="","Falta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",""))="","✔ OK","⚠ "&amp;LEFT(IF($C7="","Falta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",""),LEN(IF($C7="","Falta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",""))-3)))</f>
        <v/>
      </c>
      <c r="S7" s="64">
        <f>IF(NOT((COUNTA($B7:$D7)+COUNTA($G7:$L7)+COUNTA($Q7))&gt;0),"",IF(AND($V7="Sub",N($U7)&gt;0),IF(ISNUMBER(INDEX($AM$5:$AM$1000,$U7-4)),DATE(YEAR(INDEX($AM$5:$AM$1000,$U7-4)),MONTH(INDEX($AM$5:$AM$1000,$U7-4)),1),IF(ISNUMBER(INDEX($AN$5:$AN$1000,$U7-4)),DATE(YEAR(INDEX($AN$5:$AN$1000,$U7-4)),MONTH(INDEX($AN$5:$AN$1000,$U7-4)),1),MesCiclo)),IF(ISNUMBER($AM7),DATE(YEAR($AM7),MONTH($AM7),1),IF(ISNUMBER($AN7),DATE(YEAR($AN7),MONTH($AN7),1),MesCiclo))))</f>
        <v/>
      </c>
      <c r="T7" s="62">
        <f>IF(OR($S7="",$S7&lt;&gt;MesCiclo),"",COUNTIF($S$5:$S7,MesCiclo))</f>
        <v/>
      </c>
      <c r="U7" s="62">
        <f>IF($V7="","",IF($V7="Macro",ROW(),IFERROR(LOOKUP(2,1/($V$5:$V7="Macro"),ROW($V$5:$V7)),0)))</f>
        <v/>
      </c>
      <c r="V7" s="62">
        <f>IF(NOT((COUNTA($B7:$D7)+COUNTA($G7:$L7)+COUNTA($Q7))&gt;0),"",IF($B7="Subactividad","Sub","Macro"))</f>
        <v/>
      </c>
      <c r="W7" s="62">
        <f>IF($V7="Macro",COUNTIFS($U$5:$U$1000,ROW(),$V$5:$V$1000,"Sub"),"")</f>
        <v/>
      </c>
      <c r="X7" s="62">
        <f>IF($V7="","",IF(ISNUMBER($G7),1,IFERROR(LOOKUP(2,1/($I7:$L7&lt;&gt;""),$I7:$L7),0)))</f>
        <v/>
      </c>
      <c r="Y7" s="62">
        <f>IF($V7="","",IF(AND(ISNUMBER($G7),$G7&lt;=IF($S7=MesCiclo,InicioCiclo,$S7+MOD(2-WEEKDAY($S7),7))+6),1,IF(ISNUMBER($I7),$I7,0)))</f>
        <v/>
      </c>
      <c r="Z7" s="62">
        <f>IF($V7="","",IF(AND(ISNUMBER($G7),$G7&lt;=IF($S7=MesCiclo,InicioCiclo,$S7+MOD(2-WEEKDAY($S7),7))+13),1,IF(ISNUMBER($J7),$J7,$Y7)))</f>
        <v/>
      </c>
      <c r="AA7" s="62">
        <f>IF($V7="","",IF(AND(ISNUMBER($G7),$G7&lt;=IF($S7=MesCiclo,InicioCiclo,$S7+MOD(2-WEEKDAY($S7),7))+20),1,IF(ISNUMBER($K7),$K7,$Z7)))</f>
        <v/>
      </c>
      <c r="AB7" s="62">
        <f>IF($V7="","",IF(AND(ISNUMBER($G7),$G7&lt;=IF($S7=MesCiclo,InicioCiclo,$S7+MOD(2-WEEKDAY($S7),7))+27),1,IF(ISNUMBER($L7),$L7,$AA7)))</f>
        <v/>
      </c>
      <c r="AC7" s="62">
        <f>IF($V7="","",IF(AND(ISNUMBER($G7),$G7&lt;=IF($S7=MesCiclo,InicioCiclo,$S7+MOD(2-WEEKDAY($S7),7))+6),1,IF(N($W7)&gt;0,AVERAGEIFS($Y$5:$Y$1000,$U$5:$U$1000,ROW(),$V$5:$V$1000,"Sub"),$Y7)))</f>
        <v/>
      </c>
      <c r="AD7" s="62">
        <f>IF($V7="","",IF(AND(ISNUMBER($G7),$G7&lt;=IF($S7=MesCiclo,InicioCiclo,$S7+MOD(2-WEEKDAY($S7),7))+13),1,IF(N($W7)&gt;0,AVERAGEIFS($Z$5:$Z$1000,$U$5:$U$1000,ROW(),$V$5:$V$1000,"Sub"),$Z7)))</f>
        <v/>
      </c>
      <c r="AE7" s="62">
        <f>IF($V7="","",IF(AND(ISNUMBER($G7),$G7&lt;=IF($S7=MesCiclo,InicioCiclo,$S7+MOD(2-WEEKDAY($S7),7))+20),1,IF(N($W7)&gt;0,AVERAGEIFS($AA$5:$AA$1000,$U$5:$U$1000,ROW(),$V$5:$V$1000,"Sub"),$AA7)))</f>
        <v/>
      </c>
      <c r="AF7" s="62">
        <f>IF($V7="","",IF(AND(ISNUMBER($G7),$G7&lt;=IF($S7=MesCiclo,InicioCiclo,$S7+MOD(2-WEEKDAY($S7),7))+27),1,IF(N($W7)&gt;0,AVERAGEIFS($AB$5:$AB$1000,$U$5:$U$1000,ROW(),$V$5:$V$1000,"Sub"),$AB7)))</f>
        <v/>
      </c>
      <c r="AG7" s="62">
        <f>IF($V7&lt;&gt;"Macro","",IF(COUNTIFS($S$5:$S$1000,$S7,$V$5:$V$1000,"Macro",$H$5:$H$1000,"&gt;0")=0,1/COUNTIFS($S$5:$S$1000,$S7,$V$5:$V$1000,"Macro"),IF(AND(ISNUMBER($H7),N($H7)&gt;0),$H7,SUMIFS($H$5:$H$1000,$S$5:$S$1000,$S7,$V$5:$V$1000,"Macro")/COUNTIFS($S$5:$S$1000,$S7,$V$5:$V$1000,"Macro",$H$5:$H$1000,"&gt;0"))/(COUNTIFS($S$5:$S$1000,$S7,$V$5:$V$1000,"Macro")*SUMIFS($H$5:$H$1000,$S$5:$S$1000,$S7,$V$5:$V$1000,"Macro")/COUNTIFS($S$5:$S$1000,$S7,$V$5:$V$1000,"Macro",$H$5:$H$1000,"&gt;0"))))</f>
        <v/>
      </c>
      <c r="AH7" s="62" t="n"/>
      <c r="AI7" s="62" t="n"/>
      <c r="AJ7" s="62" t="n"/>
      <c r="AK7" s="62" t="n"/>
      <c r="AL7" s="62">
        <f>IF(LEFT($C7,11)="[Jefatura] ",IFERROR(MATCH("Asistente Técnico de Riesgo|"&amp;MID($C7,12,500),rDname_ADM,0),0),"")</f>
        <v/>
      </c>
      <c r="AM7" s="62">
        <f>IF(N($AL7)&gt;0,INDEX(rIni_ADM,$AL7),IF(ISNUMBER($E7),$E7,""))</f>
        <v/>
      </c>
      <c r="AN7" s="62">
        <f>IF(N($AL7)&gt;0,INDEX(rLim_ADM,$AL7),IF(ISNUMBER($F7),$F7,""))</f>
        <v/>
      </c>
    </row>
    <row r="8">
      <c r="A8" s="56">
        <f>IF(NOT((COUNTA($B8:$D8)+COUNTA($G8:$L8)+COUNTA($Q8))&gt;0),"",IF($V8="Macro",COUNTIFS($V$5:$V8,"Macro",$S$5:$S8,$S8),IF(N($U8)=0,"?",COUNTIFS(INDEX($V$5:$V$1000,1):INDEX($V$5:$V$1000,$U8-4),"Macro",INDEX($S$5:$S$1000,1):INDEX($S$5:$S$1000,$U8-4),INDEX($S$5:$S$1000,$U8-4))&amp;"."&amp;COUNTIFS($U$5:$U8,$U8,$V$5:$V8,"Sub"))))</f>
        <v/>
      </c>
      <c r="B8" s="57" t="n"/>
      <c r="C8" s="58" t="n"/>
      <c r="D8" s="58" t="n"/>
      <c r="E8" s="59">
        <f>IF(N($AL8)&gt;0,INDEX(rIni_ADM,$AL8),"")</f>
        <v/>
      </c>
      <c r="F8" s="59">
        <f>IF(N($AL8)&gt;0,INDEX(rLim_ADM,$AL8),"")</f>
        <v/>
      </c>
      <c r="G8" s="59" t="n"/>
      <c r="H8" s="60" t="n"/>
      <c r="I8" s="60" t="n"/>
      <c r="J8" s="60" t="n"/>
      <c r="K8" s="60" t="n"/>
      <c r="L8" s="60" t="n"/>
      <c r="M8" s="61">
        <f>IF(NOT((COUNTA($B8:$D8)+COUNTA($G8:$L8)+COUNTA($Q8))&gt;0),"",IF(ISNUMBER($G8),1,IF(N($W8)&gt;0,AVERAGEIFS($X$5:$X$1000,$U$5:$U$1000,ROW(),$V$5:$V$1000,"Sub"),$X8)))</f>
        <v/>
      </c>
      <c r="N8" s="56">
        <f>IF($M8="","",IF($M8&gt;=1,"Completado",IF($M8&gt;0,"En curso","Pendiente")))</f>
        <v/>
      </c>
      <c r="O8" s="56">
        <f>IF(NOT((COUNTA($B8:$D8)+COUNTA($G8:$L8)+COUNTA($Q8))&gt;0),"",IF(ISNUMBER($G8),IF(AND(ISNUMBER($AN8),$G8&gt;$AN8),"Cumplida con "&amp;($G8-$AN8)&amp;IF($G8-$AN8=1," día"," días")&amp;" de retraso","Cumplida"),IF(N($M8)&gt;=1,"Cumplida",IF(NOT(ISNUMBER($AN8)),"Sin fecha límite",IF($AN8&lt;FechaRef,"Vencida hace "&amp;(FechaRef-$AN8)&amp;IF(FechaRef-$AN8=1," día"," días"),IF($AN8=FechaRef,"Vence hoy",IF($AN8-FechaRef&lt;=DiasAlerta,"Vence en "&amp;($AN8-FechaRef)&amp;IF($AN8-FechaRef=1," día"," días"),"En plazo")))))))</f>
        <v/>
      </c>
      <c r="P8" s="62" t="n"/>
      <c r="Q8" s="58" t="n"/>
      <c r="R8" s="63">
        <f>IF(NOT((COUNTA($B8:$D8)+COUNTA($G8:$L8)+COUNTA($Q8))&gt;0),"",IF((IF($C8="","Falta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",""))="","✔ OK","⚠ "&amp;LEFT(IF($C8="","Falta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",""),LEN(IF($C8="","Falta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",""))-3)))</f>
        <v/>
      </c>
      <c r="S8" s="64">
        <f>IF(NOT((COUNTA($B8:$D8)+COUNTA($G8:$L8)+COUNTA($Q8))&gt;0),"",IF(AND($V8="Sub",N($U8)&gt;0),IF(ISNUMBER(INDEX($AM$5:$AM$1000,$U8-4)),DATE(YEAR(INDEX($AM$5:$AM$1000,$U8-4)),MONTH(INDEX($AM$5:$AM$1000,$U8-4)),1),IF(ISNUMBER(INDEX($AN$5:$AN$1000,$U8-4)),DATE(YEAR(INDEX($AN$5:$AN$1000,$U8-4)),MONTH(INDEX($AN$5:$AN$1000,$U8-4)),1),MesCiclo)),IF(ISNUMBER($AM8),DATE(YEAR($AM8),MONTH($AM8),1),IF(ISNUMBER($AN8),DATE(YEAR($AN8),MONTH($AN8),1),MesCiclo))))</f>
        <v/>
      </c>
      <c r="T8" s="62">
        <f>IF(OR($S8="",$S8&lt;&gt;MesCiclo),"",COUNTIF($S$5:$S8,MesCiclo))</f>
        <v/>
      </c>
      <c r="U8" s="62">
        <f>IF($V8="","",IF($V8="Macro",ROW(),IFERROR(LOOKUP(2,1/($V$5:$V8="Macro"),ROW($V$5:$V8)),0)))</f>
        <v/>
      </c>
      <c r="V8" s="62">
        <f>IF(NOT((COUNTA($B8:$D8)+COUNTA($G8:$L8)+COUNTA($Q8))&gt;0),"",IF($B8="Subactividad","Sub","Macro"))</f>
        <v/>
      </c>
      <c r="W8" s="62">
        <f>IF($V8="Macro",COUNTIFS($U$5:$U$1000,ROW(),$V$5:$V$1000,"Sub"),"")</f>
        <v/>
      </c>
      <c r="X8" s="62">
        <f>IF($V8="","",IF(ISNUMBER($G8),1,IFERROR(LOOKUP(2,1/($I8:$L8&lt;&gt;""),$I8:$L8),0)))</f>
        <v/>
      </c>
      <c r="Y8" s="62">
        <f>IF($V8="","",IF(AND(ISNUMBER($G8),$G8&lt;=IF($S8=MesCiclo,InicioCiclo,$S8+MOD(2-WEEKDAY($S8),7))+6),1,IF(ISNUMBER($I8),$I8,0)))</f>
        <v/>
      </c>
      <c r="Z8" s="62">
        <f>IF($V8="","",IF(AND(ISNUMBER($G8),$G8&lt;=IF($S8=MesCiclo,InicioCiclo,$S8+MOD(2-WEEKDAY($S8),7))+13),1,IF(ISNUMBER($J8),$J8,$Y8)))</f>
        <v/>
      </c>
      <c r="AA8" s="62">
        <f>IF($V8="","",IF(AND(ISNUMBER($G8),$G8&lt;=IF($S8=MesCiclo,InicioCiclo,$S8+MOD(2-WEEKDAY($S8),7))+20),1,IF(ISNUMBER($K8),$K8,$Z8)))</f>
        <v/>
      </c>
      <c r="AB8" s="62">
        <f>IF($V8="","",IF(AND(ISNUMBER($G8),$G8&lt;=IF($S8=MesCiclo,InicioCiclo,$S8+MOD(2-WEEKDAY($S8),7))+27),1,IF(ISNUMBER($L8),$L8,$AA8)))</f>
        <v/>
      </c>
      <c r="AC8" s="62">
        <f>IF($V8="","",IF(AND(ISNUMBER($G8),$G8&lt;=IF($S8=MesCiclo,InicioCiclo,$S8+MOD(2-WEEKDAY($S8),7))+6),1,IF(N($W8)&gt;0,AVERAGEIFS($Y$5:$Y$1000,$U$5:$U$1000,ROW(),$V$5:$V$1000,"Sub"),$Y8)))</f>
        <v/>
      </c>
      <c r="AD8" s="62">
        <f>IF($V8="","",IF(AND(ISNUMBER($G8),$G8&lt;=IF($S8=MesCiclo,InicioCiclo,$S8+MOD(2-WEEKDAY($S8),7))+13),1,IF(N($W8)&gt;0,AVERAGEIFS($Z$5:$Z$1000,$U$5:$U$1000,ROW(),$V$5:$V$1000,"Sub"),$Z8)))</f>
        <v/>
      </c>
      <c r="AE8" s="62">
        <f>IF($V8="","",IF(AND(ISNUMBER($G8),$G8&lt;=IF($S8=MesCiclo,InicioCiclo,$S8+MOD(2-WEEKDAY($S8),7))+20),1,IF(N($W8)&gt;0,AVERAGEIFS($AA$5:$AA$1000,$U$5:$U$1000,ROW(),$V$5:$V$1000,"Sub"),$AA8)))</f>
        <v/>
      </c>
      <c r="AF8" s="62">
        <f>IF($V8="","",IF(AND(ISNUMBER($G8),$G8&lt;=IF($S8=MesCiclo,InicioCiclo,$S8+MOD(2-WEEKDAY($S8),7))+27),1,IF(N($W8)&gt;0,AVERAGEIFS($AB$5:$AB$1000,$U$5:$U$1000,ROW(),$V$5:$V$1000,"Sub"),$AB8)))</f>
        <v/>
      </c>
      <c r="AG8" s="62">
        <f>IF($V8&lt;&gt;"Macro","",IF(COUNTIFS($S$5:$S$1000,$S8,$V$5:$V$1000,"Macro",$H$5:$H$1000,"&gt;0")=0,1/COUNTIFS($S$5:$S$1000,$S8,$V$5:$V$1000,"Macro"),IF(AND(ISNUMBER($H8),N($H8)&gt;0),$H8,SUMIFS($H$5:$H$1000,$S$5:$S$1000,$S8,$V$5:$V$1000,"Macro")/COUNTIFS($S$5:$S$1000,$S8,$V$5:$V$1000,"Macro",$H$5:$H$1000,"&gt;0"))/(COUNTIFS($S$5:$S$1000,$S8,$V$5:$V$1000,"Macro")*SUMIFS($H$5:$H$1000,$S$5:$S$1000,$S8,$V$5:$V$1000,"Macro")/COUNTIFS($S$5:$S$1000,$S8,$V$5:$V$1000,"Macro",$H$5:$H$1000,"&gt;0"))))</f>
        <v/>
      </c>
      <c r="AH8" s="62" t="n"/>
      <c r="AI8" s="62" t="n"/>
      <c r="AJ8" s="62" t="n"/>
      <c r="AK8" s="62" t="n"/>
      <c r="AL8" s="62">
        <f>IF(LEFT($C8,11)="[Jefatura] ",IFERROR(MATCH("Asistente Técnico de Riesgo|"&amp;MID($C8,12,500),rDname_ADM,0),0),"")</f>
        <v/>
      </c>
      <c r="AM8" s="62">
        <f>IF(N($AL8)&gt;0,INDEX(rIni_ADM,$AL8),IF(ISNUMBER($E8),$E8,""))</f>
        <v/>
      </c>
      <c r="AN8" s="62">
        <f>IF(N($AL8)&gt;0,INDEX(rLim_ADM,$AL8),IF(ISNUMBER($F8),$F8,""))</f>
        <v/>
      </c>
    </row>
    <row r="9">
      <c r="A9" s="56">
        <f>IF(NOT((COUNTA($B9:$D9)+COUNTA($G9:$L9)+COUNTA($Q9))&gt;0),"",IF($V9="Macro",COUNTIFS($V$5:$V9,"Macro",$S$5:$S9,$S9),IF(N($U9)=0,"?",COUNTIFS(INDEX($V$5:$V$1000,1):INDEX($V$5:$V$1000,$U9-4),"Macro",INDEX($S$5:$S$1000,1):INDEX($S$5:$S$1000,$U9-4),INDEX($S$5:$S$1000,$U9-4))&amp;"."&amp;COUNTIFS($U$5:$U9,$U9,$V$5:$V9,"Sub"))))</f>
        <v/>
      </c>
      <c r="B9" s="57" t="n"/>
      <c r="C9" s="58" t="n"/>
      <c r="D9" s="58" t="n"/>
      <c r="E9" s="59">
        <f>IF(N($AL9)&gt;0,INDEX(rIni_ADM,$AL9),"")</f>
        <v/>
      </c>
      <c r="F9" s="59">
        <f>IF(N($AL9)&gt;0,INDEX(rLim_ADM,$AL9),"")</f>
        <v/>
      </c>
      <c r="G9" s="59" t="n"/>
      <c r="H9" s="60" t="n"/>
      <c r="I9" s="60" t="n"/>
      <c r="J9" s="60" t="n"/>
      <c r="K9" s="60" t="n"/>
      <c r="L9" s="60" t="n"/>
      <c r="M9" s="61">
        <f>IF(NOT((COUNTA($B9:$D9)+COUNTA($G9:$L9)+COUNTA($Q9))&gt;0),"",IF(ISNUMBER($G9),1,IF(N($W9)&gt;0,AVERAGEIFS($X$5:$X$1000,$U$5:$U$1000,ROW(),$V$5:$V$1000,"Sub"),$X9)))</f>
        <v/>
      </c>
      <c r="N9" s="56">
        <f>IF($M9="","",IF($M9&gt;=1,"Completado",IF($M9&gt;0,"En curso","Pendiente")))</f>
        <v/>
      </c>
      <c r="O9" s="56">
        <f>IF(NOT((COUNTA($B9:$D9)+COUNTA($G9:$L9)+COUNTA($Q9))&gt;0),"",IF(ISNUMBER($G9),IF(AND(ISNUMBER($AN9),$G9&gt;$AN9),"Cumplida con "&amp;($G9-$AN9)&amp;IF($G9-$AN9=1," día"," días")&amp;" de retraso","Cumplida"),IF(N($M9)&gt;=1,"Cumplida",IF(NOT(ISNUMBER($AN9)),"Sin fecha límite",IF($AN9&lt;FechaRef,"Vencida hace "&amp;(FechaRef-$AN9)&amp;IF(FechaRef-$AN9=1," día"," días"),IF($AN9=FechaRef,"Vence hoy",IF($AN9-FechaRef&lt;=DiasAlerta,"Vence en "&amp;($AN9-FechaRef)&amp;IF($AN9-FechaRef=1," día"," días"),"En plazo")))))))</f>
        <v/>
      </c>
      <c r="P9" s="62" t="n"/>
      <c r="Q9" s="58" t="n"/>
      <c r="R9" s="63">
        <f>IF(NOT((COUNTA($B9:$D9)+COUNTA($G9:$L9)+COUNTA($Q9))&gt;0),"",IF((IF($C9="","Falta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",""))="","✔ OK","⚠ "&amp;LEFT(IF($C9="","Falta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",""),LEN(IF($C9="","Falta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",""))-3)))</f>
        <v/>
      </c>
      <c r="S9" s="64">
        <f>IF(NOT((COUNTA($B9:$D9)+COUNTA($G9:$L9)+COUNTA($Q9))&gt;0),"",IF(AND($V9="Sub",N($U9)&gt;0),IF(ISNUMBER(INDEX($AM$5:$AM$1000,$U9-4)),DATE(YEAR(INDEX($AM$5:$AM$1000,$U9-4)),MONTH(INDEX($AM$5:$AM$1000,$U9-4)),1),IF(ISNUMBER(INDEX($AN$5:$AN$1000,$U9-4)),DATE(YEAR(INDEX($AN$5:$AN$1000,$U9-4)),MONTH(INDEX($AN$5:$AN$1000,$U9-4)),1),MesCiclo)),IF(ISNUMBER($AM9),DATE(YEAR($AM9),MONTH($AM9),1),IF(ISNUMBER($AN9),DATE(YEAR($AN9),MONTH($AN9),1),MesCiclo))))</f>
        <v/>
      </c>
      <c r="T9" s="62">
        <f>IF(OR($S9="",$S9&lt;&gt;MesCiclo),"",COUNTIF($S$5:$S9,MesCiclo))</f>
        <v/>
      </c>
      <c r="U9" s="62">
        <f>IF($V9="","",IF($V9="Macro",ROW(),IFERROR(LOOKUP(2,1/($V$5:$V9="Macro"),ROW($V$5:$V9)),0)))</f>
        <v/>
      </c>
      <c r="V9" s="62">
        <f>IF(NOT((COUNTA($B9:$D9)+COUNTA($G9:$L9)+COUNTA($Q9))&gt;0),"",IF($B9="Subactividad","Sub","Macro"))</f>
        <v/>
      </c>
      <c r="W9" s="62">
        <f>IF($V9="Macro",COUNTIFS($U$5:$U$1000,ROW(),$V$5:$V$1000,"Sub"),"")</f>
        <v/>
      </c>
      <c r="X9" s="62">
        <f>IF($V9="","",IF(ISNUMBER($G9),1,IFERROR(LOOKUP(2,1/($I9:$L9&lt;&gt;""),$I9:$L9),0)))</f>
        <v/>
      </c>
      <c r="Y9" s="62">
        <f>IF($V9="","",IF(AND(ISNUMBER($G9),$G9&lt;=IF($S9=MesCiclo,InicioCiclo,$S9+MOD(2-WEEKDAY($S9),7))+6),1,IF(ISNUMBER($I9),$I9,0)))</f>
        <v/>
      </c>
      <c r="Z9" s="62">
        <f>IF($V9="","",IF(AND(ISNUMBER($G9),$G9&lt;=IF($S9=MesCiclo,InicioCiclo,$S9+MOD(2-WEEKDAY($S9),7))+13),1,IF(ISNUMBER($J9),$J9,$Y9)))</f>
        <v/>
      </c>
      <c r="AA9" s="62">
        <f>IF($V9="","",IF(AND(ISNUMBER($G9),$G9&lt;=IF($S9=MesCiclo,InicioCiclo,$S9+MOD(2-WEEKDAY($S9),7))+20),1,IF(ISNUMBER($K9),$K9,$Z9)))</f>
        <v/>
      </c>
      <c r="AB9" s="62">
        <f>IF($V9="","",IF(AND(ISNUMBER($G9),$G9&lt;=IF($S9=MesCiclo,InicioCiclo,$S9+MOD(2-WEEKDAY($S9),7))+27),1,IF(ISNUMBER($L9),$L9,$AA9)))</f>
        <v/>
      </c>
      <c r="AC9" s="62">
        <f>IF($V9="","",IF(AND(ISNUMBER($G9),$G9&lt;=IF($S9=MesCiclo,InicioCiclo,$S9+MOD(2-WEEKDAY($S9),7))+6),1,IF(N($W9)&gt;0,AVERAGEIFS($Y$5:$Y$1000,$U$5:$U$1000,ROW(),$V$5:$V$1000,"Sub"),$Y9)))</f>
        <v/>
      </c>
      <c r="AD9" s="62">
        <f>IF($V9="","",IF(AND(ISNUMBER($G9),$G9&lt;=IF($S9=MesCiclo,InicioCiclo,$S9+MOD(2-WEEKDAY($S9),7))+13),1,IF(N($W9)&gt;0,AVERAGEIFS($Z$5:$Z$1000,$U$5:$U$1000,ROW(),$V$5:$V$1000,"Sub"),$Z9)))</f>
        <v/>
      </c>
      <c r="AE9" s="62">
        <f>IF($V9="","",IF(AND(ISNUMBER($G9),$G9&lt;=IF($S9=MesCiclo,InicioCiclo,$S9+MOD(2-WEEKDAY($S9),7))+20),1,IF(N($W9)&gt;0,AVERAGEIFS($AA$5:$AA$1000,$U$5:$U$1000,ROW(),$V$5:$V$1000,"Sub"),$AA9)))</f>
        <v/>
      </c>
      <c r="AF9" s="62">
        <f>IF($V9="","",IF(AND(ISNUMBER($G9),$G9&lt;=IF($S9=MesCiclo,InicioCiclo,$S9+MOD(2-WEEKDAY($S9),7))+27),1,IF(N($W9)&gt;0,AVERAGEIFS($AB$5:$AB$1000,$U$5:$U$1000,ROW(),$V$5:$V$1000,"Sub"),$AB9)))</f>
        <v/>
      </c>
      <c r="AG9" s="62">
        <f>IF($V9&lt;&gt;"Macro","",IF(COUNTIFS($S$5:$S$1000,$S9,$V$5:$V$1000,"Macro",$H$5:$H$1000,"&gt;0")=0,1/COUNTIFS($S$5:$S$1000,$S9,$V$5:$V$1000,"Macro"),IF(AND(ISNUMBER($H9),N($H9)&gt;0),$H9,SUMIFS($H$5:$H$1000,$S$5:$S$1000,$S9,$V$5:$V$1000,"Macro")/COUNTIFS($S$5:$S$1000,$S9,$V$5:$V$1000,"Macro",$H$5:$H$1000,"&gt;0"))/(COUNTIFS($S$5:$S$1000,$S9,$V$5:$V$1000,"Macro")*SUMIFS($H$5:$H$1000,$S$5:$S$1000,$S9,$V$5:$V$1000,"Macro")/COUNTIFS($S$5:$S$1000,$S9,$V$5:$V$1000,"Macro",$H$5:$H$1000,"&gt;0"))))</f>
        <v/>
      </c>
      <c r="AH9" s="62" t="n"/>
      <c r="AI9" s="62" t="n"/>
      <c r="AJ9" s="62" t="n"/>
      <c r="AK9" s="62" t="n"/>
      <c r="AL9" s="62">
        <f>IF(LEFT($C9,11)="[Jefatura] ",IFERROR(MATCH("Asistente Técnico de Riesgo|"&amp;MID($C9,12,500),rDname_ADM,0),0),"")</f>
        <v/>
      </c>
      <c r="AM9" s="62">
        <f>IF(N($AL9)&gt;0,INDEX(rIni_ADM,$AL9),IF(ISNUMBER($E9),$E9,""))</f>
        <v/>
      </c>
      <c r="AN9" s="62">
        <f>IF(N($AL9)&gt;0,INDEX(rLim_ADM,$AL9),IF(ISNUMBER($F9),$F9,""))</f>
        <v/>
      </c>
    </row>
    <row r="10">
      <c r="A10" s="56">
        <f>IF(NOT((COUNTA($B10:$D10)+COUNTA($G10:$L10)+COUNTA($Q10))&gt;0),"",IF($V10="Macro",COUNTIFS($V$5:$V10,"Macro",$S$5:$S10,$S10),IF(N($U10)=0,"?",COUNTIFS(INDEX($V$5:$V$1000,1):INDEX($V$5:$V$1000,$U10-4),"Macro",INDEX($S$5:$S$1000,1):INDEX($S$5:$S$1000,$U10-4),INDEX($S$5:$S$1000,$U10-4))&amp;"."&amp;COUNTIFS($U$5:$U10,$U10,$V$5:$V10,"Sub"))))</f>
        <v/>
      </c>
      <c r="B10" s="57" t="n"/>
      <c r="C10" s="58" t="n"/>
      <c r="D10" s="58" t="n"/>
      <c r="E10" s="59">
        <f>IF(N($AL10)&gt;0,INDEX(rIni_ADM,$AL10),"")</f>
        <v/>
      </c>
      <c r="F10" s="59">
        <f>IF(N($AL10)&gt;0,INDEX(rLim_ADM,$AL10),"")</f>
        <v/>
      </c>
      <c r="G10" s="59" t="n"/>
      <c r="H10" s="60" t="n"/>
      <c r="I10" s="60" t="n"/>
      <c r="J10" s="60" t="n"/>
      <c r="K10" s="60" t="n"/>
      <c r="L10" s="60" t="n"/>
      <c r="M10" s="61">
        <f>IF(NOT((COUNTA($B10:$D10)+COUNTA($G10:$L10)+COUNTA($Q10))&gt;0),"",IF(ISNUMBER($G10),1,IF(N($W10)&gt;0,AVERAGEIFS($X$5:$X$1000,$U$5:$U$1000,ROW(),$V$5:$V$1000,"Sub"),$X10)))</f>
        <v/>
      </c>
      <c r="N10" s="56">
        <f>IF($M10="","",IF($M10&gt;=1,"Completado",IF($M10&gt;0,"En curso","Pendiente")))</f>
        <v/>
      </c>
      <c r="O10" s="56">
        <f>IF(NOT((COUNTA($B10:$D10)+COUNTA($G10:$L10)+COUNTA($Q10))&gt;0),"",IF(ISNUMBER($G10),IF(AND(ISNUMBER($AN10),$G10&gt;$AN10),"Cumplida con "&amp;($G10-$AN10)&amp;IF($G10-$AN10=1," día"," días")&amp;" de retraso","Cumplida"),IF(N($M10)&gt;=1,"Cumplida",IF(NOT(ISNUMBER($AN10)),"Sin fecha límite",IF($AN10&lt;FechaRef,"Vencida hace "&amp;(FechaRef-$AN10)&amp;IF(FechaRef-$AN10=1," día"," días"),IF($AN10=FechaRef,"Vence hoy",IF($AN10-FechaRef&lt;=DiasAlerta,"Vence en "&amp;($AN10-FechaRef)&amp;IF($AN10-FechaRef=1," día"," días"),"En plazo")))))))</f>
        <v/>
      </c>
      <c r="P10" s="62" t="n"/>
      <c r="Q10" s="58" t="n"/>
      <c r="R10" s="63">
        <f>IF(NOT((COUNTA($B10:$D10)+COUNTA($G10:$L10)+COUNTA($Q10))&gt;0),"",IF((IF($C10="","Falta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",""))="","✔ OK","⚠ "&amp;LEFT(IF($C10="","Falta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",""),LEN(IF($C10="","Falta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",""))-3)))</f>
        <v/>
      </c>
      <c r="S10" s="64">
        <f>IF(NOT((COUNTA($B10:$D10)+COUNTA($G10:$L10)+COUNTA($Q10))&gt;0),"",IF(AND($V10="Sub",N($U10)&gt;0),IF(ISNUMBER(INDEX($AM$5:$AM$1000,$U10-4)),DATE(YEAR(INDEX($AM$5:$AM$1000,$U10-4)),MONTH(INDEX($AM$5:$AM$1000,$U10-4)),1),IF(ISNUMBER(INDEX($AN$5:$AN$1000,$U10-4)),DATE(YEAR(INDEX($AN$5:$AN$1000,$U10-4)),MONTH(INDEX($AN$5:$AN$1000,$U10-4)),1),MesCiclo)),IF(ISNUMBER($AM10),DATE(YEAR($AM10),MONTH($AM10),1),IF(ISNUMBER($AN10),DATE(YEAR($AN10),MONTH($AN10),1),MesCiclo))))</f>
        <v/>
      </c>
      <c r="T10" s="62">
        <f>IF(OR($S10="",$S10&lt;&gt;MesCiclo),"",COUNTIF($S$5:$S10,MesCiclo))</f>
        <v/>
      </c>
      <c r="U10" s="62">
        <f>IF($V10="","",IF($V10="Macro",ROW(),IFERROR(LOOKUP(2,1/($V$5:$V10="Macro"),ROW($V$5:$V10)),0)))</f>
        <v/>
      </c>
      <c r="V10" s="62">
        <f>IF(NOT((COUNTA($B10:$D10)+COUNTA($G10:$L10)+COUNTA($Q10))&gt;0),"",IF($B10="Subactividad","Sub","Macro"))</f>
        <v/>
      </c>
      <c r="W10" s="62">
        <f>IF($V10="Macro",COUNTIFS($U$5:$U$1000,ROW(),$V$5:$V$1000,"Sub"),"")</f>
        <v/>
      </c>
      <c r="X10" s="62">
        <f>IF($V10="","",IF(ISNUMBER($G10),1,IFERROR(LOOKUP(2,1/($I10:$L10&lt;&gt;""),$I10:$L10),0)))</f>
        <v/>
      </c>
      <c r="Y10" s="62">
        <f>IF($V10="","",IF(AND(ISNUMBER($G10),$G10&lt;=IF($S10=MesCiclo,InicioCiclo,$S10+MOD(2-WEEKDAY($S10),7))+6),1,IF(ISNUMBER($I10),$I10,0)))</f>
        <v/>
      </c>
      <c r="Z10" s="62">
        <f>IF($V10="","",IF(AND(ISNUMBER($G10),$G10&lt;=IF($S10=MesCiclo,InicioCiclo,$S10+MOD(2-WEEKDAY($S10),7))+13),1,IF(ISNUMBER($J10),$J10,$Y10)))</f>
        <v/>
      </c>
      <c r="AA10" s="62">
        <f>IF($V10="","",IF(AND(ISNUMBER($G10),$G10&lt;=IF($S10=MesCiclo,InicioCiclo,$S10+MOD(2-WEEKDAY($S10),7))+20),1,IF(ISNUMBER($K10),$K10,$Z10)))</f>
        <v/>
      </c>
      <c r="AB10" s="62">
        <f>IF($V10="","",IF(AND(ISNUMBER($G10),$G10&lt;=IF($S10=MesCiclo,InicioCiclo,$S10+MOD(2-WEEKDAY($S10),7))+27),1,IF(ISNUMBER($L10),$L10,$AA10)))</f>
        <v/>
      </c>
      <c r="AC10" s="62">
        <f>IF($V10="","",IF(AND(ISNUMBER($G10),$G10&lt;=IF($S10=MesCiclo,InicioCiclo,$S10+MOD(2-WEEKDAY($S10),7))+6),1,IF(N($W10)&gt;0,AVERAGEIFS($Y$5:$Y$1000,$U$5:$U$1000,ROW(),$V$5:$V$1000,"Sub"),$Y10)))</f>
        <v/>
      </c>
      <c r="AD10" s="62">
        <f>IF($V10="","",IF(AND(ISNUMBER($G10),$G10&lt;=IF($S10=MesCiclo,InicioCiclo,$S10+MOD(2-WEEKDAY($S10),7))+13),1,IF(N($W10)&gt;0,AVERAGEIFS($Z$5:$Z$1000,$U$5:$U$1000,ROW(),$V$5:$V$1000,"Sub"),$Z10)))</f>
        <v/>
      </c>
      <c r="AE10" s="62">
        <f>IF($V10="","",IF(AND(ISNUMBER($G10),$G10&lt;=IF($S10=MesCiclo,InicioCiclo,$S10+MOD(2-WEEKDAY($S10),7))+20),1,IF(N($W10)&gt;0,AVERAGEIFS($AA$5:$AA$1000,$U$5:$U$1000,ROW(),$V$5:$V$1000,"Sub"),$AA10)))</f>
        <v/>
      </c>
      <c r="AF10" s="62">
        <f>IF($V10="","",IF(AND(ISNUMBER($G10),$G10&lt;=IF($S10=MesCiclo,InicioCiclo,$S10+MOD(2-WEEKDAY($S10),7))+27),1,IF(N($W10)&gt;0,AVERAGEIFS($AB$5:$AB$1000,$U$5:$U$1000,ROW(),$V$5:$V$1000,"Sub"),$AB10)))</f>
        <v/>
      </c>
      <c r="AG10" s="62">
        <f>IF($V10&lt;&gt;"Macro","",IF(COUNTIFS($S$5:$S$1000,$S10,$V$5:$V$1000,"Macro",$H$5:$H$1000,"&gt;0")=0,1/COUNTIFS($S$5:$S$1000,$S10,$V$5:$V$1000,"Macro"),IF(AND(ISNUMBER($H10),N($H10)&gt;0),$H10,SUMIFS($H$5:$H$1000,$S$5:$S$1000,$S10,$V$5:$V$1000,"Macro")/COUNTIFS($S$5:$S$1000,$S10,$V$5:$V$1000,"Macro",$H$5:$H$1000,"&gt;0"))/(COUNTIFS($S$5:$S$1000,$S10,$V$5:$V$1000,"Macro")*SUMIFS($H$5:$H$1000,$S$5:$S$1000,$S10,$V$5:$V$1000,"Macro")/COUNTIFS($S$5:$S$1000,$S10,$V$5:$V$1000,"Macro",$H$5:$H$1000,"&gt;0"))))</f>
        <v/>
      </c>
      <c r="AH10" s="62" t="n"/>
      <c r="AI10" s="62" t="n"/>
      <c r="AJ10" s="62" t="n"/>
      <c r="AK10" s="62" t="n"/>
      <c r="AL10" s="62">
        <f>IF(LEFT($C10,11)="[Jefatura] ",IFERROR(MATCH("Asistente Técnico de Riesgo|"&amp;MID($C10,12,500),rDname_ADM,0),0),"")</f>
        <v/>
      </c>
      <c r="AM10" s="62">
        <f>IF(N($AL10)&gt;0,INDEX(rIni_ADM,$AL10),IF(ISNUMBER($E10),$E10,""))</f>
        <v/>
      </c>
      <c r="AN10" s="62">
        <f>IF(N($AL10)&gt;0,INDEX(rLim_ADM,$AL10),IF(ISNUMBER($F10),$F10,""))</f>
        <v/>
      </c>
    </row>
    <row r="11">
      <c r="A11" s="56">
        <f>IF(NOT((COUNTA($B11:$D11)+COUNTA($G11:$L11)+COUNTA($Q11))&gt;0),"",IF($V11="Macro",COUNTIFS($V$5:$V11,"Macro",$S$5:$S11,$S11),IF(N($U11)=0,"?",COUNTIFS(INDEX($V$5:$V$1000,1):INDEX($V$5:$V$1000,$U11-4),"Macro",INDEX($S$5:$S$1000,1):INDEX($S$5:$S$1000,$U11-4),INDEX($S$5:$S$1000,$U11-4))&amp;"."&amp;COUNTIFS($U$5:$U11,$U11,$V$5:$V11,"Sub"))))</f>
        <v/>
      </c>
      <c r="B11" s="57" t="n"/>
      <c r="C11" s="58" t="n"/>
      <c r="D11" s="58" t="n"/>
      <c r="E11" s="59">
        <f>IF(N($AL11)&gt;0,INDEX(rIni_ADM,$AL11),"")</f>
        <v/>
      </c>
      <c r="F11" s="59">
        <f>IF(N($AL11)&gt;0,INDEX(rLim_ADM,$AL11),"")</f>
        <v/>
      </c>
      <c r="G11" s="59" t="n"/>
      <c r="H11" s="60" t="n"/>
      <c r="I11" s="60" t="n"/>
      <c r="J11" s="60" t="n"/>
      <c r="K11" s="60" t="n"/>
      <c r="L11" s="60" t="n"/>
      <c r="M11" s="61">
        <f>IF(NOT((COUNTA($B11:$D11)+COUNTA($G11:$L11)+COUNTA($Q11))&gt;0),"",IF(ISNUMBER($G11),1,IF(N($W11)&gt;0,AVERAGEIFS($X$5:$X$1000,$U$5:$U$1000,ROW(),$V$5:$V$1000,"Sub"),$X11)))</f>
        <v/>
      </c>
      <c r="N11" s="56">
        <f>IF($M11="","",IF($M11&gt;=1,"Completado",IF($M11&gt;0,"En curso","Pendiente")))</f>
        <v/>
      </c>
      <c r="O11" s="56">
        <f>IF(NOT((COUNTA($B11:$D11)+COUNTA($G11:$L11)+COUNTA($Q11))&gt;0),"",IF(ISNUMBER($G11),IF(AND(ISNUMBER($AN11),$G11&gt;$AN11),"Cumplida con "&amp;($G11-$AN11)&amp;IF($G11-$AN11=1," día"," días")&amp;" de retraso","Cumplida"),IF(N($M11)&gt;=1,"Cumplida",IF(NOT(ISNUMBER($AN11)),"Sin fecha límite",IF($AN11&lt;FechaRef,"Vencida hace "&amp;(FechaRef-$AN11)&amp;IF(FechaRef-$AN11=1," día"," días"),IF($AN11=FechaRef,"Vence hoy",IF($AN11-FechaRef&lt;=DiasAlerta,"Vence en "&amp;($AN11-FechaRef)&amp;IF($AN11-FechaRef=1," día"," días"),"En plazo")))))))</f>
        <v/>
      </c>
      <c r="P11" s="62" t="n"/>
      <c r="Q11" s="58" t="n"/>
      <c r="R11" s="63">
        <f>IF(NOT((COUNTA($B11:$D11)+COUNTA($G11:$L11)+COUNTA($Q11))&gt;0),"",IF((IF($C11="","Falta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",""))="","✔ OK","⚠ "&amp;LEFT(IF($C11="","Falta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",""),LEN(IF($C11="","Falta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",""))-3)))</f>
        <v/>
      </c>
      <c r="S11" s="64">
        <f>IF(NOT((COUNTA($B11:$D11)+COUNTA($G11:$L11)+COUNTA($Q11))&gt;0),"",IF(AND($V11="Sub",N($U11)&gt;0),IF(ISNUMBER(INDEX($AM$5:$AM$1000,$U11-4)),DATE(YEAR(INDEX($AM$5:$AM$1000,$U11-4)),MONTH(INDEX($AM$5:$AM$1000,$U11-4)),1),IF(ISNUMBER(INDEX($AN$5:$AN$1000,$U11-4)),DATE(YEAR(INDEX($AN$5:$AN$1000,$U11-4)),MONTH(INDEX($AN$5:$AN$1000,$U11-4)),1),MesCiclo)),IF(ISNUMBER($AM11),DATE(YEAR($AM11),MONTH($AM11),1),IF(ISNUMBER($AN11),DATE(YEAR($AN11),MONTH($AN11),1),MesCiclo))))</f>
        <v/>
      </c>
      <c r="T11" s="62">
        <f>IF(OR($S11="",$S11&lt;&gt;MesCiclo),"",COUNTIF($S$5:$S11,MesCiclo))</f>
        <v/>
      </c>
      <c r="U11" s="62">
        <f>IF($V11="","",IF($V11="Macro",ROW(),IFERROR(LOOKUP(2,1/($V$5:$V11="Macro"),ROW($V$5:$V11)),0)))</f>
        <v/>
      </c>
      <c r="V11" s="62">
        <f>IF(NOT((COUNTA($B11:$D11)+COUNTA($G11:$L11)+COUNTA($Q11))&gt;0),"",IF($B11="Subactividad","Sub","Macro"))</f>
        <v/>
      </c>
      <c r="W11" s="62">
        <f>IF($V11="Macro",COUNTIFS($U$5:$U$1000,ROW(),$V$5:$V$1000,"Sub"),"")</f>
        <v/>
      </c>
      <c r="X11" s="62">
        <f>IF($V11="","",IF(ISNUMBER($G11),1,IFERROR(LOOKUP(2,1/($I11:$L11&lt;&gt;""),$I11:$L11),0)))</f>
        <v/>
      </c>
      <c r="Y11" s="62">
        <f>IF($V11="","",IF(AND(ISNUMBER($G11),$G11&lt;=IF($S11=MesCiclo,InicioCiclo,$S11+MOD(2-WEEKDAY($S11),7))+6),1,IF(ISNUMBER($I11),$I11,0)))</f>
        <v/>
      </c>
      <c r="Z11" s="62">
        <f>IF($V11="","",IF(AND(ISNUMBER($G11),$G11&lt;=IF($S11=MesCiclo,InicioCiclo,$S11+MOD(2-WEEKDAY($S11),7))+13),1,IF(ISNUMBER($J11),$J11,$Y11)))</f>
        <v/>
      </c>
      <c r="AA11" s="62">
        <f>IF($V11="","",IF(AND(ISNUMBER($G11),$G11&lt;=IF($S11=MesCiclo,InicioCiclo,$S11+MOD(2-WEEKDAY($S11),7))+20),1,IF(ISNUMBER($K11),$K11,$Z11)))</f>
        <v/>
      </c>
      <c r="AB11" s="62">
        <f>IF($V11="","",IF(AND(ISNUMBER($G11),$G11&lt;=IF($S11=MesCiclo,InicioCiclo,$S11+MOD(2-WEEKDAY($S11),7))+27),1,IF(ISNUMBER($L11),$L11,$AA11)))</f>
        <v/>
      </c>
      <c r="AC11" s="62">
        <f>IF($V11="","",IF(AND(ISNUMBER($G11),$G11&lt;=IF($S11=MesCiclo,InicioCiclo,$S11+MOD(2-WEEKDAY($S11),7))+6),1,IF(N($W11)&gt;0,AVERAGEIFS($Y$5:$Y$1000,$U$5:$U$1000,ROW(),$V$5:$V$1000,"Sub"),$Y11)))</f>
        <v/>
      </c>
      <c r="AD11" s="62">
        <f>IF($V11="","",IF(AND(ISNUMBER($G11),$G11&lt;=IF($S11=MesCiclo,InicioCiclo,$S11+MOD(2-WEEKDAY($S11),7))+13),1,IF(N($W11)&gt;0,AVERAGEIFS($Z$5:$Z$1000,$U$5:$U$1000,ROW(),$V$5:$V$1000,"Sub"),$Z11)))</f>
        <v/>
      </c>
      <c r="AE11" s="62">
        <f>IF($V11="","",IF(AND(ISNUMBER($G11),$G11&lt;=IF($S11=MesCiclo,InicioCiclo,$S11+MOD(2-WEEKDAY($S11),7))+20),1,IF(N($W11)&gt;0,AVERAGEIFS($AA$5:$AA$1000,$U$5:$U$1000,ROW(),$V$5:$V$1000,"Sub"),$AA11)))</f>
        <v/>
      </c>
      <c r="AF11" s="62">
        <f>IF($V11="","",IF(AND(ISNUMBER($G11),$G11&lt;=IF($S11=MesCiclo,InicioCiclo,$S11+MOD(2-WEEKDAY($S11),7))+27),1,IF(N($W11)&gt;0,AVERAGEIFS($AB$5:$AB$1000,$U$5:$U$1000,ROW(),$V$5:$V$1000,"Sub"),$AB11)))</f>
        <v/>
      </c>
      <c r="AG11" s="62">
        <f>IF($V11&lt;&gt;"Macro","",IF(COUNTIFS($S$5:$S$1000,$S11,$V$5:$V$1000,"Macro",$H$5:$H$1000,"&gt;0")=0,1/COUNTIFS($S$5:$S$1000,$S11,$V$5:$V$1000,"Macro"),IF(AND(ISNUMBER($H11),N($H11)&gt;0),$H11,SUMIFS($H$5:$H$1000,$S$5:$S$1000,$S11,$V$5:$V$1000,"Macro")/COUNTIFS($S$5:$S$1000,$S11,$V$5:$V$1000,"Macro",$H$5:$H$1000,"&gt;0"))/(COUNTIFS($S$5:$S$1000,$S11,$V$5:$V$1000,"Macro")*SUMIFS($H$5:$H$1000,$S$5:$S$1000,$S11,$V$5:$V$1000,"Macro")/COUNTIFS($S$5:$S$1000,$S11,$V$5:$V$1000,"Macro",$H$5:$H$1000,"&gt;0"))))</f>
        <v/>
      </c>
      <c r="AH11" s="62" t="n"/>
      <c r="AI11" s="62" t="n"/>
      <c r="AJ11" s="62" t="n"/>
      <c r="AK11" s="62" t="n"/>
      <c r="AL11" s="62">
        <f>IF(LEFT($C11,11)="[Jefatura] ",IFERROR(MATCH("Asistente Técnico de Riesgo|"&amp;MID($C11,12,500),rDname_ADM,0),0),"")</f>
        <v/>
      </c>
      <c r="AM11" s="62">
        <f>IF(N($AL11)&gt;0,INDEX(rIni_ADM,$AL11),IF(ISNUMBER($E11),$E11,""))</f>
        <v/>
      </c>
      <c r="AN11" s="62">
        <f>IF(N($AL11)&gt;0,INDEX(rLim_ADM,$AL11),IF(ISNUMBER($F11),$F11,""))</f>
        <v/>
      </c>
    </row>
    <row r="12">
      <c r="A12" s="56">
        <f>IF(NOT((COUNTA($B12:$D12)+COUNTA($G12:$L12)+COUNTA($Q12))&gt;0),"",IF($V12="Macro",COUNTIFS($V$5:$V12,"Macro",$S$5:$S12,$S12),IF(N($U12)=0,"?",COUNTIFS(INDEX($V$5:$V$1000,1):INDEX($V$5:$V$1000,$U12-4),"Macro",INDEX($S$5:$S$1000,1):INDEX($S$5:$S$1000,$U12-4),INDEX($S$5:$S$1000,$U12-4))&amp;"."&amp;COUNTIFS($U$5:$U12,$U12,$V$5:$V12,"Sub"))))</f>
        <v/>
      </c>
      <c r="B12" s="57" t="n"/>
      <c r="C12" s="58" t="n"/>
      <c r="D12" s="58" t="n"/>
      <c r="E12" s="59">
        <f>IF(N($AL12)&gt;0,INDEX(rIni_ADM,$AL12),"")</f>
        <v/>
      </c>
      <c r="F12" s="59">
        <f>IF(N($AL12)&gt;0,INDEX(rLim_ADM,$AL12),"")</f>
        <v/>
      </c>
      <c r="G12" s="59" t="n"/>
      <c r="H12" s="60" t="n"/>
      <c r="I12" s="60" t="n"/>
      <c r="J12" s="60" t="n"/>
      <c r="K12" s="60" t="n"/>
      <c r="L12" s="60" t="n"/>
      <c r="M12" s="61">
        <f>IF(NOT((COUNTA($B12:$D12)+COUNTA($G12:$L12)+COUNTA($Q12))&gt;0),"",IF(ISNUMBER($G12),1,IF(N($W12)&gt;0,AVERAGEIFS($X$5:$X$1000,$U$5:$U$1000,ROW(),$V$5:$V$1000,"Sub"),$X12)))</f>
        <v/>
      </c>
      <c r="N12" s="56">
        <f>IF($M12="","",IF($M12&gt;=1,"Completado",IF($M12&gt;0,"En curso","Pendiente")))</f>
        <v/>
      </c>
      <c r="O12" s="56">
        <f>IF(NOT((COUNTA($B12:$D12)+COUNTA($G12:$L12)+COUNTA($Q12))&gt;0),"",IF(ISNUMBER($G12),IF(AND(ISNUMBER($AN12),$G12&gt;$AN12),"Cumplida con "&amp;($G12-$AN12)&amp;IF($G12-$AN12=1," día"," días")&amp;" de retraso","Cumplida"),IF(N($M12)&gt;=1,"Cumplida",IF(NOT(ISNUMBER($AN12)),"Sin fecha límite",IF($AN12&lt;FechaRef,"Vencida hace "&amp;(FechaRef-$AN12)&amp;IF(FechaRef-$AN12=1," día"," días"),IF($AN12=FechaRef,"Vence hoy",IF($AN12-FechaRef&lt;=DiasAlerta,"Vence en "&amp;($AN12-FechaRef)&amp;IF($AN12-FechaRef=1," día"," días"),"En plazo")))))))</f>
        <v/>
      </c>
      <c r="P12" s="62" t="n"/>
      <c r="Q12" s="58" t="n"/>
      <c r="R12" s="63">
        <f>IF(NOT((COUNTA($B12:$D12)+COUNTA($G12:$L12)+COUNTA($Q12))&gt;0),"",IF((IF($C12="","Falta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",""))="","✔ OK","⚠ "&amp;LEFT(IF($C12="","Falta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",""),LEN(IF($C12="","Falta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",""))-3)))</f>
        <v/>
      </c>
      <c r="S12" s="64">
        <f>IF(NOT((COUNTA($B12:$D12)+COUNTA($G12:$L12)+COUNTA($Q12))&gt;0),"",IF(AND($V12="Sub",N($U12)&gt;0),IF(ISNUMBER(INDEX($AM$5:$AM$1000,$U12-4)),DATE(YEAR(INDEX($AM$5:$AM$1000,$U12-4)),MONTH(INDEX($AM$5:$AM$1000,$U12-4)),1),IF(ISNUMBER(INDEX($AN$5:$AN$1000,$U12-4)),DATE(YEAR(INDEX($AN$5:$AN$1000,$U12-4)),MONTH(INDEX($AN$5:$AN$1000,$U12-4)),1),MesCiclo)),IF(ISNUMBER($AM12),DATE(YEAR($AM12),MONTH($AM12),1),IF(ISNUMBER($AN12),DATE(YEAR($AN12),MONTH($AN12),1),MesCiclo))))</f>
        <v/>
      </c>
      <c r="T12" s="62">
        <f>IF(OR($S12="",$S12&lt;&gt;MesCiclo),"",COUNTIF($S$5:$S12,MesCiclo))</f>
        <v/>
      </c>
      <c r="U12" s="62">
        <f>IF($V12="","",IF($V12="Macro",ROW(),IFERROR(LOOKUP(2,1/($V$5:$V12="Macro"),ROW($V$5:$V12)),0)))</f>
        <v/>
      </c>
      <c r="V12" s="62">
        <f>IF(NOT((COUNTA($B12:$D12)+COUNTA($G12:$L12)+COUNTA($Q12))&gt;0),"",IF($B12="Subactividad","Sub","Macro"))</f>
        <v/>
      </c>
      <c r="W12" s="62">
        <f>IF($V12="Macro",COUNTIFS($U$5:$U$1000,ROW(),$V$5:$V$1000,"Sub"),"")</f>
        <v/>
      </c>
      <c r="X12" s="62">
        <f>IF($V12="","",IF(ISNUMBER($G12),1,IFERROR(LOOKUP(2,1/($I12:$L12&lt;&gt;""),$I12:$L12),0)))</f>
        <v/>
      </c>
      <c r="Y12" s="62">
        <f>IF($V12="","",IF(AND(ISNUMBER($G12),$G12&lt;=IF($S12=MesCiclo,InicioCiclo,$S12+MOD(2-WEEKDAY($S12),7))+6),1,IF(ISNUMBER($I12),$I12,0)))</f>
        <v/>
      </c>
      <c r="Z12" s="62">
        <f>IF($V12="","",IF(AND(ISNUMBER($G12),$G12&lt;=IF($S12=MesCiclo,InicioCiclo,$S12+MOD(2-WEEKDAY($S12),7))+13),1,IF(ISNUMBER($J12),$J12,$Y12)))</f>
        <v/>
      </c>
      <c r="AA12" s="62">
        <f>IF($V12="","",IF(AND(ISNUMBER($G12),$G12&lt;=IF($S12=MesCiclo,InicioCiclo,$S12+MOD(2-WEEKDAY($S12),7))+20),1,IF(ISNUMBER($K12),$K12,$Z12)))</f>
        <v/>
      </c>
      <c r="AB12" s="62">
        <f>IF($V12="","",IF(AND(ISNUMBER($G12),$G12&lt;=IF($S12=MesCiclo,InicioCiclo,$S12+MOD(2-WEEKDAY($S12),7))+27),1,IF(ISNUMBER($L12),$L12,$AA12)))</f>
        <v/>
      </c>
      <c r="AC12" s="62">
        <f>IF($V12="","",IF(AND(ISNUMBER($G12),$G12&lt;=IF($S12=MesCiclo,InicioCiclo,$S12+MOD(2-WEEKDAY($S12),7))+6),1,IF(N($W12)&gt;0,AVERAGEIFS($Y$5:$Y$1000,$U$5:$U$1000,ROW(),$V$5:$V$1000,"Sub"),$Y12)))</f>
        <v/>
      </c>
      <c r="AD12" s="62">
        <f>IF($V12="","",IF(AND(ISNUMBER($G12),$G12&lt;=IF($S12=MesCiclo,InicioCiclo,$S12+MOD(2-WEEKDAY($S12),7))+13),1,IF(N($W12)&gt;0,AVERAGEIFS($Z$5:$Z$1000,$U$5:$U$1000,ROW(),$V$5:$V$1000,"Sub"),$Z12)))</f>
        <v/>
      </c>
      <c r="AE12" s="62">
        <f>IF($V12="","",IF(AND(ISNUMBER($G12),$G12&lt;=IF($S12=MesCiclo,InicioCiclo,$S12+MOD(2-WEEKDAY($S12),7))+20),1,IF(N($W12)&gt;0,AVERAGEIFS($AA$5:$AA$1000,$U$5:$U$1000,ROW(),$V$5:$V$1000,"Sub"),$AA12)))</f>
        <v/>
      </c>
      <c r="AF12" s="62">
        <f>IF($V12="","",IF(AND(ISNUMBER($G12),$G12&lt;=IF($S12=MesCiclo,InicioCiclo,$S12+MOD(2-WEEKDAY($S12),7))+27),1,IF(N($W12)&gt;0,AVERAGEIFS($AB$5:$AB$1000,$U$5:$U$1000,ROW(),$V$5:$V$1000,"Sub"),$AB12)))</f>
        <v/>
      </c>
      <c r="AG12" s="62">
        <f>IF($V12&lt;&gt;"Macro","",IF(COUNTIFS($S$5:$S$1000,$S12,$V$5:$V$1000,"Macro",$H$5:$H$1000,"&gt;0")=0,1/COUNTIFS($S$5:$S$1000,$S12,$V$5:$V$1000,"Macro"),IF(AND(ISNUMBER($H12),N($H12)&gt;0),$H12,SUMIFS($H$5:$H$1000,$S$5:$S$1000,$S12,$V$5:$V$1000,"Macro")/COUNTIFS($S$5:$S$1000,$S12,$V$5:$V$1000,"Macro",$H$5:$H$1000,"&gt;0"))/(COUNTIFS($S$5:$S$1000,$S12,$V$5:$V$1000,"Macro")*SUMIFS($H$5:$H$1000,$S$5:$S$1000,$S12,$V$5:$V$1000,"Macro")/COUNTIFS($S$5:$S$1000,$S12,$V$5:$V$1000,"Macro",$H$5:$H$1000,"&gt;0"))))</f>
        <v/>
      </c>
      <c r="AH12" s="62" t="n"/>
      <c r="AI12" s="62" t="n"/>
      <c r="AJ12" s="62" t="n"/>
      <c r="AK12" s="62" t="n"/>
      <c r="AL12" s="62">
        <f>IF(LEFT($C12,11)="[Jefatura] ",IFERROR(MATCH("Asistente Técnico de Riesgo|"&amp;MID($C12,12,500),rDname_ADM,0),0),"")</f>
        <v/>
      </c>
      <c r="AM12" s="62">
        <f>IF(N($AL12)&gt;0,INDEX(rIni_ADM,$AL12),IF(ISNUMBER($E12),$E12,""))</f>
        <v/>
      </c>
      <c r="AN12" s="62">
        <f>IF(N($AL12)&gt;0,INDEX(rLim_ADM,$AL12),IF(ISNUMBER($F12),$F12,""))</f>
        <v/>
      </c>
    </row>
    <row r="13">
      <c r="A13" s="56">
        <f>IF(NOT((COUNTA($B13:$D13)+COUNTA($G13:$L13)+COUNTA($Q13))&gt;0),"",IF($V13="Macro",COUNTIFS($V$5:$V13,"Macro",$S$5:$S13,$S13),IF(N($U13)=0,"?",COUNTIFS(INDEX($V$5:$V$1000,1):INDEX($V$5:$V$1000,$U13-4),"Macro",INDEX($S$5:$S$1000,1):INDEX($S$5:$S$1000,$U13-4),INDEX($S$5:$S$1000,$U13-4))&amp;"."&amp;COUNTIFS($U$5:$U13,$U13,$V$5:$V13,"Sub"))))</f>
        <v/>
      </c>
      <c r="B13" s="57" t="n"/>
      <c r="C13" s="58" t="n"/>
      <c r="D13" s="58" t="n"/>
      <c r="E13" s="59">
        <f>IF(N($AL13)&gt;0,INDEX(rIni_ADM,$AL13),"")</f>
        <v/>
      </c>
      <c r="F13" s="59">
        <f>IF(N($AL13)&gt;0,INDEX(rLim_ADM,$AL13),"")</f>
        <v/>
      </c>
      <c r="G13" s="59" t="n"/>
      <c r="H13" s="60" t="n"/>
      <c r="I13" s="60" t="n"/>
      <c r="J13" s="60" t="n"/>
      <c r="K13" s="60" t="n"/>
      <c r="L13" s="60" t="n"/>
      <c r="M13" s="61">
        <f>IF(NOT((COUNTA($B13:$D13)+COUNTA($G13:$L13)+COUNTA($Q13))&gt;0),"",IF(ISNUMBER($G13),1,IF(N($W13)&gt;0,AVERAGEIFS($X$5:$X$1000,$U$5:$U$1000,ROW(),$V$5:$V$1000,"Sub"),$X13)))</f>
        <v/>
      </c>
      <c r="N13" s="56">
        <f>IF($M13="","",IF($M13&gt;=1,"Completado",IF($M13&gt;0,"En curso","Pendiente")))</f>
        <v/>
      </c>
      <c r="O13" s="56">
        <f>IF(NOT((COUNTA($B13:$D13)+COUNTA($G13:$L13)+COUNTA($Q13))&gt;0),"",IF(ISNUMBER($G13),IF(AND(ISNUMBER($AN13),$G13&gt;$AN13),"Cumplida con "&amp;($G13-$AN13)&amp;IF($G13-$AN13=1," día"," días")&amp;" de retraso","Cumplida"),IF(N($M13)&gt;=1,"Cumplida",IF(NOT(ISNUMBER($AN13)),"Sin fecha límite",IF($AN13&lt;FechaRef,"Vencida hace "&amp;(FechaRef-$AN13)&amp;IF(FechaRef-$AN13=1," día"," días"),IF($AN13=FechaRef,"Vence hoy",IF($AN13-FechaRef&lt;=DiasAlerta,"Vence en "&amp;($AN13-FechaRef)&amp;IF($AN13-FechaRef=1," día"," días"),"En plazo")))))))</f>
        <v/>
      </c>
      <c r="P13" s="62" t="n"/>
      <c r="Q13" s="58" t="n"/>
      <c r="R13" s="63">
        <f>IF(NOT((COUNTA($B13:$D13)+COUNTA($G13:$L13)+COUNTA($Q13))&gt;0),"",IF((IF($C13="","Falta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",""))="","✔ OK","⚠ "&amp;LEFT(IF($C13="","Falta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",""),LEN(IF($C13="","Falta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",""))-3)))</f>
        <v/>
      </c>
      <c r="S13" s="64">
        <f>IF(NOT((COUNTA($B13:$D13)+COUNTA($G13:$L13)+COUNTA($Q13))&gt;0),"",IF(AND($V13="Sub",N($U13)&gt;0),IF(ISNUMBER(INDEX($AM$5:$AM$1000,$U13-4)),DATE(YEAR(INDEX($AM$5:$AM$1000,$U13-4)),MONTH(INDEX($AM$5:$AM$1000,$U13-4)),1),IF(ISNUMBER(INDEX($AN$5:$AN$1000,$U13-4)),DATE(YEAR(INDEX($AN$5:$AN$1000,$U13-4)),MONTH(INDEX($AN$5:$AN$1000,$U13-4)),1),MesCiclo)),IF(ISNUMBER($AM13),DATE(YEAR($AM13),MONTH($AM13),1),IF(ISNUMBER($AN13),DATE(YEAR($AN13),MONTH($AN13),1),MesCiclo))))</f>
        <v/>
      </c>
      <c r="T13" s="62">
        <f>IF(OR($S13="",$S13&lt;&gt;MesCiclo),"",COUNTIF($S$5:$S13,MesCiclo))</f>
        <v/>
      </c>
      <c r="U13" s="62">
        <f>IF($V13="","",IF($V13="Macro",ROW(),IFERROR(LOOKUP(2,1/($V$5:$V13="Macro"),ROW($V$5:$V13)),0)))</f>
        <v/>
      </c>
      <c r="V13" s="62">
        <f>IF(NOT((COUNTA($B13:$D13)+COUNTA($G13:$L13)+COUNTA($Q13))&gt;0),"",IF($B13="Subactividad","Sub","Macro"))</f>
        <v/>
      </c>
      <c r="W13" s="62">
        <f>IF($V13="Macro",COUNTIFS($U$5:$U$1000,ROW(),$V$5:$V$1000,"Sub"),"")</f>
        <v/>
      </c>
      <c r="X13" s="62">
        <f>IF($V13="","",IF(ISNUMBER($G13),1,IFERROR(LOOKUP(2,1/($I13:$L13&lt;&gt;""),$I13:$L13),0)))</f>
        <v/>
      </c>
      <c r="Y13" s="62">
        <f>IF($V13="","",IF(AND(ISNUMBER($G13),$G13&lt;=IF($S13=MesCiclo,InicioCiclo,$S13+MOD(2-WEEKDAY($S13),7))+6),1,IF(ISNUMBER($I13),$I13,0)))</f>
        <v/>
      </c>
      <c r="Z13" s="62">
        <f>IF($V13="","",IF(AND(ISNUMBER($G13),$G13&lt;=IF($S13=MesCiclo,InicioCiclo,$S13+MOD(2-WEEKDAY($S13),7))+13),1,IF(ISNUMBER($J13),$J13,$Y13)))</f>
        <v/>
      </c>
      <c r="AA13" s="62">
        <f>IF($V13="","",IF(AND(ISNUMBER($G13),$G13&lt;=IF($S13=MesCiclo,InicioCiclo,$S13+MOD(2-WEEKDAY($S13),7))+20),1,IF(ISNUMBER($K13),$K13,$Z13)))</f>
        <v/>
      </c>
      <c r="AB13" s="62">
        <f>IF($V13="","",IF(AND(ISNUMBER($G13),$G13&lt;=IF($S13=MesCiclo,InicioCiclo,$S13+MOD(2-WEEKDAY($S13),7))+27),1,IF(ISNUMBER($L13),$L13,$AA13)))</f>
        <v/>
      </c>
      <c r="AC13" s="62">
        <f>IF($V13="","",IF(AND(ISNUMBER($G13),$G13&lt;=IF($S13=MesCiclo,InicioCiclo,$S13+MOD(2-WEEKDAY($S13),7))+6),1,IF(N($W13)&gt;0,AVERAGEIFS($Y$5:$Y$1000,$U$5:$U$1000,ROW(),$V$5:$V$1000,"Sub"),$Y13)))</f>
        <v/>
      </c>
      <c r="AD13" s="62">
        <f>IF($V13="","",IF(AND(ISNUMBER($G13),$G13&lt;=IF($S13=MesCiclo,InicioCiclo,$S13+MOD(2-WEEKDAY($S13),7))+13),1,IF(N($W13)&gt;0,AVERAGEIFS($Z$5:$Z$1000,$U$5:$U$1000,ROW(),$V$5:$V$1000,"Sub"),$Z13)))</f>
        <v/>
      </c>
      <c r="AE13" s="62">
        <f>IF($V13="","",IF(AND(ISNUMBER($G13),$G13&lt;=IF($S13=MesCiclo,InicioCiclo,$S13+MOD(2-WEEKDAY($S13),7))+20),1,IF(N($W13)&gt;0,AVERAGEIFS($AA$5:$AA$1000,$U$5:$U$1000,ROW(),$V$5:$V$1000,"Sub"),$AA13)))</f>
        <v/>
      </c>
      <c r="AF13" s="62">
        <f>IF($V13="","",IF(AND(ISNUMBER($G13),$G13&lt;=IF($S13=MesCiclo,InicioCiclo,$S13+MOD(2-WEEKDAY($S13),7))+27),1,IF(N($W13)&gt;0,AVERAGEIFS($AB$5:$AB$1000,$U$5:$U$1000,ROW(),$V$5:$V$1000,"Sub"),$AB13)))</f>
        <v/>
      </c>
      <c r="AG13" s="62">
        <f>IF($V13&lt;&gt;"Macro","",IF(COUNTIFS($S$5:$S$1000,$S13,$V$5:$V$1000,"Macro",$H$5:$H$1000,"&gt;0")=0,1/COUNTIFS($S$5:$S$1000,$S13,$V$5:$V$1000,"Macro"),IF(AND(ISNUMBER($H13),N($H13)&gt;0),$H13,SUMIFS($H$5:$H$1000,$S$5:$S$1000,$S13,$V$5:$V$1000,"Macro")/COUNTIFS($S$5:$S$1000,$S13,$V$5:$V$1000,"Macro",$H$5:$H$1000,"&gt;0"))/(COUNTIFS($S$5:$S$1000,$S13,$V$5:$V$1000,"Macro")*SUMIFS($H$5:$H$1000,$S$5:$S$1000,$S13,$V$5:$V$1000,"Macro")/COUNTIFS($S$5:$S$1000,$S13,$V$5:$V$1000,"Macro",$H$5:$H$1000,"&gt;0"))))</f>
        <v/>
      </c>
      <c r="AH13" s="62" t="n"/>
      <c r="AI13" s="62" t="n"/>
      <c r="AJ13" s="62" t="n"/>
      <c r="AK13" s="62" t="n"/>
      <c r="AL13" s="62">
        <f>IF(LEFT($C13,11)="[Jefatura] ",IFERROR(MATCH("Asistente Técnico de Riesgo|"&amp;MID($C13,12,500),rDname_ADM,0),0),"")</f>
        <v/>
      </c>
      <c r="AM13" s="62">
        <f>IF(N($AL13)&gt;0,INDEX(rIni_ADM,$AL13),IF(ISNUMBER($E13),$E13,""))</f>
        <v/>
      </c>
      <c r="AN13" s="62">
        <f>IF(N($AL13)&gt;0,INDEX(rLim_ADM,$AL13),IF(ISNUMBER($F13),$F13,""))</f>
        <v/>
      </c>
    </row>
    <row r="14">
      <c r="A14" s="56">
        <f>IF(NOT((COUNTA($B14:$D14)+COUNTA($G14:$L14)+COUNTA($Q14))&gt;0),"",IF($V14="Macro",COUNTIFS($V$5:$V14,"Macro",$S$5:$S14,$S14),IF(N($U14)=0,"?",COUNTIFS(INDEX($V$5:$V$1000,1):INDEX($V$5:$V$1000,$U14-4),"Macro",INDEX($S$5:$S$1000,1):INDEX($S$5:$S$1000,$U14-4),INDEX($S$5:$S$1000,$U14-4))&amp;"."&amp;COUNTIFS($U$5:$U14,$U14,$V$5:$V14,"Sub"))))</f>
        <v/>
      </c>
      <c r="B14" s="57" t="n"/>
      <c r="C14" s="58" t="n"/>
      <c r="D14" s="58" t="n"/>
      <c r="E14" s="59">
        <f>IF(N($AL14)&gt;0,INDEX(rIni_ADM,$AL14),"")</f>
        <v/>
      </c>
      <c r="F14" s="59">
        <f>IF(N($AL14)&gt;0,INDEX(rLim_ADM,$AL14),"")</f>
        <v/>
      </c>
      <c r="G14" s="59" t="n"/>
      <c r="H14" s="60" t="n"/>
      <c r="I14" s="60" t="n"/>
      <c r="J14" s="60" t="n"/>
      <c r="K14" s="60" t="n"/>
      <c r="L14" s="60" t="n"/>
      <c r="M14" s="61">
        <f>IF(NOT((COUNTA($B14:$D14)+COUNTA($G14:$L14)+COUNTA($Q14))&gt;0),"",IF(ISNUMBER($G14),1,IF(N($W14)&gt;0,AVERAGEIFS($X$5:$X$1000,$U$5:$U$1000,ROW(),$V$5:$V$1000,"Sub"),$X14)))</f>
        <v/>
      </c>
      <c r="N14" s="56">
        <f>IF($M14="","",IF($M14&gt;=1,"Completado",IF($M14&gt;0,"En curso","Pendiente")))</f>
        <v/>
      </c>
      <c r="O14" s="56">
        <f>IF(NOT((COUNTA($B14:$D14)+COUNTA($G14:$L14)+COUNTA($Q14))&gt;0),"",IF(ISNUMBER($G14),IF(AND(ISNUMBER($AN14),$G14&gt;$AN14),"Cumplida con "&amp;($G14-$AN14)&amp;IF($G14-$AN14=1," día"," días")&amp;" de retraso","Cumplida"),IF(N($M14)&gt;=1,"Cumplida",IF(NOT(ISNUMBER($AN14)),"Sin fecha límite",IF($AN14&lt;FechaRef,"Vencida hace "&amp;(FechaRef-$AN14)&amp;IF(FechaRef-$AN14=1," día"," días"),IF($AN14=FechaRef,"Vence hoy",IF($AN14-FechaRef&lt;=DiasAlerta,"Vence en "&amp;($AN14-FechaRef)&amp;IF($AN14-FechaRef=1," día"," días"),"En plazo")))))))</f>
        <v/>
      </c>
      <c r="P14" s="62" t="n"/>
      <c r="Q14" s="58" t="n"/>
      <c r="R14" s="63">
        <f>IF(NOT((COUNTA($B14:$D14)+COUNTA($G14:$L14)+COUNTA($Q14))&gt;0),"",IF((IF($C14="","Falta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",""))="","✔ OK","⚠ "&amp;LEFT(IF($C14="","Falta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",""),LEN(IF($C14="","Falta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",""))-3)))</f>
        <v/>
      </c>
      <c r="S14" s="64">
        <f>IF(NOT((COUNTA($B14:$D14)+COUNTA($G14:$L14)+COUNTA($Q14))&gt;0),"",IF(AND($V14="Sub",N($U14)&gt;0),IF(ISNUMBER(INDEX($AM$5:$AM$1000,$U14-4)),DATE(YEAR(INDEX($AM$5:$AM$1000,$U14-4)),MONTH(INDEX($AM$5:$AM$1000,$U14-4)),1),IF(ISNUMBER(INDEX($AN$5:$AN$1000,$U14-4)),DATE(YEAR(INDEX($AN$5:$AN$1000,$U14-4)),MONTH(INDEX($AN$5:$AN$1000,$U14-4)),1),MesCiclo)),IF(ISNUMBER($AM14),DATE(YEAR($AM14),MONTH($AM14),1),IF(ISNUMBER($AN14),DATE(YEAR($AN14),MONTH($AN14),1),MesCiclo))))</f>
        <v/>
      </c>
      <c r="T14" s="62">
        <f>IF(OR($S14="",$S14&lt;&gt;MesCiclo),"",COUNTIF($S$5:$S14,MesCiclo))</f>
        <v/>
      </c>
      <c r="U14" s="62">
        <f>IF($V14="","",IF($V14="Macro",ROW(),IFERROR(LOOKUP(2,1/($V$5:$V14="Macro"),ROW($V$5:$V14)),0)))</f>
        <v/>
      </c>
      <c r="V14" s="62">
        <f>IF(NOT((COUNTA($B14:$D14)+COUNTA($G14:$L14)+COUNTA($Q14))&gt;0),"",IF($B14="Subactividad","Sub","Macro"))</f>
        <v/>
      </c>
      <c r="W14" s="62">
        <f>IF($V14="Macro",COUNTIFS($U$5:$U$1000,ROW(),$V$5:$V$1000,"Sub"),"")</f>
        <v/>
      </c>
      <c r="X14" s="62">
        <f>IF($V14="","",IF(ISNUMBER($G14),1,IFERROR(LOOKUP(2,1/($I14:$L14&lt;&gt;""),$I14:$L14),0)))</f>
        <v/>
      </c>
      <c r="Y14" s="62">
        <f>IF($V14="","",IF(AND(ISNUMBER($G14),$G14&lt;=IF($S14=MesCiclo,InicioCiclo,$S14+MOD(2-WEEKDAY($S14),7))+6),1,IF(ISNUMBER($I14),$I14,0)))</f>
        <v/>
      </c>
      <c r="Z14" s="62">
        <f>IF($V14="","",IF(AND(ISNUMBER($G14),$G14&lt;=IF($S14=MesCiclo,InicioCiclo,$S14+MOD(2-WEEKDAY($S14),7))+13),1,IF(ISNUMBER($J14),$J14,$Y14)))</f>
        <v/>
      </c>
      <c r="AA14" s="62">
        <f>IF($V14="","",IF(AND(ISNUMBER($G14),$G14&lt;=IF($S14=MesCiclo,InicioCiclo,$S14+MOD(2-WEEKDAY($S14),7))+20),1,IF(ISNUMBER($K14),$K14,$Z14)))</f>
        <v/>
      </c>
      <c r="AB14" s="62">
        <f>IF($V14="","",IF(AND(ISNUMBER($G14),$G14&lt;=IF($S14=MesCiclo,InicioCiclo,$S14+MOD(2-WEEKDAY($S14),7))+27),1,IF(ISNUMBER($L14),$L14,$AA14)))</f>
        <v/>
      </c>
      <c r="AC14" s="62">
        <f>IF($V14="","",IF(AND(ISNUMBER($G14),$G14&lt;=IF($S14=MesCiclo,InicioCiclo,$S14+MOD(2-WEEKDAY($S14),7))+6),1,IF(N($W14)&gt;0,AVERAGEIFS($Y$5:$Y$1000,$U$5:$U$1000,ROW(),$V$5:$V$1000,"Sub"),$Y14)))</f>
        <v/>
      </c>
      <c r="AD14" s="62">
        <f>IF($V14="","",IF(AND(ISNUMBER($G14),$G14&lt;=IF($S14=MesCiclo,InicioCiclo,$S14+MOD(2-WEEKDAY($S14),7))+13),1,IF(N($W14)&gt;0,AVERAGEIFS($Z$5:$Z$1000,$U$5:$U$1000,ROW(),$V$5:$V$1000,"Sub"),$Z14)))</f>
        <v/>
      </c>
      <c r="AE14" s="62">
        <f>IF($V14="","",IF(AND(ISNUMBER($G14),$G14&lt;=IF($S14=MesCiclo,InicioCiclo,$S14+MOD(2-WEEKDAY($S14),7))+20),1,IF(N($W14)&gt;0,AVERAGEIFS($AA$5:$AA$1000,$U$5:$U$1000,ROW(),$V$5:$V$1000,"Sub"),$AA14)))</f>
        <v/>
      </c>
      <c r="AF14" s="62">
        <f>IF($V14="","",IF(AND(ISNUMBER($G14),$G14&lt;=IF($S14=MesCiclo,InicioCiclo,$S14+MOD(2-WEEKDAY($S14),7))+27),1,IF(N($W14)&gt;0,AVERAGEIFS($AB$5:$AB$1000,$U$5:$U$1000,ROW(),$V$5:$V$1000,"Sub"),$AB14)))</f>
        <v/>
      </c>
      <c r="AG14" s="62">
        <f>IF($V14&lt;&gt;"Macro","",IF(COUNTIFS($S$5:$S$1000,$S14,$V$5:$V$1000,"Macro",$H$5:$H$1000,"&gt;0")=0,1/COUNTIFS($S$5:$S$1000,$S14,$V$5:$V$1000,"Macro"),IF(AND(ISNUMBER($H14),N($H14)&gt;0),$H14,SUMIFS($H$5:$H$1000,$S$5:$S$1000,$S14,$V$5:$V$1000,"Macro")/COUNTIFS($S$5:$S$1000,$S14,$V$5:$V$1000,"Macro",$H$5:$H$1000,"&gt;0"))/(COUNTIFS($S$5:$S$1000,$S14,$V$5:$V$1000,"Macro")*SUMIFS($H$5:$H$1000,$S$5:$S$1000,$S14,$V$5:$V$1000,"Macro")/COUNTIFS($S$5:$S$1000,$S14,$V$5:$V$1000,"Macro",$H$5:$H$1000,"&gt;0"))))</f>
        <v/>
      </c>
      <c r="AH14" s="62" t="n"/>
      <c r="AI14" s="62" t="n"/>
      <c r="AJ14" s="62" t="n"/>
      <c r="AK14" s="62" t="n"/>
      <c r="AL14" s="62">
        <f>IF(LEFT($C14,11)="[Jefatura] ",IFERROR(MATCH("Asistente Técnico de Riesgo|"&amp;MID($C14,12,500),rDname_ADM,0),0),"")</f>
        <v/>
      </c>
      <c r="AM14" s="62">
        <f>IF(N($AL14)&gt;0,INDEX(rIni_ADM,$AL14),IF(ISNUMBER($E14),$E14,""))</f>
        <v/>
      </c>
      <c r="AN14" s="62">
        <f>IF(N($AL14)&gt;0,INDEX(rLim_ADM,$AL14),IF(ISNUMBER($F14),$F14,""))</f>
        <v/>
      </c>
    </row>
    <row r="15">
      <c r="A15" s="56">
        <f>IF(NOT((COUNTA($B15:$D15)+COUNTA($G15:$L15)+COUNTA($Q15))&gt;0),"",IF($V15="Macro",COUNTIFS($V$5:$V15,"Macro",$S$5:$S15,$S15),IF(N($U15)=0,"?",COUNTIFS(INDEX($V$5:$V$1000,1):INDEX($V$5:$V$1000,$U15-4),"Macro",INDEX($S$5:$S$1000,1):INDEX($S$5:$S$1000,$U15-4),INDEX($S$5:$S$1000,$U15-4))&amp;"."&amp;COUNTIFS($U$5:$U15,$U15,$V$5:$V15,"Sub"))))</f>
        <v/>
      </c>
      <c r="B15" s="57" t="n"/>
      <c r="C15" s="58" t="n"/>
      <c r="D15" s="58" t="n"/>
      <c r="E15" s="59">
        <f>IF(N($AL15)&gt;0,INDEX(rIni_ADM,$AL15),"")</f>
        <v/>
      </c>
      <c r="F15" s="59">
        <f>IF(N($AL15)&gt;0,INDEX(rLim_ADM,$AL15),"")</f>
        <v/>
      </c>
      <c r="G15" s="59" t="n"/>
      <c r="H15" s="60" t="n"/>
      <c r="I15" s="60" t="n"/>
      <c r="J15" s="60" t="n"/>
      <c r="K15" s="60" t="n"/>
      <c r="L15" s="60" t="n"/>
      <c r="M15" s="61">
        <f>IF(NOT((COUNTA($B15:$D15)+COUNTA($G15:$L15)+COUNTA($Q15))&gt;0),"",IF(ISNUMBER($G15),1,IF(N($W15)&gt;0,AVERAGEIFS($X$5:$X$1000,$U$5:$U$1000,ROW(),$V$5:$V$1000,"Sub"),$X15)))</f>
        <v/>
      </c>
      <c r="N15" s="56">
        <f>IF($M15="","",IF($M15&gt;=1,"Completado",IF($M15&gt;0,"En curso","Pendiente")))</f>
        <v/>
      </c>
      <c r="O15" s="56">
        <f>IF(NOT((COUNTA($B15:$D15)+COUNTA($G15:$L15)+COUNTA($Q15))&gt;0),"",IF(ISNUMBER($G15),IF(AND(ISNUMBER($AN15),$G15&gt;$AN15),"Cumplida con "&amp;($G15-$AN15)&amp;IF($G15-$AN15=1," día"," días")&amp;" de retraso","Cumplida"),IF(N($M15)&gt;=1,"Cumplida",IF(NOT(ISNUMBER($AN15)),"Sin fecha límite",IF($AN15&lt;FechaRef,"Vencida hace "&amp;(FechaRef-$AN15)&amp;IF(FechaRef-$AN15=1," día"," días"),IF($AN15=FechaRef,"Vence hoy",IF($AN15-FechaRef&lt;=DiasAlerta,"Vence en "&amp;($AN15-FechaRef)&amp;IF($AN15-FechaRef=1," día"," días"),"En plazo")))))))</f>
        <v/>
      </c>
      <c r="P15" s="62" t="n"/>
      <c r="Q15" s="58" t="n"/>
      <c r="R15" s="63">
        <f>IF(NOT((COUNTA($B15:$D15)+COUNTA($G15:$L15)+COUNTA($Q15))&gt;0),"",IF((IF($C15="","Falta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",""))="","✔ OK","⚠ "&amp;LEFT(IF($C15="","Falta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",""),LEN(IF($C15="","Falta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",""))-3)))</f>
        <v/>
      </c>
      <c r="S15" s="64">
        <f>IF(NOT((COUNTA($B15:$D15)+COUNTA($G15:$L15)+COUNTA($Q15))&gt;0),"",IF(AND($V15="Sub",N($U15)&gt;0),IF(ISNUMBER(INDEX($AM$5:$AM$1000,$U15-4)),DATE(YEAR(INDEX($AM$5:$AM$1000,$U15-4)),MONTH(INDEX($AM$5:$AM$1000,$U15-4)),1),IF(ISNUMBER(INDEX($AN$5:$AN$1000,$U15-4)),DATE(YEAR(INDEX($AN$5:$AN$1000,$U15-4)),MONTH(INDEX($AN$5:$AN$1000,$U15-4)),1),MesCiclo)),IF(ISNUMBER($AM15),DATE(YEAR($AM15),MONTH($AM15),1),IF(ISNUMBER($AN15),DATE(YEAR($AN15),MONTH($AN15),1),MesCiclo))))</f>
        <v/>
      </c>
      <c r="T15" s="62">
        <f>IF(OR($S15="",$S15&lt;&gt;MesCiclo),"",COUNTIF($S$5:$S15,MesCiclo))</f>
        <v/>
      </c>
      <c r="U15" s="62">
        <f>IF($V15="","",IF($V15="Macro",ROW(),IFERROR(LOOKUP(2,1/($V$5:$V15="Macro"),ROW($V$5:$V15)),0)))</f>
        <v/>
      </c>
      <c r="V15" s="62">
        <f>IF(NOT((COUNTA($B15:$D15)+COUNTA($G15:$L15)+COUNTA($Q15))&gt;0),"",IF($B15="Subactividad","Sub","Macro"))</f>
        <v/>
      </c>
      <c r="W15" s="62">
        <f>IF($V15="Macro",COUNTIFS($U$5:$U$1000,ROW(),$V$5:$V$1000,"Sub"),"")</f>
        <v/>
      </c>
      <c r="X15" s="62">
        <f>IF($V15="","",IF(ISNUMBER($G15),1,IFERROR(LOOKUP(2,1/($I15:$L15&lt;&gt;""),$I15:$L15),0)))</f>
        <v/>
      </c>
      <c r="Y15" s="62">
        <f>IF($V15="","",IF(AND(ISNUMBER($G15),$G15&lt;=IF($S15=MesCiclo,InicioCiclo,$S15+MOD(2-WEEKDAY($S15),7))+6),1,IF(ISNUMBER($I15),$I15,0)))</f>
        <v/>
      </c>
      <c r="Z15" s="62">
        <f>IF($V15="","",IF(AND(ISNUMBER($G15),$G15&lt;=IF($S15=MesCiclo,InicioCiclo,$S15+MOD(2-WEEKDAY($S15),7))+13),1,IF(ISNUMBER($J15),$J15,$Y15)))</f>
        <v/>
      </c>
      <c r="AA15" s="62">
        <f>IF($V15="","",IF(AND(ISNUMBER($G15),$G15&lt;=IF($S15=MesCiclo,InicioCiclo,$S15+MOD(2-WEEKDAY($S15),7))+20),1,IF(ISNUMBER($K15),$K15,$Z15)))</f>
        <v/>
      </c>
      <c r="AB15" s="62">
        <f>IF($V15="","",IF(AND(ISNUMBER($G15),$G15&lt;=IF($S15=MesCiclo,InicioCiclo,$S15+MOD(2-WEEKDAY($S15),7))+27),1,IF(ISNUMBER($L15),$L15,$AA15)))</f>
        <v/>
      </c>
      <c r="AC15" s="62">
        <f>IF($V15="","",IF(AND(ISNUMBER($G15),$G15&lt;=IF($S15=MesCiclo,InicioCiclo,$S15+MOD(2-WEEKDAY($S15),7))+6),1,IF(N($W15)&gt;0,AVERAGEIFS($Y$5:$Y$1000,$U$5:$U$1000,ROW(),$V$5:$V$1000,"Sub"),$Y15)))</f>
        <v/>
      </c>
      <c r="AD15" s="62">
        <f>IF($V15="","",IF(AND(ISNUMBER($G15),$G15&lt;=IF($S15=MesCiclo,InicioCiclo,$S15+MOD(2-WEEKDAY($S15),7))+13),1,IF(N($W15)&gt;0,AVERAGEIFS($Z$5:$Z$1000,$U$5:$U$1000,ROW(),$V$5:$V$1000,"Sub"),$Z15)))</f>
        <v/>
      </c>
      <c r="AE15" s="62">
        <f>IF($V15="","",IF(AND(ISNUMBER($G15),$G15&lt;=IF($S15=MesCiclo,InicioCiclo,$S15+MOD(2-WEEKDAY($S15),7))+20),1,IF(N($W15)&gt;0,AVERAGEIFS($AA$5:$AA$1000,$U$5:$U$1000,ROW(),$V$5:$V$1000,"Sub"),$AA15)))</f>
        <v/>
      </c>
      <c r="AF15" s="62">
        <f>IF($V15="","",IF(AND(ISNUMBER($G15),$G15&lt;=IF($S15=MesCiclo,InicioCiclo,$S15+MOD(2-WEEKDAY($S15),7))+27),1,IF(N($W15)&gt;0,AVERAGEIFS($AB$5:$AB$1000,$U$5:$U$1000,ROW(),$V$5:$V$1000,"Sub"),$AB15)))</f>
        <v/>
      </c>
      <c r="AG15" s="62">
        <f>IF($V15&lt;&gt;"Macro","",IF(COUNTIFS($S$5:$S$1000,$S15,$V$5:$V$1000,"Macro",$H$5:$H$1000,"&gt;0")=0,1/COUNTIFS($S$5:$S$1000,$S15,$V$5:$V$1000,"Macro"),IF(AND(ISNUMBER($H15),N($H15)&gt;0),$H15,SUMIFS($H$5:$H$1000,$S$5:$S$1000,$S15,$V$5:$V$1000,"Macro")/COUNTIFS($S$5:$S$1000,$S15,$V$5:$V$1000,"Macro",$H$5:$H$1000,"&gt;0"))/(COUNTIFS($S$5:$S$1000,$S15,$V$5:$V$1000,"Macro")*SUMIFS($H$5:$H$1000,$S$5:$S$1000,$S15,$V$5:$V$1000,"Macro")/COUNTIFS($S$5:$S$1000,$S15,$V$5:$V$1000,"Macro",$H$5:$H$1000,"&gt;0"))))</f>
        <v/>
      </c>
      <c r="AH15" s="62" t="n"/>
      <c r="AI15" s="62" t="n"/>
      <c r="AJ15" s="62" t="n"/>
      <c r="AK15" s="62" t="n"/>
      <c r="AL15" s="62">
        <f>IF(LEFT($C15,11)="[Jefatura] ",IFERROR(MATCH("Asistente Técnico de Riesgo|"&amp;MID($C15,12,500),rDname_ADM,0),0),"")</f>
        <v/>
      </c>
      <c r="AM15" s="62">
        <f>IF(N($AL15)&gt;0,INDEX(rIni_ADM,$AL15),IF(ISNUMBER($E15),$E15,""))</f>
        <v/>
      </c>
      <c r="AN15" s="62">
        <f>IF(N($AL15)&gt;0,INDEX(rLim_ADM,$AL15),IF(ISNUMBER($F15),$F15,""))</f>
        <v/>
      </c>
    </row>
    <row r="16">
      <c r="A16" s="56">
        <f>IF(NOT((COUNTA($B16:$D16)+COUNTA($G16:$L16)+COUNTA($Q16))&gt;0),"",IF($V16="Macro",COUNTIFS($V$5:$V16,"Macro",$S$5:$S16,$S16),IF(N($U16)=0,"?",COUNTIFS(INDEX($V$5:$V$1000,1):INDEX($V$5:$V$1000,$U16-4),"Macro",INDEX($S$5:$S$1000,1):INDEX($S$5:$S$1000,$U16-4),INDEX($S$5:$S$1000,$U16-4))&amp;"."&amp;COUNTIFS($U$5:$U16,$U16,$V$5:$V16,"Sub"))))</f>
        <v/>
      </c>
      <c r="B16" s="57" t="n"/>
      <c r="C16" s="58" t="n"/>
      <c r="D16" s="58" t="n"/>
      <c r="E16" s="59">
        <f>IF(N($AL16)&gt;0,INDEX(rIni_ADM,$AL16),"")</f>
        <v/>
      </c>
      <c r="F16" s="59">
        <f>IF(N($AL16)&gt;0,INDEX(rLim_ADM,$AL16),"")</f>
        <v/>
      </c>
      <c r="G16" s="59" t="n"/>
      <c r="H16" s="60" t="n"/>
      <c r="I16" s="60" t="n"/>
      <c r="J16" s="60" t="n"/>
      <c r="K16" s="60" t="n"/>
      <c r="L16" s="60" t="n"/>
      <c r="M16" s="61">
        <f>IF(NOT((COUNTA($B16:$D16)+COUNTA($G16:$L16)+COUNTA($Q16))&gt;0),"",IF(ISNUMBER($G16),1,IF(N($W16)&gt;0,AVERAGEIFS($X$5:$X$1000,$U$5:$U$1000,ROW(),$V$5:$V$1000,"Sub"),$X16)))</f>
        <v/>
      </c>
      <c r="N16" s="56">
        <f>IF($M16="","",IF($M16&gt;=1,"Completado",IF($M16&gt;0,"En curso","Pendiente")))</f>
        <v/>
      </c>
      <c r="O16" s="56">
        <f>IF(NOT((COUNTA($B16:$D16)+COUNTA($G16:$L16)+COUNTA($Q16))&gt;0),"",IF(ISNUMBER($G16),IF(AND(ISNUMBER($AN16),$G16&gt;$AN16),"Cumplida con "&amp;($G16-$AN16)&amp;IF($G16-$AN16=1," día"," días")&amp;" de retraso","Cumplida"),IF(N($M16)&gt;=1,"Cumplida",IF(NOT(ISNUMBER($AN16)),"Sin fecha límite",IF($AN16&lt;FechaRef,"Vencida hace "&amp;(FechaRef-$AN16)&amp;IF(FechaRef-$AN16=1," día"," días"),IF($AN16=FechaRef,"Vence hoy",IF($AN16-FechaRef&lt;=DiasAlerta,"Vence en "&amp;($AN16-FechaRef)&amp;IF($AN16-FechaRef=1," día"," días"),"En plazo")))))))</f>
        <v/>
      </c>
      <c r="P16" s="62" t="n"/>
      <c r="Q16" s="58" t="n"/>
      <c r="R16" s="63">
        <f>IF(NOT((COUNTA($B16:$D16)+COUNTA($G16:$L16)+COUNTA($Q16))&gt;0),"",IF((IF($C16="","Falta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",""))="","✔ OK","⚠ "&amp;LEFT(IF($C16="","Falta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",""),LEN(IF($C16="","Falta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",""))-3)))</f>
        <v/>
      </c>
      <c r="S16" s="64">
        <f>IF(NOT((COUNTA($B16:$D16)+COUNTA($G16:$L16)+COUNTA($Q16))&gt;0),"",IF(AND($V16="Sub",N($U16)&gt;0),IF(ISNUMBER(INDEX($AM$5:$AM$1000,$U16-4)),DATE(YEAR(INDEX($AM$5:$AM$1000,$U16-4)),MONTH(INDEX($AM$5:$AM$1000,$U16-4)),1),IF(ISNUMBER(INDEX($AN$5:$AN$1000,$U16-4)),DATE(YEAR(INDEX($AN$5:$AN$1000,$U16-4)),MONTH(INDEX($AN$5:$AN$1000,$U16-4)),1),MesCiclo)),IF(ISNUMBER($AM16),DATE(YEAR($AM16),MONTH($AM16),1),IF(ISNUMBER($AN16),DATE(YEAR($AN16),MONTH($AN16),1),MesCiclo))))</f>
        <v/>
      </c>
      <c r="T16" s="62">
        <f>IF(OR($S16="",$S16&lt;&gt;MesCiclo),"",COUNTIF($S$5:$S16,MesCiclo))</f>
        <v/>
      </c>
      <c r="U16" s="62">
        <f>IF($V16="","",IF($V16="Macro",ROW(),IFERROR(LOOKUP(2,1/($V$5:$V16="Macro"),ROW($V$5:$V16)),0)))</f>
        <v/>
      </c>
      <c r="V16" s="62">
        <f>IF(NOT((COUNTA($B16:$D16)+COUNTA($G16:$L16)+COUNTA($Q16))&gt;0),"",IF($B16="Subactividad","Sub","Macro"))</f>
        <v/>
      </c>
      <c r="W16" s="62">
        <f>IF($V16="Macro",COUNTIFS($U$5:$U$1000,ROW(),$V$5:$V$1000,"Sub"),"")</f>
        <v/>
      </c>
      <c r="X16" s="62">
        <f>IF($V16="","",IF(ISNUMBER($G16),1,IFERROR(LOOKUP(2,1/($I16:$L16&lt;&gt;""),$I16:$L16),0)))</f>
        <v/>
      </c>
      <c r="Y16" s="62">
        <f>IF($V16="","",IF(AND(ISNUMBER($G16),$G16&lt;=IF($S16=MesCiclo,InicioCiclo,$S16+MOD(2-WEEKDAY($S16),7))+6),1,IF(ISNUMBER($I16),$I16,0)))</f>
        <v/>
      </c>
      <c r="Z16" s="62">
        <f>IF($V16="","",IF(AND(ISNUMBER($G16),$G16&lt;=IF($S16=MesCiclo,InicioCiclo,$S16+MOD(2-WEEKDAY($S16),7))+13),1,IF(ISNUMBER($J16),$J16,$Y16)))</f>
        <v/>
      </c>
      <c r="AA16" s="62">
        <f>IF($V16="","",IF(AND(ISNUMBER($G16),$G16&lt;=IF($S16=MesCiclo,InicioCiclo,$S16+MOD(2-WEEKDAY($S16),7))+20),1,IF(ISNUMBER($K16),$K16,$Z16)))</f>
        <v/>
      </c>
      <c r="AB16" s="62">
        <f>IF($V16="","",IF(AND(ISNUMBER($G16),$G16&lt;=IF($S16=MesCiclo,InicioCiclo,$S16+MOD(2-WEEKDAY($S16),7))+27),1,IF(ISNUMBER($L16),$L16,$AA16)))</f>
        <v/>
      </c>
      <c r="AC16" s="62">
        <f>IF($V16="","",IF(AND(ISNUMBER($G16),$G16&lt;=IF($S16=MesCiclo,InicioCiclo,$S16+MOD(2-WEEKDAY($S16),7))+6),1,IF(N($W16)&gt;0,AVERAGEIFS($Y$5:$Y$1000,$U$5:$U$1000,ROW(),$V$5:$V$1000,"Sub"),$Y16)))</f>
        <v/>
      </c>
      <c r="AD16" s="62">
        <f>IF($V16="","",IF(AND(ISNUMBER($G16),$G16&lt;=IF($S16=MesCiclo,InicioCiclo,$S16+MOD(2-WEEKDAY($S16),7))+13),1,IF(N($W16)&gt;0,AVERAGEIFS($Z$5:$Z$1000,$U$5:$U$1000,ROW(),$V$5:$V$1000,"Sub"),$Z16)))</f>
        <v/>
      </c>
      <c r="AE16" s="62">
        <f>IF($V16="","",IF(AND(ISNUMBER($G16),$G16&lt;=IF($S16=MesCiclo,InicioCiclo,$S16+MOD(2-WEEKDAY($S16),7))+20),1,IF(N($W16)&gt;0,AVERAGEIFS($AA$5:$AA$1000,$U$5:$U$1000,ROW(),$V$5:$V$1000,"Sub"),$AA16)))</f>
        <v/>
      </c>
      <c r="AF16" s="62">
        <f>IF($V16="","",IF(AND(ISNUMBER($G16),$G16&lt;=IF($S16=MesCiclo,InicioCiclo,$S16+MOD(2-WEEKDAY($S16),7))+27),1,IF(N($W16)&gt;0,AVERAGEIFS($AB$5:$AB$1000,$U$5:$U$1000,ROW(),$V$5:$V$1000,"Sub"),$AB16)))</f>
        <v/>
      </c>
      <c r="AG16" s="62">
        <f>IF($V16&lt;&gt;"Macro","",IF(COUNTIFS($S$5:$S$1000,$S16,$V$5:$V$1000,"Macro",$H$5:$H$1000,"&gt;0")=0,1/COUNTIFS($S$5:$S$1000,$S16,$V$5:$V$1000,"Macro"),IF(AND(ISNUMBER($H16),N($H16)&gt;0),$H16,SUMIFS($H$5:$H$1000,$S$5:$S$1000,$S16,$V$5:$V$1000,"Macro")/COUNTIFS($S$5:$S$1000,$S16,$V$5:$V$1000,"Macro",$H$5:$H$1000,"&gt;0"))/(COUNTIFS($S$5:$S$1000,$S16,$V$5:$V$1000,"Macro")*SUMIFS($H$5:$H$1000,$S$5:$S$1000,$S16,$V$5:$V$1000,"Macro")/COUNTIFS($S$5:$S$1000,$S16,$V$5:$V$1000,"Macro",$H$5:$H$1000,"&gt;0"))))</f>
        <v/>
      </c>
      <c r="AH16" s="62" t="n"/>
      <c r="AI16" s="62" t="n"/>
      <c r="AJ16" s="62" t="n"/>
      <c r="AK16" s="62" t="n"/>
      <c r="AL16" s="62">
        <f>IF(LEFT($C16,11)="[Jefatura] ",IFERROR(MATCH("Asistente Técnico de Riesgo|"&amp;MID($C16,12,500),rDname_ADM,0),0),"")</f>
        <v/>
      </c>
      <c r="AM16" s="62">
        <f>IF(N($AL16)&gt;0,INDEX(rIni_ADM,$AL16),IF(ISNUMBER($E16),$E16,""))</f>
        <v/>
      </c>
      <c r="AN16" s="62">
        <f>IF(N($AL16)&gt;0,INDEX(rLim_ADM,$AL16),IF(ISNUMBER($F16),$F16,""))</f>
        <v/>
      </c>
    </row>
    <row r="17">
      <c r="A17" s="56">
        <f>IF(NOT((COUNTA($B17:$D17)+COUNTA($G17:$L17)+COUNTA($Q17))&gt;0),"",IF($V17="Macro",COUNTIFS($V$5:$V17,"Macro",$S$5:$S17,$S17),IF(N($U17)=0,"?",COUNTIFS(INDEX($V$5:$V$1000,1):INDEX($V$5:$V$1000,$U17-4),"Macro",INDEX($S$5:$S$1000,1):INDEX($S$5:$S$1000,$U17-4),INDEX($S$5:$S$1000,$U17-4))&amp;"."&amp;COUNTIFS($U$5:$U17,$U17,$V$5:$V17,"Sub"))))</f>
        <v/>
      </c>
      <c r="B17" s="57" t="n"/>
      <c r="C17" s="58" t="n"/>
      <c r="D17" s="58" t="n"/>
      <c r="E17" s="59">
        <f>IF(N($AL17)&gt;0,INDEX(rIni_ADM,$AL17),"")</f>
        <v/>
      </c>
      <c r="F17" s="59">
        <f>IF(N($AL17)&gt;0,INDEX(rLim_ADM,$AL17),"")</f>
        <v/>
      </c>
      <c r="G17" s="59" t="n"/>
      <c r="H17" s="60" t="n"/>
      <c r="I17" s="60" t="n"/>
      <c r="J17" s="60" t="n"/>
      <c r="K17" s="60" t="n"/>
      <c r="L17" s="60" t="n"/>
      <c r="M17" s="61">
        <f>IF(NOT((COUNTA($B17:$D17)+COUNTA($G17:$L17)+COUNTA($Q17))&gt;0),"",IF(ISNUMBER($G17),1,IF(N($W17)&gt;0,AVERAGEIFS($X$5:$X$1000,$U$5:$U$1000,ROW(),$V$5:$V$1000,"Sub"),$X17)))</f>
        <v/>
      </c>
      <c r="N17" s="56">
        <f>IF($M17="","",IF($M17&gt;=1,"Completado",IF($M17&gt;0,"En curso","Pendiente")))</f>
        <v/>
      </c>
      <c r="O17" s="56">
        <f>IF(NOT((COUNTA($B17:$D17)+COUNTA($G17:$L17)+COUNTA($Q17))&gt;0),"",IF(ISNUMBER($G17),IF(AND(ISNUMBER($AN17),$G17&gt;$AN17),"Cumplida con "&amp;($G17-$AN17)&amp;IF($G17-$AN17=1," día"," días")&amp;" de retraso","Cumplida"),IF(N($M17)&gt;=1,"Cumplida",IF(NOT(ISNUMBER($AN17)),"Sin fecha límite",IF($AN17&lt;FechaRef,"Vencida hace "&amp;(FechaRef-$AN17)&amp;IF(FechaRef-$AN17=1," día"," días"),IF($AN17=FechaRef,"Vence hoy",IF($AN17-FechaRef&lt;=DiasAlerta,"Vence en "&amp;($AN17-FechaRef)&amp;IF($AN17-FechaRef=1," día"," días"),"En plazo")))))))</f>
        <v/>
      </c>
      <c r="P17" s="62" t="n"/>
      <c r="Q17" s="58" t="n"/>
      <c r="R17" s="63">
        <f>IF(NOT((COUNTA($B17:$D17)+COUNTA($G17:$L17)+COUNTA($Q17))&gt;0),"",IF((IF($C17="","Falta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",""))="","✔ OK","⚠ "&amp;LEFT(IF($C17="","Falta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",""),LEN(IF($C17="","Falta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",""))-3)))</f>
        <v/>
      </c>
      <c r="S17" s="64">
        <f>IF(NOT((COUNTA($B17:$D17)+COUNTA($G17:$L17)+COUNTA($Q17))&gt;0),"",IF(AND($V17="Sub",N($U17)&gt;0),IF(ISNUMBER(INDEX($AM$5:$AM$1000,$U17-4)),DATE(YEAR(INDEX($AM$5:$AM$1000,$U17-4)),MONTH(INDEX($AM$5:$AM$1000,$U17-4)),1),IF(ISNUMBER(INDEX($AN$5:$AN$1000,$U17-4)),DATE(YEAR(INDEX($AN$5:$AN$1000,$U17-4)),MONTH(INDEX($AN$5:$AN$1000,$U17-4)),1),MesCiclo)),IF(ISNUMBER($AM17),DATE(YEAR($AM17),MONTH($AM17),1),IF(ISNUMBER($AN17),DATE(YEAR($AN17),MONTH($AN17),1),MesCiclo))))</f>
        <v/>
      </c>
      <c r="T17" s="62">
        <f>IF(OR($S17="",$S17&lt;&gt;MesCiclo),"",COUNTIF($S$5:$S17,MesCiclo))</f>
        <v/>
      </c>
      <c r="U17" s="62">
        <f>IF($V17="","",IF($V17="Macro",ROW(),IFERROR(LOOKUP(2,1/($V$5:$V17="Macro"),ROW($V$5:$V17)),0)))</f>
        <v/>
      </c>
      <c r="V17" s="62">
        <f>IF(NOT((COUNTA($B17:$D17)+COUNTA($G17:$L17)+COUNTA($Q17))&gt;0),"",IF($B17="Subactividad","Sub","Macro"))</f>
        <v/>
      </c>
      <c r="W17" s="62">
        <f>IF($V17="Macro",COUNTIFS($U$5:$U$1000,ROW(),$V$5:$V$1000,"Sub"),"")</f>
        <v/>
      </c>
      <c r="X17" s="62">
        <f>IF($V17="","",IF(ISNUMBER($G17),1,IFERROR(LOOKUP(2,1/($I17:$L17&lt;&gt;""),$I17:$L17),0)))</f>
        <v/>
      </c>
      <c r="Y17" s="62">
        <f>IF($V17="","",IF(AND(ISNUMBER($G17),$G17&lt;=IF($S17=MesCiclo,InicioCiclo,$S17+MOD(2-WEEKDAY($S17),7))+6),1,IF(ISNUMBER($I17),$I17,0)))</f>
        <v/>
      </c>
      <c r="Z17" s="62">
        <f>IF($V17="","",IF(AND(ISNUMBER($G17),$G17&lt;=IF($S17=MesCiclo,InicioCiclo,$S17+MOD(2-WEEKDAY($S17),7))+13),1,IF(ISNUMBER($J17),$J17,$Y17)))</f>
        <v/>
      </c>
      <c r="AA17" s="62">
        <f>IF($V17="","",IF(AND(ISNUMBER($G17),$G17&lt;=IF($S17=MesCiclo,InicioCiclo,$S17+MOD(2-WEEKDAY($S17),7))+20),1,IF(ISNUMBER($K17),$K17,$Z17)))</f>
        <v/>
      </c>
      <c r="AB17" s="62">
        <f>IF($V17="","",IF(AND(ISNUMBER($G17),$G17&lt;=IF($S17=MesCiclo,InicioCiclo,$S17+MOD(2-WEEKDAY($S17),7))+27),1,IF(ISNUMBER($L17),$L17,$AA17)))</f>
        <v/>
      </c>
      <c r="AC17" s="62">
        <f>IF($V17="","",IF(AND(ISNUMBER($G17),$G17&lt;=IF($S17=MesCiclo,InicioCiclo,$S17+MOD(2-WEEKDAY($S17),7))+6),1,IF(N($W17)&gt;0,AVERAGEIFS($Y$5:$Y$1000,$U$5:$U$1000,ROW(),$V$5:$V$1000,"Sub"),$Y17)))</f>
        <v/>
      </c>
      <c r="AD17" s="62">
        <f>IF($V17="","",IF(AND(ISNUMBER($G17),$G17&lt;=IF($S17=MesCiclo,InicioCiclo,$S17+MOD(2-WEEKDAY($S17),7))+13),1,IF(N($W17)&gt;0,AVERAGEIFS($Z$5:$Z$1000,$U$5:$U$1000,ROW(),$V$5:$V$1000,"Sub"),$Z17)))</f>
        <v/>
      </c>
      <c r="AE17" s="62">
        <f>IF($V17="","",IF(AND(ISNUMBER($G17),$G17&lt;=IF($S17=MesCiclo,InicioCiclo,$S17+MOD(2-WEEKDAY($S17),7))+20),1,IF(N($W17)&gt;0,AVERAGEIFS($AA$5:$AA$1000,$U$5:$U$1000,ROW(),$V$5:$V$1000,"Sub"),$AA17)))</f>
        <v/>
      </c>
      <c r="AF17" s="62">
        <f>IF($V17="","",IF(AND(ISNUMBER($G17),$G17&lt;=IF($S17=MesCiclo,InicioCiclo,$S17+MOD(2-WEEKDAY($S17),7))+27),1,IF(N($W17)&gt;0,AVERAGEIFS($AB$5:$AB$1000,$U$5:$U$1000,ROW(),$V$5:$V$1000,"Sub"),$AB17)))</f>
        <v/>
      </c>
      <c r="AG17" s="62">
        <f>IF($V17&lt;&gt;"Macro","",IF(COUNTIFS($S$5:$S$1000,$S17,$V$5:$V$1000,"Macro",$H$5:$H$1000,"&gt;0")=0,1/COUNTIFS($S$5:$S$1000,$S17,$V$5:$V$1000,"Macro"),IF(AND(ISNUMBER($H17),N($H17)&gt;0),$H17,SUMIFS($H$5:$H$1000,$S$5:$S$1000,$S17,$V$5:$V$1000,"Macro")/COUNTIFS($S$5:$S$1000,$S17,$V$5:$V$1000,"Macro",$H$5:$H$1000,"&gt;0"))/(COUNTIFS($S$5:$S$1000,$S17,$V$5:$V$1000,"Macro")*SUMIFS($H$5:$H$1000,$S$5:$S$1000,$S17,$V$5:$V$1000,"Macro")/COUNTIFS($S$5:$S$1000,$S17,$V$5:$V$1000,"Macro",$H$5:$H$1000,"&gt;0"))))</f>
        <v/>
      </c>
      <c r="AH17" s="62" t="n"/>
      <c r="AI17" s="62" t="n"/>
      <c r="AJ17" s="62" t="n"/>
      <c r="AK17" s="62" t="n"/>
      <c r="AL17" s="62">
        <f>IF(LEFT($C17,11)="[Jefatura] ",IFERROR(MATCH("Asistente Técnico de Riesgo|"&amp;MID($C17,12,500),rDname_ADM,0),0),"")</f>
        <v/>
      </c>
      <c r="AM17" s="62">
        <f>IF(N($AL17)&gt;0,INDEX(rIni_ADM,$AL17),IF(ISNUMBER($E17),$E17,""))</f>
        <v/>
      </c>
      <c r="AN17" s="62">
        <f>IF(N($AL17)&gt;0,INDEX(rLim_ADM,$AL17),IF(ISNUMBER($F17),$F17,""))</f>
        <v/>
      </c>
    </row>
    <row r="18">
      <c r="A18" s="56">
        <f>IF(NOT((COUNTA($B18:$D18)+COUNTA($G18:$L18)+COUNTA($Q18))&gt;0),"",IF($V18="Macro",COUNTIFS($V$5:$V18,"Macro",$S$5:$S18,$S18),IF(N($U18)=0,"?",COUNTIFS(INDEX($V$5:$V$1000,1):INDEX($V$5:$V$1000,$U18-4),"Macro",INDEX($S$5:$S$1000,1):INDEX($S$5:$S$1000,$U18-4),INDEX($S$5:$S$1000,$U18-4))&amp;"."&amp;COUNTIFS($U$5:$U18,$U18,$V$5:$V18,"Sub"))))</f>
        <v/>
      </c>
      <c r="B18" s="57" t="n"/>
      <c r="C18" s="58" t="n"/>
      <c r="D18" s="58" t="n"/>
      <c r="E18" s="59">
        <f>IF(N($AL18)&gt;0,INDEX(rIni_ADM,$AL18),"")</f>
        <v/>
      </c>
      <c r="F18" s="59">
        <f>IF(N($AL18)&gt;0,INDEX(rLim_ADM,$AL18),"")</f>
        <v/>
      </c>
      <c r="G18" s="59" t="n"/>
      <c r="H18" s="60" t="n"/>
      <c r="I18" s="60" t="n"/>
      <c r="J18" s="60" t="n"/>
      <c r="K18" s="60" t="n"/>
      <c r="L18" s="60" t="n"/>
      <c r="M18" s="61">
        <f>IF(NOT((COUNTA($B18:$D18)+COUNTA($G18:$L18)+COUNTA($Q18))&gt;0),"",IF(ISNUMBER($G18),1,IF(N($W18)&gt;0,AVERAGEIFS($X$5:$X$1000,$U$5:$U$1000,ROW(),$V$5:$V$1000,"Sub"),$X18)))</f>
        <v/>
      </c>
      <c r="N18" s="56">
        <f>IF($M18="","",IF($M18&gt;=1,"Completado",IF($M18&gt;0,"En curso","Pendiente")))</f>
        <v/>
      </c>
      <c r="O18" s="56">
        <f>IF(NOT((COUNTA($B18:$D18)+COUNTA($G18:$L18)+COUNTA($Q18))&gt;0),"",IF(ISNUMBER($G18),IF(AND(ISNUMBER($AN18),$G18&gt;$AN18),"Cumplida con "&amp;($G18-$AN18)&amp;IF($G18-$AN18=1," día"," días")&amp;" de retraso","Cumplida"),IF(N($M18)&gt;=1,"Cumplida",IF(NOT(ISNUMBER($AN18)),"Sin fecha límite",IF($AN18&lt;FechaRef,"Vencida hace "&amp;(FechaRef-$AN18)&amp;IF(FechaRef-$AN18=1," día"," días"),IF($AN18=FechaRef,"Vence hoy",IF($AN18-FechaRef&lt;=DiasAlerta,"Vence en "&amp;($AN18-FechaRef)&amp;IF($AN18-FechaRef=1," día"," días"),"En plazo")))))))</f>
        <v/>
      </c>
      <c r="P18" s="62" t="n"/>
      <c r="Q18" s="58" t="n"/>
      <c r="R18" s="63">
        <f>IF(NOT((COUNTA($B18:$D18)+COUNTA($G18:$L18)+COUNTA($Q18))&gt;0),"",IF((IF($C18="","Falta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",""))="","✔ OK","⚠ "&amp;LEFT(IF($C18="","Falta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",""),LEN(IF($C18="","Falta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",""))-3)))</f>
        <v/>
      </c>
      <c r="S18" s="64">
        <f>IF(NOT((COUNTA($B18:$D18)+COUNTA($G18:$L18)+COUNTA($Q18))&gt;0),"",IF(AND($V18="Sub",N($U18)&gt;0),IF(ISNUMBER(INDEX($AM$5:$AM$1000,$U18-4)),DATE(YEAR(INDEX($AM$5:$AM$1000,$U18-4)),MONTH(INDEX($AM$5:$AM$1000,$U18-4)),1),IF(ISNUMBER(INDEX($AN$5:$AN$1000,$U18-4)),DATE(YEAR(INDEX($AN$5:$AN$1000,$U18-4)),MONTH(INDEX($AN$5:$AN$1000,$U18-4)),1),MesCiclo)),IF(ISNUMBER($AM18),DATE(YEAR($AM18),MONTH($AM18),1),IF(ISNUMBER($AN18),DATE(YEAR($AN18),MONTH($AN18),1),MesCiclo))))</f>
        <v/>
      </c>
      <c r="T18" s="62">
        <f>IF(OR($S18="",$S18&lt;&gt;MesCiclo),"",COUNTIF($S$5:$S18,MesCiclo))</f>
        <v/>
      </c>
      <c r="U18" s="62">
        <f>IF($V18="","",IF($V18="Macro",ROW(),IFERROR(LOOKUP(2,1/($V$5:$V18="Macro"),ROW($V$5:$V18)),0)))</f>
        <v/>
      </c>
      <c r="V18" s="62">
        <f>IF(NOT((COUNTA($B18:$D18)+COUNTA($G18:$L18)+COUNTA($Q18))&gt;0),"",IF($B18="Subactividad","Sub","Macro"))</f>
        <v/>
      </c>
      <c r="W18" s="62">
        <f>IF($V18="Macro",COUNTIFS($U$5:$U$1000,ROW(),$V$5:$V$1000,"Sub"),"")</f>
        <v/>
      </c>
      <c r="X18" s="62">
        <f>IF($V18="","",IF(ISNUMBER($G18),1,IFERROR(LOOKUP(2,1/($I18:$L18&lt;&gt;""),$I18:$L18),0)))</f>
        <v/>
      </c>
      <c r="Y18" s="62">
        <f>IF($V18="","",IF(AND(ISNUMBER($G18),$G18&lt;=IF($S18=MesCiclo,InicioCiclo,$S18+MOD(2-WEEKDAY($S18),7))+6),1,IF(ISNUMBER($I18),$I18,0)))</f>
        <v/>
      </c>
      <c r="Z18" s="62">
        <f>IF($V18="","",IF(AND(ISNUMBER($G18),$G18&lt;=IF($S18=MesCiclo,InicioCiclo,$S18+MOD(2-WEEKDAY($S18),7))+13),1,IF(ISNUMBER($J18),$J18,$Y18)))</f>
        <v/>
      </c>
      <c r="AA18" s="62">
        <f>IF($V18="","",IF(AND(ISNUMBER($G18),$G18&lt;=IF($S18=MesCiclo,InicioCiclo,$S18+MOD(2-WEEKDAY($S18),7))+20),1,IF(ISNUMBER($K18),$K18,$Z18)))</f>
        <v/>
      </c>
      <c r="AB18" s="62">
        <f>IF($V18="","",IF(AND(ISNUMBER($G18),$G18&lt;=IF($S18=MesCiclo,InicioCiclo,$S18+MOD(2-WEEKDAY($S18),7))+27),1,IF(ISNUMBER($L18),$L18,$AA18)))</f>
        <v/>
      </c>
      <c r="AC18" s="62">
        <f>IF($V18="","",IF(AND(ISNUMBER($G18),$G18&lt;=IF($S18=MesCiclo,InicioCiclo,$S18+MOD(2-WEEKDAY($S18),7))+6),1,IF(N($W18)&gt;0,AVERAGEIFS($Y$5:$Y$1000,$U$5:$U$1000,ROW(),$V$5:$V$1000,"Sub"),$Y18)))</f>
        <v/>
      </c>
      <c r="AD18" s="62">
        <f>IF($V18="","",IF(AND(ISNUMBER($G18),$G18&lt;=IF($S18=MesCiclo,InicioCiclo,$S18+MOD(2-WEEKDAY($S18),7))+13),1,IF(N($W18)&gt;0,AVERAGEIFS($Z$5:$Z$1000,$U$5:$U$1000,ROW(),$V$5:$V$1000,"Sub"),$Z18)))</f>
        <v/>
      </c>
      <c r="AE18" s="62">
        <f>IF($V18="","",IF(AND(ISNUMBER($G18),$G18&lt;=IF($S18=MesCiclo,InicioCiclo,$S18+MOD(2-WEEKDAY($S18),7))+20),1,IF(N($W18)&gt;0,AVERAGEIFS($AA$5:$AA$1000,$U$5:$U$1000,ROW(),$V$5:$V$1000,"Sub"),$AA18)))</f>
        <v/>
      </c>
      <c r="AF18" s="62">
        <f>IF($V18="","",IF(AND(ISNUMBER($G18),$G18&lt;=IF($S18=MesCiclo,InicioCiclo,$S18+MOD(2-WEEKDAY($S18),7))+27),1,IF(N($W18)&gt;0,AVERAGEIFS($AB$5:$AB$1000,$U$5:$U$1000,ROW(),$V$5:$V$1000,"Sub"),$AB18)))</f>
        <v/>
      </c>
      <c r="AG18" s="62">
        <f>IF($V18&lt;&gt;"Macro","",IF(COUNTIFS($S$5:$S$1000,$S18,$V$5:$V$1000,"Macro",$H$5:$H$1000,"&gt;0")=0,1/COUNTIFS($S$5:$S$1000,$S18,$V$5:$V$1000,"Macro"),IF(AND(ISNUMBER($H18),N($H18)&gt;0),$H18,SUMIFS($H$5:$H$1000,$S$5:$S$1000,$S18,$V$5:$V$1000,"Macro")/COUNTIFS($S$5:$S$1000,$S18,$V$5:$V$1000,"Macro",$H$5:$H$1000,"&gt;0"))/(COUNTIFS($S$5:$S$1000,$S18,$V$5:$V$1000,"Macro")*SUMIFS($H$5:$H$1000,$S$5:$S$1000,$S18,$V$5:$V$1000,"Macro")/COUNTIFS($S$5:$S$1000,$S18,$V$5:$V$1000,"Macro",$H$5:$H$1000,"&gt;0"))))</f>
        <v/>
      </c>
      <c r="AH18" s="62" t="n"/>
      <c r="AI18" s="62" t="n"/>
      <c r="AJ18" s="62" t="n"/>
      <c r="AK18" s="62" t="n"/>
      <c r="AL18" s="62">
        <f>IF(LEFT($C18,11)="[Jefatura] ",IFERROR(MATCH("Asistente Técnico de Riesgo|"&amp;MID($C18,12,500),rDname_ADM,0),0),"")</f>
        <v/>
      </c>
      <c r="AM18" s="62">
        <f>IF(N($AL18)&gt;0,INDEX(rIni_ADM,$AL18),IF(ISNUMBER($E18),$E18,""))</f>
        <v/>
      </c>
      <c r="AN18" s="62">
        <f>IF(N($AL18)&gt;0,INDEX(rLim_ADM,$AL18),IF(ISNUMBER($F18),$F18,""))</f>
        <v/>
      </c>
    </row>
    <row r="19">
      <c r="A19" s="56">
        <f>IF(NOT((COUNTA($B19:$D19)+COUNTA($G19:$L19)+COUNTA($Q19))&gt;0),"",IF($V19="Macro",COUNTIFS($V$5:$V19,"Macro",$S$5:$S19,$S19),IF(N($U19)=0,"?",COUNTIFS(INDEX($V$5:$V$1000,1):INDEX($V$5:$V$1000,$U19-4),"Macro",INDEX($S$5:$S$1000,1):INDEX($S$5:$S$1000,$U19-4),INDEX($S$5:$S$1000,$U19-4))&amp;"."&amp;COUNTIFS($U$5:$U19,$U19,$V$5:$V19,"Sub"))))</f>
        <v/>
      </c>
      <c r="B19" s="57" t="n"/>
      <c r="C19" s="58" t="n"/>
      <c r="D19" s="58" t="n"/>
      <c r="E19" s="59">
        <f>IF(N($AL19)&gt;0,INDEX(rIni_ADM,$AL19),"")</f>
        <v/>
      </c>
      <c r="F19" s="59">
        <f>IF(N($AL19)&gt;0,INDEX(rLim_ADM,$AL19),"")</f>
        <v/>
      </c>
      <c r="G19" s="59" t="n"/>
      <c r="H19" s="60" t="n"/>
      <c r="I19" s="60" t="n"/>
      <c r="J19" s="60" t="n"/>
      <c r="K19" s="60" t="n"/>
      <c r="L19" s="60" t="n"/>
      <c r="M19" s="61">
        <f>IF(NOT((COUNTA($B19:$D19)+COUNTA($G19:$L19)+COUNTA($Q19))&gt;0),"",IF(ISNUMBER($G19),1,IF(N($W19)&gt;0,AVERAGEIFS($X$5:$X$1000,$U$5:$U$1000,ROW(),$V$5:$V$1000,"Sub"),$X19)))</f>
        <v/>
      </c>
      <c r="N19" s="56">
        <f>IF($M19="","",IF($M19&gt;=1,"Completado",IF($M19&gt;0,"En curso","Pendiente")))</f>
        <v/>
      </c>
      <c r="O19" s="56">
        <f>IF(NOT((COUNTA($B19:$D19)+COUNTA($G19:$L19)+COUNTA($Q19))&gt;0),"",IF(ISNUMBER($G19),IF(AND(ISNUMBER($AN19),$G19&gt;$AN19),"Cumplida con "&amp;($G19-$AN19)&amp;IF($G19-$AN19=1," día"," días")&amp;" de retraso","Cumplida"),IF(N($M19)&gt;=1,"Cumplida",IF(NOT(ISNUMBER($AN19)),"Sin fecha límite",IF($AN19&lt;FechaRef,"Vencida hace "&amp;(FechaRef-$AN19)&amp;IF(FechaRef-$AN19=1," día"," días"),IF($AN19=FechaRef,"Vence hoy",IF($AN19-FechaRef&lt;=DiasAlerta,"Vence en "&amp;($AN19-FechaRef)&amp;IF($AN19-FechaRef=1," día"," días"),"En plazo")))))))</f>
        <v/>
      </c>
      <c r="P19" s="62" t="n"/>
      <c r="Q19" s="58" t="n"/>
      <c r="R19" s="63">
        <f>IF(NOT((COUNTA($B19:$D19)+COUNTA($G19:$L19)+COUNTA($Q19))&gt;0),"",IF((IF($C19="","Falta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",""))="","✔ OK","⚠ "&amp;LEFT(IF($C19="","Falta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",""),LEN(IF($C19="","Falta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",""))-3)))</f>
        <v/>
      </c>
      <c r="S19" s="64">
        <f>IF(NOT((COUNTA($B19:$D19)+COUNTA($G19:$L19)+COUNTA($Q19))&gt;0),"",IF(AND($V19="Sub",N($U19)&gt;0),IF(ISNUMBER(INDEX($AM$5:$AM$1000,$U19-4)),DATE(YEAR(INDEX($AM$5:$AM$1000,$U19-4)),MONTH(INDEX($AM$5:$AM$1000,$U19-4)),1),IF(ISNUMBER(INDEX($AN$5:$AN$1000,$U19-4)),DATE(YEAR(INDEX($AN$5:$AN$1000,$U19-4)),MONTH(INDEX($AN$5:$AN$1000,$U19-4)),1),MesCiclo)),IF(ISNUMBER($AM19),DATE(YEAR($AM19),MONTH($AM19),1),IF(ISNUMBER($AN19),DATE(YEAR($AN19),MONTH($AN19),1),MesCiclo))))</f>
        <v/>
      </c>
      <c r="T19" s="62">
        <f>IF(OR($S19="",$S19&lt;&gt;MesCiclo),"",COUNTIF($S$5:$S19,MesCiclo))</f>
        <v/>
      </c>
      <c r="U19" s="62">
        <f>IF($V19="","",IF($V19="Macro",ROW(),IFERROR(LOOKUP(2,1/($V$5:$V19="Macro"),ROW($V$5:$V19)),0)))</f>
        <v/>
      </c>
      <c r="V19" s="62">
        <f>IF(NOT((COUNTA($B19:$D19)+COUNTA($G19:$L19)+COUNTA($Q19))&gt;0),"",IF($B19="Subactividad","Sub","Macro"))</f>
        <v/>
      </c>
      <c r="W19" s="62">
        <f>IF($V19="Macro",COUNTIFS($U$5:$U$1000,ROW(),$V$5:$V$1000,"Sub"),"")</f>
        <v/>
      </c>
      <c r="X19" s="62">
        <f>IF($V19="","",IF(ISNUMBER($G19),1,IFERROR(LOOKUP(2,1/($I19:$L19&lt;&gt;""),$I19:$L19),0)))</f>
        <v/>
      </c>
      <c r="Y19" s="62">
        <f>IF($V19="","",IF(AND(ISNUMBER($G19),$G19&lt;=IF($S19=MesCiclo,InicioCiclo,$S19+MOD(2-WEEKDAY($S19),7))+6),1,IF(ISNUMBER($I19),$I19,0)))</f>
        <v/>
      </c>
      <c r="Z19" s="62">
        <f>IF($V19="","",IF(AND(ISNUMBER($G19),$G19&lt;=IF($S19=MesCiclo,InicioCiclo,$S19+MOD(2-WEEKDAY($S19),7))+13),1,IF(ISNUMBER($J19),$J19,$Y19)))</f>
        <v/>
      </c>
      <c r="AA19" s="62">
        <f>IF($V19="","",IF(AND(ISNUMBER($G19),$G19&lt;=IF($S19=MesCiclo,InicioCiclo,$S19+MOD(2-WEEKDAY($S19),7))+20),1,IF(ISNUMBER($K19),$K19,$Z19)))</f>
        <v/>
      </c>
      <c r="AB19" s="62">
        <f>IF($V19="","",IF(AND(ISNUMBER($G19),$G19&lt;=IF($S19=MesCiclo,InicioCiclo,$S19+MOD(2-WEEKDAY($S19),7))+27),1,IF(ISNUMBER($L19),$L19,$AA19)))</f>
        <v/>
      </c>
      <c r="AC19" s="62">
        <f>IF($V19="","",IF(AND(ISNUMBER($G19),$G19&lt;=IF($S19=MesCiclo,InicioCiclo,$S19+MOD(2-WEEKDAY($S19),7))+6),1,IF(N($W19)&gt;0,AVERAGEIFS($Y$5:$Y$1000,$U$5:$U$1000,ROW(),$V$5:$V$1000,"Sub"),$Y19)))</f>
        <v/>
      </c>
      <c r="AD19" s="62">
        <f>IF($V19="","",IF(AND(ISNUMBER($G19),$G19&lt;=IF($S19=MesCiclo,InicioCiclo,$S19+MOD(2-WEEKDAY($S19),7))+13),1,IF(N($W19)&gt;0,AVERAGEIFS($Z$5:$Z$1000,$U$5:$U$1000,ROW(),$V$5:$V$1000,"Sub"),$Z19)))</f>
        <v/>
      </c>
      <c r="AE19" s="62">
        <f>IF($V19="","",IF(AND(ISNUMBER($G19),$G19&lt;=IF($S19=MesCiclo,InicioCiclo,$S19+MOD(2-WEEKDAY($S19),7))+20),1,IF(N($W19)&gt;0,AVERAGEIFS($AA$5:$AA$1000,$U$5:$U$1000,ROW(),$V$5:$V$1000,"Sub"),$AA19)))</f>
        <v/>
      </c>
      <c r="AF19" s="62">
        <f>IF($V19="","",IF(AND(ISNUMBER($G19),$G19&lt;=IF($S19=MesCiclo,InicioCiclo,$S19+MOD(2-WEEKDAY($S19),7))+27),1,IF(N($W19)&gt;0,AVERAGEIFS($AB$5:$AB$1000,$U$5:$U$1000,ROW(),$V$5:$V$1000,"Sub"),$AB19)))</f>
        <v/>
      </c>
      <c r="AG19" s="62">
        <f>IF($V19&lt;&gt;"Macro","",IF(COUNTIFS($S$5:$S$1000,$S19,$V$5:$V$1000,"Macro",$H$5:$H$1000,"&gt;0")=0,1/COUNTIFS($S$5:$S$1000,$S19,$V$5:$V$1000,"Macro"),IF(AND(ISNUMBER($H19),N($H19)&gt;0),$H19,SUMIFS($H$5:$H$1000,$S$5:$S$1000,$S19,$V$5:$V$1000,"Macro")/COUNTIFS($S$5:$S$1000,$S19,$V$5:$V$1000,"Macro",$H$5:$H$1000,"&gt;0"))/(COUNTIFS($S$5:$S$1000,$S19,$V$5:$V$1000,"Macro")*SUMIFS($H$5:$H$1000,$S$5:$S$1000,$S19,$V$5:$V$1000,"Macro")/COUNTIFS($S$5:$S$1000,$S19,$V$5:$V$1000,"Macro",$H$5:$H$1000,"&gt;0"))))</f>
        <v/>
      </c>
      <c r="AH19" s="62" t="n"/>
      <c r="AI19" s="62" t="n"/>
      <c r="AJ19" s="62" t="n"/>
      <c r="AK19" s="62" t="n"/>
      <c r="AL19" s="62">
        <f>IF(LEFT($C19,11)="[Jefatura] ",IFERROR(MATCH("Asistente Técnico de Riesgo|"&amp;MID($C19,12,500),rDname_ADM,0),0),"")</f>
        <v/>
      </c>
      <c r="AM19" s="62">
        <f>IF(N($AL19)&gt;0,INDEX(rIni_ADM,$AL19),IF(ISNUMBER($E19),$E19,""))</f>
        <v/>
      </c>
      <c r="AN19" s="62">
        <f>IF(N($AL19)&gt;0,INDEX(rLim_ADM,$AL19),IF(ISNUMBER($F19),$F19,""))</f>
        <v/>
      </c>
    </row>
    <row r="20">
      <c r="A20" s="56">
        <f>IF(NOT((COUNTA($B20:$D20)+COUNTA($G20:$L20)+COUNTA($Q20))&gt;0),"",IF($V20="Macro",COUNTIFS($V$5:$V20,"Macro",$S$5:$S20,$S20),IF(N($U20)=0,"?",COUNTIFS(INDEX($V$5:$V$1000,1):INDEX($V$5:$V$1000,$U20-4),"Macro",INDEX($S$5:$S$1000,1):INDEX($S$5:$S$1000,$U20-4),INDEX($S$5:$S$1000,$U20-4))&amp;"."&amp;COUNTIFS($U$5:$U20,$U20,$V$5:$V20,"Sub"))))</f>
        <v/>
      </c>
      <c r="B20" s="57" t="n"/>
      <c r="C20" s="58" t="n"/>
      <c r="D20" s="58" t="n"/>
      <c r="E20" s="59">
        <f>IF(N($AL20)&gt;0,INDEX(rIni_ADM,$AL20),"")</f>
        <v/>
      </c>
      <c r="F20" s="59">
        <f>IF(N($AL20)&gt;0,INDEX(rLim_ADM,$AL20),"")</f>
        <v/>
      </c>
      <c r="G20" s="59" t="n"/>
      <c r="H20" s="60" t="n"/>
      <c r="I20" s="60" t="n"/>
      <c r="J20" s="60" t="n"/>
      <c r="K20" s="60" t="n"/>
      <c r="L20" s="60" t="n"/>
      <c r="M20" s="61">
        <f>IF(NOT((COUNTA($B20:$D20)+COUNTA($G20:$L20)+COUNTA($Q20))&gt;0),"",IF(ISNUMBER($G20),1,IF(N($W20)&gt;0,AVERAGEIFS($X$5:$X$1000,$U$5:$U$1000,ROW(),$V$5:$V$1000,"Sub"),$X20)))</f>
        <v/>
      </c>
      <c r="N20" s="56">
        <f>IF($M20="","",IF($M20&gt;=1,"Completado",IF($M20&gt;0,"En curso","Pendiente")))</f>
        <v/>
      </c>
      <c r="O20" s="56">
        <f>IF(NOT((COUNTA($B20:$D20)+COUNTA($G20:$L20)+COUNTA($Q20))&gt;0),"",IF(ISNUMBER($G20),IF(AND(ISNUMBER($AN20),$G20&gt;$AN20),"Cumplida con "&amp;($G20-$AN20)&amp;IF($G20-$AN20=1," día"," días")&amp;" de retraso","Cumplida"),IF(N($M20)&gt;=1,"Cumplida",IF(NOT(ISNUMBER($AN20)),"Sin fecha límite",IF($AN20&lt;FechaRef,"Vencida hace "&amp;(FechaRef-$AN20)&amp;IF(FechaRef-$AN20=1," día"," días"),IF($AN20=FechaRef,"Vence hoy",IF($AN20-FechaRef&lt;=DiasAlerta,"Vence en "&amp;($AN20-FechaRef)&amp;IF($AN20-FechaRef=1," día"," días"),"En plazo")))))))</f>
        <v/>
      </c>
      <c r="P20" s="62" t="n"/>
      <c r="Q20" s="58" t="n"/>
      <c r="R20" s="63">
        <f>IF(NOT((COUNTA($B20:$D20)+COUNTA($G20:$L20)+COUNTA($Q20))&gt;0),"",IF((IF($C20="","Falta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",""))="","✔ OK","⚠ "&amp;LEFT(IF($C20="","Falta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",""),LEN(IF($C20="","Falta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",""))-3)))</f>
        <v/>
      </c>
      <c r="S20" s="64">
        <f>IF(NOT((COUNTA($B20:$D20)+COUNTA($G20:$L20)+COUNTA($Q20))&gt;0),"",IF(AND($V20="Sub",N($U20)&gt;0),IF(ISNUMBER(INDEX($AM$5:$AM$1000,$U20-4)),DATE(YEAR(INDEX($AM$5:$AM$1000,$U20-4)),MONTH(INDEX($AM$5:$AM$1000,$U20-4)),1),IF(ISNUMBER(INDEX($AN$5:$AN$1000,$U20-4)),DATE(YEAR(INDEX($AN$5:$AN$1000,$U20-4)),MONTH(INDEX($AN$5:$AN$1000,$U20-4)),1),MesCiclo)),IF(ISNUMBER($AM20),DATE(YEAR($AM20),MONTH($AM20),1),IF(ISNUMBER($AN20),DATE(YEAR($AN20),MONTH($AN20),1),MesCiclo))))</f>
        <v/>
      </c>
      <c r="T20" s="62">
        <f>IF(OR($S20="",$S20&lt;&gt;MesCiclo),"",COUNTIF($S$5:$S20,MesCiclo))</f>
        <v/>
      </c>
      <c r="U20" s="62">
        <f>IF($V20="","",IF($V20="Macro",ROW(),IFERROR(LOOKUP(2,1/($V$5:$V20="Macro"),ROW($V$5:$V20)),0)))</f>
        <v/>
      </c>
      <c r="V20" s="62">
        <f>IF(NOT((COUNTA($B20:$D20)+COUNTA($G20:$L20)+COUNTA($Q20))&gt;0),"",IF($B20="Subactividad","Sub","Macro"))</f>
        <v/>
      </c>
      <c r="W20" s="62">
        <f>IF($V20="Macro",COUNTIFS($U$5:$U$1000,ROW(),$V$5:$V$1000,"Sub"),"")</f>
        <v/>
      </c>
      <c r="X20" s="62">
        <f>IF($V20="","",IF(ISNUMBER($G20),1,IFERROR(LOOKUP(2,1/($I20:$L20&lt;&gt;""),$I20:$L20),0)))</f>
        <v/>
      </c>
      <c r="Y20" s="62">
        <f>IF($V20="","",IF(AND(ISNUMBER($G20),$G20&lt;=IF($S20=MesCiclo,InicioCiclo,$S20+MOD(2-WEEKDAY($S20),7))+6),1,IF(ISNUMBER($I20),$I20,0)))</f>
        <v/>
      </c>
      <c r="Z20" s="62">
        <f>IF($V20="","",IF(AND(ISNUMBER($G20),$G20&lt;=IF($S20=MesCiclo,InicioCiclo,$S20+MOD(2-WEEKDAY($S20),7))+13),1,IF(ISNUMBER($J20),$J20,$Y20)))</f>
        <v/>
      </c>
      <c r="AA20" s="62">
        <f>IF($V20="","",IF(AND(ISNUMBER($G20),$G20&lt;=IF($S20=MesCiclo,InicioCiclo,$S20+MOD(2-WEEKDAY($S20),7))+20),1,IF(ISNUMBER($K20),$K20,$Z20)))</f>
        <v/>
      </c>
      <c r="AB20" s="62">
        <f>IF($V20="","",IF(AND(ISNUMBER($G20),$G20&lt;=IF($S20=MesCiclo,InicioCiclo,$S20+MOD(2-WEEKDAY($S20),7))+27),1,IF(ISNUMBER($L20),$L20,$AA20)))</f>
        <v/>
      </c>
      <c r="AC20" s="62">
        <f>IF($V20="","",IF(AND(ISNUMBER($G20),$G20&lt;=IF($S20=MesCiclo,InicioCiclo,$S20+MOD(2-WEEKDAY($S20),7))+6),1,IF(N($W20)&gt;0,AVERAGEIFS($Y$5:$Y$1000,$U$5:$U$1000,ROW(),$V$5:$V$1000,"Sub"),$Y20)))</f>
        <v/>
      </c>
      <c r="AD20" s="62">
        <f>IF($V20="","",IF(AND(ISNUMBER($G20),$G20&lt;=IF($S20=MesCiclo,InicioCiclo,$S20+MOD(2-WEEKDAY($S20),7))+13),1,IF(N($W20)&gt;0,AVERAGEIFS($Z$5:$Z$1000,$U$5:$U$1000,ROW(),$V$5:$V$1000,"Sub"),$Z20)))</f>
        <v/>
      </c>
      <c r="AE20" s="62">
        <f>IF($V20="","",IF(AND(ISNUMBER($G20),$G20&lt;=IF($S20=MesCiclo,InicioCiclo,$S20+MOD(2-WEEKDAY($S20),7))+20),1,IF(N($W20)&gt;0,AVERAGEIFS($AA$5:$AA$1000,$U$5:$U$1000,ROW(),$V$5:$V$1000,"Sub"),$AA20)))</f>
        <v/>
      </c>
      <c r="AF20" s="62">
        <f>IF($V20="","",IF(AND(ISNUMBER($G20),$G20&lt;=IF($S20=MesCiclo,InicioCiclo,$S20+MOD(2-WEEKDAY($S20),7))+27),1,IF(N($W20)&gt;0,AVERAGEIFS($AB$5:$AB$1000,$U$5:$U$1000,ROW(),$V$5:$V$1000,"Sub"),$AB20)))</f>
        <v/>
      </c>
      <c r="AG20" s="62">
        <f>IF($V20&lt;&gt;"Macro","",IF(COUNTIFS($S$5:$S$1000,$S20,$V$5:$V$1000,"Macro",$H$5:$H$1000,"&gt;0")=0,1/COUNTIFS($S$5:$S$1000,$S20,$V$5:$V$1000,"Macro"),IF(AND(ISNUMBER($H20),N($H20)&gt;0),$H20,SUMIFS($H$5:$H$1000,$S$5:$S$1000,$S20,$V$5:$V$1000,"Macro")/COUNTIFS($S$5:$S$1000,$S20,$V$5:$V$1000,"Macro",$H$5:$H$1000,"&gt;0"))/(COUNTIFS($S$5:$S$1000,$S20,$V$5:$V$1000,"Macro")*SUMIFS($H$5:$H$1000,$S$5:$S$1000,$S20,$V$5:$V$1000,"Macro")/COUNTIFS($S$5:$S$1000,$S20,$V$5:$V$1000,"Macro",$H$5:$H$1000,"&gt;0"))))</f>
        <v/>
      </c>
      <c r="AH20" s="62" t="n"/>
      <c r="AI20" s="62" t="n"/>
      <c r="AJ20" s="62" t="n"/>
      <c r="AK20" s="62" t="n"/>
      <c r="AL20" s="62">
        <f>IF(LEFT($C20,11)="[Jefatura] ",IFERROR(MATCH("Asistente Técnico de Riesgo|"&amp;MID($C20,12,500),rDname_ADM,0),0),"")</f>
        <v/>
      </c>
      <c r="AM20" s="62">
        <f>IF(N($AL20)&gt;0,INDEX(rIni_ADM,$AL20),IF(ISNUMBER($E20),$E20,""))</f>
        <v/>
      </c>
      <c r="AN20" s="62">
        <f>IF(N($AL20)&gt;0,INDEX(rLim_ADM,$AL20),IF(ISNUMBER($F20),$F20,""))</f>
        <v/>
      </c>
    </row>
    <row r="21">
      <c r="A21" s="56">
        <f>IF(NOT((COUNTA($B21:$D21)+COUNTA($G21:$L21)+COUNTA($Q21))&gt;0),"",IF($V21="Macro",COUNTIFS($V$5:$V21,"Macro",$S$5:$S21,$S21),IF(N($U21)=0,"?",COUNTIFS(INDEX($V$5:$V$1000,1):INDEX($V$5:$V$1000,$U21-4),"Macro",INDEX($S$5:$S$1000,1):INDEX($S$5:$S$1000,$U21-4),INDEX($S$5:$S$1000,$U21-4))&amp;"."&amp;COUNTIFS($U$5:$U21,$U21,$V$5:$V21,"Sub"))))</f>
        <v/>
      </c>
      <c r="B21" s="57" t="n"/>
      <c r="C21" s="58" t="n"/>
      <c r="D21" s="58" t="n"/>
      <c r="E21" s="59">
        <f>IF(N($AL21)&gt;0,INDEX(rIni_ADM,$AL21),"")</f>
        <v/>
      </c>
      <c r="F21" s="59">
        <f>IF(N($AL21)&gt;0,INDEX(rLim_ADM,$AL21),"")</f>
        <v/>
      </c>
      <c r="G21" s="59" t="n"/>
      <c r="H21" s="60" t="n"/>
      <c r="I21" s="60" t="n"/>
      <c r="J21" s="60" t="n"/>
      <c r="K21" s="60" t="n"/>
      <c r="L21" s="60" t="n"/>
      <c r="M21" s="61">
        <f>IF(NOT((COUNTA($B21:$D21)+COUNTA($G21:$L21)+COUNTA($Q21))&gt;0),"",IF(ISNUMBER($G21),1,IF(N($W21)&gt;0,AVERAGEIFS($X$5:$X$1000,$U$5:$U$1000,ROW(),$V$5:$V$1000,"Sub"),$X21)))</f>
        <v/>
      </c>
      <c r="N21" s="56">
        <f>IF($M21="","",IF($M21&gt;=1,"Completado",IF($M21&gt;0,"En curso","Pendiente")))</f>
        <v/>
      </c>
      <c r="O21" s="56">
        <f>IF(NOT((COUNTA($B21:$D21)+COUNTA($G21:$L21)+COUNTA($Q21))&gt;0),"",IF(ISNUMBER($G21),IF(AND(ISNUMBER($AN21),$G21&gt;$AN21),"Cumplida con "&amp;($G21-$AN21)&amp;IF($G21-$AN21=1," día"," días")&amp;" de retraso","Cumplida"),IF(N($M21)&gt;=1,"Cumplida",IF(NOT(ISNUMBER($AN21)),"Sin fecha límite",IF($AN21&lt;FechaRef,"Vencida hace "&amp;(FechaRef-$AN21)&amp;IF(FechaRef-$AN21=1," día"," días"),IF($AN21=FechaRef,"Vence hoy",IF($AN21-FechaRef&lt;=DiasAlerta,"Vence en "&amp;($AN21-FechaRef)&amp;IF($AN21-FechaRef=1," día"," días"),"En plazo")))))))</f>
        <v/>
      </c>
      <c r="P21" s="62" t="n"/>
      <c r="Q21" s="58" t="n"/>
      <c r="R21" s="63">
        <f>IF(NOT((COUNTA($B21:$D21)+COUNTA($G21:$L21)+COUNTA($Q21))&gt;0),"",IF((IF($C21="","Falta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",""))="","✔ OK","⚠ "&amp;LEFT(IF($C21="","Falta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",""),LEN(IF($C21="","Falta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",""))-3)))</f>
        <v/>
      </c>
      <c r="S21" s="64">
        <f>IF(NOT((COUNTA($B21:$D21)+COUNTA($G21:$L21)+COUNTA($Q21))&gt;0),"",IF(AND($V21="Sub",N($U21)&gt;0),IF(ISNUMBER(INDEX($AM$5:$AM$1000,$U21-4)),DATE(YEAR(INDEX($AM$5:$AM$1000,$U21-4)),MONTH(INDEX($AM$5:$AM$1000,$U21-4)),1),IF(ISNUMBER(INDEX($AN$5:$AN$1000,$U21-4)),DATE(YEAR(INDEX($AN$5:$AN$1000,$U21-4)),MONTH(INDEX($AN$5:$AN$1000,$U21-4)),1),MesCiclo)),IF(ISNUMBER($AM21),DATE(YEAR($AM21),MONTH($AM21),1),IF(ISNUMBER($AN21),DATE(YEAR($AN21),MONTH($AN21),1),MesCiclo))))</f>
        <v/>
      </c>
      <c r="T21" s="62">
        <f>IF(OR($S21="",$S21&lt;&gt;MesCiclo),"",COUNTIF($S$5:$S21,MesCiclo))</f>
        <v/>
      </c>
      <c r="U21" s="62">
        <f>IF($V21="","",IF($V21="Macro",ROW(),IFERROR(LOOKUP(2,1/($V$5:$V21="Macro"),ROW($V$5:$V21)),0)))</f>
        <v/>
      </c>
      <c r="V21" s="62">
        <f>IF(NOT((COUNTA($B21:$D21)+COUNTA($G21:$L21)+COUNTA($Q21))&gt;0),"",IF($B21="Subactividad","Sub","Macro"))</f>
        <v/>
      </c>
      <c r="W21" s="62">
        <f>IF($V21="Macro",COUNTIFS($U$5:$U$1000,ROW(),$V$5:$V$1000,"Sub"),"")</f>
        <v/>
      </c>
      <c r="X21" s="62">
        <f>IF($V21="","",IF(ISNUMBER($G21),1,IFERROR(LOOKUP(2,1/($I21:$L21&lt;&gt;""),$I21:$L21),0)))</f>
        <v/>
      </c>
      <c r="Y21" s="62">
        <f>IF($V21="","",IF(AND(ISNUMBER($G21),$G21&lt;=IF($S21=MesCiclo,InicioCiclo,$S21+MOD(2-WEEKDAY($S21),7))+6),1,IF(ISNUMBER($I21),$I21,0)))</f>
        <v/>
      </c>
      <c r="Z21" s="62">
        <f>IF($V21="","",IF(AND(ISNUMBER($G21),$G21&lt;=IF($S21=MesCiclo,InicioCiclo,$S21+MOD(2-WEEKDAY($S21),7))+13),1,IF(ISNUMBER($J21),$J21,$Y21)))</f>
        <v/>
      </c>
      <c r="AA21" s="62">
        <f>IF($V21="","",IF(AND(ISNUMBER($G21),$G21&lt;=IF($S21=MesCiclo,InicioCiclo,$S21+MOD(2-WEEKDAY($S21),7))+20),1,IF(ISNUMBER($K21),$K21,$Z21)))</f>
        <v/>
      </c>
      <c r="AB21" s="62">
        <f>IF($V21="","",IF(AND(ISNUMBER($G21),$G21&lt;=IF($S21=MesCiclo,InicioCiclo,$S21+MOD(2-WEEKDAY($S21),7))+27),1,IF(ISNUMBER($L21),$L21,$AA21)))</f>
        <v/>
      </c>
      <c r="AC21" s="62">
        <f>IF($V21="","",IF(AND(ISNUMBER($G21),$G21&lt;=IF($S21=MesCiclo,InicioCiclo,$S21+MOD(2-WEEKDAY($S21),7))+6),1,IF(N($W21)&gt;0,AVERAGEIFS($Y$5:$Y$1000,$U$5:$U$1000,ROW(),$V$5:$V$1000,"Sub"),$Y21)))</f>
        <v/>
      </c>
      <c r="AD21" s="62">
        <f>IF($V21="","",IF(AND(ISNUMBER($G21),$G21&lt;=IF($S21=MesCiclo,InicioCiclo,$S21+MOD(2-WEEKDAY($S21),7))+13),1,IF(N($W21)&gt;0,AVERAGEIFS($Z$5:$Z$1000,$U$5:$U$1000,ROW(),$V$5:$V$1000,"Sub"),$Z21)))</f>
        <v/>
      </c>
      <c r="AE21" s="62">
        <f>IF($V21="","",IF(AND(ISNUMBER($G21),$G21&lt;=IF($S21=MesCiclo,InicioCiclo,$S21+MOD(2-WEEKDAY($S21),7))+20),1,IF(N($W21)&gt;0,AVERAGEIFS($AA$5:$AA$1000,$U$5:$U$1000,ROW(),$V$5:$V$1000,"Sub"),$AA21)))</f>
        <v/>
      </c>
      <c r="AF21" s="62">
        <f>IF($V21="","",IF(AND(ISNUMBER($G21),$G21&lt;=IF($S21=MesCiclo,InicioCiclo,$S21+MOD(2-WEEKDAY($S21),7))+27),1,IF(N($W21)&gt;0,AVERAGEIFS($AB$5:$AB$1000,$U$5:$U$1000,ROW(),$V$5:$V$1000,"Sub"),$AB21)))</f>
        <v/>
      </c>
      <c r="AG21" s="62">
        <f>IF($V21&lt;&gt;"Macro","",IF(COUNTIFS($S$5:$S$1000,$S21,$V$5:$V$1000,"Macro",$H$5:$H$1000,"&gt;0")=0,1/COUNTIFS($S$5:$S$1000,$S21,$V$5:$V$1000,"Macro"),IF(AND(ISNUMBER($H21),N($H21)&gt;0),$H21,SUMIFS($H$5:$H$1000,$S$5:$S$1000,$S21,$V$5:$V$1000,"Macro")/COUNTIFS($S$5:$S$1000,$S21,$V$5:$V$1000,"Macro",$H$5:$H$1000,"&gt;0"))/(COUNTIFS($S$5:$S$1000,$S21,$V$5:$V$1000,"Macro")*SUMIFS($H$5:$H$1000,$S$5:$S$1000,$S21,$V$5:$V$1000,"Macro")/COUNTIFS($S$5:$S$1000,$S21,$V$5:$V$1000,"Macro",$H$5:$H$1000,"&gt;0"))))</f>
        <v/>
      </c>
      <c r="AH21" s="62" t="n"/>
      <c r="AI21" s="62" t="n"/>
      <c r="AJ21" s="62" t="n"/>
      <c r="AK21" s="62" t="n"/>
      <c r="AL21" s="62">
        <f>IF(LEFT($C21,11)="[Jefatura] ",IFERROR(MATCH("Asistente Técnico de Riesgo|"&amp;MID($C21,12,500),rDname_ADM,0),0),"")</f>
        <v/>
      </c>
      <c r="AM21" s="62">
        <f>IF(N($AL21)&gt;0,INDEX(rIni_ADM,$AL21),IF(ISNUMBER($E21),$E21,""))</f>
        <v/>
      </c>
      <c r="AN21" s="62">
        <f>IF(N($AL21)&gt;0,INDEX(rLim_ADM,$AL21),IF(ISNUMBER($F21),$F21,""))</f>
        <v/>
      </c>
    </row>
    <row r="22">
      <c r="A22" s="56">
        <f>IF(NOT((COUNTA($B22:$D22)+COUNTA($G22:$L22)+COUNTA($Q22))&gt;0),"",IF($V22="Macro",COUNTIFS($V$5:$V22,"Macro",$S$5:$S22,$S22),IF(N($U22)=0,"?",COUNTIFS(INDEX($V$5:$V$1000,1):INDEX($V$5:$V$1000,$U22-4),"Macro",INDEX($S$5:$S$1000,1):INDEX($S$5:$S$1000,$U22-4),INDEX($S$5:$S$1000,$U22-4))&amp;"."&amp;COUNTIFS($U$5:$U22,$U22,$V$5:$V22,"Sub"))))</f>
        <v/>
      </c>
      <c r="B22" s="57" t="n"/>
      <c r="C22" s="58" t="n"/>
      <c r="D22" s="58" t="n"/>
      <c r="E22" s="59">
        <f>IF(N($AL22)&gt;0,INDEX(rIni_ADM,$AL22),"")</f>
        <v/>
      </c>
      <c r="F22" s="59">
        <f>IF(N($AL22)&gt;0,INDEX(rLim_ADM,$AL22),"")</f>
        <v/>
      </c>
      <c r="G22" s="59" t="n"/>
      <c r="H22" s="60" t="n"/>
      <c r="I22" s="60" t="n"/>
      <c r="J22" s="60" t="n"/>
      <c r="K22" s="60" t="n"/>
      <c r="L22" s="60" t="n"/>
      <c r="M22" s="61">
        <f>IF(NOT((COUNTA($B22:$D22)+COUNTA($G22:$L22)+COUNTA($Q22))&gt;0),"",IF(ISNUMBER($G22),1,IF(N($W22)&gt;0,AVERAGEIFS($X$5:$X$1000,$U$5:$U$1000,ROW(),$V$5:$V$1000,"Sub"),$X22)))</f>
        <v/>
      </c>
      <c r="N22" s="56">
        <f>IF($M22="","",IF($M22&gt;=1,"Completado",IF($M22&gt;0,"En curso","Pendiente")))</f>
        <v/>
      </c>
      <c r="O22" s="56">
        <f>IF(NOT((COUNTA($B22:$D22)+COUNTA($G22:$L22)+COUNTA($Q22))&gt;0),"",IF(ISNUMBER($G22),IF(AND(ISNUMBER($AN22),$G22&gt;$AN22),"Cumplida con "&amp;($G22-$AN22)&amp;IF($G22-$AN22=1," día"," días")&amp;" de retraso","Cumplida"),IF(N($M22)&gt;=1,"Cumplida",IF(NOT(ISNUMBER($AN22)),"Sin fecha límite",IF($AN22&lt;FechaRef,"Vencida hace "&amp;(FechaRef-$AN22)&amp;IF(FechaRef-$AN22=1," día"," días"),IF($AN22=FechaRef,"Vence hoy",IF($AN22-FechaRef&lt;=DiasAlerta,"Vence en "&amp;($AN22-FechaRef)&amp;IF($AN22-FechaRef=1," día"," días"),"En plazo")))))))</f>
        <v/>
      </c>
      <c r="P22" s="62" t="n"/>
      <c r="Q22" s="58" t="n"/>
      <c r="R22" s="63">
        <f>IF(NOT((COUNTA($B22:$D22)+COUNTA($G22:$L22)+COUNTA($Q22))&gt;0),"",IF((IF($C22="","Falta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",""))="","✔ OK","⚠ "&amp;LEFT(IF($C22="","Falta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",""),LEN(IF($C22="","Falta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",""))-3)))</f>
        <v/>
      </c>
      <c r="S22" s="64">
        <f>IF(NOT((COUNTA($B22:$D22)+COUNTA($G22:$L22)+COUNTA($Q22))&gt;0),"",IF(AND($V22="Sub",N($U22)&gt;0),IF(ISNUMBER(INDEX($AM$5:$AM$1000,$U22-4)),DATE(YEAR(INDEX($AM$5:$AM$1000,$U22-4)),MONTH(INDEX($AM$5:$AM$1000,$U22-4)),1),IF(ISNUMBER(INDEX($AN$5:$AN$1000,$U22-4)),DATE(YEAR(INDEX($AN$5:$AN$1000,$U22-4)),MONTH(INDEX($AN$5:$AN$1000,$U22-4)),1),MesCiclo)),IF(ISNUMBER($AM22),DATE(YEAR($AM22),MONTH($AM22),1),IF(ISNUMBER($AN22),DATE(YEAR($AN22),MONTH($AN22),1),MesCiclo))))</f>
        <v/>
      </c>
      <c r="T22" s="62">
        <f>IF(OR($S22="",$S22&lt;&gt;MesCiclo),"",COUNTIF($S$5:$S22,MesCiclo))</f>
        <v/>
      </c>
      <c r="U22" s="62">
        <f>IF($V22="","",IF($V22="Macro",ROW(),IFERROR(LOOKUP(2,1/($V$5:$V22="Macro"),ROW($V$5:$V22)),0)))</f>
        <v/>
      </c>
      <c r="V22" s="62">
        <f>IF(NOT((COUNTA($B22:$D22)+COUNTA($G22:$L22)+COUNTA($Q22))&gt;0),"",IF($B22="Subactividad","Sub","Macro"))</f>
        <v/>
      </c>
      <c r="W22" s="62">
        <f>IF($V22="Macro",COUNTIFS($U$5:$U$1000,ROW(),$V$5:$V$1000,"Sub"),"")</f>
        <v/>
      </c>
      <c r="X22" s="62">
        <f>IF($V22="","",IF(ISNUMBER($G22),1,IFERROR(LOOKUP(2,1/($I22:$L22&lt;&gt;""),$I22:$L22),0)))</f>
        <v/>
      </c>
      <c r="Y22" s="62">
        <f>IF($V22="","",IF(AND(ISNUMBER($G22),$G22&lt;=IF($S22=MesCiclo,InicioCiclo,$S22+MOD(2-WEEKDAY($S22),7))+6),1,IF(ISNUMBER($I22),$I22,0)))</f>
        <v/>
      </c>
      <c r="Z22" s="62">
        <f>IF($V22="","",IF(AND(ISNUMBER($G22),$G22&lt;=IF($S22=MesCiclo,InicioCiclo,$S22+MOD(2-WEEKDAY($S22),7))+13),1,IF(ISNUMBER($J22),$J22,$Y22)))</f>
        <v/>
      </c>
      <c r="AA22" s="62">
        <f>IF($V22="","",IF(AND(ISNUMBER($G22),$G22&lt;=IF($S22=MesCiclo,InicioCiclo,$S22+MOD(2-WEEKDAY($S22),7))+20),1,IF(ISNUMBER($K22),$K22,$Z22)))</f>
        <v/>
      </c>
      <c r="AB22" s="62">
        <f>IF($V22="","",IF(AND(ISNUMBER($G22),$G22&lt;=IF($S22=MesCiclo,InicioCiclo,$S22+MOD(2-WEEKDAY($S22),7))+27),1,IF(ISNUMBER($L22),$L22,$AA22)))</f>
        <v/>
      </c>
      <c r="AC22" s="62">
        <f>IF($V22="","",IF(AND(ISNUMBER($G22),$G22&lt;=IF($S22=MesCiclo,InicioCiclo,$S22+MOD(2-WEEKDAY($S22),7))+6),1,IF(N($W22)&gt;0,AVERAGEIFS($Y$5:$Y$1000,$U$5:$U$1000,ROW(),$V$5:$V$1000,"Sub"),$Y22)))</f>
        <v/>
      </c>
      <c r="AD22" s="62">
        <f>IF($V22="","",IF(AND(ISNUMBER($G22),$G22&lt;=IF($S22=MesCiclo,InicioCiclo,$S22+MOD(2-WEEKDAY($S22),7))+13),1,IF(N($W22)&gt;0,AVERAGEIFS($Z$5:$Z$1000,$U$5:$U$1000,ROW(),$V$5:$V$1000,"Sub"),$Z22)))</f>
        <v/>
      </c>
      <c r="AE22" s="62">
        <f>IF($V22="","",IF(AND(ISNUMBER($G22),$G22&lt;=IF($S22=MesCiclo,InicioCiclo,$S22+MOD(2-WEEKDAY($S22),7))+20),1,IF(N($W22)&gt;0,AVERAGEIFS($AA$5:$AA$1000,$U$5:$U$1000,ROW(),$V$5:$V$1000,"Sub"),$AA22)))</f>
        <v/>
      </c>
      <c r="AF22" s="62">
        <f>IF($V22="","",IF(AND(ISNUMBER($G22),$G22&lt;=IF($S22=MesCiclo,InicioCiclo,$S22+MOD(2-WEEKDAY($S22),7))+27),1,IF(N($W22)&gt;0,AVERAGEIFS($AB$5:$AB$1000,$U$5:$U$1000,ROW(),$V$5:$V$1000,"Sub"),$AB22)))</f>
        <v/>
      </c>
      <c r="AG22" s="62">
        <f>IF($V22&lt;&gt;"Macro","",IF(COUNTIFS($S$5:$S$1000,$S22,$V$5:$V$1000,"Macro",$H$5:$H$1000,"&gt;0")=0,1/COUNTIFS($S$5:$S$1000,$S22,$V$5:$V$1000,"Macro"),IF(AND(ISNUMBER($H22),N($H22)&gt;0),$H22,SUMIFS($H$5:$H$1000,$S$5:$S$1000,$S22,$V$5:$V$1000,"Macro")/COUNTIFS($S$5:$S$1000,$S22,$V$5:$V$1000,"Macro",$H$5:$H$1000,"&gt;0"))/(COUNTIFS($S$5:$S$1000,$S22,$V$5:$V$1000,"Macro")*SUMIFS($H$5:$H$1000,$S$5:$S$1000,$S22,$V$5:$V$1000,"Macro")/COUNTIFS($S$5:$S$1000,$S22,$V$5:$V$1000,"Macro",$H$5:$H$1000,"&gt;0"))))</f>
        <v/>
      </c>
      <c r="AH22" s="62" t="n"/>
      <c r="AI22" s="62" t="n"/>
      <c r="AJ22" s="62" t="n"/>
      <c r="AK22" s="62" t="n"/>
      <c r="AL22" s="62">
        <f>IF(LEFT($C22,11)="[Jefatura] ",IFERROR(MATCH("Asistente Técnico de Riesgo|"&amp;MID($C22,12,500),rDname_ADM,0),0),"")</f>
        <v/>
      </c>
      <c r="AM22" s="62">
        <f>IF(N($AL22)&gt;0,INDEX(rIni_ADM,$AL22),IF(ISNUMBER($E22),$E22,""))</f>
        <v/>
      </c>
      <c r="AN22" s="62">
        <f>IF(N($AL22)&gt;0,INDEX(rLim_ADM,$AL22),IF(ISNUMBER($F22),$F22,""))</f>
        <v/>
      </c>
    </row>
    <row r="23">
      <c r="A23" s="56">
        <f>IF(NOT((COUNTA($B23:$D23)+COUNTA($G23:$L23)+COUNTA($Q23))&gt;0),"",IF($V23="Macro",COUNTIFS($V$5:$V23,"Macro",$S$5:$S23,$S23),IF(N($U23)=0,"?",COUNTIFS(INDEX($V$5:$V$1000,1):INDEX($V$5:$V$1000,$U23-4),"Macro",INDEX($S$5:$S$1000,1):INDEX($S$5:$S$1000,$U23-4),INDEX($S$5:$S$1000,$U23-4))&amp;"."&amp;COUNTIFS($U$5:$U23,$U23,$V$5:$V23,"Sub"))))</f>
        <v/>
      </c>
      <c r="B23" s="57" t="n"/>
      <c r="C23" s="58" t="n"/>
      <c r="D23" s="58" t="n"/>
      <c r="E23" s="59">
        <f>IF(N($AL23)&gt;0,INDEX(rIni_ADM,$AL23),"")</f>
        <v/>
      </c>
      <c r="F23" s="59">
        <f>IF(N($AL23)&gt;0,INDEX(rLim_ADM,$AL23),"")</f>
        <v/>
      </c>
      <c r="G23" s="59" t="n"/>
      <c r="H23" s="60" t="n"/>
      <c r="I23" s="60" t="n"/>
      <c r="J23" s="60" t="n"/>
      <c r="K23" s="60" t="n"/>
      <c r="L23" s="60" t="n"/>
      <c r="M23" s="61">
        <f>IF(NOT((COUNTA($B23:$D23)+COUNTA($G23:$L23)+COUNTA($Q23))&gt;0),"",IF(ISNUMBER($G23),1,IF(N($W23)&gt;0,AVERAGEIFS($X$5:$X$1000,$U$5:$U$1000,ROW(),$V$5:$V$1000,"Sub"),$X23)))</f>
        <v/>
      </c>
      <c r="N23" s="56">
        <f>IF($M23="","",IF($M23&gt;=1,"Completado",IF($M23&gt;0,"En curso","Pendiente")))</f>
        <v/>
      </c>
      <c r="O23" s="56">
        <f>IF(NOT((COUNTA($B23:$D23)+COUNTA($G23:$L23)+COUNTA($Q23))&gt;0),"",IF(ISNUMBER($G23),IF(AND(ISNUMBER($AN23),$G23&gt;$AN23),"Cumplida con "&amp;($G23-$AN23)&amp;IF($G23-$AN23=1," día"," días")&amp;" de retraso","Cumplida"),IF(N($M23)&gt;=1,"Cumplida",IF(NOT(ISNUMBER($AN23)),"Sin fecha límite",IF($AN23&lt;FechaRef,"Vencida hace "&amp;(FechaRef-$AN23)&amp;IF(FechaRef-$AN23=1," día"," días"),IF($AN23=FechaRef,"Vence hoy",IF($AN23-FechaRef&lt;=DiasAlerta,"Vence en "&amp;($AN23-FechaRef)&amp;IF($AN23-FechaRef=1," día"," días"),"En plazo")))))))</f>
        <v/>
      </c>
      <c r="P23" s="62" t="n"/>
      <c r="Q23" s="58" t="n"/>
      <c r="R23" s="63">
        <f>IF(NOT((COUNTA($B23:$D23)+COUNTA($G23:$L23)+COUNTA($Q23))&gt;0),"",IF((IF($C23="","Falta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",""))="","✔ OK","⚠ "&amp;LEFT(IF($C23="","Falta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",""),LEN(IF($C23="","Falta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",""))-3)))</f>
        <v/>
      </c>
      <c r="S23" s="64">
        <f>IF(NOT((COUNTA($B23:$D23)+COUNTA($G23:$L23)+COUNTA($Q23))&gt;0),"",IF(AND($V23="Sub",N($U23)&gt;0),IF(ISNUMBER(INDEX($AM$5:$AM$1000,$U23-4)),DATE(YEAR(INDEX($AM$5:$AM$1000,$U23-4)),MONTH(INDEX($AM$5:$AM$1000,$U23-4)),1),IF(ISNUMBER(INDEX($AN$5:$AN$1000,$U23-4)),DATE(YEAR(INDEX($AN$5:$AN$1000,$U23-4)),MONTH(INDEX($AN$5:$AN$1000,$U23-4)),1),MesCiclo)),IF(ISNUMBER($AM23),DATE(YEAR($AM23),MONTH($AM23),1),IF(ISNUMBER($AN23),DATE(YEAR($AN23),MONTH($AN23),1),MesCiclo))))</f>
        <v/>
      </c>
      <c r="T23" s="62">
        <f>IF(OR($S23="",$S23&lt;&gt;MesCiclo),"",COUNTIF($S$5:$S23,MesCiclo))</f>
        <v/>
      </c>
      <c r="U23" s="62">
        <f>IF($V23="","",IF($V23="Macro",ROW(),IFERROR(LOOKUP(2,1/($V$5:$V23="Macro"),ROW($V$5:$V23)),0)))</f>
        <v/>
      </c>
      <c r="V23" s="62">
        <f>IF(NOT((COUNTA($B23:$D23)+COUNTA($G23:$L23)+COUNTA($Q23))&gt;0),"",IF($B23="Subactividad","Sub","Macro"))</f>
        <v/>
      </c>
      <c r="W23" s="62">
        <f>IF($V23="Macro",COUNTIFS($U$5:$U$1000,ROW(),$V$5:$V$1000,"Sub"),"")</f>
        <v/>
      </c>
      <c r="X23" s="62">
        <f>IF($V23="","",IF(ISNUMBER($G23),1,IFERROR(LOOKUP(2,1/($I23:$L23&lt;&gt;""),$I23:$L23),0)))</f>
        <v/>
      </c>
      <c r="Y23" s="62">
        <f>IF($V23="","",IF(AND(ISNUMBER($G23),$G23&lt;=IF($S23=MesCiclo,InicioCiclo,$S23+MOD(2-WEEKDAY($S23),7))+6),1,IF(ISNUMBER($I23),$I23,0)))</f>
        <v/>
      </c>
      <c r="Z23" s="62">
        <f>IF($V23="","",IF(AND(ISNUMBER($G23),$G23&lt;=IF($S23=MesCiclo,InicioCiclo,$S23+MOD(2-WEEKDAY($S23),7))+13),1,IF(ISNUMBER($J23),$J23,$Y23)))</f>
        <v/>
      </c>
      <c r="AA23" s="62">
        <f>IF($V23="","",IF(AND(ISNUMBER($G23),$G23&lt;=IF($S23=MesCiclo,InicioCiclo,$S23+MOD(2-WEEKDAY($S23),7))+20),1,IF(ISNUMBER($K23),$K23,$Z23)))</f>
        <v/>
      </c>
      <c r="AB23" s="62">
        <f>IF($V23="","",IF(AND(ISNUMBER($G23),$G23&lt;=IF($S23=MesCiclo,InicioCiclo,$S23+MOD(2-WEEKDAY($S23),7))+27),1,IF(ISNUMBER($L23),$L23,$AA23)))</f>
        <v/>
      </c>
      <c r="AC23" s="62">
        <f>IF($V23="","",IF(AND(ISNUMBER($G23),$G23&lt;=IF($S23=MesCiclo,InicioCiclo,$S23+MOD(2-WEEKDAY($S23),7))+6),1,IF(N($W23)&gt;0,AVERAGEIFS($Y$5:$Y$1000,$U$5:$U$1000,ROW(),$V$5:$V$1000,"Sub"),$Y23)))</f>
        <v/>
      </c>
      <c r="AD23" s="62">
        <f>IF($V23="","",IF(AND(ISNUMBER($G23),$G23&lt;=IF($S23=MesCiclo,InicioCiclo,$S23+MOD(2-WEEKDAY($S23),7))+13),1,IF(N($W23)&gt;0,AVERAGEIFS($Z$5:$Z$1000,$U$5:$U$1000,ROW(),$V$5:$V$1000,"Sub"),$Z23)))</f>
        <v/>
      </c>
      <c r="AE23" s="62">
        <f>IF($V23="","",IF(AND(ISNUMBER($G23),$G23&lt;=IF($S23=MesCiclo,InicioCiclo,$S23+MOD(2-WEEKDAY($S23),7))+20),1,IF(N($W23)&gt;0,AVERAGEIFS($AA$5:$AA$1000,$U$5:$U$1000,ROW(),$V$5:$V$1000,"Sub"),$AA23)))</f>
        <v/>
      </c>
      <c r="AF23" s="62">
        <f>IF($V23="","",IF(AND(ISNUMBER($G23),$G23&lt;=IF($S23=MesCiclo,InicioCiclo,$S23+MOD(2-WEEKDAY($S23),7))+27),1,IF(N($W23)&gt;0,AVERAGEIFS($AB$5:$AB$1000,$U$5:$U$1000,ROW(),$V$5:$V$1000,"Sub"),$AB23)))</f>
        <v/>
      </c>
      <c r="AG23" s="62">
        <f>IF($V23&lt;&gt;"Macro","",IF(COUNTIFS($S$5:$S$1000,$S23,$V$5:$V$1000,"Macro",$H$5:$H$1000,"&gt;0")=0,1/COUNTIFS($S$5:$S$1000,$S23,$V$5:$V$1000,"Macro"),IF(AND(ISNUMBER($H23),N($H23)&gt;0),$H23,SUMIFS($H$5:$H$1000,$S$5:$S$1000,$S23,$V$5:$V$1000,"Macro")/COUNTIFS($S$5:$S$1000,$S23,$V$5:$V$1000,"Macro",$H$5:$H$1000,"&gt;0"))/(COUNTIFS($S$5:$S$1000,$S23,$V$5:$V$1000,"Macro")*SUMIFS($H$5:$H$1000,$S$5:$S$1000,$S23,$V$5:$V$1000,"Macro")/COUNTIFS($S$5:$S$1000,$S23,$V$5:$V$1000,"Macro",$H$5:$H$1000,"&gt;0"))))</f>
        <v/>
      </c>
      <c r="AH23" s="62" t="n"/>
      <c r="AI23" s="62" t="n"/>
      <c r="AJ23" s="62" t="n"/>
      <c r="AK23" s="62" t="n"/>
      <c r="AL23" s="62">
        <f>IF(LEFT($C23,11)="[Jefatura] ",IFERROR(MATCH("Asistente Técnico de Riesgo|"&amp;MID($C23,12,500),rDname_ADM,0),0),"")</f>
        <v/>
      </c>
      <c r="AM23" s="62">
        <f>IF(N($AL23)&gt;0,INDEX(rIni_ADM,$AL23),IF(ISNUMBER($E23),$E23,""))</f>
        <v/>
      </c>
      <c r="AN23" s="62">
        <f>IF(N($AL23)&gt;0,INDEX(rLim_ADM,$AL23),IF(ISNUMBER($F23),$F23,""))</f>
        <v/>
      </c>
    </row>
    <row r="24">
      <c r="A24" s="56">
        <f>IF(NOT((COUNTA($B24:$D24)+COUNTA($G24:$L24)+COUNTA($Q24))&gt;0),"",IF($V24="Macro",COUNTIFS($V$5:$V24,"Macro",$S$5:$S24,$S24),IF(N($U24)=0,"?",COUNTIFS(INDEX($V$5:$V$1000,1):INDEX($V$5:$V$1000,$U24-4),"Macro",INDEX($S$5:$S$1000,1):INDEX($S$5:$S$1000,$U24-4),INDEX($S$5:$S$1000,$U24-4))&amp;"."&amp;COUNTIFS($U$5:$U24,$U24,$V$5:$V24,"Sub"))))</f>
        <v/>
      </c>
      <c r="B24" s="57" t="n"/>
      <c r="C24" s="58" t="n"/>
      <c r="D24" s="58" t="n"/>
      <c r="E24" s="59">
        <f>IF(N($AL24)&gt;0,INDEX(rIni_ADM,$AL24),"")</f>
        <v/>
      </c>
      <c r="F24" s="59">
        <f>IF(N($AL24)&gt;0,INDEX(rLim_ADM,$AL24),"")</f>
        <v/>
      </c>
      <c r="G24" s="59" t="n"/>
      <c r="H24" s="60" t="n"/>
      <c r="I24" s="60" t="n"/>
      <c r="J24" s="60" t="n"/>
      <c r="K24" s="60" t="n"/>
      <c r="L24" s="60" t="n"/>
      <c r="M24" s="61">
        <f>IF(NOT((COUNTA($B24:$D24)+COUNTA($G24:$L24)+COUNTA($Q24))&gt;0),"",IF(ISNUMBER($G24),1,IF(N($W24)&gt;0,AVERAGEIFS($X$5:$X$1000,$U$5:$U$1000,ROW(),$V$5:$V$1000,"Sub"),$X24)))</f>
        <v/>
      </c>
      <c r="N24" s="56">
        <f>IF($M24="","",IF($M24&gt;=1,"Completado",IF($M24&gt;0,"En curso","Pendiente")))</f>
        <v/>
      </c>
      <c r="O24" s="56">
        <f>IF(NOT((COUNTA($B24:$D24)+COUNTA($G24:$L24)+COUNTA($Q24))&gt;0),"",IF(ISNUMBER($G24),IF(AND(ISNUMBER($AN24),$G24&gt;$AN24),"Cumplida con "&amp;($G24-$AN24)&amp;IF($G24-$AN24=1," día"," días")&amp;" de retraso","Cumplida"),IF(N($M24)&gt;=1,"Cumplida",IF(NOT(ISNUMBER($AN24)),"Sin fecha límite",IF($AN24&lt;FechaRef,"Vencida hace "&amp;(FechaRef-$AN24)&amp;IF(FechaRef-$AN24=1," día"," días"),IF($AN24=FechaRef,"Vence hoy",IF($AN24-FechaRef&lt;=DiasAlerta,"Vence en "&amp;($AN24-FechaRef)&amp;IF($AN24-FechaRef=1," día"," días"),"En plazo")))))))</f>
        <v/>
      </c>
      <c r="P24" s="62" t="n"/>
      <c r="Q24" s="58" t="n"/>
      <c r="R24" s="63">
        <f>IF(NOT((COUNTA($B24:$D24)+COUNTA($G24:$L24)+COUNTA($Q24))&gt;0),"",IF((IF($C24="","Falta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",""))="","✔ OK","⚠ "&amp;LEFT(IF($C24="","Falta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",""),LEN(IF($C24="","Falta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",""))-3)))</f>
        <v/>
      </c>
      <c r="S24" s="64">
        <f>IF(NOT((COUNTA($B24:$D24)+COUNTA($G24:$L24)+COUNTA($Q24))&gt;0),"",IF(AND($V24="Sub",N($U24)&gt;0),IF(ISNUMBER(INDEX($AM$5:$AM$1000,$U24-4)),DATE(YEAR(INDEX($AM$5:$AM$1000,$U24-4)),MONTH(INDEX($AM$5:$AM$1000,$U24-4)),1),IF(ISNUMBER(INDEX($AN$5:$AN$1000,$U24-4)),DATE(YEAR(INDEX($AN$5:$AN$1000,$U24-4)),MONTH(INDEX($AN$5:$AN$1000,$U24-4)),1),MesCiclo)),IF(ISNUMBER($AM24),DATE(YEAR($AM24),MONTH($AM24),1),IF(ISNUMBER($AN24),DATE(YEAR($AN24),MONTH($AN24),1),MesCiclo))))</f>
        <v/>
      </c>
      <c r="T24" s="62">
        <f>IF(OR($S24="",$S24&lt;&gt;MesCiclo),"",COUNTIF($S$5:$S24,MesCiclo))</f>
        <v/>
      </c>
      <c r="U24" s="62">
        <f>IF($V24="","",IF($V24="Macro",ROW(),IFERROR(LOOKUP(2,1/($V$5:$V24="Macro"),ROW($V$5:$V24)),0)))</f>
        <v/>
      </c>
      <c r="V24" s="62">
        <f>IF(NOT((COUNTA($B24:$D24)+COUNTA($G24:$L24)+COUNTA($Q24))&gt;0),"",IF($B24="Subactividad","Sub","Macro"))</f>
        <v/>
      </c>
      <c r="W24" s="62">
        <f>IF($V24="Macro",COUNTIFS($U$5:$U$1000,ROW(),$V$5:$V$1000,"Sub"),"")</f>
        <v/>
      </c>
      <c r="X24" s="62">
        <f>IF($V24="","",IF(ISNUMBER($G24),1,IFERROR(LOOKUP(2,1/($I24:$L24&lt;&gt;""),$I24:$L24),0)))</f>
        <v/>
      </c>
      <c r="Y24" s="62">
        <f>IF($V24="","",IF(AND(ISNUMBER($G24),$G24&lt;=IF($S24=MesCiclo,InicioCiclo,$S24+MOD(2-WEEKDAY($S24),7))+6),1,IF(ISNUMBER($I24),$I24,0)))</f>
        <v/>
      </c>
      <c r="Z24" s="62">
        <f>IF($V24="","",IF(AND(ISNUMBER($G24),$G24&lt;=IF($S24=MesCiclo,InicioCiclo,$S24+MOD(2-WEEKDAY($S24),7))+13),1,IF(ISNUMBER($J24),$J24,$Y24)))</f>
        <v/>
      </c>
      <c r="AA24" s="62">
        <f>IF($V24="","",IF(AND(ISNUMBER($G24),$G24&lt;=IF($S24=MesCiclo,InicioCiclo,$S24+MOD(2-WEEKDAY($S24),7))+20),1,IF(ISNUMBER($K24),$K24,$Z24)))</f>
        <v/>
      </c>
      <c r="AB24" s="62">
        <f>IF($V24="","",IF(AND(ISNUMBER($G24),$G24&lt;=IF($S24=MesCiclo,InicioCiclo,$S24+MOD(2-WEEKDAY($S24),7))+27),1,IF(ISNUMBER($L24),$L24,$AA24)))</f>
        <v/>
      </c>
      <c r="AC24" s="62">
        <f>IF($V24="","",IF(AND(ISNUMBER($G24),$G24&lt;=IF($S24=MesCiclo,InicioCiclo,$S24+MOD(2-WEEKDAY($S24),7))+6),1,IF(N($W24)&gt;0,AVERAGEIFS($Y$5:$Y$1000,$U$5:$U$1000,ROW(),$V$5:$V$1000,"Sub"),$Y24)))</f>
        <v/>
      </c>
      <c r="AD24" s="62">
        <f>IF($V24="","",IF(AND(ISNUMBER($G24),$G24&lt;=IF($S24=MesCiclo,InicioCiclo,$S24+MOD(2-WEEKDAY($S24),7))+13),1,IF(N($W24)&gt;0,AVERAGEIFS($Z$5:$Z$1000,$U$5:$U$1000,ROW(),$V$5:$V$1000,"Sub"),$Z24)))</f>
        <v/>
      </c>
      <c r="AE24" s="62">
        <f>IF($V24="","",IF(AND(ISNUMBER($G24),$G24&lt;=IF($S24=MesCiclo,InicioCiclo,$S24+MOD(2-WEEKDAY($S24),7))+20),1,IF(N($W24)&gt;0,AVERAGEIFS($AA$5:$AA$1000,$U$5:$U$1000,ROW(),$V$5:$V$1000,"Sub"),$AA24)))</f>
        <v/>
      </c>
      <c r="AF24" s="62">
        <f>IF($V24="","",IF(AND(ISNUMBER($G24),$G24&lt;=IF($S24=MesCiclo,InicioCiclo,$S24+MOD(2-WEEKDAY($S24),7))+27),1,IF(N($W24)&gt;0,AVERAGEIFS($AB$5:$AB$1000,$U$5:$U$1000,ROW(),$V$5:$V$1000,"Sub"),$AB24)))</f>
        <v/>
      </c>
      <c r="AG24" s="62">
        <f>IF($V24&lt;&gt;"Macro","",IF(COUNTIFS($S$5:$S$1000,$S24,$V$5:$V$1000,"Macro",$H$5:$H$1000,"&gt;0")=0,1/COUNTIFS($S$5:$S$1000,$S24,$V$5:$V$1000,"Macro"),IF(AND(ISNUMBER($H24),N($H24)&gt;0),$H24,SUMIFS($H$5:$H$1000,$S$5:$S$1000,$S24,$V$5:$V$1000,"Macro")/COUNTIFS($S$5:$S$1000,$S24,$V$5:$V$1000,"Macro",$H$5:$H$1000,"&gt;0"))/(COUNTIFS($S$5:$S$1000,$S24,$V$5:$V$1000,"Macro")*SUMIFS($H$5:$H$1000,$S$5:$S$1000,$S24,$V$5:$V$1000,"Macro")/COUNTIFS($S$5:$S$1000,$S24,$V$5:$V$1000,"Macro",$H$5:$H$1000,"&gt;0"))))</f>
        <v/>
      </c>
      <c r="AH24" s="62" t="n"/>
      <c r="AI24" s="62" t="n"/>
      <c r="AJ24" s="62" t="n"/>
      <c r="AK24" s="62" t="n"/>
      <c r="AL24" s="62">
        <f>IF(LEFT($C24,11)="[Jefatura] ",IFERROR(MATCH("Asistente Técnico de Riesgo|"&amp;MID($C24,12,500),rDname_ADM,0),0),"")</f>
        <v/>
      </c>
      <c r="AM24" s="62">
        <f>IF(N($AL24)&gt;0,INDEX(rIni_ADM,$AL24),IF(ISNUMBER($E24),$E24,""))</f>
        <v/>
      </c>
      <c r="AN24" s="62">
        <f>IF(N($AL24)&gt;0,INDEX(rLim_ADM,$AL24),IF(ISNUMBER($F24),$F24,""))</f>
        <v/>
      </c>
    </row>
    <row r="25">
      <c r="A25" s="56">
        <f>IF(NOT((COUNTA($B25:$D25)+COUNTA($G25:$L25)+COUNTA($Q25))&gt;0),"",IF($V25="Macro",COUNTIFS($V$5:$V25,"Macro",$S$5:$S25,$S25),IF(N($U25)=0,"?",COUNTIFS(INDEX($V$5:$V$1000,1):INDEX($V$5:$V$1000,$U25-4),"Macro",INDEX($S$5:$S$1000,1):INDEX($S$5:$S$1000,$U25-4),INDEX($S$5:$S$1000,$U25-4))&amp;"."&amp;COUNTIFS($U$5:$U25,$U25,$V$5:$V25,"Sub"))))</f>
        <v/>
      </c>
      <c r="B25" s="57" t="n"/>
      <c r="C25" s="58" t="n"/>
      <c r="D25" s="58" t="n"/>
      <c r="E25" s="59">
        <f>IF(N($AL25)&gt;0,INDEX(rIni_ADM,$AL25),"")</f>
        <v/>
      </c>
      <c r="F25" s="59">
        <f>IF(N($AL25)&gt;0,INDEX(rLim_ADM,$AL25),"")</f>
        <v/>
      </c>
      <c r="G25" s="59" t="n"/>
      <c r="H25" s="60" t="n"/>
      <c r="I25" s="60" t="n"/>
      <c r="J25" s="60" t="n"/>
      <c r="K25" s="60" t="n"/>
      <c r="L25" s="60" t="n"/>
      <c r="M25" s="61">
        <f>IF(NOT((COUNTA($B25:$D25)+COUNTA($G25:$L25)+COUNTA($Q25))&gt;0),"",IF(ISNUMBER($G25),1,IF(N($W25)&gt;0,AVERAGEIFS($X$5:$X$1000,$U$5:$U$1000,ROW(),$V$5:$V$1000,"Sub"),$X25)))</f>
        <v/>
      </c>
      <c r="N25" s="56">
        <f>IF($M25="","",IF($M25&gt;=1,"Completado",IF($M25&gt;0,"En curso","Pendiente")))</f>
        <v/>
      </c>
      <c r="O25" s="56">
        <f>IF(NOT((COUNTA($B25:$D25)+COUNTA($G25:$L25)+COUNTA($Q25))&gt;0),"",IF(ISNUMBER($G25),IF(AND(ISNUMBER($AN25),$G25&gt;$AN25),"Cumplida con "&amp;($G25-$AN25)&amp;IF($G25-$AN25=1," día"," días")&amp;" de retraso","Cumplida"),IF(N($M25)&gt;=1,"Cumplida",IF(NOT(ISNUMBER($AN25)),"Sin fecha límite",IF($AN25&lt;FechaRef,"Vencida hace "&amp;(FechaRef-$AN25)&amp;IF(FechaRef-$AN25=1," día"," días"),IF($AN25=FechaRef,"Vence hoy",IF($AN25-FechaRef&lt;=DiasAlerta,"Vence en "&amp;($AN25-FechaRef)&amp;IF($AN25-FechaRef=1," día"," días"),"En plazo")))))))</f>
        <v/>
      </c>
      <c r="P25" s="62" t="n"/>
      <c r="Q25" s="58" t="n"/>
      <c r="R25" s="63">
        <f>IF(NOT((COUNTA($B25:$D25)+COUNTA($G25:$L25)+COUNTA($Q25))&gt;0),"",IF((IF($C25="","Falta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",""))="","✔ OK","⚠ "&amp;LEFT(IF($C25="","Falta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",""),LEN(IF($C25="","Falta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",""))-3)))</f>
        <v/>
      </c>
      <c r="S25" s="64">
        <f>IF(NOT((COUNTA($B25:$D25)+COUNTA($G25:$L25)+COUNTA($Q25))&gt;0),"",IF(AND($V25="Sub",N($U25)&gt;0),IF(ISNUMBER(INDEX($AM$5:$AM$1000,$U25-4)),DATE(YEAR(INDEX($AM$5:$AM$1000,$U25-4)),MONTH(INDEX($AM$5:$AM$1000,$U25-4)),1),IF(ISNUMBER(INDEX($AN$5:$AN$1000,$U25-4)),DATE(YEAR(INDEX($AN$5:$AN$1000,$U25-4)),MONTH(INDEX($AN$5:$AN$1000,$U25-4)),1),MesCiclo)),IF(ISNUMBER($AM25),DATE(YEAR($AM25),MONTH($AM25),1),IF(ISNUMBER($AN25),DATE(YEAR($AN25),MONTH($AN25),1),MesCiclo))))</f>
        <v/>
      </c>
      <c r="T25" s="62">
        <f>IF(OR($S25="",$S25&lt;&gt;MesCiclo),"",COUNTIF($S$5:$S25,MesCiclo))</f>
        <v/>
      </c>
      <c r="U25" s="62">
        <f>IF($V25="","",IF($V25="Macro",ROW(),IFERROR(LOOKUP(2,1/($V$5:$V25="Macro"),ROW($V$5:$V25)),0)))</f>
        <v/>
      </c>
      <c r="V25" s="62">
        <f>IF(NOT((COUNTA($B25:$D25)+COUNTA($G25:$L25)+COUNTA($Q25))&gt;0),"",IF($B25="Subactividad","Sub","Macro"))</f>
        <v/>
      </c>
      <c r="W25" s="62">
        <f>IF($V25="Macro",COUNTIFS($U$5:$U$1000,ROW(),$V$5:$V$1000,"Sub"),"")</f>
        <v/>
      </c>
      <c r="X25" s="62">
        <f>IF($V25="","",IF(ISNUMBER($G25),1,IFERROR(LOOKUP(2,1/($I25:$L25&lt;&gt;""),$I25:$L25),0)))</f>
        <v/>
      </c>
      <c r="Y25" s="62">
        <f>IF($V25="","",IF(AND(ISNUMBER($G25),$G25&lt;=IF($S25=MesCiclo,InicioCiclo,$S25+MOD(2-WEEKDAY($S25),7))+6),1,IF(ISNUMBER($I25),$I25,0)))</f>
        <v/>
      </c>
      <c r="Z25" s="62">
        <f>IF($V25="","",IF(AND(ISNUMBER($G25),$G25&lt;=IF($S25=MesCiclo,InicioCiclo,$S25+MOD(2-WEEKDAY($S25),7))+13),1,IF(ISNUMBER($J25),$J25,$Y25)))</f>
        <v/>
      </c>
      <c r="AA25" s="62">
        <f>IF($V25="","",IF(AND(ISNUMBER($G25),$G25&lt;=IF($S25=MesCiclo,InicioCiclo,$S25+MOD(2-WEEKDAY($S25),7))+20),1,IF(ISNUMBER($K25),$K25,$Z25)))</f>
        <v/>
      </c>
      <c r="AB25" s="62">
        <f>IF($V25="","",IF(AND(ISNUMBER($G25),$G25&lt;=IF($S25=MesCiclo,InicioCiclo,$S25+MOD(2-WEEKDAY($S25),7))+27),1,IF(ISNUMBER($L25),$L25,$AA25)))</f>
        <v/>
      </c>
      <c r="AC25" s="62">
        <f>IF($V25="","",IF(AND(ISNUMBER($G25),$G25&lt;=IF($S25=MesCiclo,InicioCiclo,$S25+MOD(2-WEEKDAY($S25),7))+6),1,IF(N($W25)&gt;0,AVERAGEIFS($Y$5:$Y$1000,$U$5:$U$1000,ROW(),$V$5:$V$1000,"Sub"),$Y25)))</f>
        <v/>
      </c>
      <c r="AD25" s="62">
        <f>IF($V25="","",IF(AND(ISNUMBER($G25),$G25&lt;=IF($S25=MesCiclo,InicioCiclo,$S25+MOD(2-WEEKDAY($S25),7))+13),1,IF(N($W25)&gt;0,AVERAGEIFS($Z$5:$Z$1000,$U$5:$U$1000,ROW(),$V$5:$V$1000,"Sub"),$Z25)))</f>
        <v/>
      </c>
      <c r="AE25" s="62">
        <f>IF($V25="","",IF(AND(ISNUMBER($G25),$G25&lt;=IF($S25=MesCiclo,InicioCiclo,$S25+MOD(2-WEEKDAY($S25),7))+20),1,IF(N($W25)&gt;0,AVERAGEIFS($AA$5:$AA$1000,$U$5:$U$1000,ROW(),$V$5:$V$1000,"Sub"),$AA25)))</f>
        <v/>
      </c>
      <c r="AF25" s="62">
        <f>IF($V25="","",IF(AND(ISNUMBER($G25),$G25&lt;=IF($S25=MesCiclo,InicioCiclo,$S25+MOD(2-WEEKDAY($S25),7))+27),1,IF(N($W25)&gt;0,AVERAGEIFS($AB$5:$AB$1000,$U$5:$U$1000,ROW(),$V$5:$V$1000,"Sub"),$AB25)))</f>
        <v/>
      </c>
      <c r="AG25" s="62">
        <f>IF($V25&lt;&gt;"Macro","",IF(COUNTIFS($S$5:$S$1000,$S25,$V$5:$V$1000,"Macro",$H$5:$H$1000,"&gt;0")=0,1/COUNTIFS($S$5:$S$1000,$S25,$V$5:$V$1000,"Macro"),IF(AND(ISNUMBER($H25),N($H25)&gt;0),$H25,SUMIFS($H$5:$H$1000,$S$5:$S$1000,$S25,$V$5:$V$1000,"Macro")/COUNTIFS($S$5:$S$1000,$S25,$V$5:$V$1000,"Macro",$H$5:$H$1000,"&gt;0"))/(COUNTIFS($S$5:$S$1000,$S25,$V$5:$V$1000,"Macro")*SUMIFS($H$5:$H$1000,$S$5:$S$1000,$S25,$V$5:$V$1000,"Macro")/COUNTIFS($S$5:$S$1000,$S25,$V$5:$V$1000,"Macro",$H$5:$H$1000,"&gt;0"))))</f>
        <v/>
      </c>
      <c r="AH25" s="62" t="n"/>
      <c r="AI25" s="62" t="n"/>
      <c r="AJ25" s="62" t="n"/>
      <c r="AK25" s="62" t="n"/>
      <c r="AL25" s="62">
        <f>IF(LEFT($C25,11)="[Jefatura] ",IFERROR(MATCH("Asistente Técnico de Riesgo|"&amp;MID($C25,12,500),rDname_ADM,0),0),"")</f>
        <v/>
      </c>
      <c r="AM25" s="62">
        <f>IF(N($AL25)&gt;0,INDEX(rIni_ADM,$AL25),IF(ISNUMBER($E25),$E25,""))</f>
        <v/>
      </c>
      <c r="AN25" s="62">
        <f>IF(N($AL25)&gt;0,INDEX(rLim_ADM,$AL25),IF(ISNUMBER($F25),$F25,""))</f>
        <v/>
      </c>
    </row>
    <row r="26">
      <c r="A26" s="56">
        <f>IF(NOT((COUNTA($B26:$D26)+COUNTA($G26:$L26)+COUNTA($Q26))&gt;0),"",IF($V26="Macro",COUNTIFS($V$5:$V26,"Macro",$S$5:$S26,$S26),IF(N($U26)=0,"?",COUNTIFS(INDEX($V$5:$V$1000,1):INDEX($V$5:$V$1000,$U26-4),"Macro",INDEX($S$5:$S$1000,1):INDEX($S$5:$S$1000,$U26-4),INDEX($S$5:$S$1000,$U26-4))&amp;"."&amp;COUNTIFS($U$5:$U26,$U26,$V$5:$V26,"Sub"))))</f>
        <v/>
      </c>
      <c r="B26" s="57" t="n"/>
      <c r="C26" s="58" t="n"/>
      <c r="D26" s="58" t="n"/>
      <c r="E26" s="59">
        <f>IF(N($AL26)&gt;0,INDEX(rIni_ADM,$AL26),"")</f>
        <v/>
      </c>
      <c r="F26" s="59">
        <f>IF(N($AL26)&gt;0,INDEX(rLim_ADM,$AL26),"")</f>
        <v/>
      </c>
      <c r="G26" s="59" t="n"/>
      <c r="H26" s="60" t="n"/>
      <c r="I26" s="60" t="n"/>
      <c r="J26" s="60" t="n"/>
      <c r="K26" s="60" t="n"/>
      <c r="L26" s="60" t="n"/>
      <c r="M26" s="61">
        <f>IF(NOT((COUNTA($B26:$D26)+COUNTA($G26:$L26)+COUNTA($Q26))&gt;0),"",IF(ISNUMBER($G26),1,IF(N($W26)&gt;0,AVERAGEIFS($X$5:$X$1000,$U$5:$U$1000,ROW(),$V$5:$V$1000,"Sub"),$X26)))</f>
        <v/>
      </c>
      <c r="N26" s="56">
        <f>IF($M26="","",IF($M26&gt;=1,"Completado",IF($M26&gt;0,"En curso","Pendiente")))</f>
        <v/>
      </c>
      <c r="O26" s="56">
        <f>IF(NOT((COUNTA($B26:$D26)+COUNTA($G26:$L26)+COUNTA($Q26))&gt;0),"",IF(ISNUMBER($G26),IF(AND(ISNUMBER($AN26),$G26&gt;$AN26),"Cumplida con "&amp;($G26-$AN26)&amp;IF($G26-$AN26=1," día"," días")&amp;" de retraso","Cumplida"),IF(N($M26)&gt;=1,"Cumplida",IF(NOT(ISNUMBER($AN26)),"Sin fecha límite",IF($AN26&lt;FechaRef,"Vencida hace "&amp;(FechaRef-$AN26)&amp;IF(FechaRef-$AN26=1," día"," días"),IF($AN26=FechaRef,"Vence hoy",IF($AN26-FechaRef&lt;=DiasAlerta,"Vence en "&amp;($AN26-FechaRef)&amp;IF($AN26-FechaRef=1," día"," días"),"En plazo")))))))</f>
        <v/>
      </c>
      <c r="P26" s="62" t="n"/>
      <c r="Q26" s="58" t="n"/>
      <c r="R26" s="63">
        <f>IF(NOT((COUNTA($B26:$D26)+COUNTA($G26:$L26)+COUNTA($Q26))&gt;0),"",IF((IF($C26="","Falta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",""))="","✔ OK","⚠ "&amp;LEFT(IF($C26="","Falta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",""),LEN(IF($C26="","Falta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",""))-3)))</f>
        <v/>
      </c>
      <c r="S26" s="64">
        <f>IF(NOT((COUNTA($B26:$D26)+COUNTA($G26:$L26)+COUNTA($Q26))&gt;0),"",IF(AND($V26="Sub",N($U26)&gt;0),IF(ISNUMBER(INDEX($AM$5:$AM$1000,$U26-4)),DATE(YEAR(INDEX($AM$5:$AM$1000,$U26-4)),MONTH(INDEX($AM$5:$AM$1000,$U26-4)),1),IF(ISNUMBER(INDEX($AN$5:$AN$1000,$U26-4)),DATE(YEAR(INDEX($AN$5:$AN$1000,$U26-4)),MONTH(INDEX($AN$5:$AN$1000,$U26-4)),1),MesCiclo)),IF(ISNUMBER($AM26),DATE(YEAR($AM26),MONTH($AM26),1),IF(ISNUMBER($AN26),DATE(YEAR($AN26),MONTH($AN26),1),MesCiclo))))</f>
        <v/>
      </c>
      <c r="T26" s="62">
        <f>IF(OR($S26="",$S26&lt;&gt;MesCiclo),"",COUNTIF($S$5:$S26,MesCiclo))</f>
        <v/>
      </c>
      <c r="U26" s="62">
        <f>IF($V26="","",IF($V26="Macro",ROW(),IFERROR(LOOKUP(2,1/($V$5:$V26="Macro"),ROW($V$5:$V26)),0)))</f>
        <v/>
      </c>
      <c r="V26" s="62">
        <f>IF(NOT((COUNTA($B26:$D26)+COUNTA($G26:$L26)+COUNTA($Q26))&gt;0),"",IF($B26="Subactividad","Sub","Macro"))</f>
        <v/>
      </c>
      <c r="W26" s="62">
        <f>IF($V26="Macro",COUNTIFS($U$5:$U$1000,ROW(),$V$5:$V$1000,"Sub"),"")</f>
        <v/>
      </c>
      <c r="X26" s="62">
        <f>IF($V26="","",IF(ISNUMBER($G26),1,IFERROR(LOOKUP(2,1/($I26:$L26&lt;&gt;""),$I26:$L26),0)))</f>
        <v/>
      </c>
      <c r="Y26" s="62">
        <f>IF($V26="","",IF(AND(ISNUMBER($G26),$G26&lt;=IF($S26=MesCiclo,InicioCiclo,$S26+MOD(2-WEEKDAY($S26),7))+6),1,IF(ISNUMBER($I26),$I26,0)))</f>
        <v/>
      </c>
      <c r="Z26" s="62">
        <f>IF($V26="","",IF(AND(ISNUMBER($G26),$G26&lt;=IF($S26=MesCiclo,InicioCiclo,$S26+MOD(2-WEEKDAY($S26),7))+13),1,IF(ISNUMBER($J26),$J26,$Y26)))</f>
        <v/>
      </c>
      <c r="AA26" s="62">
        <f>IF($V26="","",IF(AND(ISNUMBER($G26),$G26&lt;=IF($S26=MesCiclo,InicioCiclo,$S26+MOD(2-WEEKDAY($S26),7))+20),1,IF(ISNUMBER($K26),$K26,$Z26)))</f>
        <v/>
      </c>
      <c r="AB26" s="62">
        <f>IF($V26="","",IF(AND(ISNUMBER($G26),$G26&lt;=IF($S26=MesCiclo,InicioCiclo,$S26+MOD(2-WEEKDAY($S26),7))+27),1,IF(ISNUMBER($L26),$L26,$AA26)))</f>
        <v/>
      </c>
      <c r="AC26" s="62">
        <f>IF($V26="","",IF(AND(ISNUMBER($G26),$G26&lt;=IF($S26=MesCiclo,InicioCiclo,$S26+MOD(2-WEEKDAY($S26),7))+6),1,IF(N($W26)&gt;0,AVERAGEIFS($Y$5:$Y$1000,$U$5:$U$1000,ROW(),$V$5:$V$1000,"Sub"),$Y26)))</f>
        <v/>
      </c>
      <c r="AD26" s="62">
        <f>IF($V26="","",IF(AND(ISNUMBER($G26),$G26&lt;=IF($S26=MesCiclo,InicioCiclo,$S26+MOD(2-WEEKDAY($S26),7))+13),1,IF(N($W26)&gt;0,AVERAGEIFS($Z$5:$Z$1000,$U$5:$U$1000,ROW(),$V$5:$V$1000,"Sub"),$Z26)))</f>
        <v/>
      </c>
      <c r="AE26" s="62">
        <f>IF($V26="","",IF(AND(ISNUMBER($G26),$G26&lt;=IF($S26=MesCiclo,InicioCiclo,$S26+MOD(2-WEEKDAY($S26),7))+20),1,IF(N($W26)&gt;0,AVERAGEIFS($AA$5:$AA$1000,$U$5:$U$1000,ROW(),$V$5:$V$1000,"Sub"),$AA26)))</f>
        <v/>
      </c>
      <c r="AF26" s="62">
        <f>IF($V26="","",IF(AND(ISNUMBER($G26),$G26&lt;=IF($S26=MesCiclo,InicioCiclo,$S26+MOD(2-WEEKDAY($S26),7))+27),1,IF(N($W26)&gt;0,AVERAGEIFS($AB$5:$AB$1000,$U$5:$U$1000,ROW(),$V$5:$V$1000,"Sub"),$AB26)))</f>
        <v/>
      </c>
      <c r="AG26" s="62">
        <f>IF($V26&lt;&gt;"Macro","",IF(COUNTIFS($S$5:$S$1000,$S26,$V$5:$V$1000,"Macro",$H$5:$H$1000,"&gt;0")=0,1/COUNTIFS($S$5:$S$1000,$S26,$V$5:$V$1000,"Macro"),IF(AND(ISNUMBER($H26),N($H26)&gt;0),$H26,SUMIFS($H$5:$H$1000,$S$5:$S$1000,$S26,$V$5:$V$1000,"Macro")/COUNTIFS($S$5:$S$1000,$S26,$V$5:$V$1000,"Macro",$H$5:$H$1000,"&gt;0"))/(COUNTIFS($S$5:$S$1000,$S26,$V$5:$V$1000,"Macro")*SUMIFS($H$5:$H$1000,$S$5:$S$1000,$S26,$V$5:$V$1000,"Macro")/COUNTIFS($S$5:$S$1000,$S26,$V$5:$V$1000,"Macro",$H$5:$H$1000,"&gt;0"))))</f>
        <v/>
      </c>
      <c r="AH26" s="62" t="n"/>
      <c r="AI26" s="62" t="n"/>
      <c r="AJ26" s="62" t="n"/>
      <c r="AK26" s="62" t="n"/>
      <c r="AL26" s="62">
        <f>IF(LEFT($C26,11)="[Jefatura] ",IFERROR(MATCH("Asistente Técnico de Riesgo|"&amp;MID($C26,12,500),rDname_ADM,0),0),"")</f>
        <v/>
      </c>
      <c r="AM26" s="62">
        <f>IF(N($AL26)&gt;0,INDEX(rIni_ADM,$AL26),IF(ISNUMBER($E26),$E26,""))</f>
        <v/>
      </c>
      <c r="AN26" s="62">
        <f>IF(N($AL26)&gt;0,INDEX(rLim_ADM,$AL26),IF(ISNUMBER($F26),$F26,""))</f>
        <v/>
      </c>
    </row>
    <row r="27">
      <c r="A27" s="56">
        <f>IF(NOT((COUNTA($B27:$D27)+COUNTA($G27:$L27)+COUNTA($Q27))&gt;0),"",IF($V27="Macro",COUNTIFS($V$5:$V27,"Macro",$S$5:$S27,$S27),IF(N($U27)=0,"?",COUNTIFS(INDEX($V$5:$V$1000,1):INDEX($V$5:$V$1000,$U27-4),"Macro",INDEX($S$5:$S$1000,1):INDEX($S$5:$S$1000,$U27-4),INDEX($S$5:$S$1000,$U27-4))&amp;"."&amp;COUNTIFS($U$5:$U27,$U27,$V$5:$V27,"Sub"))))</f>
        <v/>
      </c>
      <c r="B27" s="57" t="n"/>
      <c r="C27" s="58" t="n"/>
      <c r="D27" s="58" t="n"/>
      <c r="E27" s="59">
        <f>IF(N($AL27)&gt;0,INDEX(rIni_ADM,$AL27),"")</f>
        <v/>
      </c>
      <c r="F27" s="59">
        <f>IF(N($AL27)&gt;0,INDEX(rLim_ADM,$AL27),"")</f>
        <v/>
      </c>
      <c r="G27" s="59" t="n"/>
      <c r="H27" s="60" t="n"/>
      <c r="I27" s="60" t="n"/>
      <c r="J27" s="60" t="n"/>
      <c r="K27" s="60" t="n"/>
      <c r="L27" s="60" t="n"/>
      <c r="M27" s="61">
        <f>IF(NOT((COUNTA($B27:$D27)+COUNTA($G27:$L27)+COUNTA($Q27))&gt;0),"",IF(ISNUMBER($G27),1,IF(N($W27)&gt;0,AVERAGEIFS($X$5:$X$1000,$U$5:$U$1000,ROW(),$V$5:$V$1000,"Sub"),$X27)))</f>
        <v/>
      </c>
      <c r="N27" s="56">
        <f>IF($M27="","",IF($M27&gt;=1,"Completado",IF($M27&gt;0,"En curso","Pendiente")))</f>
        <v/>
      </c>
      <c r="O27" s="56">
        <f>IF(NOT((COUNTA($B27:$D27)+COUNTA($G27:$L27)+COUNTA($Q27))&gt;0),"",IF(ISNUMBER($G27),IF(AND(ISNUMBER($AN27),$G27&gt;$AN27),"Cumplida con "&amp;($G27-$AN27)&amp;IF($G27-$AN27=1," día"," días")&amp;" de retraso","Cumplida"),IF(N($M27)&gt;=1,"Cumplida",IF(NOT(ISNUMBER($AN27)),"Sin fecha límite",IF($AN27&lt;FechaRef,"Vencida hace "&amp;(FechaRef-$AN27)&amp;IF(FechaRef-$AN27=1," día"," días"),IF($AN27=FechaRef,"Vence hoy",IF($AN27-FechaRef&lt;=DiasAlerta,"Vence en "&amp;($AN27-FechaRef)&amp;IF($AN27-FechaRef=1," día"," días"),"En plazo")))))))</f>
        <v/>
      </c>
      <c r="P27" s="62" t="n"/>
      <c r="Q27" s="58" t="n"/>
      <c r="R27" s="63">
        <f>IF(NOT((COUNTA($B27:$D27)+COUNTA($G27:$L27)+COUNTA($Q27))&gt;0),"",IF((IF($C27="","Falta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",""))="","✔ OK","⚠ "&amp;LEFT(IF($C27="","Falta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",""),LEN(IF($C27="","Falta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",""))-3)))</f>
        <v/>
      </c>
      <c r="S27" s="64">
        <f>IF(NOT((COUNTA($B27:$D27)+COUNTA($G27:$L27)+COUNTA($Q27))&gt;0),"",IF(AND($V27="Sub",N($U27)&gt;0),IF(ISNUMBER(INDEX($AM$5:$AM$1000,$U27-4)),DATE(YEAR(INDEX($AM$5:$AM$1000,$U27-4)),MONTH(INDEX($AM$5:$AM$1000,$U27-4)),1),IF(ISNUMBER(INDEX($AN$5:$AN$1000,$U27-4)),DATE(YEAR(INDEX($AN$5:$AN$1000,$U27-4)),MONTH(INDEX($AN$5:$AN$1000,$U27-4)),1),MesCiclo)),IF(ISNUMBER($AM27),DATE(YEAR($AM27),MONTH($AM27),1),IF(ISNUMBER($AN27),DATE(YEAR($AN27),MONTH($AN27),1),MesCiclo))))</f>
        <v/>
      </c>
      <c r="T27" s="62">
        <f>IF(OR($S27="",$S27&lt;&gt;MesCiclo),"",COUNTIF($S$5:$S27,MesCiclo))</f>
        <v/>
      </c>
      <c r="U27" s="62">
        <f>IF($V27="","",IF($V27="Macro",ROW(),IFERROR(LOOKUP(2,1/($V$5:$V27="Macro"),ROW($V$5:$V27)),0)))</f>
        <v/>
      </c>
      <c r="V27" s="62">
        <f>IF(NOT((COUNTA($B27:$D27)+COUNTA($G27:$L27)+COUNTA($Q27))&gt;0),"",IF($B27="Subactividad","Sub","Macro"))</f>
        <v/>
      </c>
      <c r="W27" s="62">
        <f>IF($V27="Macro",COUNTIFS($U$5:$U$1000,ROW(),$V$5:$V$1000,"Sub"),"")</f>
        <v/>
      </c>
      <c r="X27" s="62">
        <f>IF($V27="","",IF(ISNUMBER($G27),1,IFERROR(LOOKUP(2,1/($I27:$L27&lt;&gt;""),$I27:$L27),0)))</f>
        <v/>
      </c>
      <c r="Y27" s="62">
        <f>IF($V27="","",IF(AND(ISNUMBER($G27),$G27&lt;=IF($S27=MesCiclo,InicioCiclo,$S27+MOD(2-WEEKDAY($S27),7))+6),1,IF(ISNUMBER($I27),$I27,0)))</f>
        <v/>
      </c>
      <c r="Z27" s="62">
        <f>IF($V27="","",IF(AND(ISNUMBER($G27),$G27&lt;=IF($S27=MesCiclo,InicioCiclo,$S27+MOD(2-WEEKDAY($S27),7))+13),1,IF(ISNUMBER($J27),$J27,$Y27)))</f>
        <v/>
      </c>
      <c r="AA27" s="62">
        <f>IF($V27="","",IF(AND(ISNUMBER($G27),$G27&lt;=IF($S27=MesCiclo,InicioCiclo,$S27+MOD(2-WEEKDAY($S27),7))+20),1,IF(ISNUMBER($K27),$K27,$Z27)))</f>
        <v/>
      </c>
      <c r="AB27" s="62">
        <f>IF($V27="","",IF(AND(ISNUMBER($G27),$G27&lt;=IF($S27=MesCiclo,InicioCiclo,$S27+MOD(2-WEEKDAY($S27),7))+27),1,IF(ISNUMBER($L27),$L27,$AA27)))</f>
        <v/>
      </c>
      <c r="AC27" s="62">
        <f>IF($V27="","",IF(AND(ISNUMBER($G27),$G27&lt;=IF($S27=MesCiclo,InicioCiclo,$S27+MOD(2-WEEKDAY($S27),7))+6),1,IF(N($W27)&gt;0,AVERAGEIFS($Y$5:$Y$1000,$U$5:$U$1000,ROW(),$V$5:$V$1000,"Sub"),$Y27)))</f>
        <v/>
      </c>
      <c r="AD27" s="62">
        <f>IF($V27="","",IF(AND(ISNUMBER($G27),$G27&lt;=IF($S27=MesCiclo,InicioCiclo,$S27+MOD(2-WEEKDAY($S27),7))+13),1,IF(N($W27)&gt;0,AVERAGEIFS($Z$5:$Z$1000,$U$5:$U$1000,ROW(),$V$5:$V$1000,"Sub"),$Z27)))</f>
        <v/>
      </c>
      <c r="AE27" s="62">
        <f>IF($V27="","",IF(AND(ISNUMBER($G27),$G27&lt;=IF($S27=MesCiclo,InicioCiclo,$S27+MOD(2-WEEKDAY($S27),7))+20),1,IF(N($W27)&gt;0,AVERAGEIFS($AA$5:$AA$1000,$U$5:$U$1000,ROW(),$V$5:$V$1000,"Sub"),$AA27)))</f>
        <v/>
      </c>
      <c r="AF27" s="62">
        <f>IF($V27="","",IF(AND(ISNUMBER($G27),$G27&lt;=IF($S27=MesCiclo,InicioCiclo,$S27+MOD(2-WEEKDAY($S27),7))+27),1,IF(N($W27)&gt;0,AVERAGEIFS($AB$5:$AB$1000,$U$5:$U$1000,ROW(),$V$5:$V$1000,"Sub"),$AB27)))</f>
        <v/>
      </c>
      <c r="AG27" s="62">
        <f>IF($V27&lt;&gt;"Macro","",IF(COUNTIFS($S$5:$S$1000,$S27,$V$5:$V$1000,"Macro",$H$5:$H$1000,"&gt;0")=0,1/COUNTIFS($S$5:$S$1000,$S27,$V$5:$V$1000,"Macro"),IF(AND(ISNUMBER($H27),N($H27)&gt;0),$H27,SUMIFS($H$5:$H$1000,$S$5:$S$1000,$S27,$V$5:$V$1000,"Macro")/COUNTIFS($S$5:$S$1000,$S27,$V$5:$V$1000,"Macro",$H$5:$H$1000,"&gt;0"))/(COUNTIFS($S$5:$S$1000,$S27,$V$5:$V$1000,"Macro")*SUMIFS($H$5:$H$1000,$S$5:$S$1000,$S27,$V$5:$V$1000,"Macro")/COUNTIFS($S$5:$S$1000,$S27,$V$5:$V$1000,"Macro",$H$5:$H$1000,"&gt;0"))))</f>
        <v/>
      </c>
      <c r="AH27" s="62" t="n"/>
      <c r="AI27" s="62" t="n"/>
      <c r="AJ27" s="62" t="n"/>
      <c r="AK27" s="62" t="n"/>
      <c r="AL27" s="62">
        <f>IF(LEFT($C27,11)="[Jefatura] ",IFERROR(MATCH("Asistente Técnico de Riesgo|"&amp;MID($C27,12,500),rDname_ADM,0),0),"")</f>
        <v/>
      </c>
      <c r="AM27" s="62">
        <f>IF(N($AL27)&gt;0,INDEX(rIni_ADM,$AL27),IF(ISNUMBER($E27),$E27,""))</f>
        <v/>
      </c>
      <c r="AN27" s="62">
        <f>IF(N($AL27)&gt;0,INDEX(rLim_ADM,$AL27),IF(ISNUMBER($F27),$F27,""))</f>
        <v/>
      </c>
    </row>
    <row r="28">
      <c r="A28" s="56">
        <f>IF(NOT((COUNTA($B28:$D28)+COUNTA($G28:$L28)+COUNTA($Q28))&gt;0),"",IF($V28="Macro",COUNTIFS($V$5:$V28,"Macro",$S$5:$S28,$S28),IF(N($U28)=0,"?",COUNTIFS(INDEX($V$5:$V$1000,1):INDEX($V$5:$V$1000,$U28-4),"Macro",INDEX($S$5:$S$1000,1):INDEX($S$5:$S$1000,$U28-4),INDEX($S$5:$S$1000,$U28-4))&amp;"."&amp;COUNTIFS($U$5:$U28,$U28,$V$5:$V28,"Sub"))))</f>
        <v/>
      </c>
      <c r="B28" s="57" t="n"/>
      <c r="C28" s="58" t="n"/>
      <c r="D28" s="58" t="n"/>
      <c r="E28" s="59">
        <f>IF(N($AL28)&gt;0,INDEX(rIni_ADM,$AL28),"")</f>
        <v/>
      </c>
      <c r="F28" s="59">
        <f>IF(N($AL28)&gt;0,INDEX(rLim_ADM,$AL28),"")</f>
        <v/>
      </c>
      <c r="G28" s="59" t="n"/>
      <c r="H28" s="60" t="n"/>
      <c r="I28" s="60" t="n"/>
      <c r="J28" s="60" t="n"/>
      <c r="K28" s="60" t="n"/>
      <c r="L28" s="60" t="n"/>
      <c r="M28" s="61">
        <f>IF(NOT((COUNTA($B28:$D28)+COUNTA($G28:$L28)+COUNTA($Q28))&gt;0),"",IF(ISNUMBER($G28),1,IF(N($W28)&gt;0,AVERAGEIFS($X$5:$X$1000,$U$5:$U$1000,ROW(),$V$5:$V$1000,"Sub"),$X28)))</f>
        <v/>
      </c>
      <c r="N28" s="56">
        <f>IF($M28="","",IF($M28&gt;=1,"Completado",IF($M28&gt;0,"En curso","Pendiente")))</f>
        <v/>
      </c>
      <c r="O28" s="56">
        <f>IF(NOT((COUNTA($B28:$D28)+COUNTA($G28:$L28)+COUNTA($Q28))&gt;0),"",IF(ISNUMBER($G28),IF(AND(ISNUMBER($AN28),$G28&gt;$AN28),"Cumplida con "&amp;($G28-$AN28)&amp;IF($G28-$AN28=1," día"," días")&amp;" de retraso","Cumplida"),IF(N($M28)&gt;=1,"Cumplida",IF(NOT(ISNUMBER($AN28)),"Sin fecha límite",IF($AN28&lt;FechaRef,"Vencida hace "&amp;(FechaRef-$AN28)&amp;IF(FechaRef-$AN28=1," día"," días"),IF($AN28=FechaRef,"Vence hoy",IF($AN28-FechaRef&lt;=DiasAlerta,"Vence en "&amp;($AN28-FechaRef)&amp;IF($AN28-FechaRef=1," día"," días"),"En plazo")))))))</f>
        <v/>
      </c>
      <c r="P28" s="62" t="n"/>
      <c r="Q28" s="58" t="n"/>
      <c r="R28" s="63">
        <f>IF(NOT((COUNTA($B28:$D28)+COUNTA($G28:$L28)+COUNTA($Q28))&gt;0),"",IF((IF($C28="","Falta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",""))="","✔ OK","⚠ "&amp;LEFT(IF($C28="","Falta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",""),LEN(IF($C28="","Falta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",""))-3)))</f>
        <v/>
      </c>
      <c r="S28" s="64">
        <f>IF(NOT((COUNTA($B28:$D28)+COUNTA($G28:$L28)+COUNTA($Q28))&gt;0),"",IF(AND($V28="Sub",N($U28)&gt;0),IF(ISNUMBER(INDEX($AM$5:$AM$1000,$U28-4)),DATE(YEAR(INDEX($AM$5:$AM$1000,$U28-4)),MONTH(INDEX($AM$5:$AM$1000,$U28-4)),1),IF(ISNUMBER(INDEX($AN$5:$AN$1000,$U28-4)),DATE(YEAR(INDEX($AN$5:$AN$1000,$U28-4)),MONTH(INDEX($AN$5:$AN$1000,$U28-4)),1),MesCiclo)),IF(ISNUMBER($AM28),DATE(YEAR($AM28),MONTH($AM28),1),IF(ISNUMBER($AN28),DATE(YEAR($AN28),MONTH($AN28),1),MesCiclo))))</f>
        <v/>
      </c>
      <c r="T28" s="62">
        <f>IF(OR($S28="",$S28&lt;&gt;MesCiclo),"",COUNTIF($S$5:$S28,MesCiclo))</f>
        <v/>
      </c>
      <c r="U28" s="62">
        <f>IF($V28="","",IF($V28="Macro",ROW(),IFERROR(LOOKUP(2,1/($V$5:$V28="Macro"),ROW($V$5:$V28)),0)))</f>
        <v/>
      </c>
      <c r="V28" s="62">
        <f>IF(NOT((COUNTA($B28:$D28)+COUNTA($G28:$L28)+COUNTA($Q28))&gt;0),"",IF($B28="Subactividad","Sub","Macro"))</f>
        <v/>
      </c>
      <c r="W28" s="62">
        <f>IF($V28="Macro",COUNTIFS($U$5:$U$1000,ROW(),$V$5:$V$1000,"Sub"),"")</f>
        <v/>
      </c>
      <c r="X28" s="62">
        <f>IF($V28="","",IF(ISNUMBER($G28),1,IFERROR(LOOKUP(2,1/($I28:$L28&lt;&gt;""),$I28:$L28),0)))</f>
        <v/>
      </c>
      <c r="Y28" s="62">
        <f>IF($V28="","",IF(AND(ISNUMBER($G28),$G28&lt;=IF($S28=MesCiclo,InicioCiclo,$S28+MOD(2-WEEKDAY($S28),7))+6),1,IF(ISNUMBER($I28),$I28,0)))</f>
        <v/>
      </c>
      <c r="Z28" s="62">
        <f>IF($V28="","",IF(AND(ISNUMBER($G28),$G28&lt;=IF($S28=MesCiclo,InicioCiclo,$S28+MOD(2-WEEKDAY($S28),7))+13),1,IF(ISNUMBER($J28),$J28,$Y28)))</f>
        <v/>
      </c>
      <c r="AA28" s="62">
        <f>IF($V28="","",IF(AND(ISNUMBER($G28),$G28&lt;=IF($S28=MesCiclo,InicioCiclo,$S28+MOD(2-WEEKDAY($S28),7))+20),1,IF(ISNUMBER($K28),$K28,$Z28)))</f>
        <v/>
      </c>
      <c r="AB28" s="62">
        <f>IF($V28="","",IF(AND(ISNUMBER($G28),$G28&lt;=IF($S28=MesCiclo,InicioCiclo,$S28+MOD(2-WEEKDAY($S28),7))+27),1,IF(ISNUMBER($L28),$L28,$AA28)))</f>
        <v/>
      </c>
      <c r="AC28" s="62">
        <f>IF($V28="","",IF(AND(ISNUMBER($G28),$G28&lt;=IF($S28=MesCiclo,InicioCiclo,$S28+MOD(2-WEEKDAY($S28),7))+6),1,IF(N($W28)&gt;0,AVERAGEIFS($Y$5:$Y$1000,$U$5:$U$1000,ROW(),$V$5:$V$1000,"Sub"),$Y28)))</f>
        <v/>
      </c>
      <c r="AD28" s="62">
        <f>IF($V28="","",IF(AND(ISNUMBER($G28),$G28&lt;=IF($S28=MesCiclo,InicioCiclo,$S28+MOD(2-WEEKDAY($S28),7))+13),1,IF(N($W28)&gt;0,AVERAGEIFS($Z$5:$Z$1000,$U$5:$U$1000,ROW(),$V$5:$V$1000,"Sub"),$Z28)))</f>
        <v/>
      </c>
      <c r="AE28" s="62">
        <f>IF($V28="","",IF(AND(ISNUMBER($G28),$G28&lt;=IF($S28=MesCiclo,InicioCiclo,$S28+MOD(2-WEEKDAY($S28),7))+20),1,IF(N($W28)&gt;0,AVERAGEIFS($AA$5:$AA$1000,$U$5:$U$1000,ROW(),$V$5:$V$1000,"Sub"),$AA28)))</f>
        <v/>
      </c>
      <c r="AF28" s="62">
        <f>IF($V28="","",IF(AND(ISNUMBER($G28),$G28&lt;=IF($S28=MesCiclo,InicioCiclo,$S28+MOD(2-WEEKDAY($S28),7))+27),1,IF(N($W28)&gt;0,AVERAGEIFS($AB$5:$AB$1000,$U$5:$U$1000,ROW(),$V$5:$V$1000,"Sub"),$AB28)))</f>
        <v/>
      </c>
      <c r="AG28" s="62">
        <f>IF($V28&lt;&gt;"Macro","",IF(COUNTIFS($S$5:$S$1000,$S28,$V$5:$V$1000,"Macro",$H$5:$H$1000,"&gt;0")=0,1/COUNTIFS($S$5:$S$1000,$S28,$V$5:$V$1000,"Macro"),IF(AND(ISNUMBER($H28),N($H28)&gt;0),$H28,SUMIFS($H$5:$H$1000,$S$5:$S$1000,$S28,$V$5:$V$1000,"Macro")/COUNTIFS($S$5:$S$1000,$S28,$V$5:$V$1000,"Macro",$H$5:$H$1000,"&gt;0"))/(COUNTIFS($S$5:$S$1000,$S28,$V$5:$V$1000,"Macro")*SUMIFS($H$5:$H$1000,$S$5:$S$1000,$S28,$V$5:$V$1000,"Macro")/COUNTIFS($S$5:$S$1000,$S28,$V$5:$V$1000,"Macro",$H$5:$H$1000,"&gt;0"))))</f>
        <v/>
      </c>
      <c r="AH28" s="62" t="n"/>
      <c r="AI28" s="62" t="n"/>
      <c r="AJ28" s="62" t="n"/>
      <c r="AK28" s="62" t="n"/>
      <c r="AL28" s="62">
        <f>IF(LEFT($C28,11)="[Jefatura] ",IFERROR(MATCH("Asistente Técnico de Riesgo|"&amp;MID($C28,12,500),rDname_ADM,0),0),"")</f>
        <v/>
      </c>
      <c r="AM28" s="62">
        <f>IF(N($AL28)&gt;0,INDEX(rIni_ADM,$AL28),IF(ISNUMBER($E28),$E28,""))</f>
        <v/>
      </c>
      <c r="AN28" s="62">
        <f>IF(N($AL28)&gt;0,INDEX(rLim_ADM,$AL28),IF(ISNUMBER($F28),$F28,""))</f>
        <v/>
      </c>
    </row>
    <row r="29">
      <c r="A29" s="56">
        <f>IF(NOT((COUNTA($B29:$D29)+COUNTA($G29:$L29)+COUNTA($Q29))&gt;0),"",IF($V29="Macro",COUNTIFS($V$5:$V29,"Macro",$S$5:$S29,$S29),IF(N($U29)=0,"?",COUNTIFS(INDEX($V$5:$V$1000,1):INDEX($V$5:$V$1000,$U29-4),"Macro",INDEX($S$5:$S$1000,1):INDEX($S$5:$S$1000,$U29-4),INDEX($S$5:$S$1000,$U29-4))&amp;"."&amp;COUNTIFS($U$5:$U29,$U29,$V$5:$V29,"Sub"))))</f>
        <v/>
      </c>
      <c r="B29" s="57" t="n"/>
      <c r="C29" s="58" t="n"/>
      <c r="D29" s="58" t="n"/>
      <c r="E29" s="59">
        <f>IF(N($AL29)&gt;0,INDEX(rIni_ADM,$AL29),"")</f>
        <v/>
      </c>
      <c r="F29" s="59">
        <f>IF(N($AL29)&gt;0,INDEX(rLim_ADM,$AL29),"")</f>
        <v/>
      </c>
      <c r="G29" s="59" t="n"/>
      <c r="H29" s="60" t="n"/>
      <c r="I29" s="60" t="n"/>
      <c r="J29" s="60" t="n"/>
      <c r="K29" s="60" t="n"/>
      <c r="L29" s="60" t="n"/>
      <c r="M29" s="61">
        <f>IF(NOT((COUNTA($B29:$D29)+COUNTA($G29:$L29)+COUNTA($Q29))&gt;0),"",IF(ISNUMBER($G29),1,IF(N($W29)&gt;0,AVERAGEIFS($X$5:$X$1000,$U$5:$U$1000,ROW(),$V$5:$V$1000,"Sub"),$X29)))</f>
        <v/>
      </c>
      <c r="N29" s="56">
        <f>IF($M29="","",IF($M29&gt;=1,"Completado",IF($M29&gt;0,"En curso","Pendiente")))</f>
        <v/>
      </c>
      <c r="O29" s="56">
        <f>IF(NOT((COUNTA($B29:$D29)+COUNTA($G29:$L29)+COUNTA($Q29))&gt;0),"",IF(ISNUMBER($G29),IF(AND(ISNUMBER($AN29),$G29&gt;$AN29),"Cumplida con "&amp;($G29-$AN29)&amp;IF($G29-$AN29=1," día"," días")&amp;" de retraso","Cumplida"),IF(N($M29)&gt;=1,"Cumplida",IF(NOT(ISNUMBER($AN29)),"Sin fecha límite",IF($AN29&lt;FechaRef,"Vencida hace "&amp;(FechaRef-$AN29)&amp;IF(FechaRef-$AN29=1," día"," días"),IF($AN29=FechaRef,"Vence hoy",IF($AN29-FechaRef&lt;=DiasAlerta,"Vence en "&amp;($AN29-FechaRef)&amp;IF($AN29-FechaRef=1," día"," días"),"En plazo")))))))</f>
        <v/>
      </c>
      <c r="P29" s="62" t="n"/>
      <c r="Q29" s="58" t="n"/>
      <c r="R29" s="63">
        <f>IF(NOT((COUNTA($B29:$D29)+COUNTA($G29:$L29)+COUNTA($Q29))&gt;0),"",IF((IF($C29="","Falta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",""))="","✔ OK","⚠ "&amp;LEFT(IF($C29="","Falta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",""),LEN(IF($C29="","Falta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",""))-3)))</f>
        <v/>
      </c>
      <c r="S29" s="64">
        <f>IF(NOT((COUNTA($B29:$D29)+COUNTA($G29:$L29)+COUNTA($Q29))&gt;0),"",IF(AND($V29="Sub",N($U29)&gt;0),IF(ISNUMBER(INDEX($AM$5:$AM$1000,$U29-4)),DATE(YEAR(INDEX($AM$5:$AM$1000,$U29-4)),MONTH(INDEX($AM$5:$AM$1000,$U29-4)),1),IF(ISNUMBER(INDEX($AN$5:$AN$1000,$U29-4)),DATE(YEAR(INDEX($AN$5:$AN$1000,$U29-4)),MONTH(INDEX($AN$5:$AN$1000,$U29-4)),1),MesCiclo)),IF(ISNUMBER($AM29),DATE(YEAR($AM29),MONTH($AM29),1),IF(ISNUMBER($AN29),DATE(YEAR($AN29),MONTH($AN29),1),MesCiclo))))</f>
        <v/>
      </c>
      <c r="T29" s="62">
        <f>IF(OR($S29="",$S29&lt;&gt;MesCiclo),"",COUNTIF($S$5:$S29,MesCiclo))</f>
        <v/>
      </c>
      <c r="U29" s="62">
        <f>IF($V29="","",IF($V29="Macro",ROW(),IFERROR(LOOKUP(2,1/($V$5:$V29="Macro"),ROW($V$5:$V29)),0)))</f>
        <v/>
      </c>
      <c r="V29" s="62">
        <f>IF(NOT((COUNTA($B29:$D29)+COUNTA($G29:$L29)+COUNTA($Q29))&gt;0),"",IF($B29="Subactividad","Sub","Macro"))</f>
        <v/>
      </c>
      <c r="W29" s="62">
        <f>IF($V29="Macro",COUNTIFS($U$5:$U$1000,ROW(),$V$5:$V$1000,"Sub"),"")</f>
        <v/>
      </c>
      <c r="X29" s="62">
        <f>IF($V29="","",IF(ISNUMBER($G29),1,IFERROR(LOOKUP(2,1/($I29:$L29&lt;&gt;""),$I29:$L29),0)))</f>
        <v/>
      </c>
      <c r="Y29" s="62">
        <f>IF($V29="","",IF(AND(ISNUMBER($G29),$G29&lt;=IF($S29=MesCiclo,InicioCiclo,$S29+MOD(2-WEEKDAY($S29),7))+6),1,IF(ISNUMBER($I29),$I29,0)))</f>
        <v/>
      </c>
      <c r="Z29" s="62">
        <f>IF($V29="","",IF(AND(ISNUMBER($G29),$G29&lt;=IF($S29=MesCiclo,InicioCiclo,$S29+MOD(2-WEEKDAY($S29),7))+13),1,IF(ISNUMBER($J29),$J29,$Y29)))</f>
        <v/>
      </c>
      <c r="AA29" s="62">
        <f>IF($V29="","",IF(AND(ISNUMBER($G29),$G29&lt;=IF($S29=MesCiclo,InicioCiclo,$S29+MOD(2-WEEKDAY($S29),7))+20),1,IF(ISNUMBER($K29),$K29,$Z29)))</f>
        <v/>
      </c>
      <c r="AB29" s="62">
        <f>IF($V29="","",IF(AND(ISNUMBER($G29),$G29&lt;=IF($S29=MesCiclo,InicioCiclo,$S29+MOD(2-WEEKDAY($S29),7))+27),1,IF(ISNUMBER($L29),$L29,$AA29)))</f>
        <v/>
      </c>
      <c r="AC29" s="62">
        <f>IF($V29="","",IF(AND(ISNUMBER($G29),$G29&lt;=IF($S29=MesCiclo,InicioCiclo,$S29+MOD(2-WEEKDAY($S29),7))+6),1,IF(N($W29)&gt;0,AVERAGEIFS($Y$5:$Y$1000,$U$5:$U$1000,ROW(),$V$5:$V$1000,"Sub"),$Y29)))</f>
        <v/>
      </c>
      <c r="AD29" s="62">
        <f>IF($V29="","",IF(AND(ISNUMBER($G29),$G29&lt;=IF($S29=MesCiclo,InicioCiclo,$S29+MOD(2-WEEKDAY($S29),7))+13),1,IF(N($W29)&gt;0,AVERAGEIFS($Z$5:$Z$1000,$U$5:$U$1000,ROW(),$V$5:$V$1000,"Sub"),$Z29)))</f>
        <v/>
      </c>
      <c r="AE29" s="62">
        <f>IF($V29="","",IF(AND(ISNUMBER($G29),$G29&lt;=IF($S29=MesCiclo,InicioCiclo,$S29+MOD(2-WEEKDAY($S29),7))+20),1,IF(N($W29)&gt;0,AVERAGEIFS($AA$5:$AA$1000,$U$5:$U$1000,ROW(),$V$5:$V$1000,"Sub"),$AA29)))</f>
        <v/>
      </c>
      <c r="AF29" s="62">
        <f>IF($V29="","",IF(AND(ISNUMBER($G29),$G29&lt;=IF($S29=MesCiclo,InicioCiclo,$S29+MOD(2-WEEKDAY($S29),7))+27),1,IF(N($W29)&gt;0,AVERAGEIFS($AB$5:$AB$1000,$U$5:$U$1000,ROW(),$V$5:$V$1000,"Sub"),$AB29)))</f>
        <v/>
      </c>
      <c r="AG29" s="62">
        <f>IF($V29&lt;&gt;"Macro","",IF(COUNTIFS($S$5:$S$1000,$S29,$V$5:$V$1000,"Macro",$H$5:$H$1000,"&gt;0")=0,1/COUNTIFS($S$5:$S$1000,$S29,$V$5:$V$1000,"Macro"),IF(AND(ISNUMBER($H29),N($H29)&gt;0),$H29,SUMIFS($H$5:$H$1000,$S$5:$S$1000,$S29,$V$5:$V$1000,"Macro")/COUNTIFS($S$5:$S$1000,$S29,$V$5:$V$1000,"Macro",$H$5:$H$1000,"&gt;0"))/(COUNTIFS($S$5:$S$1000,$S29,$V$5:$V$1000,"Macro")*SUMIFS($H$5:$H$1000,$S$5:$S$1000,$S29,$V$5:$V$1000,"Macro")/COUNTIFS($S$5:$S$1000,$S29,$V$5:$V$1000,"Macro",$H$5:$H$1000,"&gt;0"))))</f>
        <v/>
      </c>
      <c r="AH29" s="62" t="n"/>
      <c r="AI29" s="62" t="n"/>
      <c r="AJ29" s="62" t="n"/>
      <c r="AK29" s="62" t="n"/>
      <c r="AL29" s="62">
        <f>IF(LEFT($C29,11)="[Jefatura] ",IFERROR(MATCH("Asistente Técnico de Riesgo|"&amp;MID($C29,12,500),rDname_ADM,0),0),"")</f>
        <v/>
      </c>
      <c r="AM29" s="62">
        <f>IF(N($AL29)&gt;0,INDEX(rIni_ADM,$AL29),IF(ISNUMBER($E29),$E29,""))</f>
        <v/>
      </c>
      <c r="AN29" s="62">
        <f>IF(N($AL29)&gt;0,INDEX(rLim_ADM,$AL29),IF(ISNUMBER($F29),$F29,""))</f>
        <v/>
      </c>
    </row>
    <row r="30">
      <c r="A30" s="56">
        <f>IF(NOT((COUNTA($B30:$D30)+COUNTA($G30:$L30)+COUNTA($Q30))&gt;0),"",IF($V30="Macro",COUNTIFS($V$5:$V30,"Macro",$S$5:$S30,$S30),IF(N($U30)=0,"?",COUNTIFS(INDEX($V$5:$V$1000,1):INDEX($V$5:$V$1000,$U30-4),"Macro",INDEX($S$5:$S$1000,1):INDEX($S$5:$S$1000,$U30-4),INDEX($S$5:$S$1000,$U30-4))&amp;"."&amp;COUNTIFS($U$5:$U30,$U30,$V$5:$V30,"Sub"))))</f>
        <v/>
      </c>
      <c r="B30" s="57" t="n"/>
      <c r="C30" s="58" t="n"/>
      <c r="D30" s="58" t="n"/>
      <c r="E30" s="59">
        <f>IF(N($AL30)&gt;0,INDEX(rIni_ADM,$AL30),"")</f>
        <v/>
      </c>
      <c r="F30" s="59">
        <f>IF(N($AL30)&gt;0,INDEX(rLim_ADM,$AL30),"")</f>
        <v/>
      </c>
      <c r="G30" s="59" t="n"/>
      <c r="H30" s="60" t="n"/>
      <c r="I30" s="60" t="n"/>
      <c r="J30" s="60" t="n"/>
      <c r="K30" s="60" t="n"/>
      <c r="L30" s="60" t="n"/>
      <c r="M30" s="61">
        <f>IF(NOT((COUNTA($B30:$D30)+COUNTA($G30:$L30)+COUNTA($Q30))&gt;0),"",IF(ISNUMBER($G30),1,IF(N($W30)&gt;0,AVERAGEIFS($X$5:$X$1000,$U$5:$U$1000,ROW(),$V$5:$V$1000,"Sub"),$X30)))</f>
        <v/>
      </c>
      <c r="N30" s="56">
        <f>IF($M30="","",IF($M30&gt;=1,"Completado",IF($M30&gt;0,"En curso","Pendiente")))</f>
        <v/>
      </c>
      <c r="O30" s="56">
        <f>IF(NOT((COUNTA($B30:$D30)+COUNTA($G30:$L30)+COUNTA($Q30))&gt;0),"",IF(ISNUMBER($G30),IF(AND(ISNUMBER($AN30),$G30&gt;$AN30),"Cumplida con "&amp;($G30-$AN30)&amp;IF($G30-$AN30=1," día"," días")&amp;" de retraso","Cumplida"),IF(N($M30)&gt;=1,"Cumplida",IF(NOT(ISNUMBER($AN30)),"Sin fecha límite",IF($AN30&lt;FechaRef,"Vencida hace "&amp;(FechaRef-$AN30)&amp;IF(FechaRef-$AN30=1," día"," días"),IF($AN30=FechaRef,"Vence hoy",IF($AN30-FechaRef&lt;=DiasAlerta,"Vence en "&amp;($AN30-FechaRef)&amp;IF($AN30-FechaRef=1," día"," días"),"En plazo")))))))</f>
        <v/>
      </c>
      <c r="P30" s="62" t="n"/>
      <c r="Q30" s="58" t="n"/>
      <c r="R30" s="63">
        <f>IF(NOT((COUNTA($B30:$D30)+COUNTA($G30:$L30)+COUNTA($Q30))&gt;0),"",IF((IF($C30="","Falta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",""))="","✔ OK","⚠ "&amp;LEFT(IF($C30="","Falta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",""),LEN(IF($C30="","Falta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",""))-3)))</f>
        <v/>
      </c>
      <c r="S30" s="64">
        <f>IF(NOT((COUNTA($B30:$D30)+COUNTA($G30:$L30)+COUNTA($Q30))&gt;0),"",IF(AND($V30="Sub",N($U30)&gt;0),IF(ISNUMBER(INDEX($AM$5:$AM$1000,$U30-4)),DATE(YEAR(INDEX($AM$5:$AM$1000,$U30-4)),MONTH(INDEX($AM$5:$AM$1000,$U30-4)),1),IF(ISNUMBER(INDEX($AN$5:$AN$1000,$U30-4)),DATE(YEAR(INDEX($AN$5:$AN$1000,$U30-4)),MONTH(INDEX($AN$5:$AN$1000,$U30-4)),1),MesCiclo)),IF(ISNUMBER($AM30),DATE(YEAR($AM30),MONTH($AM30),1),IF(ISNUMBER($AN30),DATE(YEAR($AN30),MONTH($AN30),1),MesCiclo))))</f>
        <v/>
      </c>
      <c r="T30" s="62">
        <f>IF(OR($S30="",$S30&lt;&gt;MesCiclo),"",COUNTIF($S$5:$S30,MesCiclo))</f>
        <v/>
      </c>
      <c r="U30" s="62">
        <f>IF($V30="","",IF($V30="Macro",ROW(),IFERROR(LOOKUP(2,1/($V$5:$V30="Macro"),ROW($V$5:$V30)),0)))</f>
        <v/>
      </c>
      <c r="V30" s="62">
        <f>IF(NOT((COUNTA($B30:$D30)+COUNTA($G30:$L30)+COUNTA($Q30))&gt;0),"",IF($B30="Subactividad","Sub","Macro"))</f>
        <v/>
      </c>
      <c r="W30" s="62">
        <f>IF($V30="Macro",COUNTIFS($U$5:$U$1000,ROW(),$V$5:$V$1000,"Sub"),"")</f>
        <v/>
      </c>
      <c r="X30" s="62">
        <f>IF($V30="","",IF(ISNUMBER($G30),1,IFERROR(LOOKUP(2,1/($I30:$L30&lt;&gt;""),$I30:$L30),0)))</f>
        <v/>
      </c>
      <c r="Y30" s="62">
        <f>IF($V30="","",IF(AND(ISNUMBER($G30),$G30&lt;=IF($S30=MesCiclo,InicioCiclo,$S30+MOD(2-WEEKDAY($S30),7))+6),1,IF(ISNUMBER($I30),$I30,0)))</f>
        <v/>
      </c>
      <c r="Z30" s="62">
        <f>IF($V30="","",IF(AND(ISNUMBER($G30),$G30&lt;=IF($S30=MesCiclo,InicioCiclo,$S30+MOD(2-WEEKDAY($S30),7))+13),1,IF(ISNUMBER($J30),$J30,$Y30)))</f>
        <v/>
      </c>
      <c r="AA30" s="62">
        <f>IF($V30="","",IF(AND(ISNUMBER($G30),$G30&lt;=IF($S30=MesCiclo,InicioCiclo,$S30+MOD(2-WEEKDAY($S30),7))+20),1,IF(ISNUMBER($K30),$K30,$Z30)))</f>
        <v/>
      </c>
      <c r="AB30" s="62">
        <f>IF($V30="","",IF(AND(ISNUMBER($G30),$G30&lt;=IF($S30=MesCiclo,InicioCiclo,$S30+MOD(2-WEEKDAY($S30),7))+27),1,IF(ISNUMBER($L30),$L30,$AA30)))</f>
        <v/>
      </c>
      <c r="AC30" s="62">
        <f>IF($V30="","",IF(AND(ISNUMBER($G30),$G30&lt;=IF($S30=MesCiclo,InicioCiclo,$S30+MOD(2-WEEKDAY($S30),7))+6),1,IF(N($W30)&gt;0,AVERAGEIFS($Y$5:$Y$1000,$U$5:$U$1000,ROW(),$V$5:$V$1000,"Sub"),$Y30)))</f>
        <v/>
      </c>
      <c r="AD30" s="62">
        <f>IF($V30="","",IF(AND(ISNUMBER($G30),$G30&lt;=IF($S30=MesCiclo,InicioCiclo,$S30+MOD(2-WEEKDAY($S30),7))+13),1,IF(N($W30)&gt;0,AVERAGEIFS($Z$5:$Z$1000,$U$5:$U$1000,ROW(),$V$5:$V$1000,"Sub"),$Z30)))</f>
        <v/>
      </c>
      <c r="AE30" s="62">
        <f>IF($V30="","",IF(AND(ISNUMBER($G30),$G30&lt;=IF($S30=MesCiclo,InicioCiclo,$S30+MOD(2-WEEKDAY($S30),7))+20),1,IF(N($W30)&gt;0,AVERAGEIFS($AA$5:$AA$1000,$U$5:$U$1000,ROW(),$V$5:$V$1000,"Sub"),$AA30)))</f>
        <v/>
      </c>
      <c r="AF30" s="62">
        <f>IF($V30="","",IF(AND(ISNUMBER($G30),$G30&lt;=IF($S30=MesCiclo,InicioCiclo,$S30+MOD(2-WEEKDAY($S30),7))+27),1,IF(N($W30)&gt;0,AVERAGEIFS($AB$5:$AB$1000,$U$5:$U$1000,ROW(),$V$5:$V$1000,"Sub"),$AB30)))</f>
        <v/>
      </c>
      <c r="AG30" s="62">
        <f>IF($V30&lt;&gt;"Macro","",IF(COUNTIFS($S$5:$S$1000,$S30,$V$5:$V$1000,"Macro",$H$5:$H$1000,"&gt;0")=0,1/COUNTIFS($S$5:$S$1000,$S30,$V$5:$V$1000,"Macro"),IF(AND(ISNUMBER($H30),N($H30)&gt;0),$H30,SUMIFS($H$5:$H$1000,$S$5:$S$1000,$S30,$V$5:$V$1000,"Macro")/COUNTIFS($S$5:$S$1000,$S30,$V$5:$V$1000,"Macro",$H$5:$H$1000,"&gt;0"))/(COUNTIFS($S$5:$S$1000,$S30,$V$5:$V$1000,"Macro")*SUMIFS($H$5:$H$1000,$S$5:$S$1000,$S30,$V$5:$V$1000,"Macro")/COUNTIFS($S$5:$S$1000,$S30,$V$5:$V$1000,"Macro",$H$5:$H$1000,"&gt;0"))))</f>
        <v/>
      </c>
      <c r="AH30" s="62" t="n"/>
      <c r="AI30" s="62" t="n"/>
      <c r="AJ30" s="62" t="n"/>
      <c r="AK30" s="62" t="n"/>
      <c r="AL30" s="62">
        <f>IF(LEFT($C30,11)="[Jefatura] ",IFERROR(MATCH("Asistente Técnico de Riesgo|"&amp;MID($C30,12,500),rDname_ADM,0),0),"")</f>
        <v/>
      </c>
      <c r="AM30" s="62">
        <f>IF(N($AL30)&gt;0,INDEX(rIni_ADM,$AL30),IF(ISNUMBER($E30),$E30,""))</f>
        <v/>
      </c>
      <c r="AN30" s="62">
        <f>IF(N($AL30)&gt;0,INDEX(rLim_ADM,$AL30),IF(ISNUMBER($F30),$F30,""))</f>
        <v/>
      </c>
    </row>
    <row r="31">
      <c r="A31" s="56">
        <f>IF(NOT((COUNTA($B31:$D31)+COUNTA($G31:$L31)+COUNTA($Q31))&gt;0),"",IF($V31="Macro",COUNTIFS($V$5:$V31,"Macro",$S$5:$S31,$S31),IF(N($U31)=0,"?",COUNTIFS(INDEX($V$5:$V$1000,1):INDEX($V$5:$V$1000,$U31-4),"Macro",INDEX($S$5:$S$1000,1):INDEX($S$5:$S$1000,$U31-4),INDEX($S$5:$S$1000,$U31-4))&amp;"."&amp;COUNTIFS($U$5:$U31,$U31,$V$5:$V31,"Sub"))))</f>
        <v/>
      </c>
      <c r="B31" s="57" t="n"/>
      <c r="C31" s="58" t="n"/>
      <c r="D31" s="58" t="n"/>
      <c r="E31" s="59">
        <f>IF(N($AL31)&gt;0,INDEX(rIni_ADM,$AL31),"")</f>
        <v/>
      </c>
      <c r="F31" s="59">
        <f>IF(N($AL31)&gt;0,INDEX(rLim_ADM,$AL31),"")</f>
        <v/>
      </c>
      <c r="G31" s="59" t="n"/>
      <c r="H31" s="60" t="n"/>
      <c r="I31" s="60" t="n"/>
      <c r="J31" s="60" t="n"/>
      <c r="K31" s="60" t="n"/>
      <c r="L31" s="60" t="n"/>
      <c r="M31" s="61">
        <f>IF(NOT((COUNTA($B31:$D31)+COUNTA($G31:$L31)+COUNTA($Q31))&gt;0),"",IF(ISNUMBER($G31),1,IF(N($W31)&gt;0,AVERAGEIFS($X$5:$X$1000,$U$5:$U$1000,ROW(),$V$5:$V$1000,"Sub"),$X31)))</f>
        <v/>
      </c>
      <c r="N31" s="56">
        <f>IF($M31="","",IF($M31&gt;=1,"Completado",IF($M31&gt;0,"En curso","Pendiente")))</f>
        <v/>
      </c>
      <c r="O31" s="56">
        <f>IF(NOT((COUNTA($B31:$D31)+COUNTA($G31:$L31)+COUNTA($Q31))&gt;0),"",IF(ISNUMBER($G31),IF(AND(ISNUMBER($AN31),$G31&gt;$AN31),"Cumplida con "&amp;($G31-$AN31)&amp;IF($G31-$AN31=1," día"," días")&amp;" de retraso","Cumplida"),IF(N($M31)&gt;=1,"Cumplida",IF(NOT(ISNUMBER($AN31)),"Sin fecha límite",IF($AN31&lt;FechaRef,"Vencida hace "&amp;(FechaRef-$AN31)&amp;IF(FechaRef-$AN31=1," día"," días"),IF($AN31=FechaRef,"Vence hoy",IF($AN31-FechaRef&lt;=DiasAlerta,"Vence en "&amp;($AN31-FechaRef)&amp;IF($AN31-FechaRef=1," día"," días"),"En plazo")))))))</f>
        <v/>
      </c>
      <c r="P31" s="62" t="n"/>
      <c r="Q31" s="58" t="n"/>
      <c r="R31" s="63">
        <f>IF(NOT((COUNTA($B31:$D31)+COUNTA($G31:$L31)+COUNTA($Q31))&gt;0),"",IF((IF($C31="","Falta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",""))="","✔ OK","⚠ "&amp;LEFT(IF($C31="","Falta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",""),LEN(IF($C31="","Falta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",""))-3)))</f>
        <v/>
      </c>
      <c r="S31" s="64">
        <f>IF(NOT((COUNTA($B31:$D31)+COUNTA($G31:$L31)+COUNTA($Q31))&gt;0),"",IF(AND($V31="Sub",N($U31)&gt;0),IF(ISNUMBER(INDEX($AM$5:$AM$1000,$U31-4)),DATE(YEAR(INDEX($AM$5:$AM$1000,$U31-4)),MONTH(INDEX($AM$5:$AM$1000,$U31-4)),1),IF(ISNUMBER(INDEX($AN$5:$AN$1000,$U31-4)),DATE(YEAR(INDEX($AN$5:$AN$1000,$U31-4)),MONTH(INDEX($AN$5:$AN$1000,$U31-4)),1),MesCiclo)),IF(ISNUMBER($AM31),DATE(YEAR($AM31),MONTH($AM31),1),IF(ISNUMBER($AN31),DATE(YEAR($AN31),MONTH($AN31),1),MesCiclo))))</f>
        <v/>
      </c>
      <c r="T31" s="62">
        <f>IF(OR($S31="",$S31&lt;&gt;MesCiclo),"",COUNTIF($S$5:$S31,MesCiclo))</f>
        <v/>
      </c>
      <c r="U31" s="62">
        <f>IF($V31="","",IF($V31="Macro",ROW(),IFERROR(LOOKUP(2,1/($V$5:$V31="Macro"),ROW($V$5:$V31)),0)))</f>
        <v/>
      </c>
      <c r="V31" s="62">
        <f>IF(NOT((COUNTA($B31:$D31)+COUNTA($G31:$L31)+COUNTA($Q31))&gt;0),"",IF($B31="Subactividad","Sub","Macro"))</f>
        <v/>
      </c>
      <c r="W31" s="62">
        <f>IF($V31="Macro",COUNTIFS($U$5:$U$1000,ROW(),$V$5:$V$1000,"Sub"),"")</f>
        <v/>
      </c>
      <c r="X31" s="62">
        <f>IF($V31="","",IF(ISNUMBER($G31),1,IFERROR(LOOKUP(2,1/($I31:$L31&lt;&gt;""),$I31:$L31),0)))</f>
        <v/>
      </c>
      <c r="Y31" s="62">
        <f>IF($V31="","",IF(AND(ISNUMBER($G31),$G31&lt;=IF($S31=MesCiclo,InicioCiclo,$S31+MOD(2-WEEKDAY($S31),7))+6),1,IF(ISNUMBER($I31),$I31,0)))</f>
        <v/>
      </c>
      <c r="Z31" s="62">
        <f>IF($V31="","",IF(AND(ISNUMBER($G31),$G31&lt;=IF($S31=MesCiclo,InicioCiclo,$S31+MOD(2-WEEKDAY($S31),7))+13),1,IF(ISNUMBER($J31),$J31,$Y31)))</f>
        <v/>
      </c>
      <c r="AA31" s="62">
        <f>IF($V31="","",IF(AND(ISNUMBER($G31),$G31&lt;=IF($S31=MesCiclo,InicioCiclo,$S31+MOD(2-WEEKDAY($S31),7))+20),1,IF(ISNUMBER($K31),$K31,$Z31)))</f>
        <v/>
      </c>
      <c r="AB31" s="62">
        <f>IF($V31="","",IF(AND(ISNUMBER($G31),$G31&lt;=IF($S31=MesCiclo,InicioCiclo,$S31+MOD(2-WEEKDAY($S31),7))+27),1,IF(ISNUMBER($L31),$L31,$AA31)))</f>
        <v/>
      </c>
      <c r="AC31" s="62">
        <f>IF($V31="","",IF(AND(ISNUMBER($G31),$G31&lt;=IF($S31=MesCiclo,InicioCiclo,$S31+MOD(2-WEEKDAY($S31),7))+6),1,IF(N($W31)&gt;0,AVERAGEIFS($Y$5:$Y$1000,$U$5:$U$1000,ROW(),$V$5:$V$1000,"Sub"),$Y31)))</f>
        <v/>
      </c>
      <c r="AD31" s="62">
        <f>IF($V31="","",IF(AND(ISNUMBER($G31),$G31&lt;=IF($S31=MesCiclo,InicioCiclo,$S31+MOD(2-WEEKDAY($S31),7))+13),1,IF(N($W31)&gt;0,AVERAGEIFS($Z$5:$Z$1000,$U$5:$U$1000,ROW(),$V$5:$V$1000,"Sub"),$Z31)))</f>
        <v/>
      </c>
      <c r="AE31" s="62">
        <f>IF($V31="","",IF(AND(ISNUMBER($G31),$G31&lt;=IF($S31=MesCiclo,InicioCiclo,$S31+MOD(2-WEEKDAY($S31),7))+20),1,IF(N($W31)&gt;0,AVERAGEIFS($AA$5:$AA$1000,$U$5:$U$1000,ROW(),$V$5:$V$1000,"Sub"),$AA31)))</f>
        <v/>
      </c>
      <c r="AF31" s="62">
        <f>IF($V31="","",IF(AND(ISNUMBER($G31),$G31&lt;=IF($S31=MesCiclo,InicioCiclo,$S31+MOD(2-WEEKDAY($S31),7))+27),1,IF(N($W31)&gt;0,AVERAGEIFS($AB$5:$AB$1000,$U$5:$U$1000,ROW(),$V$5:$V$1000,"Sub"),$AB31)))</f>
        <v/>
      </c>
      <c r="AG31" s="62">
        <f>IF($V31&lt;&gt;"Macro","",IF(COUNTIFS($S$5:$S$1000,$S31,$V$5:$V$1000,"Macro",$H$5:$H$1000,"&gt;0")=0,1/COUNTIFS($S$5:$S$1000,$S31,$V$5:$V$1000,"Macro"),IF(AND(ISNUMBER($H31),N($H31)&gt;0),$H31,SUMIFS($H$5:$H$1000,$S$5:$S$1000,$S31,$V$5:$V$1000,"Macro")/COUNTIFS($S$5:$S$1000,$S31,$V$5:$V$1000,"Macro",$H$5:$H$1000,"&gt;0"))/(COUNTIFS($S$5:$S$1000,$S31,$V$5:$V$1000,"Macro")*SUMIFS($H$5:$H$1000,$S$5:$S$1000,$S31,$V$5:$V$1000,"Macro")/COUNTIFS($S$5:$S$1000,$S31,$V$5:$V$1000,"Macro",$H$5:$H$1000,"&gt;0"))))</f>
        <v/>
      </c>
      <c r="AH31" s="62" t="n"/>
      <c r="AI31" s="62" t="n"/>
      <c r="AJ31" s="62" t="n"/>
      <c r="AK31" s="62" t="n"/>
      <c r="AL31" s="62">
        <f>IF(LEFT($C31,11)="[Jefatura] ",IFERROR(MATCH("Asistente Técnico de Riesgo|"&amp;MID($C31,12,500),rDname_ADM,0),0),"")</f>
        <v/>
      </c>
      <c r="AM31" s="62">
        <f>IF(N($AL31)&gt;0,INDEX(rIni_ADM,$AL31),IF(ISNUMBER($E31),$E31,""))</f>
        <v/>
      </c>
      <c r="AN31" s="62">
        <f>IF(N($AL31)&gt;0,INDEX(rLim_ADM,$AL31),IF(ISNUMBER($F31),$F31,""))</f>
        <v/>
      </c>
    </row>
    <row r="32">
      <c r="A32" s="56">
        <f>IF(NOT((COUNTA($B32:$D32)+COUNTA($G32:$L32)+COUNTA($Q32))&gt;0),"",IF($V32="Macro",COUNTIFS($V$5:$V32,"Macro",$S$5:$S32,$S32),IF(N($U32)=0,"?",COUNTIFS(INDEX($V$5:$V$1000,1):INDEX($V$5:$V$1000,$U32-4),"Macro",INDEX($S$5:$S$1000,1):INDEX($S$5:$S$1000,$U32-4),INDEX($S$5:$S$1000,$U32-4))&amp;"."&amp;COUNTIFS($U$5:$U32,$U32,$V$5:$V32,"Sub"))))</f>
        <v/>
      </c>
      <c r="B32" s="57" t="n"/>
      <c r="C32" s="58" t="n"/>
      <c r="D32" s="58" t="n"/>
      <c r="E32" s="59">
        <f>IF(N($AL32)&gt;0,INDEX(rIni_ADM,$AL32),"")</f>
        <v/>
      </c>
      <c r="F32" s="59">
        <f>IF(N($AL32)&gt;0,INDEX(rLim_ADM,$AL32),"")</f>
        <v/>
      </c>
      <c r="G32" s="59" t="n"/>
      <c r="H32" s="60" t="n"/>
      <c r="I32" s="60" t="n"/>
      <c r="J32" s="60" t="n"/>
      <c r="K32" s="60" t="n"/>
      <c r="L32" s="60" t="n"/>
      <c r="M32" s="61">
        <f>IF(NOT((COUNTA($B32:$D32)+COUNTA($G32:$L32)+COUNTA($Q32))&gt;0),"",IF(ISNUMBER($G32),1,IF(N($W32)&gt;0,AVERAGEIFS($X$5:$X$1000,$U$5:$U$1000,ROW(),$V$5:$V$1000,"Sub"),$X32)))</f>
        <v/>
      </c>
      <c r="N32" s="56">
        <f>IF($M32="","",IF($M32&gt;=1,"Completado",IF($M32&gt;0,"En curso","Pendiente")))</f>
        <v/>
      </c>
      <c r="O32" s="56">
        <f>IF(NOT((COUNTA($B32:$D32)+COUNTA($G32:$L32)+COUNTA($Q32))&gt;0),"",IF(ISNUMBER($G32),IF(AND(ISNUMBER($AN32),$G32&gt;$AN32),"Cumplida con "&amp;($G32-$AN32)&amp;IF($G32-$AN32=1," día"," días")&amp;" de retraso","Cumplida"),IF(N($M32)&gt;=1,"Cumplida",IF(NOT(ISNUMBER($AN32)),"Sin fecha límite",IF($AN32&lt;FechaRef,"Vencida hace "&amp;(FechaRef-$AN32)&amp;IF(FechaRef-$AN32=1," día"," días"),IF($AN32=FechaRef,"Vence hoy",IF($AN32-FechaRef&lt;=DiasAlerta,"Vence en "&amp;($AN32-FechaRef)&amp;IF($AN32-FechaRef=1," día"," días"),"En plazo")))))))</f>
        <v/>
      </c>
      <c r="P32" s="62" t="n"/>
      <c r="Q32" s="58" t="n"/>
      <c r="R32" s="63">
        <f>IF(NOT((COUNTA($B32:$D32)+COUNTA($G32:$L32)+COUNTA($Q32))&gt;0),"",IF((IF($C32="","Falta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",""))="","✔ OK","⚠ "&amp;LEFT(IF($C32="","Falta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",""),LEN(IF($C32="","Falta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",""))-3)))</f>
        <v/>
      </c>
      <c r="S32" s="64">
        <f>IF(NOT((COUNTA($B32:$D32)+COUNTA($G32:$L32)+COUNTA($Q32))&gt;0),"",IF(AND($V32="Sub",N($U32)&gt;0),IF(ISNUMBER(INDEX($AM$5:$AM$1000,$U32-4)),DATE(YEAR(INDEX($AM$5:$AM$1000,$U32-4)),MONTH(INDEX($AM$5:$AM$1000,$U32-4)),1),IF(ISNUMBER(INDEX($AN$5:$AN$1000,$U32-4)),DATE(YEAR(INDEX($AN$5:$AN$1000,$U32-4)),MONTH(INDEX($AN$5:$AN$1000,$U32-4)),1),MesCiclo)),IF(ISNUMBER($AM32),DATE(YEAR($AM32),MONTH($AM32),1),IF(ISNUMBER($AN32),DATE(YEAR($AN32),MONTH($AN32),1),MesCiclo))))</f>
        <v/>
      </c>
      <c r="T32" s="62">
        <f>IF(OR($S32="",$S32&lt;&gt;MesCiclo),"",COUNTIF($S$5:$S32,MesCiclo))</f>
        <v/>
      </c>
      <c r="U32" s="62">
        <f>IF($V32="","",IF($V32="Macro",ROW(),IFERROR(LOOKUP(2,1/($V$5:$V32="Macro"),ROW($V$5:$V32)),0)))</f>
        <v/>
      </c>
      <c r="V32" s="62">
        <f>IF(NOT((COUNTA($B32:$D32)+COUNTA($G32:$L32)+COUNTA($Q32))&gt;0),"",IF($B32="Subactividad","Sub","Macro"))</f>
        <v/>
      </c>
      <c r="W32" s="62">
        <f>IF($V32="Macro",COUNTIFS($U$5:$U$1000,ROW(),$V$5:$V$1000,"Sub"),"")</f>
        <v/>
      </c>
      <c r="X32" s="62">
        <f>IF($V32="","",IF(ISNUMBER($G32),1,IFERROR(LOOKUP(2,1/($I32:$L32&lt;&gt;""),$I32:$L32),0)))</f>
        <v/>
      </c>
      <c r="Y32" s="62">
        <f>IF($V32="","",IF(AND(ISNUMBER($G32),$G32&lt;=IF($S32=MesCiclo,InicioCiclo,$S32+MOD(2-WEEKDAY($S32),7))+6),1,IF(ISNUMBER($I32),$I32,0)))</f>
        <v/>
      </c>
      <c r="Z32" s="62">
        <f>IF($V32="","",IF(AND(ISNUMBER($G32),$G32&lt;=IF($S32=MesCiclo,InicioCiclo,$S32+MOD(2-WEEKDAY($S32),7))+13),1,IF(ISNUMBER($J32),$J32,$Y32)))</f>
        <v/>
      </c>
      <c r="AA32" s="62">
        <f>IF($V32="","",IF(AND(ISNUMBER($G32),$G32&lt;=IF($S32=MesCiclo,InicioCiclo,$S32+MOD(2-WEEKDAY($S32),7))+20),1,IF(ISNUMBER($K32),$K32,$Z32)))</f>
        <v/>
      </c>
      <c r="AB32" s="62">
        <f>IF($V32="","",IF(AND(ISNUMBER($G32),$G32&lt;=IF($S32=MesCiclo,InicioCiclo,$S32+MOD(2-WEEKDAY($S32),7))+27),1,IF(ISNUMBER($L32),$L32,$AA32)))</f>
        <v/>
      </c>
      <c r="AC32" s="62">
        <f>IF($V32="","",IF(AND(ISNUMBER($G32),$G32&lt;=IF($S32=MesCiclo,InicioCiclo,$S32+MOD(2-WEEKDAY($S32),7))+6),1,IF(N($W32)&gt;0,AVERAGEIFS($Y$5:$Y$1000,$U$5:$U$1000,ROW(),$V$5:$V$1000,"Sub"),$Y32)))</f>
        <v/>
      </c>
      <c r="AD32" s="62">
        <f>IF($V32="","",IF(AND(ISNUMBER($G32),$G32&lt;=IF($S32=MesCiclo,InicioCiclo,$S32+MOD(2-WEEKDAY($S32),7))+13),1,IF(N($W32)&gt;0,AVERAGEIFS($Z$5:$Z$1000,$U$5:$U$1000,ROW(),$V$5:$V$1000,"Sub"),$Z32)))</f>
        <v/>
      </c>
      <c r="AE32" s="62">
        <f>IF($V32="","",IF(AND(ISNUMBER($G32),$G32&lt;=IF($S32=MesCiclo,InicioCiclo,$S32+MOD(2-WEEKDAY($S32),7))+20),1,IF(N($W32)&gt;0,AVERAGEIFS($AA$5:$AA$1000,$U$5:$U$1000,ROW(),$V$5:$V$1000,"Sub"),$AA32)))</f>
        <v/>
      </c>
      <c r="AF32" s="62">
        <f>IF($V32="","",IF(AND(ISNUMBER($G32),$G32&lt;=IF($S32=MesCiclo,InicioCiclo,$S32+MOD(2-WEEKDAY($S32),7))+27),1,IF(N($W32)&gt;0,AVERAGEIFS($AB$5:$AB$1000,$U$5:$U$1000,ROW(),$V$5:$V$1000,"Sub"),$AB32)))</f>
        <v/>
      </c>
      <c r="AG32" s="62">
        <f>IF($V32&lt;&gt;"Macro","",IF(COUNTIFS($S$5:$S$1000,$S32,$V$5:$V$1000,"Macro",$H$5:$H$1000,"&gt;0")=0,1/COUNTIFS($S$5:$S$1000,$S32,$V$5:$V$1000,"Macro"),IF(AND(ISNUMBER($H32),N($H32)&gt;0),$H32,SUMIFS($H$5:$H$1000,$S$5:$S$1000,$S32,$V$5:$V$1000,"Macro")/COUNTIFS($S$5:$S$1000,$S32,$V$5:$V$1000,"Macro",$H$5:$H$1000,"&gt;0"))/(COUNTIFS($S$5:$S$1000,$S32,$V$5:$V$1000,"Macro")*SUMIFS($H$5:$H$1000,$S$5:$S$1000,$S32,$V$5:$V$1000,"Macro")/COUNTIFS($S$5:$S$1000,$S32,$V$5:$V$1000,"Macro",$H$5:$H$1000,"&gt;0"))))</f>
        <v/>
      </c>
      <c r="AH32" s="62" t="n"/>
      <c r="AI32" s="62" t="n"/>
      <c r="AJ32" s="62" t="n"/>
      <c r="AK32" s="62" t="n"/>
      <c r="AL32" s="62">
        <f>IF(LEFT($C32,11)="[Jefatura] ",IFERROR(MATCH("Asistente Técnico de Riesgo|"&amp;MID($C32,12,500),rDname_ADM,0),0),"")</f>
        <v/>
      </c>
      <c r="AM32" s="62">
        <f>IF(N($AL32)&gt;0,INDEX(rIni_ADM,$AL32),IF(ISNUMBER($E32),$E32,""))</f>
        <v/>
      </c>
      <c r="AN32" s="62">
        <f>IF(N($AL32)&gt;0,INDEX(rLim_ADM,$AL32),IF(ISNUMBER($F32),$F32,""))</f>
        <v/>
      </c>
    </row>
    <row r="33">
      <c r="A33" s="56">
        <f>IF(NOT((COUNTA($B33:$D33)+COUNTA($G33:$L33)+COUNTA($Q33))&gt;0),"",IF($V33="Macro",COUNTIFS($V$5:$V33,"Macro",$S$5:$S33,$S33),IF(N($U33)=0,"?",COUNTIFS(INDEX($V$5:$V$1000,1):INDEX($V$5:$V$1000,$U33-4),"Macro",INDEX($S$5:$S$1000,1):INDEX($S$5:$S$1000,$U33-4),INDEX($S$5:$S$1000,$U33-4))&amp;"."&amp;COUNTIFS($U$5:$U33,$U33,$V$5:$V33,"Sub"))))</f>
        <v/>
      </c>
      <c r="B33" s="57" t="n"/>
      <c r="C33" s="58" t="n"/>
      <c r="D33" s="58" t="n"/>
      <c r="E33" s="59">
        <f>IF(N($AL33)&gt;0,INDEX(rIni_ADM,$AL33),"")</f>
        <v/>
      </c>
      <c r="F33" s="59">
        <f>IF(N($AL33)&gt;0,INDEX(rLim_ADM,$AL33),"")</f>
        <v/>
      </c>
      <c r="G33" s="59" t="n"/>
      <c r="H33" s="60" t="n"/>
      <c r="I33" s="60" t="n"/>
      <c r="J33" s="60" t="n"/>
      <c r="K33" s="60" t="n"/>
      <c r="L33" s="60" t="n"/>
      <c r="M33" s="61">
        <f>IF(NOT((COUNTA($B33:$D33)+COUNTA($G33:$L33)+COUNTA($Q33))&gt;0),"",IF(ISNUMBER($G33),1,IF(N($W33)&gt;0,AVERAGEIFS($X$5:$X$1000,$U$5:$U$1000,ROW(),$V$5:$V$1000,"Sub"),$X33)))</f>
        <v/>
      </c>
      <c r="N33" s="56">
        <f>IF($M33="","",IF($M33&gt;=1,"Completado",IF($M33&gt;0,"En curso","Pendiente")))</f>
        <v/>
      </c>
      <c r="O33" s="56">
        <f>IF(NOT((COUNTA($B33:$D33)+COUNTA($G33:$L33)+COUNTA($Q33))&gt;0),"",IF(ISNUMBER($G33),IF(AND(ISNUMBER($AN33),$G33&gt;$AN33),"Cumplida con "&amp;($G33-$AN33)&amp;IF($G33-$AN33=1," día"," días")&amp;" de retraso","Cumplida"),IF(N($M33)&gt;=1,"Cumplida",IF(NOT(ISNUMBER($AN33)),"Sin fecha límite",IF($AN33&lt;FechaRef,"Vencida hace "&amp;(FechaRef-$AN33)&amp;IF(FechaRef-$AN33=1," día"," días"),IF($AN33=FechaRef,"Vence hoy",IF($AN33-FechaRef&lt;=DiasAlerta,"Vence en "&amp;($AN33-FechaRef)&amp;IF($AN33-FechaRef=1," día"," días"),"En plazo")))))))</f>
        <v/>
      </c>
      <c r="P33" s="62" t="n"/>
      <c r="Q33" s="58" t="n"/>
      <c r="R33" s="63">
        <f>IF(NOT((COUNTA($B33:$D33)+COUNTA($G33:$L33)+COUNTA($Q33))&gt;0),"",IF((IF($C33="","Falta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",""))="","✔ OK","⚠ "&amp;LEFT(IF($C33="","Falta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",""),LEN(IF($C33="","Falta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",""))-3)))</f>
        <v/>
      </c>
      <c r="S33" s="64">
        <f>IF(NOT((COUNTA($B33:$D33)+COUNTA($G33:$L33)+COUNTA($Q33))&gt;0),"",IF(AND($V33="Sub",N($U33)&gt;0),IF(ISNUMBER(INDEX($AM$5:$AM$1000,$U33-4)),DATE(YEAR(INDEX($AM$5:$AM$1000,$U33-4)),MONTH(INDEX($AM$5:$AM$1000,$U33-4)),1),IF(ISNUMBER(INDEX($AN$5:$AN$1000,$U33-4)),DATE(YEAR(INDEX($AN$5:$AN$1000,$U33-4)),MONTH(INDEX($AN$5:$AN$1000,$U33-4)),1),MesCiclo)),IF(ISNUMBER($AM33),DATE(YEAR($AM33),MONTH($AM33),1),IF(ISNUMBER($AN33),DATE(YEAR($AN33),MONTH($AN33),1),MesCiclo))))</f>
        <v/>
      </c>
      <c r="T33" s="62">
        <f>IF(OR($S33="",$S33&lt;&gt;MesCiclo),"",COUNTIF($S$5:$S33,MesCiclo))</f>
        <v/>
      </c>
      <c r="U33" s="62">
        <f>IF($V33="","",IF($V33="Macro",ROW(),IFERROR(LOOKUP(2,1/($V$5:$V33="Macro"),ROW($V$5:$V33)),0)))</f>
        <v/>
      </c>
      <c r="V33" s="62">
        <f>IF(NOT((COUNTA($B33:$D33)+COUNTA($G33:$L33)+COUNTA($Q33))&gt;0),"",IF($B33="Subactividad","Sub","Macro"))</f>
        <v/>
      </c>
      <c r="W33" s="62">
        <f>IF($V33="Macro",COUNTIFS($U$5:$U$1000,ROW(),$V$5:$V$1000,"Sub"),"")</f>
        <v/>
      </c>
      <c r="X33" s="62">
        <f>IF($V33="","",IF(ISNUMBER($G33),1,IFERROR(LOOKUP(2,1/($I33:$L33&lt;&gt;""),$I33:$L33),0)))</f>
        <v/>
      </c>
      <c r="Y33" s="62">
        <f>IF($V33="","",IF(AND(ISNUMBER($G33),$G33&lt;=IF($S33=MesCiclo,InicioCiclo,$S33+MOD(2-WEEKDAY($S33),7))+6),1,IF(ISNUMBER($I33),$I33,0)))</f>
        <v/>
      </c>
      <c r="Z33" s="62">
        <f>IF($V33="","",IF(AND(ISNUMBER($G33),$G33&lt;=IF($S33=MesCiclo,InicioCiclo,$S33+MOD(2-WEEKDAY($S33),7))+13),1,IF(ISNUMBER($J33),$J33,$Y33)))</f>
        <v/>
      </c>
      <c r="AA33" s="62">
        <f>IF($V33="","",IF(AND(ISNUMBER($G33),$G33&lt;=IF($S33=MesCiclo,InicioCiclo,$S33+MOD(2-WEEKDAY($S33),7))+20),1,IF(ISNUMBER($K33),$K33,$Z33)))</f>
        <v/>
      </c>
      <c r="AB33" s="62">
        <f>IF($V33="","",IF(AND(ISNUMBER($G33),$G33&lt;=IF($S33=MesCiclo,InicioCiclo,$S33+MOD(2-WEEKDAY($S33),7))+27),1,IF(ISNUMBER($L33),$L33,$AA33)))</f>
        <v/>
      </c>
      <c r="AC33" s="62">
        <f>IF($V33="","",IF(AND(ISNUMBER($G33),$G33&lt;=IF($S33=MesCiclo,InicioCiclo,$S33+MOD(2-WEEKDAY($S33),7))+6),1,IF(N($W33)&gt;0,AVERAGEIFS($Y$5:$Y$1000,$U$5:$U$1000,ROW(),$V$5:$V$1000,"Sub"),$Y33)))</f>
        <v/>
      </c>
      <c r="AD33" s="62">
        <f>IF($V33="","",IF(AND(ISNUMBER($G33),$G33&lt;=IF($S33=MesCiclo,InicioCiclo,$S33+MOD(2-WEEKDAY($S33),7))+13),1,IF(N($W33)&gt;0,AVERAGEIFS($Z$5:$Z$1000,$U$5:$U$1000,ROW(),$V$5:$V$1000,"Sub"),$Z33)))</f>
        <v/>
      </c>
      <c r="AE33" s="62">
        <f>IF($V33="","",IF(AND(ISNUMBER($G33),$G33&lt;=IF($S33=MesCiclo,InicioCiclo,$S33+MOD(2-WEEKDAY($S33),7))+20),1,IF(N($W33)&gt;0,AVERAGEIFS($AA$5:$AA$1000,$U$5:$U$1000,ROW(),$V$5:$V$1000,"Sub"),$AA33)))</f>
        <v/>
      </c>
      <c r="AF33" s="62">
        <f>IF($V33="","",IF(AND(ISNUMBER($G33),$G33&lt;=IF($S33=MesCiclo,InicioCiclo,$S33+MOD(2-WEEKDAY($S33),7))+27),1,IF(N($W33)&gt;0,AVERAGEIFS($AB$5:$AB$1000,$U$5:$U$1000,ROW(),$V$5:$V$1000,"Sub"),$AB33)))</f>
        <v/>
      </c>
      <c r="AG33" s="62">
        <f>IF($V33&lt;&gt;"Macro","",IF(COUNTIFS($S$5:$S$1000,$S33,$V$5:$V$1000,"Macro",$H$5:$H$1000,"&gt;0")=0,1/COUNTIFS($S$5:$S$1000,$S33,$V$5:$V$1000,"Macro"),IF(AND(ISNUMBER($H33),N($H33)&gt;0),$H33,SUMIFS($H$5:$H$1000,$S$5:$S$1000,$S33,$V$5:$V$1000,"Macro")/COUNTIFS($S$5:$S$1000,$S33,$V$5:$V$1000,"Macro",$H$5:$H$1000,"&gt;0"))/(COUNTIFS($S$5:$S$1000,$S33,$V$5:$V$1000,"Macro")*SUMIFS($H$5:$H$1000,$S$5:$S$1000,$S33,$V$5:$V$1000,"Macro")/COUNTIFS($S$5:$S$1000,$S33,$V$5:$V$1000,"Macro",$H$5:$H$1000,"&gt;0"))))</f>
        <v/>
      </c>
      <c r="AH33" s="62" t="n"/>
      <c r="AI33" s="62" t="n"/>
      <c r="AJ33" s="62" t="n"/>
      <c r="AK33" s="62" t="n"/>
      <c r="AL33" s="62">
        <f>IF(LEFT($C33,11)="[Jefatura] ",IFERROR(MATCH("Asistente Técnico de Riesgo|"&amp;MID($C33,12,500),rDname_ADM,0),0),"")</f>
        <v/>
      </c>
      <c r="AM33" s="62">
        <f>IF(N($AL33)&gt;0,INDEX(rIni_ADM,$AL33),IF(ISNUMBER($E33),$E33,""))</f>
        <v/>
      </c>
      <c r="AN33" s="62">
        <f>IF(N($AL33)&gt;0,INDEX(rLim_ADM,$AL33),IF(ISNUMBER($F33),$F33,""))</f>
        <v/>
      </c>
    </row>
    <row r="34">
      <c r="A34" s="56">
        <f>IF(NOT((COUNTA($B34:$D34)+COUNTA($G34:$L34)+COUNTA($Q34))&gt;0),"",IF($V34="Macro",COUNTIFS($V$5:$V34,"Macro",$S$5:$S34,$S34),IF(N($U34)=0,"?",COUNTIFS(INDEX($V$5:$V$1000,1):INDEX($V$5:$V$1000,$U34-4),"Macro",INDEX($S$5:$S$1000,1):INDEX($S$5:$S$1000,$U34-4),INDEX($S$5:$S$1000,$U34-4))&amp;"."&amp;COUNTIFS($U$5:$U34,$U34,$V$5:$V34,"Sub"))))</f>
        <v/>
      </c>
      <c r="B34" s="57" t="n"/>
      <c r="C34" s="58" t="n"/>
      <c r="D34" s="58" t="n"/>
      <c r="E34" s="59">
        <f>IF(N($AL34)&gt;0,INDEX(rIni_ADM,$AL34),"")</f>
        <v/>
      </c>
      <c r="F34" s="59">
        <f>IF(N($AL34)&gt;0,INDEX(rLim_ADM,$AL34),"")</f>
        <v/>
      </c>
      <c r="G34" s="59" t="n"/>
      <c r="H34" s="60" t="n"/>
      <c r="I34" s="60" t="n"/>
      <c r="J34" s="60" t="n"/>
      <c r="K34" s="60" t="n"/>
      <c r="L34" s="60" t="n"/>
      <c r="M34" s="61">
        <f>IF(NOT((COUNTA($B34:$D34)+COUNTA($G34:$L34)+COUNTA($Q34))&gt;0),"",IF(ISNUMBER($G34),1,IF(N($W34)&gt;0,AVERAGEIFS($X$5:$X$1000,$U$5:$U$1000,ROW(),$V$5:$V$1000,"Sub"),$X34)))</f>
        <v/>
      </c>
      <c r="N34" s="56">
        <f>IF($M34="","",IF($M34&gt;=1,"Completado",IF($M34&gt;0,"En curso","Pendiente")))</f>
        <v/>
      </c>
      <c r="O34" s="56">
        <f>IF(NOT((COUNTA($B34:$D34)+COUNTA($G34:$L34)+COUNTA($Q34))&gt;0),"",IF(ISNUMBER($G34),IF(AND(ISNUMBER($AN34),$G34&gt;$AN34),"Cumplida con "&amp;($G34-$AN34)&amp;IF($G34-$AN34=1," día"," días")&amp;" de retraso","Cumplida"),IF(N($M34)&gt;=1,"Cumplida",IF(NOT(ISNUMBER($AN34)),"Sin fecha límite",IF($AN34&lt;FechaRef,"Vencida hace "&amp;(FechaRef-$AN34)&amp;IF(FechaRef-$AN34=1," día"," días"),IF($AN34=FechaRef,"Vence hoy",IF($AN34-FechaRef&lt;=DiasAlerta,"Vence en "&amp;($AN34-FechaRef)&amp;IF($AN34-FechaRef=1," día"," días"),"En plazo")))))))</f>
        <v/>
      </c>
      <c r="P34" s="62" t="n"/>
      <c r="Q34" s="58" t="n"/>
      <c r="R34" s="63">
        <f>IF(NOT((COUNTA($B34:$D34)+COUNTA($G34:$L34)+COUNTA($Q34))&gt;0),"",IF((IF($C34="","Falta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",""))="","✔ OK","⚠ "&amp;LEFT(IF($C34="","Falta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",""),LEN(IF($C34="","Falta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",""))-3)))</f>
        <v/>
      </c>
      <c r="S34" s="64">
        <f>IF(NOT((COUNTA($B34:$D34)+COUNTA($G34:$L34)+COUNTA($Q34))&gt;0),"",IF(AND($V34="Sub",N($U34)&gt;0),IF(ISNUMBER(INDEX($AM$5:$AM$1000,$U34-4)),DATE(YEAR(INDEX($AM$5:$AM$1000,$U34-4)),MONTH(INDEX($AM$5:$AM$1000,$U34-4)),1),IF(ISNUMBER(INDEX($AN$5:$AN$1000,$U34-4)),DATE(YEAR(INDEX($AN$5:$AN$1000,$U34-4)),MONTH(INDEX($AN$5:$AN$1000,$U34-4)),1),MesCiclo)),IF(ISNUMBER($AM34),DATE(YEAR($AM34),MONTH($AM34),1),IF(ISNUMBER($AN34),DATE(YEAR($AN34),MONTH($AN34),1),MesCiclo))))</f>
        <v/>
      </c>
      <c r="T34" s="62">
        <f>IF(OR($S34="",$S34&lt;&gt;MesCiclo),"",COUNTIF($S$5:$S34,MesCiclo))</f>
        <v/>
      </c>
      <c r="U34" s="62">
        <f>IF($V34="","",IF($V34="Macro",ROW(),IFERROR(LOOKUP(2,1/($V$5:$V34="Macro"),ROW($V$5:$V34)),0)))</f>
        <v/>
      </c>
      <c r="V34" s="62">
        <f>IF(NOT((COUNTA($B34:$D34)+COUNTA($G34:$L34)+COUNTA($Q34))&gt;0),"",IF($B34="Subactividad","Sub","Macro"))</f>
        <v/>
      </c>
      <c r="W34" s="62">
        <f>IF($V34="Macro",COUNTIFS($U$5:$U$1000,ROW(),$V$5:$V$1000,"Sub"),"")</f>
        <v/>
      </c>
      <c r="X34" s="62">
        <f>IF($V34="","",IF(ISNUMBER($G34),1,IFERROR(LOOKUP(2,1/($I34:$L34&lt;&gt;""),$I34:$L34),0)))</f>
        <v/>
      </c>
      <c r="Y34" s="62">
        <f>IF($V34="","",IF(AND(ISNUMBER($G34),$G34&lt;=IF($S34=MesCiclo,InicioCiclo,$S34+MOD(2-WEEKDAY($S34),7))+6),1,IF(ISNUMBER($I34),$I34,0)))</f>
        <v/>
      </c>
      <c r="Z34" s="62">
        <f>IF($V34="","",IF(AND(ISNUMBER($G34),$G34&lt;=IF($S34=MesCiclo,InicioCiclo,$S34+MOD(2-WEEKDAY($S34),7))+13),1,IF(ISNUMBER($J34),$J34,$Y34)))</f>
        <v/>
      </c>
      <c r="AA34" s="62">
        <f>IF($V34="","",IF(AND(ISNUMBER($G34),$G34&lt;=IF($S34=MesCiclo,InicioCiclo,$S34+MOD(2-WEEKDAY($S34),7))+20),1,IF(ISNUMBER($K34),$K34,$Z34)))</f>
        <v/>
      </c>
      <c r="AB34" s="62">
        <f>IF($V34="","",IF(AND(ISNUMBER($G34),$G34&lt;=IF($S34=MesCiclo,InicioCiclo,$S34+MOD(2-WEEKDAY($S34),7))+27),1,IF(ISNUMBER($L34),$L34,$AA34)))</f>
        <v/>
      </c>
      <c r="AC34" s="62">
        <f>IF($V34="","",IF(AND(ISNUMBER($G34),$G34&lt;=IF($S34=MesCiclo,InicioCiclo,$S34+MOD(2-WEEKDAY($S34),7))+6),1,IF(N($W34)&gt;0,AVERAGEIFS($Y$5:$Y$1000,$U$5:$U$1000,ROW(),$V$5:$V$1000,"Sub"),$Y34)))</f>
        <v/>
      </c>
      <c r="AD34" s="62">
        <f>IF($V34="","",IF(AND(ISNUMBER($G34),$G34&lt;=IF($S34=MesCiclo,InicioCiclo,$S34+MOD(2-WEEKDAY($S34),7))+13),1,IF(N($W34)&gt;0,AVERAGEIFS($Z$5:$Z$1000,$U$5:$U$1000,ROW(),$V$5:$V$1000,"Sub"),$Z34)))</f>
        <v/>
      </c>
      <c r="AE34" s="62">
        <f>IF($V34="","",IF(AND(ISNUMBER($G34),$G34&lt;=IF($S34=MesCiclo,InicioCiclo,$S34+MOD(2-WEEKDAY($S34),7))+20),1,IF(N($W34)&gt;0,AVERAGEIFS($AA$5:$AA$1000,$U$5:$U$1000,ROW(),$V$5:$V$1000,"Sub"),$AA34)))</f>
        <v/>
      </c>
      <c r="AF34" s="62">
        <f>IF($V34="","",IF(AND(ISNUMBER($G34),$G34&lt;=IF($S34=MesCiclo,InicioCiclo,$S34+MOD(2-WEEKDAY($S34),7))+27),1,IF(N($W34)&gt;0,AVERAGEIFS($AB$5:$AB$1000,$U$5:$U$1000,ROW(),$V$5:$V$1000,"Sub"),$AB34)))</f>
        <v/>
      </c>
      <c r="AG34" s="62">
        <f>IF($V34&lt;&gt;"Macro","",IF(COUNTIFS($S$5:$S$1000,$S34,$V$5:$V$1000,"Macro",$H$5:$H$1000,"&gt;0")=0,1/COUNTIFS($S$5:$S$1000,$S34,$V$5:$V$1000,"Macro"),IF(AND(ISNUMBER($H34),N($H34)&gt;0),$H34,SUMIFS($H$5:$H$1000,$S$5:$S$1000,$S34,$V$5:$V$1000,"Macro")/COUNTIFS($S$5:$S$1000,$S34,$V$5:$V$1000,"Macro",$H$5:$H$1000,"&gt;0"))/(COUNTIFS($S$5:$S$1000,$S34,$V$5:$V$1000,"Macro")*SUMIFS($H$5:$H$1000,$S$5:$S$1000,$S34,$V$5:$V$1000,"Macro")/COUNTIFS($S$5:$S$1000,$S34,$V$5:$V$1000,"Macro",$H$5:$H$1000,"&gt;0"))))</f>
        <v/>
      </c>
      <c r="AH34" s="62" t="n"/>
      <c r="AI34" s="62" t="n"/>
      <c r="AJ34" s="62" t="n"/>
      <c r="AK34" s="62" t="n"/>
      <c r="AL34" s="62">
        <f>IF(LEFT($C34,11)="[Jefatura] ",IFERROR(MATCH("Asistente Técnico de Riesgo|"&amp;MID($C34,12,500),rDname_ADM,0),0),"")</f>
        <v/>
      </c>
      <c r="AM34" s="62">
        <f>IF(N($AL34)&gt;0,INDEX(rIni_ADM,$AL34),IF(ISNUMBER($E34),$E34,""))</f>
        <v/>
      </c>
      <c r="AN34" s="62">
        <f>IF(N($AL34)&gt;0,INDEX(rLim_ADM,$AL34),IF(ISNUMBER($F34),$F34,""))</f>
        <v/>
      </c>
    </row>
    <row r="35">
      <c r="A35" s="56">
        <f>IF(NOT((COUNTA($B35:$D35)+COUNTA($G35:$L35)+COUNTA($Q35))&gt;0),"",IF($V35="Macro",COUNTIFS($V$5:$V35,"Macro",$S$5:$S35,$S35),IF(N($U35)=0,"?",COUNTIFS(INDEX($V$5:$V$1000,1):INDEX($V$5:$V$1000,$U35-4),"Macro",INDEX($S$5:$S$1000,1):INDEX($S$5:$S$1000,$U35-4),INDEX($S$5:$S$1000,$U35-4))&amp;"."&amp;COUNTIFS($U$5:$U35,$U35,$V$5:$V35,"Sub"))))</f>
        <v/>
      </c>
      <c r="B35" s="57" t="n"/>
      <c r="C35" s="58" t="n"/>
      <c r="D35" s="58" t="n"/>
      <c r="E35" s="59">
        <f>IF(N($AL35)&gt;0,INDEX(rIni_ADM,$AL35),"")</f>
        <v/>
      </c>
      <c r="F35" s="59">
        <f>IF(N($AL35)&gt;0,INDEX(rLim_ADM,$AL35),"")</f>
        <v/>
      </c>
      <c r="G35" s="59" t="n"/>
      <c r="H35" s="60" t="n"/>
      <c r="I35" s="60" t="n"/>
      <c r="J35" s="60" t="n"/>
      <c r="K35" s="60" t="n"/>
      <c r="L35" s="60" t="n"/>
      <c r="M35" s="61">
        <f>IF(NOT((COUNTA($B35:$D35)+COUNTA($G35:$L35)+COUNTA($Q35))&gt;0),"",IF(ISNUMBER($G35),1,IF(N($W35)&gt;0,AVERAGEIFS($X$5:$X$1000,$U$5:$U$1000,ROW(),$V$5:$V$1000,"Sub"),$X35)))</f>
        <v/>
      </c>
      <c r="N35" s="56">
        <f>IF($M35="","",IF($M35&gt;=1,"Completado",IF($M35&gt;0,"En curso","Pendiente")))</f>
        <v/>
      </c>
      <c r="O35" s="56">
        <f>IF(NOT((COUNTA($B35:$D35)+COUNTA($G35:$L35)+COUNTA($Q35))&gt;0),"",IF(ISNUMBER($G35),IF(AND(ISNUMBER($AN35),$G35&gt;$AN35),"Cumplida con "&amp;($G35-$AN35)&amp;IF($G35-$AN35=1," día"," días")&amp;" de retraso","Cumplida"),IF(N($M35)&gt;=1,"Cumplida",IF(NOT(ISNUMBER($AN35)),"Sin fecha límite",IF($AN35&lt;FechaRef,"Vencida hace "&amp;(FechaRef-$AN35)&amp;IF(FechaRef-$AN35=1," día"," días"),IF($AN35=FechaRef,"Vence hoy",IF($AN35-FechaRef&lt;=DiasAlerta,"Vence en "&amp;($AN35-FechaRef)&amp;IF($AN35-FechaRef=1," día"," días"),"En plazo")))))))</f>
        <v/>
      </c>
      <c r="P35" s="62" t="n"/>
      <c r="Q35" s="58" t="n"/>
      <c r="R35" s="63">
        <f>IF(NOT((COUNTA($B35:$D35)+COUNTA($G35:$L35)+COUNTA($Q35))&gt;0),"",IF((IF($C35="","Falta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",""))="","✔ OK","⚠ "&amp;LEFT(IF($C35="","Falta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",""),LEN(IF($C35="","Falta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",""))-3)))</f>
        <v/>
      </c>
      <c r="S35" s="64">
        <f>IF(NOT((COUNTA($B35:$D35)+COUNTA($G35:$L35)+COUNTA($Q35))&gt;0),"",IF(AND($V35="Sub",N($U35)&gt;0),IF(ISNUMBER(INDEX($AM$5:$AM$1000,$U35-4)),DATE(YEAR(INDEX($AM$5:$AM$1000,$U35-4)),MONTH(INDEX($AM$5:$AM$1000,$U35-4)),1),IF(ISNUMBER(INDEX($AN$5:$AN$1000,$U35-4)),DATE(YEAR(INDEX($AN$5:$AN$1000,$U35-4)),MONTH(INDEX($AN$5:$AN$1000,$U35-4)),1),MesCiclo)),IF(ISNUMBER($AM35),DATE(YEAR($AM35),MONTH($AM35),1),IF(ISNUMBER($AN35),DATE(YEAR($AN35),MONTH($AN35),1),MesCiclo))))</f>
        <v/>
      </c>
      <c r="T35" s="62">
        <f>IF(OR($S35="",$S35&lt;&gt;MesCiclo),"",COUNTIF($S$5:$S35,MesCiclo))</f>
        <v/>
      </c>
      <c r="U35" s="62">
        <f>IF($V35="","",IF($V35="Macro",ROW(),IFERROR(LOOKUP(2,1/($V$5:$V35="Macro"),ROW($V$5:$V35)),0)))</f>
        <v/>
      </c>
      <c r="V35" s="62">
        <f>IF(NOT((COUNTA($B35:$D35)+COUNTA($G35:$L35)+COUNTA($Q35))&gt;0),"",IF($B35="Subactividad","Sub","Macro"))</f>
        <v/>
      </c>
      <c r="W35" s="62">
        <f>IF($V35="Macro",COUNTIFS($U$5:$U$1000,ROW(),$V$5:$V$1000,"Sub"),"")</f>
        <v/>
      </c>
      <c r="X35" s="62">
        <f>IF($V35="","",IF(ISNUMBER($G35),1,IFERROR(LOOKUP(2,1/($I35:$L35&lt;&gt;""),$I35:$L35),0)))</f>
        <v/>
      </c>
      <c r="Y35" s="62">
        <f>IF($V35="","",IF(AND(ISNUMBER($G35),$G35&lt;=IF($S35=MesCiclo,InicioCiclo,$S35+MOD(2-WEEKDAY($S35),7))+6),1,IF(ISNUMBER($I35),$I35,0)))</f>
        <v/>
      </c>
      <c r="Z35" s="62">
        <f>IF($V35="","",IF(AND(ISNUMBER($G35),$G35&lt;=IF($S35=MesCiclo,InicioCiclo,$S35+MOD(2-WEEKDAY($S35),7))+13),1,IF(ISNUMBER($J35),$J35,$Y35)))</f>
        <v/>
      </c>
      <c r="AA35" s="62">
        <f>IF($V35="","",IF(AND(ISNUMBER($G35),$G35&lt;=IF($S35=MesCiclo,InicioCiclo,$S35+MOD(2-WEEKDAY($S35),7))+20),1,IF(ISNUMBER($K35),$K35,$Z35)))</f>
        <v/>
      </c>
      <c r="AB35" s="62">
        <f>IF($V35="","",IF(AND(ISNUMBER($G35),$G35&lt;=IF($S35=MesCiclo,InicioCiclo,$S35+MOD(2-WEEKDAY($S35),7))+27),1,IF(ISNUMBER($L35),$L35,$AA35)))</f>
        <v/>
      </c>
      <c r="AC35" s="62">
        <f>IF($V35="","",IF(AND(ISNUMBER($G35),$G35&lt;=IF($S35=MesCiclo,InicioCiclo,$S35+MOD(2-WEEKDAY($S35),7))+6),1,IF(N($W35)&gt;0,AVERAGEIFS($Y$5:$Y$1000,$U$5:$U$1000,ROW(),$V$5:$V$1000,"Sub"),$Y35)))</f>
        <v/>
      </c>
      <c r="AD35" s="62">
        <f>IF($V35="","",IF(AND(ISNUMBER($G35),$G35&lt;=IF($S35=MesCiclo,InicioCiclo,$S35+MOD(2-WEEKDAY($S35),7))+13),1,IF(N($W35)&gt;0,AVERAGEIFS($Z$5:$Z$1000,$U$5:$U$1000,ROW(),$V$5:$V$1000,"Sub"),$Z35)))</f>
        <v/>
      </c>
      <c r="AE35" s="62">
        <f>IF($V35="","",IF(AND(ISNUMBER($G35),$G35&lt;=IF($S35=MesCiclo,InicioCiclo,$S35+MOD(2-WEEKDAY($S35),7))+20),1,IF(N($W35)&gt;0,AVERAGEIFS($AA$5:$AA$1000,$U$5:$U$1000,ROW(),$V$5:$V$1000,"Sub"),$AA35)))</f>
        <v/>
      </c>
      <c r="AF35" s="62">
        <f>IF($V35="","",IF(AND(ISNUMBER($G35),$G35&lt;=IF($S35=MesCiclo,InicioCiclo,$S35+MOD(2-WEEKDAY($S35),7))+27),1,IF(N($W35)&gt;0,AVERAGEIFS($AB$5:$AB$1000,$U$5:$U$1000,ROW(),$V$5:$V$1000,"Sub"),$AB35)))</f>
        <v/>
      </c>
      <c r="AG35" s="62">
        <f>IF($V35&lt;&gt;"Macro","",IF(COUNTIFS($S$5:$S$1000,$S35,$V$5:$V$1000,"Macro",$H$5:$H$1000,"&gt;0")=0,1/COUNTIFS($S$5:$S$1000,$S35,$V$5:$V$1000,"Macro"),IF(AND(ISNUMBER($H35),N($H35)&gt;0),$H35,SUMIFS($H$5:$H$1000,$S$5:$S$1000,$S35,$V$5:$V$1000,"Macro")/COUNTIFS($S$5:$S$1000,$S35,$V$5:$V$1000,"Macro",$H$5:$H$1000,"&gt;0"))/(COUNTIFS($S$5:$S$1000,$S35,$V$5:$V$1000,"Macro")*SUMIFS($H$5:$H$1000,$S$5:$S$1000,$S35,$V$5:$V$1000,"Macro")/COUNTIFS($S$5:$S$1000,$S35,$V$5:$V$1000,"Macro",$H$5:$H$1000,"&gt;0"))))</f>
        <v/>
      </c>
      <c r="AH35" s="62" t="n"/>
      <c r="AI35" s="62" t="n"/>
      <c r="AJ35" s="62" t="n"/>
      <c r="AK35" s="62" t="n"/>
      <c r="AL35" s="62">
        <f>IF(LEFT($C35,11)="[Jefatura] ",IFERROR(MATCH("Asistente Técnico de Riesgo|"&amp;MID($C35,12,500),rDname_ADM,0),0),"")</f>
        <v/>
      </c>
      <c r="AM35" s="62">
        <f>IF(N($AL35)&gt;0,INDEX(rIni_ADM,$AL35),IF(ISNUMBER($E35),$E35,""))</f>
        <v/>
      </c>
      <c r="AN35" s="62">
        <f>IF(N($AL35)&gt;0,INDEX(rLim_ADM,$AL35),IF(ISNUMBER($F35),$F35,""))</f>
        <v/>
      </c>
    </row>
    <row r="36">
      <c r="A36" s="56">
        <f>IF(NOT((COUNTA($B36:$D36)+COUNTA($G36:$L36)+COUNTA($Q36))&gt;0),"",IF($V36="Macro",COUNTIFS($V$5:$V36,"Macro",$S$5:$S36,$S36),IF(N($U36)=0,"?",COUNTIFS(INDEX($V$5:$V$1000,1):INDEX($V$5:$V$1000,$U36-4),"Macro",INDEX($S$5:$S$1000,1):INDEX($S$5:$S$1000,$U36-4),INDEX($S$5:$S$1000,$U36-4))&amp;"."&amp;COUNTIFS($U$5:$U36,$U36,$V$5:$V36,"Sub"))))</f>
        <v/>
      </c>
      <c r="B36" s="57" t="n"/>
      <c r="C36" s="58" t="n"/>
      <c r="D36" s="58" t="n"/>
      <c r="E36" s="59">
        <f>IF(N($AL36)&gt;0,INDEX(rIni_ADM,$AL36),"")</f>
        <v/>
      </c>
      <c r="F36" s="59">
        <f>IF(N($AL36)&gt;0,INDEX(rLim_ADM,$AL36),"")</f>
        <v/>
      </c>
      <c r="G36" s="59" t="n"/>
      <c r="H36" s="60" t="n"/>
      <c r="I36" s="60" t="n"/>
      <c r="J36" s="60" t="n"/>
      <c r="K36" s="60" t="n"/>
      <c r="L36" s="60" t="n"/>
      <c r="M36" s="61">
        <f>IF(NOT((COUNTA($B36:$D36)+COUNTA($G36:$L36)+COUNTA($Q36))&gt;0),"",IF(ISNUMBER($G36),1,IF(N($W36)&gt;0,AVERAGEIFS($X$5:$X$1000,$U$5:$U$1000,ROW(),$V$5:$V$1000,"Sub"),$X36)))</f>
        <v/>
      </c>
      <c r="N36" s="56">
        <f>IF($M36="","",IF($M36&gt;=1,"Completado",IF($M36&gt;0,"En curso","Pendiente")))</f>
        <v/>
      </c>
      <c r="O36" s="56">
        <f>IF(NOT((COUNTA($B36:$D36)+COUNTA($G36:$L36)+COUNTA($Q36))&gt;0),"",IF(ISNUMBER($G36),IF(AND(ISNUMBER($AN36),$G36&gt;$AN36),"Cumplida con "&amp;($G36-$AN36)&amp;IF($G36-$AN36=1," día"," días")&amp;" de retraso","Cumplida"),IF(N($M36)&gt;=1,"Cumplida",IF(NOT(ISNUMBER($AN36)),"Sin fecha límite",IF($AN36&lt;FechaRef,"Vencida hace "&amp;(FechaRef-$AN36)&amp;IF(FechaRef-$AN36=1," día"," días"),IF($AN36=FechaRef,"Vence hoy",IF($AN36-FechaRef&lt;=DiasAlerta,"Vence en "&amp;($AN36-FechaRef)&amp;IF($AN36-FechaRef=1," día"," días"),"En plazo")))))))</f>
        <v/>
      </c>
      <c r="P36" s="62" t="n"/>
      <c r="Q36" s="58" t="n"/>
      <c r="R36" s="63">
        <f>IF(NOT((COUNTA($B36:$D36)+COUNTA($G36:$L36)+COUNTA($Q36))&gt;0),"",IF((IF($C36="","Falta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",""))="","✔ OK","⚠ "&amp;LEFT(IF($C36="","Falta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",""),LEN(IF($C36="","Falta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",""))-3)))</f>
        <v/>
      </c>
      <c r="S36" s="64">
        <f>IF(NOT((COUNTA($B36:$D36)+COUNTA($G36:$L36)+COUNTA($Q36))&gt;0),"",IF(AND($V36="Sub",N($U36)&gt;0),IF(ISNUMBER(INDEX($AM$5:$AM$1000,$U36-4)),DATE(YEAR(INDEX($AM$5:$AM$1000,$U36-4)),MONTH(INDEX($AM$5:$AM$1000,$U36-4)),1),IF(ISNUMBER(INDEX($AN$5:$AN$1000,$U36-4)),DATE(YEAR(INDEX($AN$5:$AN$1000,$U36-4)),MONTH(INDEX($AN$5:$AN$1000,$U36-4)),1),MesCiclo)),IF(ISNUMBER($AM36),DATE(YEAR($AM36),MONTH($AM36),1),IF(ISNUMBER($AN36),DATE(YEAR($AN36),MONTH($AN36),1),MesCiclo))))</f>
        <v/>
      </c>
      <c r="T36" s="62">
        <f>IF(OR($S36="",$S36&lt;&gt;MesCiclo),"",COUNTIF($S$5:$S36,MesCiclo))</f>
        <v/>
      </c>
      <c r="U36" s="62">
        <f>IF($V36="","",IF($V36="Macro",ROW(),IFERROR(LOOKUP(2,1/($V$5:$V36="Macro"),ROW($V$5:$V36)),0)))</f>
        <v/>
      </c>
      <c r="V36" s="62">
        <f>IF(NOT((COUNTA($B36:$D36)+COUNTA($G36:$L36)+COUNTA($Q36))&gt;0),"",IF($B36="Subactividad","Sub","Macro"))</f>
        <v/>
      </c>
      <c r="W36" s="62">
        <f>IF($V36="Macro",COUNTIFS($U$5:$U$1000,ROW(),$V$5:$V$1000,"Sub"),"")</f>
        <v/>
      </c>
      <c r="X36" s="62">
        <f>IF($V36="","",IF(ISNUMBER($G36),1,IFERROR(LOOKUP(2,1/($I36:$L36&lt;&gt;""),$I36:$L36),0)))</f>
        <v/>
      </c>
      <c r="Y36" s="62">
        <f>IF($V36="","",IF(AND(ISNUMBER($G36),$G36&lt;=IF($S36=MesCiclo,InicioCiclo,$S36+MOD(2-WEEKDAY($S36),7))+6),1,IF(ISNUMBER($I36),$I36,0)))</f>
        <v/>
      </c>
      <c r="Z36" s="62">
        <f>IF($V36="","",IF(AND(ISNUMBER($G36),$G36&lt;=IF($S36=MesCiclo,InicioCiclo,$S36+MOD(2-WEEKDAY($S36),7))+13),1,IF(ISNUMBER($J36),$J36,$Y36)))</f>
        <v/>
      </c>
      <c r="AA36" s="62">
        <f>IF($V36="","",IF(AND(ISNUMBER($G36),$G36&lt;=IF($S36=MesCiclo,InicioCiclo,$S36+MOD(2-WEEKDAY($S36),7))+20),1,IF(ISNUMBER($K36),$K36,$Z36)))</f>
        <v/>
      </c>
      <c r="AB36" s="62">
        <f>IF($V36="","",IF(AND(ISNUMBER($G36),$G36&lt;=IF($S36=MesCiclo,InicioCiclo,$S36+MOD(2-WEEKDAY($S36),7))+27),1,IF(ISNUMBER($L36),$L36,$AA36)))</f>
        <v/>
      </c>
      <c r="AC36" s="62">
        <f>IF($V36="","",IF(AND(ISNUMBER($G36),$G36&lt;=IF($S36=MesCiclo,InicioCiclo,$S36+MOD(2-WEEKDAY($S36),7))+6),1,IF(N($W36)&gt;0,AVERAGEIFS($Y$5:$Y$1000,$U$5:$U$1000,ROW(),$V$5:$V$1000,"Sub"),$Y36)))</f>
        <v/>
      </c>
      <c r="AD36" s="62">
        <f>IF($V36="","",IF(AND(ISNUMBER($G36),$G36&lt;=IF($S36=MesCiclo,InicioCiclo,$S36+MOD(2-WEEKDAY($S36),7))+13),1,IF(N($W36)&gt;0,AVERAGEIFS($Z$5:$Z$1000,$U$5:$U$1000,ROW(),$V$5:$V$1000,"Sub"),$Z36)))</f>
        <v/>
      </c>
      <c r="AE36" s="62">
        <f>IF($V36="","",IF(AND(ISNUMBER($G36),$G36&lt;=IF($S36=MesCiclo,InicioCiclo,$S36+MOD(2-WEEKDAY($S36),7))+20),1,IF(N($W36)&gt;0,AVERAGEIFS($AA$5:$AA$1000,$U$5:$U$1000,ROW(),$V$5:$V$1000,"Sub"),$AA36)))</f>
        <v/>
      </c>
      <c r="AF36" s="62">
        <f>IF($V36="","",IF(AND(ISNUMBER($G36),$G36&lt;=IF($S36=MesCiclo,InicioCiclo,$S36+MOD(2-WEEKDAY($S36),7))+27),1,IF(N($W36)&gt;0,AVERAGEIFS($AB$5:$AB$1000,$U$5:$U$1000,ROW(),$V$5:$V$1000,"Sub"),$AB36)))</f>
        <v/>
      </c>
      <c r="AG36" s="62">
        <f>IF($V36&lt;&gt;"Macro","",IF(COUNTIFS($S$5:$S$1000,$S36,$V$5:$V$1000,"Macro",$H$5:$H$1000,"&gt;0")=0,1/COUNTIFS($S$5:$S$1000,$S36,$V$5:$V$1000,"Macro"),IF(AND(ISNUMBER($H36),N($H36)&gt;0),$H36,SUMIFS($H$5:$H$1000,$S$5:$S$1000,$S36,$V$5:$V$1000,"Macro")/COUNTIFS($S$5:$S$1000,$S36,$V$5:$V$1000,"Macro",$H$5:$H$1000,"&gt;0"))/(COUNTIFS($S$5:$S$1000,$S36,$V$5:$V$1000,"Macro")*SUMIFS($H$5:$H$1000,$S$5:$S$1000,$S36,$V$5:$V$1000,"Macro")/COUNTIFS($S$5:$S$1000,$S36,$V$5:$V$1000,"Macro",$H$5:$H$1000,"&gt;0"))))</f>
        <v/>
      </c>
      <c r="AH36" s="62" t="n"/>
      <c r="AI36" s="62" t="n"/>
      <c r="AJ36" s="62" t="n"/>
      <c r="AK36" s="62" t="n"/>
      <c r="AL36" s="62">
        <f>IF(LEFT($C36,11)="[Jefatura] ",IFERROR(MATCH("Asistente Técnico de Riesgo|"&amp;MID($C36,12,500),rDname_ADM,0),0),"")</f>
        <v/>
      </c>
      <c r="AM36" s="62">
        <f>IF(N($AL36)&gt;0,INDEX(rIni_ADM,$AL36),IF(ISNUMBER($E36),$E36,""))</f>
        <v/>
      </c>
      <c r="AN36" s="62">
        <f>IF(N($AL36)&gt;0,INDEX(rLim_ADM,$AL36),IF(ISNUMBER($F36),$F36,""))</f>
        <v/>
      </c>
    </row>
    <row r="37">
      <c r="A37" s="56">
        <f>IF(NOT((COUNTA($B37:$D37)+COUNTA($G37:$L37)+COUNTA($Q37))&gt;0),"",IF($V37="Macro",COUNTIFS($V$5:$V37,"Macro",$S$5:$S37,$S37),IF(N($U37)=0,"?",COUNTIFS(INDEX($V$5:$V$1000,1):INDEX($V$5:$V$1000,$U37-4),"Macro",INDEX($S$5:$S$1000,1):INDEX($S$5:$S$1000,$U37-4),INDEX($S$5:$S$1000,$U37-4))&amp;"."&amp;COUNTIFS($U$5:$U37,$U37,$V$5:$V37,"Sub"))))</f>
        <v/>
      </c>
      <c r="B37" s="57" t="n"/>
      <c r="C37" s="58" t="n"/>
      <c r="D37" s="58" t="n"/>
      <c r="E37" s="59">
        <f>IF(N($AL37)&gt;0,INDEX(rIni_ADM,$AL37),"")</f>
        <v/>
      </c>
      <c r="F37" s="59">
        <f>IF(N($AL37)&gt;0,INDEX(rLim_ADM,$AL37),"")</f>
        <v/>
      </c>
      <c r="G37" s="59" t="n"/>
      <c r="H37" s="60" t="n"/>
      <c r="I37" s="60" t="n"/>
      <c r="J37" s="60" t="n"/>
      <c r="K37" s="60" t="n"/>
      <c r="L37" s="60" t="n"/>
      <c r="M37" s="61">
        <f>IF(NOT((COUNTA($B37:$D37)+COUNTA($G37:$L37)+COUNTA($Q37))&gt;0),"",IF(ISNUMBER($G37),1,IF(N($W37)&gt;0,AVERAGEIFS($X$5:$X$1000,$U$5:$U$1000,ROW(),$V$5:$V$1000,"Sub"),$X37)))</f>
        <v/>
      </c>
      <c r="N37" s="56">
        <f>IF($M37="","",IF($M37&gt;=1,"Completado",IF($M37&gt;0,"En curso","Pendiente")))</f>
        <v/>
      </c>
      <c r="O37" s="56">
        <f>IF(NOT((COUNTA($B37:$D37)+COUNTA($G37:$L37)+COUNTA($Q37))&gt;0),"",IF(ISNUMBER($G37),IF(AND(ISNUMBER($AN37),$G37&gt;$AN37),"Cumplida con "&amp;($G37-$AN37)&amp;IF($G37-$AN37=1," día"," días")&amp;" de retraso","Cumplida"),IF(N($M37)&gt;=1,"Cumplida",IF(NOT(ISNUMBER($AN37)),"Sin fecha límite",IF($AN37&lt;FechaRef,"Vencida hace "&amp;(FechaRef-$AN37)&amp;IF(FechaRef-$AN37=1," día"," días"),IF($AN37=FechaRef,"Vence hoy",IF($AN37-FechaRef&lt;=DiasAlerta,"Vence en "&amp;($AN37-FechaRef)&amp;IF($AN37-FechaRef=1," día"," días"),"En plazo")))))))</f>
        <v/>
      </c>
      <c r="P37" s="62" t="n"/>
      <c r="Q37" s="58" t="n"/>
      <c r="R37" s="63">
        <f>IF(NOT((COUNTA($B37:$D37)+COUNTA($G37:$L37)+COUNTA($Q37))&gt;0),"",IF((IF($C37="","Falta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",""))="","✔ OK","⚠ "&amp;LEFT(IF($C37="","Falta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",""),LEN(IF($C37="","Falta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",""))-3)))</f>
        <v/>
      </c>
      <c r="S37" s="64">
        <f>IF(NOT((COUNTA($B37:$D37)+COUNTA($G37:$L37)+COUNTA($Q37))&gt;0),"",IF(AND($V37="Sub",N($U37)&gt;0),IF(ISNUMBER(INDEX($AM$5:$AM$1000,$U37-4)),DATE(YEAR(INDEX($AM$5:$AM$1000,$U37-4)),MONTH(INDEX($AM$5:$AM$1000,$U37-4)),1),IF(ISNUMBER(INDEX($AN$5:$AN$1000,$U37-4)),DATE(YEAR(INDEX($AN$5:$AN$1000,$U37-4)),MONTH(INDEX($AN$5:$AN$1000,$U37-4)),1),MesCiclo)),IF(ISNUMBER($AM37),DATE(YEAR($AM37),MONTH($AM37),1),IF(ISNUMBER($AN37),DATE(YEAR($AN37),MONTH($AN37),1),MesCiclo))))</f>
        <v/>
      </c>
      <c r="T37" s="62">
        <f>IF(OR($S37="",$S37&lt;&gt;MesCiclo),"",COUNTIF($S$5:$S37,MesCiclo))</f>
        <v/>
      </c>
      <c r="U37" s="62">
        <f>IF($V37="","",IF($V37="Macro",ROW(),IFERROR(LOOKUP(2,1/($V$5:$V37="Macro"),ROW($V$5:$V37)),0)))</f>
        <v/>
      </c>
      <c r="V37" s="62">
        <f>IF(NOT((COUNTA($B37:$D37)+COUNTA($G37:$L37)+COUNTA($Q37))&gt;0),"",IF($B37="Subactividad","Sub","Macro"))</f>
        <v/>
      </c>
      <c r="W37" s="62">
        <f>IF($V37="Macro",COUNTIFS($U$5:$U$1000,ROW(),$V$5:$V$1000,"Sub"),"")</f>
        <v/>
      </c>
      <c r="X37" s="62">
        <f>IF($V37="","",IF(ISNUMBER($G37),1,IFERROR(LOOKUP(2,1/($I37:$L37&lt;&gt;""),$I37:$L37),0)))</f>
        <v/>
      </c>
      <c r="Y37" s="62">
        <f>IF($V37="","",IF(AND(ISNUMBER($G37),$G37&lt;=IF($S37=MesCiclo,InicioCiclo,$S37+MOD(2-WEEKDAY($S37),7))+6),1,IF(ISNUMBER($I37),$I37,0)))</f>
        <v/>
      </c>
      <c r="Z37" s="62">
        <f>IF($V37="","",IF(AND(ISNUMBER($G37),$G37&lt;=IF($S37=MesCiclo,InicioCiclo,$S37+MOD(2-WEEKDAY($S37),7))+13),1,IF(ISNUMBER($J37),$J37,$Y37)))</f>
        <v/>
      </c>
      <c r="AA37" s="62">
        <f>IF($V37="","",IF(AND(ISNUMBER($G37),$G37&lt;=IF($S37=MesCiclo,InicioCiclo,$S37+MOD(2-WEEKDAY($S37),7))+20),1,IF(ISNUMBER($K37),$K37,$Z37)))</f>
        <v/>
      </c>
      <c r="AB37" s="62">
        <f>IF($V37="","",IF(AND(ISNUMBER($G37),$G37&lt;=IF($S37=MesCiclo,InicioCiclo,$S37+MOD(2-WEEKDAY($S37),7))+27),1,IF(ISNUMBER($L37),$L37,$AA37)))</f>
        <v/>
      </c>
      <c r="AC37" s="62">
        <f>IF($V37="","",IF(AND(ISNUMBER($G37),$G37&lt;=IF($S37=MesCiclo,InicioCiclo,$S37+MOD(2-WEEKDAY($S37),7))+6),1,IF(N($W37)&gt;0,AVERAGEIFS($Y$5:$Y$1000,$U$5:$U$1000,ROW(),$V$5:$V$1000,"Sub"),$Y37)))</f>
        <v/>
      </c>
      <c r="AD37" s="62">
        <f>IF($V37="","",IF(AND(ISNUMBER($G37),$G37&lt;=IF($S37=MesCiclo,InicioCiclo,$S37+MOD(2-WEEKDAY($S37),7))+13),1,IF(N($W37)&gt;0,AVERAGEIFS($Z$5:$Z$1000,$U$5:$U$1000,ROW(),$V$5:$V$1000,"Sub"),$Z37)))</f>
        <v/>
      </c>
      <c r="AE37" s="62">
        <f>IF($V37="","",IF(AND(ISNUMBER($G37),$G37&lt;=IF($S37=MesCiclo,InicioCiclo,$S37+MOD(2-WEEKDAY($S37),7))+20),1,IF(N($W37)&gt;0,AVERAGEIFS($AA$5:$AA$1000,$U$5:$U$1000,ROW(),$V$5:$V$1000,"Sub"),$AA37)))</f>
        <v/>
      </c>
      <c r="AF37" s="62">
        <f>IF($V37="","",IF(AND(ISNUMBER($G37),$G37&lt;=IF($S37=MesCiclo,InicioCiclo,$S37+MOD(2-WEEKDAY($S37),7))+27),1,IF(N($W37)&gt;0,AVERAGEIFS($AB$5:$AB$1000,$U$5:$U$1000,ROW(),$V$5:$V$1000,"Sub"),$AB37)))</f>
        <v/>
      </c>
      <c r="AG37" s="62">
        <f>IF($V37&lt;&gt;"Macro","",IF(COUNTIFS($S$5:$S$1000,$S37,$V$5:$V$1000,"Macro",$H$5:$H$1000,"&gt;0")=0,1/COUNTIFS($S$5:$S$1000,$S37,$V$5:$V$1000,"Macro"),IF(AND(ISNUMBER($H37),N($H37)&gt;0),$H37,SUMIFS($H$5:$H$1000,$S$5:$S$1000,$S37,$V$5:$V$1000,"Macro")/COUNTIFS($S$5:$S$1000,$S37,$V$5:$V$1000,"Macro",$H$5:$H$1000,"&gt;0"))/(COUNTIFS($S$5:$S$1000,$S37,$V$5:$V$1000,"Macro")*SUMIFS($H$5:$H$1000,$S$5:$S$1000,$S37,$V$5:$V$1000,"Macro")/COUNTIFS($S$5:$S$1000,$S37,$V$5:$V$1000,"Macro",$H$5:$H$1000,"&gt;0"))))</f>
        <v/>
      </c>
      <c r="AH37" s="62" t="n"/>
      <c r="AI37" s="62" t="n"/>
      <c r="AJ37" s="62" t="n"/>
      <c r="AK37" s="62" t="n"/>
      <c r="AL37" s="62">
        <f>IF(LEFT($C37,11)="[Jefatura] ",IFERROR(MATCH("Asistente Técnico de Riesgo|"&amp;MID($C37,12,500),rDname_ADM,0),0),"")</f>
        <v/>
      </c>
      <c r="AM37" s="62">
        <f>IF(N($AL37)&gt;0,INDEX(rIni_ADM,$AL37),IF(ISNUMBER($E37),$E37,""))</f>
        <v/>
      </c>
      <c r="AN37" s="62">
        <f>IF(N($AL37)&gt;0,INDEX(rLim_ADM,$AL37),IF(ISNUMBER($F37),$F37,""))</f>
        <v/>
      </c>
    </row>
    <row r="38">
      <c r="A38" s="56">
        <f>IF(NOT((COUNTA($B38:$D38)+COUNTA($G38:$L38)+COUNTA($Q38))&gt;0),"",IF($V38="Macro",COUNTIFS($V$5:$V38,"Macro",$S$5:$S38,$S38),IF(N($U38)=0,"?",COUNTIFS(INDEX($V$5:$V$1000,1):INDEX($V$5:$V$1000,$U38-4),"Macro",INDEX($S$5:$S$1000,1):INDEX($S$5:$S$1000,$U38-4),INDEX($S$5:$S$1000,$U38-4))&amp;"."&amp;COUNTIFS($U$5:$U38,$U38,$V$5:$V38,"Sub"))))</f>
        <v/>
      </c>
      <c r="B38" s="57" t="n"/>
      <c r="C38" s="58" t="n"/>
      <c r="D38" s="58" t="n"/>
      <c r="E38" s="59">
        <f>IF(N($AL38)&gt;0,INDEX(rIni_ADM,$AL38),"")</f>
        <v/>
      </c>
      <c r="F38" s="59">
        <f>IF(N($AL38)&gt;0,INDEX(rLim_ADM,$AL38),"")</f>
        <v/>
      </c>
      <c r="G38" s="59" t="n"/>
      <c r="H38" s="60" t="n"/>
      <c r="I38" s="60" t="n"/>
      <c r="J38" s="60" t="n"/>
      <c r="K38" s="60" t="n"/>
      <c r="L38" s="60" t="n"/>
      <c r="M38" s="61">
        <f>IF(NOT((COUNTA($B38:$D38)+COUNTA($G38:$L38)+COUNTA($Q38))&gt;0),"",IF(ISNUMBER($G38),1,IF(N($W38)&gt;0,AVERAGEIFS($X$5:$X$1000,$U$5:$U$1000,ROW(),$V$5:$V$1000,"Sub"),$X38)))</f>
        <v/>
      </c>
      <c r="N38" s="56">
        <f>IF($M38="","",IF($M38&gt;=1,"Completado",IF($M38&gt;0,"En curso","Pendiente")))</f>
        <v/>
      </c>
      <c r="O38" s="56">
        <f>IF(NOT((COUNTA($B38:$D38)+COUNTA($G38:$L38)+COUNTA($Q38))&gt;0),"",IF(ISNUMBER($G38),IF(AND(ISNUMBER($AN38),$G38&gt;$AN38),"Cumplida con "&amp;($G38-$AN38)&amp;IF($G38-$AN38=1," día"," días")&amp;" de retraso","Cumplida"),IF(N($M38)&gt;=1,"Cumplida",IF(NOT(ISNUMBER($AN38)),"Sin fecha límite",IF($AN38&lt;FechaRef,"Vencida hace "&amp;(FechaRef-$AN38)&amp;IF(FechaRef-$AN38=1," día"," días"),IF($AN38=FechaRef,"Vence hoy",IF($AN38-FechaRef&lt;=DiasAlerta,"Vence en "&amp;($AN38-FechaRef)&amp;IF($AN38-FechaRef=1," día"," días"),"En plazo")))))))</f>
        <v/>
      </c>
      <c r="P38" s="62" t="n"/>
      <c r="Q38" s="58" t="n"/>
      <c r="R38" s="63">
        <f>IF(NOT((COUNTA($B38:$D38)+COUNTA($G38:$L38)+COUNTA($Q38))&gt;0),"",IF((IF($C38="","Falta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",""))="","✔ OK","⚠ "&amp;LEFT(IF($C38="","Falta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",""),LEN(IF($C38="","Falta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",""))-3)))</f>
        <v/>
      </c>
      <c r="S38" s="64">
        <f>IF(NOT((COUNTA($B38:$D38)+COUNTA($G38:$L38)+COUNTA($Q38))&gt;0),"",IF(AND($V38="Sub",N($U38)&gt;0),IF(ISNUMBER(INDEX($AM$5:$AM$1000,$U38-4)),DATE(YEAR(INDEX($AM$5:$AM$1000,$U38-4)),MONTH(INDEX($AM$5:$AM$1000,$U38-4)),1),IF(ISNUMBER(INDEX($AN$5:$AN$1000,$U38-4)),DATE(YEAR(INDEX($AN$5:$AN$1000,$U38-4)),MONTH(INDEX($AN$5:$AN$1000,$U38-4)),1),MesCiclo)),IF(ISNUMBER($AM38),DATE(YEAR($AM38),MONTH($AM38),1),IF(ISNUMBER($AN38),DATE(YEAR($AN38),MONTH($AN38),1),MesCiclo))))</f>
        <v/>
      </c>
      <c r="T38" s="62">
        <f>IF(OR($S38="",$S38&lt;&gt;MesCiclo),"",COUNTIF($S$5:$S38,MesCiclo))</f>
        <v/>
      </c>
      <c r="U38" s="62">
        <f>IF($V38="","",IF($V38="Macro",ROW(),IFERROR(LOOKUP(2,1/($V$5:$V38="Macro"),ROW($V$5:$V38)),0)))</f>
        <v/>
      </c>
      <c r="V38" s="62">
        <f>IF(NOT((COUNTA($B38:$D38)+COUNTA($G38:$L38)+COUNTA($Q38))&gt;0),"",IF($B38="Subactividad","Sub","Macro"))</f>
        <v/>
      </c>
      <c r="W38" s="62">
        <f>IF($V38="Macro",COUNTIFS($U$5:$U$1000,ROW(),$V$5:$V$1000,"Sub"),"")</f>
        <v/>
      </c>
      <c r="X38" s="62">
        <f>IF($V38="","",IF(ISNUMBER($G38),1,IFERROR(LOOKUP(2,1/($I38:$L38&lt;&gt;""),$I38:$L38),0)))</f>
        <v/>
      </c>
      <c r="Y38" s="62">
        <f>IF($V38="","",IF(AND(ISNUMBER($G38),$G38&lt;=IF($S38=MesCiclo,InicioCiclo,$S38+MOD(2-WEEKDAY($S38),7))+6),1,IF(ISNUMBER($I38),$I38,0)))</f>
        <v/>
      </c>
      <c r="Z38" s="62">
        <f>IF($V38="","",IF(AND(ISNUMBER($G38),$G38&lt;=IF($S38=MesCiclo,InicioCiclo,$S38+MOD(2-WEEKDAY($S38),7))+13),1,IF(ISNUMBER($J38),$J38,$Y38)))</f>
        <v/>
      </c>
      <c r="AA38" s="62">
        <f>IF($V38="","",IF(AND(ISNUMBER($G38),$G38&lt;=IF($S38=MesCiclo,InicioCiclo,$S38+MOD(2-WEEKDAY($S38),7))+20),1,IF(ISNUMBER($K38),$K38,$Z38)))</f>
        <v/>
      </c>
      <c r="AB38" s="62">
        <f>IF($V38="","",IF(AND(ISNUMBER($G38),$G38&lt;=IF($S38=MesCiclo,InicioCiclo,$S38+MOD(2-WEEKDAY($S38),7))+27),1,IF(ISNUMBER($L38),$L38,$AA38)))</f>
        <v/>
      </c>
      <c r="AC38" s="62">
        <f>IF($V38="","",IF(AND(ISNUMBER($G38),$G38&lt;=IF($S38=MesCiclo,InicioCiclo,$S38+MOD(2-WEEKDAY($S38),7))+6),1,IF(N($W38)&gt;0,AVERAGEIFS($Y$5:$Y$1000,$U$5:$U$1000,ROW(),$V$5:$V$1000,"Sub"),$Y38)))</f>
        <v/>
      </c>
      <c r="AD38" s="62">
        <f>IF($V38="","",IF(AND(ISNUMBER($G38),$G38&lt;=IF($S38=MesCiclo,InicioCiclo,$S38+MOD(2-WEEKDAY($S38),7))+13),1,IF(N($W38)&gt;0,AVERAGEIFS($Z$5:$Z$1000,$U$5:$U$1000,ROW(),$V$5:$V$1000,"Sub"),$Z38)))</f>
        <v/>
      </c>
      <c r="AE38" s="62">
        <f>IF($V38="","",IF(AND(ISNUMBER($G38),$G38&lt;=IF($S38=MesCiclo,InicioCiclo,$S38+MOD(2-WEEKDAY($S38),7))+20),1,IF(N($W38)&gt;0,AVERAGEIFS($AA$5:$AA$1000,$U$5:$U$1000,ROW(),$V$5:$V$1000,"Sub"),$AA38)))</f>
        <v/>
      </c>
      <c r="AF38" s="62">
        <f>IF($V38="","",IF(AND(ISNUMBER($G38),$G38&lt;=IF($S38=MesCiclo,InicioCiclo,$S38+MOD(2-WEEKDAY($S38),7))+27),1,IF(N($W38)&gt;0,AVERAGEIFS($AB$5:$AB$1000,$U$5:$U$1000,ROW(),$V$5:$V$1000,"Sub"),$AB38)))</f>
        <v/>
      </c>
      <c r="AG38" s="62">
        <f>IF($V38&lt;&gt;"Macro","",IF(COUNTIFS($S$5:$S$1000,$S38,$V$5:$V$1000,"Macro",$H$5:$H$1000,"&gt;0")=0,1/COUNTIFS($S$5:$S$1000,$S38,$V$5:$V$1000,"Macro"),IF(AND(ISNUMBER($H38),N($H38)&gt;0),$H38,SUMIFS($H$5:$H$1000,$S$5:$S$1000,$S38,$V$5:$V$1000,"Macro")/COUNTIFS($S$5:$S$1000,$S38,$V$5:$V$1000,"Macro",$H$5:$H$1000,"&gt;0"))/(COUNTIFS($S$5:$S$1000,$S38,$V$5:$V$1000,"Macro")*SUMIFS($H$5:$H$1000,$S$5:$S$1000,$S38,$V$5:$V$1000,"Macro")/COUNTIFS($S$5:$S$1000,$S38,$V$5:$V$1000,"Macro",$H$5:$H$1000,"&gt;0"))))</f>
        <v/>
      </c>
      <c r="AH38" s="62" t="n"/>
      <c r="AI38" s="62" t="n"/>
      <c r="AJ38" s="62" t="n"/>
      <c r="AK38" s="62" t="n"/>
      <c r="AL38" s="62">
        <f>IF(LEFT($C38,11)="[Jefatura] ",IFERROR(MATCH("Asistente Técnico de Riesgo|"&amp;MID($C38,12,500),rDname_ADM,0),0),"")</f>
        <v/>
      </c>
      <c r="AM38" s="62">
        <f>IF(N($AL38)&gt;0,INDEX(rIni_ADM,$AL38),IF(ISNUMBER($E38),$E38,""))</f>
        <v/>
      </c>
      <c r="AN38" s="62">
        <f>IF(N($AL38)&gt;0,INDEX(rLim_ADM,$AL38),IF(ISNUMBER($F38),$F38,""))</f>
        <v/>
      </c>
    </row>
    <row r="39">
      <c r="A39" s="56">
        <f>IF(NOT((COUNTA($B39:$D39)+COUNTA($G39:$L39)+COUNTA($Q39))&gt;0),"",IF($V39="Macro",COUNTIFS($V$5:$V39,"Macro",$S$5:$S39,$S39),IF(N($U39)=0,"?",COUNTIFS(INDEX($V$5:$V$1000,1):INDEX($V$5:$V$1000,$U39-4),"Macro",INDEX($S$5:$S$1000,1):INDEX($S$5:$S$1000,$U39-4),INDEX($S$5:$S$1000,$U39-4))&amp;"."&amp;COUNTIFS($U$5:$U39,$U39,$V$5:$V39,"Sub"))))</f>
        <v/>
      </c>
      <c r="B39" s="57" t="n"/>
      <c r="C39" s="58" t="n"/>
      <c r="D39" s="58" t="n"/>
      <c r="E39" s="59">
        <f>IF(N($AL39)&gt;0,INDEX(rIni_ADM,$AL39),"")</f>
        <v/>
      </c>
      <c r="F39" s="59">
        <f>IF(N($AL39)&gt;0,INDEX(rLim_ADM,$AL39),"")</f>
        <v/>
      </c>
      <c r="G39" s="59" t="n"/>
      <c r="H39" s="60" t="n"/>
      <c r="I39" s="60" t="n"/>
      <c r="J39" s="60" t="n"/>
      <c r="K39" s="60" t="n"/>
      <c r="L39" s="60" t="n"/>
      <c r="M39" s="61">
        <f>IF(NOT((COUNTA($B39:$D39)+COUNTA($G39:$L39)+COUNTA($Q39))&gt;0),"",IF(ISNUMBER($G39),1,IF(N($W39)&gt;0,AVERAGEIFS($X$5:$X$1000,$U$5:$U$1000,ROW(),$V$5:$V$1000,"Sub"),$X39)))</f>
        <v/>
      </c>
      <c r="N39" s="56">
        <f>IF($M39="","",IF($M39&gt;=1,"Completado",IF($M39&gt;0,"En curso","Pendiente")))</f>
        <v/>
      </c>
      <c r="O39" s="56">
        <f>IF(NOT((COUNTA($B39:$D39)+COUNTA($G39:$L39)+COUNTA($Q39))&gt;0),"",IF(ISNUMBER($G39),IF(AND(ISNUMBER($AN39),$G39&gt;$AN39),"Cumplida con "&amp;($G39-$AN39)&amp;IF($G39-$AN39=1," día"," días")&amp;" de retraso","Cumplida"),IF(N($M39)&gt;=1,"Cumplida",IF(NOT(ISNUMBER($AN39)),"Sin fecha límite",IF($AN39&lt;FechaRef,"Vencida hace "&amp;(FechaRef-$AN39)&amp;IF(FechaRef-$AN39=1," día"," días"),IF($AN39=FechaRef,"Vence hoy",IF($AN39-FechaRef&lt;=DiasAlerta,"Vence en "&amp;($AN39-FechaRef)&amp;IF($AN39-FechaRef=1," día"," días"),"En plazo")))))))</f>
        <v/>
      </c>
      <c r="P39" s="62" t="n"/>
      <c r="Q39" s="58" t="n"/>
      <c r="R39" s="63">
        <f>IF(NOT((COUNTA($B39:$D39)+COUNTA($G39:$L39)+COUNTA($Q39))&gt;0),"",IF((IF($C39="","Falta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",""))="","✔ OK","⚠ "&amp;LEFT(IF($C39="","Falta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",""),LEN(IF($C39="","Falta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",""))-3)))</f>
        <v/>
      </c>
      <c r="S39" s="64">
        <f>IF(NOT((COUNTA($B39:$D39)+COUNTA($G39:$L39)+COUNTA($Q39))&gt;0),"",IF(AND($V39="Sub",N($U39)&gt;0),IF(ISNUMBER(INDEX($AM$5:$AM$1000,$U39-4)),DATE(YEAR(INDEX($AM$5:$AM$1000,$U39-4)),MONTH(INDEX($AM$5:$AM$1000,$U39-4)),1),IF(ISNUMBER(INDEX($AN$5:$AN$1000,$U39-4)),DATE(YEAR(INDEX($AN$5:$AN$1000,$U39-4)),MONTH(INDEX($AN$5:$AN$1000,$U39-4)),1),MesCiclo)),IF(ISNUMBER($AM39),DATE(YEAR($AM39),MONTH($AM39),1),IF(ISNUMBER($AN39),DATE(YEAR($AN39),MONTH($AN39),1),MesCiclo))))</f>
        <v/>
      </c>
      <c r="T39" s="62">
        <f>IF(OR($S39="",$S39&lt;&gt;MesCiclo),"",COUNTIF($S$5:$S39,MesCiclo))</f>
        <v/>
      </c>
      <c r="U39" s="62">
        <f>IF($V39="","",IF($V39="Macro",ROW(),IFERROR(LOOKUP(2,1/($V$5:$V39="Macro"),ROW($V$5:$V39)),0)))</f>
        <v/>
      </c>
      <c r="V39" s="62">
        <f>IF(NOT((COUNTA($B39:$D39)+COUNTA($G39:$L39)+COUNTA($Q39))&gt;0),"",IF($B39="Subactividad","Sub","Macro"))</f>
        <v/>
      </c>
      <c r="W39" s="62">
        <f>IF($V39="Macro",COUNTIFS($U$5:$U$1000,ROW(),$V$5:$V$1000,"Sub"),"")</f>
        <v/>
      </c>
      <c r="X39" s="62">
        <f>IF($V39="","",IF(ISNUMBER($G39),1,IFERROR(LOOKUP(2,1/($I39:$L39&lt;&gt;""),$I39:$L39),0)))</f>
        <v/>
      </c>
      <c r="Y39" s="62">
        <f>IF($V39="","",IF(AND(ISNUMBER($G39),$G39&lt;=IF($S39=MesCiclo,InicioCiclo,$S39+MOD(2-WEEKDAY($S39),7))+6),1,IF(ISNUMBER($I39),$I39,0)))</f>
        <v/>
      </c>
      <c r="Z39" s="62">
        <f>IF($V39="","",IF(AND(ISNUMBER($G39),$G39&lt;=IF($S39=MesCiclo,InicioCiclo,$S39+MOD(2-WEEKDAY($S39),7))+13),1,IF(ISNUMBER($J39),$J39,$Y39)))</f>
        <v/>
      </c>
      <c r="AA39" s="62">
        <f>IF($V39="","",IF(AND(ISNUMBER($G39),$G39&lt;=IF($S39=MesCiclo,InicioCiclo,$S39+MOD(2-WEEKDAY($S39),7))+20),1,IF(ISNUMBER($K39),$K39,$Z39)))</f>
        <v/>
      </c>
      <c r="AB39" s="62">
        <f>IF($V39="","",IF(AND(ISNUMBER($G39),$G39&lt;=IF($S39=MesCiclo,InicioCiclo,$S39+MOD(2-WEEKDAY($S39),7))+27),1,IF(ISNUMBER($L39),$L39,$AA39)))</f>
        <v/>
      </c>
      <c r="AC39" s="62">
        <f>IF($V39="","",IF(AND(ISNUMBER($G39),$G39&lt;=IF($S39=MesCiclo,InicioCiclo,$S39+MOD(2-WEEKDAY($S39),7))+6),1,IF(N($W39)&gt;0,AVERAGEIFS($Y$5:$Y$1000,$U$5:$U$1000,ROW(),$V$5:$V$1000,"Sub"),$Y39)))</f>
        <v/>
      </c>
      <c r="AD39" s="62">
        <f>IF($V39="","",IF(AND(ISNUMBER($G39),$G39&lt;=IF($S39=MesCiclo,InicioCiclo,$S39+MOD(2-WEEKDAY($S39),7))+13),1,IF(N($W39)&gt;0,AVERAGEIFS($Z$5:$Z$1000,$U$5:$U$1000,ROW(),$V$5:$V$1000,"Sub"),$Z39)))</f>
        <v/>
      </c>
      <c r="AE39" s="62">
        <f>IF($V39="","",IF(AND(ISNUMBER($G39),$G39&lt;=IF($S39=MesCiclo,InicioCiclo,$S39+MOD(2-WEEKDAY($S39),7))+20),1,IF(N($W39)&gt;0,AVERAGEIFS($AA$5:$AA$1000,$U$5:$U$1000,ROW(),$V$5:$V$1000,"Sub"),$AA39)))</f>
        <v/>
      </c>
      <c r="AF39" s="62">
        <f>IF($V39="","",IF(AND(ISNUMBER($G39),$G39&lt;=IF($S39=MesCiclo,InicioCiclo,$S39+MOD(2-WEEKDAY($S39),7))+27),1,IF(N($W39)&gt;0,AVERAGEIFS($AB$5:$AB$1000,$U$5:$U$1000,ROW(),$V$5:$V$1000,"Sub"),$AB39)))</f>
        <v/>
      </c>
      <c r="AG39" s="62">
        <f>IF($V39&lt;&gt;"Macro","",IF(COUNTIFS($S$5:$S$1000,$S39,$V$5:$V$1000,"Macro",$H$5:$H$1000,"&gt;0")=0,1/COUNTIFS($S$5:$S$1000,$S39,$V$5:$V$1000,"Macro"),IF(AND(ISNUMBER($H39),N($H39)&gt;0),$H39,SUMIFS($H$5:$H$1000,$S$5:$S$1000,$S39,$V$5:$V$1000,"Macro")/COUNTIFS($S$5:$S$1000,$S39,$V$5:$V$1000,"Macro",$H$5:$H$1000,"&gt;0"))/(COUNTIFS($S$5:$S$1000,$S39,$V$5:$V$1000,"Macro")*SUMIFS($H$5:$H$1000,$S$5:$S$1000,$S39,$V$5:$V$1000,"Macro")/COUNTIFS($S$5:$S$1000,$S39,$V$5:$V$1000,"Macro",$H$5:$H$1000,"&gt;0"))))</f>
        <v/>
      </c>
      <c r="AH39" s="62" t="n"/>
      <c r="AI39" s="62" t="n"/>
      <c r="AJ39" s="62" t="n"/>
      <c r="AK39" s="62" t="n"/>
      <c r="AL39" s="62">
        <f>IF(LEFT($C39,11)="[Jefatura] ",IFERROR(MATCH("Asistente Técnico de Riesgo|"&amp;MID($C39,12,500),rDname_ADM,0),0),"")</f>
        <v/>
      </c>
      <c r="AM39" s="62">
        <f>IF(N($AL39)&gt;0,INDEX(rIni_ADM,$AL39),IF(ISNUMBER($E39),$E39,""))</f>
        <v/>
      </c>
      <c r="AN39" s="62">
        <f>IF(N($AL39)&gt;0,INDEX(rLim_ADM,$AL39),IF(ISNUMBER($F39),$F39,""))</f>
        <v/>
      </c>
    </row>
    <row r="40">
      <c r="A40" s="56">
        <f>IF(NOT((COUNTA($B40:$D40)+COUNTA($G40:$L40)+COUNTA($Q40))&gt;0),"",IF($V40="Macro",COUNTIFS($V$5:$V40,"Macro",$S$5:$S40,$S40),IF(N($U40)=0,"?",COUNTIFS(INDEX($V$5:$V$1000,1):INDEX($V$5:$V$1000,$U40-4),"Macro",INDEX($S$5:$S$1000,1):INDEX($S$5:$S$1000,$U40-4),INDEX($S$5:$S$1000,$U40-4))&amp;"."&amp;COUNTIFS($U$5:$U40,$U40,$V$5:$V40,"Sub"))))</f>
        <v/>
      </c>
      <c r="B40" s="57" t="n"/>
      <c r="C40" s="58" t="n"/>
      <c r="D40" s="58" t="n"/>
      <c r="E40" s="59">
        <f>IF(N($AL40)&gt;0,INDEX(rIni_ADM,$AL40),"")</f>
        <v/>
      </c>
      <c r="F40" s="59">
        <f>IF(N($AL40)&gt;0,INDEX(rLim_ADM,$AL40),"")</f>
        <v/>
      </c>
      <c r="G40" s="59" t="n"/>
      <c r="H40" s="60" t="n"/>
      <c r="I40" s="60" t="n"/>
      <c r="J40" s="60" t="n"/>
      <c r="K40" s="60" t="n"/>
      <c r="L40" s="60" t="n"/>
      <c r="M40" s="61">
        <f>IF(NOT((COUNTA($B40:$D40)+COUNTA($G40:$L40)+COUNTA($Q40))&gt;0),"",IF(ISNUMBER($G40),1,IF(N($W40)&gt;0,AVERAGEIFS($X$5:$X$1000,$U$5:$U$1000,ROW(),$V$5:$V$1000,"Sub"),$X40)))</f>
        <v/>
      </c>
      <c r="N40" s="56">
        <f>IF($M40="","",IF($M40&gt;=1,"Completado",IF($M40&gt;0,"En curso","Pendiente")))</f>
        <v/>
      </c>
      <c r="O40" s="56">
        <f>IF(NOT((COUNTA($B40:$D40)+COUNTA($G40:$L40)+COUNTA($Q40))&gt;0),"",IF(ISNUMBER($G40),IF(AND(ISNUMBER($AN40),$G40&gt;$AN40),"Cumplida con "&amp;($G40-$AN40)&amp;IF($G40-$AN40=1," día"," días")&amp;" de retraso","Cumplida"),IF(N($M40)&gt;=1,"Cumplida",IF(NOT(ISNUMBER($AN40)),"Sin fecha límite",IF($AN40&lt;FechaRef,"Vencida hace "&amp;(FechaRef-$AN40)&amp;IF(FechaRef-$AN40=1," día"," días"),IF($AN40=FechaRef,"Vence hoy",IF($AN40-FechaRef&lt;=DiasAlerta,"Vence en "&amp;($AN40-FechaRef)&amp;IF($AN40-FechaRef=1," día"," días"),"En plazo")))))))</f>
        <v/>
      </c>
      <c r="P40" s="62" t="n"/>
      <c r="Q40" s="58" t="n"/>
      <c r="R40" s="63">
        <f>IF(NOT((COUNTA($B40:$D40)+COUNTA($G40:$L40)+COUNTA($Q40))&gt;0),"",IF((IF($C40="","Falta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",""))="","✔ OK","⚠ "&amp;LEFT(IF($C40="","Falta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",""),LEN(IF($C40="","Falta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",""))-3)))</f>
        <v/>
      </c>
      <c r="S40" s="64">
        <f>IF(NOT((COUNTA($B40:$D40)+COUNTA($G40:$L40)+COUNTA($Q40))&gt;0),"",IF(AND($V40="Sub",N($U40)&gt;0),IF(ISNUMBER(INDEX($AM$5:$AM$1000,$U40-4)),DATE(YEAR(INDEX($AM$5:$AM$1000,$U40-4)),MONTH(INDEX($AM$5:$AM$1000,$U40-4)),1),IF(ISNUMBER(INDEX($AN$5:$AN$1000,$U40-4)),DATE(YEAR(INDEX($AN$5:$AN$1000,$U40-4)),MONTH(INDEX($AN$5:$AN$1000,$U40-4)),1),MesCiclo)),IF(ISNUMBER($AM40),DATE(YEAR($AM40),MONTH($AM40),1),IF(ISNUMBER($AN40),DATE(YEAR($AN40),MONTH($AN40),1),MesCiclo))))</f>
        <v/>
      </c>
      <c r="T40" s="62">
        <f>IF(OR($S40="",$S40&lt;&gt;MesCiclo),"",COUNTIF($S$5:$S40,MesCiclo))</f>
        <v/>
      </c>
      <c r="U40" s="62">
        <f>IF($V40="","",IF($V40="Macro",ROW(),IFERROR(LOOKUP(2,1/($V$5:$V40="Macro"),ROW($V$5:$V40)),0)))</f>
        <v/>
      </c>
      <c r="V40" s="62">
        <f>IF(NOT((COUNTA($B40:$D40)+COUNTA($G40:$L40)+COUNTA($Q40))&gt;0),"",IF($B40="Subactividad","Sub","Macro"))</f>
        <v/>
      </c>
      <c r="W40" s="62">
        <f>IF($V40="Macro",COUNTIFS($U$5:$U$1000,ROW(),$V$5:$V$1000,"Sub"),"")</f>
        <v/>
      </c>
      <c r="X40" s="62">
        <f>IF($V40="","",IF(ISNUMBER($G40),1,IFERROR(LOOKUP(2,1/($I40:$L40&lt;&gt;""),$I40:$L40),0)))</f>
        <v/>
      </c>
      <c r="Y40" s="62">
        <f>IF($V40="","",IF(AND(ISNUMBER($G40),$G40&lt;=IF($S40=MesCiclo,InicioCiclo,$S40+MOD(2-WEEKDAY($S40),7))+6),1,IF(ISNUMBER($I40),$I40,0)))</f>
        <v/>
      </c>
      <c r="Z40" s="62">
        <f>IF($V40="","",IF(AND(ISNUMBER($G40),$G40&lt;=IF($S40=MesCiclo,InicioCiclo,$S40+MOD(2-WEEKDAY($S40),7))+13),1,IF(ISNUMBER($J40),$J40,$Y40)))</f>
        <v/>
      </c>
      <c r="AA40" s="62">
        <f>IF($V40="","",IF(AND(ISNUMBER($G40),$G40&lt;=IF($S40=MesCiclo,InicioCiclo,$S40+MOD(2-WEEKDAY($S40),7))+20),1,IF(ISNUMBER($K40),$K40,$Z40)))</f>
        <v/>
      </c>
      <c r="AB40" s="62">
        <f>IF($V40="","",IF(AND(ISNUMBER($G40),$G40&lt;=IF($S40=MesCiclo,InicioCiclo,$S40+MOD(2-WEEKDAY($S40),7))+27),1,IF(ISNUMBER($L40),$L40,$AA40)))</f>
        <v/>
      </c>
      <c r="AC40" s="62">
        <f>IF($V40="","",IF(AND(ISNUMBER($G40),$G40&lt;=IF($S40=MesCiclo,InicioCiclo,$S40+MOD(2-WEEKDAY($S40),7))+6),1,IF(N($W40)&gt;0,AVERAGEIFS($Y$5:$Y$1000,$U$5:$U$1000,ROW(),$V$5:$V$1000,"Sub"),$Y40)))</f>
        <v/>
      </c>
      <c r="AD40" s="62">
        <f>IF($V40="","",IF(AND(ISNUMBER($G40),$G40&lt;=IF($S40=MesCiclo,InicioCiclo,$S40+MOD(2-WEEKDAY($S40),7))+13),1,IF(N($W40)&gt;0,AVERAGEIFS($Z$5:$Z$1000,$U$5:$U$1000,ROW(),$V$5:$V$1000,"Sub"),$Z40)))</f>
        <v/>
      </c>
      <c r="AE40" s="62">
        <f>IF($V40="","",IF(AND(ISNUMBER($G40),$G40&lt;=IF($S40=MesCiclo,InicioCiclo,$S40+MOD(2-WEEKDAY($S40),7))+20),1,IF(N($W40)&gt;0,AVERAGEIFS($AA$5:$AA$1000,$U$5:$U$1000,ROW(),$V$5:$V$1000,"Sub"),$AA40)))</f>
        <v/>
      </c>
      <c r="AF40" s="62">
        <f>IF($V40="","",IF(AND(ISNUMBER($G40),$G40&lt;=IF($S40=MesCiclo,InicioCiclo,$S40+MOD(2-WEEKDAY($S40),7))+27),1,IF(N($W40)&gt;0,AVERAGEIFS($AB$5:$AB$1000,$U$5:$U$1000,ROW(),$V$5:$V$1000,"Sub"),$AB40)))</f>
        <v/>
      </c>
      <c r="AG40" s="62">
        <f>IF($V40&lt;&gt;"Macro","",IF(COUNTIFS($S$5:$S$1000,$S40,$V$5:$V$1000,"Macro",$H$5:$H$1000,"&gt;0")=0,1/COUNTIFS($S$5:$S$1000,$S40,$V$5:$V$1000,"Macro"),IF(AND(ISNUMBER($H40),N($H40)&gt;0),$H40,SUMIFS($H$5:$H$1000,$S$5:$S$1000,$S40,$V$5:$V$1000,"Macro")/COUNTIFS($S$5:$S$1000,$S40,$V$5:$V$1000,"Macro",$H$5:$H$1000,"&gt;0"))/(COUNTIFS($S$5:$S$1000,$S40,$V$5:$V$1000,"Macro")*SUMIFS($H$5:$H$1000,$S$5:$S$1000,$S40,$V$5:$V$1000,"Macro")/COUNTIFS($S$5:$S$1000,$S40,$V$5:$V$1000,"Macro",$H$5:$H$1000,"&gt;0"))))</f>
        <v/>
      </c>
      <c r="AH40" s="62" t="n"/>
      <c r="AI40" s="62" t="n"/>
      <c r="AJ40" s="62" t="n"/>
      <c r="AK40" s="62" t="n"/>
      <c r="AL40" s="62">
        <f>IF(LEFT($C40,11)="[Jefatura] ",IFERROR(MATCH("Asistente Técnico de Riesgo|"&amp;MID($C40,12,500),rDname_ADM,0),0),"")</f>
        <v/>
      </c>
      <c r="AM40" s="62">
        <f>IF(N($AL40)&gt;0,INDEX(rIni_ADM,$AL40),IF(ISNUMBER($E40),$E40,""))</f>
        <v/>
      </c>
      <c r="AN40" s="62">
        <f>IF(N($AL40)&gt;0,INDEX(rLim_ADM,$AL40),IF(ISNUMBER($F40),$F40,""))</f>
        <v/>
      </c>
    </row>
    <row r="41">
      <c r="A41" s="56">
        <f>IF(NOT((COUNTA($B41:$D41)+COUNTA($G41:$L41)+COUNTA($Q41))&gt;0),"",IF($V41="Macro",COUNTIFS($V$5:$V41,"Macro",$S$5:$S41,$S41),IF(N($U41)=0,"?",COUNTIFS(INDEX($V$5:$V$1000,1):INDEX($V$5:$V$1000,$U41-4),"Macro",INDEX($S$5:$S$1000,1):INDEX($S$5:$S$1000,$U41-4),INDEX($S$5:$S$1000,$U41-4))&amp;"."&amp;COUNTIFS($U$5:$U41,$U41,$V$5:$V41,"Sub"))))</f>
        <v/>
      </c>
      <c r="B41" s="57" t="n"/>
      <c r="C41" s="58" t="n"/>
      <c r="D41" s="58" t="n"/>
      <c r="E41" s="59">
        <f>IF(N($AL41)&gt;0,INDEX(rIni_ADM,$AL41),"")</f>
        <v/>
      </c>
      <c r="F41" s="59">
        <f>IF(N($AL41)&gt;0,INDEX(rLim_ADM,$AL41),"")</f>
        <v/>
      </c>
      <c r="G41" s="59" t="n"/>
      <c r="H41" s="60" t="n"/>
      <c r="I41" s="60" t="n"/>
      <c r="J41" s="60" t="n"/>
      <c r="K41" s="60" t="n"/>
      <c r="L41" s="60" t="n"/>
      <c r="M41" s="61">
        <f>IF(NOT((COUNTA($B41:$D41)+COUNTA($G41:$L41)+COUNTA($Q41))&gt;0),"",IF(ISNUMBER($G41),1,IF(N($W41)&gt;0,AVERAGEIFS($X$5:$X$1000,$U$5:$U$1000,ROW(),$V$5:$V$1000,"Sub"),$X41)))</f>
        <v/>
      </c>
      <c r="N41" s="56">
        <f>IF($M41="","",IF($M41&gt;=1,"Completado",IF($M41&gt;0,"En curso","Pendiente")))</f>
        <v/>
      </c>
      <c r="O41" s="56">
        <f>IF(NOT((COUNTA($B41:$D41)+COUNTA($G41:$L41)+COUNTA($Q41))&gt;0),"",IF(ISNUMBER($G41),IF(AND(ISNUMBER($AN41),$G41&gt;$AN41),"Cumplida con "&amp;($G41-$AN41)&amp;IF($G41-$AN41=1," día"," días")&amp;" de retraso","Cumplida"),IF(N($M41)&gt;=1,"Cumplida",IF(NOT(ISNUMBER($AN41)),"Sin fecha límite",IF($AN41&lt;FechaRef,"Vencida hace "&amp;(FechaRef-$AN41)&amp;IF(FechaRef-$AN41=1," día"," días"),IF($AN41=FechaRef,"Vence hoy",IF($AN41-FechaRef&lt;=DiasAlerta,"Vence en "&amp;($AN41-FechaRef)&amp;IF($AN41-FechaRef=1," día"," días"),"En plazo")))))))</f>
        <v/>
      </c>
      <c r="P41" s="62" t="n"/>
      <c r="Q41" s="58" t="n"/>
      <c r="R41" s="63">
        <f>IF(NOT((COUNTA($B41:$D41)+COUNTA($G41:$L41)+COUNTA($Q41))&gt;0),"",IF((IF($C41="","Falta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",""))="","✔ OK","⚠ "&amp;LEFT(IF($C41="","Falta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",""),LEN(IF($C41="","Falta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",""))-3)))</f>
        <v/>
      </c>
      <c r="S41" s="64">
        <f>IF(NOT((COUNTA($B41:$D41)+COUNTA($G41:$L41)+COUNTA($Q41))&gt;0),"",IF(AND($V41="Sub",N($U41)&gt;0),IF(ISNUMBER(INDEX($AM$5:$AM$1000,$U41-4)),DATE(YEAR(INDEX($AM$5:$AM$1000,$U41-4)),MONTH(INDEX($AM$5:$AM$1000,$U41-4)),1),IF(ISNUMBER(INDEX($AN$5:$AN$1000,$U41-4)),DATE(YEAR(INDEX($AN$5:$AN$1000,$U41-4)),MONTH(INDEX($AN$5:$AN$1000,$U41-4)),1),MesCiclo)),IF(ISNUMBER($AM41),DATE(YEAR($AM41),MONTH($AM41),1),IF(ISNUMBER($AN41),DATE(YEAR($AN41),MONTH($AN41),1),MesCiclo))))</f>
        <v/>
      </c>
      <c r="T41" s="62">
        <f>IF(OR($S41="",$S41&lt;&gt;MesCiclo),"",COUNTIF($S$5:$S41,MesCiclo))</f>
        <v/>
      </c>
      <c r="U41" s="62">
        <f>IF($V41="","",IF($V41="Macro",ROW(),IFERROR(LOOKUP(2,1/($V$5:$V41="Macro"),ROW($V$5:$V41)),0)))</f>
        <v/>
      </c>
      <c r="V41" s="62">
        <f>IF(NOT((COUNTA($B41:$D41)+COUNTA($G41:$L41)+COUNTA($Q41))&gt;0),"",IF($B41="Subactividad","Sub","Macro"))</f>
        <v/>
      </c>
      <c r="W41" s="62">
        <f>IF($V41="Macro",COUNTIFS($U$5:$U$1000,ROW(),$V$5:$V$1000,"Sub"),"")</f>
        <v/>
      </c>
      <c r="X41" s="62">
        <f>IF($V41="","",IF(ISNUMBER($G41),1,IFERROR(LOOKUP(2,1/($I41:$L41&lt;&gt;""),$I41:$L41),0)))</f>
        <v/>
      </c>
      <c r="Y41" s="62">
        <f>IF($V41="","",IF(AND(ISNUMBER($G41),$G41&lt;=IF($S41=MesCiclo,InicioCiclo,$S41+MOD(2-WEEKDAY($S41),7))+6),1,IF(ISNUMBER($I41),$I41,0)))</f>
        <v/>
      </c>
      <c r="Z41" s="62">
        <f>IF($V41="","",IF(AND(ISNUMBER($G41),$G41&lt;=IF($S41=MesCiclo,InicioCiclo,$S41+MOD(2-WEEKDAY($S41),7))+13),1,IF(ISNUMBER($J41),$J41,$Y41)))</f>
        <v/>
      </c>
      <c r="AA41" s="62">
        <f>IF($V41="","",IF(AND(ISNUMBER($G41),$G41&lt;=IF($S41=MesCiclo,InicioCiclo,$S41+MOD(2-WEEKDAY($S41),7))+20),1,IF(ISNUMBER($K41),$K41,$Z41)))</f>
        <v/>
      </c>
      <c r="AB41" s="62">
        <f>IF($V41="","",IF(AND(ISNUMBER($G41),$G41&lt;=IF($S41=MesCiclo,InicioCiclo,$S41+MOD(2-WEEKDAY($S41),7))+27),1,IF(ISNUMBER($L41),$L41,$AA41)))</f>
        <v/>
      </c>
      <c r="AC41" s="62">
        <f>IF($V41="","",IF(AND(ISNUMBER($G41),$G41&lt;=IF($S41=MesCiclo,InicioCiclo,$S41+MOD(2-WEEKDAY($S41),7))+6),1,IF(N($W41)&gt;0,AVERAGEIFS($Y$5:$Y$1000,$U$5:$U$1000,ROW(),$V$5:$V$1000,"Sub"),$Y41)))</f>
        <v/>
      </c>
      <c r="AD41" s="62">
        <f>IF($V41="","",IF(AND(ISNUMBER($G41),$G41&lt;=IF($S41=MesCiclo,InicioCiclo,$S41+MOD(2-WEEKDAY($S41),7))+13),1,IF(N($W41)&gt;0,AVERAGEIFS($Z$5:$Z$1000,$U$5:$U$1000,ROW(),$V$5:$V$1000,"Sub"),$Z41)))</f>
        <v/>
      </c>
      <c r="AE41" s="62">
        <f>IF($V41="","",IF(AND(ISNUMBER($G41),$G41&lt;=IF($S41=MesCiclo,InicioCiclo,$S41+MOD(2-WEEKDAY($S41),7))+20),1,IF(N($W41)&gt;0,AVERAGEIFS($AA$5:$AA$1000,$U$5:$U$1000,ROW(),$V$5:$V$1000,"Sub"),$AA41)))</f>
        <v/>
      </c>
      <c r="AF41" s="62">
        <f>IF($V41="","",IF(AND(ISNUMBER($G41),$G41&lt;=IF($S41=MesCiclo,InicioCiclo,$S41+MOD(2-WEEKDAY($S41),7))+27),1,IF(N($W41)&gt;0,AVERAGEIFS($AB$5:$AB$1000,$U$5:$U$1000,ROW(),$V$5:$V$1000,"Sub"),$AB41)))</f>
        <v/>
      </c>
      <c r="AG41" s="62">
        <f>IF($V41&lt;&gt;"Macro","",IF(COUNTIFS($S$5:$S$1000,$S41,$V$5:$V$1000,"Macro",$H$5:$H$1000,"&gt;0")=0,1/COUNTIFS($S$5:$S$1000,$S41,$V$5:$V$1000,"Macro"),IF(AND(ISNUMBER($H41),N($H41)&gt;0),$H41,SUMIFS($H$5:$H$1000,$S$5:$S$1000,$S41,$V$5:$V$1000,"Macro")/COUNTIFS($S$5:$S$1000,$S41,$V$5:$V$1000,"Macro",$H$5:$H$1000,"&gt;0"))/(COUNTIFS($S$5:$S$1000,$S41,$V$5:$V$1000,"Macro")*SUMIFS($H$5:$H$1000,$S$5:$S$1000,$S41,$V$5:$V$1000,"Macro")/COUNTIFS($S$5:$S$1000,$S41,$V$5:$V$1000,"Macro",$H$5:$H$1000,"&gt;0"))))</f>
        <v/>
      </c>
      <c r="AH41" s="62" t="n"/>
      <c r="AI41" s="62" t="n"/>
      <c r="AJ41" s="62" t="n"/>
      <c r="AK41" s="62" t="n"/>
      <c r="AL41" s="62">
        <f>IF(LEFT($C41,11)="[Jefatura] ",IFERROR(MATCH("Asistente Técnico de Riesgo|"&amp;MID($C41,12,500),rDname_ADM,0),0),"")</f>
        <v/>
      </c>
      <c r="AM41" s="62">
        <f>IF(N($AL41)&gt;0,INDEX(rIni_ADM,$AL41),IF(ISNUMBER($E41),$E41,""))</f>
        <v/>
      </c>
      <c r="AN41" s="62">
        <f>IF(N($AL41)&gt;0,INDEX(rLim_ADM,$AL41),IF(ISNUMBER($F41),$F41,""))</f>
        <v/>
      </c>
    </row>
    <row r="42">
      <c r="A42" s="56">
        <f>IF(NOT((COUNTA($B42:$D42)+COUNTA($G42:$L42)+COUNTA($Q42))&gt;0),"",IF($V42="Macro",COUNTIFS($V$5:$V42,"Macro",$S$5:$S42,$S42),IF(N($U42)=0,"?",COUNTIFS(INDEX($V$5:$V$1000,1):INDEX($V$5:$V$1000,$U42-4),"Macro",INDEX($S$5:$S$1000,1):INDEX($S$5:$S$1000,$U42-4),INDEX($S$5:$S$1000,$U42-4))&amp;"."&amp;COUNTIFS($U$5:$U42,$U42,$V$5:$V42,"Sub"))))</f>
        <v/>
      </c>
      <c r="B42" s="57" t="n"/>
      <c r="C42" s="58" t="n"/>
      <c r="D42" s="58" t="n"/>
      <c r="E42" s="59">
        <f>IF(N($AL42)&gt;0,INDEX(rIni_ADM,$AL42),"")</f>
        <v/>
      </c>
      <c r="F42" s="59">
        <f>IF(N($AL42)&gt;0,INDEX(rLim_ADM,$AL42),"")</f>
        <v/>
      </c>
      <c r="G42" s="59" t="n"/>
      <c r="H42" s="60" t="n"/>
      <c r="I42" s="60" t="n"/>
      <c r="J42" s="60" t="n"/>
      <c r="K42" s="60" t="n"/>
      <c r="L42" s="60" t="n"/>
      <c r="M42" s="61">
        <f>IF(NOT((COUNTA($B42:$D42)+COUNTA($G42:$L42)+COUNTA($Q42))&gt;0),"",IF(ISNUMBER($G42),1,IF(N($W42)&gt;0,AVERAGEIFS($X$5:$X$1000,$U$5:$U$1000,ROW(),$V$5:$V$1000,"Sub"),$X42)))</f>
        <v/>
      </c>
      <c r="N42" s="56">
        <f>IF($M42="","",IF($M42&gt;=1,"Completado",IF($M42&gt;0,"En curso","Pendiente")))</f>
        <v/>
      </c>
      <c r="O42" s="56">
        <f>IF(NOT((COUNTA($B42:$D42)+COUNTA($G42:$L42)+COUNTA($Q42))&gt;0),"",IF(ISNUMBER($G42),IF(AND(ISNUMBER($AN42),$G42&gt;$AN42),"Cumplida con "&amp;($G42-$AN42)&amp;IF($G42-$AN42=1," día"," días")&amp;" de retraso","Cumplida"),IF(N($M42)&gt;=1,"Cumplida",IF(NOT(ISNUMBER($AN42)),"Sin fecha límite",IF($AN42&lt;FechaRef,"Vencida hace "&amp;(FechaRef-$AN42)&amp;IF(FechaRef-$AN42=1," día"," días"),IF($AN42=FechaRef,"Vence hoy",IF($AN42-FechaRef&lt;=DiasAlerta,"Vence en "&amp;($AN42-FechaRef)&amp;IF($AN42-FechaRef=1," día"," días"),"En plazo")))))))</f>
        <v/>
      </c>
      <c r="P42" s="62" t="n"/>
      <c r="Q42" s="58" t="n"/>
      <c r="R42" s="63">
        <f>IF(NOT((COUNTA($B42:$D42)+COUNTA($G42:$L42)+COUNTA($Q42))&gt;0),"",IF((IF($C42="","Falta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",""))="","✔ OK","⚠ "&amp;LEFT(IF($C42="","Falta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",""),LEN(IF($C42="","Falta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",""))-3)))</f>
        <v/>
      </c>
      <c r="S42" s="64">
        <f>IF(NOT((COUNTA($B42:$D42)+COUNTA($G42:$L42)+COUNTA($Q42))&gt;0),"",IF(AND($V42="Sub",N($U42)&gt;0),IF(ISNUMBER(INDEX($AM$5:$AM$1000,$U42-4)),DATE(YEAR(INDEX($AM$5:$AM$1000,$U42-4)),MONTH(INDEX($AM$5:$AM$1000,$U42-4)),1),IF(ISNUMBER(INDEX($AN$5:$AN$1000,$U42-4)),DATE(YEAR(INDEX($AN$5:$AN$1000,$U42-4)),MONTH(INDEX($AN$5:$AN$1000,$U42-4)),1),MesCiclo)),IF(ISNUMBER($AM42),DATE(YEAR($AM42),MONTH($AM42),1),IF(ISNUMBER($AN42),DATE(YEAR($AN42),MONTH($AN42),1),MesCiclo))))</f>
        <v/>
      </c>
      <c r="T42" s="62">
        <f>IF(OR($S42="",$S42&lt;&gt;MesCiclo),"",COUNTIF($S$5:$S42,MesCiclo))</f>
        <v/>
      </c>
      <c r="U42" s="62">
        <f>IF($V42="","",IF($V42="Macro",ROW(),IFERROR(LOOKUP(2,1/($V$5:$V42="Macro"),ROW($V$5:$V42)),0)))</f>
        <v/>
      </c>
      <c r="V42" s="62">
        <f>IF(NOT((COUNTA($B42:$D42)+COUNTA($G42:$L42)+COUNTA($Q42))&gt;0),"",IF($B42="Subactividad","Sub","Macro"))</f>
        <v/>
      </c>
      <c r="W42" s="62">
        <f>IF($V42="Macro",COUNTIFS($U$5:$U$1000,ROW(),$V$5:$V$1000,"Sub"),"")</f>
        <v/>
      </c>
      <c r="X42" s="62">
        <f>IF($V42="","",IF(ISNUMBER($G42),1,IFERROR(LOOKUP(2,1/($I42:$L42&lt;&gt;""),$I42:$L42),0)))</f>
        <v/>
      </c>
      <c r="Y42" s="62">
        <f>IF($V42="","",IF(AND(ISNUMBER($G42),$G42&lt;=IF($S42=MesCiclo,InicioCiclo,$S42+MOD(2-WEEKDAY($S42),7))+6),1,IF(ISNUMBER($I42),$I42,0)))</f>
        <v/>
      </c>
      <c r="Z42" s="62">
        <f>IF($V42="","",IF(AND(ISNUMBER($G42),$G42&lt;=IF($S42=MesCiclo,InicioCiclo,$S42+MOD(2-WEEKDAY($S42),7))+13),1,IF(ISNUMBER($J42),$J42,$Y42)))</f>
        <v/>
      </c>
      <c r="AA42" s="62">
        <f>IF($V42="","",IF(AND(ISNUMBER($G42),$G42&lt;=IF($S42=MesCiclo,InicioCiclo,$S42+MOD(2-WEEKDAY($S42),7))+20),1,IF(ISNUMBER($K42),$K42,$Z42)))</f>
        <v/>
      </c>
      <c r="AB42" s="62">
        <f>IF($V42="","",IF(AND(ISNUMBER($G42),$G42&lt;=IF($S42=MesCiclo,InicioCiclo,$S42+MOD(2-WEEKDAY($S42),7))+27),1,IF(ISNUMBER($L42),$L42,$AA42)))</f>
        <v/>
      </c>
      <c r="AC42" s="62">
        <f>IF($V42="","",IF(AND(ISNUMBER($G42),$G42&lt;=IF($S42=MesCiclo,InicioCiclo,$S42+MOD(2-WEEKDAY($S42),7))+6),1,IF(N($W42)&gt;0,AVERAGEIFS($Y$5:$Y$1000,$U$5:$U$1000,ROW(),$V$5:$V$1000,"Sub"),$Y42)))</f>
        <v/>
      </c>
      <c r="AD42" s="62">
        <f>IF($V42="","",IF(AND(ISNUMBER($G42),$G42&lt;=IF($S42=MesCiclo,InicioCiclo,$S42+MOD(2-WEEKDAY($S42),7))+13),1,IF(N($W42)&gt;0,AVERAGEIFS($Z$5:$Z$1000,$U$5:$U$1000,ROW(),$V$5:$V$1000,"Sub"),$Z42)))</f>
        <v/>
      </c>
      <c r="AE42" s="62">
        <f>IF($V42="","",IF(AND(ISNUMBER($G42),$G42&lt;=IF($S42=MesCiclo,InicioCiclo,$S42+MOD(2-WEEKDAY($S42),7))+20),1,IF(N($W42)&gt;0,AVERAGEIFS($AA$5:$AA$1000,$U$5:$U$1000,ROW(),$V$5:$V$1000,"Sub"),$AA42)))</f>
        <v/>
      </c>
      <c r="AF42" s="62">
        <f>IF($V42="","",IF(AND(ISNUMBER($G42),$G42&lt;=IF($S42=MesCiclo,InicioCiclo,$S42+MOD(2-WEEKDAY($S42),7))+27),1,IF(N($W42)&gt;0,AVERAGEIFS($AB$5:$AB$1000,$U$5:$U$1000,ROW(),$V$5:$V$1000,"Sub"),$AB42)))</f>
        <v/>
      </c>
      <c r="AG42" s="62">
        <f>IF($V42&lt;&gt;"Macro","",IF(COUNTIFS($S$5:$S$1000,$S42,$V$5:$V$1000,"Macro",$H$5:$H$1000,"&gt;0")=0,1/COUNTIFS($S$5:$S$1000,$S42,$V$5:$V$1000,"Macro"),IF(AND(ISNUMBER($H42),N($H42)&gt;0),$H42,SUMIFS($H$5:$H$1000,$S$5:$S$1000,$S42,$V$5:$V$1000,"Macro")/COUNTIFS($S$5:$S$1000,$S42,$V$5:$V$1000,"Macro",$H$5:$H$1000,"&gt;0"))/(COUNTIFS($S$5:$S$1000,$S42,$V$5:$V$1000,"Macro")*SUMIFS($H$5:$H$1000,$S$5:$S$1000,$S42,$V$5:$V$1000,"Macro")/COUNTIFS($S$5:$S$1000,$S42,$V$5:$V$1000,"Macro",$H$5:$H$1000,"&gt;0"))))</f>
        <v/>
      </c>
      <c r="AH42" s="62" t="n"/>
      <c r="AI42" s="62" t="n"/>
      <c r="AJ42" s="62" t="n"/>
      <c r="AK42" s="62" t="n"/>
      <c r="AL42" s="62">
        <f>IF(LEFT($C42,11)="[Jefatura] ",IFERROR(MATCH("Asistente Técnico de Riesgo|"&amp;MID($C42,12,500),rDname_ADM,0),0),"")</f>
        <v/>
      </c>
      <c r="AM42" s="62">
        <f>IF(N($AL42)&gt;0,INDEX(rIni_ADM,$AL42),IF(ISNUMBER($E42),$E42,""))</f>
        <v/>
      </c>
      <c r="AN42" s="62">
        <f>IF(N($AL42)&gt;0,INDEX(rLim_ADM,$AL42),IF(ISNUMBER($F42),$F42,""))</f>
        <v/>
      </c>
    </row>
    <row r="43">
      <c r="A43" s="56">
        <f>IF(NOT((COUNTA($B43:$D43)+COUNTA($G43:$L43)+COUNTA($Q43))&gt;0),"",IF($V43="Macro",COUNTIFS($V$5:$V43,"Macro",$S$5:$S43,$S43),IF(N($U43)=0,"?",COUNTIFS(INDEX($V$5:$V$1000,1):INDEX($V$5:$V$1000,$U43-4),"Macro",INDEX($S$5:$S$1000,1):INDEX($S$5:$S$1000,$U43-4),INDEX($S$5:$S$1000,$U43-4))&amp;"."&amp;COUNTIFS($U$5:$U43,$U43,$V$5:$V43,"Sub"))))</f>
        <v/>
      </c>
      <c r="B43" s="57" t="n"/>
      <c r="C43" s="58" t="n"/>
      <c r="D43" s="58" t="n"/>
      <c r="E43" s="59">
        <f>IF(N($AL43)&gt;0,INDEX(rIni_ADM,$AL43),"")</f>
        <v/>
      </c>
      <c r="F43" s="59">
        <f>IF(N($AL43)&gt;0,INDEX(rLim_ADM,$AL43),"")</f>
        <v/>
      </c>
      <c r="G43" s="59" t="n"/>
      <c r="H43" s="60" t="n"/>
      <c r="I43" s="60" t="n"/>
      <c r="J43" s="60" t="n"/>
      <c r="K43" s="60" t="n"/>
      <c r="L43" s="60" t="n"/>
      <c r="M43" s="61">
        <f>IF(NOT((COUNTA($B43:$D43)+COUNTA($G43:$L43)+COUNTA($Q43))&gt;0),"",IF(ISNUMBER($G43),1,IF(N($W43)&gt;0,AVERAGEIFS($X$5:$X$1000,$U$5:$U$1000,ROW(),$V$5:$V$1000,"Sub"),$X43)))</f>
        <v/>
      </c>
      <c r="N43" s="56">
        <f>IF($M43="","",IF($M43&gt;=1,"Completado",IF($M43&gt;0,"En curso","Pendiente")))</f>
        <v/>
      </c>
      <c r="O43" s="56">
        <f>IF(NOT((COUNTA($B43:$D43)+COUNTA($G43:$L43)+COUNTA($Q43))&gt;0),"",IF(ISNUMBER($G43),IF(AND(ISNUMBER($AN43),$G43&gt;$AN43),"Cumplida con "&amp;($G43-$AN43)&amp;IF($G43-$AN43=1," día"," días")&amp;" de retraso","Cumplida"),IF(N($M43)&gt;=1,"Cumplida",IF(NOT(ISNUMBER($AN43)),"Sin fecha límite",IF($AN43&lt;FechaRef,"Vencida hace "&amp;(FechaRef-$AN43)&amp;IF(FechaRef-$AN43=1," día"," días"),IF($AN43=FechaRef,"Vence hoy",IF($AN43-FechaRef&lt;=DiasAlerta,"Vence en "&amp;($AN43-FechaRef)&amp;IF($AN43-FechaRef=1," día"," días"),"En plazo")))))))</f>
        <v/>
      </c>
      <c r="P43" s="62" t="n"/>
      <c r="Q43" s="58" t="n"/>
      <c r="R43" s="63">
        <f>IF(NOT((COUNTA($B43:$D43)+COUNTA($G43:$L43)+COUNTA($Q43))&gt;0),"",IF((IF($C43="","Falta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",""))="","✔ OK","⚠ "&amp;LEFT(IF($C43="","Falta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",""),LEN(IF($C43="","Falta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",""))-3)))</f>
        <v/>
      </c>
      <c r="S43" s="64">
        <f>IF(NOT((COUNTA($B43:$D43)+COUNTA($G43:$L43)+COUNTA($Q43))&gt;0),"",IF(AND($V43="Sub",N($U43)&gt;0),IF(ISNUMBER(INDEX($AM$5:$AM$1000,$U43-4)),DATE(YEAR(INDEX($AM$5:$AM$1000,$U43-4)),MONTH(INDEX($AM$5:$AM$1000,$U43-4)),1),IF(ISNUMBER(INDEX($AN$5:$AN$1000,$U43-4)),DATE(YEAR(INDEX($AN$5:$AN$1000,$U43-4)),MONTH(INDEX($AN$5:$AN$1000,$U43-4)),1),MesCiclo)),IF(ISNUMBER($AM43),DATE(YEAR($AM43),MONTH($AM43),1),IF(ISNUMBER($AN43),DATE(YEAR($AN43),MONTH($AN43),1),MesCiclo))))</f>
        <v/>
      </c>
      <c r="T43" s="62">
        <f>IF(OR($S43="",$S43&lt;&gt;MesCiclo),"",COUNTIF($S$5:$S43,MesCiclo))</f>
        <v/>
      </c>
      <c r="U43" s="62">
        <f>IF($V43="","",IF($V43="Macro",ROW(),IFERROR(LOOKUP(2,1/($V$5:$V43="Macro"),ROW($V$5:$V43)),0)))</f>
        <v/>
      </c>
      <c r="V43" s="62">
        <f>IF(NOT((COUNTA($B43:$D43)+COUNTA($G43:$L43)+COUNTA($Q43))&gt;0),"",IF($B43="Subactividad","Sub","Macro"))</f>
        <v/>
      </c>
      <c r="W43" s="62">
        <f>IF($V43="Macro",COUNTIFS($U$5:$U$1000,ROW(),$V$5:$V$1000,"Sub"),"")</f>
        <v/>
      </c>
      <c r="X43" s="62">
        <f>IF($V43="","",IF(ISNUMBER($G43),1,IFERROR(LOOKUP(2,1/($I43:$L43&lt;&gt;""),$I43:$L43),0)))</f>
        <v/>
      </c>
      <c r="Y43" s="62">
        <f>IF($V43="","",IF(AND(ISNUMBER($G43),$G43&lt;=IF($S43=MesCiclo,InicioCiclo,$S43+MOD(2-WEEKDAY($S43),7))+6),1,IF(ISNUMBER($I43),$I43,0)))</f>
        <v/>
      </c>
      <c r="Z43" s="62">
        <f>IF($V43="","",IF(AND(ISNUMBER($G43),$G43&lt;=IF($S43=MesCiclo,InicioCiclo,$S43+MOD(2-WEEKDAY($S43),7))+13),1,IF(ISNUMBER($J43),$J43,$Y43)))</f>
        <v/>
      </c>
      <c r="AA43" s="62">
        <f>IF($V43="","",IF(AND(ISNUMBER($G43),$G43&lt;=IF($S43=MesCiclo,InicioCiclo,$S43+MOD(2-WEEKDAY($S43),7))+20),1,IF(ISNUMBER($K43),$K43,$Z43)))</f>
        <v/>
      </c>
      <c r="AB43" s="62">
        <f>IF($V43="","",IF(AND(ISNUMBER($G43),$G43&lt;=IF($S43=MesCiclo,InicioCiclo,$S43+MOD(2-WEEKDAY($S43),7))+27),1,IF(ISNUMBER($L43),$L43,$AA43)))</f>
        <v/>
      </c>
      <c r="AC43" s="62">
        <f>IF($V43="","",IF(AND(ISNUMBER($G43),$G43&lt;=IF($S43=MesCiclo,InicioCiclo,$S43+MOD(2-WEEKDAY($S43),7))+6),1,IF(N($W43)&gt;0,AVERAGEIFS($Y$5:$Y$1000,$U$5:$U$1000,ROW(),$V$5:$V$1000,"Sub"),$Y43)))</f>
        <v/>
      </c>
      <c r="AD43" s="62">
        <f>IF($V43="","",IF(AND(ISNUMBER($G43),$G43&lt;=IF($S43=MesCiclo,InicioCiclo,$S43+MOD(2-WEEKDAY($S43),7))+13),1,IF(N($W43)&gt;0,AVERAGEIFS($Z$5:$Z$1000,$U$5:$U$1000,ROW(),$V$5:$V$1000,"Sub"),$Z43)))</f>
        <v/>
      </c>
      <c r="AE43" s="62">
        <f>IF($V43="","",IF(AND(ISNUMBER($G43),$G43&lt;=IF($S43=MesCiclo,InicioCiclo,$S43+MOD(2-WEEKDAY($S43),7))+20),1,IF(N($W43)&gt;0,AVERAGEIFS($AA$5:$AA$1000,$U$5:$U$1000,ROW(),$V$5:$V$1000,"Sub"),$AA43)))</f>
        <v/>
      </c>
      <c r="AF43" s="62">
        <f>IF($V43="","",IF(AND(ISNUMBER($G43),$G43&lt;=IF($S43=MesCiclo,InicioCiclo,$S43+MOD(2-WEEKDAY($S43),7))+27),1,IF(N($W43)&gt;0,AVERAGEIFS($AB$5:$AB$1000,$U$5:$U$1000,ROW(),$V$5:$V$1000,"Sub"),$AB43)))</f>
        <v/>
      </c>
      <c r="AG43" s="62">
        <f>IF($V43&lt;&gt;"Macro","",IF(COUNTIFS($S$5:$S$1000,$S43,$V$5:$V$1000,"Macro",$H$5:$H$1000,"&gt;0")=0,1/COUNTIFS($S$5:$S$1000,$S43,$V$5:$V$1000,"Macro"),IF(AND(ISNUMBER($H43),N($H43)&gt;0),$H43,SUMIFS($H$5:$H$1000,$S$5:$S$1000,$S43,$V$5:$V$1000,"Macro")/COUNTIFS($S$5:$S$1000,$S43,$V$5:$V$1000,"Macro",$H$5:$H$1000,"&gt;0"))/(COUNTIFS($S$5:$S$1000,$S43,$V$5:$V$1000,"Macro")*SUMIFS($H$5:$H$1000,$S$5:$S$1000,$S43,$V$5:$V$1000,"Macro")/COUNTIFS($S$5:$S$1000,$S43,$V$5:$V$1000,"Macro",$H$5:$H$1000,"&gt;0"))))</f>
        <v/>
      </c>
      <c r="AH43" s="62" t="n"/>
      <c r="AI43" s="62" t="n"/>
      <c r="AJ43" s="62" t="n"/>
      <c r="AK43" s="62" t="n"/>
      <c r="AL43" s="62">
        <f>IF(LEFT($C43,11)="[Jefatura] ",IFERROR(MATCH("Asistente Técnico de Riesgo|"&amp;MID($C43,12,500),rDname_ADM,0),0),"")</f>
        <v/>
      </c>
      <c r="AM43" s="62">
        <f>IF(N($AL43)&gt;0,INDEX(rIni_ADM,$AL43),IF(ISNUMBER($E43),$E43,""))</f>
        <v/>
      </c>
      <c r="AN43" s="62">
        <f>IF(N($AL43)&gt;0,INDEX(rLim_ADM,$AL43),IF(ISNUMBER($F43),$F43,""))</f>
        <v/>
      </c>
    </row>
    <row r="44">
      <c r="A44" s="56">
        <f>IF(NOT((COUNTA($B44:$D44)+COUNTA($G44:$L44)+COUNTA($Q44))&gt;0),"",IF($V44="Macro",COUNTIFS($V$5:$V44,"Macro",$S$5:$S44,$S44),IF(N($U44)=0,"?",COUNTIFS(INDEX($V$5:$V$1000,1):INDEX($V$5:$V$1000,$U44-4),"Macro",INDEX($S$5:$S$1000,1):INDEX($S$5:$S$1000,$U44-4),INDEX($S$5:$S$1000,$U44-4))&amp;"."&amp;COUNTIFS($U$5:$U44,$U44,$V$5:$V44,"Sub"))))</f>
        <v/>
      </c>
      <c r="B44" s="57" t="n"/>
      <c r="C44" s="58" t="n"/>
      <c r="D44" s="58" t="n"/>
      <c r="E44" s="59">
        <f>IF(N($AL44)&gt;0,INDEX(rIni_ADM,$AL44),"")</f>
        <v/>
      </c>
      <c r="F44" s="59">
        <f>IF(N($AL44)&gt;0,INDEX(rLim_ADM,$AL44),"")</f>
        <v/>
      </c>
      <c r="G44" s="59" t="n"/>
      <c r="H44" s="60" t="n"/>
      <c r="I44" s="60" t="n"/>
      <c r="J44" s="60" t="n"/>
      <c r="K44" s="60" t="n"/>
      <c r="L44" s="60" t="n"/>
      <c r="M44" s="61">
        <f>IF(NOT((COUNTA($B44:$D44)+COUNTA($G44:$L44)+COUNTA($Q44))&gt;0),"",IF(ISNUMBER($G44),1,IF(N($W44)&gt;0,AVERAGEIFS($X$5:$X$1000,$U$5:$U$1000,ROW(),$V$5:$V$1000,"Sub"),$X44)))</f>
        <v/>
      </c>
      <c r="N44" s="56">
        <f>IF($M44="","",IF($M44&gt;=1,"Completado",IF($M44&gt;0,"En curso","Pendiente")))</f>
        <v/>
      </c>
      <c r="O44" s="56">
        <f>IF(NOT((COUNTA($B44:$D44)+COUNTA($G44:$L44)+COUNTA($Q44))&gt;0),"",IF(ISNUMBER($G44),IF(AND(ISNUMBER($AN44),$G44&gt;$AN44),"Cumplida con "&amp;($G44-$AN44)&amp;IF($G44-$AN44=1," día"," días")&amp;" de retraso","Cumplida"),IF(N($M44)&gt;=1,"Cumplida",IF(NOT(ISNUMBER($AN44)),"Sin fecha límite",IF($AN44&lt;FechaRef,"Vencida hace "&amp;(FechaRef-$AN44)&amp;IF(FechaRef-$AN44=1," día"," días"),IF($AN44=FechaRef,"Vence hoy",IF($AN44-FechaRef&lt;=DiasAlerta,"Vence en "&amp;($AN44-FechaRef)&amp;IF($AN44-FechaRef=1," día"," días"),"En plazo")))))))</f>
        <v/>
      </c>
      <c r="P44" s="62" t="n"/>
      <c r="Q44" s="58" t="n"/>
      <c r="R44" s="63">
        <f>IF(NOT((COUNTA($B44:$D44)+COUNTA($G44:$L44)+COUNTA($Q44))&gt;0),"",IF((IF($C44="","Falta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",""))="","✔ OK","⚠ "&amp;LEFT(IF($C44="","Falta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",""),LEN(IF($C44="","Falta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",""))-3)))</f>
        <v/>
      </c>
      <c r="S44" s="64">
        <f>IF(NOT((COUNTA($B44:$D44)+COUNTA($G44:$L44)+COUNTA($Q44))&gt;0),"",IF(AND($V44="Sub",N($U44)&gt;0),IF(ISNUMBER(INDEX($AM$5:$AM$1000,$U44-4)),DATE(YEAR(INDEX($AM$5:$AM$1000,$U44-4)),MONTH(INDEX($AM$5:$AM$1000,$U44-4)),1),IF(ISNUMBER(INDEX($AN$5:$AN$1000,$U44-4)),DATE(YEAR(INDEX($AN$5:$AN$1000,$U44-4)),MONTH(INDEX($AN$5:$AN$1000,$U44-4)),1),MesCiclo)),IF(ISNUMBER($AM44),DATE(YEAR($AM44),MONTH($AM44),1),IF(ISNUMBER($AN44),DATE(YEAR($AN44),MONTH($AN44),1),MesCiclo))))</f>
        <v/>
      </c>
      <c r="T44" s="62">
        <f>IF(OR($S44="",$S44&lt;&gt;MesCiclo),"",COUNTIF($S$5:$S44,MesCiclo))</f>
        <v/>
      </c>
      <c r="U44" s="62">
        <f>IF($V44="","",IF($V44="Macro",ROW(),IFERROR(LOOKUP(2,1/($V$5:$V44="Macro"),ROW($V$5:$V44)),0)))</f>
        <v/>
      </c>
      <c r="V44" s="62">
        <f>IF(NOT((COUNTA($B44:$D44)+COUNTA($G44:$L44)+COUNTA($Q44))&gt;0),"",IF($B44="Subactividad","Sub","Macro"))</f>
        <v/>
      </c>
      <c r="W44" s="62">
        <f>IF($V44="Macro",COUNTIFS($U$5:$U$1000,ROW(),$V$5:$V$1000,"Sub"),"")</f>
        <v/>
      </c>
      <c r="X44" s="62">
        <f>IF($V44="","",IF(ISNUMBER($G44),1,IFERROR(LOOKUP(2,1/($I44:$L44&lt;&gt;""),$I44:$L44),0)))</f>
        <v/>
      </c>
      <c r="Y44" s="62">
        <f>IF($V44="","",IF(AND(ISNUMBER($G44),$G44&lt;=IF($S44=MesCiclo,InicioCiclo,$S44+MOD(2-WEEKDAY($S44),7))+6),1,IF(ISNUMBER($I44),$I44,0)))</f>
        <v/>
      </c>
      <c r="Z44" s="62">
        <f>IF($V44="","",IF(AND(ISNUMBER($G44),$G44&lt;=IF($S44=MesCiclo,InicioCiclo,$S44+MOD(2-WEEKDAY($S44),7))+13),1,IF(ISNUMBER($J44),$J44,$Y44)))</f>
        <v/>
      </c>
      <c r="AA44" s="62">
        <f>IF($V44="","",IF(AND(ISNUMBER($G44),$G44&lt;=IF($S44=MesCiclo,InicioCiclo,$S44+MOD(2-WEEKDAY($S44),7))+20),1,IF(ISNUMBER($K44),$K44,$Z44)))</f>
        <v/>
      </c>
      <c r="AB44" s="62">
        <f>IF($V44="","",IF(AND(ISNUMBER($G44),$G44&lt;=IF($S44=MesCiclo,InicioCiclo,$S44+MOD(2-WEEKDAY($S44),7))+27),1,IF(ISNUMBER($L44),$L44,$AA44)))</f>
        <v/>
      </c>
      <c r="AC44" s="62">
        <f>IF($V44="","",IF(AND(ISNUMBER($G44),$G44&lt;=IF($S44=MesCiclo,InicioCiclo,$S44+MOD(2-WEEKDAY($S44),7))+6),1,IF(N($W44)&gt;0,AVERAGEIFS($Y$5:$Y$1000,$U$5:$U$1000,ROW(),$V$5:$V$1000,"Sub"),$Y44)))</f>
        <v/>
      </c>
      <c r="AD44" s="62">
        <f>IF($V44="","",IF(AND(ISNUMBER($G44),$G44&lt;=IF($S44=MesCiclo,InicioCiclo,$S44+MOD(2-WEEKDAY($S44),7))+13),1,IF(N($W44)&gt;0,AVERAGEIFS($Z$5:$Z$1000,$U$5:$U$1000,ROW(),$V$5:$V$1000,"Sub"),$Z44)))</f>
        <v/>
      </c>
      <c r="AE44" s="62">
        <f>IF($V44="","",IF(AND(ISNUMBER($G44),$G44&lt;=IF($S44=MesCiclo,InicioCiclo,$S44+MOD(2-WEEKDAY($S44),7))+20),1,IF(N($W44)&gt;0,AVERAGEIFS($AA$5:$AA$1000,$U$5:$U$1000,ROW(),$V$5:$V$1000,"Sub"),$AA44)))</f>
        <v/>
      </c>
      <c r="AF44" s="62">
        <f>IF($V44="","",IF(AND(ISNUMBER($G44),$G44&lt;=IF($S44=MesCiclo,InicioCiclo,$S44+MOD(2-WEEKDAY($S44),7))+27),1,IF(N($W44)&gt;0,AVERAGEIFS($AB$5:$AB$1000,$U$5:$U$1000,ROW(),$V$5:$V$1000,"Sub"),$AB44)))</f>
        <v/>
      </c>
      <c r="AG44" s="62">
        <f>IF($V44&lt;&gt;"Macro","",IF(COUNTIFS($S$5:$S$1000,$S44,$V$5:$V$1000,"Macro",$H$5:$H$1000,"&gt;0")=0,1/COUNTIFS($S$5:$S$1000,$S44,$V$5:$V$1000,"Macro"),IF(AND(ISNUMBER($H44),N($H44)&gt;0),$H44,SUMIFS($H$5:$H$1000,$S$5:$S$1000,$S44,$V$5:$V$1000,"Macro")/COUNTIFS($S$5:$S$1000,$S44,$V$5:$V$1000,"Macro",$H$5:$H$1000,"&gt;0"))/(COUNTIFS($S$5:$S$1000,$S44,$V$5:$V$1000,"Macro")*SUMIFS($H$5:$H$1000,$S$5:$S$1000,$S44,$V$5:$V$1000,"Macro")/COUNTIFS($S$5:$S$1000,$S44,$V$5:$V$1000,"Macro",$H$5:$H$1000,"&gt;0"))))</f>
        <v/>
      </c>
      <c r="AH44" s="62" t="n"/>
      <c r="AI44" s="62" t="n"/>
      <c r="AJ44" s="62" t="n"/>
      <c r="AK44" s="62" t="n"/>
      <c r="AL44" s="62">
        <f>IF(LEFT($C44,11)="[Jefatura] ",IFERROR(MATCH("Asistente Técnico de Riesgo|"&amp;MID($C44,12,500),rDname_ADM,0),0),"")</f>
        <v/>
      </c>
      <c r="AM44" s="62">
        <f>IF(N($AL44)&gt;0,INDEX(rIni_ADM,$AL44),IF(ISNUMBER($E44),$E44,""))</f>
        <v/>
      </c>
      <c r="AN44" s="62">
        <f>IF(N($AL44)&gt;0,INDEX(rLim_ADM,$AL44),IF(ISNUMBER($F44),$F44,""))</f>
        <v/>
      </c>
    </row>
    <row r="45">
      <c r="A45" s="56">
        <f>IF(NOT((COUNTA($B45:$D45)+COUNTA($G45:$L45)+COUNTA($Q45))&gt;0),"",IF($V45="Macro",COUNTIFS($V$5:$V45,"Macro",$S$5:$S45,$S45),IF(N($U45)=0,"?",COUNTIFS(INDEX($V$5:$V$1000,1):INDEX($V$5:$V$1000,$U45-4),"Macro",INDEX($S$5:$S$1000,1):INDEX($S$5:$S$1000,$U45-4),INDEX($S$5:$S$1000,$U45-4))&amp;"."&amp;COUNTIFS($U$5:$U45,$U45,$V$5:$V45,"Sub"))))</f>
        <v/>
      </c>
      <c r="B45" s="57" t="n"/>
      <c r="C45" s="58" t="n"/>
      <c r="D45" s="58" t="n"/>
      <c r="E45" s="59">
        <f>IF(N($AL45)&gt;0,INDEX(rIni_ADM,$AL45),"")</f>
        <v/>
      </c>
      <c r="F45" s="59">
        <f>IF(N($AL45)&gt;0,INDEX(rLim_ADM,$AL45),"")</f>
        <v/>
      </c>
      <c r="G45" s="59" t="n"/>
      <c r="H45" s="60" t="n"/>
      <c r="I45" s="60" t="n"/>
      <c r="J45" s="60" t="n"/>
      <c r="K45" s="60" t="n"/>
      <c r="L45" s="60" t="n"/>
      <c r="M45" s="61">
        <f>IF(NOT((COUNTA($B45:$D45)+COUNTA($G45:$L45)+COUNTA($Q45))&gt;0),"",IF(ISNUMBER($G45),1,IF(N($W45)&gt;0,AVERAGEIFS($X$5:$X$1000,$U$5:$U$1000,ROW(),$V$5:$V$1000,"Sub"),$X45)))</f>
        <v/>
      </c>
      <c r="N45" s="56">
        <f>IF($M45="","",IF($M45&gt;=1,"Completado",IF($M45&gt;0,"En curso","Pendiente")))</f>
        <v/>
      </c>
      <c r="O45" s="56">
        <f>IF(NOT((COUNTA($B45:$D45)+COUNTA($G45:$L45)+COUNTA($Q45))&gt;0),"",IF(ISNUMBER($G45),IF(AND(ISNUMBER($AN45),$G45&gt;$AN45),"Cumplida con "&amp;($G45-$AN45)&amp;IF($G45-$AN45=1," día"," días")&amp;" de retraso","Cumplida"),IF(N($M45)&gt;=1,"Cumplida",IF(NOT(ISNUMBER($AN45)),"Sin fecha límite",IF($AN45&lt;FechaRef,"Vencida hace "&amp;(FechaRef-$AN45)&amp;IF(FechaRef-$AN45=1," día"," días"),IF($AN45=FechaRef,"Vence hoy",IF($AN45-FechaRef&lt;=DiasAlerta,"Vence en "&amp;($AN45-FechaRef)&amp;IF($AN45-FechaRef=1," día"," días"),"En plazo")))))))</f>
        <v/>
      </c>
      <c r="P45" s="62" t="n"/>
      <c r="Q45" s="58" t="n"/>
      <c r="R45" s="63">
        <f>IF(NOT((COUNTA($B45:$D45)+COUNTA($G45:$L45)+COUNTA($Q45))&gt;0),"",IF((IF($C45="","Falta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",""))="","✔ OK","⚠ "&amp;LEFT(IF($C45="","Falta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",""),LEN(IF($C45="","Falta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",""))-3)))</f>
        <v/>
      </c>
      <c r="S45" s="64">
        <f>IF(NOT((COUNTA($B45:$D45)+COUNTA($G45:$L45)+COUNTA($Q45))&gt;0),"",IF(AND($V45="Sub",N($U45)&gt;0),IF(ISNUMBER(INDEX($AM$5:$AM$1000,$U45-4)),DATE(YEAR(INDEX($AM$5:$AM$1000,$U45-4)),MONTH(INDEX($AM$5:$AM$1000,$U45-4)),1),IF(ISNUMBER(INDEX($AN$5:$AN$1000,$U45-4)),DATE(YEAR(INDEX($AN$5:$AN$1000,$U45-4)),MONTH(INDEX($AN$5:$AN$1000,$U45-4)),1),MesCiclo)),IF(ISNUMBER($AM45),DATE(YEAR($AM45),MONTH($AM45),1),IF(ISNUMBER($AN45),DATE(YEAR($AN45),MONTH($AN45),1),MesCiclo))))</f>
        <v/>
      </c>
      <c r="T45" s="62">
        <f>IF(OR($S45="",$S45&lt;&gt;MesCiclo),"",COUNTIF($S$5:$S45,MesCiclo))</f>
        <v/>
      </c>
      <c r="U45" s="62">
        <f>IF($V45="","",IF($V45="Macro",ROW(),IFERROR(LOOKUP(2,1/($V$5:$V45="Macro"),ROW($V$5:$V45)),0)))</f>
        <v/>
      </c>
      <c r="V45" s="62">
        <f>IF(NOT((COUNTA($B45:$D45)+COUNTA($G45:$L45)+COUNTA($Q45))&gt;0),"",IF($B45="Subactividad","Sub","Macro"))</f>
        <v/>
      </c>
      <c r="W45" s="62">
        <f>IF($V45="Macro",COUNTIFS($U$5:$U$1000,ROW(),$V$5:$V$1000,"Sub"),"")</f>
        <v/>
      </c>
      <c r="X45" s="62">
        <f>IF($V45="","",IF(ISNUMBER($G45),1,IFERROR(LOOKUP(2,1/($I45:$L45&lt;&gt;""),$I45:$L45),0)))</f>
        <v/>
      </c>
      <c r="Y45" s="62">
        <f>IF($V45="","",IF(AND(ISNUMBER($G45),$G45&lt;=IF($S45=MesCiclo,InicioCiclo,$S45+MOD(2-WEEKDAY($S45),7))+6),1,IF(ISNUMBER($I45),$I45,0)))</f>
        <v/>
      </c>
      <c r="Z45" s="62">
        <f>IF($V45="","",IF(AND(ISNUMBER($G45),$G45&lt;=IF($S45=MesCiclo,InicioCiclo,$S45+MOD(2-WEEKDAY($S45),7))+13),1,IF(ISNUMBER($J45),$J45,$Y45)))</f>
        <v/>
      </c>
      <c r="AA45" s="62">
        <f>IF($V45="","",IF(AND(ISNUMBER($G45),$G45&lt;=IF($S45=MesCiclo,InicioCiclo,$S45+MOD(2-WEEKDAY($S45),7))+20),1,IF(ISNUMBER($K45),$K45,$Z45)))</f>
        <v/>
      </c>
      <c r="AB45" s="62">
        <f>IF($V45="","",IF(AND(ISNUMBER($G45),$G45&lt;=IF($S45=MesCiclo,InicioCiclo,$S45+MOD(2-WEEKDAY($S45),7))+27),1,IF(ISNUMBER($L45),$L45,$AA45)))</f>
        <v/>
      </c>
      <c r="AC45" s="62">
        <f>IF($V45="","",IF(AND(ISNUMBER($G45),$G45&lt;=IF($S45=MesCiclo,InicioCiclo,$S45+MOD(2-WEEKDAY($S45),7))+6),1,IF(N($W45)&gt;0,AVERAGEIFS($Y$5:$Y$1000,$U$5:$U$1000,ROW(),$V$5:$V$1000,"Sub"),$Y45)))</f>
        <v/>
      </c>
      <c r="AD45" s="62">
        <f>IF($V45="","",IF(AND(ISNUMBER($G45),$G45&lt;=IF($S45=MesCiclo,InicioCiclo,$S45+MOD(2-WEEKDAY($S45),7))+13),1,IF(N($W45)&gt;0,AVERAGEIFS($Z$5:$Z$1000,$U$5:$U$1000,ROW(),$V$5:$V$1000,"Sub"),$Z45)))</f>
        <v/>
      </c>
      <c r="AE45" s="62">
        <f>IF($V45="","",IF(AND(ISNUMBER($G45),$G45&lt;=IF($S45=MesCiclo,InicioCiclo,$S45+MOD(2-WEEKDAY($S45),7))+20),1,IF(N($W45)&gt;0,AVERAGEIFS($AA$5:$AA$1000,$U$5:$U$1000,ROW(),$V$5:$V$1000,"Sub"),$AA45)))</f>
        <v/>
      </c>
      <c r="AF45" s="62">
        <f>IF($V45="","",IF(AND(ISNUMBER($G45),$G45&lt;=IF($S45=MesCiclo,InicioCiclo,$S45+MOD(2-WEEKDAY($S45),7))+27),1,IF(N($W45)&gt;0,AVERAGEIFS($AB$5:$AB$1000,$U$5:$U$1000,ROW(),$V$5:$V$1000,"Sub"),$AB45)))</f>
        <v/>
      </c>
      <c r="AG45" s="62">
        <f>IF($V45&lt;&gt;"Macro","",IF(COUNTIFS($S$5:$S$1000,$S45,$V$5:$V$1000,"Macro",$H$5:$H$1000,"&gt;0")=0,1/COUNTIFS($S$5:$S$1000,$S45,$V$5:$V$1000,"Macro"),IF(AND(ISNUMBER($H45),N($H45)&gt;0),$H45,SUMIFS($H$5:$H$1000,$S$5:$S$1000,$S45,$V$5:$V$1000,"Macro")/COUNTIFS($S$5:$S$1000,$S45,$V$5:$V$1000,"Macro",$H$5:$H$1000,"&gt;0"))/(COUNTIFS($S$5:$S$1000,$S45,$V$5:$V$1000,"Macro")*SUMIFS($H$5:$H$1000,$S$5:$S$1000,$S45,$V$5:$V$1000,"Macro")/COUNTIFS($S$5:$S$1000,$S45,$V$5:$V$1000,"Macro",$H$5:$H$1000,"&gt;0"))))</f>
        <v/>
      </c>
      <c r="AH45" s="62" t="n"/>
      <c r="AI45" s="62" t="n"/>
      <c r="AJ45" s="62" t="n"/>
      <c r="AK45" s="62" t="n"/>
      <c r="AL45" s="62">
        <f>IF(LEFT($C45,11)="[Jefatura] ",IFERROR(MATCH("Asistente Técnico de Riesgo|"&amp;MID($C45,12,500),rDname_ADM,0),0),"")</f>
        <v/>
      </c>
      <c r="AM45" s="62">
        <f>IF(N($AL45)&gt;0,INDEX(rIni_ADM,$AL45),IF(ISNUMBER($E45),$E45,""))</f>
        <v/>
      </c>
      <c r="AN45" s="62">
        <f>IF(N($AL45)&gt;0,INDEX(rLim_ADM,$AL45),IF(ISNUMBER($F45),$F45,""))</f>
        <v/>
      </c>
    </row>
    <row r="46">
      <c r="A46" s="56">
        <f>IF(NOT((COUNTA($B46:$D46)+COUNTA($G46:$L46)+COUNTA($Q46))&gt;0),"",IF($V46="Macro",COUNTIFS($V$5:$V46,"Macro",$S$5:$S46,$S46),IF(N($U46)=0,"?",COUNTIFS(INDEX($V$5:$V$1000,1):INDEX($V$5:$V$1000,$U46-4),"Macro",INDEX($S$5:$S$1000,1):INDEX($S$5:$S$1000,$U46-4),INDEX($S$5:$S$1000,$U46-4))&amp;"."&amp;COUNTIFS($U$5:$U46,$U46,$V$5:$V46,"Sub"))))</f>
        <v/>
      </c>
      <c r="B46" s="57" t="n"/>
      <c r="C46" s="58" t="n"/>
      <c r="D46" s="58" t="n"/>
      <c r="E46" s="59">
        <f>IF(N($AL46)&gt;0,INDEX(rIni_ADM,$AL46),"")</f>
        <v/>
      </c>
      <c r="F46" s="59">
        <f>IF(N($AL46)&gt;0,INDEX(rLim_ADM,$AL46),"")</f>
        <v/>
      </c>
      <c r="G46" s="59" t="n"/>
      <c r="H46" s="60" t="n"/>
      <c r="I46" s="60" t="n"/>
      <c r="J46" s="60" t="n"/>
      <c r="K46" s="60" t="n"/>
      <c r="L46" s="60" t="n"/>
      <c r="M46" s="61">
        <f>IF(NOT((COUNTA($B46:$D46)+COUNTA($G46:$L46)+COUNTA($Q46))&gt;0),"",IF(ISNUMBER($G46),1,IF(N($W46)&gt;0,AVERAGEIFS($X$5:$X$1000,$U$5:$U$1000,ROW(),$V$5:$V$1000,"Sub"),$X46)))</f>
        <v/>
      </c>
      <c r="N46" s="56">
        <f>IF($M46="","",IF($M46&gt;=1,"Completado",IF($M46&gt;0,"En curso","Pendiente")))</f>
        <v/>
      </c>
      <c r="O46" s="56">
        <f>IF(NOT((COUNTA($B46:$D46)+COUNTA($G46:$L46)+COUNTA($Q46))&gt;0),"",IF(ISNUMBER($G46),IF(AND(ISNUMBER($AN46),$G46&gt;$AN46),"Cumplida con "&amp;($G46-$AN46)&amp;IF($G46-$AN46=1," día"," días")&amp;" de retraso","Cumplida"),IF(N($M46)&gt;=1,"Cumplida",IF(NOT(ISNUMBER($AN46)),"Sin fecha límite",IF($AN46&lt;FechaRef,"Vencida hace "&amp;(FechaRef-$AN46)&amp;IF(FechaRef-$AN46=1," día"," días"),IF($AN46=FechaRef,"Vence hoy",IF($AN46-FechaRef&lt;=DiasAlerta,"Vence en "&amp;($AN46-FechaRef)&amp;IF($AN46-FechaRef=1," día"," días"),"En plazo")))))))</f>
        <v/>
      </c>
      <c r="P46" s="62" t="n"/>
      <c r="Q46" s="58" t="n"/>
      <c r="R46" s="63">
        <f>IF(NOT((COUNTA($B46:$D46)+COUNTA($G46:$L46)+COUNTA($Q46))&gt;0),"",IF((IF($C46="","Falta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",""))="","✔ OK","⚠ "&amp;LEFT(IF($C46="","Falta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",""),LEN(IF($C46="","Falta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",""))-3)))</f>
        <v/>
      </c>
      <c r="S46" s="64">
        <f>IF(NOT((COUNTA($B46:$D46)+COUNTA($G46:$L46)+COUNTA($Q46))&gt;0),"",IF(AND($V46="Sub",N($U46)&gt;0),IF(ISNUMBER(INDEX($AM$5:$AM$1000,$U46-4)),DATE(YEAR(INDEX($AM$5:$AM$1000,$U46-4)),MONTH(INDEX($AM$5:$AM$1000,$U46-4)),1),IF(ISNUMBER(INDEX($AN$5:$AN$1000,$U46-4)),DATE(YEAR(INDEX($AN$5:$AN$1000,$U46-4)),MONTH(INDEX($AN$5:$AN$1000,$U46-4)),1),MesCiclo)),IF(ISNUMBER($AM46),DATE(YEAR($AM46),MONTH($AM46),1),IF(ISNUMBER($AN46),DATE(YEAR($AN46),MONTH($AN46),1),MesCiclo))))</f>
        <v/>
      </c>
      <c r="T46" s="62">
        <f>IF(OR($S46="",$S46&lt;&gt;MesCiclo),"",COUNTIF($S$5:$S46,MesCiclo))</f>
        <v/>
      </c>
      <c r="U46" s="62">
        <f>IF($V46="","",IF($V46="Macro",ROW(),IFERROR(LOOKUP(2,1/($V$5:$V46="Macro"),ROW($V$5:$V46)),0)))</f>
        <v/>
      </c>
      <c r="V46" s="62">
        <f>IF(NOT((COUNTA($B46:$D46)+COUNTA($G46:$L46)+COUNTA($Q46))&gt;0),"",IF($B46="Subactividad","Sub","Macro"))</f>
        <v/>
      </c>
      <c r="W46" s="62">
        <f>IF($V46="Macro",COUNTIFS($U$5:$U$1000,ROW(),$V$5:$V$1000,"Sub"),"")</f>
        <v/>
      </c>
      <c r="X46" s="62">
        <f>IF($V46="","",IF(ISNUMBER($G46),1,IFERROR(LOOKUP(2,1/($I46:$L46&lt;&gt;""),$I46:$L46),0)))</f>
        <v/>
      </c>
      <c r="Y46" s="62">
        <f>IF($V46="","",IF(AND(ISNUMBER($G46),$G46&lt;=IF($S46=MesCiclo,InicioCiclo,$S46+MOD(2-WEEKDAY($S46),7))+6),1,IF(ISNUMBER($I46),$I46,0)))</f>
        <v/>
      </c>
      <c r="Z46" s="62">
        <f>IF($V46="","",IF(AND(ISNUMBER($G46),$G46&lt;=IF($S46=MesCiclo,InicioCiclo,$S46+MOD(2-WEEKDAY($S46),7))+13),1,IF(ISNUMBER($J46),$J46,$Y46)))</f>
        <v/>
      </c>
      <c r="AA46" s="62">
        <f>IF($V46="","",IF(AND(ISNUMBER($G46),$G46&lt;=IF($S46=MesCiclo,InicioCiclo,$S46+MOD(2-WEEKDAY($S46),7))+20),1,IF(ISNUMBER($K46),$K46,$Z46)))</f>
        <v/>
      </c>
      <c r="AB46" s="62">
        <f>IF($V46="","",IF(AND(ISNUMBER($G46),$G46&lt;=IF($S46=MesCiclo,InicioCiclo,$S46+MOD(2-WEEKDAY($S46),7))+27),1,IF(ISNUMBER($L46),$L46,$AA46)))</f>
        <v/>
      </c>
      <c r="AC46" s="62">
        <f>IF($V46="","",IF(AND(ISNUMBER($G46),$G46&lt;=IF($S46=MesCiclo,InicioCiclo,$S46+MOD(2-WEEKDAY($S46),7))+6),1,IF(N($W46)&gt;0,AVERAGEIFS($Y$5:$Y$1000,$U$5:$U$1000,ROW(),$V$5:$V$1000,"Sub"),$Y46)))</f>
        <v/>
      </c>
      <c r="AD46" s="62">
        <f>IF($V46="","",IF(AND(ISNUMBER($G46),$G46&lt;=IF($S46=MesCiclo,InicioCiclo,$S46+MOD(2-WEEKDAY($S46),7))+13),1,IF(N($W46)&gt;0,AVERAGEIFS($Z$5:$Z$1000,$U$5:$U$1000,ROW(),$V$5:$V$1000,"Sub"),$Z46)))</f>
        <v/>
      </c>
      <c r="AE46" s="62">
        <f>IF($V46="","",IF(AND(ISNUMBER($G46),$G46&lt;=IF($S46=MesCiclo,InicioCiclo,$S46+MOD(2-WEEKDAY($S46),7))+20),1,IF(N($W46)&gt;0,AVERAGEIFS($AA$5:$AA$1000,$U$5:$U$1000,ROW(),$V$5:$V$1000,"Sub"),$AA46)))</f>
        <v/>
      </c>
      <c r="AF46" s="62">
        <f>IF($V46="","",IF(AND(ISNUMBER($G46),$G46&lt;=IF($S46=MesCiclo,InicioCiclo,$S46+MOD(2-WEEKDAY($S46),7))+27),1,IF(N($W46)&gt;0,AVERAGEIFS($AB$5:$AB$1000,$U$5:$U$1000,ROW(),$V$5:$V$1000,"Sub"),$AB46)))</f>
        <v/>
      </c>
      <c r="AG46" s="62">
        <f>IF($V46&lt;&gt;"Macro","",IF(COUNTIFS($S$5:$S$1000,$S46,$V$5:$V$1000,"Macro",$H$5:$H$1000,"&gt;0")=0,1/COUNTIFS($S$5:$S$1000,$S46,$V$5:$V$1000,"Macro"),IF(AND(ISNUMBER($H46),N($H46)&gt;0),$H46,SUMIFS($H$5:$H$1000,$S$5:$S$1000,$S46,$V$5:$V$1000,"Macro")/COUNTIFS($S$5:$S$1000,$S46,$V$5:$V$1000,"Macro",$H$5:$H$1000,"&gt;0"))/(COUNTIFS($S$5:$S$1000,$S46,$V$5:$V$1000,"Macro")*SUMIFS($H$5:$H$1000,$S$5:$S$1000,$S46,$V$5:$V$1000,"Macro")/COUNTIFS($S$5:$S$1000,$S46,$V$5:$V$1000,"Macro",$H$5:$H$1000,"&gt;0"))))</f>
        <v/>
      </c>
      <c r="AH46" s="62" t="n"/>
      <c r="AI46" s="62" t="n"/>
      <c r="AJ46" s="62" t="n"/>
      <c r="AK46" s="62" t="n"/>
      <c r="AL46" s="62">
        <f>IF(LEFT($C46,11)="[Jefatura] ",IFERROR(MATCH("Asistente Técnico de Riesgo|"&amp;MID($C46,12,500),rDname_ADM,0),0),"")</f>
        <v/>
      </c>
      <c r="AM46" s="62">
        <f>IF(N($AL46)&gt;0,INDEX(rIni_ADM,$AL46),IF(ISNUMBER($E46),$E46,""))</f>
        <v/>
      </c>
      <c r="AN46" s="62">
        <f>IF(N($AL46)&gt;0,INDEX(rLim_ADM,$AL46),IF(ISNUMBER($F46),$F46,""))</f>
        <v/>
      </c>
    </row>
    <row r="47">
      <c r="A47" s="56">
        <f>IF(NOT((COUNTA($B47:$D47)+COUNTA($G47:$L47)+COUNTA($Q47))&gt;0),"",IF($V47="Macro",COUNTIFS($V$5:$V47,"Macro",$S$5:$S47,$S47),IF(N($U47)=0,"?",COUNTIFS(INDEX($V$5:$V$1000,1):INDEX($V$5:$V$1000,$U47-4),"Macro",INDEX($S$5:$S$1000,1):INDEX($S$5:$S$1000,$U47-4),INDEX($S$5:$S$1000,$U47-4))&amp;"."&amp;COUNTIFS($U$5:$U47,$U47,$V$5:$V47,"Sub"))))</f>
        <v/>
      </c>
      <c r="B47" s="57" t="n"/>
      <c r="C47" s="58" t="n"/>
      <c r="D47" s="58" t="n"/>
      <c r="E47" s="59">
        <f>IF(N($AL47)&gt;0,INDEX(rIni_ADM,$AL47),"")</f>
        <v/>
      </c>
      <c r="F47" s="59">
        <f>IF(N($AL47)&gt;0,INDEX(rLim_ADM,$AL47),"")</f>
        <v/>
      </c>
      <c r="G47" s="59" t="n"/>
      <c r="H47" s="60" t="n"/>
      <c r="I47" s="60" t="n"/>
      <c r="J47" s="60" t="n"/>
      <c r="K47" s="60" t="n"/>
      <c r="L47" s="60" t="n"/>
      <c r="M47" s="61">
        <f>IF(NOT((COUNTA($B47:$D47)+COUNTA($G47:$L47)+COUNTA($Q47))&gt;0),"",IF(ISNUMBER($G47),1,IF(N($W47)&gt;0,AVERAGEIFS($X$5:$X$1000,$U$5:$U$1000,ROW(),$V$5:$V$1000,"Sub"),$X47)))</f>
        <v/>
      </c>
      <c r="N47" s="56">
        <f>IF($M47="","",IF($M47&gt;=1,"Completado",IF($M47&gt;0,"En curso","Pendiente")))</f>
        <v/>
      </c>
      <c r="O47" s="56">
        <f>IF(NOT((COUNTA($B47:$D47)+COUNTA($G47:$L47)+COUNTA($Q47))&gt;0),"",IF(ISNUMBER($G47),IF(AND(ISNUMBER($AN47),$G47&gt;$AN47),"Cumplida con "&amp;($G47-$AN47)&amp;IF($G47-$AN47=1," día"," días")&amp;" de retraso","Cumplida"),IF(N($M47)&gt;=1,"Cumplida",IF(NOT(ISNUMBER($AN47)),"Sin fecha límite",IF($AN47&lt;FechaRef,"Vencida hace "&amp;(FechaRef-$AN47)&amp;IF(FechaRef-$AN47=1," día"," días"),IF($AN47=FechaRef,"Vence hoy",IF($AN47-FechaRef&lt;=DiasAlerta,"Vence en "&amp;($AN47-FechaRef)&amp;IF($AN47-FechaRef=1," día"," días"),"En plazo")))))))</f>
        <v/>
      </c>
      <c r="P47" s="62" t="n"/>
      <c r="Q47" s="58" t="n"/>
      <c r="R47" s="63">
        <f>IF(NOT((COUNTA($B47:$D47)+COUNTA($G47:$L47)+COUNTA($Q47))&gt;0),"",IF((IF($C47="","Falta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",""))="","✔ OK","⚠ "&amp;LEFT(IF($C47="","Falta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",""),LEN(IF($C47="","Falta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",""))-3)))</f>
        <v/>
      </c>
      <c r="S47" s="64">
        <f>IF(NOT((COUNTA($B47:$D47)+COUNTA($G47:$L47)+COUNTA($Q47))&gt;0),"",IF(AND($V47="Sub",N($U47)&gt;0),IF(ISNUMBER(INDEX($AM$5:$AM$1000,$U47-4)),DATE(YEAR(INDEX($AM$5:$AM$1000,$U47-4)),MONTH(INDEX($AM$5:$AM$1000,$U47-4)),1),IF(ISNUMBER(INDEX($AN$5:$AN$1000,$U47-4)),DATE(YEAR(INDEX($AN$5:$AN$1000,$U47-4)),MONTH(INDEX($AN$5:$AN$1000,$U47-4)),1),MesCiclo)),IF(ISNUMBER($AM47),DATE(YEAR($AM47),MONTH($AM47),1),IF(ISNUMBER($AN47),DATE(YEAR($AN47),MONTH($AN47),1),MesCiclo))))</f>
        <v/>
      </c>
      <c r="T47" s="62">
        <f>IF(OR($S47="",$S47&lt;&gt;MesCiclo),"",COUNTIF($S$5:$S47,MesCiclo))</f>
        <v/>
      </c>
      <c r="U47" s="62">
        <f>IF($V47="","",IF($V47="Macro",ROW(),IFERROR(LOOKUP(2,1/($V$5:$V47="Macro"),ROW($V$5:$V47)),0)))</f>
        <v/>
      </c>
      <c r="V47" s="62">
        <f>IF(NOT((COUNTA($B47:$D47)+COUNTA($G47:$L47)+COUNTA($Q47))&gt;0),"",IF($B47="Subactividad","Sub","Macro"))</f>
        <v/>
      </c>
      <c r="W47" s="62">
        <f>IF($V47="Macro",COUNTIFS($U$5:$U$1000,ROW(),$V$5:$V$1000,"Sub"),"")</f>
        <v/>
      </c>
      <c r="X47" s="62">
        <f>IF($V47="","",IF(ISNUMBER($G47),1,IFERROR(LOOKUP(2,1/($I47:$L47&lt;&gt;""),$I47:$L47),0)))</f>
        <v/>
      </c>
      <c r="Y47" s="62">
        <f>IF($V47="","",IF(AND(ISNUMBER($G47),$G47&lt;=IF($S47=MesCiclo,InicioCiclo,$S47+MOD(2-WEEKDAY($S47),7))+6),1,IF(ISNUMBER($I47),$I47,0)))</f>
        <v/>
      </c>
      <c r="Z47" s="62">
        <f>IF($V47="","",IF(AND(ISNUMBER($G47),$G47&lt;=IF($S47=MesCiclo,InicioCiclo,$S47+MOD(2-WEEKDAY($S47),7))+13),1,IF(ISNUMBER($J47),$J47,$Y47)))</f>
        <v/>
      </c>
      <c r="AA47" s="62">
        <f>IF($V47="","",IF(AND(ISNUMBER($G47),$G47&lt;=IF($S47=MesCiclo,InicioCiclo,$S47+MOD(2-WEEKDAY($S47),7))+20),1,IF(ISNUMBER($K47),$K47,$Z47)))</f>
        <v/>
      </c>
      <c r="AB47" s="62">
        <f>IF($V47="","",IF(AND(ISNUMBER($G47),$G47&lt;=IF($S47=MesCiclo,InicioCiclo,$S47+MOD(2-WEEKDAY($S47),7))+27),1,IF(ISNUMBER($L47),$L47,$AA47)))</f>
        <v/>
      </c>
      <c r="AC47" s="62">
        <f>IF($V47="","",IF(AND(ISNUMBER($G47),$G47&lt;=IF($S47=MesCiclo,InicioCiclo,$S47+MOD(2-WEEKDAY($S47),7))+6),1,IF(N($W47)&gt;0,AVERAGEIFS($Y$5:$Y$1000,$U$5:$U$1000,ROW(),$V$5:$V$1000,"Sub"),$Y47)))</f>
        <v/>
      </c>
      <c r="AD47" s="62">
        <f>IF($V47="","",IF(AND(ISNUMBER($G47),$G47&lt;=IF($S47=MesCiclo,InicioCiclo,$S47+MOD(2-WEEKDAY($S47),7))+13),1,IF(N($W47)&gt;0,AVERAGEIFS($Z$5:$Z$1000,$U$5:$U$1000,ROW(),$V$5:$V$1000,"Sub"),$Z47)))</f>
        <v/>
      </c>
      <c r="AE47" s="62">
        <f>IF($V47="","",IF(AND(ISNUMBER($G47),$G47&lt;=IF($S47=MesCiclo,InicioCiclo,$S47+MOD(2-WEEKDAY($S47),7))+20),1,IF(N($W47)&gt;0,AVERAGEIFS($AA$5:$AA$1000,$U$5:$U$1000,ROW(),$V$5:$V$1000,"Sub"),$AA47)))</f>
        <v/>
      </c>
      <c r="AF47" s="62">
        <f>IF($V47="","",IF(AND(ISNUMBER($G47),$G47&lt;=IF($S47=MesCiclo,InicioCiclo,$S47+MOD(2-WEEKDAY($S47),7))+27),1,IF(N($W47)&gt;0,AVERAGEIFS($AB$5:$AB$1000,$U$5:$U$1000,ROW(),$V$5:$V$1000,"Sub"),$AB47)))</f>
        <v/>
      </c>
      <c r="AG47" s="62">
        <f>IF($V47&lt;&gt;"Macro","",IF(COUNTIFS($S$5:$S$1000,$S47,$V$5:$V$1000,"Macro",$H$5:$H$1000,"&gt;0")=0,1/COUNTIFS($S$5:$S$1000,$S47,$V$5:$V$1000,"Macro"),IF(AND(ISNUMBER($H47),N($H47)&gt;0),$H47,SUMIFS($H$5:$H$1000,$S$5:$S$1000,$S47,$V$5:$V$1000,"Macro")/COUNTIFS($S$5:$S$1000,$S47,$V$5:$V$1000,"Macro",$H$5:$H$1000,"&gt;0"))/(COUNTIFS($S$5:$S$1000,$S47,$V$5:$V$1000,"Macro")*SUMIFS($H$5:$H$1000,$S$5:$S$1000,$S47,$V$5:$V$1000,"Macro")/COUNTIFS($S$5:$S$1000,$S47,$V$5:$V$1000,"Macro",$H$5:$H$1000,"&gt;0"))))</f>
        <v/>
      </c>
      <c r="AH47" s="62" t="n"/>
      <c r="AI47" s="62" t="n"/>
      <c r="AJ47" s="62" t="n"/>
      <c r="AK47" s="62" t="n"/>
      <c r="AL47" s="62">
        <f>IF(LEFT($C47,11)="[Jefatura] ",IFERROR(MATCH("Asistente Técnico de Riesgo|"&amp;MID($C47,12,500),rDname_ADM,0),0),"")</f>
        <v/>
      </c>
      <c r="AM47" s="62">
        <f>IF(N($AL47)&gt;0,INDEX(rIni_ADM,$AL47),IF(ISNUMBER($E47),$E47,""))</f>
        <v/>
      </c>
      <c r="AN47" s="62">
        <f>IF(N($AL47)&gt;0,INDEX(rLim_ADM,$AL47),IF(ISNUMBER($F47),$F47,""))</f>
        <v/>
      </c>
    </row>
    <row r="48">
      <c r="A48" s="56">
        <f>IF(NOT((COUNTA($B48:$D48)+COUNTA($G48:$L48)+COUNTA($Q48))&gt;0),"",IF($V48="Macro",COUNTIFS($V$5:$V48,"Macro",$S$5:$S48,$S48),IF(N($U48)=0,"?",COUNTIFS(INDEX($V$5:$V$1000,1):INDEX($V$5:$V$1000,$U48-4),"Macro",INDEX($S$5:$S$1000,1):INDEX($S$5:$S$1000,$U48-4),INDEX($S$5:$S$1000,$U48-4))&amp;"."&amp;COUNTIFS($U$5:$U48,$U48,$V$5:$V48,"Sub"))))</f>
        <v/>
      </c>
      <c r="B48" s="57" t="n"/>
      <c r="C48" s="58" t="n"/>
      <c r="D48" s="58" t="n"/>
      <c r="E48" s="59">
        <f>IF(N($AL48)&gt;0,INDEX(rIni_ADM,$AL48),"")</f>
        <v/>
      </c>
      <c r="F48" s="59">
        <f>IF(N($AL48)&gt;0,INDEX(rLim_ADM,$AL48),"")</f>
        <v/>
      </c>
      <c r="G48" s="59" t="n"/>
      <c r="H48" s="60" t="n"/>
      <c r="I48" s="60" t="n"/>
      <c r="J48" s="60" t="n"/>
      <c r="K48" s="60" t="n"/>
      <c r="L48" s="60" t="n"/>
      <c r="M48" s="61">
        <f>IF(NOT((COUNTA($B48:$D48)+COUNTA($G48:$L48)+COUNTA($Q48))&gt;0),"",IF(ISNUMBER($G48),1,IF(N($W48)&gt;0,AVERAGEIFS($X$5:$X$1000,$U$5:$U$1000,ROW(),$V$5:$V$1000,"Sub"),$X48)))</f>
        <v/>
      </c>
      <c r="N48" s="56">
        <f>IF($M48="","",IF($M48&gt;=1,"Completado",IF($M48&gt;0,"En curso","Pendiente")))</f>
        <v/>
      </c>
      <c r="O48" s="56">
        <f>IF(NOT((COUNTA($B48:$D48)+COUNTA($G48:$L48)+COUNTA($Q48))&gt;0),"",IF(ISNUMBER($G48),IF(AND(ISNUMBER($AN48),$G48&gt;$AN48),"Cumplida con "&amp;($G48-$AN48)&amp;IF($G48-$AN48=1," día"," días")&amp;" de retraso","Cumplida"),IF(N($M48)&gt;=1,"Cumplida",IF(NOT(ISNUMBER($AN48)),"Sin fecha límite",IF($AN48&lt;FechaRef,"Vencida hace "&amp;(FechaRef-$AN48)&amp;IF(FechaRef-$AN48=1," día"," días"),IF($AN48=FechaRef,"Vence hoy",IF($AN48-FechaRef&lt;=DiasAlerta,"Vence en "&amp;($AN48-FechaRef)&amp;IF($AN48-FechaRef=1," día"," días"),"En plazo")))))))</f>
        <v/>
      </c>
      <c r="P48" s="62" t="n"/>
      <c r="Q48" s="58" t="n"/>
      <c r="R48" s="63">
        <f>IF(NOT((COUNTA($B48:$D48)+COUNTA($G48:$L48)+COUNTA($Q48))&gt;0),"",IF((IF($C48="","Falta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",""))="","✔ OK","⚠ "&amp;LEFT(IF($C48="","Falta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",""),LEN(IF($C48="","Falta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",""))-3)))</f>
        <v/>
      </c>
      <c r="S48" s="64">
        <f>IF(NOT((COUNTA($B48:$D48)+COUNTA($G48:$L48)+COUNTA($Q48))&gt;0),"",IF(AND($V48="Sub",N($U48)&gt;0),IF(ISNUMBER(INDEX($AM$5:$AM$1000,$U48-4)),DATE(YEAR(INDEX($AM$5:$AM$1000,$U48-4)),MONTH(INDEX($AM$5:$AM$1000,$U48-4)),1),IF(ISNUMBER(INDEX($AN$5:$AN$1000,$U48-4)),DATE(YEAR(INDEX($AN$5:$AN$1000,$U48-4)),MONTH(INDEX($AN$5:$AN$1000,$U48-4)),1),MesCiclo)),IF(ISNUMBER($AM48),DATE(YEAR($AM48),MONTH($AM48),1),IF(ISNUMBER($AN48),DATE(YEAR($AN48),MONTH($AN48),1),MesCiclo))))</f>
        <v/>
      </c>
      <c r="T48" s="62">
        <f>IF(OR($S48="",$S48&lt;&gt;MesCiclo),"",COUNTIF($S$5:$S48,MesCiclo))</f>
        <v/>
      </c>
      <c r="U48" s="62">
        <f>IF($V48="","",IF($V48="Macro",ROW(),IFERROR(LOOKUP(2,1/($V$5:$V48="Macro"),ROW($V$5:$V48)),0)))</f>
        <v/>
      </c>
      <c r="V48" s="62">
        <f>IF(NOT((COUNTA($B48:$D48)+COUNTA($G48:$L48)+COUNTA($Q48))&gt;0),"",IF($B48="Subactividad","Sub","Macro"))</f>
        <v/>
      </c>
      <c r="W48" s="62">
        <f>IF($V48="Macro",COUNTIFS($U$5:$U$1000,ROW(),$V$5:$V$1000,"Sub"),"")</f>
        <v/>
      </c>
      <c r="X48" s="62">
        <f>IF($V48="","",IF(ISNUMBER($G48),1,IFERROR(LOOKUP(2,1/($I48:$L48&lt;&gt;""),$I48:$L48),0)))</f>
        <v/>
      </c>
      <c r="Y48" s="62">
        <f>IF($V48="","",IF(AND(ISNUMBER($G48),$G48&lt;=IF($S48=MesCiclo,InicioCiclo,$S48+MOD(2-WEEKDAY($S48),7))+6),1,IF(ISNUMBER($I48),$I48,0)))</f>
        <v/>
      </c>
      <c r="Z48" s="62">
        <f>IF($V48="","",IF(AND(ISNUMBER($G48),$G48&lt;=IF($S48=MesCiclo,InicioCiclo,$S48+MOD(2-WEEKDAY($S48),7))+13),1,IF(ISNUMBER($J48),$J48,$Y48)))</f>
        <v/>
      </c>
      <c r="AA48" s="62">
        <f>IF($V48="","",IF(AND(ISNUMBER($G48),$G48&lt;=IF($S48=MesCiclo,InicioCiclo,$S48+MOD(2-WEEKDAY($S48),7))+20),1,IF(ISNUMBER($K48),$K48,$Z48)))</f>
        <v/>
      </c>
      <c r="AB48" s="62">
        <f>IF($V48="","",IF(AND(ISNUMBER($G48),$G48&lt;=IF($S48=MesCiclo,InicioCiclo,$S48+MOD(2-WEEKDAY($S48),7))+27),1,IF(ISNUMBER($L48),$L48,$AA48)))</f>
        <v/>
      </c>
      <c r="AC48" s="62">
        <f>IF($V48="","",IF(AND(ISNUMBER($G48),$G48&lt;=IF($S48=MesCiclo,InicioCiclo,$S48+MOD(2-WEEKDAY($S48),7))+6),1,IF(N($W48)&gt;0,AVERAGEIFS($Y$5:$Y$1000,$U$5:$U$1000,ROW(),$V$5:$V$1000,"Sub"),$Y48)))</f>
        <v/>
      </c>
      <c r="AD48" s="62">
        <f>IF($V48="","",IF(AND(ISNUMBER($G48),$G48&lt;=IF($S48=MesCiclo,InicioCiclo,$S48+MOD(2-WEEKDAY($S48),7))+13),1,IF(N($W48)&gt;0,AVERAGEIFS($Z$5:$Z$1000,$U$5:$U$1000,ROW(),$V$5:$V$1000,"Sub"),$Z48)))</f>
        <v/>
      </c>
      <c r="AE48" s="62">
        <f>IF($V48="","",IF(AND(ISNUMBER($G48),$G48&lt;=IF($S48=MesCiclo,InicioCiclo,$S48+MOD(2-WEEKDAY($S48),7))+20),1,IF(N($W48)&gt;0,AVERAGEIFS($AA$5:$AA$1000,$U$5:$U$1000,ROW(),$V$5:$V$1000,"Sub"),$AA48)))</f>
        <v/>
      </c>
      <c r="AF48" s="62">
        <f>IF($V48="","",IF(AND(ISNUMBER($G48),$G48&lt;=IF($S48=MesCiclo,InicioCiclo,$S48+MOD(2-WEEKDAY($S48),7))+27),1,IF(N($W48)&gt;0,AVERAGEIFS($AB$5:$AB$1000,$U$5:$U$1000,ROW(),$V$5:$V$1000,"Sub"),$AB48)))</f>
        <v/>
      </c>
      <c r="AG48" s="62">
        <f>IF($V48&lt;&gt;"Macro","",IF(COUNTIFS($S$5:$S$1000,$S48,$V$5:$V$1000,"Macro",$H$5:$H$1000,"&gt;0")=0,1/COUNTIFS($S$5:$S$1000,$S48,$V$5:$V$1000,"Macro"),IF(AND(ISNUMBER($H48),N($H48)&gt;0),$H48,SUMIFS($H$5:$H$1000,$S$5:$S$1000,$S48,$V$5:$V$1000,"Macro")/COUNTIFS($S$5:$S$1000,$S48,$V$5:$V$1000,"Macro",$H$5:$H$1000,"&gt;0"))/(COUNTIFS($S$5:$S$1000,$S48,$V$5:$V$1000,"Macro")*SUMIFS($H$5:$H$1000,$S$5:$S$1000,$S48,$V$5:$V$1000,"Macro")/COUNTIFS($S$5:$S$1000,$S48,$V$5:$V$1000,"Macro",$H$5:$H$1000,"&gt;0"))))</f>
        <v/>
      </c>
      <c r="AH48" s="62" t="n"/>
      <c r="AI48" s="62" t="n"/>
      <c r="AJ48" s="62" t="n"/>
      <c r="AK48" s="62" t="n"/>
      <c r="AL48" s="62">
        <f>IF(LEFT($C48,11)="[Jefatura] ",IFERROR(MATCH("Asistente Técnico de Riesgo|"&amp;MID($C48,12,500),rDname_ADM,0),0),"")</f>
        <v/>
      </c>
      <c r="AM48" s="62">
        <f>IF(N($AL48)&gt;0,INDEX(rIni_ADM,$AL48),IF(ISNUMBER($E48),$E48,""))</f>
        <v/>
      </c>
      <c r="AN48" s="62">
        <f>IF(N($AL48)&gt;0,INDEX(rLim_ADM,$AL48),IF(ISNUMBER($F48),$F48,""))</f>
        <v/>
      </c>
    </row>
    <row r="49">
      <c r="A49" s="56">
        <f>IF(NOT((COUNTA($B49:$D49)+COUNTA($G49:$L49)+COUNTA($Q49))&gt;0),"",IF($V49="Macro",COUNTIFS($V$5:$V49,"Macro",$S$5:$S49,$S49),IF(N($U49)=0,"?",COUNTIFS(INDEX($V$5:$V$1000,1):INDEX($V$5:$V$1000,$U49-4),"Macro",INDEX($S$5:$S$1000,1):INDEX($S$5:$S$1000,$U49-4),INDEX($S$5:$S$1000,$U49-4))&amp;"."&amp;COUNTIFS($U$5:$U49,$U49,$V$5:$V49,"Sub"))))</f>
        <v/>
      </c>
      <c r="B49" s="57" t="n"/>
      <c r="C49" s="58" t="n"/>
      <c r="D49" s="58" t="n"/>
      <c r="E49" s="59">
        <f>IF(N($AL49)&gt;0,INDEX(rIni_ADM,$AL49),"")</f>
        <v/>
      </c>
      <c r="F49" s="59">
        <f>IF(N($AL49)&gt;0,INDEX(rLim_ADM,$AL49),"")</f>
        <v/>
      </c>
      <c r="G49" s="59" t="n"/>
      <c r="H49" s="60" t="n"/>
      <c r="I49" s="60" t="n"/>
      <c r="J49" s="60" t="n"/>
      <c r="K49" s="60" t="n"/>
      <c r="L49" s="60" t="n"/>
      <c r="M49" s="61">
        <f>IF(NOT((COUNTA($B49:$D49)+COUNTA($G49:$L49)+COUNTA($Q49))&gt;0),"",IF(ISNUMBER($G49),1,IF(N($W49)&gt;0,AVERAGEIFS($X$5:$X$1000,$U$5:$U$1000,ROW(),$V$5:$V$1000,"Sub"),$X49)))</f>
        <v/>
      </c>
      <c r="N49" s="56">
        <f>IF($M49="","",IF($M49&gt;=1,"Completado",IF($M49&gt;0,"En curso","Pendiente")))</f>
        <v/>
      </c>
      <c r="O49" s="56">
        <f>IF(NOT((COUNTA($B49:$D49)+COUNTA($G49:$L49)+COUNTA($Q49))&gt;0),"",IF(ISNUMBER($G49),IF(AND(ISNUMBER($AN49),$G49&gt;$AN49),"Cumplida con "&amp;($G49-$AN49)&amp;IF($G49-$AN49=1," día"," días")&amp;" de retraso","Cumplida"),IF(N($M49)&gt;=1,"Cumplida",IF(NOT(ISNUMBER($AN49)),"Sin fecha límite",IF($AN49&lt;FechaRef,"Vencida hace "&amp;(FechaRef-$AN49)&amp;IF(FechaRef-$AN49=1," día"," días"),IF($AN49=FechaRef,"Vence hoy",IF($AN49-FechaRef&lt;=DiasAlerta,"Vence en "&amp;($AN49-FechaRef)&amp;IF($AN49-FechaRef=1," día"," días"),"En plazo")))))))</f>
        <v/>
      </c>
      <c r="P49" s="62" t="n"/>
      <c r="Q49" s="58" t="n"/>
      <c r="R49" s="63">
        <f>IF(NOT((COUNTA($B49:$D49)+COUNTA($G49:$L49)+COUNTA($Q49))&gt;0),"",IF((IF($C49="","Falta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",""))="","✔ OK","⚠ "&amp;LEFT(IF($C49="","Falta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",""),LEN(IF($C49="","Falta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",""))-3)))</f>
        <v/>
      </c>
      <c r="S49" s="64">
        <f>IF(NOT((COUNTA($B49:$D49)+COUNTA($G49:$L49)+COUNTA($Q49))&gt;0),"",IF(AND($V49="Sub",N($U49)&gt;0),IF(ISNUMBER(INDEX($AM$5:$AM$1000,$U49-4)),DATE(YEAR(INDEX($AM$5:$AM$1000,$U49-4)),MONTH(INDEX($AM$5:$AM$1000,$U49-4)),1),IF(ISNUMBER(INDEX($AN$5:$AN$1000,$U49-4)),DATE(YEAR(INDEX($AN$5:$AN$1000,$U49-4)),MONTH(INDEX($AN$5:$AN$1000,$U49-4)),1),MesCiclo)),IF(ISNUMBER($AM49),DATE(YEAR($AM49),MONTH($AM49),1),IF(ISNUMBER($AN49),DATE(YEAR($AN49),MONTH($AN49),1),MesCiclo))))</f>
        <v/>
      </c>
      <c r="T49" s="62">
        <f>IF(OR($S49="",$S49&lt;&gt;MesCiclo),"",COUNTIF($S$5:$S49,MesCiclo))</f>
        <v/>
      </c>
      <c r="U49" s="62">
        <f>IF($V49="","",IF($V49="Macro",ROW(),IFERROR(LOOKUP(2,1/($V$5:$V49="Macro"),ROW($V$5:$V49)),0)))</f>
        <v/>
      </c>
      <c r="V49" s="62">
        <f>IF(NOT((COUNTA($B49:$D49)+COUNTA($G49:$L49)+COUNTA($Q49))&gt;0),"",IF($B49="Subactividad","Sub","Macro"))</f>
        <v/>
      </c>
      <c r="W49" s="62">
        <f>IF($V49="Macro",COUNTIFS($U$5:$U$1000,ROW(),$V$5:$V$1000,"Sub"),"")</f>
        <v/>
      </c>
      <c r="X49" s="62">
        <f>IF($V49="","",IF(ISNUMBER($G49),1,IFERROR(LOOKUP(2,1/($I49:$L49&lt;&gt;""),$I49:$L49),0)))</f>
        <v/>
      </c>
      <c r="Y49" s="62">
        <f>IF($V49="","",IF(AND(ISNUMBER($G49),$G49&lt;=IF($S49=MesCiclo,InicioCiclo,$S49+MOD(2-WEEKDAY($S49),7))+6),1,IF(ISNUMBER($I49),$I49,0)))</f>
        <v/>
      </c>
      <c r="Z49" s="62">
        <f>IF($V49="","",IF(AND(ISNUMBER($G49),$G49&lt;=IF($S49=MesCiclo,InicioCiclo,$S49+MOD(2-WEEKDAY($S49),7))+13),1,IF(ISNUMBER($J49),$J49,$Y49)))</f>
        <v/>
      </c>
      <c r="AA49" s="62">
        <f>IF($V49="","",IF(AND(ISNUMBER($G49),$G49&lt;=IF($S49=MesCiclo,InicioCiclo,$S49+MOD(2-WEEKDAY($S49),7))+20),1,IF(ISNUMBER($K49),$K49,$Z49)))</f>
        <v/>
      </c>
      <c r="AB49" s="62">
        <f>IF($V49="","",IF(AND(ISNUMBER($G49),$G49&lt;=IF($S49=MesCiclo,InicioCiclo,$S49+MOD(2-WEEKDAY($S49),7))+27),1,IF(ISNUMBER($L49),$L49,$AA49)))</f>
        <v/>
      </c>
      <c r="AC49" s="62">
        <f>IF($V49="","",IF(AND(ISNUMBER($G49),$G49&lt;=IF($S49=MesCiclo,InicioCiclo,$S49+MOD(2-WEEKDAY($S49),7))+6),1,IF(N($W49)&gt;0,AVERAGEIFS($Y$5:$Y$1000,$U$5:$U$1000,ROW(),$V$5:$V$1000,"Sub"),$Y49)))</f>
        <v/>
      </c>
      <c r="AD49" s="62">
        <f>IF($V49="","",IF(AND(ISNUMBER($G49),$G49&lt;=IF($S49=MesCiclo,InicioCiclo,$S49+MOD(2-WEEKDAY($S49),7))+13),1,IF(N($W49)&gt;0,AVERAGEIFS($Z$5:$Z$1000,$U$5:$U$1000,ROW(),$V$5:$V$1000,"Sub"),$Z49)))</f>
        <v/>
      </c>
      <c r="AE49" s="62">
        <f>IF($V49="","",IF(AND(ISNUMBER($G49),$G49&lt;=IF($S49=MesCiclo,InicioCiclo,$S49+MOD(2-WEEKDAY($S49),7))+20),1,IF(N($W49)&gt;0,AVERAGEIFS($AA$5:$AA$1000,$U$5:$U$1000,ROW(),$V$5:$V$1000,"Sub"),$AA49)))</f>
        <v/>
      </c>
      <c r="AF49" s="62">
        <f>IF($V49="","",IF(AND(ISNUMBER($G49),$G49&lt;=IF($S49=MesCiclo,InicioCiclo,$S49+MOD(2-WEEKDAY($S49),7))+27),1,IF(N($W49)&gt;0,AVERAGEIFS($AB$5:$AB$1000,$U$5:$U$1000,ROW(),$V$5:$V$1000,"Sub"),$AB49)))</f>
        <v/>
      </c>
      <c r="AG49" s="62">
        <f>IF($V49&lt;&gt;"Macro","",IF(COUNTIFS($S$5:$S$1000,$S49,$V$5:$V$1000,"Macro",$H$5:$H$1000,"&gt;0")=0,1/COUNTIFS($S$5:$S$1000,$S49,$V$5:$V$1000,"Macro"),IF(AND(ISNUMBER($H49),N($H49)&gt;0),$H49,SUMIFS($H$5:$H$1000,$S$5:$S$1000,$S49,$V$5:$V$1000,"Macro")/COUNTIFS($S$5:$S$1000,$S49,$V$5:$V$1000,"Macro",$H$5:$H$1000,"&gt;0"))/(COUNTIFS($S$5:$S$1000,$S49,$V$5:$V$1000,"Macro")*SUMIFS($H$5:$H$1000,$S$5:$S$1000,$S49,$V$5:$V$1000,"Macro")/COUNTIFS($S$5:$S$1000,$S49,$V$5:$V$1000,"Macro",$H$5:$H$1000,"&gt;0"))))</f>
        <v/>
      </c>
      <c r="AH49" s="62" t="n"/>
      <c r="AI49" s="62" t="n"/>
      <c r="AJ49" s="62" t="n"/>
      <c r="AK49" s="62" t="n"/>
      <c r="AL49" s="62">
        <f>IF(LEFT($C49,11)="[Jefatura] ",IFERROR(MATCH("Asistente Técnico de Riesgo|"&amp;MID($C49,12,500),rDname_ADM,0),0),"")</f>
        <v/>
      </c>
      <c r="AM49" s="62">
        <f>IF(N($AL49)&gt;0,INDEX(rIni_ADM,$AL49),IF(ISNUMBER($E49),$E49,""))</f>
        <v/>
      </c>
      <c r="AN49" s="62">
        <f>IF(N($AL49)&gt;0,INDEX(rLim_ADM,$AL49),IF(ISNUMBER($F49),$F49,""))</f>
        <v/>
      </c>
    </row>
    <row r="50">
      <c r="A50" s="56">
        <f>IF(NOT((COUNTA($B50:$D50)+COUNTA($G50:$L50)+COUNTA($Q50))&gt;0),"",IF($V50="Macro",COUNTIFS($V$5:$V50,"Macro",$S$5:$S50,$S50),IF(N($U50)=0,"?",COUNTIFS(INDEX($V$5:$V$1000,1):INDEX($V$5:$V$1000,$U50-4),"Macro",INDEX($S$5:$S$1000,1):INDEX($S$5:$S$1000,$U50-4),INDEX($S$5:$S$1000,$U50-4))&amp;"."&amp;COUNTIFS($U$5:$U50,$U50,$V$5:$V50,"Sub"))))</f>
        <v/>
      </c>
      <c r="B50" s="57" t="n"/>
      <c r="C50" s="58" t="n"/>
      <c r="D50" s="58" t="n"/>
      <c r="E50" s="59">
        <f>IF(N($AL50)&gt;0,INDEX(rIni_ADM,$AL50),"")</f>
        <v/>
      </c>
      <c r="F50" s="59">
        <f>IF(N($AL50)&gt;0,INDEX(rLim_ADM,$AL50),"")</f>
        <v/>
      </c>
      <c r="G50" s="59" t="n"/>
      <c r="H50" s="60" t="n"/>
      <c r="I50" s="60" t="n"/>
      <c r="J50" s="60" t="n"/>
      <c r="K50" s="60" t="n"/>
      <c r="L50" s="60" t="n"/>
      <c r="M50" s="61">
        <f>IF(NOT((COUNTA($B50:$D50)+COUNTA($G50:$L50)+COUNTA($Q50))&gt;0),"",IF(ISNUMBER($G50),1,IF(N($W50)&gt;0,AVERAGEIFS($X$5:$X$1000,$U$5:$U$1000,ROW(),$V$5:$V$1000,"Sub"),$X50)))</f>
        <v/>
      </c>
      <c r="N50" s="56">
        <f>IF($M50="","",IF($M50&gt;=1,"Completado",IF($M50&gt;0,"En curso","Pendiente")))</f>
        <v/>
      </c>
      <c r="O50" s="56">
        <f>IF(NOT((COUNTA($B50:$D50)+COUNTA($G50:$L50)+COUNTA($Q50))&gt;0),"",IF(ISNUMBER($G50),IF(AND(ISNUMBER($AN50),$G50&gt;$AN50),"Cumplida con "&amp;($G50-$AN50)&amp;IF($G50-$AN50=1," día"," días")&amp;" de retraso","Cumplida"),IF(N($M50)&gt;=1,"Cumplida",IF(NOT(ISNUMBER($AN50)),"Sin fecha límite",IF($AN50&lt;FechaRef,"Vencida hace "&amp;(FechaRef-$AN50)&amp;IF(FechaRef-$AN50=1," día"," días"),IF($AN50=FechaRef,"Vence hoy",IF($AN50-FechaRef&lt;=DiasAlerta,"Vence en "&amp;($AN50-FechaRef)&amp;IF($AN50-FechaRef=1," día"," días"),"En plazo")))))))</f>
        <v/>
      </c>
      <c r="P50" s="62" t="n"/>
      <c r="Q50" s="58" t="n"/>
      <c r="R50" s="63">
        <f>IF(NOT((COUNTA($B50:$D50)+COUNTA($G50:$L50)+COUNTA($Q50))&gt;0),"",IF((IF($C50="","Falta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",""))="","✔ OK","⚠ "&amp;LEFT(IF($C50="","Falta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",""),LEN(IF($C50="","Falta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",""))-3)))</f>
        <v/>
      </c>
      <c r="S50" s="64">
        <f>IF(NOT((COUNTA($B50:$D50)+COUNTA($G50:$L50)+COUNTA($Q50))&gt;0),"",IF(AND($V50="Sub",N($U50)&gt;0),IF(ISNUMBER(INDEX($AM$5:$AM$1000,$U50-4)),DATE(YEAR(INDEX($AM$5:$AM$1000,$U50-4)),MONTH(INDEX($AM$5:$AM$1000,$U50-4)),1),IF(ISNUMBER(INDEX($AN$5:$AN$1000,$U50-4)),DATE(YEAR(INDEX($AN$5:$AN$1000,$U50-4)),MONTH(INDEX($AN$5:$AN$1000,$U50-4)),1),MesCiclo)),IF(ISNUMBER($AM50),DATE(YEAR($AM50),MONTH($AM50),1),IF(ISNUMBER($AN50),DATE(YEAR($AN50),MONTH($AN50),1),MesCiclo))))</f>
        <v/>
      </c>
      <c r="T50" s="62">
        <f>IF(OR($S50="",$S50&lt;&gt;MesCiclo),"",COUNTIF($S$5:$S50,MesCiclo))</f>
        <v/>
      </c>
      <c r="U50" s="62">
        <f>IF($V50="","",IF($V50="Macro",ROW(),IFERROR(LOOKUP(2,1/($V$5:$V50="Macro"),ROW($V$5:$V50)),0)))</f>
        <v/>
      </c>
      <c r="V50" s="62">
        <f>IF(NOT((COUNTA($B50:$D50)+COUNTA($G50:$L50)+COUNTA($Q50))&gt;0),"",IF($B50="Subactividad","Sub","Macro"))</f>
        <v/>
      </c>
      <c r="W50" s="62">
        <f>IF($V50="Macro",COUNTIFS($U$5:$U$1000,ROW(),$V$5:$V$1000,"Sub"),"")</f>
        <v/>
      </c>
      <c r="X50" s="62">
        <f>IF($V50="","",IF(ISNUMBER($G50),1,IFERROR(LOOKUP(2,1/($I50:$L50&lt;&gt;""),$I50:$L50),0)))</f>
        <v/>
      </c>
      <c r="Y50" s="62">
        <f>IF($V50="","",IF(AND(ISNUMBER($G50),$G50&lt;=IF($S50=MesCiclo,InicioCiclo,$S50+MOD(2-WEEKDAY($S50),7))+6),1,IF(ISNUMBER($I50),$I50,0)))</f>
        <v/>
      </c>
      <c r="Z50" s="62">
        <f>IF($V50="","",IF(AND(ISNUMBER($G50),$G50&lt;=IF($S50=MesCiclo,InicioCiclo,$S50+MOD(2-WEEKDAY($S50),7))+13),1,IF(ISNUMBER($J50),$J50,$Y50)))</f>
        <v/>
      </c>
      <c r="AA50" s="62">
        <f>IF($V50="","",IF(AND(ISNUMBER($G50),$G50&lt;=IF($S50=MesCiclo,InicioCiclo,$S50+MOD(2-WEEKDAY($S50),7))+20),1,IF(ISNUMBER($K50),$K50,$Z50)))</f>
        <v/>
      </c>
      <c r="AB50" s="62">
        <f>IF($V50="","",IF(AND(ISNUMBER($G50),$G50&lt;=IF($S50=MesCiclo,InicioCiclo,$S50+MOD(2-WEEKDAY($S50),7))+27),1,IF(ISNUMBER($L50),$L50,$AA50)))</f>
        <v/>
      </c>
      <c r="AC50" s="62">
        <f>IF($V50="","",IF(AND(ISNUMBER($G50),$G50&lt;=IF($S50=MesCiclo,InicioCiclo,$S50+MOD(2-WEEKDAY($S50),7))+6),1,IF(N($W50)&gt;0,AVERAGEIFS($Y$5:$Y$1000,$U$5:$U$1000,ROW(),$V$5:$V$1000,"Sub"),$Y50)))</f>
        <v/>
      </c>
      <c r="AD50" s="62">
        <f>IF($V50="","",IF(AND(ISNUMBER($G50),$G50&lt;=IF($S50=MesCiclo,InicioCiclo,$S50+MOD(2-WEEKDAY($S50),7))+13),1,IF(N($W50)&gt;0,AVERAGEIFS($Z$5:$Z$1000,$U$5:$U$1000,ROW(),$V$5:$V$1000,"Sub"),$Z50)))</f>
        <v/>
      </c>
      <c r="AE50" s="62">
        <f>IF($V50="","",IF(AND(ISNUMBER($G50),$G50&lt;=IF($S50=MesCiclo,InicioCiclo,$S50+MOD(2-WEEKDAY($S50),7))+20),1,IF(N($W50)&gt;0,AVERAGEIFS($AA$5:$AA$1000,$U$5:$U$1000,ROW(),$V$5:$V$1000,"Sub"),$AA50)))</f>
        <v/>
      </c>
      <c r="AF50" s="62">
        <f>IF($V50="","",IF(AND(ISNUMBER($G50),$G50&lt;=IF($S50=MesCiclo,InicioCiclo,$S50+MOD(2-WEEKDAY($S50),7))+27),1,IF(N($W50)&gt;0,AVERAGEIFS($AB$5:$AB$1000,$U$5:$U$1000,ROW(),$V$5:$V$1000,"Sub"),$AB50)))</f>
        <v/>
      </c>
      <c r="AG50" s="62">
        <f>IF($V50&lt;&gt;"Macro","",IF(COUNTIFS($S$5:$S$1000,$S50,$V$5:$V$1000,"Macro",$H$5:$H$1000,"&gt;0")=0,1/COUNTIFS($S$5:$S$1000,$S50,$V$5:$V$1000,"Macro"),IF(AND(ISNUMBER($H50),N($H50)&gt;0),$H50,SUMIFS($H$5:$H$1000,$S$5:$S$1000,$S50,$V$5:$V$1000,"Macro")/COUNTIFS($S$5:$S$1000,$S50,$V$5:$V$1000,"Macro",$H$5:$H$1000,"&gt;0"))/(COUNTIFS($S$5:$S$1000,$S50,$V$5:$V$1000,"Macro")*SUMIFS($H$5:$H$1000,$S$5:$S$1000,$S50,$V$5:$V$1000,"Macro")/COUNTIFS($S$5:$S$1000,$S50,$V$5:$V$1000,"Macro",$H$5:$H$1000,"&gt;0"))))</f>
        <v/>
      </c>
      <c r="AH50" s="62" t="n"/>
      <c r="AI50" s="62" t="n"/>
      <c r="AJ50" s="62" t="n"/>
      <c r="AK50" s="62" t="n"/>
      <c r="AL50" s="62">
        <f>IF(LEFT($C50,11)="[Jefatura] ",IFERROR(MATCH("Asistente Técnico de Riesgo|"&amp;MID($C50,12,500),rDname_ADM,0),0),"")</f>
        <v/>
      </c>
      <c r="AM50" s="62">
        <f>IF(N($AL50)&gt;0,INDEX(rIni_ADM,$AL50),IF(ISNUMBER($E50),$E50,""))</f>
        <v/>
      </c>
      <c r="AN50" s="62">
        <f>IF(N($AL50)&gt;0,INDEX(rLim_ADM,$AL50),IF(ISNUMBER($F50),$F50,""))</f>
        <v/>
      </c>
    </row>
    <row r="51">
      <c r="A51" s="56">
        <f>IF(NOT((COUNTA($B51:$D51)+COUNTA($G51:$L51)+COUNTA($Q51))&gt;0),"",IF($V51="Macro",COUNTIFS($V$5:$V51,"Macro",$S$5:$S51,$S51),IF(N($U51)=0,"?",COUNTIFS(INDEX($V$5:$V$1000,1):INDEX($V$5:$V$1000,$U51-4),"Macro",INDEX($S$5:$S$1000,1):INDEX($S$5:$S$1000,$U51-4),INDEX($S$5:$S$1000,$U51-4))&amp;"."&amp;COUNTIFS($U$5:$U51,$U51,$V$5:$V51,"Sub"))))</f>
        <v/>
      </c>
      <c r="B51" s="57" t="n"/>
      <c r="C51" s="58" t="n"/>
      <c r="D51" s="58" t="n"/>
      <c r="E51" s="59">
        <f>IF(N($AL51)&gt;0,INDEX(rIni_ADM,$AL51),"")</f>
        <v/>
      </c>
      <c r="F51" s="59">
        <f>IF(N($AL51)&gt;0,INDEX(rLim_ADM,$AL51),"")</f>
        <v/>
      </c>
      <c r="G51" s="59" t="n"/>
      <c r="H51" s="60" t="n"/>
      <c r="I51" s="60" t="n"/>
      <c r="J51" s="60" t="n"/>
      <c r="K51" s="60" t="n"/>
      <c r="L51" s="60" t="n"/>
      <c r="M51" s="61">
        <f>IF(NOT((COUNTA($B51:$D51)+COUNTA($G51:$L51)+COUNTA($Q51))&gt;0),"",IF(ISNUMBER($G51),1,IF(N($W51)&gt;0,AVERAGEIFS($X$5:$X$1000,$U$5:$U$1000,ROW(),$V$5:$V$1000,"Sub"),$X51)))</f>
        <v/>
      </c>
      <c r="N51" s="56">
        <f>IF($M51="","",IF($M51&gt;=1,"Completado",IF($M51&gt;0,"En curso","Pendiente")))</f>
        <v/>
      </c>
      <c r="O51" s="56">
        <f>IF(NOT((COUNTA($B51:$D51)+COUNTA($G51:$L51)+COUNTA($Q51))&gt;0),"",IF(ISNUMBER($G51),IF(AND(ISNUMBER($AN51),$G51&gt;$AN51),"Cumplida con "&amp;($G51-$AN51)&amp;IF($G51-$AN51=1," día"," días")&amp;" de retraso","Cumplida"),IF(N($M51)&gt;=1,"Cumplida",IF(NOT(ISNUMBER($AN51)),"Sin fecha límite",IF($AN51&lt;FechaRef,"Vencida hace "&amp;(FechaRef-$AN51)&amp;IF(FechaRef-$AN51=1," día"," días"),IF($AN51=FechaRef,"Vence hoy",IF($AN51-FechaRef&lt;=DiasAlerta,"Vence en "&amp;($AN51-FechaRef)&amp;IF($AN51-FechaRef=1," día"," días"),"En plazo")))))))</f>
        <v/>
      </c>
      <c r="P51" s="62" t="n"/>
      <c r="Q51" s="58" t="n"/>
      <c r="R51" s="63">
        <f>IF(NOT((COUNTA($B51:$D51)+COUNTA($G51:$L51)+COUNTA($Q51))&gt;0),"",IF((IF($C51="","Falta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",""))="","✔ OK","⚠ "&amp;LEFT(IF($C51="","Falta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",""),LEN(IF($C51="","Falta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",""))-3)))</f>
        <v/>
      </c>
      <c r="S51" s="64">
        <f>IF(NOT((COUNTA($B51:$D51)+COUNTA($G51:$L51)+COUNTA($Q51))&gt;0),"",IF(AND($V51="Sub",N($U51)&gt;0),IF(ISNUMBER(INDEX($AM$5:$AM$1000,$U51-4)),DATE(YEAR(INDEX($AM$5:$AM$1000,$U51-4)),MONTH(INDEX($AM$5:$AM$1000,$U51-4)),1),IF(ISNUMBER(INDEX($AN$5:$AN$1000,$U51-4)),DATE(YEAR(INDEX($AN$5:$AN$1000,$U51-4)),MONTH(INDEX($AN$5:$AN$1000,$U51-4)),1),MesCiclo)),IF(ISNUMBER($AM51),DATE(YEAR($AM51),MONTH($AM51),1),IF(ISNUMBER($AN51),DATE(YEAR($AN51),MONTH($AN51),1),MesCiclo))))</f>
        <v/>
      </c>
      <c r="T51" s="62">
        <f>IF(OR($S51="",$S51&lt;&gt;MesCiclo),"",COUNTIF($S$5:$S51,MesCiclo))</f>
        <v/>
      </c>
      <c r="U51" s="62">
        <f>IF($V51="","",IF($V51="Macro",ROW(),IFERROR(LOOKUP(2,1/($V$5:$V51="Macro"),ROW($V$5:$V51)),0)))</f>
        <v/>
      </c>
      <c r="V51" s="62">
        <f>IF(NOT((COUNTA($B51:$D51)+COUNTA($G51:$L51)+COUNTA($Q51))&gt;0),"",IF($B51="Subactividad","Sub","Macro"))</f>
        <v/>
      </c>
      <c r="W51" s="62">
        <f>IF($V51="Macro",COUNTIFS($U$5:$U$1000,ROW(),$V$5:$V$1000,"Sub"),"")</f>
        <v/>
      </c>
      <c r="X51" s="62">
        <f>IF($V51="","",IF(ISNUMBER($G51),1,IFERROR(LOOKUP(2,1/($I51:$L51&lt;&gt;""),$I51:$L51),0)))</f>
        <v/>
      </c>
      <c r="Y51" s="62">
        <f>IF($V51="","",IF(AND(ISNUMBER($G51),$G51&lt;=IF($S51=MesCiclo,InicioCiclo,$S51+MOD(2-WEEKDAY($S51),7))+6),1,IF(ISNUMBER($I51),$I51,0)))</f>
        <v/>
      </c>
      <c r="Z51" s="62">
        <f>IF($V51="","",IF(AND(ISNUMBER($G51),$G51&lt;=IF($S51=MesCiclo,InicioCiclo,$S51+MOD(2-WEEKDAY($S51),7))+13),1,IF(ISNUMBER($J51),$J51,$Y51)))</f>
        <v/>
      </c>
      <c r="AA51" s="62">
        <f>IF($V51="","",IF(AND(ISNUMBER($G51),$G51&lt;=IF($S51=MesCiclo,InicioCiclo,$S51+MOD(2-WEEKDAY($S51),7))+20),1,IF(ISNUMBER($K51),$K51,$Z51)))</f>
        <v/>
      </c>
      <c r="AB51" s="62">
        <f>IF($V51="","",IF(AND(ISNUMBER($G51),$G51&lt;=IF($S51=MesCiclo,InicioCiclo,$S51+MOD(2-WEEKDAY($S51),7))+27),1,IF(ISNUMBER($L51),$L51,$AA51)))</f>
        <v/>
      </c>
      <c r="AC51" s="62">
        <f>IF($V51="","",IF(AND(ISNUMBER($G51),$G51&lt;=IF($S51=MesCiclo,InicioCiclo,$S51+MOD(2-WEEKDAY($S51),7))+6),1,IF(N($W51)&gt;0,AVERAGEIFS($Y$5:$Y$1000,$U$5:$U$1000,ROW(),$V$5:$V$1000,"Sub"),$Y51)))</f>
        <v/>
      </c>
      <c r="AD51" s="62">
        <f>IF($V51="","",IF(AND(ISNUMBER($G51),$G51&lt;=IF($S51=MesCiclo,InicioCiclo,$S51+MOD(2-WEEKDAY($S51),7))+13),1,IF(N($W51)&gt;0,AVERAGEIFS($Z$5:$Z$1000,$U$5:$U$1000,ROW(),$V$5:$V$1000,"Sub"),$Z51)))</f>
        <v/>
      </c>
      <c r="AE51" s="62">
        <f>IF($V51="","",IF(AND(ISNUMBER($G51),$G51&lt;=IF($S51=MesCiclo,InicioCiclo,$S51+MOD(2-WEEKDAY($S51),7))+20),1,IF(N($W51)&gt;0,AVERAGEIFS($AA$5:$AA$1000,$U$5:$U$1000,ROW(),$V$5:$V$1000,"Sub"),$AA51)))</f>
        <v/>
      </c>
      <c r="AF51" s="62">
        <f>IF($V51="","",IF(AND(ISNUMBER($G51),$G51&lt;=IF($S51=MesCiclo,InicioCiclo,$S51+MOD(2-WEEKDAY($S51),7))+27),1,IF(N($W51)&gt;0,AVERAGEIFS($AB$5:$AB$1000,$U$5:$U$1000,ROW(),$V$5:$V$1000,"Sub"),$AB51)))</f>
        <v/>
      </c>
      <c r="AG51" s="62">
        <f>IF($V51&lt;&gt;"Macro","",IF(COUNTIFS($S$5:$S$1000,$S51,$V$5:$V$1000,"Macro",$H$5:$H$1000,"&gt;0")=0,1/COUNTIFS($S$5:$S$1000,$S51,$V$5:$V$1000,"Macro"),IF(AND(ISNUMBER($H51),N($H51)&gt;0),$H51,SUMIFS($H$5:$H$1000,$S$5:$S$1000,$S51,$V$5:$V$1000,"Macro")/COUNTIFS($S$5:$S$1000,$S51,$V$5:$V$1000,"Macro",$H$5:$H$1000,"&gt;0"))/(COUNTIFS($S$5:$S$1000,$S51,$V$5:$V$1000,"Macro")*SUMIFS($H$5:$H$1000,$S$5:$S$1000,$S51,$V$5:$V$1000,"Macro")/COUNTIFS($S$5:$S$1000,$S51,$V$5:$V$1000,"Macro",$H$5:$H$1000,"&gt;0"))))</f>
        <v/>
      </c>
      <c r="AH51" s="62" t="n"/>
      <c r="AI51" s="62" t="n"/>
      <c r="AJ51" s="62" t="n"/>
      <c r="AK51" s="62" t="n"/>
      <c r="AL51" s="62">
        <f>IF(LEFT($C51,11)="[Jefatura] ",IFERROR(MATCH("Asistente Técnico de Riesgo|"&amp;MID($C51,12,500),rDname_ADM,0),0),"")</f>
        <v/>
      </c>
      <c r="AM51" s="62">
        <f>IF(N($AL51)&gt;0,INDEX(rIni_ADM,$AL51),IF(ISNUMBER($E51),$E51,""))</f>
        <v/>
      </c>
      <c r="AN51" s="62">
        <f>IF(N($AL51)&gt;0,INDEX(rLim_ADM,$AL51),IF(ISNUMBER($F51),$F51,""))</f>
        <v/>
      </c>
    </row>
    <row r="52">
      <c r="A52" s="56">
        <f>IF(NOT((COUNTA($B52:$D52)+COUNTA($G52:$L52)+COUNTA($Q52))&gt;0),"",IF($V52="Macro",COUNTIFS($V$5:$V52,"Macro",$S$5:$S52,$S52),IF(N($U52)=0,"?",COUNTIFS(INDEX($V$5:$V$1000,1):INDEX($V$5:$V$1000,$U52-4),"Macro",INDEX($S$5:$S$1000,1):INDEX($S$5:$S$1000,$U52-4),INDEX($S$5:$S$1000,$U52-4))&amp;"."&amp;COUNTIFS($U$5:$U52,$U52,$V$5:$V52,"Sub"))))</f>
        <v/>
      </c>
      <c r="B52" s="57" t="n"/>
      <c r="C52" s="58" t="n"/>
      <c r="D52" s="58" t="n"/>
      <c r="E52" s="59">
        <f>IF(N($AL52)&gt;0,INDEX(rIni_ADM,$AL52),"")</f>
        <v/>
      </c>
      <c r="F52" s="59">
        <f>IF(N($AL52)&gt;0,INDEX(rLim_ADM,$AL52),"")</f>
        <v/>
      </c>
      <c r="G52" s="59" t="n"/>
      <c r="H52" s="60" t="n"/>
      <c r="I52" s="60" t="n"/>
      <c r="J52" s="60" t="n"/>
      <c r="K52" s="60" t="n"/>
      <c r="L52" s="60" t="n"/>
      <c r="M52" s="61">
        <f>IF(NOT((COUNTA($B52:$D52)+COUNTA($G52:$L52)+COUNTA($Q52))&gt;0),"",IF(ISNUMBER($G52),1,IF(N($W52)&gt;0,AVERAGEIFS($X$5:$X$1000,$U$5:$U$1000,ROW(),$V$5:$V$1000,"Sub"),$X52)))</f>
        <v/>
      </c>
      <c r="N52" s="56">
        <f>IF($M52="","",IF($M52&gt;=1,"Completado",IF($M52&gt;0,"En curso","Pendiente")))</f>
        <v/>
      </c>
      <c r="O52" s="56">
        <f>IF(NOT((COUNTA($B52:$D52)+COUNTA($G52:$L52)+COUNTA($Q52))&gt;0),"",IF(ISNUMBER($G52),IF(AND(ISNUMBER($AN52),$G52&gt;$AN52),"Cumplida con "&amp;($G52-$AN52)&amp;IF($G52-$AN52=1," día"," días")&amp;" de retraso","Cumplida"),IF(N($M52)&gt;=1,"Cumplida",IF(NOT(ISNUMBER($AN52)),"Sin fecha límite",IF($AN52&lt;FechaRef,"Vencida hace "&amp;(FechaRef-$AN52)&amp;IF(FechaRef-$AN52=1," día"," días"),IF($AN52=FechaRef,"Vence hoy",IF($AN52-FechaRef&lt;=DiasAlerta,"Vence en "&amp;($AN52-FechaRef)&amp;IF($AN52-FechaRef=1," día"," días"),"En plazo")))))))</f>
        <v/>
      </c>
      <c r="P52" s="62" t="n"/>
      <c r="Q52" s="58" t="n"/>
      <c r="R52" s="63">
        <f>IF(NOT((COUNTA($B52:$D52)+COUNTA($G52:$L52)+COUNTA($Q52))&gt;0),"",IF((IF($C52="","Falta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",""))="","✔ OK","⚠ "&amp;LEFT(IF($C52="","Falta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",""),LEN(IF($C52="","Falta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",""))-3)))</f>
        <v/>
      </c>
      <c r="S52" s="64">
        <f>IF(NOT((COUNTA($B52:$D52)+COUNTA($G52:$L52)+COUNTA($Q52))&gt;0),"",IF(AND($V52="Sub",N($U52)&gt;0),IF(ISNUMBER(INDEX($AM$5:$AM$1000,$U52-4)),DATE(YEAR(INDEX($AM$5:$AM$1000,$U52-4)),MONTH(INDEX($AM$5:$AM$1000,$U52-4)),1),IF(ISNUMBER(INDEX($AN$5:$AN$1000,$U52-4)),DATE(YEAR(INDEX($AN$5:$AN$1000,$U52-4)),MONTH(INDEX($AN$5:$AN$1000,$U52-4)),1),MesCiclo)),IF(ISNUMBER($AM52),DATE(YEAR($AM52),MONTH($AM52),1),IF(ISNUMBER($AN52),DATE(YEAR($AN52),MONTH($AN52),1),MesCiclo))))</f>
        <v/>
      </c>
      <c r="T52" s="62">
        <f>IF(OR($S52="",$S52&lt;&gt;MesCiclo),"",COUNTIF($S$5:$S52,MesCiclo))</f>
        <v/>
      </c>
      <c r="U52" s="62">
        <f>IF($V52="","",IF($V52="Macro",ROW(),IFERROR(LOOKUP(2,1/($V$5:$V52="Macro"),ROW($V$5:$V52)),0)))</f>
        <v/>
      </c>
      <c r="V52" s="62">
        <f>IF(NOT((COUNTA($B52:$D52)+COUNTA($G52:$L52)+COUNTA($Q52))&gt;0),"",IF($B52="Subactividad","Sub","Macro"))</f>
        <v/>
      </c>
      <c r="W52" s="62">
        <f>IF($V52="Macro",COUNTIFS($U$5:$U$1000,ROW(),$V$5:$V$1000,"Sub"),"")</f>
        <v/>
      </c>
      <c r="X52" s="62">
        <f>IF($V52="","",IF(ISNUMBER($G52),1,IFERROR(LOOKUP(2,1/($I52:$L52&lt;&gt;""),$I52:$L52),0)))</f>
        <v/>
      </c>
      <c r="Y52" s="62">
        <f>IF($V52="","",IF(AND(ISNUMBER($G52),$G52&lt;=IF($S52=MesCiclo,InicioCiclo,$S52+MOD(2-WEEKDAY($S52),7))+6),1,IF(ISNUMBER($I52),$I52,0)))</f>
        <v/>
      </c>
      <c r="Z52" s="62">
        <f>IF($V52="","",IF(AND(ISNUMBER($G52),$G52&lt;=IF($S52=MesCiclo,InicioCiclo,$S52+MOD(2-WEEKDAY($S52),7))+13),1,IF(ISNUMBER($J52),$J52,$Y52)))</f>
        <v/>
      </c>
      <c r="AA52" s="62">
        <f>IF($V52="","",IF(AND(ISNUMBER($G52),$G52&lt;=IF($S52=MesCiclo,InicioCiclo,$S52+MOD(2-WEEKDAY($S52),7))+20),1,IF(ISNUMBER($K52),$K52,$Z52)))</f>
        <v/>
      </c>
      <c r="AB52" s="62">
        <f>IF($V52="","",IF(AND(ISNUMBER($G52),$G52&lt;=IF($S52=MesCiclo,InicioCiclo,$S52+MOD(2-WEEKDAY($S52),7))+27),1,IF(ISNUMBER($L52),$L52,$AA52)))</f>
        <v/>
      </c>
      <c r="AC52" s="62">
        <f>IF($V52="","",IF(AND(ISNUMBER($G52),$G52&lt;=IF($S52=MesCiclo,InicioCiclo,$S52+MOD(2-WEEKDAY($S52),7))+6),1,IF(N($W52)&gt;0,AVERAGEIFS($Y$5:$Y$1000,$U$5:$U$1000,ROW(),$V$5:$V$1000,"Sub"),$Y52)))</f>
        <v/>
      </c>
      <c r="AD52" s="62">
        <f>IF($V52="","",IF(AND(ISNUMBER($G52),$G52&lt;=IF($S52=MesCiclo,InicioCiclo,$S52+MOD(2-WEEKDAY($S52),7))+13),1,IF(N($W52)&gt;0,AVERAGEIFS($Z$5:$Z$1000,$U$5:$U$1000,ROW(),$V$5:$V$1000,"Sub"),$Z52)))</f>
        <v/>
      </c>
      <c r="AE52" s="62">
        <f>IF($V52="","",IF(AND(ISNUMBER($G52),$G52&lt;=IF($S52=MesCiclo,InicioCiclo,$S52+MOD(2-WEEKDAY($S52),7))+20),1,IF(N($W52)&gt;0,AVERAGEIFS($AA$5:$AA$1000,$U$5:$U$1000,ROW(),$V$5:$V$1000,"Sub"),$AA52)))</f>
        <v/>
      </c>
      <c r="AF52" s="62">
        <f>IF($V52="","",IF(AND(ISNUMBER($G52),$G52&lt;=IF($S52=MesCiclo,InicioCiclo,$S52+MOD(2-WEEKDAY($S52),7))+27),1,IF(N($W52)&gt;0,AVERAGEIFS($AB$5:$AB$1000,$U$5:$U$1000,ROW(),$V$5:$V$1000,"Sub"),$AB52)))</f>
        <v/>
      </c>
      <c r="AG52" s="62">
        <f>IF($V52&lt;&gt;"Macro","",IF(COUNTIFS($S$5:$S$1000,$S52,$V$5:$V$1000,"Macro",$H$5:$H$1000,"&gt;0")=0,1/COUNTIFS($S$5:$S$1000,$S52,$V$5:$V$1000,"Macro"),IF(AND(ISNUMBER($H52),N($H52)&gt;0),$H52,SUMIFS($H$5:$H$1000,$S$5:$S$1000,$S52,$V$5:$V$1000,"Macro")/COUNTIFS($S$5:$S$1000,$S52,$V$5:$V$1000,"Macro",$H$5:$H$1000,"&gt;0"))/(COUNTIFS($S$5:$S$1000,$S52,$V$5:$V$1000,"Macro")*SUMIFS($H$5:$H$1000,$S$5:$S$1000,$S52,$V$5:$V$1000,"Macro")/COUNTIFS($S$5:$S$1000,$S52,$V$5:$V$1000,"Macro",$H$5:$H$1000,"&gt;0"))))</f>
        <v/>
      </c>
      <c r="AH52" s="62" t="n"/>
      <c r="AI52" s="62" t="n"/>
      <c r="AJ52" s="62" t="n"/>
      <c r="AK52" s="62" t="n"/>
      <c r="AL52" s="62">
        <f>IF(LEFT($C52,11)="[Jefatura] ",IFERROR(MATCH("Asistente Técnico de Riesgo|"&amp;MID($C52,12,500),rDname_ADM,0),0),"")</f>
        <v/>
      </c>
      <c r="AM52" s="62">
        <f>IF(N($AL52)&gt;0,INDEX(rIni_ADM,$AL52),IF(ISNUMBER($E52),$E52,""))</f>
        <v/>
      </c>
      <c r="AN52" s="62">
        <f>IF(N($AL52)&gt;0,INDEX(rLim_ADM,$AL52),IF(ISNUMBER($F52),$F52,""))</f>
        <v/>
      </c>
    </row>
    <row r="53">
      <c r="A53" s="56">
        <f>IF(NOT((COUNTA($B53:$D53)+COUNTA($G53:$L53)+COUNTA($Q53))&gt;0),"",IF($V53="Macro",COUNTIFS($V$5:$V53,"Macro",$S$5:$S53,$S53),IF(N($U53)=0,"?",COUNTIFS(INDEX($V$5:$V$1000,1):INDEX($V$5:$V$1000,$U53-4),"Macro",INDEX($S$5:$S$1000,1):INDEX($S$5:$S$1000,$U53-4),INDEX($S$5:$S$1000,$U53-4))&amp;"."&amp;COUNTIFS($U$5:$U53,$U53,$V$5:$V53,"Sub"))))</f>
        <v/>
      </c>
      <c r="B53" s="57" t="n"/>
      <c r="C53" s="58" t="n"/>
      <c r="D53" s="58" t="n"/>
      <c r="E53" s="59">
        <f>IF(N($AL53)&gt;0,INDEX(rIni_ADM,$AL53),"")</f>
        <v/>
      </c>
      <c r="F53" s="59">
        <f>IF(N($AL53)&gt;0,INDEX(rLim_ADM,$AL53),"")</f>
        <v/>
      </c>
      <c r="G53" s="59" t="n"/>
      <c r="H53" s="60" t="n"/>
      <c r="I53" s="60" t="n"/>
      <c r="J53" s="60" t="n"/>
      <c r="K53" s="60" t="n"/>
      <c r="L53" s="60" t="n"/>
      <c r="M53" s="61">
        <f>IF(NOT((COUNTA($B53:$D53)+COUNTA($G53:$L53)+COUNTA($Q53))&gt;0),"",IF(ISNUMBER($G53),1,IF(N($W53)&gt;0,AVERAGEIFS($X$5:$X$1000,$U$5:$U$1000,ROW(),$V$5:$V$1000,"Sub"),$X53)))</f>
        <v/>
      </c>
      <c r="N53" s="56">
        <f>IF($M53="","",IF($M53&gt;=1,"Completado",IF($M53&gt;0,"En curso","Pendiente")))</f>
        <v/>
      </c>
      <c r="O53" s="56">
        <f>IF(NOT((COUNTA($B53:$D53)+COUNTA($G53:$L53)+COUNTA($Q53))&gt;0),"",IF(ISNUMBER($G53),IF(AND(ISNUMBER($AN53),$G53&gt;$AN53),"Cumplida con "&amp;($G53-$AN53)&amp;IF($G53-$AN53=1," día"," días")&amp;" de retraso","Cumplida"),IF(N($M53)&gt;=1,"Cumplida",IF(NOT(ISNUMBER($AN53)),"Sin fecha límite",IF($AN53&lt;FechaRef,"Vencida hace "&amp;(FechaRef-$AN53)&amp;IF(FechaRef-$AN53=1," día"," días"),IF($AN53=FechaRef,"Vence hoy",IF($AN53-FechaRef&lt;=DiasAlerta,"Vence en "&amp;($AN53-FechaRef)&amp;IF($AN53-FechaRef=1," día"," días"),"En plazo")))))))</f>
        <v/>
      </c>
      <c r="P53" s="62" t="n"/>
      <c r="Q53" s="58" t="n"/>
      <c r="R53" s="63">
        <f>IF(NOT((COUNTA($B53:$D53)+COUNTA($G53:$L53)+COUNTA($Q53))&gt;0),"",IF((IF($C53="","Falta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",""))="","✔ OK","⚠ "&amp;LEFT(IF($C53="","Falta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",""),LEN(IF($C53="","Falta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",""))-3)))</f>
        <v/>
      </c>
      <c r="S53" s="64">
        <f>IF(NOT((COUNTA($B53:$D53)+COUNTA($G53:$L53)+COUNTA($Q53))&gt;0),"",IF(AND($V53="Sub",N($U53)&gt;0),IF(ISNUMBER(INDEX($AM$5:$AM$1000,$U53-4)),DATE(YEAR(INDEX($AM$5:$AM$1000,$U53-4)),MONTH(INDEX($AM$5:$AM$1000,$U53-4)),1),IF(ISNUMBER(INDEX($AN$5:$AN$1000,$U53-4)),DATE(YEAR(INDEX($AN$5:$AN$1000,$U53-4)),MONTH(INDEX($AN$5:$AN$1000,$U53-4)),1),MesCiclo)),IF(ISNUMBER($AM53),DATE(YEAR($AM53),MONTH($AM53),1),IF(ISNUMBER($AN53),DATE(YEAR($AN53),MONTH($AN53),1),MesCiclo))))</f>
        <v/>
      </c>
      <c r="T53" s="62">
        <f>IF(OR($S53="",$S53&lt;&gt;MesCiclo),"",COUNTIF($S$5:$S53,MesCiclo))</f>
        <v/>
      </c>
      <c r="U53" s="62">
        <f>IF($V53="","",IF($V53="Macro",ROW(),IFERROR(LOOKUP(2,1/($V$5:$V53="Macro"),ROW($V$5:$V53)),0)))</f>
        <v/>
      </c>
      <c r="V53" s="62">
        <f>IF(NOT((COUNTA($B53:$D53)+COUNTA($G53:$L53)+COUNTA($Q53))&gt;0),"",IF($B53="Subactividad","Sub","Macro"))</f>
        <v/>
      </c>
      <c r="W53" s="62">
        <f>IF($V53="Macro",COUNTIFS($U$5:$U$1000,ROW(),$V$5:$V$1000,"Sub"),"")</f>
        <v/>
      </c>
      <c r="X53" s="62">
        <f>IF($V53="","",IF(ISNUMBER($G53),1,IFERROR(LOOKUP(2,1/($I53:$L53&lt;&gt;""),$I53:$L53),0)))</f>
        <v/>
      </c>
      <c r="Y53" s="62">
        <f>IF($V53="","",IF(AND(ISNUMBER($G53),$G53&lt;=IF($S53=MesCiclo,InicioCiclo,$S53+MOD(2-WEEKDAY($S53),7))+6),1,IF(ISNUMBER($I53),$I53,0)))</f>
        <v/>
      </c>
      <c r="Z53" s="62">
        <f>IF($V53="","",IF(AND(ISNUMBER($G53),$G53&lt;=IF($S53=MesCiclo,InicioCiclo,$S53+MOD(2-WEEKDAY($S53),7))+13),1,IF(ISNUMBER($J53),$J53,$Y53)))</f>
        <v/>
      </c>
      <c r="AA53" s="62">
        <f>IF($V53="","",IF(AND(ISNUMBER($G53),$G53&lt;=IF($S53=MesCiclo,InicioCiclo,$S53+MOD(2-WEEKDAY($S53),7))+20),1,IF(ISNUMBER($K53),$K53,$Z53)))</f>
        <v/>
      </c>
      <c r="AB53" s="62">
        <f>IF($V53="","",IF(AND(ISNUMBER($G53),$G53&lt;=IF($S53=MesCiclo,InicioCiclo,$S53+MOD(2-WEEKDAY($S53),7))+27),1,IF(ISNUMBER($L53),$L53,$AA53)))</f>
        <v/>
      </c>
      <c r="AC53" s="62">
        <f>IF($V53="","",IF(AND(ISNUMBER($G53),$G53&lt;=IF($S53=MesCiclo,InicioCiclo,$S53+MOD(2-WEEKDAY($S53),7))+6),1,IF(N($W53)&gt;0,AVERAGEIFS($Y$5:$Y$1000,$U$5:$U$1000,ROW(),$V$5:$V$1000,"Sub"),$Y53)))</f>
        <v/>
      </c>
      <c r="AD53" s="62">
        <f>IF($V53="","",IF(AND(ISNUMBER($G53),$G53&lt;=IF($S53=MesCiclo,InicioCiclo,$S53+MOD(2-WEEKDAY($S53),7))+13),1,IF(N($W53)&gt;0,AVERAGEIFS($Z$5:$Z$1000,$U$5:$U$1000,ROW(),$V$5:$V$1000,"Sub"),$Z53)))</f>
        <v/>
      </c>
      <c r="AE53" s="62">
        <f>IF($V53="","",IF(AND(ISNUMBER($G53),$G53&lt;=IF($S53=MesCiclo,InicioCiclo,$S53+MOD(2-WEEKDAY($S53),7))+20),1,IF(N($W53)&gt;0,AVERAGEIFS($AA$5:$AA$1000,$U$5:$U$1000,ROW(),$V$5:$V$1000,"Sub"),$AA53)))</f>
        <v/>
      </c>
      <c r="AF53" s="62">
        <f>IF($V53="","",IF(AND(ISNUMBER($G53),$G53&lt;=IF($S53=MesCiclo,InicioCiclo,$S53+MOD(2-WEEKDAY($S53),7))+27),1,IF(N($W53)&gt;0,AVERAGEIFS($AB$5:$AB$1000,$U$5:$U$1000,ROW(),$V$5:$V$1000,"Sub"),$AB53)))</f>
        <v/>
      </c>
      <c r="AG53" s="62">
        <f>IF($V53&lt;&gt;"Macro","",IF(COUNTIFS($S$5:$S$1000,$S53,$V$5:$V$1000,"Macro",$H$5:$H$1000,"&gt;0")=0,1/COUNTIFS($S$5:$S$1000,$S53,$V$5:$V$1000,"Macro"),IF(AND(ISNUMBER($H53),N($H53)&gt;0),$H53,SUMIFS($H$5:$H$1000,$S$5:$S$1000,$S53,$V$5:$V$1000,"Macro")/COUNTIFS($S$5:$S$1000,$S53,$V$5:$V$1000,"Macro",$H$5:$H$1000,"&gt;0"))/(COUNTIFS($S$5:$S$1000,$S53,$V$5:$V$1000,"Macro")*SUMIFS($H$5:$H$1000,$S$5:$S$1000,$S53,$V$5:$V$1000,"Macro")/COUNTIFS($S$5:$S$1000,$S53,$V$5:$V$1000,"Macro",$H$5:$H$1000,"&gt;0"))))</f>
        <v/>
      </c>
      <c r="AH53" s="62" t="n"/>
      <c r="AI53" s="62" t="n"/>
      <c r="AJ53" s="62" t="n"/>
      <c r="AK53" s="62" t="n"/>
      <c r="AL53" s="62">
        <f>IF(LEFT($C53,11)="[Jefatura] ",IFERROR(MATCH("Asistente Técnico de Riesgo|"&amp;MID($C53,12,500),rDname_ADM,0),0),"")</f>
        <v/>
      </c>
      <c r="AM53" s="62">
        <f>IF(N($AL53)&gt;0,INDEX(rIni_ADM,$AL53),IF(ISNUMBER($E53),$E53,""))</f>
        <v/>
      </c>
      <c r="AN53" s="62">
        <f>IF(N($AL53)&gt;0,INDEX(rLim_ADM,$AL53),IF(ISNUMBER($F53),$F53,""))</f>
        <v/>
      </c>
    </row>
    <row r="54">
      <c r="A54" s="56">
        <f>IF(NOT((COUNTA($B54:$D54)+COUNTA($G54:$L54)+COUNTA($Q54))&gt;0),"",IF($V54="Macro",COUNTIFS($V$5:$V54,"Macro",$S$5:$S54,$S54),IF(N($U54)=0,"?",COUNTIFS(INDEX($V$5:$V$1000,1):INDEX($V$5:$V$1000,$U54-4),"Macro",INDEX($S$5:$S$1000,1):INDEX($S$5:$S$1000,$U54-4),INDEX($S$5:$S$1000,$U54-4))&amp;"."&amp;COUNTIFS($U$5:$U54,$U54,$V$5:$V54,"Sub"))))</f>
        <v/>
      </c>
      <c r="B54" s="57" t="n"/>
      <c r="C54" s="58" t="n"/>
      <c r="D54" s="58" t="n"/>
      <c r="E54" s="59">
        <f>IF(N($AL54)&gt;0,INDEX(rIni_ADM,$AL54),"")</f>
        <v/>
      </c>
      <c r="F54" s="59">
        <f>IF(N($AL54)&gt;0,INDEX(rLim_ADM,$AL54),"")</f>
        <v/>
      </c>
      <c r="G54" s="59" t="n"/>
      <c r="H54" s="60" t="n"/>
      <c r="I54" s="60" t="n"/>
      <c r="J54" s="60" t="n"/>
      <c r="K54" s="60" t="n"/>
      <c r="L54" s="60" t="n"/>
      <c r="M54" s="61">
        <f>IF(NOT((COUNTA($B54:$D54)+COUNTA($G54:$L54)+COUNTA($Q54))&gt;0),"",IF(ISNUMBER($G54),1,IF(N($W54)&gt;0,AVERAGEIFS($X$5:$X$1000,$U$5:$U$1000,ROW(),$V$5:$V$1000,"Sub"),$X54)))</f>
        <v/>
      </c>
      <c r="N54" s="56">
        <f>IF($M54="","",IF($M54&gt;=1,"Completado",IF($M54&gt;0,"En curso","Pendiente")))</f>
        <v/>
      </c>
      <c r="O54" s="56">
        <f>IF(NOT((COUNTA($B54:$D54)+COUNTA($G54:$L54)+COUNTA($Q54))&gt;0),"",IF(ISNUMBER($G54),IF(AND(ISNUMBER($AN54),$G54&gt;$AN54),"Cumplida con "&amp;($G54-$AN54)&amp;IF($G54-$AN54=1," día"," días")&amp;" de retraso","Cumplida"),IF(N($M54)&gt;=1,"Cumplida",IF(NOT(ISNUMBER($AN54)),"Sin fecha límite",IF($AN54&lt;FechaRef,"Vencida hace "&amp;(FechaRef-$AN54)&amp;IF(FechaRef-$AN54=1," día"," días"),IF($AN54=FechaRef,"Vence hoy",IF($AN54-FechaRef&lt;=DiasAlerta,"Vence en "&amp;($AN54-FechaRef)&amp;IF($AN54-FechaRef=1," día"," días"),"En plazo")))))))</f>
        <v/>
      </c>
      <c r="P54" s="62" t="n"/>
      <c r="Q54" s="58" t="n"/>
      <c r="R54" s="63">
        <f>IF(NOT((COUNTA($B54:$D54)+COUNTA($G54:$L54)+COUNTA($Q54))&gt;0),"",IF((IF($C54="","Falta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",""))="","✔ OK","⚠ "&amp;LEFT(IF($C54="","Falta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",""),LEN(IF($C54="","Falta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",""))-3)))</f>
        <v/>
      </c>
      <c r="S54" s="64">
        <f>IF(NOT((COUNTA($B54:$D54)+COUNTA($G54:$L54)+COUNTA($Q54))&gt;0),"",IF(AND($V54="Sub",N($U54)&gt;0),IF(ISNUMBER(INDEX($AM$5:$AM$1000,$U54-4)),DATE(YEAR(INDEX($AM$5:$AM$1000,$U54-4)),MONTH(INDEX($AM$5:$AM$1000,$U54-4)),1),IF(ISNUMBER(INDEX($AN$5:$AN$1000,$U54-4)),DATE(YEAR(INDEX($AN$5:$AN$1000,$U54-4)),MONTH(INDEX($AN$5:$AN$1000,$U54-4)),1),MesCiclo)),IF(ISNUMBER($AM54),DATE(YEAR($AM54),MONTH($AM54),1),IF(ISNUMBER($AN54),DATE(YEAR($AN54),MONTH($AN54),1),MesCiclo))))</f>
        <v/>
      </c>
      <c r="T54" s="62">
        <f>IF(OR($S54="",$S54&lt;&gt;MesCiclo),"",COUNTIF($S$5:$S54,MesCiclo))</f>
        <v/>
      </c>
      <c r="U54" s="62">
        <f>IF($V54="","",IF($V54="Macro",ROW(),IFERROR(LOOKUP(2,1/($V$5:$V54="Macro"),ROW($V$5:$V54)),0)))</f>
        <v/>
      </c>
      <c r="V54" s="62">
        <f>IF(NOT((COUNTA($B54:$D54)+COUNTA($G54:$L54)+COUNTA($Q54))&gt;0),"",IF($B54="Subactividad","Sub","Macro"))</f>
        <v/>
      </c>
      <c r="W54" s="62">
        <f>IF($V54="Macro",COUNTIFS($U$5:$U$1000,ROW(),$V$5:$V$1000,"Sub"),"")</f>
        <v/>
      </c>
      <c r="X54" s="62">
        <f>IF($V54="","",IF(ISNUMBER($G54),1,IFERROR(LOOKUP(2,1/($I54:$L54&lt;&gt;""),$I54:$L54),0)))</f>
        <v/>
      </c>
      <c r="Y54" s="62">
        <f>IF($V54="","",IF(AND(ISNUMBER($G54),$G54&lt;=IF($S54=MesCiclo,InicioCiclo,$S54+MOD(2-WEEKDAY($S54),7))+6),1,IF(ISNUMBER($I54),$I54,0)))</f>
        <v/>
      </c>
      <c r="Z54" s="62">
        <f>IF($V54="","",IF(AND(ISNUMBER($G54),$G54&lt;=IF($S54=MesCiclo,InicioCiclo,$S54+MOD(2-WEEKDAY($S54),7))+13),1,IF(ISNUMBER($J54),$J54,$Y54)))</f>
        <v/>
      </c>
      <c r="AA54" s="62">
        <f>IF($V54="","",IF(AND(ISNUMBER($G54),$G54&lt;=IF($S54=MesCiclo,InicioCiclo,$S54+MOD(2-WEEKDAY($S54),7))+20),1,IF(ISNUMBER($K54),$K54,$Z54)))</f>
        <v/>
      </c>
      <c r="AB54" s="62">
        <f>IF($V54="","",IF(AND(ISNUMBER($G54),$G54&lt;=IF($S54=MesCiclo,InicioCiclo,$S54+MOD(2-WEEKDAY($S54),7))+27),1,IF(ISNUMBER($L54),$L54,$AA54)))</f>
        <v/>
      </c>
      <c r="AC54" s="62">
        <f>IF($V54="","",IF(AND(ISNUMBER($G54),$G54&lt;=IF($S54=MesCiclo,InicioCiclo,$S54+MOD(2-WEEKDAY($S54),7))+6),1,IF(N($W54)&gt;0,AVERAGEIFS($Y$5:$Y$1000,$U$5:$U$1000,ROW(),$V$5:$V$1000,"Sub"),$Y54)))</f>
        <v/>
      </c>
      <c r="AD54" s="62">
        <f>IF($V54="","",IF(AND(ISNUMBER($G54),$G54&lt;=IF($S54=MesCiclo,InicioCiclo,$S54+MOD(2-WEEKDAY($S54),7))+13),1,IF(N($W54)&gt;0,AVERAGEIFS($Z$5:$Z$1000,$U$5:$U$1000,ROW(),$V$5:$V$1000,"Sub"),$Z54)))</f>
        <v/>
      </c>
      <c r="AE54" s="62">
        <f>IF($V54="","",IF(AND(ISNUMBER($G54),$G54&lt;=IF($S54=MesCiclo,InicioCiclo,$S54+MOD(2-WEEKDAY($S54),7))+20),1,IF(N($W54)&gt;0,AVERAGEIFS($AA$5:$AA$1000,$U$5:$U$1000,ROW(),$V$5:$V$1000,"Sub"),$AA54)))</f>
        <v/>
      </c>
      <c r="AF54" s="62">
        <f>IF($V54="","",IF(AND(ISNUMBER($G54),$G54&lt;=IF($S54=MesCiclo,InicioCiclo,$S54+MOD(2-WEEKDAY($S54),7))+27),1,IF(N($W54)&gt;0,AVERAGEIFS($AB$5:$AB$1000,$U$5:$U$1000,ROW(),$V$5:$V$1000,"Sub"),$AB54)))</f>
        <v/>
      </c>
      <c r="AG54" s="62">
        <f>IF($V54&lt;&gt;"Macro","",IF(COUNTIFS($S$5:$S$1000,$S54,$V$5:$V$1000,"Macro",$H$5:$H$1000,"&gt;0")=0,1/COUNTIFS($S$5:$S$1000,$S54,$V$5:$V$1000,"Macro"),IF(AND(ISNUMBER($H54),N($H54)&gt;0),$H54,SUMIFS($H$5:$H$1000,$S$5:$S$1000,$S54,$V$5:$V$1000,"Macro")/COUNTIFS($S$5:$S$1000,$S54,$V$5:$V$1000,"Macro",$H$5:$H$1000,"&gt;0"))/(COUNTIFS($S$5:$S$1000,$S54,$V$5:$V$1000,"Macro")*SUMIFS($H$5:$H$1000,$S$5:$S$1000,$S54,$V$5:$V$1000,"Macro")/COUNTIFS($S$5:$S$1000,$S54,$V$5:$V$1000,"Macro",$H$5:$H$1000,"&gt;0"))))</f>
        <v/>
      </c>
      <c r="AH54" s="62" t="n"/>
      <c r="AI54" s="62" t="n"/>
      <c r="AJ54" s="62" t="n"/>
      <c r="AK54" s="62" t="n"/>
      <c r="AL54" s="62">
        <f>IF(LEFT($C54,11)="[Jefatura] ",IFERROR(MATCH("Asistente Técnico de Riesgo|"&amp;MID($C54,12,500),rDname_ADM,0),0),"")</f>
        <v/>
      </c>
      <c r="AM54" s="62">
        <f>IF(N($AL54)&gt;0,INDEX(rIni_ADM,$AL54),IF(ISNUMBER($E54),$E54,""))</f>
        <v/>
      </c>
      <c r="AN54" s="62">
        <f>IF(N($AL54)&gt;0,INDEX(rLim_ADM,$AL54),IF(ISNUMBER($F54),$F54,""))</f>
        <v/>
      </c>
    </row>
    <row r="55">
      <c r="A55" s="56">
        <f>IF(NOT((COUNTA($B55:$D55)+COUNTA($G55:$L55)+COUNTA($Q55))&gt;0),"",IF($V55="Macro",COUNTIFS($V$5:$V55,"Macro",$S$5:$S55,$S55),IF(N($U55)=0,"?",COUNTIFS(INDEX($V$5:$V$1000,1):INDEX($V$5:$V$1000,$U55-4),"Macro",INDEX($S$5:$S$1000,1):INDEX($S$5:$S$1000,$U55-4),INDEX($S$5:$S$1000,$U55-4))&amp;"."&amp;COUNTIFS($U$5:$U55,$U55,$V$5:$V55,"Sub"))))</f>
        <v/>
      </c>
      <c r="B55" s="57" t="n"/>
      <c r="C55" s="58" t="n"/>
      <c r="D55" s="58" t="n"/>
      <c r="E55" s="59">
        <f>IF(N($AL55)&gt;0,INDEX(rIni_ADM,$AL55),"")</f>
        <v/>
      </c>
      <c r="F55" s="59">
        <f>IF(N($AL55)&gt;0,INDEX(rLim_ADM,$AL55),"")</f>
        <v/>
      </c>
      <c r="G55" s="59" t="n"/>
      <c r="H55" s="60" t="n"/>
      <c r="I55" s="60" t="n"/>
      <c r="J55" s="60" t="n"/>
      <c r="K55" s="60" t="n"/>
      <c r="L55" s="60" t="n"/>
      <c r="M55" s="61">
        <f>IF(NOT((COUNTA($B55:$D55)+COUNTA($G55:$L55)+COUNTA($Q55))&gt;0),"",IF(ISNUMBER($G55),1,IF(N($W55)&gt;0,AVERAGEIFS($X$5:$X$1000,$U$5:$U$1000,ROW(),$V$5:$V$1000,"Sub"),$X55)))</f>
        <v/>
      </c>
      <c r="N55" s="56">
        <f>IF($M55="","",IF($M55&gt;=1,"Completado",IF($M55&gt;0,"En curso","Pendiente")))</f>
        <v/>
      </c>
      <c r="O55" s="56">
        <f>IF(NOT((COUNTA($B55:$D55)+COUNTA($G55:$L55)+COUNTA($Q55))&gt;0),"",IF(ISNUMBER($G55),IF(AND(ISNUMBER($AN55),$G55&gt;$AN55),"Cumplida con "&amp;($G55-$AN55)&amp;IF($G55-$AN55=1," día"," días")&amp;" de retraso","Cumplida"),IF(N($M55)&gt;=1,"Cumplida",IF(NOT(ISNUMBER($AN55)),"Sin fecha límite",IF($AN55&lt;FechaRef,"Vencida hace "&amp;(FechaRef-$AN55)&amp;IF(FechaRef-$AN55=1," día"," días"),IF($AN55=FechaRef,"Vence hoy",IF($AN55-FechaRef&lt;=DiasAlerta,"Vence en "&amp;($AN55-FechaRef)&amp;IF($AN55-FechaRef=1," día"," días"),"En plazo")))))))</f>
        <v/>
      </c>
      <c r="P55" s="62" t="n"/>
      <c r="Q55" s="58" t="n"/>
      <c r="R55" s="63">
        <f>IF(NOT((COUNTA($B55:$D55)+COUNTA($G55:$L55)+COUNTA($Q55))&gt;0),"",IF((IF($C55="","Falta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",""))="","✔ OK","⚠ "&amp;LEFT(IF($C55="","Falta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",""),LEN(IF($C55="","Falta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",""))-3)))</f>
        <v/>
      </c>
      <c r="S55" s="64">
        <f>IF(NOT((COUNTA($B55:$D55)+COUNTA($G55:$L55)+COUNTA($Q55))&gt;0),"",IF(AND($V55="Sub",N($U55)&gt;0),IF(ISNUMBER(INDEX($AM$5:$AM$1000,$U55-4)),DATE(YEAR(INDEX($AM$5:$AM$1000,$U55-4)),MONTH(INDEX($AM$5:$AM$1000,$U55-4)),1),IF(ISNUMBER(INDEX($AN$5:$AN$1000,$U55-4)),DATE(YEAR(INDEX($AN$5:$AN$1000,$U55-4)),MONTH(INDEX($AN$5:$AN$1000,$U55-4)),1),MesCiclo)),IF(ISNUMBER($AM55),DATE(YEAR($AM55),MONTH($AM55),1),IF(ISNUMBER($AN55),DATE(YEAR($AN55),MONTH($AN55),1),MesCiclo))))</f>
        <v/>
      </c>
      <c r="T55" s="62">
        <f>IF(OR($S55="",$S55&lt;&gt;MesCiclo),"",COUNTIF($S$5:$S55,MesCiclo))</f>
        <v/>
      </c>
      <c r="U55" s="62">
        <f>IF($V55="","",IF($V55="Macro",ROW(),IFERROR(LOOKUP(2,1/($V$5:$V55="Macro"),ROW($V$5:$V55)),0)))</f>
        <v/>
      </c>
      <c r="V55" s="62">
        <f>IF(NOT((COUNTA($B55:$D55)+COUNTA($G55:$L55)+COUNTA($Q55))&gt;0),"",IF($B55="Subactividad","Sub","Macro"))</f>
        <v/>
      </c>
      <c r="W55" s="62">
        <f>IF($V55="Macro",COUNTIFS($U$5:$U$1000,ROW(),$V$5:$V$1000,"Sub"),"")</f>
        <v/>
      </c>
      <c r="X55" s="62">
        <f>IF($V55="","",IF(ISNUMBER($G55),1,IFERROR(LOOKUP(2,1/($I55:$L55&lt;&gt;""),$I55:$L55),0)))</f>
        <v/>
      </c>
      <c r="Y55" s="62">
        <f>IF($V55="","",IF(AND(ISNUMBER($G55),$G55&lt;=IF($S55=MesCiclo,InicioCiclo,$S55+MOD(2-WEEKDAY($S55),7))+6),1,IF(ISNUMBER($I55),$I55,0)))</f>
        <v/>
      </c>
      <c r="Z55" s="62">
        <f>IF($V55="","",IF(AND(ISNUMBER($G55),$G55&lt;=IF($S55=MesCiclo,InicioCiclo,$S55+MOD(2-WEEKDAY($S55),7))+13),1,IF(ISNUMBER($J55),$J55,$Y55)))</f>
        <v/>
      </c>
      <c r="AA55" s="62">
        <f>IF($V55="","",IF(AND(ISNUMBER($G55),$G55&lt;=IF($S55=MesCiclo,InicioCiclo,$S55+MOD(2-WEEKDAY($S55),7))+20),1,IF(ISNUMBER($K55),$K55,$Z55)))</f>
        <v/>
      </c>
      <c r="AB55" s="62">
        <f>IF($V55="","",IF(AND(ISNUMBER($G55),$G55&lt;=IF($S55=MesCiclo,InicioCiclo,$S55+MOD(2-WEEKDAY($S55),7))+27),1,IF(ISNUMBER($L55),$L55,$AA55)))</f>
        <v/>
      </c>
      <c r="AC55" s="62">
        <f>IF($V55="","",IF(AND(ISNUMBER($G55),$G55&lt;=IF($S55=MesCiclo,InicioCiclo,$S55+MOD(2-WEEKDAY($S55),7))+6),1,IF(N($W55)&gt;0,AVERAGEIFS($Y$5:$Y$1000,$U$5:$U$1000,ROW(),$V$5:$V$1000,"Sub"),$Y55)))</f>
        <v/>
      </c>
      <c r="AD55" s="62">
        <f>IF($V55="","",IF(AND(ISNUMBER($G55),$G55&lt;=IF($S55=MesCiclo,InicioCiclo,$S55+MOD(2-WEEKDAY($S55),7))+13),1,IF(N($W55)&gt;0,AVERAGEIFS($Z$5:$Z$1000,$U$5:$U$1000,ROW(),$V$5:$V$1000,"Sub"),$Z55)))</f>
        <v/>
      </c>
      <c r="AE55" s="62">
        <f>IF($V55="","",IF(AND(ISNUMBER($G55),$G55&lt;=IF($S55=MesCiclo,InicioCiclo,$S55+MOD(2-WEEKDAY($S55),7))+20),1,IF(N($W55)&gt;0,AVERAGEIFS($AA$5:$AA$1000,$U$5:$U$1000,ROW(),$V$5:$V$1000,"Sub"),$AA55)))</f>
        <v/>
      </c>
      <c r="AF55" s="62">
        <f>IF($V55="","",IF(AND(ISNUMBER($G55),$G55&lt;=IF($S55=MesCiclo,InicioCiclo,$S55+MOD(2-WEEKDAY($S55),7))+27),1,IF(N($W55)&gt;0,AVERAGEIFS($AB$5:$AB$1000,$U$5:$U$1000,ROW(),$V$5:$V$1000,"Sub"),$AB55)))</f>
        <v/>
      </c>
      <c r="AG55" s="62">
        <f>IF($V55&lt;&gt;"Macro","",IF(COUNTIFS($S$5:$S$1000,$S55,$V$5:$V$1000,"Macro",$H$5:$H$1000,"&gt;0")=0,1/COUNTIFS($S$5:$S$1000,$S55,$V$5:$V$1000,"Macro"),IF(AND(ISNUMBER($H55),N($H55)&gt;0),$H55,SUMIFS($H$5:$H$1000,$S$5:$S$1000,$S55,$V$5:$V$1000,"Macro")/COUNTIFS($S$5:$S$1000,$S55,$V$5:$V$1000,"Macro",$H$5:$H$1000,"&gt;0"))/(COUNTIFS($S$5:$S$1000,$S55,$V$5:$V$1000,"Macro")*SUMIFS($H$5:$H$1000,$S$5:$S$1000,$S55,$V$5:$V$1000,"Macro")/COUNTIFS($S$5:$S$1000,$S55,$V$5:$V$1000,"Macro",$H$5:$H$1000,"&gt;0"))))</f>
        <v/>
      </c>
      <c r="AH55" s="62" t="n"/>
      <c r="AI55" s="62" t="n"/>
      <c r="AJ55" s="62" t="n"/>
      <c r="AK55" s="62" t="n"/>
      <c r="AL55" s="62">
        <f>IF(LEFT($C55,11)="[Jefatura] ",IFERROR(MATCH("Asistente Técnico de Riesgo|"&amp;MID($C55,12,500),rDname_ADM,0),0),"")</f>
        <v/>
      </c>
      <c r="AM55" s="62">
        <f>IF(N($AL55)&gt;0,INDEX(rIni_ADM,$AL55),IF(ISNUMBER($E55),$E55,""))</f>
        <v/>
      </c>
      <c r="AN55" s="62">
        <f>IF(N($AL55)&gt;0,INDEX(rLim_ADM,$AL55),IF(ISNUMBER($F55),$F55,""))</f>
        <v/>
      </c>
    </row>
    <row r="56">
      <c r="A56" s="56">
        <f>IF(NOT((COUNTA($B56:$D56)+COUNTA($G56:$L56)+COUNTA($Q56))&gt;0),"",IF($V56="Macro",COUNTIFS($V$5:$V56,"Macro",$S$5:$S56,$S56),IF(N($U56)=0,"?",COUNTIFS(INDEX($V$5:$V$1000,1):INDEX($V$5:$V$1000,$U56-4),"Macro",INDEX($S$5:$S$1000,1):INDEX($S$5:$S$1000,$U56-4),INDEX($S$5:$S$1000,$U56-4))&amp;"."&amp;COUNTIFS($U$5:$U56,$U56,$V$5:$V56,"Sub"))))</f>
        <v/>
      </c>
      <c r="B56" s="57" t="n"/>
      <c r="C56" s="58" t="n"/>
      <c r="D56" s="58" t="n"/>
      <c r="E56" s="59">
        <f>IF(N($AL56)&gt;0,INDEX(rIni_ADM,$AL56),"")</f>
        <v/>
      </c>
      <c r="F56" s="59">
        <f>IF(N($AL56)&gt;0,INDEX(rLim_ADM,$AL56),"")</f>
        <v/>
      </c>
      <c r="G56" s="59" t="n"/>
      <c r="H56" s="60" t="n"/>
      <c r="I56" s="60" t="n"/>
      <c r="J56" s="60" t="n"/>
      <c r="K56" s="60" t="n"/>
      <c r="L56" s="60" t="n"/>
      <c r="M56" s="61">
        <f>IF(NOT((COUNTA($B56:$D56)+COUNTA($G56:$L56)+COUNTA($Q56))&gt;0),"",IF(ISNUMBER($G56),1,IF(N($W56)&gt;0,AVERAGEIFS($X$5:$X$1000,$U$5:$U$1000,ROW(),$V$5:$V$1000,"Sub"),$X56)))</f>
        <v/>
      </c>
      <c r="N56" s="56">
        <f>IF($M56="","",IF($M56&gt;=1,"Completado",IF($M56&gt;0,"En curso","Pendiente")))</f>
        <v/>
      </c>
      <c r="O56" s="56">
        <f>IF(NOT((COUNTA($B56:$D56)+COUNTA($G56:$L56)+COUNTA($Q56))&gt;0),"",IF(ISNUMBER($G56),IF(AND(ISNUMBER($AN56),$G56&gt;$AN56),"Cumplida con "&amp;($G56-$AN56)&amp;IF($G56-$AN56=1," día"," días")&amp;" de retraso","Cumplida"),IF(N($M56)&gt;=1,"Cumplida",IF(NOT(ISNUMBER($AN56)),"Sin fecha límite",IF($AN56&lt;FechaRef,"Vencida hace "&amp;(FechaRef-$AN56)&amp;IF(FechaRef-$AN56=1," día"," días"),IF($AN56=FechaRef,"Vence hoy",IF($AN56-FechaRef&lt;=DiasAlerta,"Vence en "&amp;($AN56-FechaRef)&amp;IF($AN56-FechaRef=1," día"," días"),"En plazo")))))))</f>
        <v/>
      </c>
      <c r="P56" s="62" t="n"/>
      <c r="Q56" s="58" t="n"/>
      <c r="R56" s="63">
        <f>IF(NOT((COUNTA($B56:$D56)+COUNTA($G56:$L56)+COUNTA($Q56))&gt;0),"",IF((IF($C56="","Falta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",""))="","✔ OK","⚠ "&amp;LEFT(IF($C56="","Falta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",""),LEN(IF($C56="","Falta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",""))-3)))</f>
        <v/>
      </c>
      <c r="S56" s="64">
        <f>IF(NOT((COUNTA($B56:$D56)+COUNTA($G56:$L56)+COUNTA($Q56))&gt;0),"",IF(AND($V56="Sub",N($U56)&gt;0),IF(ISNUMBER(INDEX($AM$5:$AM$1000,$U56-4)),DATE(YEAR(INDEX($AM$5:$AM$1000,$U56-4)),MONTH(INDEX($AM$5:$AM$1000,$U56-4)),1),IF(ISNUMBER(INDEX($AN$5:$AN$1000,$U56-4)),DATE(YEAR(INDEX($AN$5:$AN$1000,$U56-4)),MONTH(INDEX($AN$5:$AN$1000,$U56-4)),1),MesCiclo)),IF(ISNUMBER($AM56),DATE(YEAR($AM56),MONTH($AM56),1),IF(ISNUMBER($AN56),DATE(YEAR($AN56),MONTH($AN56),1),MesCiclo))))</f>
        <v/>
      </c>
      <c r="T56" s="62">
        <f>IF(OR($S56="",$S56&lt;&gt;MesCiclo),"",COUNTIF($S$5:$S56,MesCiclo))</f>
        <v/>
      </c>
      <c r="U56" s="62">
        <f>IF($V56="","",IF($V56="Macro",ROW(),IFERROR(LOOKUP(2,1/($V$5:$V56="Macro"),ROW($V$5:$V56)),0)))</f>
        <v/>
      </c>
      <c r="V56" s="62">
        <f>IF(NOT((COUNTA($B56:$D56)+COUNTA($G56:$L56)+COUNTA($Q56))&gt;0),"",IF($B56="Subactividad","Sub","Macro"))</f>
        <v/>
      </c>
      <c r="W56" s="62">
        <f>IF($V56="Macro",COUNTIFS($U$5:$U$1000,ROW(),$V$5:$V$1000,"Sub"),"")</f>
        <v/>
      </c>
      <c r="X56" s="62">
        <f>IF($V56="","",IF(ISNUMBER($G56),1,IFERROR(LOOKUP(2,1/($I56:$L56&lt;&gt;""),$I56:$L56),0)))</f>
        <v/>
      </c>
      <c r="Y56" s="62">
        <f>IF($V56="","",IF(AND(ISNUMBER($G56),$G56&lt;=IF($S56=MesCiclo,InicioCiclo,$S56+MOD(2-WEEKDAY($S56),7))+6),1,IF(ISNUMBER($I56),$I56,0)))</f>
        <v/>
      </c>
      <c r="Z56" s="62">
        <f>IF($V56="","",IF(AND(ISNUMBER($G56),$G56&lt;=IF($S56=MesCiclo,InicioCiclo,$S56+MOD(2-WEEKDAY($S56),7))+13),1,IF(ISNUMBER($J56),$J56,$Y56)))</f>
        <v/>
      </c>
      <c r="AA56" s="62">
        <f>IF($V56="","",IF(AND(ISNUMBER($G56),$G56&lt;=IF($S56=MesCiclo,InicioCiclo,$S56+MOD(2-WEEKDAY($S56),7))+20),1,IF(ISNUMBER($K56),$K56,$Z56)))</f>
        <v/>
      </c>
      <c r="AB56" s="62">
        <f>IF($V56="","",IF(AND(ISNUMBER($G56),$G56&lt;=IF($S56=MesCiclo,InicioCiclo,$S56+MOD(2-WEEKDAY($S56),7))+27),1,IF(ISNUMBER($L56),$L56,$AA56)))</f>
        <v/>
      </c>
      <c r="AC56" s="62">
        <f>IF($V56="","",IF(AND(ISNUMBER($G56),$G56&lt;=IF($S56=MesCiclo,InicioCiclo,$S56+MOD(2-WEEKDAY($S56),7))+6),1,IF(N($W56)&gt;0,AVERAGEIFS($Y$5:$Y$1000,$U$5:$U$1000,ROW(),$V$5:$V$1000,"Sub"),$Y56)))</f>
        <v/>
      </c>
      <c r="AD56" s="62">
        <f>IF($V56="","",IF(AND(ISNUMBER($G56),$G56&lt;=IF($S56=MesCiclo,InicioCiclo,$S56+MOD(2-WEEKDAY($S56),7))+13),1,IF(N($W56)&gt;0,AVERAGEIFS($Z$5:$Z$1000,$U$5:$U$1000,ROW(),$V$5:$V$1000,"Sub"),$Z56)))</f>
        <v/>
      </c>
      <c r="AE56" s="62">
        <f>IF($V56="","",IF(AND(ISNUMBER($G56),$G56&lt;=IF($S56=MesCiclo,InicioCiclo,$S56+MOD(2-WEEKDAY($S56),7))+20),1,IF(N($W56)&gt;0,AVERAGEIFS($AA$5:$AA$1000,$U$5:$U$1000,ROW(),$V$5:$V$1000,"Sub"),$AA56)))</f>
        <v/>
      </c>
      <c r="AF56" s="62">
        <f>IF($V56="","",IF(AND(ISNUMBER($G56),$G56&lt;=IF($S56=MesCiclo,InicioCiclo,$S56+MOD(2-WEEKDAY($S56),7))+27),1,IF(N($W56)&gt;0,AVERAGEIFS($AB$5:$AB$1000,$U$5:$U$1000,ROW(),$V$5:$V$1000,"Sub"),$AB56)))</f>
        <v/>
      </c>
      <c r="AG56" s="62">
        <f>IF($V56&lt;&gt;"Macro","",IF(COUNTIFS($S$5:$S$1000,$S56,$V$5:$V$1000,"Macro",$H$5:$H$1000,"&gt;0")=0,1/COUNTIFS($S$5:$S$1000,$S56,$V$5:$V$1000,"Macro"),IF(AND(ISNUMBER($H56),N($H56)&gt;0),$H56,SUMIFS($H$5:$H$1000,$S$5:$S$1000,$S56,$V$5:$V$1000,"Macro")/COUNTIFS($S$5:$S$1000,$S56,$V$5:$V$1000,"Macro",$H$5:$H$1000,"&gt;0"))/(COUNTIFS($S$5:$S$1000,$S56,$V$5:$V$1000,"Macro")*SUMIFS($H$5:$H$1000,$S$5:$S$1000,$S56,$V$5:$V$1000,"Macro")/COUNTIFS($S$5:$S$1000,$S56,$V$5:$V$1000,"Macro",$H$5:$H$1000,"&gt;0"))))</f>
        <v/>
      </c>
      <c r="AH56" s="62" t="n"/>
      <c r="AI56" s="62" t="n"/>
      <c r="AJ56" s="62" t="n"/>
      <c r="AK56" s="62" t="n"/>
      <c r="AL56" s="62">
        <f>IF(LEFT($C56,11)="[Jefatura] ",IFERROR(MATCH("Asistente Técnico de Riesgo|"&amp;MID($C56,12,500),rDname_ADM,0),0),"")</f>
        <v/>
      </c>
      <c r="AM56" s="62">
        <f>IF(N($AL56)&gt;0,INDEX(rIni_ADM,$AL56),IF(ISNUMBER($E56),$E56,""))</f>
        <v/>
      </c>
      <c r="AN56" s="62">
        <f>IF(N($AL56)&gt;0,INDEX(rLim_ADM,$AL56),IF(ISNUMBER($F56),$F56,""))</f>
        <v/>
      </c>
    </row>
    <row r="57">
      <c r="A57" s="56">
        <f>IF(NOT((COUNTA($B57:$D57)+COUNTA($G57:$L57)+COUNTA($Q57))&gt;0),"",IF($V57="Macro",COUNTIFS($V$5:$V57,"Macro",$S$5:$S57,$S57),IF(N($U57)=0,"?",COUNTIFS(INDEX($V$5:$V$1000,1):INDEX($V$5:$V$1000,$U57-4),"Macro",INDEX($S$5:$S$1000,1):INDEX($S$5:$S$1000,$U57-4),INDEX($S$5:$S$1000,$U57-4))&amp;"."&amp;COUNTIFS($U$5:$U57,$U57,$V$5:$V57,"Sub"))))</f>
        <v/>
      </c>
      <c r="B57" s="57" t="n"/>
      <c r="C57" s="58" t="n"/>
      <c r="D57" s="58" t="n"/>
      <c r="E57" s="59">
        <f>IF(N($AL57)&gt;0,INDEX(rIni_ADM,$AL57),"")</f>
        <v/>
      </c>
      <c r="F57" s="59">
        <f>IF(N($AL57)&gt;0,INDEX(rLim_ADM,$AL57),"")</f>
        <v/>
      </c>
      <c r="G57" s="59" t="n"/>
      <c r="H57" s="60" t="n"/>
      <c r="I57" s="60" t="n"/>
      <c r="J57" s="60" t="n"/>
      <c r="K57" s="60" t="n"/>
      <c r="L57" s="60" t="n"/>
      <c r="M57" s="61">
        <f>IF(NOT((COUNTA($B57:$D57)+COUNTA($G57:$L57)+COUNTA($Q57))&gt;0),"",IF(ISNUMBER($G57),1,IF(N($W57)&gt;0,AVERAGEIFS($X$5:$X$1000,$U$5:$U$1000,ROW(),$V$5:$V$1000,"Sub"),$X57)))</f>
        <v/>
      </c>
      <c r="N57" s="56">
        <f>IF($M57="","",IF($M57&gt;=1,"Completado",IF($M57&gt;0,"En curso","Pendiente")))</f>
        <v/>
      </c>
      <c r="O57" s="56">
        <f>IF(NOT((COUNTA($B57:$D57)+COUNTA($G57:$L57)+COUNTA($Q57))&gt;0),"",IF(ISNUMBER($G57),IF(AND(ISNUMBER($AN57),$G57&gt;$AN57),"Cumplida con "&amp;($G57-$AN57)&amp;IF($G57-$AN57=1," día"," días")&amp;" de retraso","Cumplida"),IF(N($M57)&gt;=1,"Cumplida",IF(NOT(ISNUMBER($AN57)),"Sin fecha límite",IF($AN57&lt;FechaRef,"Vencida hace "&amp;(FechaRef-$AN57)&amp;IF(FechaRef-$AN57=1," día"," días"),IF($AN57=FechaRef,"Vence hoy",IF($AN57-FechaRef&lt;=DiasAlerta,"Vence en "&amp;($AN57-FechaRef)&amp;IF($AN57-FechaRef=1," día"," días"),"En plazo")))))))</f>
        <v/>
      </c>
      <c r="P57" s="62" t="n"/>
      <c r="Q57" s="58" t="n"/>
      <c r="R57" s="63">
        <f>IF(NOT((COUNTA($B57:$D57)+COUNTA($G57:$L57)+COUNTA($Q57))&gt;0),"",IF((IF($C57="","Falta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",""))="","✔ OK","⚠ "&amp;LEFT(IF($C57="","Falta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",""),LEN(IF($C57="","Falta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",""))-3)))</f>
        <v/>
      </c>
      <c r="S57" s="64">
        <f>IF(NOT((COUNTA($B57:$D57)+COUNTA($G57:$L57)+COUNTA($Q57))&gt;0),"",IF(AND($V57="Sub",N($U57)&gt;0),IF(ISNUMBER(INDEX($AM$5:$AM$1000,$U57-4)),DATE(YEAR(INDEX($AM$5:$AM$1000,$U57-4)),MONTH(INDEX($AM$5:$AM$1000,$U57-4)),1),IF(ISNUMBER(INDEX($AN$5:$AN$1000,$U57-4)),DATE(YEAR(INDEX($AN$5:$AN$1000,$U57-4)),MONTH(INDEX($AN$5:$AN$1000,$U57-4)),1),MesCiclo)),IF(ISNUMBER($AM57),DATE(YEAR($AM57),MONTH($AM57),1),IF(ISNUMBER($AN57),DATE(YEAR($AN57),MONTH($AN57),1),MesCiclo))))</f>
        <v/>
      </c>
      <c r="T57" s="62">
        <f>IF(OR($S57="",$S57&lt;&gt;MesCiclo),"",COUNTIF($S$5:$S57,MesCiclo))</f>
        <v/>
      </c>
      <c r="U57" s="62">
        <f>IF($V57="","",IF($V57="Macro",ROW(),IFERROR(LOOKUP(2,1/($V$5:$V57="Macro"),ROW($V$5:$V57)),0)))</f>
        <v/>
      </c>
      <c r="V57" s="62">
        <f>IF(NOT((COUNTA($B57:$D57)+COUNTA($G57:$L57)+COUNTA($Q57))&gt;0),"",IF($B57="Subactividad","Sub","Macro"))</f>
        <v/>
      </c>
      <c r="W57" s="62">
        <f>IF($V57="Macro",COUNTIFS($U$5:$U$1000,ROW(),$V$5:$V$1000,"Sub"),"")</f>
        <v/>
      </c>
      <c r="X57" s="62">
        <f>IF($V57="","",IF(ISNUMBER($G57),1,IFERROR(LOOKUP(2,1/($I57:$L57&lt;&gt;""),$I57:$L57),0)))</f>
        <v/>
      </c>
      <c r="Y57" s="62">
        <f>IF($V57="","",IF(AND(ISNUMBER($G57),$G57&lt;=IF($S57=MesCiclo,InicioCiclo,$S57+MOD(2-WEEKDAY($S57),7))+6),1,IF(ISNUMBER($I57),$I57,0)))</f>
        <v/>
      </c>
      <c r="Z57" s="62">
        <f>IF($V57="","",IF(AND(ISNUMBER($G57),$G57&lt;=IF($S57=MesCiclo,InicioCiclo,$S57+MOD(2-WEEKDAY($S57),7))+13),1,IF(ISNUMBER($J57),$J57,$Y57)))</f>
        <v/>
      </c>
      <c r="AA57" s="62">
        <f>IF($V57="","",IF(AND(ISNUMBER($G57),$G57&lt;=IF($S57=MesCiclo,InicioCiclo,$S57+MOD(2-WEEKDAY($S57),7))+20),1,IF(ISNUMBER($K57),$K57,$Z57)))</f>
        <v/>
      </c>
      <c r="AB57" s="62">
        <f>IF($V57="","",IF(AND(ISNUMBER($G57),$G57&lt;=IF($S57=MesCiclo,InicioCiclo,$S57+MOD(2-WEEKDAY($S57),7))+27),1,IF(ISNUMBER($L57),$L57,$AA57)))</f>
        <v/>
      </c>
      <c r="AC57" s="62">
        <f>IF($V57="","",IF(AND(ISNUMBER($G57),$G57&lt;=IF($S57=MesCiclo,InicioCiclo,$S57+MOD(2-WEEKDAY($S57),7))+6),1,IF(N($W57)&gt;0,AVERAGEIFS($Y$5:$Y$1000,$U$5:$U$1000,ROW(),$V$5:$V$1000,"Sub"),$Y57)))</f>
        <v/>
      </c>
      <c r="AD57" s="62">
        <f>IF($V57="","",IF(AND(ISNUMBER($G57),$G57&lt;=IF($S57=MesCiclo,InicioCiclo,$S57+MOD(2-WEEKDAY($S57),7))+13),1,IF(N($W57)&gt;0,AVERAGEIFS($Z$5:$Z$1000,$U$5:$U$1000,ROW(),$V$5:$V$1000,"Sub"),$Z57)))</f>
        <v/>
      </c>
      <c r="AE57" s="62">
        <f>IF($V57="","",IF(AND(ISNUMBER($G57),$G57&lt;=IF($S57=MesCiclo,InicioCiclo,$S57+MOD(2-WEEKDAY($S57),7))+20),1,IF(N($W57)&gt;0,AVERAGEIFS($AA$5:$AA$1000,$U$5:$U$1000,ROW(),$V$5:$V$1000,"Sub"),$AA57)))</f>
        <v/>
      </c>
      <c r="AF57" s="62">
        <f>IF($V57="","",IF(AND(ISNUMBER($G57),$G57&lt;=IF($S57=MesCiclo,InicioCiclo,$S57+MOD(2-WEEKDAY($S57),7))+27),1,IF(N($W57)&gt;0,AVERAGEIFS($AB$5:$AB$1000,$U$5:$U$1000,ROW(),$V$5:$V$1000,"Sub"),$AB57)))</f>
        <v/>
      </c>
      <c r="AG57" s="62">
        <f>IF($V57&lt;&gt;"Macro","",IF(COUNTIFS($S$5:$S$1000,$S57,$V$5:$V$1000,"Macro",$H$5:$H$1000,"&gt;0")=0,1/COUNTIFS($S$5:$S$1000,$S57,$V$5:$V$1000,"Macro"),IF(AND(ISNUMBER($H57),N($H57)&gt;0),$H57,SUMIFS($H$5:$H$1000,$S$5:$S$1000,$S57,$V$5:$V$1000,"Macro")/COUNTIFS($S$5:$S$1000,$S57,$V$5:$V$1000,"Macro",$H$5:$H$1000,"&gt;0"))/(COUNTIFS($S$5:$S$1000,$S57,$V$5:$V$1000,"Macro")*SUMIFS($H$5:$H$1000,$S$5:$S$1000,$S57,$V$5:$V$1000,"Macro")/COUNTIFS($S$5:$S$1000,$S57,$V$5:$V$1000,"Macro",$H$5:$H$1000,"&gt;0"))))</f>
        <v/>
      </c>
      <c r="AH57" s="62" t="n"/>
      <c r="AI57" s="62" t="n"/>
      <c r="AJ57" s="62" t="n"/>
      <c r="AK57" s="62" t="n"/>
      <c r="AL57" s="62">
        <f>IF(LEFT($C57,11)="[Jefatura] ",IFERROR(MATCH("Asistente Técnico de Riesgo|"&amp;MID($C57,12,500),rDname_ADM,0),0),"")</f>
        <v/>
      </c>
      <c r="AM57" s="62">
        <f>IF(N($AL57)&gt;0,INDEX(rIni_ADM,$AL57),IF(ISNUMBER($E57),$E57,""))</f>
        <v/>
      </c>
      <c r="AN57" s="62">
        <f>IF(N($AL57)&gt;0,INDEX(rLim_ADM,$AL57),IF(ISNUMBER($F57),$F57,""))</f>
        <v/>
      </c>
    </row>
    <row r="58">
      <c r="A58" s="56">
        <f>IF(NOT((COUNTA($B58:$D58)+COUNTA($G58:$L58)+COUNTA($Q58))&gt;0),"",IF($V58="Macro",COUNTIFS($V$5:$V58,"Macro",$S$5:$S58,$S58),IF(N($U58)=0,"?",COUNTIFS(INDEX($V$5:$V$1000,1):INDEX($V$5:$V$1000,$U58-4),"Macro",INDEX($S$5:$S$1000,1):INDEX($S$5:$S$1000,$U58-4),INDEX($S$5:$S$1000,$U58-4))&amp;"."&amp;COUNTIFS($U$5:$U58,$U58,$V$5:$V58,"Sub"))))</f>
        <v/>
      </c>
      <c r="B58" s="57" t="n"/>
      <c r="C58" s="58" t="n"/>
      <c r="D58" s="58" t="n"/>
      <c r="E58" s="59">
        <f>IF(N($AL58)&gt;0,INDEX(rIni_ADM,$AL58),"")</f>
        <v/>
      </c>
      <c r="F58" s="59">
        <f>IF(N($AL58)&gt;0,INDEX(rLim_ADM,$AL58),"")</f>
        <v/>
      </c>
      <c r="G58" s="59" t="n"/>
      <c r="H58" s="60" t="n"/>
      <c r="I58" s="60" t="n"/>
      <c r="J58" s="60" t="n"/>
      <c r="K58" s="60" t="n"/>
      <c r="L58" s="60" t="n"/>
      <c r="M58" s="61">
        <f>IF(NOT((COUNTA($B58:$D58)+COUNTA($G58:$L58)+COUNTA($Q58))&gt;0),"",IF(ISNUMBER($G58),1,IF(N($W58)&gt;0,AVERAGEIFS($X$5:$X$1000,$U$5:$U$1000,ROW(),$V$5:$V$1000,"Sub"),$X58)))</f>
        <v/>
      </c>
      <c r="N58" s="56">
        <f>IF($M58="","",IF($M58&gt;=1,"Completado",IF($M58&gt;0,"En curso","Pendiente")))</f>
        <v/>
      </c>
      <c r="O58" s="56">
        <f>IF(NOT((COUNTA($B58:$D58)+COUNTA($G58:$L58)+COUNTA($Q58))&gt;0),"",IF(ISNUMBER($G58),IF(AND(ISNUMBER($AN58),$G58&gt;$AN58),"Cumplida con "&amp;($G58-$AN58)&amp;IF($G58-$AN58=1," día"," días")&amp;" de retraso","Cumplida"),IF(N($M58)&gt;=1,"Cumplida",IF(NOT(ISNUMBER($AN58)),"Sin fecha límite",IF($AN58&lt;FechaRef,"Vencida hace "&amp;(FechaRef-$AN58)&amp;IF(FechaRef-$AN58=1," día"," días"),IF($AN58=FechaRef,"Vence hoy",IF($AN58-FechaRef&lt;=DiasAlerta,"Vence en "&amp;($AN58-FechaRef)&amp;IF($AN58-FechaRef=1," día"," días"),"En plazo")))))))</f>
        <v/>
      </c>
      <c r="P58" s="62" t="n"/>
      <c r="Q58" s="58" t="n"/>
      <c r="R58" s="63">
        <f>IF(NOT((COUNTA($B58:$D58)+COUNTA($G58:$L58)+COUNTA($Q58))&gt;0),"",IF((IF($C58="","Falta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",""))="","✔ OK","⚠ "&amp;LEFT(IF($C58="","Falta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",""),LEN(IF($C58="","Falta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",""))-3)))</f>
        <v/>
      </c>
      <c r="S58" s="64">
        <f>IF(NOT((COUNTA($B58:$D58)+COUNTA($G58:$L58)+COUNTA($Q58))&gt;0),"",IF(AND($V58="Sub",N($U58)&gt;0),IF(ISNUMBER(INDEX($AM$5:$AM$1000,$U58-4)),DATE(YEAR(INDEX($AM$5:$AM$1000,$U58-4)),MONTH(INDEX($AM$5:$AM$1000,$U58-4)),1),IF(ISNUMBER(INDEX($AN$5:$AN$1000,$U58-4)),DATE(YEAR(INDEX($AN$5:$AN$1000,$U58-4)),MONTH(INDEX($AN$5:$AN$1000,$U58-4)),1),MesCiclo)),IF(ISNUMBER($AM58),DATE(YEAR($AM58),MONTH($AM58),1),IF(ISNUMBER($AN58),DATE(YEAR($AN58),MONTH($AN58),1),MesCiclo))))</f>
        <v/>
      </c>
      <c r="T58" s="62">
        <f>IF(OR($S58="",$S58&lt;&gt;MesCiclo),"",COUNTIF($S$5:$S58,MesCiclo))</f>
        <v/>
      </c>
      <c r="U58" s="62">
        <f>IF($V58="","",IF($V58="Macro",ROW(),IFERROR(LOOKUP(2,1/($V$5:$V58="Macro"),ROW($V$5:$V58)),0)))</f>
        <v/>
      </c>
      <c r="V58" s="62">
        <f>IF(NOT((COUNTA($B58:$D58)+COUNTA($G58:$L58)+COUNTA($Q58))&gt;0),"",IF($B58="Subactividad","Sub","Macro"))</f>
        <v/>
      </c>
      <c r="W58" s="62">
        <f>IF($V58="Macro",COUNTIFS($U$5:$U$1000,ROW(),$V$5:$V$1000,"Sub"),"")</f>
        <v/>
      </c>
      <c r="X58" s="62">
        <f>IF($V58="","",IF(ISNUMBER($G58),1,IFERROR(LOOKUP(2,1/($I58:$L58&lt;&gt;""),$I58:$L58),0)))</f>
        <v/>
      </c>
      <c r="Y58" s="62">
        <f>IF($V58="","",IF(AND(ISNUMBER($G58),$G58&lt;=IF($S58=MesCiclo,InicioCiclo,$S58+MOD(2-WEEKDAY($S58),7))+6),1,IF(ISNUMBER($I58),$I58,0)))</f>
        <v/>
      </c>
      <c r="Z58" s="62">
        <f>IF($V58="","",IF(AND(ISNUMBER($G58),$G58&lt;=IF($S58=MesCiclo,InicioCiclo,$S58+MOD(2-WEEKDAY($S58),7))+13),1,IF(ISNUMBER($J58),$J58,$Y58)))</f>
        <v/>
      </c>
      <c r="AA58" s="62">
        <f>IF($V58="","",IF(AND(ISNUMBER($G58),$G58&lt;=IF($S58=MesCiclo,InicioCiclo,$S58+MOD(2-WEEKDAY($S58),7))+20),1,IF(ISNUMBER($K58),$K58,$Z58)))</f>
        <v/>
      </c>
      <c r="AB58" s="62">
        <f>IF($V58="","",IF(AND(ISNUMBER($G58),$G58&lt;=IF($S58=MesCiclo,InicioCiclo,$S58+MOD(2-WEEKDAY($S58),7))+27),1,IF(ISNUMBER($L58),$L58,$AA58)))</f>
        <v/>
      </c>
      <c r="AC58" s="62">
        <f>IF($V58="","",IF(AND(ISNUMBER($G58),$G58&lt;=IF($S58=MesCiclo,InicioCiclo,$S58+MOD(2-WEEKDAY($S58),7))+6),1,IF(N($W58)&gt;0,AVERAGEIFS($Y$5:$Y$1000,$U$5:$U$1000,ROW(),$V$5:$V$1000,"Sub"),$Y58)))</f>
        <v/>
      </c>
      <c r="AD58" s="62">
        <f>IF($V58="","",IF(AND(ISNUMBER($G58),$G58&lt;=IF($S58=MesCiclo,InicioCiclo,$S58+MOD(2-WEEKDAY($S58),7))+13),1,IF(N($W58)&gt;0,AVERAGEIFS($Z$5:$Z$1000,$U$5:$U$1000,ROW(),$V$5:$V$1000,"Sub"),$Z58)))</f>
        <v/>
      </c>
      <c r="AE58" s="62">
        <f>IF($V58="","",IF(AND(ISNUMBER($G58),$G58&lt;=IF($S58=MesCiclo,InicioCiclo,$S58+MOD(2-WEEKDAY($S58),7))+20),1,IF(N($W58)&gt;0,AVERAGEIFS($AA$5:$AA$1000,$U$5:$U$1000,ROW(),$V$5:$V$1000,"Sub"),$AA58)))</f>
        <v/>
      </c>
      <c r="AF58" s="62">
        <f>IF($V58="","",IF(AND(ISNUMBER($G58),$G58&lt;=IF($S58=MesCiclo,InicioCiclo,$S58+MOD(2-WEEKDAY($S58),7))+27),1,IF(N($W58)&gt;0,AVERAGEIFS($AB$5:$AB$1000,$U$5:$U$1000,ROW(),$V$5:$V$1000,"Sub"),$AB58)))</f>
        <v/>
      </c>
      <c r="AG58" s="62">
        <f>IF($V58&lt;&gt;"Macro","",IF(COUNTIFS($S$5:$S$1000,$S58,$V$5:$V$1000,"Macro",$H$5:$H$1000,"&gt;0")=0,1/COUNTIFS($S$5:$S$1000,$S58,$V$5:$V$1000,"Macro"),IF(AND(ISNUMBER($H58),N($H58)&gt;0),$H58,SUMIFS($H$5:$H$1000,$S$5:$S$1000,$S58,$V$5:$V$1000,"Macro")/COUNTIFS($S$5:$S$1000,$S58,$V$5:$V$1000,"Macro",$H$5:$H$1000,"&gt;0"))/(COUNTIFS($S$5:$S$1000,$S58,$V$5:$V$1000,"Macro")*SUMIFS($H$5:$H$1000,$S$5:$S$1000,$S58,$V$5:$V$1000,"Macro")/COUNTIFS($S$5:$S$1000,$S58,$V$5:$V$1000,"Macro",$H$5:$H$1000,"&gt;0"))))</f>
        <v/>
      </c>
      <c r="AH58" s="62" t="n"/>
      <c r="AI58" s="62" t="n"/>
      <c r="AJ58" s="62" t="n"/>
      <c r="AK58" s="62" t="n"/>
      <c r="AL58" s="62">
        <f>IF(LEFT($C58,11)="[Jefatura] ",IFERROR(MATCH("Asistente Técnico de Riesgo|"&amp;MID($C58,12,500),rDname_ADM,0),0),"")</f>
        <v/>
      </c>
      <c r="AM58" s="62">
        <f>IF(N($AL58)&gt;0,INDEX(rIni_ADM,$AL58),IF(ISNUMBER($E58),$E58,""))</f>
        <v/>
      </c>
      <c r="AN58" s="62">
        <f>IF(N($AL58)&gt;0,INDEX(rLim_ADM,$AL58),IF(ISNUMBER($F58),$F58,""))</f>
        <v/>
      </c>
    </row>
    <row r="59">
      <c r="A59" s="56">
        <f>IF(NOT((COUNTA($B59:$D59)+COUNTA($G59:$L59)+COUNTA($Q59))&gt;0),"",IF($V59="Macro",COUNTIFS($V$5:$V59,"Macro",$S$5:$S59,$S59),IF(N($U59)=0,"?",COUNTIFS(INDEX($V$5:$V$1000,1):INDEX($V$5:$V$1000,$U59-4),"Macro",INDEX($S$5:$S$1000,1):INDEX($S$5:$S$1000,$U59-4),INDEX($S$5:$S$1000,$U59-4))&amp;"."&amp;COUNTIFS($U$5:$U59,$U59,$V$5:$V59,"Sub"))))</f>
        <v/>
      </c>
      <c r="B59" s="57" t="n"/>
      <c r="C59" s="58" t="n"/>
      <c r="D59" s="58" t="n"/>
      <c r="E59" s="59">
        <f>IF(N($AL59)&gt;0,INDEX(rIni_ADM,$AL59),"")</f>
        <v/>
      </c>
      <c r="F59" s="59">
        <f>IF(N($AL59)&gt;0,INDEX(rLim_ADM,$AL59),"")</f>
        <v/>
      </c>
      <c r="G59" s="59" t="n"/>
      <c r="H59" s="60" t="n"/>
      <c r="I59" s="60" t="n"/>
      <c r="J59" s="60" t="n"/>
      <c r="K59" s="60" t="n"/>
      <c r="L59" s="60" t="n"/>
      <c r="M59" s="61">
        <f>IF(NOT((COUNTA($B59:$D59)+COUNTA($G59:$L59)+COUNTA($Q59))&gt;0),"",IF(ISNUMBER($G59),1,IF(N($W59)&gt;0,AVERAGEIFS($X$5:$X$1000,$U$5:$U$1000,ROW(),$V$5:$V$1000,"Sub"),$X59)))</f>
        <v/>
      </c>
      <c r="N59" s="56">
        <f>IF($M59="","",IF($M59&gt;=1,"Completado",IF($M59&gt;0,"En curso","Pendiente")))</f>
        <v/>
      </c>
      <c r="O59" s="56">
        <f>IF(NOT((COUNTA($B59:$D59)+COUNTA($G59:$L59)+COUNTA($Q59))&gt;0),"",IF(ISNUMBER($G59),IF(AND(ISNUMBER($AN59),$G59&gt;$AN59),"Cumplida con "&amp;($G59-$AN59)&amp;IF($G59-$AN59=1," día"," días")&amp;" de retraso","Cumplida"),IF(N($M59)&gt;=1,"Cumplida",IF(NOT(ISNUMBER($AN59)),"Sin fecha límite",IF($AN59&lt;FechaRef,"Vencida hace "&amp;(FechaRef-$AN59)&amp;IF(FechaRef-$AN59=1," día"," días"),IF($AN59=FechaRef,"Vence hoy",IF($AN59-FechaRef&lt;=DiasAlerta,"Vence en "&amp;($AN59-FechaRef)&amp;IF($AN59-FechaRef=1," día"," días"),"En plazo")))))))</f>
        <v/>
      </c>
      <c r="P59" s="62" t="n"/>
      <c r="Q59" s="58" t="n"/>
      <c r="R59" s="63">
        <f>IF(NOT((COUNTA($B59:$D59)+COUNTA($G59:$L59)+COUNTA($Q59))&gt;0),"",IF((IF($C59="","Falta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",""))="","✔ OK","⚠ "&amp;LEFT(IF($C59="","Falta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",""),LEN(IF($C59="","Falta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",""))-3)))</f>
        <v/>
      </c>
      <c r="S59" s="64">
        <f>IF(NOT((COUNTA($B59:$D59)+COUNTA($G59:$L59)+COUNTA($Q59))&gt;0),"",IF(AND($V59="Sub",N($U59)&gt;0),IF(ISNUMBER(INDEX($AM$5:$AM$1000,$U59-4)),DATE(YEAR(INDEX($AM$5:$AM$1000,$U59-4)),MONTH(INDEX($AM$5:$AM$1000,$U59-4)),1),IF(ISNUMBER(INDEX($AN$5:$AN$1000,$U59-4)),DATE(YEAR(INDEX($AN$5:$AN$1000,$U59-4)),MONTH(INDEX($AN$5:$AN$1000,$U59-4)),1),MesCiclo)),IF(ISNUMBER($AM59),DATE(YEAR($AM59),MONTH($AM59),1),IF(ISNUMBER($AN59),DATE(YEAR($AN59),MONTH($AN59),1),MesCiclo))))</f>
        <v/>
      </c>
      <c r="T59" s="62">
        <f>IF(OR($S59="",$S59&lt;&gt;MesCiclo),"",COUNTIF($S$5:$S59,MesCiclo))</f>
        <v/>
      </c>
      <c r="U59" s="62">
        <f>IF($V59="","",IF($V59="Macro",ROW(),IFERROR(LOOKUP(2,1/($V$5:$V59="Macro"),ROW($V$5:$V59)),0)))</f>
        <v/>
      </c>
      <c r="V59" s="62">
        <f>IF(NOT((COUNTA($B59:$D59)+COUNTA($G59:$L59)+COUNTA($Q59))&gt;0),"",IF($B59="Subactividad","Sub","Macro"))</f>
        <v/>
      </c>
      <c r="W59" s="62">
        <f>IF($V59="Macro",COUNTIFS($U$5:$U$1000,ROW(),$V$5:$V$1000,"Sub"),"")</f>
        <v/>
      </c>
      <c r="X59" s="62">
        <f>IF($V59="","",IF(ISNUMBER($G59),1,IFERROR(LOOKUP(2,1/($I59:$L59&lt;&gt;""),$I59:$L59),0)))</f>
        <v/>
      </c>
      <c r="Y59" s="62">
        <f>IF($V59="","",IF(AND(ISNUMBER($G59),$G59&lt;=IF($S59=MesCiclo,InicioCiclo,$S59+MOD(2-WEEKDAY($S59),7))+6),1,IF(ISNUMBER($I59),$I59,0)))</f>
        <v/>
      </c>
      <c r="Z59" s="62">
        <f>IF($V59="","",IF(AND(ISNUMBER($G59),$G59&lt;=IF($S59=MesCiclo,InicioCiclo,$S59+MOD(2-WEEKDAY($S59),7))+13),1,IF(ISNUMBER($J59),$J59,$Y59)))</f>
        <v/>
      </c>
      <c r="AA59" s="62">
        <f>IF($V59="","",IF(AND(ISNUMBER($G59),$G59&lt;=IF($S59=MesCiclo,InicioCiclo,$S59+MOD(2-WEEKDAY($S59),7))+20),1,IF(ISNUMBER($K59),$K59,$Z59)))</f>
        <v/>
      </c>
      <c r="AB59" s="62">
        <f>IF($V59="","",IF(AND(ISNUMBER($G59),$G59&lt;=IF($S59=MesCiclo,InicioCiclo,$S59+MOD(2-WEEKDAY($S59),7))+27),1,IF(ISNUMBER($L59),$L59,$AA59)))</f>
        <v/>
      </c>
      <c r="AC59" s="62">
        <f>IF($V59="","",IF(AND(ISNUMBER($G59),$G59&lt;=IF($S59=MesCiclo,InicioCiclo,$S59+MOD(2-WEEKDAY($S59),7))+6),1,IF(N($W59)&gt;0,AVERAGEIFS($Y$5:$Y$1000,$U$5:$U$1000,ROW(),$V$5:$V$1000,"Sub"),$Y59)))</f>
        <v/>
      </c>
      <c r="AD59" s="62">
        <f>IF($V59="","",IF(AND(ISNUMBER($G59),$G59&lt;=IF($S59=MesCiclo,InicioCiclo,$S59+MOD(2-WEEKDAY($S59),7))+13),1,IF(N($W59)&gt;0,AVERAGEIFS($Z$5:$Z$1000,$U$5:$U$1000,ROW(),$V$5:$V$1000,"Sub"),$Z59)))</f>
        <v/>
      </c>
      <c r="AE59" s="62">
        <f>IF($V59="","",IF(AND(ISNUMBER($G59),$G59&lt;=IF($S59=MesCiclo,InicioCiclo,$S59+MOD(2-WEEKDAY($S59),7))+20),1,IF(N($W59)&gt;0,AVERAGEIFS($AA$5:$AA$1000,$U$5:$U$1000,ROW(),$V$5:$V$1000,"Sub"),$AA59)))</f>
        <v/>
      </c>
      <c r="AF59" s="62">
        <f>IF($V59="","",IF(AND(ISNUMBER($G59),$G59&lt;=IF($S59=MesCiclo,InicioCiclo,$S59+MOD(2-WEEKDAY($S59),7))+27),1,IF(N($W59)&gt;0,AVERAGEIFS($AB$5:$AB$1000,$U$5:$U$1000,ROW(),$V$5:$V$1000,"Sub"),$AB59)))</f>
        <v/>
      </c>
      <c r="AG59" s="62">
        <f>IF($V59&lt;&gt;"Macro","",IF(COUNTIFS($S$5:$S$1000,$S59,$V$5:$V$1000,"Macro",$H$5:$H$1000,"&gt;0")=0,1/COUNTIFS($S$5:$S$1000,$S59,$V$5:$V$1000,"Macro"),IF(AND(ISNUMBER($H59),N($H59)&gt;0),$H59,SUMIFS($H$5:$H$1000,$S$5:$S$1000,$S59,$V$5:$V$1000,"Macro")/COUNTIFS($S$5:$S$1000,$S59,$V$5:$V$1000,"Macro",$H$5:$H$1000,"&gt;0"))/(COUNTIFS($S$5:$S$1000,$S59,$V$5:$V$1000,"Macro")*SUMIFS($H$5:$H$1000,$S$5:$S$1000,$S59,$V$5:$V$1000,"Macro")/COUNTIFS($S$5:$S$1000,$S59,$V$5:$V$1000,"Macro",$H$5:$H$1000,"&gt;0"))))</f>
        <v/>
      </c>
      <c r="AH59" s="62" t="n"/>
      <c r="AI59" s="62" t="n"/>
      <c r="AJ59" s="62" t="n"/>
      <c r="AK59" s="62" t="n"/>
      <c r="AL59" s="62">
        <f>IF(LEFT($C59,11)="[Jefatura] ",IFERROR(MATCH("Asistente Técnico de Riesgo|"&amp;MID($C59,12,500),rDname_ADM,0),0),"")</f>
        <v/>
      </c>
      <c r="AM59" s="62">
        <f>IF(N($AL59)&gt;0,INDEX(rIni_ADM,$AL59),IF(ISNUMBER($E59),$E59,""))</f>
        <v/>
      </c>
      <c r="AN59" s="62">
        <f>IF(N($AL59)&gt;0,INDEX(rLim_ADM,$AL59),IF(ISNUMBER($F59),$F59,""))</f>
        <v/>
      </c>
    </row>
    <row r="60">
      <c r="A60" s="56">
        <f>IF(NOT((COUNTA($B60:$D60)+COUNTA($G60:$L60)+COUNTA($Q60))&gt;0),"",IF($V60="Macro",COUNTIFS($V$5:$V60,"Macro",$S$5:$S60,$S60),IF(N($U60)=0,"?",COUNTIFS(INDEX($V$5:$V$1000,1):INDEX($V$5:$V$1000,$U60-4),"Macro",INDEX($S$5:$S$1000,1):INDEX($S$5:$S$1000,$U60-4),INDEX($S$5:$S$1000,$U60-4))&amp;"."&amp;COUNTIFS($U$5:$U60,$U60,$V$5:$V60,"Sub"))))</f>
        <v/>
      </c>
      <c r="B60" s="57" t="n"/>
      <c r="C60" s="58" t="n"/>
      <c r="D60" s="58" t="n"/>
      <c r="E60" s="59">
        <f>IF(N($AL60)&gt;0,INDEX(rIni_ADM,$AL60),"")</f>
        <v/>
      </c>
      <c r="F60" s="59">
        <f>IF(N($AL60)&gt;0,INDEX(rLim_ADM,$AL60),"")</f>
        <v/>
      </c>
      <c r="G60" s="59" t="n"/>
      <c r="H60" s="60" t="n"/>
      <c r="I60" s="60" t="n"/>
      <c r="J60" s="60" t="n"/>
      <c r="K60" s="60" t="n"/>
      <c r="L60" s="60" t="n"/>
      <c r="M60" s="61">
        <f>IF(NOT((COUNTA($B60:$D60)+COUNTA($G60:$L60)+COUNTA($Q60))&gt;0),"",IF(ISNUMBER($G60),1,IF(N($W60)&gt;0,AVERAGEIFS($X$5:$X$1000,$U$5:$U$1000,ROW(),$V$5:$V$1000,"Sub"),$X60)))</f>
        <v/>
      </c>
      <c r="N60" s="56">
        <f>IF($M60="","",IF($M60&gt;=1,"Completado",IF($M60&gt;0,"En curso","Pendiente")))</f>
        <v/>
      </c>
      <c r="O60" s="56">
        <f>IF(NOT((COUNTA($B60:$D60)+COUNTA($G60:$L60)+COUNTA($Q60))&gt;0),"",IF(ISNUMBER($G60),IF(AND(ISNUMBER($AN60),$G60&gt;$AN60),"Cumplida con "&amp;($G60-$AN60)&amp;IF($G60-$AN60=1," día"," días")&amp;" de retraso","Cumplida"),IF(N($M60)&gt;=1,"Cumplida",IF(NOT(ISNUMBER($AN60)),"Sin fecha límite",IF($AN60&lt;FechaRef,"Vencida hace "&amp;(FechaRef-$AN60)&amp;IF(FechaRef-$AN60=1," día"," días"),IF($AN60=FechaRef,"Vence hoy",IF($AN60-FechaRef&lt;=DiasAlerta,"Vence en "&amp;($AN60-FechaRef)&amp;IF($AN60-FechaRef=1," día"," días"),"En plazo")))))))</f>
        <v/>
      </c>
      <c r="P60" s="62" t="n"/>
      <c r="Q60" s="58" t="n"/>
      <c r="R60" s="63">
        <f>IF(NOT((COUNTA($B60:$D60)+COUNTA($G60:$L60)+COUNTA($Q60))&gt;0),"",IF((IF($C60="","Falta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",""))="","✔ OK","⚠ "&amp;LEFT(IF($C60="","Falta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",""),LEN(IF($C60="","Falta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",""))-3)))</f>
        <v/>
      </c>
      <c r="S60" s="64">
        <f>IF(NOT((COUNTA($B60:$D60)+COUNTA($G60:$L60)+COUNTA($Q60))&gt;0),"",IF(AND($V60="Sub",N($U60)&gt;0),IF(ISNUMBER(INDEX($AM$5:$AM$1000,$U60-4)),DATE(YEAR(INDEX($AM$5:$AM$1000,$U60-4)),MONTH(INDEX($AM$5:$AM$1000,$U60-4)),1),IF(ISNUMBER(INDEX($AN$5:$AN$1000,$U60-4)),DATE(YEAR(INDEX($AN$5:$AN$1000,$U60-4)),MONTH(INDEX($AN$5:$AN$1000,$U60-4)),1),MesCiclo)),IF(ISNUMBER($AM60),DATE(YEAR($AM60),MONTH($AM60),1),IF(ISNUMBER($AN60),DATE(YEAR($AN60),MONTH($AN60),1),MesCiclo))))</f>
        <v/>
      </c>
      <c r="T60" s="62">
        <f>IF(OR($S60="",$S60&lt;&gt;MesCiclo),"",COUNTIF($S$5:$S60,MesCiclo))</f>
        <v/>
      </c>
      <c r="U60" s="62">
        <f>IF($V60="","",IF($V60="Macro",ROW(),IFERROR(LOOKUP(2,1/($V$5:$V60="Macro"),ROW($V$5:$V60)),0)))</f>
        <v/>
      </c>
      <c r="V60" s="62">
        <f>IF(NOT((COUNTA($B60:$D60)+COUNTA($G60:$L60)+COUNTA($Q60))&gt;0),"",IF($B60="Subactividad","Sub","Macro"))</f>
        <v/>
      </c>
      <c r="W60" s="62">
        <f>IF($V60="Macro",COUNTIFS($U$5:$U$1000,ROW(),$V$5:$V$1000,"Sub"),"")</f>
        <v/>
      </c>
      <c r="X60" s="62">
        <f>IF($V60="","",IF(ISNUMBER($G60),1,IFERROR(LOOKUP(2,1/($I60:$L60&lt;&gt;""),$I60:$L60),0)))</f>
        <v/>
      </c>
      <c r="Y60" s="62">
        <f>IF($V60="","",IF(AND(ISNUMBER($G60),$G60&lt;=IF($S60=MesCiclo,InicioCiclo,$S60+MOD(2-WEEKDAY($S60),7))+6),1,IF(ISNUMBER($I60),$I60,0)))</f>
        <v/>
      </c>
      <c r="Z60" s="62">
        <f>IF($V60="","",IF(AND(ISNUMBER($G60),$G60&lt;=IF($S60=MesCiclo,InicioCiclo,$S60+MOD(2-WEEKDAY($S60),7))+13),1,IF(ISNUMBER($J60),$J60,$Y60)))</f>
        <v/>
      </c>
      <c r="AA60" s="62">
        <f>IF($V60="","",IF(AND(ISNUMBER($G60),$G60&lt;=IF($S60=MesCiclo,InicioCiclo,$S60+MOD(2-WEEKDAY($S60),7))+20),1,IF(ISNUMBER($K60),$K60,$Z60)))</f>
        <v/>
      </c>
      <c r="AB60" s="62">
        <f>IF($V60="","",IF(AND(ISNUMBER($G60),$G60&lt;=IF($S60=MesCiclo,InicioCiclo,$S60+MOD(2-WEEKDAY($S60),7))+27),1,IF(ISNUMBER($L60),$L60,$AA60)))</f>
        <v/>
      </c>
      <c r="AC60" s="62">
        <f>IF($V60="","",IF(AND(ISNUMBER($G60),$G60&lt;=IF($S60=MesCiclo,InicioCiclo,$S60+MOD(2-WEEKDAY($S60),7))+6),1,IF(N($W60)&gt;0,AVERAGEIFS($Y$5:$Y$1000,$U$5:$U$1000,ROW(),$V$5:$V$1000,"Sub"),$Y60)))</f>
        <v/>
      </c>
      <c r="AD60" s="62">
        <f>IF($V60="","",IF(AND(ISNUMBER($G60),$G60&lt;=IF($S60=MesCiclo,InicioCiclo,$S60+MOD(2-WEEKDAY($S60),7))+13),1,IF(N($W60)&gt;0,AVERAGEIFS($Z$5:$Z$1000,$U$5:$U$1000,ROW(),$V$5:$V$1000,"Sub"),$Z60)))</f>
        <v/>
      </c>
      <c r="AE60" s="62">
        <f>IF($V60="","",IF(AND(ISNUMBER($G60),$G60&lt;=IF($S60=MesCiclo,InicioCiclo,$S60+MOD(2-WEEKDAY($S60),7))+20),1,IF(N($W60)&gt;0,AVERAGEIFS($AA$5:$AA$1000,$U$5:$U$1000,ROW(),$V$5:$V$1000,"Sub"),$AA60)))</f>
        <v/>
      </c>
      <c r="AF60" s="62">
        <f>IF($V60="","",IF(AND(ISNUMBER($G60),$G60&lt;=IF($S60=MesCiclo,InicioCiclo,$S60+MOD(2-WEEKDAY($S60),7))+27),1,IF(N($W60)&gt;0,AVERAGEIFS($AB$5:$AB$1000,$U$5:$U$1000,ROW(),$V$5:$V$1000,"Sub"),$AB60)))</f>
        <v/>
      </c>
      <c r="AG60" s="62">
        <f>IF($V60&lt;&gt;"Macro","",IF(COUNTIFS($S$5:$S$1000,$S60,$V$5:$V$1000,"Macro",$H$5:$H$1000,"&gt;0")=0,1/COUNTIFS($S$5:$S$1000,$S60,$V$5:$V$1000,"Macro"),IF(AND(ISNUMBER($H60),N($H60)&gt;0),$H60,SUMIFS($H$5:$H$1000,$S$5:$S$1000,$S60,$V$5:$V$1000,"Macro")/COUNTIFS($S$5:$S$1000,$S60,$V$5:$V$1000,"Macro",$H$5:$H$1000,"&gt;0"))/(COUNTIFS($S$5:$S$1000,$S60,$V$5:$V$1000,"Macro")*SUMIFS($H$5:$H$1000,$S$5:$S$1000,$S60,$V$5:$V$1000,"Macro")/COUNTIFS($S$5:$S$1000,$S60,$V$5:$V$1000,"Macro",$H$5:$H$1000,"&gt;0"))))</f>
        <v/>
      </c>
      <c r="AH60" s="62" t="n"/>
      <c r="AI60" s="62" t="n"/>
      <c r="AJ60" s="62" t="n"/>
      <c r="AK60" s="62" t="n"/>
      <c r="AL60" s="62">
        <f>IF(LEFT($C60,11)="[Jefatura] ",IFERROR(MATCH("Asistente Técnico de Riesgo|"&amp;MID($C60,12,500),rDname_ADM,0),0),"")</f>
        <v/>
      </c>
      <c r="AM60" s="62">
        <f>IF(N($AL60)&gt;0,INDEX(rIni_ADM,$AL60),IF(ISNUMBER($E60),$E60,""))</f>
        <v/>
      </c>
      <c r="AN60" s="62">
        <f>IF(N($AL60)&gt;0,INDEX(rLim_ADM,$AL60),IF(ISNUMBER($F60),$F60,""))</f>
        <v/>
      </c>
    </row>
    <row r="61">
      <c r="A61" s="56">
        <f>IF(NOT((COUNTA($B61:$D61)+COUNTA($G61:$L61)+COUNTA($Q61))&gt;0),"",IF($V61="Macro",COUNTIFS($V$5:$V61,"Macro",$S$5:$S61,$S61),IF(N($U61)=0,"?",COUNTIFS(INDEX($V$5:$V$1000,1):INDEX($V$5:$V$1000,$U61-4),"Macro",INDEX($S$5:$S$1000,1):INDEX($S$5:$S$1000,$U61-4),INDEX($S$5:$S$1000,$U61-4))&amp;"."&amp;COUNTIFS($U$5:$U61,$U61,$V$5:$V61,"Sub"))))</f>
        <v/>
      </c>
      <c r="B61" s="57" t="n"/>
      <c r="C61" s="58" t="n"/>
      <c r="D61" s="58" t="n"/>
      <c r="E61" s="59">
        <f>IF(N($AL61)&gt;0,INDEX(rIni_ADM,$AL61),"")</f>
        <v/>
      </c>
      <c r="F61" s="59">
        <f>IF(N($AL61)&gt;0,INDEX(rLim_ADM,$AL61),"")</f>
        <v/>
      </c>
      <c r="G61" s="59" t="n"/>
      <c r="H61" s="60" t="n"/>
      <c r="I61" s="60" t="n"/>
      <c r="J61" s="60" t="n"/>
      <c r="K61" s="60" t="n"/>
      <c r="L61" s="60" t="n"/>
      <c r="M61" s="61">
        <f>IF(NOT((COUNTA($B61:$D61)+COUNTA($G61:$L61)+COUNTA($Q61))&gt;0),"",IF(ISNUMBER($G61),1,IF(N($W61)&gt;0,AVERAGEIFS($X$5:$X$1000,$U$5:$U$1000,ROW(),$V$5:$V$1000,"Sub"),$X61)))</f>
        <v/>
      </c>
      <c r="N61" s="56">
        <f>IF($M61="","",IF($M61&gt;=1,"Completado",IF($M61&gt;0,"En curso","Pendiente")))</f>
        <v/>
      </c>
      <c r="O61" s="56">
        <f>IF(NOT((COUNTA($B61:$D61)+COUNTA($G61:$L61)+COUNTA($Q61))&gt;0),"",IF(ISNUMBER($G61),IF(AND(ISNUMBER($AN61),$G61&gt;$AN61),"Cumplida con "&amp;($G61-$AN61)&amp;IF($G61-$AN61=1," día"," días")&amp;" de retraso","Cumplida"),IF(N($M61)&gt;=1,"Cumplida",IF(NOT(ISNUMBER($AN61)),"Sin fecha límite",IF($AN61&lt;FechaRef,"Vencida hace "&amp;(FechaRef-$AN61)&amp;IF(FechaRef-$AN61=1," día"," días"),IF($AN61=FechaRef,"Vence hoy",IF($AN61-FechaRef&lt;=DiasAlerta,"Vence en "&amp;($AN61-FechaRef)&amp;IF($AN61-FechaRef=1," día"," días"),"En plazo")))))))</f>
        <v/>
      </c>
      <c r="P61" s="62" t="n"/>
      <c r="Q61" s="58" t="n"/>
      <c r="R61" s="63">
        <f>IF(NOT((COUNTA($B61:$D61)+COUNTA($G61:$L61)+COUNTA($Q61))&gt;0),"",IF((IF($C61="","Falta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",""))="","✔ OK","⚠ "&amp;LEFT(IF($C61="","Falta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",""),LEN(IF($C61="","Falta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",""))-3)))</f>
        <v/>
      </c>
      <c r="S61" s="64">
        <f>IF(NOT((COUNTA($B61:$D61)+COUNTA($G61:$L61)+COUNTA($Q61))&gt;0),"",IF(AND($V61="Sub",N($U61)&gt;0),IF(ISNUMBER(INDEX($AM$5:$AM$1000,$U61-4)),DATE(YEAR(INDEX($AM$5:$AM$1000,$U61-4)),MONTH(INDEX($AM$5:$AM$1000,$U61-4)),1),IF(ISNUMBER(INDEX($AN$5:$AN$1000,$U61-4)),DATE(YEAR(INDEX($AN$5:$AN$1000,$U61-4)),MONTH(INDEX($AN$5:$AN$1000,$U61-4)),1),MesCiclo)),IF(ISNUMBER($AM61),DATE(YEAR($AM61),MONTH($AM61),1),IF(ISNUMBER($AN61),DATE(YEAR($AN61),MONTH($AN61),1),MesCiclo))))</f>
        <v/>
      </c>
      <c r="T61" s="62">
        <f>IF(OR($S61="",$S61&lt;&gt;MesCiclo),"",COUNTIF($S$5:$S61,MesCiclo))</f>
        <v/>
      </c>
      <c r="U61" s="62">
        <f>IF($V61="","",IF($V61="Macro",ROW(),IFERROR(LOOKUP(2,1/($V$5:$V61="Macro"),ROW($V$5:$V61)),0)))</f>
        <v/>
      </c>
      <c r="V61" s="62">
        <f>IF(NOT((COUNTA($B61:$D61)+COUNTA($G61:$L61)+COUNTA($Q61))&gt;0),"",IF($B61="Subactividad","Sub","Macro"))</f>
        <v/>
      </c>
      <c r="W61" s="62">
        <f>IF($V61="Macro",COUNTIFS($U$5:$U$1000,ROW(),$V$5:$V$1000,"Sub"),"")</f>
        <v/>
      </c>
      <c r="X61" s="62">
        <f>IF($V61="","",IF(ISNUMBER($G61),1,IFERROR(LOOKUP(2,1/($I61:$L61&lt;&gt;""),$I61:$L61),0)))</f>
        <v/>
      </c>
      <c r="Y61" s="62">
        <f>IF($V61="","",IF(AND(ISNUMBER($G61),$G61&lt;=IF($S61=MesCiclo,InicioCiclo,$S61+MOD(2-WEEKDAY($S61),7))+6),1,IF(ISNUMBER($I61),$I61,0)))</f>
        <v/>
      </c>
      <c r="Z61" s="62">
        <f>IF($V61="","",IF(AND(ISNUMBER($G61),$G61&lt;=IF($S61=MesCiclo,InicioCiclo,$S61+MOD(2-WEEKDAY($S61),7))+13),1,IF(ISNUMBER($J61),$J61,$Y61)))</f>
        <v/>
      </c>
      <c r="AA61" s="62">
        <f>IF($V61="","",IF(AND(ISNUMBER($G61),$G61&lt;=IF($S61=MesCiclo,InicioCiclo,$S61+MOD(2-WEEKDAY($S61),7))+20),1,IF(ISNUMBER($K61),$K61,$Z61)))</f>
        <v/>
      </c>
      <c r="AB61" s="62">
        <f>IF($V61="","",IF(AND(ISNUMBER($G61),$G61&lt;=IF($S61=MesCiclo,InicioCiclo,$S61+MOD(2-WEEKDAY($S61),7))+27),1,IF(ISNUMBER($L61),$L61,$AA61)))</f>
        <v/>
      </c>
      <c r="AC61" s="62">
        <f>IF($V61="","",IF(AND(ISNUMBER($G61),$G61&lt;=IF($S61=MesCiclo,InicioCiclo,$S61+MOD(2-WEEKDAY($S61),7))+6),1,IF(N($W61)&gt;0,AVERAGEIFS($Y$5:$Y$1000,$U$5:$U$1000,ROW(),$V$5:$V$1000,"Sub"),$Y61)))</f>
        <v/>
      </c>
      <c r="AD61" s="62">
        <f>IF($V61="","",IF(AND(ISNUMBER($G61),$G61&lt;=IF($S61=MesCiclo,InicioCiclo,$S61+MOD(2-WEEKDAY($S61),7))+13),1,IF(N($W61)&gt;0,AVERAGEIFS($Z$5:$Z$1000,$U$5:$U$1000,ROW(),$V$5:$V$1000,"Sub"),$Z61)))</f>
        <v/>
      </c>
      <c r="AE61" s="62">
        <f>IF($V61="","",IF(AND(ISNUMBER($G61),$G61&lt;=IF($S61=MesCiclo,InicioCiclo,$S61+MOD(2-WEEKDAY($S61),7))+20),1,IF(N($W61)&gt;0,AVERAGEIFS($AA$5:$AA$1000,$U$5:$U$1000,ROW(),$V$5:$V$1000,"Sub"),$AA61)))</f>
        <v/>
      </c>
      <c r="AF61" s="62">
        <f>IF($V61="","",IF(AND(ISNUMBER($G61),$G61&lt;=IF($S61=MesCiclo,InicioCiclo,$S61+MOD(2-WEEKDAY($S61),7))+27),1,IF(N($W61)&gt;0,AVERAGEIFS($AB$5:$AB$1000,$U$5:$U$1000,ROW(),$V$5:$V$1000,"Sub"),$AB61)))</f>
        <v/>
      </c>
      <c r="AG61" s="62">
        <f>IF($V61&lt;&gt;"Macro","",IF(COUNTIFS($S$5:$S$1000,$S61,$V$5:$V$1000,"Macro",$H$5:$H$1000,"&gt;0")=0,1/COUNTIFS($S$5:$S$1000,$S61,$V$5:$V$1000,"Macro"),IF(AND(ISNUMBER($H61),N($H61)&gt;0),$H61,SUMIFS($H$5:$H$1000,$S$5:$S$1000,$S61,$V$5:$V$1000,"Macro")/COUNTIFS($S$5:$S$1000,$S61,$V$5:$V$1000,"Macro",$H$5:$H$1000,"&gt;0"))/(COUNTIFS($S$5:$S$1000,$S61,$V$5:$V$1000,"Macro")*SUMIFS($H$5:$H$1000,$S$5:$S$1000,$S61,$V$5:$V$1000,"Macro")/COUNTIFS($S$5:$S$1000,$S61,$V$5:$V$1000,"Macro",$H$5:$H$1000,"&gt;0"))))</f>
        <v/>
      </c>
      <c r="AH61" s="62" t="n"/>
      <c r="AI61" s="62" t="n"/>
      <c r="AJ61" s="62" t="n"/>
      <c r="AK61" s="62" t="n"/>
      <c r="AL61" s="62">
        <f>IF(LEFT($C61,11)="[Jefatura] ",IFERROR(MATCH("Asistente Técnico de Riesgo|"&amp;MID($C61,12,500),rDname_ADM,0),0),"")</f>
        <v/>
      </c>
      <c r="AM61" s="62">
        <f>IF(N($AL61)&gt;0,INDEX(rIni_ADM,$AL61),IF(ISNUMBER($E61),$E61,""))</f>
        <v/>
      </c>
      <c r="AN61" s="62">
        <f>IF(N($AL61)&gt;0,INDEX(rLim_ADM,$AL61),IF(ISNUMBER($F61),$F61,""))</f>
        <v/>
      </c>
    </row>
    <row r="62">
      <c r="A62" s="56">
        <f>IF(NOT((COUNTA($B62:$D62)+COUNTA($G62:$L62)+COUNTA($Q62))&gt;0),"",IF($V62="Macro",COUNTIFS($V$5:$V62,"Macro",$S$5:$S62,$S62),IF(N($U62)=0,"?",COUNTIFS(INDEX($V$5:$V$1000,1):INDEX($V$5:$V$1000,$U62-4),"Macro",INDEX($S$5:$S$1000,1):INDEX($S$5:$S$1000,$U62-4),INDEX($S$5:$S$1000,$U62-4))&amp;"."&amp;COUNTIFS($U$5:$U62,$U62,$V$5:$V62,"Sub"))))</f>
        <v/>
      </c>
      <c r="B62" s="57" t="n"/>
      <c r="C62" s="58" t="n"/>
      <c r="D62" s="58" t="n"/>
      <c r="E62" s="59">
        <f>IF(N($AL62)&gt;0,INDEX(rIni_ADM,$AL62),"")</f>
        <v/>
      </c>
      <c r="F62" s="59">
        <f>IF(N($AL62)&gt;0,INDEX(rLim_ADM,$AL62),"")</f>
        <v/>
      </c>
      <c r="G62" s="59" t="n"/>
      <c r="H62" s="60" t="n"/>
      <c r="I62" s="60" t="n"/>
      <c r="J62" s="60" t="n"/>
      <c r="K62" s="60" t="n"/>
      <c r="L62" s="60" t="n"/>
      <c r="M62" s="61">
        <f>IF(NOT((COUNTA($B62:$D62)+COUNTA($G62:$L62)+COUNTA($Q62))&gt;0),"",IF(ISNUMBER($G62),1,IF(N($W62)&gt;0,AVERAGEIFS($X$5:$X$1000,$U$5:$U$1000,ROW(),$V$5:$V$1000,"Sub"),$X62)))</f>
        <v/>
      </c>
      <c r="N62" s="56">
        <f>IF($M62="","",IF($M62&gt;=1,"Completado",IF($M62&gt;0,"En curso","Pendiente")))</f>
        <v/>
      </c>
      <c r="O62" s="56">
        <f>IF(NOT((COUNTA($B62:$D62)+COUNTA($G62:$L62)+COUNTA($Q62))&gt;0),"",IF(ISNUMBER($G62),IF(AND(ISNUMBER($AN62),$G62&gt;$AN62),"Cumplida con "&amp;($G62-$AN62)&amp;IF($G62-$AN62=1," día"," días")&amp;" de retraso","Cumplida"),IF(N($M62)&gt;=1,"Cumplida",IF(NOT(ISNUMBER($AN62)),"Sin fecha límite",IF($AN62&lt;FechaRef,"Vencida hace "&amp;(FechaRef-$AN62)&amp;IF(FechaRef-$AN62=1," día"," días"),IF($AN62=FechaRef,"Vence hoy",IF($AN62-FechaRef&lt;=DiasAlerta,"Vence en "&amp;($AN62-FechaRef)&amp;IF($AN62-FechaRef=1," día"," días"),"En plazo")))))))</f>
        <v/>
      </c>
      <c r="P62" s="62" t="n"/>
      <c r="Q62" s="58" t="n"/>
      <c r="R62" s="63">
        <f>IF(NOT((COUNTA($B62:$D62)+COUNTA($G62:$L62)+COUNTA($Q62))&gt;0),"",IF((IF($C62="","Falta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",""))="","✔ OK","⚠ "&amp;LEFT(IF($C62="","Falta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",""),LEN(IF($C62="","Falta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",""))-3)))</f>
        <v/>
      </c>
      <c r="S62" s="64">
        <f>IF(NOT((COUNTA($B62:$D62)+COUNTA($G62:$L62)+COUNTA($Q62))&gt;0),"",IF(AND($V62="Sub",N($U62)&gt;0),IF(ISNUMBER(INDEX($AM$5:$AM$1000,$U62-4)),DATE(YEAR(INDEX($AM$5:$AM$1000,$U62-4)),MONTH(INDEX($AM$5:$AM$1000,$U62-4)),1),IF(ISNUMBER(INDEX($AN$5:$AN$1000,$U62-4)),DATE(YEAR(INDEX($AN$5:$AN$1000,$U62-4)),MONTH(INDEX($AN$5:$AN$1000,$U62-4)),1),MesCiclo)),IF(ISNUMBER($AM62),DATE(YEAR($AM62),MONTH($AM62),1),IF(ISNUMBER($AN62),DATE(YEAR($AN62),MONTH($AN62),1),MesCiclo))))</f>
        <v/>
      </c>
      <c r="T62" s="62">
        <f>IF(OR($S62="",$S62&lt;&gt;MesCiclo),"",COUNTIF($S$5:$S62,MesCiclo))</f>
        <v/>
      </c>
      <c r="U62" s="62">
        <f>IF($V62="","",IF($V62="Macro",ROW(),IFERROR(LOOKUP(2,1/($V$5:$V62="Macro"),ROW($V$5:$V62)),0)))</f>
        <v/>
      </c>
      <c r="V62" s="62">
        <f>IF(NOT((COUNTA($B62:$D62)+COUNTA($G62:$L62)+COUNTA($Q62))&gt;0),"",IF($B62="Subactividad","Sub","Macro"))</f>
        <v/>
      </c>
      <c r="W62" s="62">
        <f>IF($V62="Macro",COUNTIFS($U$5:$U$1000,ROW(),$V$5:$V$1000,"Sub"),"")</f>
        <v/>
      </c>
      <c r="X62" s="62">
        <f>IF($V62="","",IF(ISNUMBER($G62),1,IFERROR(LOOKUP(2,1/($I62:$L62&lt;&gt;""),$I62:$L62),0)))</f>
        <v/>
      </c>
      <c r="Y62" s="62">
        <f>IF($V62="","",IF(AND(ISNUMBER($G62),$G62&lt;=IF($S62=MesCiclo,InicioCiclo,$S62+MOD(2-WEEKDAY($S62),7))+6),1,IF(ISNUMBER($I62),$I62,0)))</f>
        <v/>
      </c>
      <c r="Z62" s="62">
        <f>IF($V62="","",IF(AND(ISNUMBER($G62),$G62&lt;=IF($S62=MesCiclo,InicioCiclo,$S62+MOD(2-WEEKDAY($S62),7))+13),1,IF(ISNUMBER($J62),$J62,$Y62)))</f>
        <v/>
      </c>
      <c r="AA62" s="62">
        <f>IF($V62="","",IF(AND(ISNUMBER($G62),$G62&lt;=IF($S62=MesCiclo,InicioCiclo,$S62+MOD(2-WEEKDAY($S62),7))+20),1,IF(ISNUMBER($K62),$K62,$Z62)))</f>
        <v/>
      </c>
      <c r="AB62" s="62">
        <f>IF($V62="","",IF(AND(ISNUMBER($G62),$G62&lt;=IF($S62=MesCiclo,InicioCiclo,$S62+MOD(2-WEEKDAY($S62),7))+27),1,IF(ISNUMBER($L62),$L62,$AA62)))</f>
        <v/>
      </c>
      <c r="AC62" s="62">
        <f>IF($V62="","",IF(AND(ISNUMBER($G62),$G62&lt;=IF($S62=MesCiclo,InicioCiclo,$S62+MOD(2-WEEKDAY($S62),7))+6),1,IF(N($W62)&gt;0,AVERAGEIFS($Y$5:$Y$1000,$U$5:$U$1000,ROW(),$V$5:$V$1000,"Sub"),$Y62)))</f>
        <v/>
      </c>
      <c r="AD62" s="62">
        <f>IF($V62="","",IF(AND(ISNUMBER($G62),$G62&lt;=IF($S62=MesCiclo,InicioCiclo,$S62+MOD(2-WEEKDAY($S62),7))+13),1,IF(N($W62)&gt;0,AVERAGEIFS($Z$5:$Z$1000,$U$5:$U$1000,ROW(),$V$5:$V$1000,"Sub"),$Z62)))</f>
        <v/>
      </c>
      <c r="AE62" s="62">
        <f>IF($V62="","",IF(AND(ISNUMBER($G62),$G62&lt;=IF($S62=MesCiclo,InicioCiclo,$S62+MOD(2-WEEKDAY($S62),7))+20),1,IF(N($W62)&gt;0,AVERAGEIFS($AA$5:$AA$1000,$U$5:$U$1000,ROW(),$V$5:$V$1000,"Sub"),$AA62)))</f>
        <v/>
      </c>
      <c r="AF62" s="62">
        <f>IF($V62="","",IF(AND(ISNUMBER($G62),$G62&lt;=IF($S62=MesCiclo,InicioCiclo,$S62+MOD(2-WEEKDAY($S62),7))+27),1,IF(N($W62)&gt;0,AVERAGEIFS($AB$5:$AB$1000,$U$5:$U$1000,ROW(),$V$5:$V$1000,"Sub"),$AB62)))</f>
        <v/>
      </c>
      <c r="AG62" s="62">
        <f>IF($V62&lt;&gt;"Macro","",IF(COUNTIFS($S$5:$S$1000,$S62,$V$5:$V$1000,"Macro",$H$5:$H$1000,"&gt;0")=0,1/COUNTIFS($S$5:$S$1000,$S62,$V$5:$V$1000,"Macro"),IF(AND(ISNUMBER($H62),N($H62)&gt;0),$H62,SUMIFS($H$5:$H$1000,$S$5:$S$1000,$S62,$V$5:$V$1000,"Macro")/COUNTIFS($S$5:$S$1000,$S62,$V$5:$V$1000,"Macro",$H$5:$H$1000,"&gt;0"))/(COUNTIFS($S$5:$S$1000,$S62,$V$5:$V$1000,"Macro")*SUMIFS($H$5:$H$1000,$S$5:$S$1000,$S62,$V$5:$V$1000,"Macro")/COUNTIFS($S$5:$S$1000,$S62,$V$5:$V$1000,"Macro",$H$5:$H$1000,"&gt;0"))))</f>
        <v/>
      </c>
      <c r="AH62" s="62" t="n"/>
      <c r="AI62" s="62" t="n"/>
      <c r="AJ62" s="62" t="n"/>
      <c r="AK62" s="62" t="n"/>
      <c r="AL62" s="62">
        <f>IF(LEFT($C62,11)="[Jefatura] ",IFERROR(MATCH("Asistente Técnico de Riesgo|"&amp;MID($C62,12,500),rDname_ADM,0),0),"")</f>
        <v/>
      </c>
      <c r="AM62" s="62">
        <f>IF(N($AL62)&gt;0,INDEX(rIni_ADM,$AL62),IF(ISNUMBER($E62),$E62,""))</f>
        <v/>
      </c>
      <c r="AN62" s="62">
        <f>IF(N($AL62)&gt;0,INDEX(rLim_ADM,$AL62),IF(ISNUMBER($F62),$F62,""))</f>
        <v/>
      </c>
    </row>
    <row r="63">
      <c r="A63" s="56">
        <f>IF(NOT((COUNTA($B63:$D63)+COUNTA($G63:$L63)+COUNTA($Q63))&gt;0),"",IF($V63="Macro",COUNTIFS($V$5:$V63,"Macro",$S$5:$S63,$S63),IF(N($U63)=0,"?",COUNTIFS(INDEX($V$5:$V$1000,1):INDEX($V$5:$V$1000,$U63-4),"Macro",INDEX($S$5:$S$1000,1):INDEX($S$5:$S$1000,$U63-4),INDEX($S$5:$S$1000,$U63-4))&amp;"."&amp;COUNTIFS($U$5:$U63,$U63,$V$5:$V63,"Sub"))))</f>
        <v/>
      </c>
      <c r="B63" s="57" t="n"/>
      <c r="C63" s="58" t="n"/>
      <c r="D63" s="58" t="n"/>
      <c r="E63" s="59">
        <f>IF(N($AL63)&gt;0,INDEX(rIni_ADM,$AL63),"")</f>
        <v/>
      </c>
      <c r="F63" s="59">
        <f>IF(N($AL63)&gt;0,INDEX(rLim_ADM,$AL63),"")</f>
        <v/>
      </c>
      <c r="G63" s="59" t="n"/>
      <c r="H63" s="60" t="n"/>
      <c r="I63" s="60" t="n"/>
      <c r="J63" s="60" t="n"/>
      <c r="K63" s="60" t="n"/>
      <c r="L63" s="60" t="n"/>
      <c r="M63" s="61">
        <f>IF(NOT((COUNTA($B63:$D63)+COUNTA($G63:$L63)+COUNTA($Q63))&gt;0),"",IF(ISNUMBER($G63),1,IF(N($W63)&gt;0,AVERAGEIFS($X$5:$X$1000,$U$5:$U$1000,ROW(),$V$5:$V$1000,"Sub"),$X63)))</f>
        <v/>
      </c>
      <c r="N63" s="56">
        <f>IF($M63="","",IF($M63&gt;=1,"Completado",IF($M63&gt;0,"En curso","Pendiente")))</f>
        <v/>
      </c>
      <c r="O63" s="56">
        <f>IF(NOT((COUNTA($B63:$D63)+COUNTA($G63:$L63)+COUNTA($Q63))&gt;0),"",IF(ISNUMBER($G63),IF(AND(ISNUMBER($AN63),$G63&gt;$AN63),"Cumplida con "&amp;($G63-$AN63)&amp;IF($G63-$AN63=1," día"," días")&amp;" de retraso","Cumplida"),IF(N($M63)&gt;=1,"Cumplida",IF(NOT(ISNUMBER($AN63)),"Sin fecha límite",IF($AN63&lt;FechaRef,"Vencida hace "&amp;(FechaRef-$AN63)&amp;IF(FechaRef-$AN63=1," día"," días"),IF($AN63=FechaRef,"Vence hoy",IF($AN63-FechaRef&lt;=DiasAlerta,"Vence en "&amp;($AN63-FechaRef)&amp;IF($AN63-FechaRef=1," día"," días"),"En plazo")))))))</f>
        <v/>
      </c>
      <c r="P63" s="62" t="n"/>
      <c r="Q63" s="58" t="n"/>
      <c r="R63" s="63">
        <f>IF(NOT((COUNTA($B63:$D63)+COUNTA($G63:$L63)+COUNTA($Q63))&gt;0),"",IF((IF($C63="","Falta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",""))="","✔ OK","⚠ "&amp;LEFT(IF($C63="","Falta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",""),LEN(IF($C63="","Falta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",""))-3)))</f>
        <v/>
      </c>
      <c r="S63" s="64">
        <f>IF(NOT((COUNTA($B63:$D63)+COUNTA($G63:$L63)+COUNTA($Q63))&gt;0),"",IF(AND($V63="Sub",N($U63)&gt;0),IF(ISNUMBER(INDEX($AM$5:$AM$1000,$U63-4)),DATE(YEAR(INDEX($AM$5:$AM$1000,$U63-4)),MONTH(INDEX($AM$5:$AM$1000,$U63-4)),1),IF(ISNUMBER(INDEX($AN$5:$AN$1000,$U63-4)),DATE(YEAR(INDEX($AN$5:$AN$1000,$U63-4)),MONTH(INDEX($AN$5:$AN$1000,$U63-4)),1),MesCiclo)),IF(ISNUMBER($AM63),DATE(YEAR($AM63),MONTH($AM63),1),IF(ISNUMBER($AN63),DATE(YEAR($AN63),MONTH($AN63),1),MesCiclo))))</f>
        <v/>
      </c>
      <c r="T63" s="62">
        <f>IF(OR($S63="",$S63&lt;&gt;MesCiclo),"",COUNTIF($S$5:$S63,MesCiclo))</f>
        <v/>
      </c>
      <c r="U63" s="62">
        <f>IF($V63="","",IF($V63="Macro",ROW(),IFERROR(LOOKUP(2,1/($V$5:$V63="Macro"),ROW($V$5:$V63)),0)))</f>
        <v/>
      </c>
      <c r="V63" s="62">
        <f>IF(NOT((COUNTA($B63:$D63)+COUNTA($G63:$L63)+COUNTA($Q63))&gt;0),"",IF($B63="Subactividad","Sub","Macro"))</f>
        <v/>
      </c>
      <c r="W63" s="62">
        <f>IF($V63="Macro",COUNTIFS($U$5:$U$1000,ROW(),$V$5:$V$1000,"Sub"),"")</f>
        <v/>
      </c>
      <c r="X63" s="62">
        <f>IF($V63="","",IF(ISNUMBER($G63),1,IFERROR(LOOKUP(2,1/($I63:$L63&lt;&gt;""),$I63:$L63),0)))</f>
        <v/>
      </c>
      <c r="Y63" s="62">
        <f>IF($V63="","",IF(AND(ISNUMBER($G63),$G63&lt;=IF($S63=MesCiclo,InicioCiclo,$S63+MOD(2-WEEKDAY($S63),7))+6),1,IF(ISNUMBER($I63),$I63,0)))</f>
        <v/>
      </c>
      <c r="Z63" s="62">
        <f>IF($V63="","",IF(AND(ISNUMBER($G63),$G63&lt;=IF($S63=MesCiclo,InicioCiclo,$S63+MOD(2-WEEKDAY($S63),7))+13),1,IF(ISNUMBER($J63),$J63,$Y63)))</f>
        <v/>
      </c>
      <c r="AA63" s="62">
        <f>IF($V63="","",IF(AND(ISNUMBER($G63),$G63&lt;=IF($S63=MesCiclo,InicioCiclo,$S63+MOD(2-WEEKDAY($S63),7))+20),1,IF(ISNUMBER($K63),$K63,$Z63)))</f>
        <v/>
      </c>
      <c r="AB63" s="62">
        <f>IF($V63="","",IF(AND(ISNUMBER($G63),$G63&lt;=IF($S63=MesCiclo,InicioCiclo,$S63+MOD(2-WEEKDAY($S63),7))+27),1,IF(ISNUMBER($L63),$L63,$AA63)))</f>
        <v/>
      </c>
      <c r="AC63" s="62">
        <f>IF($V63="","",IF(AND(ISNUMBER($G63),$G63&lt;=IF($S63=MesCiclo,InicioCiclo,$S63+MOD(2-WEEKDAY($S63),7))+6),1,IF(N($W63)&gt;0,AVERAGEIFS($Y$5:$Y$1000,$U$5:$U$1000,ROW(),$V$5:$V$1000,"Sub"),$Y63)))</f>
        <v/>
      </c>
      <c r="AD63" s="62">
        <f>IF($V63="","",IF(AND(ISNUMBER($G63),$G63&lt;=IF($S63=MesCiclo,InicioCiclo,$S63+MOD(2-WEEKDAY($S63),7))+13),1,IF(N($W63)&gt;0,AVERAGEIFS($Z$5:$Z$1000,$U$5:$U$1000,ROW(),$V$5:$V$1000,"Sub"),$Z63)))</f>
        <v/>
      </c>
      <c r="AE63" s="62">
        <f>IF($V63="","",IF(AND(ISNUMBER($G63),$G63&lt;=IF($S63=MesCiclo,InicioCiclo,$S63+MOD(2-WEEKDAY($S63),7))+20),1,IF(N($W63)&gt;0,AVERAGEIFS($AA$5:$AA$1000,$U$5:$U$1000,ROW(),$V$5:$V$1000,"Sub"),$AA63)))</f>
        <v/>
      </c>
      <c r="AF63" s="62">
        <f>IF($V63="","",IF(AND(ISNUMBER($G63),$G63&lt;=IF($S63=MesCiclo,InicioCiclo,$S63+MOD(2-WEEKDAY($S63),7))+27),1,IF(N($W63)&gt;0,AVERAGEIFS($AB$5:$AB$1000,$U$5:$U$1000,ROW(),$V$5:$V$1000,"Sub"),$AB63)))</f>
        <v/>
      </c>
      <c r="AG63" s="62">
        <f>IF($V63&lt;&gt;"Macro","",IF(COUNTIFS($S$5:$S$1000,$S63,$V$5:$V$1000,"Macro",$H$5:$H$1000,"&gt;0")=0,1/COUNTIFS($S$5:$S$1000,$S63,$V$5:$V$1000,"Macro"),IF(AND(ISNUMBER($H63),N($H63)&gt;0),$H63,SUMIFS($H$5:$H$1000,$S$5:$S$1000,$S63,$V$5:$V$1000,"Macro")/COUNTIFS($S$5:$S$1000,$S63,$V$5:$V$1000,"Macro",$H$5:$H$1000,"&gt;0"))/(COUNTIFS($S$5:$S$1000,$S63,$V$5:$V$1000,"Macro")*SUMIFS($H$5:$H$1000,$S$5:$S$1000,$S63,$V$5:$V$1000,"Macro")/COUNTIFS($S$5:$S$1000,$S63,$V$5:$V$1000,"Macro",$H$5:$H$1000,"&gt;0"))))</f>
        <v/>
      </c>
      <c r="AH63" s="62" t="n"/>
      <c r="AI63" s="62" t="n"/>
      <c r="AJ63" s="62" t="n"/>
      <c r="AK63" s="62" t="n"/>
      <c r="AL63" s="62">
        <f>IF(LEFT($C63,11)="[Jefatura] ",IFERROR(MATCH("Asistente Técnico de Riesgo|"&amp;MID($C63,12,500),rDname_ADM,0),0),"")</f>
        <v/>
      </c>
      <c r="AM63" s="62">
        <f>IF(N($AL63)&gt;0,INDEX(rIni_ADM,$AL63),IF(ISNUMBER($E63),$E63,""))</f>
        <v/>
      </c>
      <c r="AN63" s="62">
        <f>IF(N($AL63)&gt;0,INDEX(rLim_ADM,$AL63),IF(ISNUMBER($F63),$F63,""))</f>
        <v/>
      </c>
    </row>
    <row r="64">
      <c r="A64" s="56">
        <f>IF(NOT((COUNTA($B64:$D64)+COUNTA($G64:$L64)+COUNTA($Q64))&gt;0),"",IF($V64="Macro",COUNTIFS($V$5:$V64,"Macro",$S$5:$S64,$S64),IF(N($U64)=0,"?",COUNTIFS(INDEX($V$5:$V$1000,1):INDEX($V$5:$V$1000,$U64-4),"Macro",INDEX($S$5:$S$1000,1):INDEX($S$5:$S$1000,$U64-4),INDEX($S$5:$S$1000,$U64-4))&amp;"."&amp;COUNTIFS($U$5:$U64,$U64,$V$5:$V64,"Sub"))))</f>
        <v/>
      </c>
      <c r="B64" s="57" t="n"/>
      <c r="C64" s="58" t="n"/>
      <c r="D64" s="58" t="n"/>
      <c r="E64" s="59">
        <f>IF(N($AL64)&gt;0,INDEX(rIni_ADM,$AL64),"")</f>
        <v/>
      </c>
      <c r="F64" s="59">
        <f>IF(N($AL64)&gt;0,INDEX(rLim_ADM,$AL64),"")</f>
        <v/>
      </c>
      <c r="G64" s="59" t="n"/>
      <c r="H64" s="60" t="n"/>
      <c r="I64" s="60" t="n"/>
      <c r="J64" s="60" t="n"/>
      <c r="K64" s="60" t="n"/>
      <c r="L64" s="60" t="n"/>
      <c r="M64" s="61">
        <f>IF(NOT((COUNTA($B64:$D64)+COUNTA($G64:$L64)+COUNTA($Q64))&gt;0),"",IF(ISNUMBER($G64),1,IF(N($W64)&gt;0,AVERAGEIFS($X$5:$X$1000,$U$5:$U$1000,ROW(),$V$5:$V$1000,"Sub"),$X64)))</f>
        <v/>
      </c>
      <c r="N64" s="56">
        <f>IF($M64="","",IF($M64&gt;=1,"Completado",IF($M64&gt;0,"En curso","Pendiente")))</f>
        <v/>
      </c>
      <c r="O64" s="56">
        <f>IF(NOT((COUNTA($B64:$D64)+COUNTA($G64:$L64)+COUNTA($Q64))&gt;0),"",IF(ISNUMBER($G64),IF(AND(ISNUMBER($AN64),$G64&gt;$AN64),"Cumplida con "&amp;($G64-$AN64)&amp;IF($G64-$AN64=1," día"," días")&amp;" de retraso","Cumplida"),IF(N($M64)&gt;=1,"Cumplida",IF(NOT(ISNUMBER($AN64)),"Sin fecha límite",IF($AN64&lt;FechaRef,"Vencida hace "&amp;(FechaRef-$AN64)&amp;IF(FechaRef-$AN64=1," día"," días"),IF($AN64=FechaRef,"Vence hoy",IF($AN64-FechaRef&lt;=DiasAlerta,"Vence en "&amp;($AN64-FechaRef)&amp;IF($AN64-FechaRef=1," día"," días"),"En plazo")))))))</f>
        <v/>
      </c>
      <c r="P64" s="62" t="n"/>
      <c r="Q64" s="58" t="n"/>
      <c r="R64" s="63">
        <f>IF(NOT((COUNTA($B64:$D64)+COUNTA($G64:$L64)+COUNTA($Q64))&gt;0),"",IF((IF($C64="","Falta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",""))="","✔ OK","⚠ "&amp;LEFT(IF($C64="","Falta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",""),LEN(IF($C64="","Falta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",""))-3)))</f>
        <v/>
      </c>
      <c r="S64" s="64">
        <f>IF(NOT((COUNTA($B64:$D64)+COUNTA($G64:$L64)+COUNTA($Q64))&gt;0),"",IF(AND($V64="Sub",N($U64)&gt;0),IF(ISNUMBER(INDEX($AM$5:$AM$1000,$U64-4)),DATE(YEAR(INDEX($AM$5:$AM$1000,$U64-4)),MONTH(INDEX($AM$5:$AM$1000,$U64-4)),1),IF(ISNUMBER(INDEX($AN$5:$AN$1000,$U64-4)),DATE(YEAR(INDEX($AN$5:$AN$1000,$U64-4)),MONTH(INDEX($AN$5:$AN$1000,$U64-4)),1),MesCiclo)),IF(ISNUMBER($AM64),DATE(YEAR($AM64),MONTH($AM64),1),IF(ISNUMBER($AN64),DATE(YEAR($AN64),MONTH($AN64),1),MesCiclo))))</f>
        <v/>
      </c>
      <c r="T64" s="62">
        <f>IF(OR($S64="",$S64&lt;&gt;MesCiclo),"",COUNTIF($S$5:$S64,MesCiclo))</f>
        <v/>
      </c>
      <c r="U64" s="62">
        <f>IF($V64="","",IF($V64="Macro",ROW(),IFERROR(LOOKUP(2,1/($V$5:$V64="Macro"),ROW($V$5:$V64)),0)))</f>
        <v/>
      </c>
      <c r="V64" s="62">
        <f>IF(NOT((COUNTA($B64:$D64)+COUNTA($G64:$L64)+COUNTA($Q64))&gt;0),"",IF($B64="Subactividad","Sub","Macro"))</f>
        <v/>
      </c>
      <c r="W64" s="62">
        <f>IF($V64="Macro",COUNTIFS($U$5:$U$1000,ROW(),$V$5:$V$1000,"Sub"),"")</f>
        <v/>
      </c>
      <c r="X64" s="62">
        <f>IF($V64="","",IF(ISNUMBER($G64),1,IFERROR(LOOKUP(2,1/($I64:$L64&lt;&gt;""),$I64:$L64),0)))</f>
        <v/>
      </c>
      <c r="Y64" s="62">
        <f>IF($V64="","",IF(AND(ISNUMBER($G64),$G64&lt;=IF($S64=MesCiclo,InicioCiclo,$S64+MOD(2-WEEKDAY($S64),7))+6),1,IF(ISNUMBER($I64),$I64,0)))</f>
        <v/>
      </c>
      <c r="Z64" s="62">
        <f>IF($V64="","",IF(AND(ISNUMBER($G64),$G64&lt;=IF($S64=MesCiclo,InicioCiclo,$S64+MOD(2-WEEKDAY($S64),7))+13),1,IF(ISNUMBER($J64),$J64,$Y64)))</f>
        <v/>
      </c>
      <c r="AA64" s="62">
        <f>IF($V64="","",IF(AND(ISNUMBER($G64),$G64&lt;=IF($S64=MesCiclo,InicioCiclo,$S64+MOD(2-WEEKDAY($S64),7))+20),1,IF(ISNUMBER($K64),$K64,$Z64)))</f>
        <v/>
      </c>
      <c r="AB64" s="62">
        <f>IF($V64="","",IF(AND(ISNUMBER($G64),$G64&lt;=IF($S64=MesCiclo,InicioCiclo,$S64+MOD(2-WEEKDAY($S64),7))+27),1,IF(ISNUMBER($L64),$L64,$AA64)))</f>
        <v/>
      </c>
      <c r="AC64" s="62">
        <f>IF($V64="","",IF(AND(ISNUMBER($G64),$G64&lt;=IF($S64=MesCiclo,InicioCiclo,$S64+MOD(2-WEEKDAY($S64),7))+6),1,IF(N($W64)&gt;0,AVERAGEIFS($Y$5:$Y$1000,$U$5:$U$1000,ROW(),$V$5:$V$1000,"Sub"),$Y64)))</f>
        <v/>
      </c>
      <c r="AD64" s="62">
        <f>IF($V64="","",IF(AND(ISNUMBER($G64),$G64&lt;=IF($S64=MesCiclo,InicioCiclo,$S64+MOD(2-WEEKDAY($S64),7))+13),1,IF(N($W64)&gt;0,AVERAGEIFS($Z$5:$Z$1000,$U$5:$U$1000,ROW(),$V$5:$V$1000,"Sub"),$Z64)))</f>
        <v/>
      </c>
      <c r="AE64" s="62">
        <f>IF($V64="","",IF(AND(ISNUMBER($G64),$G64&lt;=IF($S64=MesCiclo,InicioCiclo,$S64+MOD(2-WEEKDAY($S64),7))+20),1,IF(N($W64)&gt;0,AVERAGEIFS($AA$5:$AA$1000,$U$5:$U$1000,ROW(),$V$5:$V$1000,"Sub"),$AA64)))</f>
        <v/>
      </c>
      <c r="AF64" s="62">
        <f>IF($V64="","",IF(AND(ISNUMBER($G64),$G64&lt;=IF($S64=MesCiclo,InicioCiclo,$S64+MOD(2-WEEKDAY($S64),7))+27),1,IF(N($W64)&gt;0,AVERAGEIFS($AB$5:$AB$1000,$U$5:$U$1000,ROW(),$V$5:$V$1000,"Sub"),$AB64)))</f>
        <v/>
      </c>
      <c r="AG64" s="62">
        <f>IF($V64&lt;&gt;"Macro","",IF(COUNTIFS($S$5:$S$1000,$S64,$V$5:$V$1000,"Macro",$H$5:$H$1000,"&gt;0")=0,1/COUNTIFS($S$5:$S$1000,$S64,$V$5:$V$1000,"Macro"),IF(AND(ISNUMBER($H64),N($H64)&gt;0),$H64,SUMIFS($H$5:$H$1000,$S$5:$S$1000,$S64,$V$5:$V$1000,"Macro")/COUNTIFS($S$5:$S$1000,$S64,$V$5:$V$1000,"Macro",$H$5:$H$1000,"&gt;0"))/(COUNTIFS($S$5:$S$1000,$S64,$V$5:$V$1000,"Macro")*SUMIFS($H$5:$H$1000,$S$5:$S$1000,$S64,$V$5:$V$1000,"Macro")/COUNTIFS($S$5:$S$1000,$S64,$V$5:$V$1000,"Macro",$H$5:$H$1000,"&gt;0"))))</f>
        <v/>
      </c>
      <c r="AH64" s="62" t="n"/>
      <c r="AI64" s="62" t="n"/>
      <c r="AJ64" s="62" t="n"/>
      <c r="AK64" s="62" t="n"/>
      <c r="AL64" s="62">
        <f>IF(LEFT($C64,11)="[Jefatura] ",IFERROR(MATCH("Asistente Técnico de Riesgo|"&amp;MID($C64,12,500),rDname_ADM,0),0),"")</f>
        <v/>
      </c>
      <c r="AM64" s="62">
        <f>IF(N($AL64)&gt;0,INDEX(rIni_ADM,$AL64),IF(ISNUMBER($E64),$E64,""))</f>
        <v/>
      </c>
      <c r="AN64" s="62">
        <f>IF(N($AL64)&gt;0,INDEX(rLim_ADM,$AL64),IF(ISNUMBER($F64),$F64,""))</f>
        <v/>
      </c>
    </row>
    <row r="65">
      <c r="A65" s="56">
        <f>IF(NOT((COUNTA($B65:$D65)+COUNTA($G65:$L65)+COUNTA($Q65))&gt;0),"",IF($V65="Macro",COUNTIFS($V$5:$V65,"Macro",$S$5:$S65,$S65),IF(N($U65)=0,"?",COUNTIFS(INDEX($V$5:$V$1000,1):INDEX($V$5:$V$1000,$U65-4),"Macro",INDEX($S$5:$S$1000,1):INDEX($S$5:$S$1000,$U65-4),INDEX($S$5:$S$1000,$U65-4))&amp;"."&amp;COUNTIFS($U$5:$U65,$U65,$V$5:$V65,"Sub"))))</f>
        <v/>
      </c>
      <c r="B65" s="57" t="n"/>
      <c r="C65" s="58" t="n"/>
      <c r="D65" s="58" t="n"/>
      <c r="E65" s="59">
        <f>IF(N($AL65)&gt;0,INDEX(rIni_ADM,$AL65),"")</f>
        <v/>
      </c>
      <c r="F65" s="59">
        <f>IF(N($AL65)&gt;0,INDEX(rLim_ADM,$AL65),"")</f>
        <v/>
      </c>
      <c r="G65" s="59" t="n"/>
      <c r="H65" s="60" t="n"/>
      <c r="I65" s="60" t="n"/>
      <c r="J65" s="60" t="n"/>
      <c r="K65" s="60" t="n"/>
      <c r="L65" s="60" t="n"/>
      <c r="M65" s="61">
        <f>IF(NOT((COUNTA($B65:$D65)+COUNTA($G65:$L65)+COUNTA($Q65))&gt;0),"",IF(ISNUMBER($G65),1,IF(N($W65)&gt;0,AVERAGEIFS($X$5:$X$1000,$U$5:$U$1000,ROW(),$V$5:$V$1000,"Sub"),$X65)))</f>
        <v/>
      </c>
      <c r="N65" s="56">
        <f>IF($M65="","",IF($M65&gt;=1,"Completado",IF($M65&gt;0,"En curso","Pendiente")))</f>
        <v/>
      </c>
      <c r="O65" s="56">
        <f>IF(NOT((COUNTA($B65:$D65)+COUNTA($G65:$L65)+COUNTA($Q65))&gt;0),"",IF(ISNUMBER($G65),IF(AND(ISNUMBER($AN65),$G65&gt;$AN65),"Cumplida con "&amp;($G65-$AN65)&amp;IF($G65-$AN65=1," día"," días")&amp;" de retraso","Cumplida"),IF(N($M65)&gt;=1,"Cumplida",IF(NOT(ISNUMBER($AN65)),"Sin fecha límite",IF($AN65&lt;FechaRef,"Vencida hace "&amp;(FechaRef-$AN65)&amp;IF(FechaRef-$AN65=1," día"," días"),IF($AN65=FechaRef,"Vence hoy",IF($AN65-FechaRef&lt;=DiasAlerta,"Vence en "&amp;($AN65-FechaRef)&amp;IF($AN65-FechaRef=1," día"," días"),"En plazo")))))))</f>
        <v/>
      </c>
      <c r="P65" s="62" t="n"/>
      <c r="Q65" s="58" t="n"/>
      <c r="R65" s="63">
        <f>IF(NOT((COUNTA($B65:$D65)+COUNTA($G65:$L65)+COUNTA($Q65))&gt;0),"",IF((IF($C65="","Falta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",""))="","✔ OK","⚠ "&amp;LEFT(IF($C65="","Falta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",""),LEN(IF($C65="","Falta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",""))-3)))</f>
        <v/>
      </c>
      <c r="S65" s="64">
        <f>IF(NOT((COUNTA($B65:$D65)+COUNTA($G65:$L65)+COUNTA($Q65))&gt;0),"",IF(AND($V65="Sub",N($U65)&gt;0),IF(ISNUMBER(INDEX($AM$5:$AM$1000,$U65-4)),DATE(YEAR(INDEX($AM$5:$AM$1000,$U65-4)),MONTH(INDEX($AM$5:$AM$1000,$U65-4)),1),IF(ISNUMBER(INDEX($AN$5:$AN$1000,$U65-4)),DATE(YEAR(INDEX($AN$5:$AN$1000,$U65-4)),MONTH(INDEX($AN$5:$AN$1000,$U65-4)),1),MesCiclo)),IF(ISNUMBER($AM65),DATE(YEAR($AM65),MONTH($AM65),1),IF(ISNUMBER($AN65),DATE(YEAR($AN65),MONTH($AN65),1),MesCiclo))))</f>
        <v/>
      </c>
      <c r="T65" s="62">
        <f>IF(OR($S65="",$S65&lt;&gt;MesCiclo),"",COUNTIF($S$5:$S65,MesCiclo))</f>
        <v/>
      </c>
      <c r="U65" s="62">
        <f>IF($V65="","",IF($V65="Macro",ROW(),IFERROR(LOOKUP(2,1/($V$5:$V65="Macro"),ROW($V$5:$V65)),0)))</f>
        <v/>
      </c>
      <c r="V65" s="62">
        <f>IF(NOT((COUNTA($B65:$D65)+COUNTA($G65:$L65)+COUNTA($Q65))&gt;0),"",IF($B65="Subactividad","Sub","Macro"))</f>
        <v/>
      </c>
      <c r="W65" s="62">
        <f>IF($V65="Macro",COUNTIFS($U$5:$U$1000,ROW(),$V$5:$V$1000,"Sub"),"")</f>
        <v/>
      </c>
      <c r="X65" s="62">
        <f>IF($V65="","",IF(ISNUMBER($G65),1,IFERROR(LOOKUP(2,1/($I65:$L65&lt;&gt;""),$I65:$L65),0)))</f>
        <v/>
      </c>
      <c r="Y65" s="62">
        <f>IF($V65="","",IF(AND(ISNUMBER($G65),$G65&lt;=IF($S65=MesCiclo,InicioCiclo,$S65+MOD(2-WEEKDAY($S65),7))+6),1,IF(ISNUMBER($I65),$I65,0)))</f>
        <v/>
      </c>
      <c r="Z65" s="62">
        <f>IF($V65="","",IF(AND(ISNUMBER($G65),$G65&lt;=IF($S65=MesCiclo,InicioCiclo,$S65+MOD(2-WEEKDAY($S65),7))+13),1,IF(ISNUMBER($J65),$J65,$Y65)))</f>
        <v/>
      </c>
      <c r="AA65" s="62">
        <f>IF($V65="","",IF(AND(ISNUMBER($G65),$G65&lt;=IF($S65=MesCiclo,InicioCiclo,$S65+MOD(2-WEEKDAY($S65),7))+20),1,IF(ISNUMBER($K65),$K65,$Z65)))</f>
        <v/>
      </c>
      <c r="AB65" s="62">
        <f>IF($V65="","",IF(AND(ISNUMBER($G65),$G65&lt;=IF($S65=MesCiclo,InicioCiclo,$S65+MOD(2-WEEKDAY($S65),7))+27),1,IF(ISNUMBER($L65),$L65,$AA65)))</f>
        <v/>
      </c>
      <c r="AC65" s="62">
        <f>IF($V65="","",IF(AND(ISNUMBER($G65),$G65&lt;=IF($S65=MesCiclo,InicioCiclo,$S65+MOD(2-WEEKDAY($S65),7))+6),1,IF(N($W65)&gt;0,AVERAGEIFS($Y$5:$Y$1000,$U$5:$U$1000,ROW(),$V$5:$V$1000,"Sub"),$Y65)))</f>
        <v/>
      </c>
      <c r="AD65" s="62">
        <f>IF($V65="","",IF(AND(ISNUMBER($G65),$G65&lt;=IF($S65=MesCiclo,InicioCiclo,$S65+MOD(2-WEEKDAY($S65),7))+13),1,IF(N($W65)&gt;0,AVERAGEIFS($Z$5:$Z$1000,$U$5:$U$1000,ROW(),$V$5:$V$1000,"Sub"),$Z65)))</f>
        <v/>
      </c>
      <c r="AE65" s="62">
        <f>IF($V65="","",IF(AND(ISNUMBER($G65),$G65&lt;=IF($S65=MesCiclo,InicioCiclo,$S65+MOD(2-WEEKDAY($S65),7))+20),1,IF(N($W65)&gt;0,AVERAGEIFS($AA$5:$AA$1000,$U$5:$U$1000,ROW(),$V$5:$V$1000,"Sub"),$AA65)))</f>
        <v/>
      </c>
      <c r="AF65" s="62">
        <f>IF($V65="","",IF(AND(ISNUMBER($G65),$G65&lt;=IF($S65=MesCiclo,InicioCiclo,$S65+MOD(2-WEEKDAY($S65),7))+27),1,IF(N($W65)&gt;0,AVERAGEIFS($AB$5:$AB$1000,$U$5:$U$1000,ROW(),$V$5:$V$1000,"Sub"),$AB65)))</f>
        <v/>
      </c>
      <c r="AG65" s="62">
        <f>IF($V65&lt;&gt;"Macro","",IF(COUNTIFS($S$5:$S$1000,$S65,$V$5:$V$1000,"Macro",$H$5:$H$1000,"&gt;0")=0,1/COUNTIFS($S$5:$S$1000,$S65,$V$5:$V$1000,"Macro"),IF(AND(ISNUMBER($H65),N($H65)&gt;0),$H65,SUMIFS($H$5:$H$1000,$S$5:$S$1000,$S65,$V$5:$V$1000,"Macro")/COUNTIFS($S$5:$S$1000,$S65,$V$5:$V$1000,"Macro",$H$5:$H$1000,"&gt;0"))/(COUNTIFS($S$5:$S$1000,$S65,$V$5:$V$1000,"Macro")*SUMIFS($H$5:$H$1000,$S$5:$S$1000,$S65,$V$5:$V$1000,"Macro")/COUNTIFS($S$5:$S$1000,$S65,$V$5:$V$1000,"Macro",$H$5:$H$1000,"&gt;0"))))</f>
        <v/>
      </c>
      <c r="AH65" s="62" t="n"/>
      <c r="AI65" s="62" t="n"/>
      <c r="AJ65" s="62" t="n"/>
      <c r="AK65" s="62" t="n"/>
      <c r="AL65" s="62">
        <f>IF(LEFT($C65,11)="[Jefatura] ",IFERROR(MATCH("Asistente Técnico de Riesgo|"&amp;MID($C65,12,500),rDname_ADM,0),0),"")</f>
        <v/>
      </c>
      <c r="AM65" s="62">
        <f>IF(N($AL65)&gt;0,INDEX(rIni_ADM,$AL65),IF(ISNUMBER($E65),$E65,""))</f>
        <v/>
      </c>
      <c r="AN65" s="62">
        <f>IF(N($AL65)&gt;0,INDEX(rLim_ADM,$AL65),IF(ISNUMBER($F65),$F65,""))</f>
        <v/>
      </c>
    </row>
    <row r="66">
      <c r="A66" s="56">
        <f>IF(NOT((COUNTA($B66:$D66)+COUNTA($G66:$L66)+COUNTA($Q66))&gt;0),"",IF($V66="Macro",COUNTIFS($V$5:$V66,"Macro",$S$5:$S66,$S66),IF(N($U66)=0,"?",COUNTIFS(INDEX($V$5:$V$1000,1):INDEX($V$5:$V$1000,$U66-4),"Macro",INDEX($S$5:$S$1000,1):INDEX($S$5:$S$1000,$U66-4),INDEX($S$5:$S$1000,$U66-4))&amp;"."&amp;COUNTIFS($U$5:$U66,$U66,$V$5:$V66,"Sub"))))</f>
        <v/>
      </c>
      <c r="B66" s="57" t="n"/>
      <c r="C66" s="58" t="n"/>
      <c r="D66" s="58" t="n"/>
      <c r="E66" s="59">
        <f>IF(N($AL66)&gt;0,INDEX(rIni_ADM,$AL66),"")</f>
        <v/>
      </c>
      <c r="F66" s="59">
        <f>IF(N($AL66)&gt;0,INDEX(rLim_ADM,$AL66),"")</f>
        <v/>
      </c>
      <c r="G66" s="59" t="n"/>
      <c r="H66" s="60" t="n"/>
      <c r="I66" s="60" t="n"/>
      <c r="J66" s="60" t="n"/>
      <c r="K66" s="60" t="n"/>
      <c r="L66" s="60" t="n"/>
      <c r="M66" s="61">
        <f>IF(NOT((COUNTA($B66:$D66)+COUNTA($G66:$L66)+COUNTA($Q66))&gt;0),"",IF(ISNUMBER($G66),1,IF(N($W66)&gt;0,AVERAGEIFS($X$5:$X$1000,$U$5:$U$1000,ROW(),$V$5:$V$1000,"Sub"),$X66)))</f>
        <v/>
      </c>
      <c r="N66" s="56">
        <f>IF($M66="","",IF($M66&gt;=1,"Completado",IF($M66&gt;0,"En curso","Pendiente")))</f>
        <v/>
      </c>
      <c r="O66" s="56">
        <f>IF(NOT((COUNTA($B66:$D66)+COUNTA($G66:$L66)+COUNTA($Q66))&gt;0),"",IF(ISNUMBER($G66),IF(AND(ISNUMBER($AN66),$G66&gt;$AN66),"Cumplida con "&amp;($G66-$AN66)&amp;IF($G66-$AN66=1," día"," días")&amp;" de retraso","Cumplida"),IF(N($M66)&gt;=1,"Cumplida",IF(NOT(ISNUMBER($AN66)),"Sin fecha límite",IF($AN66&lt;FechaRef,"Vencida hace "&amp;(FechaRef-$AN66)&amp;IF(FechaRef-$AN66=1," día"," días"),IF($AN66=FechaRef,"Vence hoy",IF($AN66-FechaRef&lt;=DiasAlerta,"Vence en "&amp;($AN66-FechaRef)&amp;IF($AN66-FechaRef=1," día"," días"),"En plazo")))))))</f>
        <v/>
      </c>
      <c r="P66" s="62" t="n"/>
      <c r="Q66" s="58" t="n"/>
      <c r="R66" s="63">
        <f>IF(NOT((COUNTA($B66:$D66)+COUNTA($G66:$L66)+COUNTA($Q66))&gt;0),"",IF((IF($C66="","Falta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",""))="","✔ OK","⚠ "&amp;LEFT(IF($C66="","Falta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",""),LEN(IF($C66="","Falta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",""))-3)))</f>
        <v/>
      </c>
      <c r="S66" s="64">
        <f>IF(NOT((COUNTA($B66:$D66)+COUNTA($G66:$L66)+COUNTA($Q66))&gt;0),"",IF(AND($V66="Sub",N($U66)&gt;0),IF(ISNUMBER(INDEX($AM$5:$AM$1000,$U66-4)),DATE(YEAR(INDEX($AM$5:$AM$1000,$U66-4)),MONTH(INDEX($AM$5:$AM$1000,$U66-4)),1),IF(ISNUMBER(INDEX($AN$5:$AN$1000,$U66-4)),DATE(YEAR(INDEX($AN$5:$AN$1000,$U66-4)),MONTH(INDEX($AN$5:$AN$1000,$U66-4)),1),MesCiclo)),IF(ISNUMBER($AM66),DATE(YEAR($AM66),MONTH($AM66),1),IF(ISNUMBER($AN66),DATE(YEAR($AN66),MONTH($AN66),1),MesCiclo))))</f>
        <v/>
      </c>
      <c r="T66" s="62">
        <f>IF(OR($S66="",$S66&lt;&gt;MesCiclo),"",COUNTIF($S$5:$S66,MesCiclo))</f>
        <v/>
      </c>
      <c r="U66" s="62">
        <f>IF($V66="","",IF($V66="Macro",ROW(),IFERROR(LOOKUP(2,1/($V$5:$V66="Macro"),ROW($V$5:$V66)),0)))</f>
        <v/>
      </c>
      <c r="V66" s="62">
        <f>IF(NOT((COUNTA($B66:$D66)+COUNTA($G66:$L66)+COUNTA($Q66))&gt;0),"",IF($B66="Subactividad","Sub","Macro"))</f>
        <v/>
      </c>
      <c r="W66" s="62">
        <f>IF($V66="Macro",COUNTIFS($U$5:$U$1000,ROW(),$V$5:$V$1000,"Sub"),"")</f>
        <v/>
      </c>
      <c r="X66" s="62">
        <f>IF($V66="","",IF(ISNUMBER($G66),1,IFERROR(LOOKUP(2,1/($I66:$L66&lt;&gt;""),$I66:$L66),0)))</f>
        <v/>
      </c>
      <c r="Y66" s="62">
        <f>IF($V66="","",IF(AND(ISNUMBER($G66),$G66&lt;=IF($S66=MesCiclo,InicioCiclo,$S66+MOD(2-WEEKDAY($S66),7))+6),1,IF(ISNUMBER($I66),$I66,0)))</f>
        <v/>
      </c>
      <c r="Z66" s="62">
        <f>IF($V66="","",IF(AND(ISNUMBER($G66),$G66&lt;=IF($S66=MesCiclo,InicioCiclo,$S66+MOD(2-WEEKDAY($S66),7))+13),1,IF(ISNUMBER($J66),$J66,$Y66)))</f>
        <v/>
      </c>
      <c r="AA66" s="62">
        <f>IF($V66="","",IF(AND(ISNUMBER($G66),$G66&lt;=IF($S66=MesCiclo,InicioCiclo,$S66+MOD(2-WEEKDAY($S66),7))+20),1,IF(ISNUMBER($K66),$K66,$Z66)))</f>
        <v/>
      </c>
      <c r="AB66" s="62">
        <f>IF($V66="","",IF(AND(ISNUMBER($G66),$G66&lt;=IF($S66=MesCiclo,InicioCiclo,$S66+MOD(2-WEEKDAY($S66),7))+27),1,IF(ISNUMBER($L66),$L66,$AA66)))</f>
        <v/>
      </c>
      <c r="AC66" s="62">
        <f>IF($V66="","",IF(AND(ISNUMBER($G66),$G66&lt;=IF($S66=MesCiclo,InicioCiclo,$S66+MOD(2-WEEKDAY($S66),7))+6),1,IF(N($W66)&gt;0,AVERAGEIFS($Y$5:$Y$1000,$U$5:$U$1000,ROW(),$V$5:$V$1000,"Sub"),$Y66)))</f>
        <v/>
      </c>
      <c r="AD66" s="62">
        <f>IF($V66="","",IF(AND(ISNUMBER($G66),$G66&lt;=IF($S66=MesCiclo,InicioCiclo,$S66+MOD(2-WEEKDAY($S66),7))+13),1,IF(N($W66)&gt;0,AVERAGEIFS($Z$5:$Z$1000,$U$5:$U$1000,ROW(),$V$5:$V$1000,"Sub"),$Z66)))</f>
        <v/>
      </c>
      <c r="AE66" s="62">
        <f>IF($V66="","",IF(AND(ISNUMBER($G66),$G66&lt;=IF($S66=MesCiclo,InicioCiclo,$S66+MOD(2-WEEKDAY($S66),7))+20),1,IF(N($W66)&gt;0,AVERAGEIFS($AA$5:$AA$1000,$U$5:$U$1000,ROW(),$V$5:$V$1000,"Sub"),$AA66)))</f>
        <v/>
      </c>
      <c r="AF66" s="62">
        <f>IF($V66="","",IF(AND(ISNUMBER($G66),$G66&lt;=IF($S66=MesCiclo,InicioCiclo,$S66+MOD(2-WEEKDAY($S66),7))+27),1,IF(N($W66)&gt;0,AVERAGEIFS($AB$5:$AB$1000,$U$5:$U$1000,ROW(),$V$5:$V$1000,"Sub"),$AB66)))</f>
        <v/>
      </c>
      <c r="AG66" s="62">
        <f>IF($V66&lt;&gt;"Macro","",IF(COUNTIFS($S$5:$S$1000,$S66,$V$5:$V$1000,"Macro",$H$5:$H$1000,"&gt;0")=0,1/COUNTIFS($S$5:$S$1000,$S66,$V$5:$V$1000,"Macro"),IF(AND(ISNUMBER($H66),N($H66)&gt;0),$H66,SUMIFS($H$5:$H$1000,$S$5:$S$1000,$S66,$V$5:$V$1000,"Macro")/COUNTIFS($S$5:$S$1000,$S66,$V$5:$V$1000,"Macro",$H$5:$H$1000,"&gt;0"))/(COUNTIFS($S$5:$S$1000,$S66,$V$5:$V$1000,"Macro")*SUMIFS($H$5:$H$1000,$S$5:$S$1000,$S66,$V$5:$V$1000,"Macro")/COUNTIFS($S$5:$S$1000,$S66,$V$5:$V$1000,"Macro",$H$5:$H$1000,"&gt;0"))))</f>
        <v/>
      </c>
      <c r="AH66" s="62" t="n"/>
      <c r="AI66" s="62" t="n"/>
      <c r="AJ66" s="62" t="n"/>
      <c r="AK66" s="62" t="n"/>
      <c r="AL66" s="62">
        <f>IF(LEFT($C66,11)="[Jefatura] ",IFERROR(MATCH("Asistente Técnico de Riesgo|"&amp;MID($C66,12,500),rDname_ADM,0),0),"")</f>
        <v/>
      </c>
      <c r="AM66" s="62">
        <f>IF(N($AL66)&gt;0,INDEX(rIni_ADM,$AL66),IF(ISNUMBER($E66),$E66,""))</f>
        <v/>
      </c>
      <c r="AN66" s="62">
        <f>IF(N($AL66)&gt;0,INDEX(rLim_ADM,$AL66),IF(ISNUMBER($F66),$F66,""))</f>
        <v/>
      </c>
    </row>
    <row r="67">
      <c r="A67" s="56">
        <f>IF(NOT((COUNTA($B67:$D67)+COUNTA($G67:$L67)+COUNTA($Q67))&gt;0),"",IF($V67="Macro",COUNTIFS($V$5:$V67,"Macro",$S$5:$S67,$S67),IF(N($U67)=0,"?",COUNTIFS(INDEX($V$5:$V$1000,1):INDEX($V$5:$V$1000,$U67-4),"Macro",INDEX($S$5:$S$1000,1):INDEX($S$5:$S$1000,$U67-4),INDEX($S$5:$S$1000,$U67-4))&amp;"."&amp;COUNTIFS($U$5:$U67,$U67,$V$5:$V67,"Sub"))))</f>
        <v/>
      </c>
      <c r="B67" s="57" t="n"/>
      <c r="C67" s="58" t="n"/>
      <c r="D67" s="58" t="n"/>
      <c r="E67" s="59">
        <f>IF(N($AL67)&gt;0,INDEX(rIni_ADM,$AL67),"")</f>
        <v/>
      </c>
      <c r="F67" s="59">
        <f>IF(N($AL67)&gt;0,INDEX(rLim_ADM,$AL67),"")</f>
        <v/>
      </c>
      <c r="G67" s="59" t="n"/>
      <c r="H67" s="60" t="n"/>
      <c r="I67" s="60" t="n"/>
      <c r="J67" s="60" t="n"/>
      <c r="K67" s="60" t="n"/>
      <c r="L67" s="60" t="n"/>
      <c r="M67" s="61">
        <f>IF(NOT((COUNTA($B67:$D67)+COUNTA($G67:$L67)+COUNTA($Q67))&gt;0),"",IF(ISNUMBER($G67),1,IF(N($W67)&gt;0,AVERAGEIFS($X$5:$X$1000,$U$5:$U$1000,ROW(),$V$5:$V$1000,"Sub"),$X67)))</f>
        <v/>
      </c>
      <c r="N67" s="56">
        <f>IF($M67="","",IF($M67&gt;=1,"Completado",IF($M67&gt;0,"En curso","Pendiente")))</f>
        <v/>
      </c>
      <c r="O67" s="56">
        <f>IF(NOT((COUNTA($B67:$D67)+COUNTA($G67:$L67)+COUNTA($Q67))&gt;0),"",IF(ISNUMBER($G67),IF(AND(ISNUMBER($AN67),$G67&gt;$AN67),"Cumplida con "&amp;($G67-$AN67)&amp;IF($G67-$AN67=1," día"," días")&amp;" de retraso","Cumplida"),IF(N($M67)&gt;=1,"Cumplida",IF(NOT(ISNUMBER($AN67)),"Sin fecha límite",IF($AN67&lt;FechaRef,"Vencida hace "&amp;(FechaRef-$AN67)&amp;IF(FechaRef-$AN67=1," día"," días"),IF($AN67=FechaRef,"Vence hoy",IF($AN67-FechaRef&lt;=DiasAlerta,"Vence en "&amp;($AN67-FechaRef)&amp;IF($AN67-FechaRef=1," día"," días"),"En plazo")))))))</f>
        <v/>
      </c>
      <c r="P67" s="62" t="n"/>
      <c r="Q67" s="58" t="n"/>
      <c r="R67" s="63">
        <f>IF(NOT((COUNTA($B67:$D67)+COUNTA($G67:$L67)+COUNTA($Q67))&gt;0),"",IF((IF($C67="","Falta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",""))="","✔ OK","⚠ "&amp;LEFT(IF($C67="","Falta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",""),LEN(IF($C67="","Falta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",""))-3)))</f>
        <v/>
      </c>
      <c r="S67" s="64">
        <f>IF(NOT((COUNTA($B67:$D67)+COUNTA($G67:$L67)+COUNTA($Q67))&gt;0),"",IF(AND($V67="Sub",N($U67)&gt;0),IF(ISNUMBER(INDEX($AM$5:$AM$1000,$U67-4)),DATE(YEAR(INDEX($AM$5:$AM$1000,$U67-4)),MONTH(INDEX($AM$5:$AM$1000,$U67-4)),1),IF(ISNUMBER(INDEX($AN$5:$AN$1000,$U67-4)),DATE(YEAR(INDEX($AN$5:$AN$1000,$U67-4)),MONTH(INDEX($AN$5:$AN$1000,$U67-4)),1),MesCiclo)),IF(ISNUMBER($AM67),DATE(YEAR($AM67),MONTH($AM67),1),IF(ISNUMBER($AN67),DATE(YEAR($AN67),MONTH($AN67),1),MesCiclo))))</f>
        <v/>
      </c>
      <c r="T67" s="62">
        <f>IF(OR($S67="",$S67&lt;&gt;MesCiclo),"",COUNTIF($S$5:$S67,MesCiclo))</f>
        <v/>
      </c>
      <c r="U67" s="62">
        <f>IF($V67="","",IF($V67="Macro",ROW(),IFERROR(LOOKUP(2,1/($V$5:$V67="Macro"),ROW($V$5:$V67)),0)))</f>
        <v/>
      </c>
      <c r="V67" s="62">
        <f>IF(NOT((COUNTA($B67:$D67)+COUNTA($G67:$L67)+COUNTA($Q67))&gt;0),"",IF($B67="Subactividad","Sub","Macro"))</f>
        <v/>
      </c>
      <c r="W67" s="62">
        <f>IF($V67="Macro",COUNTIFS($U$5:$U$1000,ROW(),$V$5:$V$1000,"Sub"),"")</f>
        <v/>
      </c>
      <c r="X67" s="62">
        <f>IF($V67="","",IF(ISNUMBER($G67),1,IFERROR(LOOKUP(2,1/($I67:$L67&lt;&gt;""),$I67:$L67),0)))</f>
        <v/>
      </c>
      <c r="Y67" s="62">
        <f>IF($V67="","",IF(AND(ISNUMBER($G67),$G67&lt;=IF($S67=MesCiclo,InicioCiclo,$S67+MOD(2-WEEKDAY($S67),7))+6),1,IF(ISNUMBER($I67),$I67,0)))</f>
        <v/>
      </c>
      <c r="Z67" s="62">
        <f>IF($V67="","",IF(AND(ISNUMBER($G67),$G67&lt;=IF($S67=MesCiclo,InicioCiclo,$S67+MOD(2-WEEKDAY($S67),7))+13),1,IF(ISNUMBER($J67),$J67,$Y67)))</f>
        <v/>
      </c>
      <c r="AA67" s="62">
        <f>IF($V67="","",IF(AND(ISNUMBER($G67),$G67&lt;=IF($S67=MesCiclo,InicioCiclo,$S67+MOD(2-WEEKDAY($S67),7))+20),1,IF(ISNUMBER($K67),$K67,$Z67)))</f>
        <v/>
      </c>
      <c r="AB67" s="62">
        <f>IF($V67="","",IF(AND(ISNUMBER($G67),$G67&lt;=IF($S67=MesCiclo,InicioCiclo,$S67+MOD(2-WEEKDAY($S67),7))+27),1,IF(ISNUMBER($L67),$L67,$AA67)))</f>
        <v/>
      </c>
      <c r="AC67" s="62">
        <f>IF($V67="","",IF(AND(ISNUMBER($G67),$G67&lt;=IF($S67=MesCiclo,InicioCiclo,$S67+MOD(2-WEEKDAY($S67),7))+6),1,IF(N($W67)&gt;0,AVERAGEIFS($Y$5:$Y$1000,$U$5:$U$1000,ROW(),$V$5:$V$1000,"Sub"),$Y67)))</f>
        <v/>
      </c>
      <c r="AD67" s="62">
        <f>IF($V67="","",IF(AND(ISNUMBER($G67),$G67&lt;=IF($S67=MesCiclo,InicioCiclo,$S67+MOD(2-WEEKDAY($S67),7))+13),1,IF(N($W67)&gt;0,AVERAGEIFS($Z$5:$Z$1000,$U$5:$U$1000,ROW(),$V$5:$V$1000,"Sub"),$Z67)))</f>
        <v/>
      </c>
      <c r="AE67" s="62">
        <f>IF($V67="","",IF(AND(ISNUMBER($G67),$G67&lt;=IF($S67=MesCiclo,InicioCiclo,$S67+MOD(2-WEEKDAY($S67),7))+20),1,IF(N($W67)&gt;0,AVERAGEIFS($AA$5:$AA$1000,$U$5:$U$1000,ROW(),$V$5:$V$1000,"Sub"),$AA67)))</f>
        <v/>
      </c>
      <c r="AF67" s="62">
        <f>IF($V67="","",IF(AND(ISNUMBER($G67),$G67&lt;=IF($S67=MesCiclo,InicioCiclo,$S67+MOD(2-WEEKDAY($S67),7))+27),1,IF(N($W67)&gt;0,AVERAGEIFS($AB$5:$AB$1000,$U$5:$U$1000,ROW(),$V$5:$V$1000,"Sub"),$AB67)))</f>
        <v/>
      </c>
      <c r="AG67" s="62">
        <f>IF($V67&lt;&gt;"Macro","",IF(COUNTIFS($S$5:$S$1000,$S67,$V$5:$V$1000,"Macro",$H$5:$H$1000,"&gt;0")=0,1/COUNTIFS($S$5:$S$1000,$S67,$V$5:$V$1000,"Macro"),IF(AND(ISNUMBER($H67),N($H67)&gt;0),$H67,SUMIFS($H$5:$H$1000,$S$5:$S$1000,$S67,$V$5:$V$1000,"Macro")/COUNTIFS($S$5:$S$1000,$S67,$V$5:$V$1000,"Macro",$H$5:$H$1000,"&gt;0"))/(COUNTIFS($S$5:$S$1000,$S67,$V$5:$V$1000,"Macro")*SUMIFS($H$5:$H$1000,$S$5:$S$1000,$S67,$V$5:$V$1000,"Macro")/COUNTIFS($S$5:$S$1000,$S67,$V$5:$V$1000,"Macro",$H$5:$H$1000,"&gt;0"))))</f>
        <v/>
      </c>
      <c r="AH67" s="62" t="n"/>
      <c r="AI67" s="62" t="n"/>
      <c r="AJ67" s="62" t="n"/>
      <c r="AK67" s="62" t="n"/>
      <c r="AL67" s="62">
        <f>IF(LEFT($C67,11)="[Jefatura] ",IFERROR(MATCH("Asistente Técnico de Riesgo|"&amp;MID($C67,12,500),rDname_ADM,0),0),"")</f>
        <v/>
      </c>
      <c r="AM67" s="62">
        <f>IF(N($AL67)&gt;0,INDEX(rIni_ADM,$AL67),IF(ISNUMBER($E67),$E67,""))</f>
        <v/>
      </c>
      <c r="AN67" s="62">
        <f>IF(N($AL67)&gt;0,INDEX(rLim_ADM,$AL67),IF(ISNUMBER($F67),$F67,""))</f>
        <v/>
      </c>
    </row>
    <row r="68">
      <c r="A68" s="56">
        <f>IF(NOT((COUNTA($B68:$D68)+COUNTA($G68:$L68)+COUNTA($Q68))&gt;0),"",IF($V68="Macro",COUNTIFS($V$5:$V68,"Macro",$S$5:$S68,$S68),IF(N($U68)=0,"?",COUNTIFS(INDEX($V$5:$V$1000,1):INDEX($V$5:$V$1000,$U68-4),"Macro",INDEX($S$5:$S$1000,1):INDEX($S$5:$S$1000,$U68-4),INDEX($S$5:$S$1000,$U68-4))&amp;"."&amp;COUNTIFS($U$5:$U68,$U68,$V$5:$V68,"Sub"))))</f>
        <v/>
      </c>
      <c r="B68" s="57" t="n"/>
      <c r="C68" s="58" t="n"/>
      <c r="D68" s="58" t="n"/>
      <c r="E68" s="59">
        <f>IF(N($AL68)&gt;0,INDEX(rIni_ADM,$AL68),"")</f>
        <v/>
      </c>
      <c r="F68" s="59">
        <f>IF(N($AL68)&gt;0,INDEX(rLim_ADM,$AL68),"")</f>
        <v/>
      </c>
      <c r="G68" s="59" t="n"/>
      <c r="H68" s="60" t="n"/>
      <c r="I68" s="60" t="n"/>
      <c r="J68" s="60" t="n"/>
      <c r="K68" s="60" t="n"/>
      <c r="L68" s="60" t="n"/>
      <c r="M68" s="61">
        <f>IF(NOT((COUNTA($B68:$D68)+COUNTA($G68:$L68)+COUNTA($Q68))&gt;0),"",IF(ISNUMBER($G68),1,IF(N($W68)&gt;0,AVERAGEIFS($X$5:$X$1000,$U$5:$U$1000,ROW(),$V$5:$V$1000,"Sub"),$X68)))</f>
        <v/>
      </c>
      <c r="N68" s="56">
        <f>IF($M68="","",IF($M68&gt;=1,"Completado",IF($M68&gt;0,"En curso","Pendiente")))</f>
        <v/>
      </c>
      <c r="O68" s="56">
        <f>IF(NOT((COUNTA($B68:$D68)+COUNTA($G68:$L68)+COUNTA($Q68))&gt;0),"",IF(ISNUMBER($G68),IF(AND(ISNUMBER($AN68),$G68&gt;$AN68),"Cumplida con "&amp;($G68-$AN68)&amp;IF($G68-$AN68=1," día"," días")&amp;" de retraso","Cumplida"),IF(N($M68)&gt;=1,"Cumplida",IF(NOT(ISNUMBER($AN68)),"Sin fecha límite",IF($AN68&lt;FechaRef,"Vencida hace "&amp;(FechaRef-$AN68)&amp;IF(FechaRef-$AN68=1," día"," días"),IF($AN68=FechaRef,"Vence hoy",IF($AN68-FechaRef&lt;=DiasAlerta,"Vence en "&amp;($AN68-FechaRef)&amp;IF($AN68-FechaRef=1," día"," días"),"En plazo")))))))</f>
        <v/>
      </c>
      <c r="P68" s="62" t="n"/>
      <c r="Q68" s="58" t="n"/>
      <c r="R68" s="63">
        <f>IF(NOT((COUNTA($B68:$D68)+COUNTA($G68:$L68)+COUNTA($Q68))&gt;0),"",IF((IF($C68="","Falta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",""))="","✔ OK","⚠ "&amp;LEFT(IF($C68="","Falta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",""),LEN(IF($C68="","Falta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",""))-3)))</f>
        <v/>
      </c>
      <c r="S68" s="64">
        <f>IF(NOT((COUNTA($B68:$D68)+COUNTA($G68:$L68)+COUNTA($Q68))&gt;0),"",IF(AND($V68="Sub",N($U68)&gt;0),IF(ISNUMBER(INDEX($AM$5:$AM$1000,$U68-4)),DATE(YEAR(INDEX($AM$5:$AM$1000,$U68-4)),MONTH(INDEX($AM$5:$AM$1000,$U68-4)),1),IF(ISNUMBER(INDEX($AN$5:$AN$1000,$U68-4)),DATE(YEAR(INDEX($AN$5:$AN$1000,$U68-4)),MONTH(INDEX($AN$5:$AN$1000,$U68-4)),1),MesCiclo)),IF(ISNUMBER($AM68),DATE(YEAR($AM68),MONTH($AM68),1),IF(ISNUMBER($AN68),DATE(YEAR($AN68),MONTH($AN68),1),MesCiclo))))</f>
        <v/>
      </c>
      <c r="T68" s="62">
        <f>IF(OR($S68="",$S68&lt;&gt;MesCiclo),"",COUNTIF($S$5:$S68,MesCiclo))</f>
        <v/>
      </c>
      <c r="U68" s="62">
        <f>IF($V68="","",IF($V68="Macro",ROW(),IFERROR(LOOKUP(2,1/($V$5:$V68="Macro"),ROW($V$5:$V68)),0)))</f>
        <v/>
      </c>
      <c r="V68" s="62">
        <f>IF(NOT((COUNTA($B68:$D68)+COUNTA($G68:$L68)+COUNTA($Q68))&gt;0),"",IF($B68="Subactividad","Sub","Macro"))</f>
        <v/>
      </c>
      <c r="W68" s="62">
        <f>IF($V68="Macro",COUNTIFS($U$5:$U$1000,ROW(),$V$5:$V$1000,"Sub"),"")</f>
        <v/>
      </c>
      <c r="X68" s="62">
        <f>IF($V68="","",IF(ISNUMBER($G68),1,IFERROR(LOOKUP(2,1/($I68:$L68&lt;&gt;""),$I68:$L68),0)))</f>
        <v/>
      </c>
      <c r="Y68" s="62">
        <f>IF($V68="","",IF(AND(ISNUMBER($G68),$G68&lt;=IF($S68=MesCiclo,InicioCiclo,$S68+MOD(2-WEEKDAY($S68),7))+6),1,IF(ISNUMBER($I68),$I68,0)))</f>
        <v/>
      </c>
      <c r="Z68" s="62">
        <f>IF($V68="","",IF(AND(ISNUMBER($G68),$G68&lt;=IF($S68=MesCiclo,InicioCiclo,$S68+MOD(2-WEEKDAY($S68),7))+13),1,IF(ISNUMBER($J68),$J68,$Y68)))</f>
        <v/>
      </c>
      <c r="AA68" s="62">
        <f>IF($V68="","",IF(AND(ISNUMBER($G68),$G68&lt;=IF($S68=MesCiclo,InicioCiclo,$S68+MOD(2-WEEKDAY($S68),7))+20),1,IF(ISNUMBER($K68),$K68,$Z68)))</f>
        <v/>
      </c>
      <c r="AB68" s="62">
        <f>IF($V68="","",IF(AND(ISNUMBER($G68),$G68&lt;=IF($S68=MesCiclo,InicioCiclo,$S68+MOD(2-WEEKDAY($S68),7))+27),1,IF(ISNUMBER($L68),$L68,$AA68)))</f>
        <v/>
      </c>
      <c r="AC68" s="62">
        <f>IF($V68="","",IF(AND(ISNUMBER($G68),$G68&lt;=IF($S68=MesCiclo,InicioCiclo,$S68+MOD(2-WEEKDAY($S68),7))+6),1,IF(N($W68)&gt;0,AVERAGEIFS($Y$5:$Y$1000,$U$5:$U$1000,ROW(),$V$5:$V$1000,"Sub"),$Y68)))</f>
        <v/>
      </c>
      <c r="AD68" s="62">
        <f>IF($V68="","",IF(AND(ISNUMBER($G68),$G68&lt;=IF($S68=MesCiclo,InicioCiclo,$S68+MOD(2-WEEKDAY($S68),7))+13),1,IF(N($W68)&gt;0,AVERAGEIFS($Z$5:$Z$1000,$U$5:$U$1000,ROW(),$V$5:$V$1000,"Sub"),$Z68)))</f>
        <v/>
      </c>
      <c r="AE68" s="62">
        <f>IF($V68="","",IF(AND(ISNUMBER($G68),$G68&lt;=IF($S68=MesCiclo,InicioCiclo,$S68+MOD(2-WEEKDAY($S68),7))+20),1,IF(N($W68)&gt;0,AVERAGEIFS($AA$5:$AA$1000,$U$5:$U$1000,ROW(),$V$5:$V$1000,"Sub"),$AA68)))</f>
        <v/>
      </c>
      <c r="AF68" s="62">
        <f>IF($V68="","",IF(AND(ISNUMBER($G68),$G68&lt;=IF($S68=MesCiclo,InicioCiclo,$S68+MOD(2-WEEKDAY($S68),7))+27),1,IF(N($W68)&gt;0,AVERAGEIFS($AB$5:$AB$1000,$U$5:$U$1000,ROW(),$V$5:$V$1000,"Sub"),$AB68)))</f>
        <v/>
      </c>
      <c r="AG68" s="62">
        <f>IF($V68&lt;&gt;"Macro","",IF(COUNTIFS($S$5:$S$1000,$S68,$V$5:$V$1000,"Macro",$H$5:$H$1000,"&gt;0")=0,1/COUNTIFS($S$5:$S$1000,$S68,$V$5:$V$1000,"Macro"),IF(AND(ISNUMBER($H68),N($H68)&gt;0),$H68,SUMIFS($H$5:$H$1000,$S$5:$S$1000,$S68,$V$5:$V$1000,"Macro")/COUNTIFS($S$5:$S$1000,$S68,$V$5:$V$1000,"Macro",$H$5:$H$1000,"&gt;0"))/(COUNTIFS($S$5:$S$1000,$S68,$V$5:$V$1000,"Macro")*SUMIFS($H$5:$H$1000,$S$5:$S$1000,$S68,$V$5:$V$1000,"Macro")/COUNTIFS($S$5:$S$1000,$S68,$V$5:$V$1000,"Macro",$H$5:$H$1000,"&gt;0"))))</f>
        <v/>
      </c>
      <c r="AH68" s="62" t="n"/>
      <c r="AI68" s="62" t="n"/>
      <c r="AJ68" s="62" t="n"/>
      <c r="AK68" s="62" t="n"/>
      <c r="AL68" s="62">
        <f>IF(LEFT($C68,11)="[Jefatura] ",IFERROR(MATCH("Asistente Técnico de Riesgo|"&amp;MID($C68,12,500),rDname_ADM,0),0),"")</f>
        <v/>
      </c>
      <c r="AM68" s="62">
        <f>IF(N($AL68)&gt;0,INDEX(rIni_ADM,$AL68),IF(ISNUMBER($E68),$E68,""))</f>
        <v/>
      </c>
      <c r="AN68" s="62">
        <f>IF(N($AL68)&gt;0,INDEX(rLim_ADM,$AL68),IF(ISNUMBER($F68),$F68,""))</f>
        <v/>
      </c>
    </row>
    <row r="69">
      <c r="A69" s="56">
        <f>IF(NOT((COUNTA($B69:$D69)+COUNTA($G69:$L69)+COUNTA($Q69))&gt;0),"",IF($V69="Macro",COUNTIFS($V$5:$V69,"Macro",$S$5:$S69,$S69),IF(N($U69)=0,"?",COUNTIFS(INDEX($V$5:$V$1000,1):INDEX($V$5:$V$1000,$U69-4),"Macro",INDEX($S$5:$S$1000,1):INDEX($S$5:$S$1000,$U69-4),INDEX($S$5:$S$1000,$U69-4))&amp;"."&amp;COUNTIFS($U$5:$U69,$U69,$V$5:$V69,"Sub"))))</f>
        <v/>
      </c>
      <c r="B69" s="57" t="n"/>
      <c r="C69" s="58" t="n"/>
      <c r="D69" s="58" t="n"/>
      <c r="E69" s="59">
        <f>IF(N($AL69)&gt;0,INDEX(rIni_ADM,$AL69),"")</f>
        <v/>
      </c>
      <c r="F69" s="59">
        <f>IF(N($AL69)&gt;0,INDEX(rLim_ADM,$AL69),"")</f>
        <v/>
      </c>
      <c r="G69" s="59" t="n"/>
      <c r="H69" s="60" t="n"/>
      <c r="I69" s="60" t="n"/>
      <c r="J69" s="60" t="n"/>
      <c r="K69" s="60" t="n"/>
      <c r="L69" s="60" t="n"/>
      <c r="M69" s="61">
        <f>IF(NOT((COUNTA($B69:$D69)+COUNTA($G69:$L69)+COUNTA($Q69))&gt;0),"",IF(ISNUMBER($G69),1,IF(N($W69)&gt;0,AVERAGEIFS($X$5:$X$1000,$U$5:$U$1000,ROW(),$V$5:$V$1000,"Sub"),$X69)))</f>
        <v/>
      </c>
      <c r="N69" s="56">
        <f>IF($M69="","",IF($M69&gt;=1,"Completado",IF($M69&gt;0,"En curso","Pendiente")))</f>
        <v/>
      </c>
      <c r="O69" s="56">
        <f>IF(NOT((COUNTA($B69:$D69)+COUNTA($G69:$L69)+COUNTA($Q69))&gt;0),"",IF(ISNUMBER($G69),IF(AND(ISNUMBER($AN69),$G69&gt;$AN69),"Cumplida con "&amp;($G69-$AN69)&amp;IF($G69-$AN69=1," día"," días")&amp;" de retraso","Cumplida"),IF(N($M69)&gt;=1,"Cumplida",IF(NOT(ISNUMBER($AN69)),"Sin fecha límite",IF($AN69&lt;FechaRef,"Vencida hace "&amp;(FechaRef-$AN69)&amp;IF(FechaRef-$AN69=1," día"," días"),IF($AN69=FechaRef,"Vence hoy",IF($AN69-FechaRef&lt;=DiasAlerta,"Vence en "&amp;($AN69-FechaRef)&amp;IF($AN69-FechaRef=1," día"," días"),"En plazo")))))))</f>
        <v/>
      </c>
      <c r="P69" s="62" t="n"/>
      <c r="Q69" s="58" t="n"/>
      <c r="R69" s="63">
        <f>IF(NOT((COUNTA($B69:$D69)+COUNTA($G69:$L69)+COUNTA($Q69))&gt;0),"",IF((IF($C69="","Falta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",""))="","✔ OK","⚠ "&amp;LEFT(IF($C69="","Falta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",""),LEN(IF($C69="","Falta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",""))-3)))</f>
        <v/>
      </c>
      <c r="S69" s="64">
        <f>IF(NOT((COUNTA($B69:$D69)+COUNTA($G69:$L69)+COUNTA($Q69))&gt;0),"",IF(AND($V69="Sub",N($U69)&gt;0),IF(ISNUMBER(INDEX($AM$5:$AM$1000,$U69-4)),DATE(YEAR(INDEX($AM$5:$AM$1000,$U69-4)),MONTH(INDEX($AM$5:$AM$1000,$U69-4)),1),IF(ISNUMBER(INDEX($AN$5:$AN$1000,$U69-4)),DATE(YEAR(INDEX($AN$5:$AN$1000,$U69-4)),MONTH(INDEX($AN$5:$AN$1000,$U69-4)),1),MesCiclo)),IF(ISNUMBER($AM69),DATE(YEAR($AM69),MONTH($AM69),1),IF(ISNUMBER($AN69),DATE(YEAR($AN69),MONTH($AN69),1),MesCiclo))))</f>
        <v/>
      </c>
      <c r="T69" s="62">
        <f>IF(OR($S69="",$S69&lt;&gt;MesCiclo),"",COUNTIF($S$5:$S69,MesCiclo))</f>
        <v/>
      </c>
      <c r="U69" s="62">
        <f>IF($V69="","",IF($V69="Macro",ROW(),IFERROR(LOOKUP(2,1/($V$5:$V69="Macro"),ROW($V$5:$V69)),0)))</f>
        <v/>
      </c>
      <c r="V69" s="62">
        <f>IF(NOT((COUNTA($B69:$D69)+COUNTA($G69:$L69)+COUNTA($Q69))&gt;0),"",IF($B69="Subactividad","Sub","Macro"))</f>
        <v/>
      </c>
      <c r="W69" s="62">
        <f>IF($V69="Macro",COUNTIFS($U$5:$U$1000,ROW(),$V$5:$V$1000,"Sub"),"")</f>
        <v/>
      </c>
      <c r="X69" s="62">
        <f>IF($V69="","",IF(ISNUMBER($G69),1,IFERROR(LOOKUP(2,1/($I69:$L69&lt;&gt;""),$I69:$L69),0)))</f>
        <v/>
      </c>
      <c r="Y69" s="62">
        <f>IF($V69="","",IF(AND(ISNUMBER($G69),$G69&lt;=IF($S69=MesCiclo,InicioCiclo,$S69+MOD(2-WEEKDAY($S69),7))+6),1,IF(ISNUMBER($I69),$I69,0)))</f>
        <v/>
      </c>
      <c r="Z69" s="62">
        <f>IF($V69="","",IF(AND(ISNUMBER($G69),$G69&lt;=IF($S69=MesCiclo,InicioCiclo,$S69+MOD(2-WEEKDAY($S69),7))+13),1,IF(ISNUMBER($J69),$J69,$Y69)))</f>
        <v/>
      </c>
      <c r="AA69" s="62">
        <f>IF($V69="","",IF(AND(ISNUMBER($G69),$G69&lt;=IF($S69=MesCiclo,InicioCiclo,$S69+MOD(2-WEEKDAY($S69),7))+20),1,IF(ISNUMBER($K69),$K69,$Z69)))</f>
        <v/>
      </c>
      <c r="AB69" s="62">
        <f>IF($V69="","",IF(AND(ISNUMBER($G69),$G69&lt;=IF($S69=MesCiclo,InicioCiclo,$S69+MOD(2-WEEKDAY($S69),7))+27),1,IF(ISNUMBER($L69),$L69,$AA69)))</f>
        <v/>
      </c>
      <c r="AC69" s="62">
        <f>IF($V69="","",IF(AND(ISNUMBER($G69),$G69&lt;=IF($S69=MesCiclo,InicioCiclo,$S69+MOD(2-WEEKDAY($S69),7))+6),1,IF(N($W69)&gt;0,AVERAGEIFS($Y$5:$Y$1000,$U$5:$U$1000,ROW(),$V$5:$V$1000,"Sub"),$Y69)))</f>
        <v/>
      </c>
      <c r="AD69" s="62">
        <f>IF($V69="","",IF(AND(ISNUMBER($G69),$G69&lt;=IF($S69=MesCiclo,InicioCiclo,$S69+MOD(2-WEEKDAY($S69),7))+13),1,IF(N($W69)&gt;0,AVERAGEIFS($Z$5:$Z$1000,$U$5:$U$1000,ROW(),$V$5:$V$1000,"Sub"),$Z69)))</f>
        <v/>
      </c>
      <c r="AE69" s="62">
        <f>IF($V69="","",IF(AND(ISNUMBER($G69),$G69&lt;=IF($S69=MesCiclo,InicioCiclo,$S69+MOD(2-WEEKDAY($S69),7))+20),1,IF(N($W69)&gt;0,AVERAGEIFS($AA$5:$AA$1000,$U$5:$U$1000,ROW(),$V$5:$V$1000,"Sub"),$AA69)))</f>
        <v/>
      </c>
      <c r="AF69" s="62">
        <f>IF($V69="","",IF(AND(ISNUMBER($G69),$G69&lt;=IF($S69=MesCiclo,InicioCiclo,$S69+MOD(2-WEEKDAY($S69),7))+27),1,IF(N($W69)&gt;0,AVERAGEIFS($AB$5:$AB$1000,$U$5:$U$1000,ROW(),$V$5:$V$1000,"Sub"),$AB69)))</f>
        <v/>
      </c>
      <c r="AG69" s="62">
        <f>IF($V69&lt;&gt;"Macro","",IF(COUNTIFS($S$5:$S$1000,$S69,$V$5:$V$1000,"Macro",$H$5:$H$1000,"&gt;0")=0,1/COUNTIFS($S$5:$S$1000,$S69,$V$5:$V$1000,"Macro"),IF(AND(ISNUMBER($H69),N($H69)&gt;0),$H69,SUMIFS($H$5:$H$1000,$S$5:$S$1000,$S69,$V$5:$V$1000,"Macro")/COUNTIFS($S$5:$S$1000,$S69,$V$5:$V$1000,"Macro",$H$5:$H$1000,"&gt;0"))/(COUNTIFS($S$5:$S$1000,$S69,$V$5:$V$1000,"Macro")*SUMIFS($H$5:$H$1000,$S$5:$S$1000,$S69,$V$5:$V$1000,"Macro")/COUNTIFS($S$5:$S$1000,$S69,$V$5:$V$1000,"Macro",$H$5:$H$1000,"&gt;0"))))</f>
        <v/>
      </c>
      <c r="AH69" s="62" t="n"/>
      <c r="AI69" s="62" t="n"/>
      <c r="AJ69" s="62" t="n"/>
      <c r="AK69" s="62" t="n"/>
      <c r="AL69" s="62">
        <f>IF(LEFT($C69,11)="[Jefatura] ",IFERROR(MATCH("Asistente Técnico de Riesgo|"&amp;MID($C69,12,500),rDname_ADM,0),0),"")</f>
        <v/>
      </c>
      <c r="AM69" s="62">
        <f>IF(N($AL69)&gt;0,INDEX(rIni_ADM,$AL69),IF(ISNUMBER($E69),$E69,""))</f>
        <v/>
      </c>
      <c r="AN69" s="62">
        <f>IF(N($AL69)&gt;0,INDEX(rLim_ADM,$AL69),IF(ISNUMBER($F69),$F69,""))</f>
        <v/>
      </c>
    </row>
    <row r="70">
      <c r="A70" s="56">
        <f>IF(NOT((COUNTA($B70:$D70)+COUNTA($G70:$L70)+COUNTA($Q70))&gt;0),"",IF($V70="Macro",COUNTIFS($V$5:$V70,"Macro",$S$5:$S70,$S70),IF(N($U70)=0,"?",COUNTIFS(INDEX($V$5:$V$1000,1):INDEX($V$5:$V$1000,$U70-4),"Macro",INDEX($S$5:$S$1000,1):INDEX($S$5:$S$1000,$U70-4),INDEX($S$5:$S$1000,$U70-4))&amp;"."&amp;COUNTIFS($U$5:$U70,$U70,$V$5:$V70,"Sub"))))</f>
        <v/>
      </c>
      <c r="B70" s="57" t="n"/>
      <c r="C70" s="58" t="n"/>
      <c r="D70" s="58" t="n"/>
      <c r="E70" s="59">
        <f>IF(N($AL70)&gt;0,INDEX(rIni_ADM,$AL70),"")</f>
        <v/>
      </c>
      <c r="F70" s="59">
        <f>IF(N($AL70)&gt;0,INDEX(rLim_ADM,$AL70),"")</f>
        <v/>
      </c>
      <c r="G70" s="59" t="n"/>
      <c r="H70" s="60" t="n"/>
      <c r="I70" s="60" t="n"/>
      <c r="J70" s="60" t="n"/>
      <c r="K70" s="60" t="n"/>
      <c r="L70" s="60" t="n"/>
      <c r="M70" s="61">
        <f>IF(NOT((COUNTA($B70:$D70)+COUNTA($G70:$L70)+COUNTA($Q70))&gt;0),"",IF(ISNUMBER($G70),1,IF(N($W70)&gt;0,AVERAGEIFS($X$5:$X$1000,$U$5:$U$1000,ROW(),$V$5:$V$1000,"Sub"),$X70)))</f>
        <v/>
      </c>
      <c r="N70" s="56">
        <f>IF($M70="","",IF($M70&gt;=1,"Completado",IF($M70&gt;0,"En curso","Pendiente")))</f>
        <v/>
      </c>
      <c r="O70" s="56">
        <f>IF(NOT((COUNTA($B70:$D70)+COUNTA($G70:$L70)+COUNTA($Q70))&gt;0),"",IF(ISNUMBER($G70),IF(AND(ISNUMBER($AN70),$G70&gt;$AN70),"Cumplida con "&amp;($G70-$AN70)&amp;IF($G70-$AN70=1," día"," días")&amp;" de retraso","Cumplida"),IF(N($M70)&gt;=1,"Cumplida",IF(NOT(ISNUMBER($AN70)),"Sin fecha límite",IF($AN70&lt;FechaRef,"Vencida hace "&amp;(FechaRef-$AN70)&amp;IF(FechaRef-$AN70=1," día"," días"),IF($AN70=FechaRef,"Vence hoy",IF($AN70-FechaRef&lt;=DiasAlerta,"Vence en "&amp;($AN70-FechaRef)&amp;IF($AN70-FechaRef=1," día"," días"),"En plazo")))))))</f>
        <v/>
      </c>
      <c r="P70" s="62" t="n"/>
      <c r="Q70" s="58" t="n"/>
      <c r="R70" s="63">
        <f>IF(NOT((COUNTA($B70:$D70)+COUNTA($G70:$L70)+COUNTA($Q70))&gt;0),"",IF((IF($C70="","Falta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",""))="","✔ OK","⚠ "&amp;LEFT(IF($C70="","Falta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",""),LEN(IF($C70="","Falta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",""))-3)))</f>
        <v/>
      </c>
      <c r="S70" s="64">
        <f>IF(NOT((COUNTA($B70:$D70)+COUNTA($G70:$L70)+COUNTA($Q70))&gt;0),"",IF(AND($V70="Sub",N($U70)&gt;0),IF(ISNUMBER(INDEX($AM$5:$AM$1000,$U70-4)),DATE(YEAR(INDEX($AM$5:$AM$1000,$U70-4)),MONTH(INDEX($AM$5:$AM$1000,$U70-4)),1),IF(ISNUMBER(INDEX($AN$5:$AN$1000,$U70-4)),DATE(YEAR(INDEX($AN$5:$AN$1000,$U70-4)),MONTH(INDEX($AN$5:$AN$1000,$U70-4)),1),MesCiclo)),IF(ISNUMBER($AM70),DATE(YEAR($AM70),MONTH($AM70),1),IF(ISNUMBER($AN70),DATE(YEAR($AN70),MONTH($AN70),1),MesCiclo))))</f>
        <v/>
      </c>
      <c r="T70" s="62">
        <f>IF(OR($S70="",$S70&lt;&gt;MesCiclo),"",COUNTIF($S$5:$S70,MesCiclo))</f>
        <v/>
      </c>
      <c r="U70" s="62">
        <f>IF($V70="","",IF($V70="Macro",ROW(),IFERROR(LOOKUP(2,1/($V$5:$V70="Macro"),ROW($V$5:$V70)),0)))</f>
        <v/>
      </c>
      <c r="V70" s="62">
        <f>IF(NOT((COUNTA($B70:$D70)+COUNTA($G70:$L70)+COUNTA($Q70))&gt;0),"",IF($B70="Subactividad","Sub","Macro"))</f>
        <v/>
      </c>
      <c r="W70" s="62">
        <f>IF($V70="Macro",COUNTIFS($U$5:$U$1000,ROW(),$V$5:$V$1000,"Sub"),"")</f>
        <v/>
      </c>
      <c r="X70" s="62">
        <f>IF($V70="","",IF(ISNUMBER($G70),1,IFERROR(LOOKUP(2,1/($I70:$L70&lt;&gt;""),$I70:$L70),0)))</f>
        <v/>
      </c>
      <c r="Y70" s="62">
        <f>IF($V70="","",IF(AND(ISNUMBER($G70),$G70&lt;=IF($S70=MesCiclo,InicioCiclo,$S70+MOD(2-WEEKDAY($S70),7))+6),1,IF(ISNUMBER($I70),$I70,0)))</f>
        <v/>
      </c>
      <c r="Z70" s="62">
        <f>IF($V70="","",IF(AND(ISNUMBER($G70),$G70&lt;=IF($S70=MesCiclo,InicioCiclo,$S70+MOD(2-WEEKDAY($S70),7))+13),1,IF(ISNUMBER($J70),$J70,$Y70)))</f>
        <v/>
      </c>
      <c r="AA70" s="62">
        <f>IF($V70="","",IF(AND(ISNUMBER($G70),$G70&lt;=IF($S70=MesCiclo,InicioCiclo,$S70+MOD(2-WEEKDAY($S70),7))+20),1,IF(ISNUMBER($K70),$K70,$Z70)))</f>
        <v/>
      </c>
      <c r="AB70" s="62">
        <f>IF($V70="","",IF(AND(ISNUMBER($G70),$G70&lt;=IF($S70=MesCiclo,InicioCiclo,$S70+MOD(2-WEEKDAY($S70),7))+27),1,IF(ISNUMBER($L70),$L70,$AA70)))</f>
        <v/>
      </c>
      <c r="AC70" s="62">
        <f>IF($V70="","",IF(AND(ISNUMBER($G70),$G70&lt;=IF($S70=MesCiclo,InicioCiclo,$S70+MOD(2-WEEKDAY($S70),7))+6),1,IF(N($W70)&gt;0,AVERAGEIFS($Y$5:$Y$1000,$U$5:$U$1000,ROW(),$V$5:$V$1000,"Sub"),$Y70)))</f>
        <v/>
      </c>
      <c r="AD70" s="62">
        <f>IF($V70="","",IF(AND(ISNUMBER($G70),$G70&lt;=IF($S70=MesCiclo,InicioCiclo,$S70+MOD(2-WEEKDAY($S70),7))+13),1,IF(N($W70)&gt;0,AVERAGEIFS($Z$5:$Z$1000,$U$5:$U$1000,ROW(),$V$5:$V$1000,"Sub"),$Z70)))</f>
        <v/>
      </c>
      <c r="AE70" s="62">
        <f>IF($V70="","",IF(AND(ISNUMBER($G70),$G70&lt;=IF($S70=MesCiclo,InicioCiclo,$S70+MOD(2-WEEKDAY($S70),7))+20),1,IF(N($W70)&gt;0,AVERAGEIFS($AA$5:$AA$1000,$U$5:$U$1000,ROW(),$V$5:$V$1000,"Sub"),$AA70)))</f>
        <v/>
      </c>
      <c r="AF70" s="62">
        <f>IF($V70="","",IF(AND(ISNUMBER($G70),$G70&lt;=IF($S70=MesCiclo,InicioCiclo,$S70+MOD(2-WEEKDAY($S70),7))+27),1,IF(N($W70)&gt;0,AVERAGEIFS($AB$5:$AB$1000,$U$5:$U$1000,ROW(),$V$5:$V$1000,"Sub"),$AB70)))</f>
        <v/>
      </c>
      <c r="AG70" s="62">
        <f>IF($V70&lt;&gt;"Macro","",IF(COUNTIFS($S$5:$S$1000,$S70,$V$5:$V$1000,"Macro",$H$5:$H$1000,"&gt;0")=0,1/COUNTIFS($S$5:$S$1000,$S70,$V$5:$V$1000,"Macro"),IF(AND(ISNUMBER($H70),N($H70)&gt;0),$H70,SUMIFS($H$5:$H$1000,$S$5:$S$1000,$S70,$V$5:$V$1000,"Macro")/COUNTIFS($S$5:$S$1000,$S70,$V$5:$V$1000,"Macro",$H$5:$H$1000,"&gt;0"))/(COUNTIFS($S$5:$S$1000,$S70,$V$5:$V$1000,"Macro")*SUMIFS($H$5:$H$1000,$S$5:$S$1000,$S70,$V$5:$V$1000,"Macro")/COUNTIFS($S$5:$S$1000,$S70,$V$5:$V$1000,"Macro",$H$5:$H$1000,"&gt;0"))))</f>
        <v/>
      </c>
      <c r="AH70" s="62" t="n"/>
      <c r="AI70" s="62" t="n"/>
      <c r="AJ70" s="62" t="n"/>
      <c r="AK70" s="62" t="n"/>
      <c r="AL70" s="62">
        <f>IF(LEFT($C70,11)="[Jefatura] ",IFERROR(MATCH("Asistente Técnico de Riesgo|"&amp;MID($C70,12,500),rDname_ADM,0),0),"")</f>
        <v/>
      </c>
      <c r="AM70" s="62">
        <f>IF(N($AL70)&gt;0,INDEX(rIni_ADM,$AL70),IF(ISNUMBER($E70),$E70,""))</f>
        <v/>
      </c>
      <c r="AN70" s="62">
        <f>IF(N($AL70)&gt;0,INDEX(rLim_ADM,$AL70),IF(ISNUMBER($F70),$F70,""))</f>
        <v/>
      </c>
    </row>
    <row r="71">
      <c r="A71" s="56">
        <f>IF(NOT((COUNTA($B71:$D71)+COUNTA($G71:$L71)+COUNTA($Q71))&gt;0),"",IF($V71="Macro",COUNTIFS($V$5:$V71,"Macro",$S$5:$S71,$S71),IF(N($U71)=0,"?",COUNTIFS(INDEX($V$5:$V$1000,1):INDEX($V$5:$V$1000,$U71-4),"Macro",INDEX($S$5:$S$1000,1):INDEX($S$5:$S$1000,$U71-4),INDEX($S$5:$S$1000,$U71-4))&amp;"."&amp;COUNTIFS($U$5:$U71,$U71,$V$5:$V71,"Sub"))))</f>
        <v/>
      </c>
      <c r="B71" s="57" t="n"/>
      <c r="C71" s="58" t="n"/>
      <c r="D71" s="58" t="n"/>
      <c r="E71" s="59">
        <f>IF(N($AL71)&gt;0,INDEX(rIni_ADM,$AL71),"")</f>
        <v/>
      </c>
      <c r="F71" s="59">
        <f>IF(N($AL71)&gt;0,INDEX(rLim_ADM,$AL71),"")</f>
        <v/>
      </c>
      <c r="G71" s="59" t="n"/>
      <c r="H71" s="60" t="n"/>
      <c r="I71" s="60" t="n"/>
      <c r="J71" s="60" t="n"/>
      <c r="K71" s="60" t="n"/>
      <c r="L71" s="60" t="n"/>
      <c r="M71" s="61">
        <f>IF(NOT((COUNTA($B71:$D71)+COUNTA($G71:$L71)+COUNTA($Q71))&gt;0),"",IF(ISNUMBER($G71),1,IF(N($W71)&gt;0,AVERAGEIFS($X$5:$X$1000,$U$5:$U$1000,ROW(),$V$5:$V$1000,"Sub"),$X71)))</f>
        <v/>
      </c>
      <c r="N71" s="56">
        <f>IF($M71="","",IF($M71&gt;=1,"Completado",IF($M71&gt;0,"En curso","Pendiente")))</f>
        <v/>
      </c>
      <c r="O71" s="56">
        <f>IF(NOT((COUNTA($B71:$D71)+COUNTA($G71:$L71)+COUNTA($Q71))&gt;0),"",IF(ISNUMBER($G71),IF(AND(ISNUMBER($AN71),$G71&gt;$AN71),"Cumplida con "&amp;($G71-$AN71)&amp;IF($G71-$AN71=1," día"," días")&amp;" de retraso","Cumplida"),IF(N($M71)&gt;=1,"Cumplida",IF(NOT(ISNUMBER($AN71)),"Sin fecha límite",IF($AN71&lt;FechaRef,"Vencida hace "&amp;(FechaRef-$AN71)&amp;IF(FechaRef-$AN71=1," día"," días"),IF($AN71=FechaRef,"Vence hoy",IF($AN71-FechaRef&lt;=DiasAlerta,"Vence en "&amp;($AN71-FechaRef)&amp;IF($AN71-FechaRef=1," día"," días"),"En plazo")))))))</f>
        <v/>
      </c>
      <c r="P71" s="62" t="n"/>
      <c r="Q71" s="58" t="n"/>
      <c r="R71" s="63">
        <f>IF(NOT((COUNTA($B71:$D71)+COUNTA($G71:$L71)+COUNTA($Q71))&gt;0),"",IF((IF($C71="","Falta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",""))="","✔ OK","⚠ "&amp;LEFT(IF($C71="","Falta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",""),LEN(IF($C71="","Falta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",""))-3)))</f>
        <v/>
      </c>
      <c r="S71" s="64">
        <f>IF(NOT((COUNTA($B71:$D71)+COUNTA($G71:$L71)+COUNTA($Q71))&gt;0),"",IF(AND($V71="Sub",N($U71)&gt;0),IF(ISNUMBER(INDEX($AM$5:$AM$1000,$U71-4)),DATE(YEAR(INDEX($AM$5:$AM$1000,$U71-4)),MONTH(INDEX($AM$5:$AM$1000,$U71-4)),1),IF(ISNUMBER(INDEX($AN$5:$AN$1000,$U71-4)),DATE(YEAR(INDEX($AN$5:$AN$1000,$U71-4)),MONTH(INDEX($AN$5:$AN$1000,$U71-4)),1),MesCiclo)),IF(ISNUMBER($AM71),DATE(YEAR($AM71),MONTH($AM71),1),IF(ISNUMBER($AN71),DATE(YEAR($AN71),MONTH($AN71),1),MesCiclo))))</f>
        <v/>
      </c>
      <c r="T71" s="62">
        <f>IF(OR($S71="",$S71&lt;&gt;MesCiclo),"",COUNTIF($S$5:$S71,MesCiclo))</f>
        <v/>
      </c>
      <c r="U71" s="62">
        <f>IF($V71="","",IF($V71="Macro",ROW(),IFERROR(LOOKUP(2,1/($V$5:$V71="Macro"),ROW($V$5:$V71)),0)))</f>
        <v/>
      </c>
      <c r="V71" s="62">
        <f>IF(NOT((COUNTA($B71:$D71)+COUNTA($G71:$L71)+COUNTA($Q71))&gt;0),"",IF($B71="Subactividad","Sub","Macro"))</f>
        <v/>
      </c>
      <c r="W71" s="62">
        <f>IF($V71="Macro",COUNTIFS($U$5:$U$1000,ROW(),$V$5:$V$1000,"Sub"),"")</f>
        <v/>
      </c>
      <c r="X71" s="62">
        <f>IF($V71="","",IF(ISNUMBER($G71),1,IFERROR(LOOKUP(2,1/($I71:$L71&lt;&gt;""),$I71:$L71),0)))</f>
        <v/>
      </c>
      <c r="Y71" s="62">
        <f>IF($V71="","",IF(AND(ISNUMBER($G71),$G71&lt;=IF($S71=MesCiclo,InicioCiclo,$S71+MOD(2-WEEKDAY($S71),7))+6),1,IF(ISNUMBER($I71),$I71,0)))</f>
        <v/>
      </c>
      <c r="Z71" s="62">
        <f>IF($V71="","",IF(AND(ISNUMBER($G71),$G71&lt;=IF($S71=MesCiclo,InicioCiclo,$S71+MOD(2-WEEKDAY($S71),7))+13),1,IF(ISNUMBER($J71),$J71,$Y71)))</f>
        <v/>
      </c>
      <c r="AA71" s="62">
        <f>IF($V71="","",IF(AND(ISNUMBER($G71),$G71&lt;=IF($S71=MesCiclo,InicioCiclo,$S71+MOD(2-WEEKDAY($S71),7))+20),1,IF(ISNUMBER($K71),$K71,$Z71)))</f>
        <v/>
      </c>
      <c r="AB71" s="62">
        <f>IF($V71="","",IF(AND(ISNUMBER($G71),$G71&lt;=IF($S71=MesCiclo,InicioCiclo,$S71+MOD(2-WEEKDAY($S71),7))+27),1,IF(ISNUMBER($L71),$L71,$AA71)))</f>
        <v/>
      </c>
      <c r="AC71" s="62">
        <f>IF($V71="","",IF(AND(ISNUMBER($G71),$G71&lt;=IF($S71=MesCiclo,InicioCiclo,$S71+MOD(2-WEEKDAY($S71),7))+6),1,IF(N($W71)&gt;0,AVERAGEIFS($Y$5:$Y$1000,$U$5:$U$1000,ROW(),$V$5:$V$1000,"Sub"),$Y71)))</f>
        <v/>
      </c>
      <c r="AD71" s="62">
        <f>IF($V71="","",IF(AND(ISNUMBER($G71),$G71&lt;=IF($S71=MesCiclo,InicioCiclo,$S71+MOD(2-WEEKDAY($S71),7))+13),1,IF(N($W71)&gt;0,AVERAGEIFS($Z$5:$Z$1000,$U$5:$U$1000,ROW(),$V$5:$V$1000,"Sub"),$Z71)))</f>
        <v/>
      </c>
      <c r="AE71" s="62">
        <f>IF($V71="","",IF(AND(ISNUMBER($G71),$G71&lt;=IF($S71=MesCiclo,InicioCiclo,$S71+MOD(2-WEEKDAY($S71),7))+20),1,IF(N($W71)&gt;0,AVERAGEIFS($AA$5:$AA$1000,$U$5:$U$1000,ROW(),$V$5:$V$1000,"Sub"),$AA71)))</f>
        <v/>
      </c>
      <c r="AF71" s="62">
        <f>IF($V71="","",IF(AND(ISNUMBER($G71),$G71&lt;=IF($S71=MesCiclo,InicioCiclo,$S71+MOD(2-WEEKDAY($S71),7))+27),1,IF(N($W71)&gt;0,AVERAGEIFS($AB$5:$AB$1000,$U$5:$U$1000,ROW(),$V$5:$V$1000,"Sub"),$AB71)))</f>
        <v/>
      </c>
      <c r="AG71" s="62">
        <f>IF($V71&lt;&gt;"Macro","",IF(COUNTIFS($S$5:$S$1000,$S71,$V$5:$V$1000,"Macro",$H$5:$H$1000,"&gt;0")=0,1/COUNTIFS($S$5:$S$1000,$S71,$V$5:$V$1000,"Macro"),IF(AND(ISNUMBER($H71),N($H71)&gt;0),$H71,SUMIFS($H$5:$H$1000,$S$5:$S$1000,$S71,$V$5:$V$1000,"Macro")/COUNTIFS($S$5:$S$1000,$S71,$V$5:$V$1000,"Macro",$H$5:$H$1000,"&gt;0"))/(COUNTIFS($S$5:$S$1000,$S71,$V$5:$V$1000,"Macro")*SUMIFS($H$5:$H$1000,$S$5:$S$1000,$S71,$V$5:$V$1000,"Macro")/COUNTIFS($S$5:$S$1000,$S71,$V$5:$V$1000,"Macro",$H$5:$H$1000,"&gt;0"))))</f>
        <v/>
      </c>
      <c r="AH71" s="62" t="n"/>
      <c r="AI71" s="62" t="n"/>
      <c r="AJ71" s="62" t="n"/>
      <c r="AK71" s="62" t="n"/>
      <c r="AL71" s="62">
        <f>IF(LEFT($C71,11)="[Jefatura] ",IFERROR(MATCH("Asistente Técnico de Riesgo|"&amp;MID($C71,12,500),rDname_ADM,0),0),"")</f>
        <v/>
      </c>
      <c r="AM71" s="62">
        <f>IF(N($AL71)&gt;0,INDEX(rIni_ADM,$AL71),IF(ISNUMBER($E71),$E71,""))</f>
        <v/>
      </c>
      <c r="AN71" s="62">
        <f>IF(N($AL71)&gt;0,INDEX(rLim_ADM,$AL71),IF(ISNUMBER($F71),$F71,""))</f>
        <v/>
      </c>
    </row>
    <row r="72">
      <c r="A72" s="56">
        <f>IF(NOT((COUNTA($B72:$D72)+COUNTA($G72:$L72)+COUNTA($Q72))&gt;0),"",IF($V72="Macro",COUNTIFS($V$5:$V72,"Macro",$S$5:$S72,$S72),IF(N($U72)=0,"?",COUNTIFS(INDEX($V$5:$V$1000,1):INDEX($V$5:$V$1000,$U72-4),"Macro",INDEX($S$5:$S$1000,1):INDEX($S$5:$S$1000,$U72-4),INDEX($S$5:$S$1000,$U72-4))&amp;"."&amp;COUNTIFS($U$5:$U72,$U72,$V$5:$V72,"Sub"))))</f>
        <v/>
      </c>
      <c r="B72" s="57" t="n"/>
      <c r="C72" s="58" t="n"/>
      <c r="D72" s="58" t="n"/>
      <c r="E72" s="59">
        <f>IF(N($AL72)&gt;0,INDEX(rIni_ADM,$AL72),"")</f>
        <v/>
      </c>
      <c r="F72" s="59">
        <f>IF(N($AL72)&gt;0,INDEX(rLim_ADM,$AL72),"")</f>
        <v/>
      </c>
      <c r="G72" s="59" t="n"/>
      <c r="H72" s="60" t="n"/>
      <c r="I72" s="60" t="n"/>
      <c r="J72" s="60" t="n"/>
      <c r="K72" s="60" t="n"/>
      <c r="L72" s="60" t="n"/>
      <c r="M72" s="61">
        <f>IF(NOT((COUNTA($B72:$D72)+COUNTA($G72:$L72)+COUNTA($Q72))&gt;0),"",IF(ISNUMBER($G72),1,IF(N($W72)&gt;0,AVERAGEIFS($X$5:$X$1000,$U$5:$U$1000,ROW(),$V$5:$V$1000,"Sub"),$X72)))</f>
        <v/>
      </c>
      <c r="N72" s="56">
        <f>IF($M72="","",IF($M72&gt;=1,"Completado",IF($M72&gt;0,"En curso","Pendiente")))</f>
        <v/>
      </c>
      <c r="O72" s="56">
        <f>IF(NOT((COUNTA($B72:$D72)+COUNTA($G72:$L72)+COUNTA($Q72))&gt;0),"",IF(ISNUMBER($G72),IF(AND(ISNUMBER($AN72),$G72&gt;$AN72),"Cumplida con "&amp;($G72-$AN72)&amp;IF($G72-$AN72=1," día"," días")&amp;" de retraso","Cumplida"),IF(N($M72)&gt;=1,"Cumplida",IF(NOT(ISNUMBER($AN72)),"Sin fecha límite",IF($AN72&lt;FechaRef,"Vencida hace "&amp;(FechaRef-$AN72)&amp;IF(FechaRef-$AN72=1," día"," días"),IF($AN72=FechaRef,"Vence hoy",IF($AN72-FechaRef&lt;=DiasAlerta,"Vence en "&amp;($AN72-FechaRef)&amp;IF($AN72-FechaRef=1," día"," días"),"En plazo")))))))</f>
        <v/>
      </c>
      <c r="P72" s="62" t="n"/>
      <c r="Q72" s="58" t="n"/>
      <c r="R72" s="63">
        <f>IF(NOT((COUNTA($B72:$D72)+COUNTA($G72:$L72)+COUNTA($Q72))&gt;0),"",IF((IF($C72="","Falta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",""))="","✔ OK","⚠ "&amp;LEFT(IF($C72="","Falta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",""),LEN(IF($C72="","Falta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",""))-3)))</f>
        <v/>
      </c>
      <c r="S72" s="64">
        <f>IF(NOT((COUNTA($B72:$D72)+COUNTA($G72:$L72)+COUNTA($Q72))&gt;0),"",IF(AND($V72="Sub",N($U72)&gt;0),IF(ISNUMBER(INDEX($AM$5:$AM$1000,$U72-4)),DATE(YEAR(INDEX($AM$5:$AM$1000,$U72-4)),MONTH(INDEX($AM$5:$AM$1000,$U72-4)),1),IF(ISNUMBER(INDEX($AN$5:$AN$1000,$U72-4)),DATE(YEAR(INDEX($AN$5:$AN$1000,$U72-4)),MONTH(INDEX($AN$5:$AN$1000,$U72-4)),1),MesCiclo)),IF(ISNUMBER($AM72),DATE(YEAR($AM72),MONTH($AM72),1),IF(ISNUMBER($AN72),DATE(YEAR($AN72),MONTH($AN72),1),MesCiclo))))</f>
        <v/>
      </c>
      <c r="T72" s="62">
        <f>IF(OR($S72="",$S72&lt;&gt;MesCiclo),"",COUNTIF($S$5:$S72,MesCiclo))</f>
        <v/>
      </c>
      <c r="U72" s="62">
        <f>IF($V72="","",IF($V72="Macro",ROW(),IFERROR(LOOKUP(2,1/($V$5:$V72="Macro"),ROW($V$5:$V72)),0)))</f>
        <v/>
      </c>
      <c r="V72" s="62">
        <f>IF(NOT((COUNTA($B72:$D72)+COUNTA($G72:$L72)+COUNTA($Q72))&gt;0),"",IF($B72="Subactividad","Sub","Macro"))</f>
        <v/>
      </c>
      <c r="W72" s="62">
        <f>IF($V72="Macro",COUNTIFS($U$5:$U$1000,ROW(),$V$5:$V$1000,"Sub"),"")</f>
        <v/>
      </c>
      <c r="X72" s="62">
        <f>IF($V72="","",IF(ISNUMBER($G72),1,IFERROR(LOOKUP(2,1/($I72:$L72&lt;&gt;""),$I72:$L72),0)))</f>
        <v/>
      </c>
      <c r="Y72" s="62">
        <f>IF($V72="","",IF(AND(ISNUMBER($G72),$G72&lt;=IF($S72=MesCiclo,InicioCiclo,$S72+MOD(2-WEEKDAY($S72),7))+6),1,IF(ISNUMBER($I72),$I72,0)))</f>
        <v/>
      </c>
      <c r="Z72" s="62">
        <f>IF($V72="","",IF(AND(ISNUMBER($G72),$G72&lt;=IF($S72=MesCiclo,InicioCiclo,$S72+MOD(2-WEEKDAY($S72),7))+13),1,IF(ISNUMBER($J72),$J72,$Y72)))</f>
        <v/>
      </c>
      <c r="AA72" s="62">
        <f>IF($V72="","",IF(AND(ISNUMBER($G72),$G72&lt;=IF($S72=MesCiclo,InicioCiclo,$S72+MOD(2-WEEKDAY($S72),7))+20),1,IF(ISNUMBER($K72),$K72,$Z72)))</f>
        <v/>
      </c>
      <c r="AB72" s="62">
        <f>IF($V72="","",IF(AND(ISNUMBER($G72),$G72&lt;=IF($S72=MesCiclo,InicioCiclo,$S72+MOD(2-WEEKDAY($S72),7))+27),1,IF(ISNUMBER($L72),$L72,$AA72)))</f>
        <v/>
      </c>
      <c r="AC72" s="62">
        <f>IF($V72="","",IF(AND(ISNUMBER($G72),$G72&lt;=IF($S72=MesCiclo,InicioCiclo,$S72+MOD(2-WEEKDAY($S72),7))+6),1,IF(N($W72)&gt;0,AVERAGEIFS($Y$5:$Y$1000,$U$5:$U$1000,ROW(),$V$5:$V$1000,"Sub"),$Y72)))</f>
        <v/>
      </c>
      <c r="AD72" s="62">
        <f>IF($V72="","",IF(AND(ISNUMBER($G72),$G72&lt;=IF($S72=MesCiclo,InicioCiclo,$S72+MOD(2-WEEKDAY($S72),7))+13),1,IF(N($W72)&gt;0,AVERAGEIFS($Z$5:$Z$1000,$U$5:$U$1000,ROW(),$V$5:$V$1000,"Sub"),$Z72)))</f>
        <v/>
      </c>
      <c r="AE72" s="62">
        <f>IF($V72="","",IF(AND(ISNUMBER($G72),$G72&lt;=IF($S72=MesCiclo,InicioCiclo,$S72+MOD(2-WEEKDAY($S72),7))+20),1,IF(N($W72)&gt;0,AVERAGEIFS($AA$5:$AA$1000,$U$5:$U$1000,ROW(),$V$5:$V$1000,"Sub"),$AA72)))</f>
        <v/>
      </c>
      <c r="AF72" s="62">
        <f>IF($V72="","",IF(AND(ISNUMBER($G72),$G72&lt;=IF($S72=MesCiclo,InicioCiclo,$S72+MOD(2-WEEKDAY($S72),7))+27),1,IF(N($W72)&gt;0,AVERAGEIFS($AB$5:$AB$1000,$U$5:$U$1000,ROW(),$V$5:$V$1000,"Sub"),$AB72)))</f>
        <v/>
      </c>
      <c r="AG72" s="62">
        <f>IF($V72&lt;&gt;"Macro","",IF(COUNTIFS($S$5:$S$1000,$S72,$V$5:$V$1000,"Macro",$H$5:$H$1000,"&gt;0")=0,1/COUNTIFS($S$5:$S$1000,$S72,$V$5:$V$1000,"Macro"),IF(AND(ISNUMBER($H72),N($H72)&gt;0),$H72,SUMIFS($H$5:$H$1000,$S$5:$S$1000,$S72,$V$5:$V$1000,"Macro")/COUNTIFS($S$5:$S$1000,$S72,$V$5:$V$1000,"Macro",$H$5:$H$1000,"&gt;0"))/(COUNTIFS($S$5:$S$1000,$S72,$V$5:$V$1000,"Macro")*SUMIFS($H$5:$H$1000,$S$5:$S$1000,$S72,$V$5:$V$1000,"Macro")/COUNTIFS($S$5:$S$1000,$S72,$V$5:$V$1000,"Macro",$H$5:$H$1000,"&gt;0"))))</f>
        <v/>
      </c>
      <c r="AH72" s="62" t="n"/>
      <c r="AI72" s="62" t="n"/>
      <c r="AJ72" s="62" t="n"/>
      <c r="AK72" s="62" t="n"/>
      <c r="AL72" s="62">
        <f>IF(LEFT($C72,11)="[Jefatura] ",IFERROR(MATCH("Asistente Técnico de Riesgo|"&amp;MID($C72,12,500),rDname_ADM,0),0),"")</f>
        <v/>
      </c>
      <c r="AM72" s="62">
        <f>IF(N($AL72)&gt;0,INDEX(rIni_ADM,$AL72),IF(ISNUMBER($E72),$E72,""))</f>
        <v/>
      </c>
      <c r="AN72" s="62">
        <f>IF(N($AL72)&gt;0,INDEX(rLim_ADM,$AL72),IF(ISNUMBER($F72),$F72,""))</f>
        <v/>
      </c>
    </row>
    <row r="73">
      <c r="A73" s="56">
        <f>IF(NOT((COUNTA($B73:$D73)+COUNTA($G73:$L73)+COUNTA($Q73))&gt;0),"",IF($V73="Macro",COUNTIFS($V$5:$V73,"Macro",$S$5:$S73,$S73),IF(N($U73)=0,"?",COUNTIFS(INDEX($V$5:$V$1000,1):INDEX($V$5:$V$1000,$U73-4),"Macro",INDEX($S$5:$S$1000,1):INDEX($S$5:$S$1000,$U73-4),INDEX($S$5:$S$1000,$U73-4))&amp;"."&amp;COUNTIFS($U$5:$U73,$U73,$V$5:$V73,"Sub"))))</f>
        <v/>
      </c>
      <c r="B73" s="57" t="n"/>
      <c r="C73" s="58" t="n"/>
      <c r="D73" s="58" t="n"/>
      <c r="E73" s="59">
        <f>IF(N($AL73)&gt;0,INDEX(rIni_ADM,$AL73),"")</f>
        <v/>
      </c>
      <c r="F73" s="59">
        <f>IF(N($AL73)&gt;0,INDEX(rLim_ADM,$AL73),"")</f>
        <v/>
      </c>
      <c r="G73" s="59" t="n"/>
      <c r="H73" s="60" t="n"/>
      <c r="I73" s="60" t="n"/>
      <c r="J73" s="60" t="n"/>
      <c r="K73" s="60" t="n"/>
      <c r="L73" s="60" t="n"/>
      <c r="M73" s="61">
        <f>IF(NOT((COUNTA($B73:$D73)+COUNTA($G73:$L73)+COUNTA($Q73))&gt;0),"",IF(ISNUMBER($G73),1,IF(N($W73)&gt;0,AVERAGEIFS($X$5:$X$1000,$U$5:$U$1000,ROW(),$V$5:$V$1000,"Sub"),$X73)))</f>
        <v/>
      </c>
      <c r="N73" s="56">
        <f>IF($M73="","",IF($M73&gt;=1,"Completado",IF($M73&gt;0,"En curso","Pendiente")))</f>
        <v/>
      </c>
      <c r="O73" s="56">
        <f>IF(NOT((COUNTA($B73:$D73)+COUNTA($G73:$L73)+COUNTA($Q73))&gt;0),"",IF(ISNUMBER($G73),IF(AND(ISNUMBER($AN73),$G73&gt;$AN73),"Cumplida con "&amp;($G73-$AN73)&amp;IF($G73-$AN73=1," día"," días")&amp;" de retraso","Cumplida"),IF(N($M73)&gt;=1,"Cumplida",IF(NOT(ISNUMBER($AN73)),"Sin fecha límite",IF($AN73&lt;FechaRef,"Vencida hace "&amp;(FechaRef-$AN73)&amp;IF(FechaRef-$AN73=1," día"," días"),IF($AN73=FechaRef,"Vence hoy",IF($AN73-FechaRef&lt;=DiasAlerta,"Vence en "&amp;($AN73-FechaRef)&amp;IF($AN73-FechaRef=1," día"," días"),"En plazo")))))))</f>
        <v/>
      </c>
      <c r="P73" s="62" t="n"/>
      <c r="Q73" s="58" t="n"/>
      <c r="R73" s="63">
        <f>IF(NOT((COUNTA($B73:$D73)+COUNTA($G73:$L73)+COUNTA($Q73))&gt;0),"",IF((IF($C73="","Falta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",""))="","✔ OK","⚠ "&amp;LEFT(IF($C73="","Falta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",""),LEN(IF($C73="","Falta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",""))-3)))</f>
        <v/>
      </c>
      <c r="S73" s="64">
        <f>IF(NOT((COUNTA($B73:$D73)+COUNTA($G73:$L73)+COUNTA($Q73))&gt;0),"",IF(AND($V73="Sub",N($U73)&gt;0),IF(ISNUMBER(INDEX($AM$5:$AM$1000,$U73-4)),DATE(YEAR(INDEX($AM$5:$AM$1000,$U73-4)),MONTH(INDEX($AM$5:$AM$1000,$U73-4)),1),IF(ISNUMBER(INDEX($AN$5:$AN$1000,$U73-4)),DATE(YEAR(INDEX($AN$5:$AN$1000,$U73-4)),MONTH(INDEX($AN$5:$AN$1000,$U73-4)),1),MesCiclo)),IF(ISNUMBER($AM73),DATE(YEAR($AM73),MONTH($AM73),1),IF(ISNUMBER($AN73),DATE(YEAR($AN73),MONTH($AN73),1),MesCiclo))))</f>
        <v/>
      </c>
      <c r="T73" s="62">
        <f>IF(OR($S73="",$S73&lt;&gt;MesCiclo),"",COUNTIF($S$5:$S73,MesCiclo))</f>
        <v/>
      </c>
      <c r="U73" s="62">
        <f>IF($V73="","",IF($V73="Macro",ROW(),IFERROR(LOOKUP(2,1/($V$5:$V73="Macro"),ROW($V$5:$V73)),0)))</f>
        <v/>
      </c>
      <c r="V73" s="62">
        <f>IF(NOT((COUNTA($B73:$D73)+COUNTA($G73:$L73)+COUNTA($Q73))&gt;0),"",IF($B73="Subactividad","Sub","Macro"))</f>
        <v/>
      </c>
      <c r="W73" s="62">
        <f>IF($V73="Macro",COUNTIFS($U$5:$U$1000,ROW(),$V$5:$V$1000,"Sub"),"")</f>
        <v/>
      </c>
      <c r="X73" s="62">
        <f>IF($V73="","",IF(ISNUMBER($G73),1,IFERROR(LOOKUP(2,1/($I73:$L73&lt;&gt;""),$I73:$L73),0)))</f>
        <v/>
      </c>
      <c r="Y73" s="62">
        <f>IF($V73="","",IF(AND(ISNUMBER($G73),$G73&lt;=IF($S73=MesCiclo,InicioCiclo,$S73+MOD(2-WEEKDAY($S73),7))+6),1,IF(ISNUMBER($I73),$I73,0)))</f>
        <v/>
      </c>
      <c r="Z73" s="62">
        <f>IF($V73="","",IF(AND(ISNUMBER($G73),$G73&lt;=IF($S73=MesCiclo,InicioCiclo,$S73+MOD(2-WEEKDAY($S73),7))+13),1,IF(ISNUMBER($J73),$J73,$Y73)))</f>
        <v/>
      </c>
      <c r="AA73" s="62">
        <f>IF($V73="","",IF(AND(ISNUMBER($G73),$G73&lt;=IF($S73=MesCiclo,InicioCiclo,$S73+MOD(2-WEEKDAY($S73),7))+20),1,IF(ISNUMBER($K73),$K73,$Z73)))</f>
        <v/>
      </c>
      <c r="AB73" s="62">
        <f>IF($V73="","",IF(AND(ISNUMBER($G73),$G73&lt;=IF($S73=MesCiclo,InicioCiclo,$S73+MOD(2-WEEKDAY($S73),7))+27),1,IF(ISNUMBER($L73),$L73,$AA73)))</f>
        <v/>
      </c>
      <c r="AC73" s="62">
        <f>IF($V73="","",IF(AND(ISNUMBER($G73),$G73&lt;=IF($S73=MesCiclo,InicioCiclo,$S73+MOD(2-WEEKDAY($S73),7))+6),1,IF(N($W73)&gt;0,AVERAGEIFS($Y$5:$Y$1000,$U$5:$U$1000,ROW(),$V$5:$V$1000,"Sub"),$Y73)))</f>
        <v/>
      </c>
      <c r="AD73" s="62">
        <f>IF($V73="","",IF(AND(ISNUMBER($G73),$G73&lt;=IF($S73=MesCiclo,InicioCiclo,$S73+MOD(2-WEEKDAY($S73),7))+13),1,IF(N($W73)&gt;0,AVERAGEIFS($Z$5:$Z$1000,$U$5:$U$1000,ROW(),$V$5:$V$1000,"Sub"),$Z73)))</f>
        <v/>
      </c>
      <c r="AE73" s="62">
        <f>IF($V73="","",IF(AND(ISNUMBER($G73),$G73&lt;=IF($S73=MesCiclo,InicioCiclo,$S73+MOD(2-WEEKDAY($S73),7))+20),1,IF(N($W73)&gt;0,AVERAGEIFS($AA$5:$AA$1000,$U$5:$U$1000,ROW(),$V$5:$V$1000,"Sub"),$AA73)))</f>
        <v/>
      </c>
      <c r="AF73" s="62">
        <f>IF($V73="","",IF(AND(ISNUMBER($G73),$G73&lt;=IF($S73=MesCiclo,InicioCiclo,$S73+MOD(2-WEEKDAY($S73),7))+27),1,IF(N($W73)&gt;0,AVERAGEIFS($AB$5:$AB$1000,$U$5:$U$1000,ROW(),$V$5:$V$1000,"Sub"),$AB73)))</f>
        <v/>
      </c>
      <c r="AG73" s="62">
        <f>IF($V73&lt;&gt;"Macro","",IF(COUNTIFS($S$5:$S$1000,$S73,$V$5:$V$1000,"Macro",$H$5:$H$1000,"&gt;0")=0,1/COUNTIFS($S$5:$S$1000,$S73,$V$5:$V$1000,"Macro"),IF(AND(ISNUMBER($H73),N($H73)&gt;0),$H73,SUMIFS($H$5:$H$1000,$S$5:$S$1000,$S73,$V$5:$V$1000,"Macro")/COUNTIFS($S$5:$S$1000,$S73,$V$5:$V$1000,"Macro",$H$5:$H$1000,"&gt;0"))/(COUNTIFS($S$5:$S$1000,$S73,$V$5:$V$1000,"Macro")*SUMIFS($H$5:$H$1000,$S$5:$S$1000,$S73,$V$5:$V$1000,"Macro")/COUNTIFS($S$5:$S$1000,$S73,$V$5:$V$1000,"Macro",$H$5:$H$1000,"&gt;0"))))</f>
        <v/>
      </c>
      <c r="AH73" s="62" t="n"/>
      <c r="AI73" s="62" t="n"/>
      <c r="AJ73" s="62" t="n"/>
      <c r="AK73" s="62" t="n"/>
      <c r="AL73" s="62">
        <f>IF(LEFT($C73,11)="[Jefatura] ",IFERROR(MATCH("Asistente Técnico de Riesgo|"&amp;MID($C73,12,500),rDname_ADM,0),0),"")</f>
        <v/>
      </c>
      <c r="AM73" s="62">
        <f>IF(N($AL73)&gt;0,INDEX(rIni_ADM,$AL73),IF(ISNUMBER($E73),$E73,""))</f>
        <v/>
      </c>
      <c r="AN73" s="62">
        <f>IF(N($AL73)&gt;0,INDEX(rLim_ADM,$AL73),IF(ISNUMBER($F73),$F73,""))</f>
        <v/>
      </c>
    </row>
    <row r="74">
      <c r="A74" s="56">
        <f>IF(NOT((COUNTA($B74:$D74)+COUNTA($G74:$L74)+COUNTA($Q74))&gt;0),"",IF($V74="Macro",COUNTIFS($V$5:$V74,"Macro",$S$5:$S74,$S74),IF(N($U74)=0,"?",COUNTIFS(INDEX($V$5:$V$1000,1):INDEX($V$5:$V$1000,$U74-4),"Macro",INDEX($S$5:$S$1000,1):INDEX($S$5:$S$1000,$U74-4),INDEX($S$5:$S$1000,$U74-4))&amp;"."&amp;COUNTIFS($U$5:$U74,$U74,$V$5:$V74,"Sub"))))</f>
        <v/>
      </c>
      <c r="B74" s="57" t="n"/>
      <c r="C74" s="58" t="n"/>
      <c r="D74" s="58" t="n"/>
      <c r="E74" s="59">
        <f>IF(N($AL74)&gt;0,INDEX(rIni_ADM,$AL74),"")</f>
        <v/>
      </c>
      <c r="F74" s="59">
        <f>IF(N($AL74)&gt;0,INDEX(rLim_ADM,$AL74),"")</f>
        <v/>
      </c>
      <c r="G74" s="59" t="n"/>
      <c r="H74" s="60" t="n"/>
      <c r="I74" s="60" t="n"/>
      <c r="J74" s="60" t="n"/>
      <c r="K74" s="60" t="n"/>
      <c r="L74" s="60" t="n"/>
      <c r="M74" s="61">
        <f>IF(NOT((COUNTA($B74:$D74)+COUNTA($G74:$L74)+COUNTA($Q74))&gt;0),"",IF(ISNUMBER($G74),1,IF(N($W74)&gt;0,AVERAGEIFS($X$5:$X$1000,$U$5:$U$1000,ROW(),$V$5:$V$1000,"Sub"),$X74)))</f>
        <v/>
      </c>
      <c r="N74" s="56">
        <f>IF($M74="","",IF($M74&gt;=1,"Completado",IF($M74&gt;0,"En curso","Pendiente")))</f>
        <v/>
      </c>
      <c r="O74" s="56">
        <f>IF(NOT((COUNTA($B74:$D74)+COUNTA($G74:$L74)+COUNTA($Q74))&gt;0),"",IF(ISNUMBER($G74),IF(AND(ISNUMBER($AN74),$G74&gt;$AN74),"Cumplida con "&amp;($G74-$AN74)&amp;IF($G74-$AN74=1," día"," días")&amp;" de retraso","Cumplida"),IF(N($M74)&gt;=1,"Cumplida",IF(NOT(ISNUMBER($AN74)),"Sin fecha límite",IF($AN74&lt;FechaRef,"Vencida hace "&amp;(FechaRef-$AN74)&amp;IF(FechaRef-$AN74=1," día"," días"),IF($AN74=FechaRef,"Vence hoy",IF($AN74-FechaRef&lt;=DiasAlerta,"Vence en "&amp;($AN74-FechaRef)&amp;IF($AN74-FechaRef=1," día"," días"),"En plazo")))))))</f>
        <v/>
      </c>
      <c r="P74" s="62" t="n"/>
      <c r="Q74" s="58" t="n"/>
      <c r="R74" s="63">
        <f>IF(NOT((COUNTA($B74:$D74)+COUNTA($G74:$L74)+COUNTA($Q74))&gt;0),"",IF((IF($C74="","Falta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",""))="","✔ OK","⚠ "&amp;LEFT(IF($C74="","Falta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",""),LEN(IF($C74="","Falta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",""))-3)))</f>
        <v/>
      </c>
      <c r="S74" s="64">
        <f>IF(NOT((COUNTA($B74:$D74)+COUNTA($G74:$L74)+COUNTA($Q74))&gt;0),"",IF(AND($V74="Sub",N($U74)&gt;0),IF(ISNUMBER(INDEX($AM$5:$AM$1000,$U74-4)),DATE(YEAR(INDEX($AM$5:$AM$1000,$U74-4)),MONTH(INDEX($AM$5:$AM$1000,$U74-4)),1),IF(ISNUMBER(INDEX($AN$5:$AN$1000,$U74-4)),DATE(YEAR(INDEX($AN$5:$AN$1000,$U74-4)),MONTH(INDEX($AN$5:$AN$1000,$U74-4)),1),MesCiclo)),IF(ISNUMBER($AM74),DATE(YEAR($AM74),MONTH($AM74),1),IF(ISNUMBER($AN74),DATE(YEAR($AN74),MONTH($AN74),1),MesCiclo))))</f>
        <v/>
      </c>
      <c r="T74" s="62">
        <f>IF(OR($S74="",$S74&lt;&gt;MesCiclo),"",COUNTIF($S$5:$S74,MesCiclo))</f>
        <v/>
      </c>
      <c r="U74" s="62">
        <f>IF($V74="","",IF($V74="Macro",ROW(),IFERROR(LOOKUP(2,1/($V$5:$V74="Macro"),ROW($V$5:$V74)),0)))</f>
        <v/>
      </c>
      <c r="V74" s="62">
        <f>IF(NOT((COUNTA($B74:$D74)+COUNTA($G74:$L74)+COUNTA($Q74))&gt;0),"",IF($B74="Subactividad","Sub","Macro"))</f>
        <v/>
      </c>
      <c r="W74" s="62">
        <f>IF($V74="Macro",COUNTIFS($U$5:$U$1000,ROW(),$V$5:$V$1000,"Sub"),"")</f>
        <v/>
      </c>
      <c r="X74" s="62">
        <f>IF($V74="","",IF(ISNUMBER($G74),1,IFERROR(LOOKUP(2,1/($I74:$L74&lt;&gt;""),$I74:$L74),0)))</f>
        <v/>
      </c>
      <c r="Y74" s="62">
        <f>IF($V74="","",IF(AND(ISNUMBER($G74),$G74&lt;=IF($S74=MesCiclo,InicioCiclo,$S74+MOD(2-WEEKDAY($S74),7))+6),1,IF(ISNUMBER($I74),$I74,0)))</f>
        <v/>
      </c>
      <c r="Z74" s="62">
        <f>IF($V74="","",IF(AND(ISNUMBER($G74),$G74&lt;=IF($S74=MesCiclo,InicioCiclo,$S74+MOD(2-WEEKDAY($S74),7))+13),1,IF(ISNUMBER($J74),$J74,$Y74)))</f>
        <v/>
      </c>
      <c r="AA74" s="62">
        <f>IF($V74="","",IF(AND(ISNUMBER($G74),$G74&lt;=IF($S74=MesCiclo,InicioCiclo,$S74+MOD(2-WEEKDAY($S74),7))+20),1,IF(ISNUMBER($K74),$K74,$Z74)))</f>
        <v/>
      </c>
      <c r="AB74" s="62">
        <f>IF($V74="","",IF(AND(ISNUMBER($G74),$G74&lt;=IF($S74=MesCiclo,InicioCiclo,$S74+MOD(2-WEEKDAY($S74),7))+27),1,IF(ISNUMBER($L74),$L74,$AA74)))</f>
        <v/>
      </c>
      <c r="AC74" s="62">
        <f>IF($V74="","",IF(AND(ISNUMBER($G74),$G74&lt;=IF($S74=MesCiclo,InicioCiclo,$S74+MOD(2-WEEKDAY($S74),7))+6),1,IF(N($W74)&gt;0,AVERAGEIFS($Y$5:$Y$1000,$U$5:$U$1000,ROW(),$V$5:$V$1000,"Sub"),$Y74)))</f>
        <v/>
      </c>
      <c r="AD74" s="62">
        <f>IF($V74="","",IF(AND(ISNUMBER($G74),$G74&lt;=IF($S74=MesCiclo,InicioCiclo,$S74+MOD(2-WEEKDAY($S74),7))+13),1,IF(N($W74)&gt;0,AVERAGEIFS($Z$5:$Z$1000,$U$5:$U$1000,ROW(),$V$5:$V$1000,"Sub"),$Z74)))</f>
        <v/>
      </c>
      <c r="AE74" s="62">
        <f>IF($V74="","",IF(AND(ISNUMBER($G74),$G74&lt;=IF($S74=MesCiclo,InicioCiclo,$S74+MOD(2-WEEKDAY($S74),7))+20),1,IF(N($W74)&gt;0,AVERAGEIFS($AA$5:$AA$1000,$U$5:$U$1000,ROW(),$V$5:$V$1000,"Sub"),$AA74)))</f>
        <v/>
      </c>
      <c r="AF74" s="62">
        <f>IF($V74="","",IF(AND(ISNUMBER($G74),$G74&lt;=IF($S74=MesCiclo,InicioCiclo,$S74+MOD(2-WEEKDAY($S74),7))+27),1,IF(N($W74)&gt;0,AVERAGEIFS($AB$5:$AB$1000,$U$5:$U$1000,ROW(),$V$5:$V$1000,"Sub"),$AB74)))</f>
        <v/>
      </c>
      <c r="AG74" s="62">
        <f>IF($V74&lt;&gt;"Macro","",IF(COUNTIFS($S$5:$S$1000,$S74,$V$5:$V$1000,"Macro",$H$5:$H$1000,"&gt;0")=0,1/COUNTIFS($S$5:$S$1000,$S74,$V$5:$V$1000,"Macro"),IF(AND(ISNUMBER($H74),N($H74)&gt;0),$H74,SUMIFS($H$5:$H$1000,$S$5:$S$1000,$S74,$V$5:$V$1000,"Macro")/COUNTIFS($S$5:$S$1000,$S74,$V$5:$V$1000,"Macro",$H$5:$H$1000,"&gt;0"))/(COUNTIFS($S$5:$S$1000,$S74,$V$5:$V$1000,"Macro")*SUMIFS($H$5:$H$1000,$S$5:$S$1000,$S74,$V$5:$V$1000,"Macro")/COUNTIFS($S$5:$S$1000,$S74,$V$5:$V$1000,"Macro",$H$5:$H$1000,"&gt;0"))))</f>
        <v/>
      </c>
      <c r="AH74" s="62" t="n"/>
      <c r="AI74" s="62" t="n"/>
      <c r="AJ74" s="62" t="n"/>
      <c r="AK74" s="62" t="n"/>
      <c r="AL74" s="62">
        <f>IF(LEFT($C74,11)="[Jefatura] ",IFERROR(MATCH("Asistente Técnico de Riesgo|"&amp;MID($C74,12,500),rDname_ADM,0),0),"")</f>
        <v/>
      </c>
      <c r="AM74" s="62">
        <f>IF(N($AL74)&gt;0,INDEX(rIni_ADM,$AL74),IF(ISNUMBER($E74),$E74,""))</f>
        <v/>
      </c>
      <c r="AN74" s="62">
        <f>IF(N($AL74)&gt;0,INDEX(rLim_ADM,$AL74),IF(ISNUMBER($F74),$F74,""))</f>
        <v/>
      </c>
    </row>
    <row r="75">
      <c r="A75" s="56">
        <f>IF(NOT((COUNTA($B75:$D75)+COUNTA($G75:$L75)+COUNTA($Q75))&gt;0),"",IF($V75="Macro",COUNTIFS($V$5:$V75,"Macro",$S$5:$S75,$S75),IF(N($U75)=0,"?",COUNTIFS(INDEX($V$5:$V$1000,1):INDEX($V$5:$V$1000,$U75-4),"Macro",INDEX($S$5:$S$1000,1):INDEX($S$5:$S$1000,$U75-4),INDEX($S$5:$S$1000,$U75-4))&amp;"."&amp;COUNTIFS($U$5:$U75,$U75,$V$5:$V75,"Sub"))))</f>
        <v/>
      </c>
      <c r="B75" s="57" t="n"/>
      <c r="C75" s="58" t="n"/>
      <c r="D75" s="58" t="n"/>
      <c r="E75" s="59">
        <f>IF(N($AL75)&gt;0,INDEX(rIni_ADM,$AL75),"")</f>
        <v/>
      </c>
      <c r="F75" s="59">
        <f>IF(N($AL75)&gt;0,INDEX(rLim_ADM,$AL75),"")</f>
        <v/>
      </c>
      <c r="G75" s="59" t="n"/>
      <c r="H75" s="60" t="n"/>
      <c r="I75" s="60" t="n"/>
      <c r="J75" s="60" t="n"/>
      <c r="K75" s="60" t="n"/>
      <c r="L75" s="60" t="n"/>
      <c r="M75" s="61">
        <f>IF(NOT((COUNTA($B75:$D75)+COUNTA($G75:$L75)+COUNTA($Q75))&gt;0),"",IF(ISNUMBER($G75),1,IF(N($W75)&gt;0,AVERAGEIFS($X$5:$X$1000,$U$5:$U$1000,ROW(),$V$5:$V$1000,"Sub"),$X75)))</f>
        <v/>
      </c>
      <c r="N75" s="56">
        <f>IF($M75="","",IF($M75&gt;=1,"Completado",IF($M75&gt;0,"En curso","Pendiente")))</f>
        <v/>
      </c>
      <c r="O75" s="56">
        <f>IF(NOT((COUNTA($B75:$D75)+COUNTA($G75:$L75)+COUNTA($Q75))&gt;0),"",IF(ISNUMBER($G75),IF(AND(ISNUMBER($AN75),$G75&gt;$AN75),"Cumplida con "&amp;($G75-$AN75)&amp;IF($G75-$AN75=1," día"," días")&amp;" de retraso","Cumplida"),IF(N($M75)&gt;=1,"Cumplida",IF(NOT(ISNUMBER($AN75)),"Sin fecha límite",IF($AN75&lt;FechaRef,"Vencida hace "&amp;(FechaRef-$AN75)&amp;IF(FechaRef-$AN75=1," día"," días"),IF($AN75=FechaRef,"Vence hoy",IF($AN75-FechaRef&lt;=DiasAlerta,"Vence en "&amp;($AN75-FechaRef)&amp;IF($AN75-FechaRef=1," día"," días"),"En plazo")))))))</f>
        <v/>
      </c>
      <c r="P75" s="62" t="n"/>
      <c r="Q75" s="58" t="n"/>
      <c r="R75" s="63">
        <f>IF(NOT((COUNTA($B75:$D75)+COUNTA($G75:$L75)+COUNTA($Q75))&gt;0),"",IF((IF($C75="","Falta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",""))="","✔ OK","⚠ "&amp;LEFT(IF($C75="","Falta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",""),LEN(IF($C75="","Falta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",""))-3)))</f>
        <v/>
      </c>
      <c r="S75" s="64">
        <f>IF(NOT((COUNTA($B75:$D75)+COUNTA($G75:$L75)+COUNTA($Q75))&gt;0),"",IF(AND($V75="Sub",N($U75)&gt;0),IF(ISNUMBER(INDEX($AM$5:$AM$1000,$U75-4)),DATE(YEAR(INDEX($AM$5:$AM$1000,$U75-4)),MONTH(INDEX($AM$5:$AM$1000,$U75-4)),1),IF(ISNUMBER(INDEX($AN$5:$AN$1000,$U75-4)),DATE(YEAR(INDEX($AN$5:$AN$1000,$U75-4)),MONTH(INDEX($AN$5:$AN$1000,$U75-4)),1),MesCiclo)),IF(ISNUMBER($AM75),DATE(YEAR($AM75),MONTH($AM75),1),IF(ISNUMBER($AN75),DATE(YEAR($AN75),MONTH($AN75),1),MesCiclo))))</f>
        <v/>
      </c>
      <c r="T75" s="62">
        <f>IF(OR($S75="",$S75&lt;&gt;MesCiclo),"",COUNTIF($S$5:$S75,MesCiclo))</f>
        <v/>
      </c>
      <c r="U75" s="62">
        <f>IF($V75="","",IF($V75="Macro",ROW(),IFERROR(LOOKUP(2,1/($V$5:$V75="Macro"),ROW($V$5:$V75)),0)))</f>
        <v/>
      </c>
      <c r="V75" s="62">
        <f>IF(NOT((COUNTA($B75:$D75)+COUNTA($G75:$L75)+COUNTA($Q75))&gt;0),"",IF($B75="Subactividad","Sub","Macro"))</f>
        <v/>
      </c>
      <c r="W75" s="62">
        <f>IF($V75="Macro",COUNTIFS($U$5:$U$1000,ROW(),$V$5:$V$1000,"Sub"),"")</f>
        <v/>
      </c>
      <c r="X75" s="62">
        <f>IF($V75="","",IF(ISNUMBER($G75),1,IFERROR(LOOKUP(2,1/($I75:$L75&lt;&gt;""),$I75:$L75),0)))</f>
        <v/>
      </c>
      <c r="Y75" s="62">
        <f>IF($V75="","",IF(AND(ISNUMBER($G75),$G75&lt;=IF($S75=MesCiclo,InicioCiclo,$S75+MOD(2-WEEKDAY($S75),7))+6),1,IF(ISNUMBER($I75),$I75,0)))</f>
        <v/>
      </c>
      <c r="Z75" s="62">
        <f>IF($V75="","",IF(AND(ISNUMBER($G75),$G75&lt;=IF($S75=MesCiclo,InicioCiclo,$S75+MOD(2-WEEKDAY($S75),7))+13),1,IF(ISNUMBER($J75),$J75,$Y75)))</f>
        <v/>
      </c>
      <c r="AA75" s="62">
        <f>IF($V75="","",IF(AND(ISNUMBER($G75),$G75&lt;=IF($S75=MesCiclo,InicioCiclo,$S75+MOD(2-WEEKDAY($S75),7))+20),1,IF(ISNUMBER($K75),$K75,$Z75)))</f>
        <v/>
      </c>
      <c r="AB75" s="62">
        <f>IF($V75="","",IF(AND(ISNUMBER($G75),$G75&lt;=IF($S75=MesCiclo,InicioCiclo,$S75+MOD(2-WEEKDAY($S75),7))+27),1,IF(ISNUMBER($L75),$L75,$AA75)))</f>
        <v/>
      </c>
      <c r="AC75" s="62">
        <f>IF($V75="","",IF(AND(ISNUMBER($G75),$G75&lt;=IF($S75=MesCiclo,InicioCiclo,$S75+MOD(2-WEEKDAY($S75),7))+6),1,IF(N($W75)&gt;0,AVERAGEIFS($Y$5:$Y$1000,$U$5:$U$1000,ROW(),$V$5:$V$1000,"Sub"),$Y75)))</f>
        <v/>
      </c>
      <c r="AD75" s="62">
        <f>IF($V75="","",IF(AND(ISNUMBER($G75),$G75&lt;=IF($S75=MesCiclo,InicioCiclo,$S75+MOD(2-WEEKDAY($S75),7))+13),1,IF(N($W75)&gt;0,AVERAGEIFS($Z$5:$Z$1000,$U$5:$U$1000,ROW(),$V$5:$V$1000,"Sub"),$Z75)))</f>
        <v/>
      </c>
      <c r="AE75" s="62">
        <f>IF($V75="","",IF(AND(ISNUMBER($G75),$G75&lt;=IF($S75=MesCiclo,InicioCiclo,$S75+MOD(2-WEEKDAY($S75),7))+20),1,IF(N($W75)&gt;0,AVERAGEIFS($AA$5:$AA$1000,$U$5:$U$1000,ROW(),$V$5:$V$1000,"Sub"),$AA75)))</f>
        <v/>
      </c>
      <c r="AF75" s="62">
        <f>IF($V75="","",IF(AND(ISNUMBER($G75),$G75&lt;=IF($S75=MesCiclo,InicioCiclo,$S75+MOD(2-WEEKDAY($S75),7))+27),1,IF(N($W75)&gt;0,AVERAGEIFS($AB$5:$AB$1000,$U$5:$U$1000,ROW(),$V$5:$V$1000,"Sub"),$AB75)))</f>
        <v/>
      </c>
      <c r="AG75" s="62">
        <f>IF($V75&lt;&gt;"Macro","",IF(COUNTIFS($S$5:$S$1000,$S75,$V$5:$V$1000,"Macro",$H$5:$H$1000,"&gt;0")=0,1/COUNTIFS($S$5:$S$1000,$S75,$V$5:$V$1000,"Macro"),IF(AND(ISNUMBER($H75),N($H75)&gt;0),$H75,SUMIFS($H$5:$H$1000,$S$5:$S$1000,$S75,$V$5:$V$1000,"Macro")/COUNTIFS($S$5:$S$1000,$S75,$V$5:$V$1000,"Macro",$H$5:$H$1000,"&gt;0"))/(COUNTIFS($S$5:$S$1000,$S75,$V$5:$V$1000,"Macro")*SUMIFS($H$5:$H$1000,$S$5:$S$1000,$S75,$V$5:$V$1000,"Macro")/COUNTIFS($S$5:$S$1000,$S75,$V$5:$V$1000,"Macro",$H$5:$H$1000,"&gt;0"))))</f>
        <v/>
      </c>
      <c r="AH75" s="62" t="n"/>
      <c r="AI75" s="62" t="n"/>
      <c r="AJ75" s="62" t="n"/>
      <c r="AK75" s="62" t="n"/>
      <c r="AL75" s="62">
        <f>IF(LEFT($C75,11)="[Jefatura] ",IFERROR(MATCH("Asistente Técnico de Riesgo|"&amp;MID($C75,12,500),rDname_ADM,0),0),"")</f>
        <v/>
      </c>
      <c r="AM75" s="62">
        <f>IF(N($AL75)&gt;0,INDEX(rIni_ADM,$AL75),IF(ISNUMBER($E75),$E75,""))</f>
        <v/>
      </c>
      <c r="AN75" s="62">
        <f>IF(N($AL75)&gt;0,INDEX(rLim_ADM,$AL75),IF(ISNUMBER($F75),$F75,""))</f>
        <v/>
      </c>
    </row>
    <row r="76">
      <c r="A76" s="56">
        <f>IF(NOT((COUNTA($B76:$D76)+COUNTA($G76:$L76)+COUNTA($Q76))&gt;0),"",IF($V76="Macro",COUNTIFS($V$5:$V76,"Macro",$S$5:$S76,$S76),IF(N($U76)=0,"?",COUNTIFS(INDEX($V$5:$V$1000,1):INDEX($V$5:$V$1000,$U76-4),"Macro",INDEX($S$5:$S$1000,1):INDEX($S$5:$S$1000,$U76-4),INDEX($S$5:$S$1000,$U76-4))&amp;"."&amp;COUNTIFS($U$5:$U76,$U76,$V$5:$V76,"Sub"))))</f>
        <v/>
      </c>
      <c r="B76" s="57" t="n"/>
      <c r="C76" s="58" t="n"/>
      <c r="D76" s="58" t="n"/>
      <c r="E76" s="59">
        <f>IF(N($AL76)&gt;0,INDEX(rIni_ADM,$AL76),"")</f>
        <v/>
      </c>
      <c r="F76" s="59">
        <f>IF(N($AL76)&gt;0,INDEX(rLim_ADM,$AL76),"")</f>
        <v/>
      </c>
      <c r="G76" s="59" t="n"/>
      <c r="H76" s="60" t="n"/>
      <c r="I76" s="60" t="n"/>
      <c r="J76" s="60" t="n"/>
      <c r="K76" s="60" t="n"/>
      <c r="L76" s="60" t="n"/>
      <c r="M76" s="61">
        <f>IF(NOT((COUNTA($B76:$D76)+COUNTA($G76:$L76)+COUNTA($Q76))&gt;0),"",IF(ISNUMBER($G76),1,IF(N($W76)&gt;0,AVERAGEIFS($X$5:$X$1000,$U$5:$U$1000,ROW(),$V$5:$V$1000,"Sub"),$X76)))</f>
        <v/>
      </c>
      <c r="N76" s="56">
        <f>IF($M76="","",IF($M76&gt;=1,"Completado",IF($M76&gt;0,"En curso","Pendiente")))</f>
        <v/>
      </c>
      <c r="O76" s="56">
        <f>IF(NOT((COUNTA($B76:$D76)+COUNTA($G76:$L76)+COUNTA($Q76))&gt;0),"",IF(ISNUMBER($G76),IF(AND(ISNUMBER($AN76),$G76&gt;$AN76),"Cumplida con "&amp;($G76-$AN76)&amp;IF($G76-$AN76=1," día"," días")&amp;" de retraso","Cumplida"),IF(N($M76)&gt;=1,"Cumplida",IF(NOT(ISNUMBER($AN76)),"Sin fecha límite",IF($AN76&lt;FechaRef,"Vencida hace "&amp;(FechaRef-$AN76)&amp;IF(FechaRef-$AN76=1," día"," días"),IF($AN76=FechaRef,"Vence hoy",IF($AN76-FechaRef&lt;=DiasAlerta,"Vence en "&amp;($AN76-FechaRef)&amp;IF($AN76-FechaRef=1," día"," días"),"En plazo")))))))</f>
        <v/>
      </c>
      <c r="P76" s="62" t="n"/>
      <c r="Q76" s="58" t="n"/>
      <c r="R76" s="63">
        <f>IF(NOT((COUNTA($B76:$D76)+COUNTA($G76:$L76)+COUNTA($Q76))&gt;0),"",IF((IF($C76="","Falta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",""))="","✔ OK","⚠ "&amp;LEFT(IF($C76="","Falta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",""),LEN(IF($C76="","Falta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",""))-3)))</f>
        <v/>
      </c>
      <c r="S76" s="64">
        <f>IF(NOT((COUNTA($B76:$D76)+COUNTA($G76:$L76)+COUNTA($Q76))&gt;0),"",IF(AND($V76="Sub",N($U76)&gt;0),IF(ISNUMBER(INDEX($AM$5:$AM$1000,$U76-4)),DATE(YEAR(INDEX($AM$5:$AM$1000,$U76-4)),MONTH(INDEX($AM$5:$AM$1000,$U76-4)),1),IF(ISNUMBER(INDEX($AN$5:$AN$1000,$U76-4)),DATE(YEAR(INDEX($AN$5:$AN$1000,$U76-4)),MONTH(INDEX($AN$5:$AN$1000,$U76-4)),1),MesCiclo)),IF(ISNUMBER($AM76),DATE(YEAR($AM76),MONTH($AM76),1),IF(ISNUMBER($AN76),DATE(YEAR($AN76),MONTH($AN76),1),MesCiclo))))</f>
        <v/>
      </c>
      <c r="T76" s="62">
        <f>IF(OR($S76="",$S76&lt;&gt;MesCiclo),"",COUNTIF($S$5:$S76,MesCiclo))</f>
        <v/>
      </c>
      <c r="U76" s="62">
        <f>IF($V76="","",IF($V76="Macro",ROW(),IFERROR(LOOKUP(2,1/($V$5:$V76="Macro"),ROW($V$5:$V76)),0)))</f>
        <v/>
      </c>
      <c r="V76" s="62">
        <f>IF(NOT((COUNTA($B76:$D76)+COUNTA($G76:$L76)+COUNTA($Q76))&gt;0),"",IF($B76="Subactividad","Sub","Macro"))</f>
        <v/>
      </c>
      <c r="W76" s="62">
        <f>IF($V76="Macro",COUNTIFS($U$5:$U$1000,ROW(),$V$5:$V$1000,"Sub"),"")</f>
        <v/>
      </c>
      <c r="X76" s="62">
        <f>IF($V76="","",IF(ISNUMBER($G76),1,IFERROR(LOOKUP(2,1/($I76:$L76&lt;&gt;""),$I76:$L76),0)))</f>
        <v/>
      </c>
      <c r="Y76" s="62">
        <f>IF($V76="","",IF(AND(ISNUMBER($G76),$G76&lt;=IF($S76=MesCiclo,InicioCiclo,$S76+MOD(2-WEEKDAY($S76),7))+6),1,IF(ISNUMBER($I76),$I76,0)))</f>
        <v/>
      </c>
      <c r="Z76" s="62">
        <f>IF($V76="","",IF(AND(ISNUMBER($G76),$G76&lt;=IF($S76=MesCiclo,InicioCiclo,$S76+MOD(2-WEEKDAY($S76),7))+13),1,IF(ISNUMBER($J76),$J76,$Y76)))</f>
        <v/>
      </c>
      <c r="AA76" s="62">
        <f>IF($V76="","",IF(AND(ISNUMBER($G76),$G76&lt;=IF($S76=MesCiclo,InicioCiclo,$S76+MOD(2-WEEKDAY($S76),7))+20),1,IF(ISNUMBER($K76),$K76,$Z76)))</f>
        <v/>
      </c>
      <c r="AB76" s="62">
        <f>IF($V76="","",IF(AND(ISNUMBER($G76),$G76&lt;=IF($S76=MesCiclo,InicioCiclo,$S76+MOD(2-WEEKDAY($S76),7))+27),1,IF(ISNUMBER($L76),$L76,$AA76)))</f>
        <v/>
      </c>
      <c r="AC76" s="62">
        <f>IF($V76="","",IF(AND(ISNUMBER($G76),$G76&lt;=IF($S76=MesCiclo,InicioCiclo,$S76+MOD(2-WEEKDAY($S76),7))+6),1,IF(N($W76)&gt;0,AVERAGEIFS($Y$5:$Y$1000,$U$5:$U$1000,ROW(),$V$5:$V$1000,"Sub"),$Y76)))</f>
        <v/>
      </c>
      <c r="AD76" s="62">
        <f>IF($V76="","",IF(AND(ISNUMBER($G76),$G76&lt;=IF($S76=MesCiclo,InicioCiclo,$S76+MOD(2-WEEKDAY($S76),7))+13),1,IF(N($W76)&gt;0,AVERAGEIFS($Z$5:$Z$1000,$U$5:$U$1000,ROW(),$V$5:$V$1000,"Sub"),$Z76)))</f>
        <v/>
      </c>
      <c r="AE76" s="62">
        <f>IF($V76="","",IF(AND(ISNUMBER($G76),$G76&lt;=IF($S76=MesCiclo,InicioCiclo,$S76+MOD(2-WEEKDAY($S76),7))+20),1,IF(N($W76)&gt;0,AVERAGEIFS($AA$5:$AA$1000,$U$5:$U$1000,ROW(),$V$5:$V$1000,"Sub"),$AA76)))</f>
        <v/>
      </c>
      <c r="AF76" s="62">
        <f>IF($V76="","",IF(AND(ISNUMBER($G76),$G76&lt;=IF($S76=MesCiclo,InicioCiclo,$S76+MOD(2-WEEKDAY($S76),7))+27),1,IF(N($W76)&gt;0,AVERAGEIFS($AB$5:$AB$1000,$U$5:$U$1000,ROW(),$V$5:$V$1000,"Sub"),$AB76)))</f>
        <v/>
      </c>
      <c r="AG76" s="62">
        <f>IF($V76&lt;&gt;"Macro","",IF(COUNTIFS($S$5:$S$1000,$S76,$V$5:$V$1000,"Macro",$H$5:$H$1000,"&gt;0")=0,1/COUNTIFS($S$5:$S$1000,$S76,$V$5:$V$1000,"Macro"),IF(AND(ISNUMBER($H76),N($H76)&gt;0),$H76,SUMIFS($H$5:$H$1000,$S$5:$S$1000,$S76,$V$5:$V$1000,"Macro")/COUNTIFS($S$5:$S$1000,$S76,$V$5:$V$1000,"Macro",$H$5:$H$1000,"&gt;0"))/(COUNTIFS($S$5:$S$1000,$S76,$V$5:$V$1000,"Macro")*SUMIFS($H$5:$H$1000,$S$5:$S$1000,$S76,$V$5:$V$1000,"Macro")/COUNTIFS($S$5:$S$1000,$S76,$V$5:$V$1000,"Macro",$H$5:$H$1000,"&gt;0"))))</f>
        <v/>
      </c>
      <c r="AH76" s="62" t="n"/>
      <c r="AI76" s="62" t="n"/>
      <c r="AJ76" s="62" t="n"/>
      <c r="AK76" s="62" t="n"/>
      <c r="AL76" s="62">
        <f>IF(LEFT($C76,11)="[Jefatura] ",IFERROR(MATCH("Asistente Técnico de Riesgo|"&amp;MID($C76,12,500),rDname_ADM,0),0),"")</f>
        <v/>
      </c>
      <c r="AM76" s="62">
        <f>IF(N($AL76)&gt;0,INDEX(rIni_ADM,$AL76),IF(ISNUMBER($E76),$E76,""))</f>
        <v/>
      </c>
      <c r="AN76" s="62">
        <f>IF(N($AL76)&gt;0,INDEX(rLim_ADM,$AL76),IF(ISNUMBER($F76),$F76,""))</f>
        <v/>
      </c>
    </row>
    <row r="77">
      <c r="A77" s="56">
        <f>IF(NOT((COUNTA($B77:$D77)+COUNTA($G77:$L77)+COUNTA($Q77))&gt;0),"",IF($V77="Macro",COUNTIFS($V$5:$V77,"Macro",$S$5:$S77,$S77),IF(N($U77)=0,"?",COUNTIFS(INDEX($V$5:$V$1000,1):INDEX($V$5:$V$1000,$U77-4),"Macro",INDEX($S$5:$S$1000,1):INDEX($S$5:$S$1000,$U77-4),INDEX($S$5:$S$1000,$U77-4))&amp;"."&amp;COUNTIFS($U$5:$U77,$U77,$V$5:$V77,"Sub"))))</f>
        <v/>
      </c>
      <c r="B77" s="57" t="n"/>
      <c r="C77" s="58" t="n"/>
      <c r="D77" s="58" t="n"/>
      <c r="E77" s="59">
        <f>IF(N($AL77)&gt;0,INDEX(rIni_ADM,$AL77),"")</f>
        <v/>
      </c>
      <c r="F77" s="59">
        <f>IF(N($AL77)&gt;0,INDEX(rLim_ADM,$AL77),"")</f>
        <v/>
      </c>
      <c r="G77" s="59" t="n"/>
      <c r="H77" s="60" t="n"/>
      <c r="I77" s="60" t="n"/>
      <c r="J77" s="60" t="n"/>
      <c r="K77" s="60" t="n"/>
      <c r="L77" s="60" t="n"/>
      <c r="M77" s="61">
        <f>IF(NOT((COUNTA($B77:$D77)+COUNTA($G77:$L77)+COUNTA($Q77))&gt;0),"",IF(ISNUMBER($G77),1,IF(N($W77)&gt;0,AVERAGEIFS($X$5:$X$1000,$U$5:$U$1000,ROW(),$V$5:$V$1000,"Sub"),$X77)))</f>
        <v/>
      </c>
      <c r="N77" s="56">
        <f>IF($M77="","",IF($M77&gt;=1,"Completado",IF($M77&gt;0,"En curso","Pendiente")))</f>
        <v/>
      </c>
      <c r="O77" s="56">
        <f>IF(NOT((COUNTA($B77:$D77)+COUNTA($G77:$L77)+COUNTA($Q77))&gt;0),"",IF(ISNUMBER($G77),IF(AND(ISNUMBER($AN77),$G77&gt;$AN77),"Cumplida con "&amp;($G77-$AN77)&amp;IF($G77-$AN77=1," día"," días")&amp;" de retraso","Cumplida"),IF(N($M77)&gt;=1,"Cumplida",IF(NOT(ISNUMBER($AN77)),"Sin fecha límite",IF($AN77&lt;FechaRef,"Vencida hace "&amp;(FechaRef-$AN77)&amp;IF(FechaRef-$AN77=1," día"," días"),IF($AN77=FechaRef,"Vence hoy",IF($AN77-FechaRef&lt;=DiasAlerta,"Vence en "&amp;($AN77-FechaRef)&amp;IF($AN77-FechaRef=1," día"," días"),"En plazo")))))))</f>
        <v/>
      </c>
      <c r="P77" s="62" t="n"/>
      <c r="Q77" s="58" t="n"/>
      <c r="R77" s="63">
        <f>IF(NOT((COUNTA($B77:$D77)+COUNTA($G77:$L77)+COUNTA($Q77))&gt;0),"",IF((IF($C77="","Falta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",""))="","✔ OK","⚠ "&amp;LEFT(IF($C77="","Falta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",""),LEN(IF($C77="","Falta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",""))-3)))</f>
        <v/>
      </c>
      <c r="S77" s="64">
        <f>IF(NOT((COUNTA($B77:$D77)+COUNTA($G77:$L77)+COUNTA($Q77))&gt;0),"",IF(AND($V77="Sub",N($U77)&gt;0),IF(ISNUMBER(INDEX($AM$5:$AM$1000,$U77-4)),DATE(YEAR(INDEX($AM$5:$AM$1000,$U77-4)),MONTH(INDEX($AM$5:$AM$1000,$U77-4)),1),IF(ISNUMBER(INDEX($AN$5:$AN$1000,$U77-4)),DATE(YEAR(INDEX($AN$5:$AN$1000,$U77-4)),MONTH(INDEX($AN$5:$AN$1000,$U77-4)),1),MesCiclo)),IF(ISNUMBER($AM77),DATE(YEAR($AM77),MONTH($AM77),1),IF(ISNUMBER($AN77),DATE(YEAR($AN77),MONTH($AN77),1),MesCiclo))))</f>
        <v/>
      </c>
      <c r="T77" s="62">
        <f>IF(OR($S77="",$S77&lt;&gt;MesCiclo),"",COUNTIF($S$5:$S77,MesCiclo))</f>
        <v/>
      </c>
      <c r="U77" s="62">
        <f>IF($V77="","",IF($V77="Macro",ROW(),IFERROR(LOOKUP(2,1/($V$5:$V77="Macro"),ROW($V$5:$V77)),0)))</f>
        <v/>
      </c>
      <c r="V77" s="62">
        <f>IF(NOT((COUNTA($B77:$D77)+COUNTA($G77:$L77)+COUNTA($Q77))&gt;0),"",IF($B77="Subactividad","Sub","Macro"))</f>
        <v/>
      </c>
      <c r="W77" s="62">
        <f>IF($V77="Macro",COUNTIFS($U$5:$U$1000,ROW(),$V$5:$V$1000,"Sub"),"")</f>
        <v/>
      </c>
      <c r="X77" s="62">
        <f>IF($V77="","",IF(ISNUMBER($G77),1,IFERROR(LOOKUP(2,1/($I77:$L77&lt;&gt;""),$I77:$L77),0)))</f>
        <v/>
      </c>
      <c r="Y77" s="62">
        <f>IF($V77="","",IF(AND(ISNUMBER($G77),$G77&lt;=IF($S77=MesCiclo,InicioCiclo,$S77+MOD(2-WEEKDAY($S77),7))+6),1,IF(ISNUMBER($I77),$I77,0)))</f>
        <v/>
      </c>
      <c r="Z77" s="62">
        <f>IF($V77="","",IF(AND(ISNUMBER($G77),$G77&lt;=IF($S77=MesCiclo,InicioCiclo,$S77+MOD(2-WEEKDAY($S77),7))+13),1,IF(ISNUMBER($J77),$J77,$Y77)))</f>
        <v/>
      </c>
      <c r="AA77" s="62">
        <f>IF($V77="","",IF(AND(ISNUMBER($G77),$G77&lt;=IF($S77=MesCiclo,InicioCiclo,$S77+MOD(2-WEEKDAY($S77),7))+20),1,IF(ISNUMBER($K77),$K77,$Z77)))</f>
        <v/>
      </c>
      <c r="AB77" s="62">
        <f>IF($V77="","",IF(AND(ISNUMBER($G77),$G77&lt;=IF($S77=MesCiclo,InicioCiclo,$S77+MOD(2-WEEKDAY($S77),7))+27),1,IF(ISNUMBER($L77),$L77,$AA77)))</f>
        <v/>
      </c>
      <c r="AC77" s="62">
        <f>IF($V77="","",IF(AND(ISNUMBER($G77),$G77&lt;=IF($S77=MesCiclo,InicioCiclo,$S77+MOD(2-WEEKDAY($S77),7))+6),1,IF(N($W77)&gt;0,AVERAGEIFS($Y$5:$Y$1000,$U$5:$U$1000,ROW(),$V$5:$V$1000,"Sub"),$Y77)))</f>
        <v/>
      </c>
      <c r="AD77" s="62">
        <f>IF($V77="","",IF(AND(ISNUMBER($G77),$G77&lt;=IF($S77=MesCiclo,InicioCiclo,$S77+MOD(2-WEEKDAY($S77),7))+13),1,IF(N($W77)&gt;0,AVERAGEIFS($Z$5:$Z$1000,$U$5:$U$1000,ROW(),$V$5:$V$1000,"Sub"),$Z77)))</f>
        <v/>
      </c>
      <c r="AE77" s="62">
        <f>IF($V77="","",IF(AND(ISNUMBER($G77),$G77&lt;=IF($S77=MesCiclo,InicioCiclo,$S77+MOD(2-WEEKDAY($S77),7))+20),1,IF(N($W77)&gt;0,AVERAGEIFS($AA$5:$AA$1000,$U$5:$U$1000,ROW(),$V$5:$V$1000,"Sub"),$AA77)))</f>
        <v/>
      </c>
      <c r="AF77" s="62">
        <f>IF($V77="","",IF(AND(ISNUMBER($G77),$G77&lt;=IF($S77=MesCiclo,InicioCiclo,$S77+MOD(2-WEEKDAY($S77),7))+27),1,IF(N($W77)&gt;0,AVERAGEIFS($AB$5:$AB$1000,$U$5:$U$1000,ROW(),$V$5:$V$1000,"Sub"),$AB77)))</f>
        <v/>
      </c>
      <c r="AG77" s="62">
        <f>IF($V77&lt;&gt;"Macro","",IF(COUNTIFS($S$5:$S$1000,$S77,$V$5:$V$1000,"Macro",$H$5:$H$1000,"&gt;0")=0,1/COUNTIFS($S$5:$S$1000,$S77,$V$5:$V$1000,"Macro"),IF(AND(ISNUMBER($H77),N($H77)&gt;0),$H77,SUMIFS($H$5:$H$1000,$S$5:$S$1000,$S77,$V$5:$V$1000,"Macro")/COUNTIFS($S$5:$S$1000,$S77,$V$5:$V$1000,"Macro",$H$5:$H$1000,"&gt;0"))/(COUNTIFS($S$5:$S$1000,$S77,$V$5:$V$1000,"Macro")*SUMIFS($H$5:$H$1000,$S$5:$S$1000,$S77,$V$5:$V$1000,"Macro")/COUNTIFS($S$5:$S$1000,$S77,$V$5:$V$1000,"Macro",$H$5:$H$1000,"&gt;0"))))</f>
        <v/>
      </c>
      <c r="AH77" s="62" t="n"/>
      <c r="AI77" s="62" t="n"/>
      <c r="AJ77" s="62" t="n"/>
      <c r="AK77" s="62" t="n"/>
      <c r="AL77" s="62">
        <f>IF(LEFT($C77,11)="[Jefatura] ",IFERROR(MATCH("Asistente Técnico de Riesgo|"&amp;MID($C77,12,500),rDname_ADM,0),0),"")</f>
        <v/>
      </c>
      <c r="AM77" s="62">
        <f>IF(N($AL77)&gt;0,INDEX(rIni_ADM,$AL77),IF(ISNUMBER($E77),$E77,""))</f>
        <v/>
      </c>
      <c r="AN77" s="62">
        <f>IF(N($AL77)&gt;0,INDEX(rLim_ADM,$AL77),IF(ISNUMBER($F77),$F77,""))</f>
        <v/>
      </c>
    </row>
    <row r="78">
      <c r="A78" s="56">
        <f>IF(NOT((COUNTA($B78:$D78)+COUNTA($G78:$L78)+COUNTA($Q78))&gt;0),"",IF($V78="Macro",COUNTIFS($V$5:$V78,"Macro",$S$5:$S78,$S78),IF(N($U78)=0,"?",COUNTIFS(INDEX($V$5:$V$1000,1):INDEX($V$5:$V$1000,$U78-4),"Macro",INDEX($S$5:$S$1000,1):INDEX($S$5:$S$1000,$U78-4),INDEX($S$5:$S$1000,$U78-4))&amp;"."&amp;COUNTIFS($U$5:$U78,$U78,$V$5:$V78,"Sub"))))</f>
        <v/>
      </c>
      <c r="B78" s="57" t="n"/>
      <c r="C78" s="58" t="n"/>
      <c r="D78" s="58" t="n"/>
      <c r="E78" s="59">
        <f>IF(N($AL78)&gt;0,INDEX(rIni_ADM,$AL78),"")</f>
        <v/>
      </c>
      <c r="F78" s="59">
        <f>IF(N($AL78)&gt;0,INDEX(rLim_ADM,$AL78),"")</f>
        <v/>
      </c>
      <c r="G78" s="59" t="n"/>
      <c r="H78" s="60" t="n"/>
      <c r="I78" s="60" t="n"/>
      <c r="J78" s="60" t="n"/>
      <c r="K78" s="60" t="n"/>
      <c r="L78" s="60" t="n"/>
      <c r="M78" s="61">
        <f>IF(NOT((COUNTA($B78:$D78)+COUNTA($G78:$L78)+COUNTA($Q78))&gt;0),"",IF(ISNUMBER($G78),1,IF(N($W78)&gt;0,AVERAGEIFS($X$5:$X$1000,$U$5:$U$1000,ROW(),$V$5:$V$1000,"Sub"),$X78)))</f>
        <v/>
      </c>
      <c r="N78" s="56">
        <f>IF($M78="","",IF($M78&gt;=1,"Completado",IF($M78&gt;0,"En curso","Pendiente")))</f>
        <v/>
      </c>
      <c r="O78" s="56">
        <f>IF(NOT((COUNTA($B78:$D78)+COUNTA($G78:$L78)+COUNTA($Q78))&gt;0),"",IF(ISNUMBER($G78),IF(AND(ISNUMBER($AN78),$G78&gt;$AN78),"Cumplida con "&amp;($G78-$AN78)&amp;IF($G78-$AN78=1," día"," días")&amp;" de retraso","Cumplida"),IF(N($M78)&gt;=1,"Cumplida",IF(NOT(ISNUMBER($AN78)),"Sin fecha límite",IF($AN78&lt;FechaRef,"Vencida hace "&amp;(FechaRef-$AN78)&amp;IF(FechaRef-$AN78=1," día"," días"),IF($AN78=FechaRef,"Vence hoy",IF($AN78-FechaRef&lt;=DiasAlerta,"Vence en "&amp;($AN78-FechaRef)&amp;IF($AN78-FechaRef=1," día"," días"),"En plazo")))))))</f>
        <v/>
      </c>
      <c r="P78" s="62" t="n"/>
      <c r="Q78" s="58" t="n"/>
      <c r="R78" s="63">
        <f>IF(NOT((COUNTA($B78:$D78)+COUNTA($G78:$L78)+COUNTA($Q78))&gt;0),"",IF((IF($C78="","Falta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",""))="","✔ OK","⚠ "&amp;LEFT(IF($C78="","Falta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",""),LEN(IF($C78="","Falta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",""))-3)))</f>
        <v/>
      </c>
      <c r="S78" s="64">
        <f>IF(NOT((COUNTA($B78:$D78)+COUNTA($G78:$L78)+COUNTA($Q78))&gt;0),"",IF(AND($V78="Sub",N($U78)&gt;0),IF(ISNUMBER(INDEX($AM$5:$AM$1000,$U78-4)),DATE(YEAR(INDEX($AM$5:$AM$1000,$U78-4)),MONTH(INDEX($AM$5:$AM$1000,$U78-4)),1),IF(ISNUMBER(INDEX($AN$5:$AN$1000,$U78-4)),DATE(YEAR(INDEX($AN$5:$AN$1000,$U78-4)),MONTH(INDEX($AN$5:$AN$1000,$U78-4)),1),MesCiclo)),IF(ISNUMBER($AM78),DATE(YEAR($AM78),MONTH($AM78),1),IF(ISNUMBER($AN78),DATE(YEAR($AN78),MONTH($AN78),1),MesCiclo))))</f>
        <v/>
      </c>
      <c r="T78" s="62">
        <f>IF(OR($S78="",$S78&lt;&gt;MesCiclo),"",COUNTIF($S$5:$S78,MesCiclo))</f>
        <v/>
      </c>
      <c r="U78" s="62">
        <f>IF($V78="","",IF($V78="Macro",ROW(),IFERROR(LOOKUP(2,1/($V$5:$V78="Macro"),ROW($V$5:$V78)),0)))</f>
        <v/>
      </c>
      <c r="V78" s="62">
        <f>IF(NOT((COUNTA($B78:$D78)+COUNTA($G78:$L78)+COUNTA($Q78))&gt;0),"",IF($B78="Subactividad","Sub","Macro"))</f>
        <v/>
      </c>
      <c r="W78" s="62">
        <f>IF($V78="Macro",COUNTIFS($U$5:$U$1000,ROW(),$V$5:$V$1000,"Sub"),"")</f>
        <v/>
      </c>
      <c r="X78" s="62">
        <f>IF($V78="","",IF(ISNUMBER($G78),1,IFERROR(LOOKUP(2,1/($I78:$L78&lt;&gt;""),$I78:$L78),0)))</f>
        <v/>
      </c>
      <c r="Y78" s="62">
        <f>IF($V78="","",IF(AND(ISNUMBER($G78),$G78&lt;=IF($S78=MesCiclo,InicioCiclo,$S78+MOD(2-WEEKDAY($S78),7))+6),1,IF(ISNUMBER($I78),$I78,0)))</f>
        <v/>
      </c>
      <c r="Z78" s="62">
        <f>IF($V78="","",IF(AND(ISNUMBER($G78),$G78&lt;=IF($S78=MesCiclo,InicioCiclo,$S78+MOD(2-WEEKDAY($S78),7))+13),1,IF(ISNUMBER($J78),$J78,$Y78)))</f>
        <v/>
      </c>
      <c r="AA78" s="62">
        <f>IF($V78="","",IF(AND(ISNUMBER($G78),$G78&lt;=IF($S78=MesCiclo,InicioCiclo,$S78+MOD(2-WEEKDAY($S78),7))+20),1,IF(ISNUMBER($K78),$K78,$Z78)))</f>
        <v/>
      </c>
      <c r="AB78" s="62">
        <f>IF($V78="","",IF(AND(ISNUMBER($G78),$G78&lt;=IF($S78=MesCiclo,InicioCiclo,$S78+MOD(2-WEEKDAY($S78),7))+27),1,IF(ISNUMBER($L78),$L78,$AA78)))</f>
        <v/>
      </c>
      <c r="AC78" s="62">
        <f>IF($V78="","",IF(AND(ISNUMBER($G78),$G78&lt;=IF($S78=MesCiclo,InicioCiclo,$S78+MOD(2-WEEKDAY($S78),7))+6),1,IF(N($W78)&gt;0,AVERAGEIFS($Y$5:$Y$1000,$U$5:$U$1000,ROW(),$V$5:$V$1000,"Sub"),$Y78)))</f>
        <v/>
      </c>
      <c r="AD78" s="62">
        <f>IF($V78="","",IF(AND(ISNUMBER($G78),$G78&lt;=IF($S78=MesCiclo,InicioCiclo,$S78+MOD(2-WEEKDAY($S78),7))+13),1,IF(N($W78)&gt;0,AVERAGEIFS($Z$5:$Z$1000,$U$5:$U$1000,ROW(),$V$5:$V$1000,"Sub"),$Z78)))</f>
        <v/>
      </c>
      <c r="AE78" s="62">
        <f>IF($V78="","",IF(AND(ISNUMBER($G78),$G78&lt;=IF($S78=MesCiclo,InicioCiclo,$S78+MOD(2-WEEKDAY($S78),7))+20),1,IF(N($W78)&gt;0,AVERAGEIFS($AA$5:$AA$1000,$U$5:$U$1000,ROW(),$V$5:$V$1000,"Sub"),$AA78)))</f>
        <v/>
      </c>
      <c r="AF78" s="62">
        <f>IF($V78="","",IF(AND(ISNUMBER($G78),$G78&lt;=IF($S78=MesCiclo,InicioCiclo,$S78+MOD(2-WEEKDAY($S78),7))+27),1,IF(N($W78)&gt;0,AVERAGEIFS($AB$5:$AB$1000,$U$5:$U$1000,ROW(),$V$5:$V$1000,"Sub"),$AB78)))</f>
        <v/>
      </c>
      <c r="AG78" s="62">
        <f>IF($V78&lt;&gt;"Macro","",IF(COUNTIFS($S$5:$S$1000,$S78,$V$5:$V$1000,"Macro",$H$5:$H$1000,"&gt;0")=0,1/COUNTIFS($S$5:$S$1000,$S78,$V$5:$V$1000,"Macro"),IF(AND(ISNUMBER($H78),N($H78)&gt;0),$H78,SUMIFS($H$5:$H$1000,$S$5:$S$1000,$S78,$V$5:$V$1000,"Macro")/COUNTIFS($S$5:$S$1000,$S78,$V$5:$V$1000,"Macro",$H$5:$H$1000,"&gt;0"))/(COUNTIFS($S$5:$S$1000,$S78,$V$5:$V$1000,"Macro")*SUMIFS($H$5:$H$1000,$S$5:$S$1000,$S78,$V$5:$V$1000,"Macro")/COUNTIFS($S$5:$S$1000,$S78,$V$5:$V$1000,"Macro",$H$5:$H$1000,"&gt;0"))))</f>
        <v/>
      </c>
      <c r="AH78" s="62" t="n"/>
      <c r="AI78" s="62" t="n"/>
      <c r="AJ78" s="62" t="n"/>
      <c r="AK78" s="62" t="n"/>
      <c r="AL78" s="62">
        <f>IF(LEFT($C78,11)="[Jefatura] ",IFERROR(MATCH("Asistente Técnico de Riesgo|"&amp;MID($C78,12,500),rDname_ADM,0),0),"")</f>
        <v/>
      </c>
      <c r="AM78" s="62">
        <f>IF(N($AL78)&gt;0,INDEX(rIni_ADM,$AL78),IF(ISNUMBER($E78),$E78,""))</f>
        <v/>
      </c>
      <c r="AN78" s="62">
        <f>IF(N($AL78)&gt;0,INDEX(rLim_ADM,$AL78),IF(ISNUMBER($F78),$F78,""))</f>
        <v/>
      </c>
    </row>
    <row r="79">
      <c r="A79" s="56">
        <f>IF(NOT((COUNTA($B79:$D79)+COUNTA($G79:$L79)+COUNTA($Q79))&gt;0),"",IF($V79="Macro",COUNTIFS($V$5:$V79,"Macro",$S$5:$S79,$S79),IF(N($U79)=0,"?",COUNTIFS(INDEX($V$5:$V$1000,1):INDEX($V$5:$V$1000,$U79-4),"Macro",INDEX($S$5:$S$1000,1):INDEX($S$5:$S$1000,$U79-4),INDEX($S$5:$S$1000,$U79-4))&amp;"."&amp;COUNTIFS($U$5:$U79,$U79,$V$5:$V79,"Sub"))))</f>
        <v/>
      </c>
      <c r="B79" s="57" t="n"/>
      <c r="C79" s="58" t="n"/>
      <c r="D79" s="58" t="n"/>
      <c r="E79" s="59">
        <f>IF(N($AL79)&gt;0,INDEX(rIni_ADM,$AL79),"")</f>
        <v/>
      </c>
      <c r="F79" s="59">
        <f>IF(N($AL79)&gt;0,INDEX(rLim_ADM,$AL79),"")</f>
        <v/>
      </c>
      <c r="G79" s="59" t="n"/>
      <c r="H79" s="60" t="n"/>
      <c r="I79" s="60" t="n"/>
      <c r="J79" s="60" t="n"/>
      <c r="K79" s="60" t="n"/>
      <c r="L79" s="60" t="n"/>
      <c r="M79" s="61">
        <f>IF(NOT((COUNTA($B79:$D79)+COUNTA($G79:$L79)+COUNTA($Q79))&gt;0),"",IF(ISNUMBER($G79),1,IF(N($W79)&gt;0,AVERAGEIFS($X$5:$X$1000,$U$5:$U$1000,ROW(),$V$5:$V$1000,"Sub"),$X79)))</f>
        <v/>
      </c>
      <c r="N79" s="56">
        <f>IF($M79="","",IF($M79&gt;=1,"Completado",IF($M79&gt;0,"En curso","Pendiente")))</f>
        <v/>
      </c>
      <c r="O79" s="56">
        <f>IF(NOT((COUNTA($B79:$D79)+COUNTA($G79:$L79)+COUNTA($Q79))&gt;0),"",IF(ISNUMBER($G79),IF(AND(ISNUMBER($AN79),$G79&gt;$AN79),"Cumplida con "&amp;($G79-$AN79)&amp;IF($G79-$AN79=1," día"," días")&amp;" de retraso","Cumplida"),IF(N($M79)&gt;=1,"Cumplida",IF(NOT(ISNUMBER($AN79)),"Sin fecha límite",IF($AN79&lt;FechaRef,"Vencida hace "&amp;(FechaRef-$AN79)&amp;IF(FechaRef-$AN79=1," día"," días"),IF($AN79=FechaRef,"Vence hoy",IF($AN79-FechaRef&lt;=DiasAlerta,"Vence en "&amp;($AN79-FechaRef)&amp;IF($AN79-FechaRef=1," día"," días"),"En plazo")))))))</f>
        <v/>
      </c>
      <c r="P79" s="62" t="n"/>
      <c r="Q79" s="58" t="n"/>
      <c r="R79" s="63">
        <f>IF(NOT((COUNTA($B79:$D79)+COUNTA($G79:$L79)+COUNTA($Q79))&gt;0),"",IF((IF($C79="","Falta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",""))="","✔ OK","⚠ "&amp;LEFT(IF($C79="","Falta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",""),LEN(IF($C79="","Falta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",""))-3)))</f>
        <v/>
      </c>
      <c r="S79" s="64">
        <f>IF(NOT((COUNTA($B79:$D79)+COUNTA($G79:$L79)+COUNTA($Q79))&gt;0),"",IF(AND($V79="Sub",N($U79)&gt;0),IF(ISNUMBER(INDEX($AM$5:$AM$1000,$U79-4)),DATE(YEAR(INDEX($AM$5:$AM$1000,$U79-4)),MONTH(INDEX($AM$5:$AM$1000,$U79-4)),1),IF(ISNUMBER(INDEX($AN$5:$AN$1000,$U79-4)),DATE(YEAR(INDEX($AN$5:$AN$1000,$U79-4)),MONTH(INDEX($AN$5:$AN$1000,$U79-4)),1),MesCiclo)),IF(ISNUMBER($AM79),DATE(YEAR($AM79),MONTH($AM79),1),IF(ISNUMBER($AN79),DATE(YEAR($AN79),MONTH($AN79),1),MesCiclo))))</f>
        <v/>
      </c>
      <c r="T79" s="62">
        <f>IF(OR($S79="",$S79&lt;&gt;MesCiclo),"",COUNTIF($S$5:$S79,MesCiclo))</f>
        <v/>
      </c>
      <c r="U79" s="62">
        <f>IF($V79="","",IF($V79="Macro",ROW(),IFERROR(LOOKUP(2,1/($V$5:$V79="Macro"),ROW($V$5:$V79)),0)))</f>
        <v/>
      </c>
      <c r="V79" s="62">
        <f>IF(NOT((COUNTA($B79:$D79)+COUNTA($G79:$L79)+COUNTA($Q79))&gt;0),"",IF($B79="Subactividad","Sub","Macro"))</f>
        <v/>
      </c>
      <c r="W79" s="62">
        <f>IF($V79="Macro",COUNTIFS($U$5:$U$1000,ROW(),$V$5:$V$1000,"Sub"),"")</f>
        <v/>
      </c>
      <c r="X79" s="62">
        <f>IF($V79="","",IF(ISNUMBER($G79),1,IFERROR(LOOKUP(2,1/($I79:$L79&lt;&gt;""),$I79:$L79),0)))</f>
        <v/>
      </c>
      <c r="Y79" s="62">
        <f>IF($V79="","",IF(AND(ISNUMBER($G79),$G79&lt;=IF($S79=MesCiclo,InicioCiclo,$S79+MOD(2-WEEKDAY($S79),7))+6),1,IF(ISNUMBER($I79),$I79,0)))</f>
        <v/>
      </c>
      <c r="Z79" s="62">
        <f>IF($V79="","",IF(AND(ISNUMBER($G79),$G79&lt;=IF($S79=MesCiclo,InicioCiclo,$S79+MOD(2-WEEKDAY($S79),7))+13),1,IF(ISNUMBER($J79),$J79,$Y79)))</f>
        <v/>
      </c>
      <c r="AA79" s="62">
        <f>IF($V79="","",IF(AND(ISNUMBER($G79),$G79&lt;=IF($S79=MesCiclo,InicioCiclo,$S79+MOD(2-WEEKDAY($S79),7))+20),1,IF(ISNUMBER($K79),$K79,$Z79)))</f>
        <v/>
      </c>
      <c r="AB79" s="62">
        <f>IF($V79="","",IF(AND(ISNUMBER($G79),$G79&lt;=IF($S79=MesCiclo,InicioCiclo,$S79+MOD(2-WEEKDAY($S79),7))+27),1,IF(ISNUMBER($L79),$L79,$AA79)))</f>
        <v/>
      </c>
      <c r="AC79" s="62">
        <f>IF($V79="","",IF(AND(ISNUMBER($G79),$G79&lt;=IF($S79=MesCiclo,InicioCiclo,$S79+MOD(2-WEEKDAY($S79),7))+6),1,IF(N($W79)&gt;0,AVERAGEIFS($Y$5:$Y$1000,$U$5:$U$1000,ROW(),$V$5:$V$1000,"Sub"),$Y79)))</f>
        <v/>
      </c>
      <c r="AD79" s="62">
        <f>IF($V79="","",IF(AND(ISNUMBER($G79),$G79&lt;=IF($S79=MesCiclo,InicioCiclo,$S79+MOD(2-WEEKDAY($S79),7))+13),1,IF(N($W79)&gt;0,AVERAGEIFS($Z$5:$Z$1000,$U$5:$U$1000,ROW(),$V$5:$V$1000,"Sub"),$Z79)))</f>
        <v/>
      </c>
      <c r="AE79" s="62">
        <f>IF($V79="","",IF(AND(ISNUMBER($G79),$G79&lt;=IF($S79=MesCiclo,InicioCiclo,$S79+MOD(2-WEEKDAY($S79),7))+20),1,IF(N($W79)&gt;0,AVERAGEIFS($AA$5:$AA$1000,$U$5:$U$1000,ROW(),$V$5:$V$1000,"Sub"),$AA79)))</f>
        <v/>
      </c>
      <c r="AF79" s="62">
        <f>IF($V79="","",IF(AND(ISNUMBER($G79),$G79&lt;=IF($S79=MesCiclo,InicioCiclo,$S79+MOD(2-WEEKDAY($S79),7))+27),1,IF(N($W79)&gt;0,AVERAGEIFS($AB$5:$AB$1000,$U$5:$U$1000,ROW(),$V$5:$V$1000,"Sub"),$AB79)))</f>
        <v/>
      </c>
      <c r="AG79" s="62">
        <f>IF($V79&lt;&gt;"Macro","",IF(COUNTIFS($S$5:$S$1000,$S79,$V$5:$V$1000,"Macro",$H$5:$H$1000,"&gt;0")=0,1/COUNTIFS($S$5:$S$1000,$S79,$V$5:$V$1000,"Macro"),IF(AND(ISNUMBER($H79),N($H79)&gt;0),$H79,SUMIFS($H$5:$H$1000,$S$5:$S$1000,$S79,$V$5:$V$1000,"Macro")/COUNTIFS($S$5:$S$1000,$S79,$V$5:$V$1000,"Macro",$H$5:$H$1000,"&gt;0"))/(COUNTIFS($S$5:$S$1000,$S79,$V$5:$V$1000,"Macro")*SUMIFS($H$5:$H$1000,$S$5:$S$1000,$S79,$V$5:$V$1000,"Macro")/COUNTIFS($S$5:$S$1000,$S79,$V$5:$V$1000,"Macro",$H$5:$H$1000,"&gt;0"))))</f>
        <v/>
      </c>
      <c r="AH79" s="62" t="n"/>
      <c r="AI79" s="62" t="n"/>
      <c r="AJ79" s="62" t="n"/>
      <c r="AK79" s="62" t="n"/>
      <c r="AL79" s="62">
        <f>IF(LEFT($C79,11)="[Jefatura] ",IFERROR(MATCH("Asistente Técnico de Riesgo|"&amp;MID($C79,12,500),rDname_ADM,0),0),"")</f>
        <v/>
      </c>
      <c r="AM79" s="62">
        <f>IF(N($AL79)&gt;0,INDEX(rIni_ADM,$AL79),IF(ISNUMBER($E79),$E79,""))</f>
        <v/>
      </c>
      <c r="AN79" s="62">
        <f>IF(N($AL79)&gt;0,INDEX(rLim_ADM,$AL79),IF(ISNUMBER($F79),$F79,""))</f>
        <v/>
      </c>
    </row>
    <row r="80">
      <c r="A80" s="56">
        <f>IF(NOT((COUNTA($B80:$D80)+COUNTA($G80:$L80)+COUNTA($Q80))&gt;0),"",IF($V80="Macro",COUNTIFS($V$5:$V80,"Macro",$S$5:$S80,$S80),IF(N($U80)=0,"?",COUNTIFS(INDEX($V$5:$V$1000,1):INDEX($V$5:$V$1000,$U80-4),"Macro",INDEX($S$5:$S$1000,1):INDEX($S$5:$S$1000,$U80-4),INDEX($S$5:$S$1000,$U80-4))&amp;"."&amp;COUNTIFS($U$5:$U80,$U80,$V$5:$V80,"Sub"))))</f>
        <v/>
      </c>
      <c r="B80" s="57" t="n"/>
      <c r="C80" s="58" t="n"/>
      <c r="D80" s="58" t="n"/>
      <c r="E80" s="59">
        <f>IF(N($AL80)&gt;0,INDEX(rIni_ADM,$AL80),"")</f>
        <v/>
      </c>
      <c r="F80" s="59">
        <f>IF(N($AL80)&gt;0,INDEX(rLim_ADM,$AL80),"")</f>
        <v/>
      </c>
      <c r="G80" s="59" t="n"/>
      <c r="H80" s="60" t="n"/>
      <c r="I80" s="60" t="n"/>
      <c r="J80" s="60" t="n"/>
      <c r="K80" s="60" t="n"/>
      <c r="L80" s="60" t="n"/>
      <c r="M80" s="61">
        <f>IF(NOT((COUNTA($B80:$D80)+COUNTA($G80:$L80)+COUNTA($Q80))&gt;0),"",IF(ISNUMBER($G80),1,IF(N($W80)&gt;0,AVERAGEIFS($X$5:$X$1000,$U$5:$U$1000,ROW(),$V$5:$V$1000,"Sub"),$X80)))</f>
        <v/>
      </c>
      <c r="N80" s="56">
        <f>IF($M80="","",IF($M80&gt;=1,"Completado",IF($M80&gt;0,"En curso","Pendiente")))</f>
        <v/>
      </c>
      <c r="O80" s="56">
        <f>IF(NOT((COUNTA($B80:$D80)+COUNTA($G80:$L80)+COUNTA($Q80))&gt;0),"",IF(ISNUMBER($G80),IF(AND(ISNUMBER($AN80),$G80&gt;$AN80),"Cumplida con "&amp;($G80-$AN80)&amp;IF($G80-$AN80=1," día"," días")&amp;" de retraso","Cumplida"),IF(N($M80)&gt;=1,"Cumplida",IF(NOT(ISNUMBER($AN80)),"Sin fecha límite",IF($AN80&lt;FechaRef,"Vencida hace "&amp;(FechaRef-$AN80)&amp;IF(FechaRef-$AN80=1," día"," días"),IF($AN80=FechaRef,"Vence hoy",IF($AN80-FechaRef&lt;=DiasAlerta,"Vence en "&amp;($AN80-FechaRef)&amp;IF($AN80-FechaRef=1," día"," días"),"En plazo")))))))</f>
        <v/>
      </c>
      <c r="P80" s="62" t="n"/>
      <c r="Q80" s="58" t="n"/>
      <c r="R80" s="63">
        <f>IF(NOT((COUNTA($B80:$D80)+COUNTA($G80:$L80)+COUNTA($Q80))&gt;0),"",IF((IF($C80="","Falta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",""))="","✔ OK","⚠ "&amp;LEFT(IF($C80="","Falta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",""),LEN(IF($C80="","Falta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",""))-3)))</f>
        <v/>
      </c>
      <c r="S80" s="64">
        <f>IF(NOT((COUNTA($B80:$D80)+COUNTA($G80:$L80)+COUNTA($Q80))&gt;0),"",IF(AND($V80="Sub",N($U80)&gt;0),IF(ISNUMBER(INDEX($AM$5:$AM$1000,$U80-4)),DATE(YEAR(INDEX($AM$5:$AM$1000,$U80-4)),MONTH(INDEX($AM$5:$AM$1000,$U80-4)),1),IF(ISNUMBER(INDEX($AN$5:$AN$1000,$U80-4)),DATE(YEAR(INDEX($AN$5:$AN$1000,$U80-4)),MONTH(INDEX($AN$5:$AN$1000,$U80-4)),1),MesCiclo)),IF(ISNUMBER($AM80),DATE(YEAR($AM80),MONTH($AM80),1),IF(ISNUMBER($AN80),DATE(YEAR($AN80),MONTH($AN80),1),MesCiclo))))</f>
        <v/>
      </c>
      <c r="T80" s="62">
        <f>IF(OR($S80="",$S80&lt;&gt;MesCiclo),"",COUNTIF($S$5:$S80,MesCiclo))</f>
        <v/>
      </c>
      <c r="U80" s="62">
        <f>IF($V80="","",IF($V80="Macro",ROW(),IFERROR(LOOKUP(2,1/($V$5:$V80="Macro"),ROW($V$5:$V80)),0)))</f>
        <v/>
      </c>
      <c r="V80" s="62">
        <f>IF(NOT((COUNTA($B80:$D80)+COUNTA($G80:$L80)+COUNTA($Q80))&gt;0),"",IF($B80="Subactividad","Sub","Macro"))</f>
        <v/>
      </c>
      <c r="W80" s="62">
        <f>IF($V80="Macro",COUNTIFS($U$5:$U$1000,ROW(),$V$5:$V$1000,"Sub"),"")</f>
        <v/>
      </c>
      <c r="X80" s="62">
        <f>IF($V80="","",IF(ISNUMBER($G80),1,IFERROR(LOOKUP(2,1/($I80:$L80&lt;&gt;""),$I80:$L80),0)))</f>
        <v/>
      </c>
      <c r="Y80" s="62">
        <f>IF($V80="","",IF(AND(ISNUMBER($G80),$G80&lt;=IF($S80=MesCiclo,InicioCiclo,$S80+MOD(2-WEEKDAY($S80),7))+6),1,IF(ISNUMBER($I80),$I80,0)))</f>
        <v/>
      </c>
      <c r="Z80" s="62">
        <f>IF($V80="","",IF(AND(ISNUMBER($G80),$G80&lt;=IF($S80=MesCiclo,InicioCiclo,$S80+MOD(2-WEEKDAY($S80),7))+13),1,IF(ISNUMBER($J80),$J80,$Y80)))</f>
        <v/>
      </c>
      <c r="AA80" s="62">
        <f>IF($V80="","",IF(AND(ISNUMBER($G80),$G80&lt;=IF($S80=MesCiclo,InicioCiclo,$S80+MOD(2-WEEKDAY($S80),7))+20),1,IF(ISNUMBER($K80),$K80,$Z80)))</f>
        <v/>
      </c>
      <c r="AB80" s="62">
        <f>IF($V80="","",IF(AND(ISNUMBER($G80),$G80&lt;=IF($S80=MesCiclo,InicioCiclo,$S80+MOD(2-WEEKDAY($S80),7))+27),1,IF(ISNUMBER($L80),$L80,$AA80)))</f>
        <v/>
      </c>
      <c r="AC80" s="62">
        <f>IF($V80="","",IF(AND(ISNUMBER($G80),$G80&lt;=IF($S80=MesCiclo,InicioCiclo,$S80+MOD(2-WEEKDAY($S80),7))+6),1,IF(N($W80)&gt;0,AVERAGEIFS($Y$5:$Y$1000,$U$5:$U$1000,ROW(),$V$5:$V$1000,"Sub"),$Y80)))</f>
        <v/>
      </c>
      <c r="AD80" s="62">
        <f>IF($V80="","",IF(AND(ISNUMBER($G80),$G80&lt;=IF($S80=MesCiclo,InicioCiclo,$S80+MOD(2-WEEKDAY($S80),7))+13),1,IF(N($W80)&gt;0,AVERAGEIFS($Z$5:$Z$1000,$U$5:$U$1000,ROW(),$V$5:$V$1000,"Sub"),$Z80)))</f>
        <v/>
      </c>
      <c r="AE80" s="62">
        <f>IF($V80="","",IF(AND(ISNUMBER($G80),$G80&lt;=IF($S80=MesCiclo,InicioCiclo,$S80+MOD(2-WEEKDAY($S80),7))+20),1,IF(N($W80)&gt;0,AVERAGEIFS($AA$5:$AA$1000,$U$5:$U$1000,ROW(),$V$5:$V$1000,"Sub"),$AA80)))</f>
        <v/>
      </c>
      <c r="AF80" s="62">
        <f>IF($V80="","",IF(AND(ISNUMBER($G80),$G80&lt;=IF($S80=MesCiclo,InicioCiclo,$S80+MOD(2-WEEKDAY($S80),7))+27),1,IF(N($W80)&gt;0,AVERAGEIFS($AB$5:$AB$1000,$U$5:$U$1000,ROW(),$V$5:$V$1000,"Sub"),$AB80)))</f>
        <v/>
      </c>
      <c r="AG80" s="62">
        <f>IF($V80&lt;&gt;"Macro","",IF(COUNTIFS($S$5:$S$1000,$S80,$V$5:$V$1000,"Macro",$H$5:$H$1000,"&gt;0")=0,1/COUNTIFS($S$5:$S$1000,$S80,$V$5:$V$1000,"Macro"),IF(AND(ISNUMBER($H80),N($H80)&gt;0),$H80,SUMIFS($H$5:$H$1000,$S$5:$S$1000,$S80,$V$5:$V$1000,"Macro")/COUNTIFS($S$5:$S$1000,$S80,$V$5:$V$1000,"Macro",$H$5:$H$1000,"&gt;0"))/(COUNTIFS($S$5:$S$1000,$S80,$V$5:$V$1000,"Macro")*SUMIFS($H$5:$H$1000,$S$5:$S$1000,$S80,$V$5:$V$1000,"Macro")/COUNTIFS($S$5:$S$1000,$S80,$V$5:$V$1000,"Macro",$H$5:$H$1000,"&gt;0"))))</f>
        <v/>
      </c>
      <c r="AH80" s="62" t="n"/>
      <c r="AI80" s="62" t="n"/>
      <c r="AJ80" s="62" t="n"/>
      <c r="AK80" s="62" t="n"/>
      <c r="AL80" s="62">
        <f>IF(LEFT($C80,11)="[Jefatura] ",IFERROR(MATCH("Asistente Técnico de Riesgo|"&amp;MID($C80,12,500),rDname_ADM,0),0),"")</f>
        <v/>
      </c>
      <c r="AM80" s="62">
        <f>IF(N($AL80)&gt;0,INDEX(rIni_ADM,$AL80),IF(ISNUMBER($E80),$E80,""))</f>
        <v/>
      </c>
      <c r="AN80" s="62">
        <f>IF(N($AL80)&gt;0,INDEX(rLim_ADM,$AL80),IF(ISNUMBER($F80),$F80,""))</f>
        <v/>
      </c>
    </row>
    <row r="81">
      <c r="A81" s="56">
        <f>IF(NOT((COUNTA($B81:$D81)+COUNTA($G81:$L81)+COUNTA($Q81))&gt;0),"",IF($V81="Macro",COUNTIFS($V$5:$V81,"Macro",$S$5:$S81,$S81),IF(N($U81)=0,"?",COUNTIFS(INDEX($V$5:$V$1000,1):INDEX($V$5:$V$1000,$U81-4),"Macro",INDEX($S$5:$S$1000,1):INDEX($S$5:$S$1000,$U81-4),INDEX($S$5:$S$1000,$U81-4))&amp;"."&amp;COUNTIFS($U$5:$U81,$U81,$V$5:$V81,"Sub"))))</f>
        <v/>
      </c>
      <c r="B81" s="57" t="n"/>
      <c r="C81" s="58" t="n"/>
      <c r="D81" s="58" t="n"/>
      <c r="E81" s="59">
        <f>IF(N($AL81)&gt;0,INDEX(rIni_ADM,$AL81),"")</f>
        <v/>
      </c>
      <c r="F81" s="59">
        <f>IF(N($AL81)&gt;0,INDEX(rLim_ADM,$AL81),"")</f>
        <v/>
      </c>
      <c r="G81" s="59" t="n"/>
      <c r="H81" s="60" t="n"/>
      <c r="I81" s="60" t="n"/>
      <c r="J81" s="60" t="n"/>
      <c r="K81" s="60" t="n"/>
      <c r="L81" s="60" t="n"/>
      <c r="M81" s="61">
        <f>IF(NOT((COUNTA($B81:$D81)+COUNTA($G81:$L81)+COUNTA($Q81))&gt;0),"",IF(ISNUMBER($G81),1,IF(N($W81)&gt;0,AVERAGEIFS($X$5:$X$1000,$U$5:$U$1000,ROW(),$V$5:$V$1000,"Sub"),$X81)))</f>
        <v/>
      </c>
      <c r="N81" s="56">
        <f>IF($M81="","",IF($M81&gt;=1,"Completado",IF($M81&gt;0,"En curso","Pendiente")))</f>
        <v/>
      </c>
      <c r="O81" s="56">
        <f>IF(NOT((COUNTA($B81:$D81)+COUNTA($G81:$L81)+COUNTA($Q81))&gt;0),"",IF(ISNUMBER($G81),IF(AND(ISNUMBER($AN81),$G81&gt;$AN81),"Cumplida con "&amp;($G81-$AN81)&amp;IF($G81-$AN81=1," día"," días")&amp;" de retraso","Cumplida"),IF(N($M81)&gt;=1,"Cumplida",IF(NOT(ISNUMBER($AN81)),"Sin fecha límite",IF($AN81&lt;FechaRef,"Vencida hace "&amp;(FechaRef-$AN81)&amp;IF(FechaRef-$AN81=1," día"," días"),IF($AN81=FechaRef,"Vence hoy",IF($AN81-FechaRef&lt;=DiasAlerta,"Vence en "&amp;($AN81-FechaRef)&amp;IF($AN81-FechaRef=1," día"," días"),"En plazo")))))))</f>
        <v/>
      </c>
      <c r="P81" s="62" t="n"/>
      <c r="Q81" s="58" t="n"/>
      <c r="R81" s="63">
        <f>IF(NOT((COUNTA($B81:$D81)+COUNTA($G81:$L81)+COUNTA($Q81))&gt;0),"",IF((IF($C81="","Falta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",""))="","✔ OK","⚠ "&amp;LEFT(IF($C81="","Falta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",""),LEN(IF($C81="","Falta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",""))-3)))</f>
        <v/>
      </c>
      <c r="S81" s="64">
        <f>IF(NOT((COUNTA($B81:$D81)+COUNTA($G81:$L81)+COUNTA($Q81))&gt;0),"",IF(AND($V81="Sub",N($U81)&gt;0),IF(ISNUMBER(INDEX($AM$5:$AM$1000,$U81-4)),DATE(YEAR(INDEX($AM$5:$AM$1000,$U81-4)),MONTH(INDEX($AM$5:$AM$1000,$U81-4)),1),IF(ISNUMBER(INDEX($AN$5:$AN$1000,$U81-4)),DATE(YEAR(INDEX($AN$5:$AN$1000,$U81-4)),MONTH(INDEX($AN$5:$AN$1000,$U81-4)),1),MesCiclo)),IF(ISNUMBER($AM81),DATE(YEAR($AM81),MONTH($AM81),1),IF(ISNUMBER($AN81),DATE(YEAR($AN81),MONTH($AN81),1),MesCiclo))))</f>
        <v/>
      </c>
      <c r="T81" s="62">
        <f>IF(OR($S81="",$S81&lt;&gt;MesCiclo),"",COUNTIF($S$5:$S81,MesCiclo))</f>
        <v/>
      </c>
      <c r="U81" s="62">
        <f>IF($V81="","",IF($V81="Macro",ROW(),IFERROR(LOOKUP(2,1/($V$5:$V81="Macro"),ROW($V$5:$V81)),0)))</f>
        <v/>
      </c>
      <c r="V81" s="62">
        <f>IF(NOT((COUNTA($B81:$D81)+COUNTA($G81:$L81)+COUNTA($Q81))&gt;0),"",IF($B81="Subactividad","Sub","Macro"))</f>
        <v/>
      </c>
      <c r="W81" s="62">
        <f>IF($V81="Macro",COUNTIFS($U$5:$U$1000,ROW(),$V$5:$V$1000,"Sub"),"")</f>
        <v/>
      </c>
      <c r="X81" s="62">
        <f>IF($V81="","",IF(ISNUMBER($G81),1,IFERROR(LOOKUP(2,1/($I81:$L81&lt;&gt;""),$I81:$L81),0)))</f>
        <v/>
      </c>
      <c r="Y81" s="62">
        <f>IF($V81="","",IF(AND(ISNUMBER($G81),$G81&lt;=IF($S81=MesCiclo,InicioCiclo,$S81+MOD(2-WEEKDAY($S81),7))+6),1,IF(ISNUMBER($I81),$I81,0)))</f>
        <v/>
      </c>
      <c r="Z81" s="62">
        <f>IF($V81="","",IF(AND(ISNUMBER($G81),$G81&lt;=IF($S81=MesCiclo,InicioCiclo,$S81+MOD(2-WEEKDAY($S81),7))+13),1,IF(ISNUMBER($J81),$J81,$Y81)))</f>
        <v/>
      </c>
      <c r="AA81" s="62">
        <f>IF($V81="","",IF(AND(ISNUMBER($G81),$G81&lt;=IF($S81=MesCiclo,InicioCiclo,$S81+MOD(2-WEEKDAY($S81),7))+20),1,IF(ISNUMBER($K81),$K81,$Z81)))</f>
        <v/>
      </c>
      <c r="AB81" s="62">
        <f>IF($V81="","",IF(AND(ISNUMBER($G81),$G81&lt;=IF($S81=MesCiclo,InicioCiclo,$S81+MOD(2-WEEKDAY($S81),7))+27),1,IF(ISNUMBER($L81),$L81,$AA81)))</f>
        <v/>
      </c>
      <c r="AC81" s="62">
        <f>IF($V81="","",IF(AND(ISNUMBER($G81),$G81&lt;=IF($S81=MesCiclo,InicioCiclo,$S81+MOD(2-WEEKDAY($S81),7))+6),1,IF(N($W81)&gt;0,AVERAGEIFS($Y$5:$Y$1000,$U$5:$U$1000,ROW(),$V$5:$V$1000,"Sub"),$Y81)))</f>
        <v/>
      </c>
      <c r="AD81" s="62">
        <f>IF($V81="","",IF(AND(ISNUMBER($G81),$G81&lt;=IF($S81=MesCiclo,InicioCiclo,$S81+MOD(2-WEEKDAY($S81),7))+13),1,IF(N($W81)&gt;0,AVERAGEIFS($Z$5:$Z$1000,$U$5:$U$1000,ROW(),$V$5:$V$1000,"Sub"),$Z81)))</f>
        <v/>
      </c>
      <c r="AE81" s="62">
        <f>IF($V81="","",IF(AND(ISNUMBER($G81),$G81&lt;=IF($S81=MesCiclo,InicioCiclo,$S81+MOD(2-WEEKDAY($S81),7))+20),1,IF(N($W81)&gt;0,AVERAGEIFS($AA$5:$AA$1000,$U$5:$U$1000,ROW(),$V$5:$V$1000,"Sub"),$AA81)))</f>
        <v/>
      </c>
      <c r="AF81" s="62">
        <f>IF($V81="","",IF(AND(ISNUMBER($G81),$G81&lt;=IF($S81=MesCiclo,InicioCiclo,$S81+MOD(2-WEEKDAY($S81),7))+27),1,IF(N($W81)&gt;0,AVERAGEIFS($AB$5:$AB$1000,$U$5:$U$1000,ROW(),$V$5:$V$1000,"Sub"),$AB81)))</f>
        <v/>
      </c>
      <c r="AG81" s="62">
        <f>IF($V81&lt;&gt;"Macro","",IF(COUNTIFS($S$5:$S$1000,$S81,$V$5:$V$1000,"Macro",$H$5:$H$1000,"&gt;0")=0,1/COUNTIFS($S$5:$S$1000,$S81,$V$5:$V$1000,"Macro"),IF(AND(ISNUMBER($H81),N($H81)&gt;0),$H81,SUMIFS($H$5:$H$1000,$S$5:$S$1000,$S81,$V$5:$V$1000,"Macro")/COUNTIFS($S$5:$S$1000,$S81,$V$5:$V$1000,"Macro",$H$5:$H$1000,"&gt;0"))/(COUNTIFS($S$5:$S$1000,$S81,$V$5:$V$1000,"Macro")*SUMIFS($H$5:$H$1000,$S$5:$S$1000,$S81,$V$5:$V$1000,"Macro")/COUNTIFS($S$5:$S$1000,$S81,$V$5:$V$1000,"Macro",$H$5:$H$1000,"&gt;0"))))</f>
        <v/>
      </c>
      <c r="AH81" s="62" t="n"/>
      <c r="AI81" s="62" t="n"/>
      <c r="AJ81" s="62" t="n"/>
      <c r="AK81" s="62" t="n"/>
      <c r="AL81" s="62">
        <f>IF(LEFT($C81,11)="[Jefatura] ",IFERROR(MATCH("Asistente Técnico de Riesgo|"&amp;MID($C81,12,500),rDname_ADM,0),0),"")</f>
        <v/>
      </c>
      <c r="AM81" s="62">
        <f>IF(N($AL81)&gt;0,INDEX(rIni_ADM,$AL81),IF(ISNUMBER($E81),$E81,""))</f>
        <v/>
      </c>
      <c r="AN81" s="62">
        <f>IF(N($AL81)&gt;0,INDEX(rLim_ADM,$AL81),IF(ISNUMBER($F81),$F81,""))</f>
        <v/>
      </c>
    </row>
    <row r="82">
      <c r="A82" s="56">
        <f>IF(NOT((COUNTA($B82:$D82)+COUNTA($G82:$L82)+COUNTA($Q82))&gt;0),"",IF($V82="Macro",COUNTIFS($V$5:$V82,"Macro",$S$5:$S82,$S82),IF(N($U82)=0,"?",COUNTIFS(INDEX($V$5:$V$1000,1):INDEX($V$5:$V$1000,$U82-4),"Macro",INDEX($S$5:$S$1000,1):INDEX($S$5:$S$1000,$U82-4),INDEX($S$5:$S$1000,$U82-4))&amp;"."&amp;COUNTIFS($U$5:$U82,$U82,$V$5:$V82,"Sub"))))</f>
        <v/>
      </c>
      <c r="B82" s="57" t="n"/>
      <c r="C82" s="58" t="n"/>
      <c r="D82" s="58" t="n"/>
      <c r="E82" s="59">
        <f>IF(N($AL82)&gt;0,INDEX(rIni_ADM,$AL82),"")</f>
        <v/>
      </c>
      <c r="F82" s="59">
        <f>IF(N($AL82)&gt;0,INDEX(rLim_ADM,$AL82),"")</f>
        <v/>
      </c>
      <c r="G82" s="59" t="n"/>
      <c r="H82" s="60" t="n"/>
      <c r="I82" s="60" t="n"/>
      <c r="J82" s="60" t="n"/>
      <c r="K82" s="60" t="n"/>
      <c r="L82" s="60" t="n"/>
      <c r="M82" s="61">
        <f>IF(NOT((COUNTA($B82:$D82)+COUNTA($G82:$L82)+COUNTA($Q82))&gt;0),"",IF(ISNUMBER($G82),1,IF(N($W82)&gt;0,AVERAGEIFS($X$5:$X$1000,$U$5:$U$1000,ROW(),$V$5:$V$1000,"Sub"),$X82)))</f>
        <v/>
      </c>
      <c r="N82" s="56">
        <f>IF($M82="","",IF($M82&gt;=1,"Completado",IF($M82&gt;0,"En curso","Pendiente")))</f>
        <v/>
      </c>
      <c r="O82" s="56">
        <f>IF(NOT((COUNTA($B82:$D82)+COUNTA($G82:$L82)+COUNTA($Q82))&gt;0),"",IF(ISNUMBER($G82),IF(AND(ISNUMBER($AN82),$G82&gt;$AN82),"Cumplida con "&amp;($G82-$AN82)&amp;IF($G82-$AN82=1," día"," días")&amp;" de retraso","Cumplida"),IF(N($M82)&gt;=1,"Cumplida",IF(NOT(ISNUMBER($AN82)),"Sin fecha límite",IF($AN82&lt;FechaRef,"Vencida hace "&amp;(FechaRef-$AN82)&amp;IF(FechaRef-$AN82=1," día"," días"),IF($AN82=FechaRef,"Vence hoy",IF($AN82-FechaRef&lt;=DiasAlerta,"Vence en "&amp;($AN82-FechaRef)&amp;IF($AN82-FechaRef=1," día"," días"),"En plazo")))))))</f>
        <v/>
      </c>
      <c r="P82" s="62" t="n"/>
      <c r="Q82" s="58" t="n"/>
      <c r="R82" s="63">
        <f>IF(NOT((COUNTA($B82:$D82)+COUNTA($G82:$L82)+COUNTA($Q82))&gt;0),"",IF((IF($C82="","Falta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",""))="","✔ OK","⚠ "&amp;LEFT(IF($C82="","Falta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",""),LEN(IF($C82="","Falta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",""))-3)))</f>
        <v/>
      </c>
      <c r="S82" s="64">
        <f>IF(NOT((COUNTA($B82:$D82)+COUNTA($G82:$L82)+COUNTA($Q82))&gt;0),"",IF(AND($V82="Sub",N($U82)&gt;0),IF(ISNUMBER(INDEX($AM$5:$AM$1000,$U82-4)),DATE(YEAR(INDEX($AM$5:$AM$1000,$U82-4)),MONTH(INDEX($AM$5:$AM$1000,$U82-4)),1),IF(ISNUMBER(INDEX($AN$5:$AN$1000,$U82-4)),DATE(YEAR(INDEX($AN$5:$AN$1000,$U82-4)),MONTH(INDEX($AN$5:$AN$1000,$U82-4)),1),MesCiclo)),IF(ISNUMBER($AM82),DATE(YEAR($AM82),MONTH($AM82),1),IF(ISNUMBER($AN82),DATE(YEAR($AN82),MONTH($AN82),1),MesCiclo))))</f>
        <v/>
      </c>
      <c r="T82" s="62">
        <f>IF(OR($S82="",$S82&lt;&gt;MesCiclo),"",COUNTIF($S$5:$S82,MesCiclo))</f>
        <v/>
      </c>
      <c r="U82" s="62">
        <f>IF($V82="","",IF($V82="Macro",ROW(),IFERROR(LOOKUP(2,1/($V$5:$V82="Macro"),ROW($V$5:$V82)),0)))</f>
        <v/>
      </c>
      <c r="V82" s="62">
        <f>IF(NOT((COUNTA($B82:$D82)+COUNTA($G82:$L82)+COUNTA($Q82))&gt;0),"",IF($B82="Subactividad","Sub","Macro"))</f>
        <v/>
      </c>
      <c r="W82" s="62">
        <f>IF($V82="Macro",COUNTIFS($U$5:$U$1000,ROW(),$V$5:$V$1000,"Sub"),"")</f>
        <v/>
      </c>
      <c r="X82" s="62">
        <f>IF($V82="","",IF(ISNUMBER($G82),1,IFERROR(LOOKUP(2,1/($I82:$L82&lt;&gt;""),$I82:$L82),0)))</f>
        <v/>
      </c>
      <c r="Y82" s="62">
        <f>IF($V82="","",IF(AND(ISNUMBER($G82),$G82&lt;=IF($S82=MesCiclo,InicioCiclo,$S82+MOD(2-WEEKDAY($S82),7))+6),1,IF(ISNUMBER($I82),$I82,0)))</f>
        <v/>
      </c>
      <c r="Z82" s="62">
        <f>IF($V82="","",IF(AND(ISNUMBER($G82),$G82&lt;=IF($S82=MesCiclo,InicioCiclo,$S82+MOD(2-WEEKDAY($S82),7))+13),1,IF(ISNUMBER($J82),$J82,$Y82)))</f>
        <v/>
      </c>
      <c r="AA82" s="62">
        <f>IF($V82="","",IF(AND(ISNUMBER($G82),$G82&lt;=IF($S82=MesCiclo,InicioCiclo,$S82+MOD(2-WEEKDAY($S82),7))+20),1,IF(ISNUMBER($K82),$K82,$Z82)))</f>
        <v/>
      </c>
      <c r="AB82" s="62">
        <f>IF($V82="","",IF(AND(ISNUMBER($G82),$G82&lt;=IF($S82=MesCiclo,InicioCiclo,$S82+MOD(2-WEEKDAY($S82),7))+27),1,IF(ISNUMBER($L82),$L82,$AA82)))</f>
        <v/>
      </c>
      <c r="AC82" s="62">
        <f>IF($V82="","",IF(AND(ISNUMBER($G82),$G82&lt;=IF($S82=MesCiclo,InicioCiclo,$S82+MOD(2-WEEKDAY($S82),7))+6),1,IF(N($W82)&gt;0,AVERAGEIFS($Y$5:$Y$1000,$U$5:$U$1000,ROW(),$V$5:$V$1000,"Sub"),$Y82)))</f>
        <v/>
      </c>
      <c r="AD82" s="62">
        <f>IF($V82="","",IF(AND(ISNUMBER($G82),$G82&lt;=IF($S82=MesCiclo,InicioCiclo,$S82+MOD(2-WEEKDAY($S82),7))+13),1,IF(N($W82)&gt;0,AVERAGEIFS($Z$5:$Z$1000,$U$5:$U$1000,ROW(),$V$5:$V$1000,"Sub"),$Z82)))</f>
        <v/>
      </c>
      <c r="AE82" s="62">
        <f>IF($V82="","",IF(AND(ISNUMBER($G82),$G82&lt;=IF($S82=MesCiclo,InicioCiclo,$S82+MOD(2-WEEKDAY($S82),7))+20),1,IF(N($W82)&gt;0,AVERAGEIFS($AA$5:$AA$1000,$U$5:$U$1000,ROW(),$V$5:$V$1000,"Sub"),$AA82)))</f>
        <v/>
      </c>
      <c r="AF82" s="62">
        <f>IF($V82="","",IF(AND(ISNUMBER($G82),$G82&lt;=IF($S82=MesCiclo,InicioCiclo,$S82+MOD(2-WEEKDAY($S82),7))+27),1,IF(N($W82)&gt;0,AVERAGEIFS($AB$5:$AB$1000,$U$5:$U$1000,ROW(),$V$5:$V$1000,"Sub"),$AB82)))</f>
        <v/>
      </c>
      <c r="AG82" s="62">
        <f>IF($V82&lt;&gt;"Macro","",IF(COUNTIFS($S$5:$S$1000,$S82,$V$5:$V$1000,"Macro",$H$5:$H$1000,"&gt;0")=0,1/COUNTIFS($S$5:$S$1000,$S82,$V$5:$V$1000,"Macro"),IF(AND(ISNUMBER($H82),N($H82)&gt;0),$H82,SUMIFS($H$5:$H$1000,$S$5:$S$1000,$S82,$V$5:$V$1000,"Macro")/COUNTIFS($S$5:$S$1000,$S82,$V$5:$V$1000,"Macro",$H$5:$H$1000,"&gt;0"))/(COUNTIFS($S$5:$S$1000,$S82,$V$5:$V$1000,"Macro")*SUMIFS($H$5:$H$1000,$S$5:$S$1000,$S82,$V$5:$V$1000,"Macro")/COUNTIFS($S$5:$S$1000,$S82,$V$5:$V$1000,"Macro",$H$5:$H$1000,"&gt;0"))))</f>
        <v/>
      </c>
      <c r="AH82" s="62" t="n"/>
      <c r="AI82" s="62" t="n"/>
      <c r="AJ82" s="62" t="n"/>
      <c r="AK82" s="62" t="n"/>
      <c r="AL82" s="62">
        <f>IF(LEFT($C82,11)="[Jefatura] ",IFERROR(MATCH("Asistente Técnico de Riesgo|"&amp;MID($C82,12,500),rDname_ADM,0),0),"")</f>
        <v/>
      </c>
      <c r="AM82" s="62">
        <f>IF(N($AL82)&gt;0,INDEX(rIni_ADM,$AL82),IF(ISNUMBER($E82),$E82,""))</f>
        <v/>
      </c>
      <c r="AN82" s="62">
        <f>IF(N($AL82)&gt;0,INDEX(rLim_ADM,$AL82),IF(ISNUMBER($F82),$F82,""))</f>
        <v/>
      </c>
    </row>
    <row r="83">
      <c r="A83" s="56">
        <f>IF(NOT((COUNTA($B83:$D83)+COUNTA($G83:$L83)+COUNTA($Q83))&gt;0),"",IF($V83="Macro",COUNTIFS($V$5:$V83,"Macro",$S$5:$S83,$S83),IF(N($U83)=0,"?",COUNTIFS(INDEX($V$5:$V$1000,1):INDEX($V$5:$V$1000,$U83-4),"Macro",INDEX($S$5:$S$1000,1):INDEX($S$5:$S$1000,$U83-4),INDEX($S$5:$S$1000,$U83-4))&amp;"."&amp;COUNTIFS($U$5:$U83,$U83,$V$5:$V83,"Sub"))))</f>
        <v/>
      </c>
      <c r="B83" s="57" t="n"/>
      <c r="C83" s="58" t="n"/>
      <c r="D83" s="58" t="n"/>
      <c r="E83" s="59">
        <f>IF(N($AL83)&gt;0,INDEX(rIni_ADM,$AL83),"")</f>
        <v/>
      </c>
      <c r="F83" s="59">
        <f>IF(N($AL83)&gt;0,INDEX(rLim_ADM,$AL83),"")</f>
        <v/>
      </c>
      <c r="G83" s="59" t="n"/>
      <c r="H83" s="60" t="n"/>
      <c r="I83" s="60" t="n"/>
      <c r="J83" s="60" t="n"/>
      <c r="K83" s="60" t="n"/>
      <c r="L83" s="60" t="n"/>
      <c r="M83" s="61">
        <f>IF(NOT((COUNTA($B83:$D83)+COUNTA($G83:$L83)+COUNTA($Q83))&gt;0),"",IF(ISNUMBER($G83),1,IF(N($W83)&gt;0,AVERAGEIFS($X$5:$X$1000,$U$5:$U$1000,ROW(),$V$5:$V$1000,"Sub"),$X83)))</f>
        <v/>
      </c>
      <c r="N83" s="56">
        <f>IF($M83="","",IF($M83&gt;=1,"Completado",IF($M83&gt;0,"En curso","Pendiente")))</f>
        <v/>
      </c>
      <c r="O83" s="56">
        <f>IF(NOT((COUNTA($B83:$D83)+COUNTA($G83:$L83)+COUNTA($Q83))&gt;0),"",IF(ISNUMBER($G83),IF(AND(ISNUMBER($AN83),$G83&gt;$AN83),"Cumplida con "&amp;($G83-$AN83)&amp;IF($G83-$AN83=1," día"," días")&amp;" de retraso","Cumplida"),IF(N($M83)&gt;=1,"Cumplida",IF(NOT(ISNUMBER($AN83)),"Sin fecha límite",IF($AN83&lt;FechaRef,"Vencida hace "&amp;(FechaRef-$AN83)&amp;IF(FechaRef-$AN83=1," día"," días"),IF($AN83=FechaRef,"Vence hoy",IF($AN83-FechaRef&lt;=DiasAlerta,"Vence en "&amp;($AN83-FechaRef)&amp;IF($AN83-FechaRef=1," día"," días"),"En plazo")))))))</f>
        <v/>
      </c>
      <c r="P83" s="62" t="n"/>
      <c r="Q83" s="58" t="n"/>
      <c r="R83" s="63">
        <f>IF(NOT((COUNTA($B83:$D83)+COUNTA($G83:$L83)+COUNTA($Q83))&gt;0),"",IF((IF($C83="","Falta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",""))="","✔ OK","⚠ "&amp;LEFT(IF($C83="","Falta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",""),LEN(IF($C83="","Falta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",""))-3)))</f>
        <v/>
      </c>
      <c r="S83" s="64">
        <f>IF(NOT((COUNTA($B83:$D83)+COUNTA($G83:$L83)+COUNTA($Q83))&gt;0),"",IF(AND($V83="Sub",N($U83)&gt;0),IF(ISNUMBER(INDEX($AM$5:$AM$1000,$U83-4)),DATE(YEAR(INDEX($AM$5:$AM$1000,$U83-4)),MONTH(INDEX($AM$5:$AM$1000,$U83-4)),1),IF(ISNUMBER(INDEX($AN$5:$AN$1000,$U83-4)),DATE(YEAR(INDEX($AN$5:$AN$1000,$U83-4)),MONTH(INDEX($AN$5:$AN$1000,$U83-4)),1),MesCiclo)),IF(ISNUMBER($AM83),DATE(YEAR($AM83),MONTH($AM83),1),IF(ISNUMBER($AN83),DATE(YEAR($AN83),MONTH($AN83),1),MesCiclo))))</f>
        <v/>
      </c>
      <c r="T83" s="62">
        <f>IF(OR($S83="",$S83&lt;&gt;MesCiclo),"",COUNTIF($S$5:$S83,MesCiclo))</f>
        <v/>
      </c>
      <c r="U83" s="62">
        <f>IF($V83="","",IF($V83="Macro",ROW(),IFERROR(LOOKUP(2,1/($V$5:$V83="Macro"),ROW($V$5:$V83)),0)))</f>
        <v/>
      </c>
      <c r="V83" s="62">
        <f>IF(NOT((COUNTA($B83:$D83)+COUNTA($G83:$L83)+COUNTA($Q83))&gt;0),"",IF($B83="Subactividad","Sub","Macro"))</f>
        <v/>
      </c>
      <c r="W83" s="62">
        <f>IF($V83="Macro",COUNTIFS($U$5:$U$1000,ROW(),$V$5:$V$1000,"Sub"),"")</f>
        <v/>
      </c>
      <c r="X83" s="62">
        <f>IF($V83="","",IF(ISNUMBER($G83),1,IFERROR(LOOKUP(2,1/($I83:$L83&lt;&gt;""),$I83:$L83),0)))</f>
        <v/>
      </c>
      <c r="Y83" s="62">
        <f>IF($V83="","",IF(AND(ISNUMBER($G83),$G83&lt;=IF($S83=MesCiclo,InicioCiclo,$S83+MOD(2-WEEKDAY($S83),7))+6),1,IF(ISNUMBER($I83),$I83,0)))</f>
        <v/>
      </c>
      <c r="Z83" s="62">
        <f>IF($V83="","",IF(AND(ISNUMBER($G83),$G83&lt;=IF($S83=MesCiclo,InicioCiclo,$S83+MOD(2-WEEKDAY($S83),7))+13),1,IF(ISNUMBER($J83),$J83,$Y83)))</f>
        <v/>
      </c>
      <c r="AA83" s="62">
        <f>IF($V83="","",IF(AND(ISNUMBER($G83),$G83&lt;=IF($S83=MesCiclo,InicioCiclo,$S83+MOD(2-WEEKDAY($S83),7))+20),1,IF(ISNUMBER($K83),$K83,$Z83)))</f>
        <v/>
      </c>
      <c r="AB83" s="62">
        <f>IF($V83="","",IF(AND(ISNUMBER($G83),$G83&lt;=IF($S83=MesCiclo,InicioCiclo,$S83+MOD(2-WEEKDAY($S83),7))+27),1,IF(ISNUMBER($L83),$L83,$AA83)))</f>
        <v/>
      </c>
      <c r="AC83" s="62">
        <f>IF($V83="","",IF(AND(ISNUMBER($G83),$G83&lt;=IF($S83=MesCiclo,InicioCiclo,$S83+MOD(2-WEEKDAY($S83),7))+6),1,IF(N($W83)&gt;0,AVERAGEIFS($Y$5:$Y$1000,$U$5:$U$1000,ROW(),$V$5:$V$1000,"Sub"),$Y83)))</f>
        <v/>
      </c>
      <c r="AD83" s="62">
        <f>IF($V83="","",IF(AND(ISNUMBER($G83),$G83&lt;=IF($S83=MesCiclo,InicioCiclo,$S83+MOD(2-WEEKDAY($S83),7))+13),1,IF(N($W83)&gt;0,AVERAGEIFS($Z$5:$Z$1000,$U$5:$U$1000,ROW(),$V$5:$V$1000,"Sub"),$Z83)))</f>
        <v/>
      </c>
      <c r="AE83" s="62">
        <f>IF($V83="","",IF(AND(ISNUMBER($G83),$G83&lt;=IF($S83=MesCiclo,InicioCiclo,$S83+MOD(2-WEEKDAY($S83),7))+20),1,IF(N($W83)&gt;0,AVERAGEIFS($AA$5:$AA$1000,$U$5:$U$1000,ROW(),$V$5:$V$1000,"Sub"),$AA83)))</f>
        <v/>
      </c>
      <c r="AF83" s="62">
        <f>IF($V83="","",IF(AND(ISNUMBER($G83),$G83&lt;=IF($S83=MesCiclo,InicioCiclo,$S83+MOD(2-WEEKDAY($S83),7))+27),1,IF(N($W83)&gt;0,AVERAGEIFS($AB$5:$AB$1000,$U$5:$U$1000,ROW(),$V$5:$V$1000,"Sub"),$AB83)))</f>
        <v/>
      </c>
      <c r="AG83" s="62">
        <f>IF($V83&lt;&gt;"Macro","",IF(COUNTIFS($S$5:$S$1000,$S83,$V$5:$V$1000,"Macro",$H$5:$H$1000,"&gt;0")=0,1/COUNTIFS($S$5:$S$1000,$S83,$V$5:$V$1000,"Macro"),IF(AND(ISNUMBER($H83),N($H83)&gt;0),$H83,SUMIFS($H$5:$H$1000,$S$5:$S$1000,$S83,$V$5:$V$1000,"Macro")/COUNTIFS($S$5:$S$1000,$S83,$V$5:$V$1000,"Macro",$H$5:$H$1000,"&gt;0"))/(COUNTIFS($S$5:$S$1000,$S83,$V$5:$V$1000,"Macro")*SUMIFS($H$5:$H$1000,$S$5:$S$1000,$S83,$V$5:$V$1000,"Macro")/COUNTIFS($S$5:$S$1000,$S83,$V$5:$V$1000,"Macro",$H$5:$H$1000,"&gt;0"))))</f>
        <v/>
      </c>
      <c r="AH83" s="62" t="n"/>
      <c r="AI83" s="62" t="n"/>
      <c r="AJ83" s="62" t="n"/>
      <c r="AK83" s="62" t="n"/>
      <c r="AL83" s="62">
        <f>IF(LEFT($C83,11)="[Jefatura] ",IFERROR(MATCH("Asistente Técnico de Riesgo|"&amp;MID($C83,12,500),rDname_ADM,0),0),"")</f>
        <v/>
      </c>
      <c r="AM83" s="62">
        <f>IF(N($AL83)&gt;0,INDEX(rIni_ADM,$AL83),IF(ISNUMBER($E83),$E83,""))</f>
        <v/>
      </c>
      <c r="AN83" s="62">
        <f>IF(N($AL83)&gt;0,INDEX(rLim_ADM,$AL83),IF(ISNUMBER($F83),$F83,""))</f>
        <v/>
      </c>
    </row>
    <row r="84">
      <c r="A84" s="56">
        <f>IF(NOT((COUNTA($B84:$D84)+COUNTA($G84:$L84)+COUNTA($Q84))&gt;0),"",IF($V84="Macro",COUNTIFS($V$5:$V84,"Macro",$S$5:$S84,$S84),IF(N($U84)=0,"?",COUNTIFS(INDEX($V$5:$V$1000,1):INDEX($V$5:$V$1000,$U84-4),"Macro",INDEX($S$5:$S$1000,1):INDEX($S$5:$S$1000,$U84-4),INDEX($S$5:$S$1000,$U84-4))&amp;"."&amp;COUNTIFS($U$5:$U84,$U84,$V$5:$V84,"Sub"))))</f>
        <v/>
      </c>
      <c r="B84" s="57" t="n"/>
      <c r="C84" s="58" t="n"/>
      <c r="D84" s="58" t="n"/>
      <c r="E84" s="59">
        <f>IF(N($AL84)&gt;0,INDEX(rIni_ADM,$AL84),"")</f>
        <v/>
      </c>
      <c r="F84" s="59">
        <f>IF(N($AL84)&gt;0,INDEX(rLim_ADM,$AL84),"")</f>
        <v/>
      </c>
      <c r="G84" s="59" t="n"/>
      <c r="H84" s="60" t="n"/>
      <c r="I84" s="60" t="n"/>
      <c r="J84" s="60" t="n"/>
      <c r="K84" s="60" t="n"/>
      <c r="L84" s="60" t="n"/>
      <c r="M84" s="61">
        <f>IF(NOT((COUNTA($B84:$D84)+COUNTA($G84:$L84)+COUNTA($Q84))&gt;0),"",IF(ISNUMBER($G84),1,IF(N($W84)&gt;0,AVERAGEIFS($X$5:$X$1000,$U$5:$U$1000,ROW(),$V$5:$V$1000,"Sub"),$X84)))</f>
        <v/>
      </c>
      <c r="N84" s="56">
        <f>IF($M84="","",IF($M84&gt;=1,"Completado",IF($M84&gt;0,"En curso","Pendiente")))</f>
        <v/>
      </c>
      <c r="O84" s="56">
        <f>IF(NOT((COUNTA($B84:$D84)+COUNTA($G84:$L84)+COUNTA($Q84))&gt;0),"",IF(ISNUMBER($G84),IF(AND(ISNUMBER($AN84),$G84&gt;$AN84),"Cumplida con "&amp;($G84-$AN84)&amp;IF($G84-$AN84=1," día"," días")&amp;" de retraso","Cumplida"),IF(N($M84)&gt;=1,"Cumplida",IF(NOT(ISNUMBER($AN84)),"Sin fecha límite",IF($AN84&lt;FechaRef,"Vencida hace "&amp;(FechaRef-$AN84)&amp;IF(FechaRef-$AN84=1," día"," días"),IF($AN84=FechaRef,"Vence hoy",IF($AN84-FechaRef&lt;=DiasAlerta,"Vence en "&amp;($AN84-FechaRef)&amp;IF($AN84-FechaRef=1," día"," días"),"En plazo")))))))</f>
        <v/>
      </c>
      <c r="P84" s="62" t="n"/>
      <c r="Q84" s="58" t="n"/>
      <c r="R84" s="63">
        <f>IF(NOT((COUNTA($B84:$D84)+COUNTA($G84:$L84)+COUNTA($Q84))&gt;0),"",IF((IF($C84="","Falta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",""))="","✔ OK","⚠ "&amp;LEFT(IF($C84="","Falta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",""),LEN(IF($C84="","Falta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",""))-3)))</f>
        <v/>
      </c>
      <c r="S84" s="64">
        <f>IF(NOT((COUNTA($B84:$D84)+COUNTA($G84:$L84)+COUNTA($Q84))&gt;0),"",IF(AND($V84="Sub",N($U84)&gt;0),IF(ISNUMBER(INDEX($AM$5:$AM$1000,$U84-4)),DATE(YEAR(INDEX($AM$5:$AM$1000,$U84-4)),MONTH(INDEX($AM$5:$AM$1000,$U84-4)),1),IF(ISNUMBER(INDEX($AN$5:$AN$1000,$U84-4)),DATE(YEAR(INDEX($AN$5:$AN$1000,$U84-4)),MONTH(INDEX($AN$5:$AN$1000,$U84-4)),1),MesCiclo)),IF(ISNUMBER($AM84),DATE(YEAR($AM84),MONTH($AM84),1),IF(ISNUMBER($AN84),DATE(YEAR($AN84),MONTH($AN84),1),MesCiclo))))</f>
        <v/>
      </c>
      <c r="T84" s="62">
        <f>IF(OR($S84="",$S84&lt;&gt;MesCiclo),"",COUNTIF($S$5:$S84,MesCiclo))</f>
        <v/>
      </c>
      <c r="U84" s="62">
        <f>IF($V84="","",IF($V84="Macro",ROW(),IFERROR(LOOKUP(2,1/($V$5:$V84="Macro"),ROW($V$5:$V84)),0)))</f>
        <v/>
      </c>
      <c r="V84" s="62">
        <f>IF(NOT((COUNTA($B84:$D84)+COUNTA($G84:$L84)+COUNTA($Q84))&gt;0),"",IF($B84="Subactividad","Sub","Macro"))</f>
        <v/>
      </c>
      <c r="W84" s="62">
        <f>IF($V84="Macro",COUNTIFS($U$5:$U$1000,ROW(),$V$5:$V$1000,"Sub"),"")</f>
        <v/>
      </c>
      <c r="X84" s="62">
        <f>IF($V84="","",IF(ISNUMBER($G84),1,IFERROR(LOOKUP(2,1/($I84:$L84&lt;&gt;""),$I84:$L84),0)))</f>
        <v/>
      </c>
      <c r="Y84" s="62">
        <f>IF($V84="","",IF(AND(ISNUMBER($G84),$G84&lt;=IF($S84=MesCiclo,InicioCiclo,$S84+MOD(2-WEEKDAY($S84),7))+6),1,IF(ISNUMBER($I84),$I84,0)))</f>
        <v/>
      </c>
      <c r="Z84" s="62">
        <f>IF($V84="","",IF(AND(ISNUMBER($G84),$G84&lt;=IF($S84=MesCiclo,InicioCiclo,$S84+MOD(2-WEEKDAY($S84),7))+13),1,IF(ISNUMBER($J84),$J84,$Y84)))</f>
        <v/>
      </c>
      <c r="AA84" s="62">
        <f>IF($V84="","",IF(AND(ISNUMBER($G84),$G84&lt;=IF($S84=MesCiclo,InicioCiclo,$S84+MOD(2-WEEKDAY($S84),7))+20),1,IF(ISNUMBER($K84),$K84,$Z84)))</f>
        <v/>
      </c>
      <c r="AB84" s="62">
        <f>IF($V84="","",IF(AND(ISNUMBER($G84),$G84&lt;=IF($S84=MesCiclo,InicioCiclo,$S84+MOD(2-WEEKDAY($S84),7))+27),1,IF(ISNUMBER($L84),$L84,$AA84)))</f>
        <v/>
      </c>
      <c r="AC84" s="62">
        <f>IF($V84="","",IF(AND(ISNUMBER($G84),$G84&lt;=IF($S84=MesCiclo,InicioCiclo,$S84+MOD(2-WEEKDAY($S84),7))+6),1,IF(N($W84)&gt;0,AVERAGEIFS($Y$5:$Y$1000,$U$5:$U$1000,ROW(),$V$5:$V$1000,"Sub"),$Y84)))</f>
        <v/>
      </c>
      <c r="AD84" s="62">
        <f>IF($V84="","",IF(AND(ISNUMBER($G84),$G84&lt;=IF($S84=MesCiclo,InicioCiclo,$S84+MOD(2-WEEKDAY($S84),7))+13),1,IF(N($W84)&gt;0,AVERAGEIFS($Z$5:$Z$1000,$U$5:$U$1000,ROW(),$V$5:$V$1000,"Sub"),$Z84)))</f>
        <v/>
      </c>
      <c r="AE84" s="62">
        <f>IF($V84="","",IF(AND(ISNUMBER($G84),$G84&lt;=IF($S84=MesCiclo,InicioCiclo,$S84+MOD(2-WEEKDAY($S84),7))+20),1,IF(N($W84)&gt;0,AVERAGEIFS($AA$5:$AA$1000,$U$5:$U$1000,ROW(),$V$5:$V$1000,"Sub"),$AA84)))</f>
        <v/>
      </c>
      <c r="AF84" s="62">
        <f>IF($V84="","",IF(AND(ISNUMBER($G84),$G84&lt;=IF($S84=MesCiclo,InicioCiclo,$S84+MOD(2-WEEKDAY($S84),7))+27),1,IF(N($W84)&gt;0,AVERAGEIFS($AB$5:$AB$1000,$U$5:$U$1000,ROW(),$V$5:$V$1000,"Sub"),$AB84)))</f>
        <v/>
      </c>
      <c r="AG84" s="62">
        <f>IF($V84&lt;&gt;"Macro","",IF(COUNTIFS($S$5:$S$1000,$S84,$V$5:$V$1000,"Macro",$H$5:$H$1000,"&gt;0")=0,1/COUNTIFS($S$5:$S$1000,$S84,$V$5:$V$1000,"Macro"),IF(AND(ISNUMBER($H84),N($H84)&gt;0),$H84,SUMIFS($H$5:$H$1000,$S$5:$S$1000,$S84,$V$5:$V$1000,"Macro")/COUNTIFS($S$5:$S$1000,$S84,$V$5:$V$1000,"Macro",$H$5:$H$1000,"&gt;0"))/(COUNTIFS($S$5:$S$1000,$S84,$V$5:$V$1000,"Macro")*SUMIFS($H$5:$H$1000,$S$5:$S$1000,$S84,$V$5:$V$1000,"Macro")/COUNTIFS($S$5:$S$1000,$S84,$V$5:$V$1000,"Macro",$H$5:$H$1000,"&gt;0"))))</f>
        <v/>
      </c>
      <c r="AH84" s="62" t="n"/>
      <c r="AI84" s="62" t="n"/>
      <c r="AJ84" s="62" t="n"/>
      <c r="AK84" s="62" t="n"/>
      <c r="AL84" s="62">
        <f>IF(LEFT($C84,11)="[Jefatura] ",IFERROR(MATCH("Asistente Técnico de Riesgo|"&amp;MID($C84,12,500),rDname_ADM,0),0),"")</f>
        <v/>
      </c>
      <c r="AM84" s="62">
        <f>IF(N($AL84)&gt;0,INDEX(rIni_ADM,$AL84),IF(ISNUMBER($E84),$E84,""))</f>
        <v/>
      </c>
      <c r="AN84" s="62">
        <f>IF(N($AL84)&gt;0,INDEX(rLim_ADM,$AL84),IF(ISNUMBER($F84),$F84,""))</f>
        <v/>
      </c>
    </row>
    <row r="85">
      <c r="A85" s="56">
        <f>IF(NOT((COUNTA($B85:$D85)+COUNTA($G85:$L85)+COUNTA($Q85))&gt;0),"",IF($V85="Macro",COUNTIFS($V$5:$V85,"Macro",$S$5:$S85,$S85),IF(N($U85)=0,"?",COUNTIFS(INDEX($V$5:$V$1000,1):INDEX($V$5:$V$1000,$U85-4),"Macro",INDEX($S$5:$S$1000,1):INDEX($S$5:$S$1000,$U85-4),INDEX($S$5:$S$1000,$U85-4))&amp;"."&amp;COUNTIFS($U$5:$U85,$U85,$V$5:$V85,"Sub"))))</f>
        <v/>
      </c>
      <c r="B85" s="57" t="n"/>
      <c r="C85" s="58" t="n"/>
      <c r="D85" s="58" t="n"/>
      <c r="E85" s="59">
        <f>IF(N($AL85)&gt;0,INDEX(rIni_ADM,$AL85),"")</f>
        <v/>
      </c>
      <c r="F85" s="59">
        <f>IF(N($AL85)&gt;0,INDEX(rLim_ADM,$AL85),"")</f>
        <v/>
      </c>
      <c r="G85" s="59" t="n"/>
      <c r="H85" s="60" t="n"/>
      <c r="I85" s="60" t="n"/>
      <c r="J85" s="60" t="n"/>
      <c r="K85" s="60" t="n"/>
      <c r="L85" s="60" t="n"/>
      <c r="M85" s="61">
        <f>IF(NOT((COUNTA($B85:$D85)+COUNTA($G85:$L85)+COUNTA($Q85))&gt;0),"",IF(ISNUMBER($G85),1,IF(N($W85)&gt;0,AVERAGEIFS($X$5:$X$1000,$U$5:$U$1000,ROW(),$V$5:$V$1000,"Sub"),$X85)))</f>
        <v/>
      </c>
      <c r="N85" s="56">
        <f>IF($M85="","",IF($M85&gt;=1,"Completado",IF($M85&gt;0,"En curso","Pendiente")))</f>
        <v/>
      </c>
      <c r="O85" s="56">
        <f>IF(NOT((COUNTA($B85:$D85)+COUNTA($G85:$L85)+COUNTA($Q85))&gt;0),"",IF(ISNUMBER($G85),IF(AND(ISNUMBER($AN85),$G85&gt;$AN85),"Cumplida con "&amp;($G85-$AN85)&amp;IF($G85-$AN85=1," día"," días")&amp;" de retraso","Cumplida"),IF(N($M85)&gt;=1,"Cumplida",IF(NOT(ISNUMBER($AN85)),"Sin fecha límite",IF($AN85&lt;FechaRef,"Vencida hace "&amp;(FechaRef-$AN85)&amp;IF(FechaRef-$AN85=1," día"," días"),IF($AN85=FechaRef,"Vence hoy",IF($AN85-FechaRef&lt;=DiasAlerta,"Vence en "&amp;($AN85-FechaRef)&amp;IF($AN85-FechaRef=1," día"," días"),"En plazo")))))))</f>
        <v/>
      </c>
      <c r="P85" s="62" t="n"/>
      <c r="Q85" s="58" t="n"/>
      <c r="R85" s="63">
        <f>IF(NOT((COUNTA($B85:$D85)+COUNTA($G85:$L85)+COUNTA($Q85))&gt;0),"",IF((IF($C85="","Falta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",""))="","✔ OK","⚠ "&amp;LEFT(IF($C85="","Falta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",""),LEN(IF($C85="","Falta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",""))-3)))</f>
        <v/>
      </c>
      <c r="S85" s="64">
        <f>IF(NOT((COUNTA($B85:$D85)+COUNTA($G85:$L85)+COUNTA($Q85))&gt;0),"",IF(AND($V85="Sub",N($U85)&gt;0),IF(ISNUMBER(INDEX($AM$5:$AM$1000,$U85-4)),DATE(YEAR(INDEX($AM$5:$AM$1000,$U85-4)),MONTH(INDEX($AM$5:$AM$1000,$U85-4)),1),IF(ISNUMBER(INDEX($AN$5:$AN$1000,$U85-4)),DATE(YEAR(INDEX($AN$5:$AN$1000,$U85-4)),MONTH(INDEX($AN$5:$AN$1000,$U85-4)),1),MesCiclo)),IF(ISNUMBER($AM85),DATE(YEAR($AM85),MONTH($AM85),1),IF(ISNUMBER($AN85),DATE(YEAR($AN85),MONTH($AN85),1),MesCiclo))))</f>
        <v/>
      </c>
      <c r="T85" s="62">
        <f>IF(OR($S85="",$S85&lt;&gt;MesCiclo),"",COUNTIF($S$5:$S85,MesCiclo))</f>
        <v/>
      </c>
      <c r="U85" s="62">
        <f>IF($V85="","",IF($V85="Macro",ROW(),IFERROR(LOOKUP(2,1/($V$5:$V85="Macro"),ROW($V$5:$V85)),0)))</f>
        <v/>
      </c>
      <c r="V85" s="62">
        <f>IF(NOT((COUNTA($B85:$D85)+COUNTA($G85:$L85)+COUNTA($Q85))&gt;0),"",IF($B85="Subactividad","Sub","Macro"))</f>
        <v/>
      </c>
      <c r="W85" s="62">
        <f>IF($V85="Macro",COUNTIFS($U$5:$U$1000,ROW(),$V$5:$V$1000,"Sub"),"")</f>
        <v/>
      </c>
      <c r="X85" s="62">
        <f>IF($V85="","",IF(ISNUMBER($G85),1,IFERROR(LOOKUP(2,1/($I85:$L85&lt;&gt;""),$I85:$L85),0)))</f>
        <v/>
      </c>
      <c r="Y85" s="62">
        <f>IF($V85="","",IF(AND(ISNUMBER($G85),$G85&lt;=IF($S85=MesCiclo,InicioCiclo,$S85+MOD(2-WEEKDAY($S85),7))+6),1,IF(ISNUMBER($I85),$I85,0)))</f>
        <v/>
      </c>
      <c r="Z85" s="62">
        <f>IF($V85="","",IF(AND(ISNUMBER($G85),$G85&lt;=IF($S85=MesCiclo,InicioCiclo,$S85+MOD(2-WEEKDAY($S85),7))+13),1,IF(ISNUMBER($J85),$J85,$Y85)))</f>
        <v/>
      </c>
      <c r="AA85" s="62">
        <f>IF($V85="","",IF(AND(ISNUMBER($G85),$G85&lt;=IF($S85=MesCiclo,InicioCiclo,$S85+MOD(2-WEEKDAY($S85),7))+20),1,IF(ISNUMBER($K85),$K85,$Z85)))</f>
        <v/>
      </c>
      <c r="AB85" s="62">
        <f>IF($V85="","",IF(AND(ISNUMBER($G85),$G85&lt;=IF($S85=MesCiclo,InicioCiclo,$S85+MOD(2-WEEKDAY($S85),7))+27),1,IF(ISNUMBER($L85),$L85,$AA85)))</f>
        <v/>
      </c>
      <c r="AC85" s="62">
        <f>IF($V85="","",IF(AND(ISNUMBER($G85),$G85&lt;=IF($S85=MesCiclo,InicioCiclo,$S85+MOD(2-WEEKDAY($S85),7))+6),1,IF(N($W85)&gt;0,AVERAGEIFS($Y$5:$Y$1000,$U$5:$U$1000,ROW(),$V$5:$V$1000,"Sub"),$Y85)))</f>
        <v/>
      </c>
      <c r="AD85" s="62">
        <f>IF($V85="","",IF(AND(ISNUMBER($G85),$G85&lt;=IF($S85=MesCiclo,InicioCiclo,$S85+MOD(2-WEEKDAY($S85),7))+13),1,IF(N($W85)&gt;0,AVERAGEIFS($Z$5:$Z$1000,$U$5:$U$1000,ROW(),$V$5:$V$1000,"Sub"),$Z85)))</f>
        <v/>
      </c>
      <c r="AE85" s="62">
        <f>IF($V85="","",IF(AND(ISNUMBER($G85),$G85&lt;=IF($S85=MesCiclo,InicioCiclo,$S85+MOD(2-WEEKDAY($S85),7))+20),1,IF(N($W85)&gt;0,AVERAGEIFS($AA$5:$AA$1000,$U$5:$U$1000,ROW(),$V$5:$V$1000,"Sub"),$AA85)))</f>
        <v/>
      </c>
      <c r="AF85" s="62">
        <f>IF($V85="","",IF(AND(ISNUMBER($G85),$G85&lt;=IF($S85=MesCiclo,InicioCiclo,$S85+MOD(2-WEEKDAY($S85),7))+27),1,IF(N($W85)&gt;0,AVERAGEIFS($AB$5:$AB$1000,$U$5:$U$1000,ROW(),$V$5:$V$1000,"Sub"),$AB85)))</f>
        <v/>
      </c>
      <c r="AG85" s="62">
        <f>IF($V85&lt;&gt;"Macro","",IF(COUNTIFS($S$5:$S$1000,$S85,$V$5:$V$1000,"Macro",$H$5:$H$1000,"&gt;0")=0,1/COUNTIFS($S$5:$S$1000,$S85,$V$5:$V$1000,"Macro"),IF(AND(ISNUMBER($H85),N($H85)&gt;0),$H85,SUMIFS($H$5:$H$1000,$S$5:$S$1000,$S85,$V$5:$V$1000,"Macro")/COUNTIFS($S$5:$S$1000,$S85,$V$5:$V$1000,"Macro",$H$5:$H$1000,"&gt;0"))/(COUNTIFS($S$5:$S$1000,$S85,$V$5:$V$1000,"Macro")*SUMIFS($H$5:$H$1000,$S$5:$S$1000,$S85,$V$5:$V$1000,"Macro")/COUNTIFS($S$5:$S$1000,$S85,$V$5:$V$1000,"Macro",$H$5:$H$1000,"&gt;0"))))</f>
        <v/>
      </c>
      <c r="AH85" s="62" t="n"/>
      <c r="AI85" s="62" t="n"/>
      <c r="AJ85" s="62" t="n"/>
      <c r="AK85" s="62" t="n"/>
      <c r="AL85" s="62">
        <f>IF(LEFT($C85,11)="[Jefatura] ",IFERROR(MATCH("Asistente Técnico de Riesgo|"&amp;MID($C85,12,500),rDname_ADM,0),0),"")</f>
        <v/>
      </c>
      <c r="AM85" s="62">
        <f>IF(N($AL85)&gt;0,INDEX(rIni_ADM,$AL85),IF(ISNUMBER($E85),$E85,""))</f>
        <v/>
      </c>
      <c r="AN85" s="62">
        <f>IF(N($AL85)&gt;0,INDEX(rLim_ADM,$AL85),IF(ISNUMBER($F85),$F85,""))</f>
        <v/>
      </c>
    </row>
    <row r="86">
      <c r="A86" s="56">
        <f>IF(NOT((COUNTA($B86:$D86)+COUNTA($G86:$L86)+COUNTA($Q86))&gt;0),"",IF($V86="Macro",COUNTIFS($V$5:$V86,"Macro",$S$5:$S86,$S86),IF(N($U86)=0,"?",COUNTIFS(INDEX($V$5:$V$1000,1):INDEX($V$5:$V$1000,$U86-4),"Macro",INDEX($S$5:$S$1000,1):INDEX($S$5:$S$1000,$U86-4),INDEX($S$5:$S$1000,$U86-4))&amp;"."&amp;COUNTIFS($U$5:$U86,$U86,$V$5:$V86,"Sub"))))</f>
        <v/>
      </c>
      <c r="B86" s="57" t="n"/>
      <c r="C86" s="58" t="n"/>
      <c r="D86" s="58" t="n"/>
      <c r="E86" s="59">
        <f>IF(N($AL86)&gt;0,INDEX(rIni_ADM,$AL86),"")</f>
        <v/>
      </c>
      <c r="F86" s="59">
        <f>IF(N($AL86)&gt;0,INDEX(rLim_ADM,$AL86),"")</f>
        <v/>
      </c>
      <c r="G86" s="59" t="n"/>
      <c r="H86" s="60" t="n"/>
      <c r="I86" s="60" t="n"/>
      <c r="J86" s="60" t="n"/>
      <c r="K86" s="60" t="n"/>
      <c r="L86" s="60" t="n"/>
      <c r="M86" s="61">
        <f>IF(NOT((COUNTA($B86:$D86)+COUNTA($G86:$L86)+COUNTA($Q86))&gt;0),"",IF(ISNUMBER($G86),1,IF(N($W86)&gt;0,AVERAGEIFS($X$5:$X$1000,$U$5:$U$1000,ROW(),$V$5:$V$1000,"Sub"),$X86)))</f>
        <v/>
      </c>
      <c r="N86" s="56">
        <f>IF($M86="","",IF($M86&gt;=1,"Completado",IF($M86&gt;0,"En curso","Pendiente")))</f>
        <v/>
      </c>
      <c r="O86" s="56">
        <f>IF(NOT((COUNTA($B86:$D86)+COUNTA($G86:$L86)+COUNTA($Q86))&gt;0),"",IF(ISNUMBER($G86),IF(AND(ISNUMBER($AN86),$G86&gt;$AN86),"Cumplida con "&amp;($G86-$AN86)&amp;IF($G86-$AN86=1," día"," días")&amp;" de retraso","Cumplida"),IF(N($M86)&gt;=1,"Cumplida",IF(NOT(ISNUMBER($AN86)),"Sin fecha límite",IF($AN86&lt;FechaRef,"Vencida hace "&amp;(FechaRef-$AN86)&amp;IF(FechaRef-$AN86=1," día"," días"),IF($AN86=FechaRef,"Vence hoy",IF($AN86-FechaRef&lt;=DiasAlerta,"Vence en "&amp;($AN86-FechaRef)&amp;IF($AN86-FechaRef=1," día"," días"),"En plazo")))))))</f>
        <v/>
      </c>
      <c r="P86" s="62" t="n"/>
      <c r="Q86" s="58" t="n"/>
      <c r="R86" s="63">
        <f>IF(NOT((COUNTA($B86:$D86)+COUNTA($G86:$L86)+COUNTA($Q86))&gt;0),"",IF((IF($C86="","Falta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",""))="","✔ OK","⚠ "&amp;LEFT(IF($C86="","Falta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",""),LEN(IF($C86="","Falta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",""))-3)))</f>
        <v/>
      </c>
      <c r="S86" s="64">
        <f>IF(NOT((COUNTA($B86:$D86)+COUNTA($G86:$L86)+COUNTA($Q86))&gt;0),"",IF(AND($V86="Sub",N($U86)&gt;0),IF(ISNUMBER(INDEX($AM$5:$AM$1000,$U86-4)),DATE(YEAR(INDEX($AM$5:$AM$1000,$U86-4)),MONTH(INDEX($AM$5:$AM$1000,$U86-4)),1),IF(ISNUMBER(INDEX($AN$5:$AN$1000,$U86-4)),DATE(YEAR(INDEX($AN$5:$AN$1000,$U86-4)),MONTH(INDEX($AN$5:$AN$1000,$U86-4)),1),MesCiclo)),IF(ISNUMBER($AM86),DATE(YEAR($AM86),MONTH($AM86),1),IF(ISNUMBER($AN86),DATE(YEAR($AN86),MONTH($AN86),1),MesCiclo))))</f>
        <v/>
      </c>
      <c r="T86" s="62">
        <f>IF(OR($S86="",$S86&lt;&gt;MesCiclo),"",COUNTIF($S$5:$S86,MesCiclo))</f>
        <v/>
      </c>
      <c r="U86" s="62">
        <f>IF($V86="","",IF($V86="Macro",ROW(),IFERROR(LOOKUP(2,1/($V$5:$V86="Macro"),ROW($V$5:$V86)),0)))</f>
        <v/>
      </c>
      <c r="V86" s="62">
        <f>IF(NOT((COUNTA($B86:$D86)+COUNTA($G86:$L86)+COUNTA($Q86))&gt;0),"",IF($B86="Subactividad","Sub","Macro"))</f>
        <v/>
      </c>
      <c r="W86" s="62">
        <f>IF($V86="Macro",COUNTIFS($U$5:$U$1000,ROW(),$V$5:$V$1000,"Sub"),"")</f>
        <v/>
      </c>
      <c r="X86" s="62">
        <f>IF($V86="","",IF(ISNUMBER($G86),1,IFERROR(LOOKUP(2,1/($I86:$L86&lt;&gt;""),$I86:$L86),0)))</f>
        <v/>
      </c>
      <c r="Y86" s="62">
        <f>IF($V86="","",IF(AND(ISNUMBER($G86),$G86&lt;=IF($S86=MesCiclo,InicioCiclo,$S86+MOD(2-WEEKDAY($S86),7))+6),1,IF(ISNUMBER($I86),$I86,0)))</f>
        <v/>
      </c>
      <c r="Z86" s="62">
        <f>IF($V86="","",IF(AND(ISNUMBER($G86),$G86&lt;=IF($S86=MesCiclo,InicioCiclo,$S86+MOD(2-WEEKDAY($S86),7))+13),1,IF(ISNUMBER($J86),$J86,$Y86)))</f>
        <v/>
      </c>
      <c r="AA86" s="62">
        <f>IF($V86="","",IF(AND(ISNUMBER($G86),$G86&lt;=IF($S86=MesCiclo,InicioCiclo,$S86+MOD(2-WEEKDAY($S86),7))+20),1,IF(ISNUMBER($K86),$K86,$Z86)))</f>
        <v/>
      </c>
      <c r="AB86" s="62">
        <f>IF($V86="","",IF(AND(ISNUMBER($G86),$G86&lt;=IF($S86=MesCiclo,InicioCiclo,$S86+MOD(2-WEEKDAY($S86),7))+27),1,IF(ISNUMBER($L86),$L86,$AA86)))</f>
        <v/>
      </c>
      <c r="AC86" s="62">
        <f>IF($V86="","",IF(AND(ISNUMBER($G86),$G86&lt;=IF($S86=MesCiclo,InicioCiclo,$S86+MOD(2-WEEKDAY($S86),7))+6),1,IF(N($W86)&gt;0,AVERAGEIFS($Y$5:$Y$1000,$U$5:$U$1000,ROW(),$V$5:$V$1000,"Sub"),$Y86)))</f>
        <v/>
      </c>
      <c r="AD86" s="62">
        <f>IF($V86="","",IF(AND(ISNUMBER($G86),$G86&lt;=IF($S86=MesCiclo,InicioCiclo,$S86+MOD(2-WEEKDAY($S86),7))+13),1,IF(N($W86)&gt;0,AVERAGEIFS($Z$5:$Z$1000,$U$5:$U$1000,ROW(),$V$5:$V$1000,"Sub"),$Z86)))</f>
        <v/>
      </c>
      <c r="AE86" s="62">
        <f>IF($V86="","",IF(AND(ISNUMBER($G86),$G86&lt;=IF($S86=MesCiclo,InicioCiclo,$S86+MOD(2-WEEKDAY($S86),7))+20),1,IF(N($W86)&gt;0,AVERAGEIFS($AA$5:$AA$1000,$U$5:$U$1000,ROW(),$V$5:$V$1000,"Sub"),$AA86)))</f>
        <v/>
      </c>
      <c r="AF86" s="62">
        <f>IF($V86="","",IF(AND(ISNUMBER($G86),$G86&lt;=IF($S86=MesCiclo,InicioCiclo,$S86+MOD(2-WEEKDAY($S86),7))+27),1,IF(N($W86)&gt;0,AVERAGEIFS($AB$5:$AB$1000,$U$5:$U$1000,ROW(),$V$5:$V$1000,"Sub"),$AB86)))</f>
        <v/>
      </c>
      <c r="AG86" s="62">
        <f>IF($V86&lt;&gt;"Macro","",IF(COUNTIFS($S$5:$S$1000,$S86,$V$5:$V$1000,"Macro",$H$5:$H$1000,"&gt;0")=0,1/COUNTIFS($S$5:$S$1000,$S86,$V$5:$V$1000,"Macro"),IF(AND(ISNUMBER($H86),N($H86)&gt;0),$H86,SUMIFS($H$5:$H$1000,$S$5:$S$1000,$S86,$V$5:$V$1000,"Macro")/COUNTIFS($S$5:$S$1000,$S86,$V$5:$V$1000,"Macro",$H$5:$H$1000,"&gt;0"))/(COUNTIFS($S$5:$S$1000,$S86,$V$5:$V$1000,"Macro")*SUMIFS($H$5:$H$1000,$S$5:$S$1000,$S86,$V$5:$V$1000,"Macro")/COUNTIFS($S$5:$S$1000,$S86,$V$5:$V$1000,"Macro",$H$5:$H$1000,"&gt;0"))))</f>
        <v/>
      </c>
      <c r="AH86" s="62" t="n"/>
      <c r="AI86" s="62" t="n"/>
      <c r="AJ86" s="62" t="n"/>
      <c r="AK86" s="62" t="n"/>
      <c r="AL86" s="62">
        <f>IF(LEFT($C86,11)="[Jefatura] ",IFERROR(MATCH("Asistente Técnico de Riesgo|"&amp;MID($C86,12,500),rDname_ADM,0),0),"")</f>
        <v/>
      </c>
      <c r="AM86" s="62">
        <f>IF(N($AL86)&gt;0,INDEX(rIni_ADM,$AL86),IF(ISNUMBER($E86),$E86,""))</f>
        <v/>
      </c>
      <c r="AN86" s="62">
        <f>IF(N($AL86)&gt;0,INDEX(rLim_ADM,$AL86),IF(ISNUMBER($F86),$F86,""))</f>
        <v/>
      </c>
    </row>
    <row r="87">
      <c r="A87" s="56">
        <f>IF(NOT((COUNTA($B87:$D87)+COUNTA($G87:$L87)+COUNTA($Q87))&gt;0),"",IF($V87="Macro",COUNTIFS($V$5:$V87,"Macro",$S$5:$S87,$S87),IF(N($U87)=0,"?",COUNTIFS(INDEX($V$5:$V$1000,1):INDEX($V$5:$V$1000,$U87-4),"Macro",INDEX($S$5:$S$1000,1):INDEX($S$5:$S$1000,$U87-4),INDEX($S$5:$S$1000,$U87-4))&amp;"."&amp;COUNTIFS($U$5:$U87,$U87,$V$5:$V87,"Sub"))))</f>
        <v/>
      </c>
      <c r="B87" s="57" t="n"/>
      <c r="C87" s="58" t="n"/>
      <c r="D87" s="58" t="n"/>
      <c r="E87" s="59">
        <f>IF(N($AL87)&gt;0,INDEX(rIni_ADM,$AL87),"")</f>
        <v/>
      </c>
      <c r="F87" s="59">
        <f>IF(N($AL87)&gt;0,INDEX(rLim_ADM,$AL87),"")</f>
        <v/>
      </c>
      <c r="G87" s="59" t="n"/>
      <c r="H87" s="60" t="n"/>
      <c r="I87" s="60" t="n"/>
      <c r="J87" s="60" t="n"/>
      <c r="K87" s="60" t="n"/>
      <c r="L87" s="60" t="n"/>
      <c r="M87" s="61">
        <f>IF(NOT((COUNTA($B87:$D87)+COUNTA($G87:$L87)+COUNTA($Q87))&gt;0),"",IF(ISNUMBER($G87),1,IF(N($W87)&gt;0,AVERAGEIFS($X$5:$X$1000,$U$5:$U$1000,ROW(),$V$5:$V$1000,"Sub"),$X87)))</f>
        <v/>
      </c>
      <c r="N87" s="56">
        <f>IF($M87="","",IF($M87&gt;=1,"Completado",IF($M87&gt;0,"En curso","Pendiente")))</f>
        <v/>
      </c>
      <c r="O87" s="56">
        <f>IF(NOT((COUNTA($B87:$D87)+COUNTA($G87:$L87)+COUNTA($Q87))&gt;0),"",IF(ISNUMBER($G87),IF(AND(ISNUMBER($AN87),$G87&gt;$AN87),"Cumplida con "&amp;($G87-$AN87)&amp;IF($G87-$AN87=1," día"," días")&amp;" de retraso","Cumplida"),IF(N($M87)&gt;=1,"Cumplida",IF(NOT(ISNUMBER($AN87)),"Sin fecha límite",IF($AN87&lt;FechaRef,"Vencida hace "&amp;(FechaRef-$AN87)&amp;IF(FechaRef-$AN87=1," día"," días"),IF($AN87=FechaRef,"Vence hoy",IF($AN87-FechaRef&lt;=DiasAlerta,"Vence en "&amp;($AN87-FechaRef)&amp;IF($AN87-FechaRef=1," día"," días"),"En plazo")))))))</f>
        <v/>
      </c>
      <c r="P87" s="62" t="n"/>
      <c r="Q87" s="58" t="n"/>
      <c r="R87" s="63">
        <f>IF(NOT((COUNTA($B87:$D87)+COUNTA($G87:$L87)+COUNTA($Q87))&gt;0),"",IF((IF($C87="","Falta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",""))="","✔ OK","⚠ "&amp;LEFT(IF($C87="","Falta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",""),LEN(IF($C87="","Falta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",""))-3)))</f>
        <v/>
      </c>
      <c r="S87" s="64">
        <f>IF(NOT((COUNTA($B87:$D87)+COUNTA($G87:$L87)+COUNTA($Q87))&gt;0),"",IF(AND($V87="Sub",N($U87)&gt;0),IF(ISNUMBER(INDEX($AM$5:$AM$1000,$U87-4)),DATE(YEAR(INDEX($AM$5:$AM$1000,$U87-4)),MONTH(INDEX($AM$5:$AM$1000,$U87-4)),1),IF(ISNUMBER(INDEX($AN$5:$AN$1000,$U87-4)),DATE(YEAR(INDEX($AN$5:$AN$1000,$U87-4)),MONTH(INDEX($AN$5:$AN$1000,$U87-4)),1),MesCiclo)),IF(ISNUMBER($AM87),DATE(YEAR($AM87),MONTH($AM87),1),IF(ISNUMBER($AN87),DATE(YEAR($AN87),MONTH($AN87),1),MesCiclo))))</f>
        <v/>
      </c>
      <c r="T87" s="62">
        <f>IF(OR($S87="",$S87&lt;&gt;MesCiclo),"",COUNTIF($S$5:$S87,MesCiclo))</f>
        <v/>
      </c>
      <c r="U87" s="62">
        <f>IF($V87="","",IF($V87="Macro",ROW(),IFERROR(LOOKUP(2,1/($V$5:$V87="Macro"),ROW($V$5:$V87)),0)))</f>
        <v/>
      </c>
      <c r="V87" s="62">
        <f>IF(NOT((COUNTA($B87:$D87)+COUNTA($G87:$L87)+COUNTA($Q87))&gt;0),"",IF($B87="Subactividad","Sub","Macro"))</f>
        <v/>
      </c>
      <c r="W87" s="62">
        <f>IF($V87="Macro",COUNTIFS($U$5:$U$1000,ROW(),$V$5:$V$1000,"Sub"),"")</f>
        <v/>
      </c>
      <c r="X87" s="62">
        <f>IF($V87="","",IF(ISNUMBER($G87),1,IFERROR(LOOKUP(2,1/($I87:$L87&lt;&gt;""),$I87:$L87),0)))</f>
        <v/>
      </c>
      <c r="Y87" s="62">
        <f>IF($V87="","",IF(AND(ISNUMBER($G87),$G87&lt;=IF($S87=MesCiclo,InicioCiclo,$S87+MOD(2-WEEKDAY($S87),7))+6),1,IF(ISNUMBER($I87),$I87,0)))</f>
        <v/>
      </c>
      <c r="Z87" s="62">
        <f>IF($V87="","",IF(AND(ISNUMBER($G87),$G87&lt;=IF($S87=MesCiclo,InicioCiclo,$S87+MOD(2-WEEKDAY($S87),7))+13),1,IF(ISNUMBER($J87),$J87,$Y87)))</f>
        <v/>
      </c>
      <c r="AA87" s="62">
        <f>IF($V87="","",IF(AND(ISNUMBER($G87),$G87&lt;=IF($S87=MesCiclo,InicioCiclo,$S87+MOD(2-WEEKDAY($S87),7))+20),1,IF(ISNUMBER($K87),$K87,$Z87)))</f>
        <v/>
      </c>
      <c r="AB87" s="62">
        <f>IF($V87="","",IF(AND(ISNUMBER($G87),$G87&lt;=IF($S87=MesCiclo,InicioCiclo,$S87+MOD(2-WEEKDAY($S87),7))+27),1,IF(ISNUMBER($L87),$L87,$AA87)))</f>
        <v/>
      </c>
      <c r="AC87" s="62">
        <f>IF($V87="","",IF(AND(ISNUMBER($G87),$G87&lt;=IF($S87=MesCiclo,InicioCiclo,$S87+MOD(2-WEEKDAY($S87),7))+6),1,IF(N($W87)&gt;0,AVERAGEIFS($Y$5:$Y$1000,$U$5:$U$1000,ROW(),$V$5:$V$1000,"Sub"),$Y87)))</f>
        <v/>
      </c>
      <c r="AD87" s="62">
        <f>IF($V87="","",IF(AND(ISNUMBER($G87),$G87&lt;=IF($S87=MesCiclo,InicioCiclo,$S87+MOD(2-WEEKDAY($S87),7))+13),1,IF(N($W87)&gt;0,AVERAGEIFS($Z$5:$Z$1000,$U$5:$U$1000,ROW(),$V$5:$V$1000,"Sub"),$Z87)))</f>
        <v/>
      </c>
      <c r="AE87" s="62">
        <f>IF($V87="","",IF(AND(ISNUMBER($G87),$G87&lt;=IF($S87=MesCiclo,InicioCiclo,$S87+MOD(2-WEEKDAY($S87),7))+20),1,IF(N($W87)&gt;0,AVERAGEIFS($AA$5:$AA$1000,$U$5:$U$1000,ROW(),$V$5:$V$1000,"Sub"),$AA87)))</f>
        <v/>
      </c>
      <c r="AF87" s="62">
        <f>IF($V87="","",IF(AND(ISNUMBER($G87),$G87&lt;=IF($S87=MesCiclo,InicioCiclo,$S87+MOD(2-WEEKDAY($S87),7))+27),1,IF(N($W87)&gt;0,AVERAGEIFS($AB$5:$AB$1000,$U$5:$U$1000,ROW(),$V$5:$V$1000,"Sub"),$AB87)))</f>
        <v/>
      </c>
      <c r="AG87" s="62">
        <f>IF($V87&lt;&gt;"Macro","",IF(COUNTIFS($S$5:$S$1000,$S87,$V$5:$V$1000,"Macro",$H$5:$H$1000,"&gt;0")=0,1/COUNTIFS($S$5:$S$1000,$S87,$V$5:$V$1000,"Macro"),IF(AND(ISNUMBER($H87),N($H87)&gt;0),$H87,SUMIFS($H$5:$H$1000,$S$5:$S$1000,$S87,$V$5:$V$1000,"Macro")/COUNTIFS($S$5:$S$1000,$S87,$V$5:$V$1000,"Macro",$H$5:$H$1000,"&gt;0"))/(COUNTIFS($S$5:$S$1000,$S87,$V$5:$V$1000,"Macro")*SUMIFS($H$5:$H$1000,$S$5:$S$1000,$S87,$V$5:$V$1000,"Macro")/COUNTIFS($S$5:$S$1000,$S87,$V$5:$V$1000,"Macro",$H$5:$H$1000,"&gt;0"))))</f>
        <v/>
      </c>
      <c r="AH87" s="62" t="n"/>
      <c r="AI87" s="62" t="n"/>
      <c r="AJ87" s="62" t="n"/>
      <c r="AK87" s="62" t="n"/>
      <c r="AL87" s="62">
        <f>IF(LEFT($C87,11)="[Jefatura] ",IFERROR(MATCH("Asistente Técnico de Riesgo|"&amp;MID($C87,12,500),rDname_ADM,0),0),"")</f>
        <v/>
      </c>
      <c r="AM87" s="62">
        <f>IF(N($AL87)&gt;0,INDEX(rIni_ADM,$AL87),IF(ISNUMBER($E87),$E87,""))</f>
        <v/>
      </c>
      <c r="AN87" s="62">
        <f>IF(N($AL87)&gt;0,INDEX(rLim_ADM,$AL87),IF(ISNUMBER($F87),$F87,""))</f>
        <v/>
      </c>
    </row>
    <row r="88">
      <c r="A88" s="56">
        <f>IF(NOT((COUNTA($B88:$D88)+COUNTA($G88:$L88)+COUNTA($Q88))&gt;0),"",IF($V88="Macro",COUNTIFS($V$5:$V88,"Macro",$S$5:$S88,$S88),IF(N($U88)=0,"?",COUNTIFS(INDEX($V$5:$V$1000,1):INDEX($V$5:$V$1000,$U88-4),"Macro",INDEX($S$5:$S$1000,1):INDEX($S$5:$S$1000,$U88-4),INDEX($S$5:$S$1000,$U88-4))&amp;"."&amp;COUNTIFS($U$5:$U88,$U88,$V$5:$V88,"Sub"))))</f>
        <v/>
      </c>
      <c r="B88" s="57" t="n"/>
      <c r="C88" s="58" t="n"/>
      <c r="D88" s="58" t="n"/>
      <c r="E88" s="59">
        <f>IF(N($AL88)&gt;0,INDEX(rIni_ADM,$AL88),"")</f>
        <v/>
      </c>
      <c r="F88" s="59">
        <f>IF(N($AL88)&gt;0,INDEX(rLim_ADM,$AL88),"")</f>
        <v/>
      </c>
      <c r="G88" s="59" t="n"/>
      <c r="H88" s="60" t="n"/>
      <c r="I88" s="60" t="n"/>
      <c r="J88" s="60" t="n"/>
      <c r="K88" s="60" t="n"/>
      <c r="L88" s="60" t="n"/>
      <c r="M88" s="61">
        <f>IF(NOT((COUNTA($B88:$D88)+COUNTA($G88:$L88)+COUNTA($Q88))&gt;0),"",IF(ISNUMBER($G88),1,IF(N($W88)&gt;0,AVERAGEIFS($X$5:$X$1000,$U$5:$U$1000,ROW(),$V$5:$V$1000,"Sub"),$X88)))</f>
        <v/>
      </c>
      <c r="N88" s="56">
        <f>IF($M88="","",IF($M88&gt;=1,"Completado",IF($M88&gt;0,"En curso","Pendiente")))</f>
        <v/>
      </c>
      <c r="O88" s="56">
        <f>IF(NOT((COUNTA($B88:$D88)+COUNTA($G88:$L88)+COUNTA($Q88))&gt;0),"",IF(ISNUMBER($G88),IF(AND(ISNUMBER($AN88),$G88&gt;$AN88),"Cumplida con "&amp;($G88-$AN88)&amp;IF($G88-$AN88=1," día"," días")&amp;" de retraso","Cumplida"),IF(N($M88)&gt;=1,"Cumplida",IF(NOT(ISNUMBER($AN88)),"Sin fecha límite",IF($AN88&lt;FechaRef,"Vencida hace "&amp;(FechaRef-$AN88)&amp;IF(FechaRef-$AN88=1," día"," días"),IF($AN88=FechaRef,"Vence hoy",IF($AN88-FechaRef&lt;=DiasAlerta,"Vence en "&amp;($AN88-FechaRef)&amp;IF($AN88-FechaRef=1," día"," días"),"En plazo")))))))</f>
        <v/>
      </c>
      <c r="P88" s="62" t="n"/>
      <c r="Q88" s="58" t="n"/>
      <c r="R88" s="63">
        <f>IF(NOT((COUNTA($B88:$D88)+COUNTA($G88:$L88)+COUNTA($Q88))&gt;0),"",IF((IF($C88="","Falta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",""))="","✔ OK","⚠ "&amp;LEFT(IF($C88="","Falta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",""),LEN(IF($C88="","Falta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",""))-3)))</f>
        <v/>
      </c>
      <c r="S88" s="64">
        <f>IF(NOT((COUNTA($B88:$D88)+COUNTA($G88:$L88)+COUNTA($Q88))&gt;0),"",IF(AND($V88="Sub",N($U88)&gt;0),IF(ISNUMBER(INDEX($AM$5:$AM$1000,$U88-4)),DATE(YEAR(INDEX($AM$5:$AM$1000,$U88-4)),MONTH(INDEX($AM$5:$AM$1000,$U88-4)),1),IF(ISNUMBER(INDEX($AN$5:$AN$1000,$U88-4)),DATE(YEAR(INDEX($AN$5:$AN$1000,$U88-4)),MONTH(INDEX($AN$5:$AN$1000,$U88-4)),1),MesCiclo)),IF(ISNUMBER($AM88),DATE(YEAR($AM88),MONTH($AM88),1),IF(ISNUMBER($AN88),DATE(YEAR($AN88),MONTH($AN88),1),MesCiclo))))</f>
        <v/>
      </c>
      <c r="T88" s="62">
        <f>IF(OR($S88="",$S88&lt;&gt;MesCiclo),"",COUNTIF($S$5:$S88,MesCiclo))</f>
        <v/>
      </c>
      <c r="U88" s="62">
        <f>IF($V88="","",IF($V88="Macro",ROW(),IFERROR(LOOKUP(2,1/($V$5:$V88="Macro"),ROW($V$5:$V88)),0)))</f>
        <v/>
      </c>
      <c r="V88" s="62">
        <f>IF(NOT((COUNTA($B88:$D88)+COUNTA($G88:$L88)+COUNTA($Q88))&gt;0),"",IF($B88="Subactividad","Sub","Macro"))</f>
        <v/>
      </c>
      <c r="W88" s="62">
        <f>IF($V88="Macro",COUNTIFS($U$5:$U$1000,ROW(),$V$5:$V$1000,"Sub"),"")</f>
        <v/>
      </c>
      <c r="X88" s="62">
        <f>IF($V88="","",IF(ISNUMBER($G88),1,IFERROR(LOOKUP(2,1/($I88:$L88&lt;&gt;""),$I88:$L88),0)))</f>
        <v/>
      </c>
      <c r="Y88" s="62">
        <f>IF($V88="","",IF(AND(ISNUMBER($G88),$G88&lt;=IF($S88=MesCiclo,InicioCiclo,$S88+MOD(2-WEEKDAY($S88),7))+6),1,IF(ISNUMBER($I88),$I88,0)))</f>
        <v/>
      </c>
      <c r="Z88" s="62">
        <f>IF($V88="","",IF(AND(ISNUMBER($G88),$G88&lt;=IF($S88=MesCiclo,InicioCiclo,$S88+MOD(2-WEEKDAY($S88),7))+13),1,IF(ISNUMBER($J88),$J88,$Y88)))</f>
        <v/>
      </c>
      <c r="AA88" s="62">
        <f>IF($V88="","",IF(AND(ISNUMBER($G88),$G88&lt;=IF($S88=MesCiclo,InicioCiclo,$S88+MOD(2-WEEKDAY($S88),7))+20),1,IF(ISNUMBER($K88),$K88,$Z88)))</f>
        <v/>
      </c>
      <c r="AB88" s="62">
        <f>IF($V88="","",IF(AND(ISNUMBER($G88),$G88&lt;=IF($S88=MesCiclo,InicioCiclo,$S88+MOD(2-WEEKDAY($S88),7))+27),1,IF(ISNUMBER($L88),$L88,$AA88)))</f>
        <v/>
      </c>
      <c r="AC88" s="62">
        <f>IF($V88="","",IF(AND(ISNUMBER($G88),$G88&lt;=IF($S88=MesCiclo,InicioCiclo,$S88+MOD(2-WEEKDAY($S88),7))+6),1,IF(N($W88)&gt;0,AVERAGEIFS($Y$5:$Y$1000,$U$5:$U$1000,ROW(),$V$5:$V$1000,"Sub"),$Y88)))</f>
        <v/>
      </c>
      <c r="AD88" s="62">
        <f>IF($V88="","",IF(AND(ISNUMBER($G88),$G88&lt;=IF($S88=MesCiclo,InicioCiclo,$S88+MOD(2-WEEKDAY($S88),7))+13),1,IF(N($W88)&gt;0,AVERAGEIFS($Z$5:$Z$1000,$U$5:$U$1000,ROW(),$V$5:$V$1000,"Sub"),$Z88)))</f>
        <v/>
      </c>
      <c r="AE88" s="62">
        <f>IF($V88="","",IF(AND(ISNUMBER($G88),$G88&lt;=IF($S88=MesCiclo,InicioCiclo,$S88+MOD(2-WEEKDAY($S88),7))+20),1,IF(N($W88)&gt;0,AVERAGEIFS($AA$5:$AA$1000,$U$5:$U$1000,ROW(),$V$5:$V$1000,"Sub"),$AA88)))</f>
        <v/>
      </c>
      <c r="AF88" s="62">
        <f>IF($V88="","",IF(AND(ISNUMBER($G88),$G88&lt;=IF($S88=MesCiclo,InicioCiclo,$S88+MOD(2-WEEKDAY($S88),7))+27),1,IF(N($W88)&gt;0,AVERAGEIFS($AB$5:$AB$1000,$U$5:$U$1000,ROW(),$V$5:$V$1000,"Sub"),$AB88)))</f>
        <v/>
      </c>
      <c r="AG88" s="62">
        <f>IF($V88&lt;&gt;"Macro","",IF(COUNTIFS($S$5:$S$1000,$S88,$V$5:$V$1000,"Macro",$H$5:$H$1000,"&gt;0")=0,1/COUNTIFS($S$5:$S$1000,$S88,$V$5:$V$1000,"Macro"),IF(AND(ISNUMBER($H88),N($H88)&gt;0),$H88,SUMIFS($H$5:$H$1000,$S$5:$S$1000,$S88,$V$5:$V$1000,"Macro")/COUNTIFS($S$5:$S$1000,$S88,$V$5:$V$1000,"Macro",$H$5:$H$1000,"&gt;0"))/(COUNTIFS($S$5:$S$1000,$S88,$V$5:$V$1000,"Macro")*SUMIFS($H$5:$H$1000,$S$5:$S$1000,$S88,$V$5:$V$1000,"Macro")/COUNTIFS($S$5:$S$1000,$S88,$V$5:$V$1000,"Macro",$H$5:$H$1000,"&gt;0"))))</f>
        <v/>
      </c>
      <c r="AH88" s="62" t="n"/>
      <c r="AI88" s="62" t="n"/>
      <c r="AJ88" s="62" t="n"/>
      <c r="AK88" s="62" t="n"/>
      <c r="AL88" s="62">
        <f>IF(LEFT($C88,11)="[Jefatura] ",IFERROR(MATCH("Asistente Técnico de Riesgo|"&amp;MID($C88,12,500),rDname_ADM,0),0),"")</f>
        <v/>
      </c>
      <c r="AM88" s="62">
        <f>IF(N($AL88)&gt;0,INDEX(rIni_ADM,$AL88),IF(ISNUMBER($E88),$E88,""))</f>
        <v/>
      </c>
      <c r="AN88" s="62">
        <f>IF(N($AL88)&gt;0,INDEX(rLim_ADM,$AL88),IF(ISNUMBER($F88),$F88,""))</f>
        <v/>
      </c>
    </row>
    <row r="89">
      <c r="A89" s="56">
        <f>IF(NOT((COUNTA($B89:$D89)+COUNTA($G89:$L89)+COUNTA($Q89))&gt;0),"",IF($V89="Macro",COUNTIFS($V$5:$V89,"Macro",$S$5:$S89,$S89),IF(N($U89)=0,"?",COUNTIFS(INDEX($V$5:$V$1000,1):INDEX($V$5:$V$1000,$U89-4),"Macro",INDEX($S$5:$S$1000,1):INDEX($S$5:$S$1000,$U89-4),INDEX($S$5:$S$1000,$U89-4))&amp;"."&amp;COUNTIFS($U$5:$U89,$U89,$V$5:$V89,"Sub"))))</f>
        <v/>
      </c>
      <c r="B89" s="57" t="n"/>
      <c r="C89" s="58" t="n"/>
      <c r="D89" s="58" t="n"/>
      <c r="E89" s="59">
        <f>IF(N($AL89)&gt;0,INDEX(rIni_ADM,$AL89),"")</f>
        <v/>
      </c>
      <c r="F89" s="59">
        <f>IF(N($AL89)&gt;0,INDEX(rLim_ADM,$AL89),"")</f>
        <v/>
      </c>
      <c r="G89" s="59" t="n"/>
      <c r="H89" s="60" t="n"/>
      <c r="I89" s="60" t="n"/>
      <c r="J89" s="60" t="n"/>
      <c r="K89" s="60" t="n"/>
      <c r="L89" s="60" t="n"/>
      <c r="M89" s="61">
        <f>IF(NOT((COUNTA($B89:$D89)+COUNTA($G89:$L89)+COUNTA($Q89))&gt;0),"",IF(ISNUMBER($G89),1,IF(N($W89)&gt;0,AVERAGEIFS($X$5:$X$1000,$U$5:$U$1000,ROW(),$V$5:$V$1000,"Sub"),$X89)))</f>
        <v/>
      </c>
      <c r="N89" s="56">
        <f>IF($M89="","",IF($M89&gt;=1,"Completado",IF($M89&gt;0,"En curso","Pendiente")))</f>
        <v/>
      </c>
      <c r="O89" s="56">
        <f>IF(NOT((COUNTA($B89:$D89)+COUNTA($G89:$L89)+COUNTA($Q89))&gt;0),"",IF(ISNUMBER($G89),IF(AND(ISNUMBER($AN89),$G89&gt;$AN89),"Cumplida con "&amp;($G89-$AN89)&amp;IF($G89-$AN89=1," día"," días")&amp;" de retraso","Cumplida"),IF(N($M89)&gt;=1,"Cumplida",IF(NOT(ISNUMBER($AN89)),"Sin fecha límite",IF($AN89&lt;FechaRef,"Vencida hace "&amp;(FechaRef-$AN89)&amp;IF(FechaRef-$AN89=1," día"," días"),IF($AN89=FechaRef,"Vence hoy",IF($AN89-FechaRef&lt;=DiasAlerta,"Vence en "&amp;($AN89-FechaRef)&amp;IF($AN89-FechaRef=1," día"," días"),"En plazo")))))))</f>
        <v/>
      </c>
      <c r="P89" s="62" t="n"/>
      <c r="Q89" s="58" t="n"/>
      <c r="R89" s="63">
        <f>IF(NOT((COUNTA($B89:$D89)+COUNTA($G89:$L89)+COUNTA($Q89))&gt;0),"",IF((IF($C89="","Falta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",""))="","✔ OK","⚠ "&amp;LEFT(IF($C89="","Falta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",""),LEN(IF($C89="","Falta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",""))-3)))</f>
        <v/>
      </c>
      <c r="S89" s="64">
        <f>IF(NOT((COUNTA($B89:$D89)+COUNTA($G89:$L89)+COUNTA($Q89))&gt;0),"",IF(AND($V89="Sub",N($U89)&gt;0),IF(ISNUMBER(INDEX($AM$5:$AM$1000,$U89-4)),DATE(YEAR(INDEX($AM$5:$AM$1000,$U89-4)),MONTH(INDEX($AM$5:$AM$1000,$U89-4)),1),IF(ISNUMBER(INDEX($AN$5:$AN$1000,$U89-4)),DATE(YEAR(INDEX($AN$5:$AN$1000,$U89-4)),MONTH(INDEX($AN$5:$AN$1000,$U89-4)),1),MesCiclo)),IF(ISNUMBER($AM89),DATE(YEAR($AM89),MONTH($AM89),1),IF(ISNUMBER($AN89),DATE(YEAR($AN89),MONTH($AN89),1),MesCiclo))))</f>
        <v/>
      </c>
      <c r="T89" s="62">
        <f>IF(OR($S89="",$S89&lt;&gt;MesCiclo),"",COUNTIF($S$5:$S89,MesCiclo))</f>
        <v/>
      </c>
      <c r="U89" s="62">
        <f>IF($V89="","",IF($V89="Macro",ROW(),IFERROR(LOOKUP(2,1/($V$5:$V89="Macro"),ROW($V$5:$V89)),0)))</f>
        <v/>
      </c>
      <c r="V89" s="62">
        <f>IF(NOT((COUNTA($B89:$D89)+COUNTA($G89:$L89)+COUNTA($Q89))&gt;0),"",IF($B89="Subactividad","Sub","Macro"))</f>
        <v/>
      </c>
      <c r="W89" s="62">
        <f>IF($V89="Macro",COUNTIFS($U$5:$U$1000,ROW(),$V$5:$V$1000,"Sub"),"")</f>
        <v/>
      </c>
      <c r="X89" s="62">
        <f>IF($V89="","",IF(ISNUMBER($G89),1,IFERROR(LOOKUP(2,1/($I89:$L89&lt;&gt;""),$I89:$L89),0)))</f>
        <v/>
      </c>
      <c r="Y89" s="62">
        <f>IF($V89="","",IF(AND(ISNUMBER($G89),$G89&lt;=IF($S89=MesCiclo,InicioCiclo,$S89+MOD(2-WEEKDAY($S89),7))+6),1,IF(ISNUMBER($I89),$I89,0)))</f>
        <v/>
      </c>
      <c r="Z89" s="62">
        <f>IF($V89="","",IF(AND(ISNUMBER($G89),$G89&lt;=IF($S89=MesCiclo,InicioCiclo,$S89+MOD(2-WEEKDAY($S89),7))+13),1,IF(ISNUMBER($J89),$J89,$Y89)))</f>
        <v/>
      </c>
      <c r="AA89" s="62">
        <f>IF($V89="","",IF(AND(ISNUMBER($G89),$G89&lt;=IF($S89=MesCiclo,InicioCiclo,$S89+MOD(2-WEEKDAY($S89),7))+20),1,IF(ISNUMBER($K89),$K89,$Z89)))</f>
        <v/>
      </c>
      <c r="AB89" s="62">
        <f>IF($V89="","",IF(AND(ISNUMBER($G89),$G89&lt;=IF($S89=MesCiclo,InicioCiclo,$S89+MOD(2-WEEKDAY($S89),7))+27),1,IF(ISNUMBER($L89),$L89,$AA89)))</f>
        <v/>
      </c>
      <c r="AC89" s="62">
        <f>IF($V89="","",IF(AND(ISNUMBER($G89),$G89&lt;=IF($S89=MesCiclo,InicioCiclo,$S89+MOD(2-WEEKDAY($S89),7))+6),1,IF(N($W89)&gt;0,AVERAGEIFS($Y$5:$Y$1000,$U$5:$U$1000,ROW(),$V$5:$V$1000,"Sub"),$Y89)))</f>
        <v/>
      </c>
      <c r="AD89" s="62">
        <f>IF($V89="","",IF(AND(ISNUMBER($G89),$G89&lt;=IF($S89=MesCiclo,InicioCiclo,$S89+MOD(2-WEEKDAY($S89),7))+13),1,IF(N($W89)&gt;0,AVERAGEIFS($Z$5:$Z$1000,$U$5:$U$1000,ROW(),$V$5:$V$1000,"Sub"),$Z89)))</f>
        <v/>
      </c>
      <c r="AE89" s="62">
        <f>IF($V89="","",IF(AND(ISNUMBER($G89),$G89&lt;=IF($S89=MesCiclo,InicioCiclo,$S89+MOD(2-WEEKDAY($S89),7))+20),1,IF(N($W89)&gt;0,AVERAGEIFS($AA$5:$AA$1000,$U$5:$U$1000,ROW(),$V$5:$V$1000,"Sub"),$AA89)))</f>
        <v/>
      </c>
      <c r="AF89" s="62">
        <f>IF($V89="","",IF(AND(ISNUMBER($G89),$G89&lt;=IF($S89=MesCiclo,InicioCiclo,$S89+MOD(2-WEEKDAY($S89),7))+27),1,IF(N($W89)&gt;0,AVERAGEIFS($AB$5:$AB$1000,$U$5:$U$1000,ROW(),$V$5:$V$1000,"Sub"),$AB89)))</f>
        <v/>
      </c>
      <c r="AG89" s="62">
        <f>IF($V89&lt;&gt;"Macro","",IF(COUNTIFS($S$5:$S$1000,$S89,$V$5:$V$1000,"Macro",$H$5:$H$1000,"&gt;0")=0,1/COUNTIFS($S$5:$S$1000,$S89,$V$5:$V$1000,"Macro"),IF(AND(ISNUMBER($H89),N($H89)&gt;0),$H89,SUMIFS($H$5:$H$1000,$S$5:$S$1000,$S89,$V$5:$V$1000,"Macro")/COUNTIFS($S$5:$S$1000,$S89,$V$5:$V$1000,"Macro",$H$5:$H$1000,"&gt;0"))/(COUNTIFS($S$5:$S$1000,$S89,$V$5:$V$1000,"Macro")*SUMIFS($H$5:$H$1000,$S$5:$S$1000,$S89,$V$5:$V$1000,"Macro")/COUNTIFS($S$5:$S$1000,$S89,$V$5:$V$1000,"Macro",$H$5:$H$1000,"&gt;0"))))</f>
        <v/>
      </c>
      <c r="AH89" s="62" t="n"/>
      <c r="AI89" s="62" t="n"/>
      <c r="AJ89" s="62" t="n"/>
      <c r="AK89" s="62" t="n"/>
      <c r="AL89" s="62">
        <f>IF(LEFT($C89,11)="[Jefatura] ",IFERROR(MATCH("Asistente Técnico de Riesgo|"&amp;MID($C89,12,500),rDname_ADM,0),0),"")</f>
        <v/>
      </c>
      <c r="AM89" s="62">
        <f>IF(N($AL89)&gt;0,INDEX(rIni_ADM,$AL89),IF(ISNUMBER($E89),$E89,""))</f>
        <v/>
      </c>
      <c r="AN89" s="62">
        <f>IF(N($AL89)&gt;0,INDEX(rLim_ADM,$AL89),IF(ISNUMBER($F89),$F89,""))</f>
        <v/>
      </c>
    </row>
    <row r="90">
      <c r="A90" s="56">
        <f>IF(NOT((COUNTA($B90:$D90)+COUNTA($G90:$L90)+COUNTA($Q90))&gt;0),"",IF($V90="Macro",COUNTIFS($V$5:$V90,"Macro",$S$5:$S90,$S90),IF(N($U90)=0,"?",COUNTIFS(INDEX($V$5:$V$1000,1):INDEX($V$5:$V$1000,$U90-4),"Macro",INDEX($S$5:$S$1000,1):INDEX($S$5:$S$1000,$U90-4),INDEX($S$5:$S$1000,$U90-4))&amp;"."&amp;COUNTIFS($U$5:$U90,$U90,$V$5:$V90,"Sub"))))</f>
        <v/>
      </c>
      <c r="B90" s="57" t="n"/>
      <c r="C90" s="58" t="n"/>
      <c r="D90" s="58" t="n"/>
      <c r="E90" s="59">
        <f>IF(N($AL90)&gt;0,INDEX(rIni_ADM,$AL90),"")</f>
        <v/>
      </c>
      <c r="F90" s="59">
        <f>IF(N($AL90)&gt;0,INDEX(rLim_ADM,$AL90),"")</f>
        <v/>
      </c>
      <c r="G90" s="59" t="n"/>
      <c r="H90" s="60" t="n"/>
      <c r="I90" s="60" t="n"/>
      <c r="J90" s="60" t="n"/>
      <c r="K90" s="60" t="n"/>
      <c r="L90" s="60" t="n"/>
      <c r="M90" s="61">
        <f>IF(NOT((COUNTA($B90:$D90)+COUNTA($G90:$L90)+COUNTA($Q90))&gt;0),"",IF(ISNUMBER($G90),1,IF(N($W90)&gt;0,AVERAGEIFS($X$5:$X$1000,$U$5:$U$1000,ROW(),$V$5:$V$1000,"Sub"),$X90)))</f>
        <v/>
      </c>
      <c r="N90" s="56">
        <f>IF($M90="","",IF($M90&gt;=1,"Completado",IF($M90&gt;0,"En curso","Pendiente")))</f>
        <v/>
      </c>
      <c r="O90" s="56">
        <f>IF(NOT((COUNTA($B90:$D90)+COUNTA($G90:$L90)+COUNTA($Q90))&gt;0),"",IF(ISNUMBER($G90),IF(AND(ISNUMBER($AN90),$G90&gt;$AN90),"Cumplida con "&amp;($G90-$AN90)&amp;IF($G90-$AN90=1," día"," días")&amp;" de retraso","Cumplida"),IF(N($M90)&gt;=1,"Cumplida",IF(NOT(ISNUMBER($AN90)),"Sin fecha límite",IF($AN90&lt;FechaRef,"Vencida hace "&amp;(FechaRef-$AN90)&amp;IF(FechaRef-$AN90=1," día"," días"),IF($AN90=FechaRef,"Vence hoy",IF($AN90-FechaRef&lt;=DiasAlerta,"Vence en "&amp;($AN90-FechaRef)&amp;IF($AN90-FechaRef=1," día"," días"),"En plazo")))))))</f>
        <v/>
      </c>
      <c r="P90" s="62" t="n"/>
      <c r="Q90" s="58" t="n"/>
      <c r="R90" s="63">
        <f>IF(NOT((COUNTA($B90:$D90)+COUNTA($G90:$L90)+COUNTA($Q90))&gt;0),"",IF((IF($C90="","Falta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",""))="","✔ OK","⚠ "&amp;LEFT(IF($C90="","Falta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",""),LEN(IF($C90="","Falta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",""))-3)))</f>
        <v/>
      </c>
      <c r="S90" s="64">
        <f>IF(NOT((COUNTA($B90:$D90)+COUNTA($G90:$L90)+COUNTA($Q90))&gt;0),"",IF(AND($V90="Sub",N($U90)&gt;0),IF(ISNUMBER(INDEX($AM$5:$AM$1000,$U90-4)),DATE(YEAR(INDEX($AM$5:$AM$1000,$U90-4)),MONTH(INDEX($AM$5:$AM$1000,$U90-4)),1),IF(ISNUMBER(INDEX($AN$5:$AN$1000,$U90-4)),DATE(YEAR(INDEX($AN$5:$AN$1000,$U90-4)),MONTH(INDEX($AN$5:$AN$1000,$U90-4)),1),MesCiclo)),IF(ISNUMBER($AM90),DATE(YEAR($AM90),MONTH($AM90),1),IF(ISNUMBER($AN90),DATE(YEAR($AN90),MONTH($AN90),1),MesCiclo))))</f>
        <v/>
      </c>
      <c r="T90" s="62">
        <f>IF(OR($S90="",$S90&lt;&gt;MesCiclo),"",COUNTIF($S$5:$S90,MesCiclo))</f>
        <v/>
      </c>
      <c r="U90" s="62">
        <f>IF($V90="","",IF($V90="Macro",ROW(),IFERROR(LOOKUP(2,1/($V$5:$V90="Macro"),ROW($V$5:$V90)),0)))</f>
        <v/>
      </c>
      <c r="V90" s="62">
        <f>IF(NOT((COUNTA($B90:$D90)+COUNTA($G90:$L90)+COUNTA($Q90))&gt;0),"",IF($B90="Subactividad","Sub","Macro"))</f>
        <v/>
      </c>
      <c r="W90" s="62">
        <f>IF($V90="Macro",COUNTIFS($U$5:$U$1000,ROW(),$V$5:$V$1000,"Sub"),"")</f>
        <v/>
      </c>
      <c r="X90" s="62">
        <f>IF($V90="","",IF(ISNUMBER($G90),1,IFERROR(LOOKUP(2,1/($I90:$L90&lt;&gt;""),$I90:$L90),0)))</f>
        <v/>
      </c>
      <c r="Y90" s="62">
        <f>IF($V90="","",IF(AND(ISNUMBER($G90),$G90&lt;=IF($S90=MesCiclo,InicioCiclo,$S90+MOD(2-WEEKDAY($S90),7))+6),1,IF(ISNUMBER($I90),$I90,0)))</f>
        <v/>
      </c>
      <c r="Z90" s="62">
        <f>IF($V90="","",IF(AND(ISNUMBER($G90),$G90&lt;=IF($S90=MesCiclo,InicioCiclo,$S90+MOD(2-WEEKDAY($S90),7))+13),1,IF(ISNUMBER($J90),$J90,$Y90)))</f>
        <v/>
      </c>
      <c r="AA90" s="62">
        <f>IF($V90="","",IF(AND(ISNUMBER($G90),$G90&lt;=IF($S90=MesCiclo,InicioCiclo,$S90+MOD(2-WEEKDAY($S90),7))+20),1,IF(ISNUMBER($K90),$K90,$Z90)))</f>
        <v/>
      </c>
      <c r="AB90" s="62">
        <f>IF($V90="","",IF(AND(ISNUMBER($G90),$G90&lt;=IF($S90=MesCiclo,InicioCiclo,$S90+MOD(2-WEEKDAY($S90),7))+27),1,IF(ISNUMBER($L90),$L90,$AA90)))</f>
        <v/>
      </c>
      <c r="AC90" s="62">
        <f>IF($V90="","",IF(AND(ISNUMBER($G90),$G90&lt;=IF($S90=MesCiclo,InicioCiclo,$S90+MOD(2-WEEKDAY($S90),7))+6),1,IF(N($W90)&gt;0,AVERAGEIFS($Y$5:$Y$1000,$U$5:$U$1000,ROW(),$V$5:$V$1000,"Sub"),$Y90)))</f>
        <v/>
      </c>
      <c r="AD90" s="62">
        <f>IF($V90="","",IF(AND(ISNUMBER($G90),$G90&lt;=IF($S90=MesCiclo,InicioCiclo,$S90+MOD(2-WEEKDAY($S90),7))+13),1,IF(N($W90)&gt;0,AVERAGEIFS($Z$5:$Z$1000,$U$5:$U$1000,ROW(),$V$5:$V$1000,"Sub"),$Z90)))</f>
        <v/>
      </c>
      <c r="AE90" s="62">
        <f>IF($V90="","",IF(AND(ISNUMBER($G90),$G90&lt;=IF($S90=MesCiclo,InicioCiclo,$S90+MOD(2-WEEKDAY($S90),7))+20),1,IF(N($W90)&gt;0,AVERAGEIFS($AA$5:$AA$1000,$U$5:$U$1000,ROW(),$V$5:$V$1000,"Sub"),$AA90)))</f>
        <v/>
      </c>
      <c r="AF90" s="62">
        <f>IF($V90="","",IF(AND(ISNUMBER($G90),$G90&lt;=IF($S90=MesCiclo,InicioCiclo,$S90+MOD(2-WEEKDAY($S90),7))+27),1,IF(N($W90)&gt;0,AVERAGEIFS($AB$5:$AB$1000,$U$5:$U$1000,ROW(),$V$5:$V$1000,"Sub"),$AB90)))</f>
        <v/>
      </c>
      <c r="AG90" s="62">
        <f>IF($V90&lt;&gt;"Macro","",IF(COUNTIFS($S$5:$S$1000,$S90,$V$5:$V$1000,"Macro",$H$5:$H$1000,"&gt;0")=0,1/COUNTIFS($S$5:$S$1000,$S90,$V$5:$V$1000,"Macro"),IF(AND(ISNUMBER($H90),N($H90)&gt;0),$H90,SUMIFS($H$5:$H$1000,$S$5:$S$1000,$S90,$V$5:$V$1000,"Macro")/COUNTIFS($S$5:$S$1000,$S90,$V$5:$V$1000,"Macro",$H$5:$H$1000,"&gt;0"))/(COUNTIFS($S$5:$S$1000,$S90,$V$5:$V$1000,"Macro")*SUMIFS($H$5:$H$1000,$S$5:$S$1000,$S90,$V$5:$V$1000,"Macro")/COUNTIFS($S$5:$S$1000,$S90,$V$5:$V$1000,"Macro",$H$5:$H$1000,"&gt;0"))))</f>
        <v/>
      </c>
      <c r="AH90" s="62" t="n"/>
      <c r="AI90" s="62" t="n"/>
      <c r="AJ90" s="62" t="n"/>
      <c r="AK90" s="62" t="n"/>
      <c r="AL90" s="62">
        <f>IF(LEFT($C90,11)="[Jefatura] ",IFERROR(MATCH("Asistente Técnico de Riesgo|"&amp;MID($C90,12,500),rDname_ADM,0),0),"")</f>
        <v/>
      </c>
      <c r="AM90" s="62">
        <f>IF(N($AL90)&gt;0,INDEX(rIni_ADM,$AL90),IF(ISNUMBER($E90),$E90,""))</f>
        <v/>
      </c>
      <c r="AN90" s="62">
        <f>IF(N($AL90)&gt;0,INDEX(rLim_ADM,$AL90),IF(ISNUMBER($F90),$F90,""))</f>
        <v/>
      </c>
    </row>
    <row r="91">
      <c r="A91" s="56">
        <f>IF(NOT((COUNTA($B91:$D91)+COUNTA($G91:$L91)+COUNTA($Q91))&gt;0),"",IF($V91="Macro",COUNTIFS($V$5:$V91,"Macro",$S$5:$S91,$S91),IF(N($U91)=0,"?",COUNTIFS(INDEX($V$5:$V$1000,1):INDEX($V$5:$V$1000,$U91-4),"Macro",INDEX($S$5:$S$1000,1):INDEX($S$5:$S$1000,$U91-4),INDEX($S$5:$S$1000,$U91-4))&amp;"."&amp;COUNTIFS($U$5:$U91,$U91,$V$5:$V91,"Sub"))))</f>
        <v/>
      </c>
      <c r="B91" s="57" t="n"/>
      <c r="C91" s="58" t="n"/>
      <c r="D91" s="58" t="n"/>
      <c r="E91" s="59">
        <f>IF(N($AL91)&gt;0,INDEX(rIni_ADM,$AL91),"")</f>
        <v/>
      </c>
      <c r="F91" s="59">
        <f>IF(N($AL91)&gt;0,INDEX(rLim_ADM,$AL91),"")</f>
        <v/>
      </c>
      <c r="G91" s="59" t="n"/>
      <c r="H91" s="60" t="n"/>
      <c r="I91" s="60" t="n"/>
      <c r="J91" s="60" t="n"/>
      <c r="K91" s="60" t="n"/>
      <c r="L91" s="60" t="n"/>
      <c r="M91" s="61">
        <f>IF(NOT((COUNTA($B91:$D91)+COUNTA($G91:$L91)+COUNTA($Q91))&gt;0),"",IF(ISNUMBER($G91),1,IF(N($W91)&gt;0,AVERAGEIFS($X$5:$X$1000,$U$5:$U$1000,ROW(),$V$5:$V$1000,"Sub"),$X91)))</f>
        <v/>
      </c>
      <c r="N91" s="56">
        <f>IF($M91="","",IF($M91&gt;=1,"Completado",IF($M91&gt;0,"En curso","Pendiente")))</f>
        <v/>
      </c>
      <c r="O91" s="56">
        <f>IF(NOT((COUNTA($B91:$D91)+COUNTA($G91:$L91)+COUNTA($Q91))&gt;0),"",IF(ISNUMBER($G91),IF(AND(ISNUMBER($AN91),$G91&gt;$AN91),"Cumplida con "&amp;($G91-$AN91)&amp;IF($G91-$AN91=1," día"," días")&amp;" de retraso","Cumplida"),IF(N($M91)&gt;=1,"Cumplida",IF(NOT(ISNUMBER($AN91)),"Sin fecha límite",IF($AN91&lt;FechaRef,"Vencida hace "&amp;(FechaRef-$AN91)&amp;IF(FechaRef-$AN91=1," día"," días"),IF($AN91=FechaRef,"Vence hoy",IF($AN91-FechaRef&lt;=DiasAlerta,"Vence en "&amp;($AN91-FechaRef)&amp;IF($AN91-FechaRef=1," día"," días"),"En plazo")))))))</f>
        <v/>
      </c>
      <c r="P91" s="62" t="n"/>
      <c r="Q91" s="58" t="n"/>
      <c r="R91" s="63">
        <f>IF(NOT((COUNTA($B91:$D91)+COUNTA($G91:$L91)+COUNTA($Q91))&gt;0),"",IF((IF($C91="","Falta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",""))="","✔ OK","⚠ "&amp;LEFT(IF($C91="","Falta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",""),LEN(IF($C91="","Falta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",""))-3)))</f>
        <v/>
      </c>
      <c r="S91" s="64">
        <f>IF(NOT((COUNTA($B91:$D91)+COUNTA($G91:$L91)+COUNTA($Q91))&gt;0),"",IF(AND($V91="Sub",N($U91)&gt;0),IF(ISNUMBER(INDEX($AM$5:$AM$1000,$U91-4)),DATE(YEAR(INDEX($AM$5:$AM$1000,$U91-4)),MONTH(INDEX($AM$5:$AM$1000,$U91-4)),1),IF(ISNUMBER(INDEX($AN$5:$AN$1000,$U91-4)),DATE(YEAR(INDEX($AN$5:$AN$1000,$U91-4)),MONTH(INDEX($AN$5:$AN$1000,$U91-4)),1),MesCiclo)),IF(ISNUMBER($AM91),DATE(YEAR($AM91),MONTH($AM91),1),IF(ISNUMBER($AN91),DATE(YEAR($AN91),MONTH($AN91),1),MesCiclo))))</f>
        <v/>
      </c>
      <c r="T91" s="62">
        <f>IF(OR($S91="",$S91&lt;&gt;MesCiclo),"",COUNTIF($S$5:$S91,MesCiclo))</f>
        <v/>
      </c>
      <c r="U91" s="62">
        <f>IF($V91="","",IF($V91="Macro",ROW(),IFERROR(LOOKUP(2,1/($V$5:$V91="Macro"),ROW($V$5:$V91)),0)))</f>
        <v/>
      </c>
      <c r="V91" s="62">
        <f>IF(NOT((COUNTA($B91:$D91)+COUNTA($G91:$L91)+COUNTA($Q91))&gt;0),"",IF($B91="Subactividad","Sub","Macro"))</f>
        <v/>
      </c>
      <c r="W91" s="62">
        <f>IF($V91="Macro",COUNTIFS($U$5:$U$1000,ROW(),$V$5:$V$1000,"Sub"),"")</f>
        <v/>
      </c>
      <c r="X91" s="62">
        <f>IF($V91="","",IF(ISNUMBER($G91),1,IFERROR(LOOKUP(2,1/($I91:$L91&lt;&gt;""),$I91:$L91),0)))</f>
        <v/>
      </c>
      <c r="Y91" s="62">
        <f>IF($V91="","",IF(AND(ISNUMBER($G91),$G91&lt;=IF($S91=MesCiclo,InicioCiclo,$S91+MOD(2-WEEKDAY($S91),7))+6),1,IF(ISNUMBER($I91),$I91,0)))</f>
        <v/>
      </c>
      <c r="Z91" s="62">
        <f>IF($V91="","",IF(AND(ISNUMBER($G91),$G91&lt;=IF($S91=MesCiclo,InicioCiclo,$S91+MOD(2-WEEKDAY($S91),7))+13),1,IF(ISNUMBER($J91),$J91,$Y91)))</f>
        <v/>
      </c>
      <c r="AA91" s="62">
        <f>IF($V91="","",IF(AND(ISNUMBER($G91),$G91&lt;=IF($S91=MesCiclo,InicioCiclo,$S91+MOD(2-WEEKDAY($S91),7))+20),1,IF(ISNUMBER($K91),$K91,$Z91)))</f>
        <v/>
      </c>
      <c r="AB91" s="62">
        <f>IF($V91="","",IF(AND(ISNUMBER($G91),$G91&lt;=IF($S91=MesCiclo,InicioCiclo,$S91+MOD(2-WEEKDAY($S91),7))+27),1,IF(ISNUMBER($L91),$L91,$AA91)))</f>
        <v/>
      </c>
      <c r="AC91" s="62">
        <f>IF($V91="","",IF(AND(ISNUMBER($G91),$G91&lt;=IF($S91=MesCiclo,InicioCiclo,$S91+MOD(2-WEEKDAY($S91),7))+6),1,IF(N($W91)&gt;0,AVERAGEIFS($Y$5:$Y$1000,$U$5:$U$1000,ROW(),$V$5:$V$1000,"Sub"),$Y91)))</f>
        <v/>
      </c>
      <c r="AD91" s="62">
        <f>IF($V91="","",IF(AND(ISNUMBER($G91),$G91&lt;=IF($S91=MesCiclo,InicioCiclo,$S91+MOD(2-WEEKDAY($S91),7))+13),1,IF(N($W91)&gt;0,AVERAGEIFS($Z$5:$Z$1000,$U$5:$U$1000,ROW(),$V$5:$V$1000,"Sub"),$Z91)))</f>
        <v/>
      </c>
      <c r="AE91" s="62">
        <f>IF($V91="","",IF(AND(ISNUMBER($G91),$G91&lt;=IF($S91=MesCiclo,InicioCiclo,$S91+MOD(2-WEEKDAY($S91),7))+20),1,IF(N($W91)&gt;0,AVERAGEIFS($AA$5:$AA$1000,$U$5:$U$1000,ROW(),$V$5:$V$1000,"Sub"),$AA91)))</f>
        <v/>
      </c>
      <c r="AF91" s="62">
        <f>IF($V91="","",IF(AND(ISNUMBER($G91),$G91&lt;=IF($S91=MesCiclo,InicioCiclo,$S91+MOD(2-WEEKDAY($S91),7))+27),1,IF(N($W91)&gt;0,AVERAGEIFS($AB$5:$AB$1000,$U$5:$U$1000,ROW(),$V$5:$V$1000,"Sub"),$AB91)))</f>
        <v/>
      </c>
      <c r="AG91" s="62">
        <f>IF($V91&lt;&gt;"Macro","",IF(COUNTIFS($S$5:$S$1000,$S91,$V$5:$V$1000,"Macro",$H$5:$H$1000,"&gt;0")=0,1/COUNTIFS($S$5:$S$1000,$S91,$V$5:$V$1000,"Macro"),IF(AND(ISNUMBER($H91),N($H91)&gt;0),$H91,SUMIFS($H$5:$H$1000,$S$5:$S$1000,$S91,$V$5:$V$1000,"Macro")/COUNTIFS($S$5:$S$1000,$S91,$V$5:$V$1000,"Macro",$H$5:$H$1000,"&gt;0"))/(COUNTIFS($S$5:$S$1000,$S91,$V$5:$V$1000,"Macro")*SUMIFS($H$5:$H$1000,$S$5:$S$1000,$S91,$V$5:$V$1000,"Macro")/COUNTIFS($S$5:$S$1000,$S91,$V$5:$V$1000,"Macro",$H$5:$H$1000,"&gt;0"))))</f>
        <v/>
      </c>
      <c r="AH91" s="62" t="n"/>
      <c r="AI91" s="62" t="n"/>
      <c r="AJ91" s="62" t="n"/>
      <c r="AK91" s="62" t="n"/>
      <c r="AL91" s="62">
        <f>IF(LEFT($C91,11)="[Jefatura] ",IFERROR(MATCH("Asistente Técnico de Riesgo|"&amp;MID($C91,12,500),rDname_ADM,0),0),"")</f>
        <v/>
      </c>
      <c r="AM91" s="62">
        <f>IF(N($AL91)&gt;0,INDEX(rIni_ADM,$AL91),IF(ISNUMBER($E91),$E91,""))</f>
        <v/>
      </c>
      <c r="AN91" s="62">
        <f>IF(N($AL91)&gt;0,INDEX(rLim_ADM,$AL91),IF(ISNUMBER($F91),$F91,""))</f>
        <v/>
      </c>
    </row>
    <row r="92">
      <c r="A92" s="56">
        <f>IF(NOT((COUNTA($B92:$D92)+COUNTA($G92:$L92)+COUNTA($Q92))&gt;0),"",IF($V92="Macro",COUNTIFS($V$5:$V92,"Macro",$S$5:$S92,$S92),IF(N($U92)=0,"?",COUNTIFS(INDEX($V$5:$V$1000,1):INDEX($V$5:$V$1000,$U92-4),"Macro",INDEX($S$5:$S$1000,1):INDEX($S$5:$S$1000,$U92-4),INDEX($S$5:$S$1000,$U92-4))&amp;"."&amp;COUNTIFS($U$5:$U92,$U92,$V$5:$V92,"Sub"))))</f>
        <v/>
      </c>
      <c r="B92" s="57" t="n"/>
      <c r="C92" s="58" t="n"/>
      <c r="D92" s="58" t="n"/>
      <c r="E92" s="59">
        <f>IF(N($AL92)&gt;0,INDEX(rIni_ADM,$AL92),"")</f>
        <v/>
      </c>
      <c r="F92" s="59">
        <f>IF(N($AL92)&gt;0,INDEX(rLim_ADM,$AL92),"")</f>
        <v/>
      </c>
      <c r="G92" s="59" t="n"/>
      <c r="H92" s="60" t="n"/>
      <c r="I92" s="60" t="n"/>
      <c r="J92" s="60" t="n"/>
      <c r="K92" s="60" t="n"/>
      <c r="L92" s="60" t="n"/>
      <c r="M92" s="61">
        <f>IF(NOT((COUNTA($B92:$D92)+COUNTA($G92:$L92)+COUNTA($Q92))&gt;0),"",IF(ISNUMBER($G92),1,IF(N($W92)&gt;0,AVERAGEIFS($X$5:$X$1000,$U$5:$U$1000,ROW(),$V$5:$V$1000,"Sub"),$X92)))</f>
        <v/>
      </c>
      <c r="N92" s="56">
        <f>IF($M92="","",IF($M92&gt;=1,"Completado",IF($M92&gt;0,"En curso","Pendiente")))</f>
        <v/>
      </c>
      <c r="O92" s="56">
        <f>IF(NOT((COUNTA($B92:$D92)+COUNTA($G92:$L92)+COUNTA($Q92))&gt;0),"",IF(ISNUMBER($G92),IF(AND(ISNUMBER($AN92),$G92&gt;$AN92),"Cumplida con "&amp;($G92-$AN92)&amp;IF($G92-$AN92=1," día"," días")&amp;" de retraso","Cumplida"),IF(N($M92)&gt;=1,"Cumplida",IF(NOT(ISNUMBER($AN92)),"Sin fecha límite",IF($AN92&lt;FechaRef,"Vencida hace "&amp;(FechaRef-$AN92)&amp;IF(FechaRef-$AN92=1," día"," días"),IF($AN92=FechaRef,"Vence hoy",IF($AN92-FechaRef&lt;=DiasAlerta,"Vence en "&amp;($AN92-FechaRef)&amp;IF($AN92-FechaRef=1," día"," días"),"En plazo")))))))</f>
        <v/>
      </c>
      <c r="P92" s="62" t="n"/>
      <c r="Q92" s="58" t="n"/>
      <c r="R92" s="63">
        <f>IF(NOT((COUNTA($B92:$D92)+COUNTA($G92:$L92)+COUNTA($Q92))&gt;0),"",IF((IF($C92="","Falta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",""))="","✔ OK","⚠ "&amp;LEFT(IF($C92="","Falta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",""),LEN(IF($C92="","Falta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",""))-3)))</f>
        <v/>
      </c>
      <c r="S92" s="64">
        <f>IF(NOT((COUNTA($B92:$D92)+COUNTA($G92:$L92)+COUNTA($Q92))&gt;0),"",IF(AND($V92="Sub",N($U92)&gt;0),IF(ISNUMBER(INDEX($AM$5:$AM$1000,$U92-4)),DATE(YEAR(INDEX($AM$5:$AM$1000,$U92-4)),MONTH(INDEX($AM$5:$AM$1000,$U92-4)),1),IF(ISNUMBER(INDEX($AN$5:$AN$1000,$U92-4)),DATE(YEAR(INDEX($AN$5:$AN$1000,$U92-4)),MONTH(INDEX($AN$5:$AN$1000,$U92-4)),1),MesCiclo)),IF(ISNUMBER($AM92),DATE(YEAR($AM92),MONTH($AM92),1),IF(ISNUMBER($AN92),DATE(YEAR($AN92),MONTH($AN92),1),MesCiclo))))</f>
        <v/>
      </c>
      <c r="T92" s="62">
        <f>IF(OR($S92="",$S92&lt;&gt;MesCiclo),"",COUNTIF($S$5:$S92,MesCiclo))</f>
        <v/>
      </c>
      <c r="U92" s="62">
        <f>IF($V92="","",IF($V92="Macro",ROW(),IFERROR(LOOKUP(2,1/($V$5:$V92="Macro"),ROW($V$5:$V92)),0)))</f>
        <v/>
      </c>
      <c r="V92" s="62">
        <f>IF(NOT((COUNTA($B92:$D92)+COUNTA($G92:$L92)+COUNTA($Q92))&gt;0),"",IF($B92="Subactividad","Sub","Macro"))</f>
        <v/>
      </c>
      <c r="W92" s="62">
        <f>IF($V92="Macro",COUNTIFS($U$5:$U$1000,ROW(),$V$5:$V$1000,"Sub"),"")</f>
        <v/>
      </c>
      <c r="X92" s="62">
        <f>IF($V92="","",IF(ISNUMBER($G92),1,IFERROR(LOOKUP(2,1/($I92:$L92&lt;&gt;""),$I92:$L92),0)))</f>
        <v/>
      </c>
      <c r="Y92" s="62">
        <f>IF($V92="","",IF(AND(ISNUMBER($G92),$G92&lt;=IF($S92=MesCiclo,InicioCiclo,$S92+MOD(2-WEEKDAY($S92),7))+6),1,IF(ISNUMBER($I92),$I92,0)))</f>
        <v/>
      </c>
      <c r="Z92" s="62">
        <f>IF($V92="","",IF(AND(ISNUMBER($G92),$G92&lt;=IF($S92=MesCiclo,InicioCiclo,$S92+MOD(2-WEEKDAY($S92),7))+13),1,IF(ISNUMBER($J92),$J92,$Y92)))</f>
        <v/>
      </c>
      <c r="AA92" s="62">
        <f>IF($V92="","",IF(AND(ISNUMBER($G92),$G92&lt;=IF($S92=MesCiclo,InicioCiclo,$S92+MOD(2-WEEKDAY($S92),7))+20),1,IF(ISNUMBER($K92),$K92,$Z92)))</f>
        <v/>
      </c>
      <c r="AB92" s="62">
        <f>IF($V92="","",IF(AND(ISNUMBER($G92),$G92&lt;=IF($S92=MesCiclo,InicioCiclo,$S92+MOD(2-WEEKDAY($S92),7))+27),1,IF(ISNUMBER($L92),$L92,$AA92)))</f>
        <v/>
      </c>
      <c r="AC92" s="62">
        <f>IF($V92="","",IF(AND(ISNUMBER($G92),$G92&lt;=IF($S92=MesCiclo,InicioCiclo,$S92+MOD(2-WEEKDAY($S92),7))+6),1,IF(N($W92)&gt;0,AVERAGEIFS($Y$5:$Y$1000,$U$5:$U$1000,ROW(),$V$5:$V$1000,"Sub"),$Y92)))</f>
        <v/>
      </c>
      <c r="AD92" s="62">
        <f>IF($V92="","",IF(AND(ISNUMBER($G92),$G92&lt;=IF($S92=MesCiclo,InicioCiclo,$S92+MOD(2-WEEKDAY($S92),7))+13),1,IF(N($W92)&gt;0,AVERAGEIFS($Z$5:$Z$1000,$U$5:$U$1000,ROW(),$V$5:$V$1000,"Sub"),$Z92)))</f>
        <v/>
      </c>
      <c r="AE92" s="62">
        <f>IF($V92="","",IF(AND(ISNUMBER($G92),$G92&lt;=IF($S92=MesCiclo,InicioCiclo,$S92+MOD(2-WEEKDAY($S92),7))+20),1,IF(N($W92)&gt;0,AVERAGEIFS($AA$5:$AA$1000,$U$5:$U$1000,ROW(),$V$5:$V$1000,"Sub"),$AA92)))</f>
        <v/>
      </c>
      <c r="AF92" s="62">
        <f>IF($V92="","",IF(AND(ISNUMBER($G92),$G92&lt;=IF($S92=MesCiclo,InicioCiclo,$S92+MOD(2-WEEKDAY($S92),7))+27),1,IF(N($W92)&gt;0,AVERAGEIFS($AB$5:$AB$1000,$U$5:$U$1000,ROW(),$V$5:$V$1000,"Sub"),$AB92)))</f>
        <v/>
      </c>
      <c r="AG92" s="62">
        <f>IF($V92&lt;&gt;"Macro","",IF(COUNTIFS($S$5:$S$1000,$S92,$V$5:$V$1000,"Macro",$H$5:$H$1000,"&gt;0")=0,1/COUNTIFS($S$5:$S$1000,$S92,$V$5:$V$1000,"Macro"),IF(AND(ISNUMBER($H92),N($H92)&gt;0),$H92,SUMIFS($H$5:$H$1000,$S$5:$S$1000,$S92,$V$5:$V$1000,"Macro")/COUNTIFS($S$5:$S$1000,$S92,$V$5:$V$1000,"Macro",$H$5:$H$1000,"&gt;0"))/(COUNTIFS($S$5:$S$1000,$S92,$V$5:$V$1000,"Macro")*SUMIFS($H$5:$H$1000,$S$5:$S$1000,$S92,$V$5:$V$1000,"Macro")/COUNTIFS($S$5:$S$1000,$S92,$V$5:$V$1000,"Macro",$H$5:$H$1000,"&gt;0"))))</f>
        <v/>
      </c>
      <c r="AH92" s="62" t="n"/>
      <c r="AI92" s="62" t="n"/>
      <c r="AJ92" s="62" t="n"/>
      <c r="AK92" s="62" t="n"/>
      <c r="AL92" s="62">
        <f>IF(LEFT($C92,11)="[Jefatura] ",IFERROR(MATCH("Asistente Técnico de Riesgo|"&amp;MID($C92,12,500),rDname_ADM,0),0),"")</f>
        <v/>
      </c>
      <c r="AM92" s="62">
        <f>IF(N($AL92)&gt;0,INDEX(rIni_ADM,$AL92),IF(ISNUMBER($E92),$E92,""))</f>
        <v/>
      </c>
      <c r="AN92" s="62">
        <f>IF(N($AL92)&gt;0,INDEX(rLim_ADM,$AL92),IF(ISNUMBER($F92),$F92,""))</f>
        <v/>
      </c>
    </row>
    <row r="93">
      <c r="A93" s="56">
        <f>IF(NOT((COUNTA($B93:$D93)+COUNTA($G93:$L93)+COUNTA($Q93))&gt;0),"",IF($V93="Macro",COUNTIFS($V$5:$V93,"Macro",$S$5:$S93,$S93),IF(N($U93)=0,"?",COUNTIFS(INDEX($V$5:$V$1000,1):INDEX($V$5:$V$1000,$U93-4),"Macro",INDEX($S$5:$S$1000,1):INDEX($S$5:$S$1000,$U93-4),INDEX($S$5:$S$1000,$U93-4))&amp;"."&amp;COUNTIFS($U$5:$U93,$U93,$V$5:$V93,"Sub"))))</f>
        <v/>
      </c>
      <c r="B93" s="57" t="n"/>
      <c r="C93" s="58" t="n"/>
      <c r="D93" s="58" t="n"/>
      <c r="E93" s="59">
        <f>IF(N($AL93)&gt;0,INDEX(rIni_ADM,$AL93),"")</f>
        <v/>
      </c>
      <c r="F93" s="59">
        <f>IF(N($AL93)&gt;0,INDEX(rLim_ADM,$AL93),"")</f>
        <v/>
      </c>
      <c r="G93" s="59" t="n"/>
      <c r="H93" s="60" t="n"/>
      <c r="I93" s="60" t="n"/>
      <c r="J93" s="60" t="n"/>
      <c r="K93" s="60" t="n"/>
      <c r="L93" s="60" t="n"/>
      <c r="M93" s="61">
        <f>IF(NOT((COUNTA($B93:$D93)+COUNTA($G93:$L93)+COUNTA($Q93))&gt;0),"",IF(ISNUMBER($G93),1,IF(N($W93)&gt;0,AVERAGEIFS($X$5:$X$1000,$U$5:$U$1000,ROW(),$V$5:$V$1000,"Sub"),$X93)))</f>
        <v/>
      </c>
      <c r="N93" s="56">
        <f>IF($M93="","",IF($M93&gt;=1,"Completado",IF($M93&gt;0,"En curso","Pendiente")))</f>
        <v/>
      </c>
      <c r="O93" s="56">
        <f>IF(NOT((COUNTA($B93:$D93)+COUNTA($G93:$L93)+COUNTA($Q93))&gt;0),"",IF(ISNUMBER($G93),IF(AND(ISNUMBER($AN93),$G93&gt;$AN93),"Cumplida con "&amp;($G93-$AN93)&amp;IF($G93-$AN93=1," día"," días")&amp;" de retraso","Cumplida"),IF(N($M93)&gt;=1,"Cumplida",IF(NOT(ISNUMBER($AN93)),"Sin fecha límite",IF($AN93&lt;FechaRef,"Vencida hace "&amp;(FechaRef-$AN93)&amp;IF(FechaRef-$AN93=1," día"," días"),IF($AN93=FechaRef,"Vence hoy",IF($AN93-FechaRef&lt;=DiasAlerta,"Vence en "&amp;($AN93-FechaRef)&amp;IF($AN93-FechaRef=1," día"," días"),"En plazo")))))))</f>
        <v/>
      </c>
      <c r="P93" s="62" t="n"/>
      <c r="Q93" s="58" t="n"/>
      <c r="R93" s="63">
        <f>IF(NOT((COUNTA($B93:$D93)+COUNTA($G93:$L93)+COUNTA($Q93))&gt;0),"",IF((IF($C93="","Falta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",""))="","✔ OK","⚠ "&amp;LEFT(IF($C93="","Falta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",""),LEN(IF($C93="","Falta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",""))-3)))</f>
        <v/>
      </c>
      <c r="S93" s="64">
        <f>IF(NOT((COUNTA($B93:$D93)+COUNTA($G93:$L93)+COUNTA($Q93))&gt;0),"",IF(AND($V93="Sub",N($U93)&gt;0),IF(ISNUMBER(INDEX($AM$5:$AM$1000,$U93-4)),DATE(YEAR(INDEX($AM$5:$AM$1000,$U93-4)),MONTH(INDEX($AM$5:$AM$1000,$U93-4)),1),IF(ISNUMBER(INDEX($AN$5:$AN$1000,$U93-4)),DATE(YEAR(INDEX($AN$5:$AN$1000,$U93-4)),MONTH(INDEX($AN$5:$AN$1000,$U93-4)),1),MesCiclo)),IF(ISNUMBER($AM93),DATE(YEAR($AM93),MONTH($AM93),1),IF(ISNUMBER($AN93),DATE(YEAR($AN93),MONTH($AN93),1),MesCiclo))))</f>
        <v/>
      </c>
      <c r="T93" s="62">
        <f>IF(OR($S93="",$S93&lt;&gt;MesCiclo),"",COUNTIF($S$5:$S93,MesCiclo))</f>
        <v/>
      </c>
      <c r="U93" s="62">
        <f>IF($V93="","",IF($V93="Macro",ROW(),IFERROR(LOOKUP(2,1/($V$5:$V93="Macro"),ROW($V$5:$V93)),0)))</f>
        <v/>
      </c>
      <c r="V93" s="62">
        <f>IF(NOT((COUNTA($B93:$D93)+COUNTA($G93:$L93)+COUNTA($Q93))&gt;0),"",IF($B93="Subactividad","Sub","Macro"))</f>
        <v/>
      </c>
      <c r="W93" s="62">
        <f>IF($V93="Macro",COUNTIFS($U$5:$U$1000,ROW(),$V$5:$V$1000,"Sub"),"")</f>
        <v/>
      </c>
      <c r="X93" s="62">
        <f>IF($V93="","",IF(ISNUMBER($G93),1,IFERROR(LOOKUP(2,1/($I93:$L93&lt;&gt;""),$I93:$L93),0)))</f>
        <v/>
      </c>
      <c r="Y93" s="62">
        <f>IF($V93="","",IF(AND(ISNUMBER($G93),$G93&lt;=IF($S93=MesCiclo,InicioCiclo,$S93+MOD(2-WEEKDAY($S93),7))+6),1,IF(ISNUMBER($I93),$I93,0)))</f>
        <v/>
      </c>
      <c r="Z93" s="62">
        <f>IF($V93="","",IF(AND(ISNUMBER($G93),$G93&lt;=IF($S93=MesCiclo,InicioCiclo,$S93+MOD(2-WEEKDAY($S93),7))+13),1,IF(ISNUMBER($J93),$J93,$Y93)))</f>
        <v/>
      </c>
      <c r="AA93" s="62">
        <f>IF($V93="","",IF(AND(ISNUMBER($G93),$G93&lt;=IF($S93=MesCiclo,InicioCiclo,$S93+MOD(2-WEEKDAY($S93),7))+20),1,IF(ISNUMBER($K93),$K93,$Z93)))</f>
        <v/>
      </c>
      <c r="AB93" s="62">
        <f>IF($V93="","",IF(AND(ISNUMBER($G93),$G93&lt;=IF($S93=MesCiclo,InicioCiclo,$S93+MOD(2-WEEKDAY($S93),7))+27),1,IF(ISNUMBER($L93),$L93,$AA93)))</f>
        <v/>
      </c>
      <c r="AC93" s="62">
        <f>IF($V93="","",IF(AND(ISNUMBER($G93),$G93&lt;=IF($S93=MesCiclo,InicioCiclo,$S93+MOD(2-WEEKDAY($S93),7))+6),1,IF(N($W93)&gt;0,AVERAGEIFS($Y$5:$Y$1000,$U$5:$U$1000,ROW(),$V$5:$V$1000,"Sub"),$Y93)))</f>
        <v/>
      </c>
      <c r="AD93" s="62">
        <f>IF($V93="","",IF(AND(ISNUMBER($G93),$G93&lt;=IF($S93=MesCiclo,InicioCiclo,$S93+MOD(2-WEEKDAY($S93),7))+13),1,IF(N($W93)&gt;0,AVERAGEIFS($Z$5:$Z$1000,$U$5:$U$1000,ROW(),$V$5:$V$1000,"Sub"),$Z93)))</f>
        <v/>
      </c>
      <c r="AE93" s="62">
        <f>IF($V93="","",IF(AND(ISNUMBER($G93),$G93&lt;=IF($S93=MesCiclo,InicioCiclo,$S93+MOD(2-WEEKDAY($S93),7))+20),1,IF(N($W93)&gt;0,AVERAGEIFS($AA$5:$AA$1000,$U$5:$U$1000,ROW(),$V$5:$V$1000,"Sub"),$AA93)))</f>
        <v/>
      </c>
      <c r="AF93" s="62">
        <f>IF($V93="","",IF(AND(ISNUMBER($G93),$G93&lt;=IF($S93=MesCiclo,InicioCiclo,$S93+MOD(2-WEEKDAY($S93),7))+27),1,IF(N($W93)&gt;0,AVERAGEIFS($AB$5:$AB$1000,$U$5:$U$1000,ROW(),$V$5:$V$1000,"Sub"),$AB93)))</f>
        <v/>
      </c>
      <c r="AG93" s="62">
        <f>IF($V93&lt;&gt;"Macro","",IF(COUNTIFS($S$5:$S$1000,$S93,$V$5:$V$1000,"Macro",$H$5:$H$1000,"&gt;0")=0,1/COUNTIFS($S$5:$S$1000,$S93,$V$5:$V$1000,"Macro"),IF(AND(ISNUMBER($H93),N($H93)&gt;0),$H93,SUMIFS($H$5:$H$1000,$S$5:$S$1000,$S93,$V$5:$V$1000,"Macro")/COUNTIFS($S$5:$S$1000,$S93,$V$5:$V$1000,"Macro",$H$5:$H$1000,"&gt;0"))/(COUNTIFS($S$5:$S$1000,$S93,$V$5:$V$1000,"Macro")*SUMIFS($H$5:$H$1000,$S$5:$S$1000,$S93,$V$5:$V$1000,"Macro")/COUNTIFS($S$5:$S$1000,$S93,$V$5:$V$1000,"Macro",$H$5:$H$1000,"&gt;0"))))</f>
        <v/>
      </c>
      <c r="AH93" s="62" t="n"/>
      <c r="AI93" s="62" t="n"/>
      <c r="AJ93" s="62" t="n"/>
      <c r="AK93" s="62" t="n"/>
      <c r="AL93" s="62">
        <f>IF(LEFT($C93,11)="[Jefatura] ",IFERROR(MATCH("Asistente Técnico de Riesgo|"&amp;MID($C93,12,500),rDname_ADM,0),0),"")</f>
        <v/>
      </c>
      <c r="AM93" s="62">
        <f>IF(N($AL93)&gt;0,INDEX(rIni_ADM,$AL93),IF(ISNUMBER($E93),$E93,""))</f>
        <v/>
      </c>
      <c r="AN93" s="62">
        <f>IF(N($AL93)&gt;0,INDEX(rLim_ADM,$AL93),IF(ISNUMBER($F93),$F93,""))</f>
        <v/>
      </c>
    </row>
    <row r="94">
      <c r="A94" s="56">
        <f>IF(NOT((COUNTA($B94:$D94)+COUNTA($G94:$L94)+COUNTA($Q94))&gt;0),"",IF($V94="Macro",COUNTIFS($V$5:$V94,"Macro",$S$5:$S94,$S94),IF(N($U94)=0,"?",COUNTIFS(INDEX($V$5:$V$1000,1):INDEX($V$5:$V$1000,$U94-4),"Macro",INDEX($S$5:$S$1000,1):INDEX($S$5:$S$1000,$U94-4),INDEX($S$5:$S$1000,$U94-4))&amp;"."&amp;COUNTIFS($U$5:$U94,$U94,$V$5:$V94,"Sub"))))</f>
        <v/>
      </c>
      <c r="B94" s="57" t="n"/>
      <c r="C94" s="58" t="n"/>
      <c r="D94" s="58" t="n"/>
      <c r="E94" s="59">
        <f>IF(N($AL94)&gt;0,INDEX(rIni_ADM,$AL94),"")</f>
        <v/>
      </c>
      <c r="F94" s="59">
        <f>IF(N($AL94)&gt;0,INDEX(rLim_ADM,$AL94),"")</f>
        <v/>
      </c>
      <c r="G94" s="59" t="n"/>
      <c r="H94" s="60" t="n"/>
      <c r="I94" s="60" t="n"/>
      <c r="J94" s="60" t="n"/>
      <c r="K94" s="60" t="n"/>
      <c r="L94" s="60" t="n"/>
      <c r="M94" s="61">
        <f>IF(NOT((COUNTA($B94:$D94)+COUNTA($G94:$L94)+COUNTA($Q94))&gt;0),"",IF(ISNUMBER($G94),1,IF(N($W94)&gt;0,AVERAGEIFS($X$5:$X$1000,$U$5:$U$1000,ROW(),$V$5:$V$1000,"Sub"),$X94)))</f>
        <v/>
      </c>
      <c r="N94" s="56">
        <f>IF($M94="","",IF($M94&gt;=1,"Completado",IF($M94&gt;0,"En curso","Pendiente")))</f>
        <v/>
      </c>
      <c r="O94" s="56">
        <f>IF(NOT((COUNTA($B94:$D94)+COUNTA($G94:$L94)+COUNTA($Q94))&gt;0),"",IF(ISNUMBER($G94),IF(AND(ISNUMBER($AN94),$G94&gt;$AN94),"Cumplida con "&amp;($G94-$AN94)&amp;IF($G94-$AN94=1," día"," días")&amp;" de retraso","Cumplida"),IF(N($M94)&gt;=1,"Cumplida",IF(NOT(ISNUMBER($AN94)),"Sin fecha límite",IF($AN94&lt;FechaRef,"Vencida hace "&amp;(FechaRef-$AN94)&amp;IF(FechaRef-$AN94=1," día"," días"),IF($AN94=FechaRef,"Vence hoy",IF($AN94-FechaRef&lt;=DiasAlerta,"Vence en "&amp;($AN94-FechaRef)&amp;IF($AN94-FechaRef=1," día"," días"),"En plazo")))))))</f>
        <v/>
      </c>
      <c r="P94" s="62" t="n"/>
      <c r="Q94" s="58" t="n"/>
      <c r="R94" s="63">
        <f>IF(NOT((COUNTA($B94:$D94)+COUNTA($G94:$L94)+COUNTA($Q94))&gt;0),"",IF((IF($C94="","Falta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",""))="","✔ OK","⚠ "&amp;LEFT(IF($C94="","Falta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",""),LEN(IF($C94="","Falta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",""))-3)))</f>
        <v/>
      </c>
      <c r="S94" s="64">
        <f>IF(NOT((COUNTA($B94:$D94)+COUNTA($G94:$L94)+COUNTA($Q94))&gt;0),"",IF(AND($V94="Sub",N($U94)&gt;0),IF(ISNUMBER(INDEX($AM$5:$AM$1000,$U94-4)),DATE(YEAR(INDEX($AM$5:$AM$1000,$U94-4)),MONTH(INDEX($AM$5:$AM$1000,$U94-4)),1),IF(ISNUMBER(INDEX($AN$5:$AN$1000,$U94-4)),DATE(YEAR(INDEX($AN$5:$AN$1000,$U94-4)),MONTH(INDEX($AN$5:$AN$1000,$U94-4)),1),MesCiclo)),IF(ISNUMBER($AM94),DATE(YEAR($AM94),MONTH($AM94),1),IF(ISNUMBER($AN94),DATE(YEAR($AN94),MONTH($AN94),1),MesCiclo))))</f>
        <v/>
      </c>
      <c r="T94" s="62">
        <f>IF(OR($S94="",$S94&lt;&gt;MesCiclo),"",COUNTIF($S$5:$S94,MesCiclo))</f>
        <v/>
      </c>
      <c r="U94" s="62">
        <f>IF($V94="","",IF($V94="Macro",ROW(),IFERROR(LOOKUP(2,1/($V$5:$V94="Macro"),ROW($V$5:$V94)),0)))</f>
        <v/>
      </c>
      <c r="V94" s="62">
        <f>IF(NOT((COUNTA($B94:$D94)+COUNTA($G94:$L94)+COUNTA($Q94))&gt;0),"",IF($B94="Subactividad","Sub","Macro"))</f>
        <v/>
      </c>
      <c r="W94" s="62">
        <f>IF($V94="Macro",COUNTIFS($U$5:$U$1000,ROW(),$V$5:$V$1000,"Sub"),"")</f>
        <v/>
      </c>
      <c r="X94" s="62">
        <f>IF($V94="","",IF(ISNUMBER($G94),1,IFERROR(LOOKUP(2,1/($I94:$L94&lt;&gt;""),$I94:$L94),0)))</f>
        <v/>
      </c>
      <c r="Y94" s="62">
        <f>IF($V94="","",IF(AND(ISNUMBER($G94),$G94&lt;=IF($S94=MesCiclo,InicioCiclo,$S94+MOD(2-WEEKDAY($S94),7))+6),1,IF(ISNUMBER($I94),$I94,0)))</f>
        <v/>
      </c>
      <c r="Z94" s="62">
        <f>IF($V94="","",IF(AND(ISNUMBER($G94),$G94&lt;=IF($S94=MesCiclo,InicioCiclo,$S94+MOD(2-WEEKDAY($S94),7))+13),1,IF(ISNUMBER($J94),$J94,$Y94)))</f>
        <v/>
      </c>
      <c r="AA94" s="62">
        <f>IF($V94="","",IF(AND(ISNUMBER($G94),$G94&lt;=IF($S94=MesCiclo,InicioCiclo,$S94+MOD(2-WEEKDAY($S94),7))+20),1,IF(ISNUMBER($K94),$K94,$Z94)))</f>
        <v/>
      </c>
      <c r="AB94" s="62">
        <f>IF($V94="","",IF(AND(ISNUMBER($G94),$G94&lt;=IF($S94=MesCiclo,InicioCiclo,$S94+MOD(2-WEEKDAY($S94),7))+27),1,IF(ISNUMBER($L94),$L94,$AA94)))</f>
        <v/>
      </c>
      <c r="AC94" s="62">
        <f>IF($V94="","",IF(AND(ISNUMBER($G94),$G94&lt;=IF($S94=MesCiclo,InicioCiclo,$S94+MOD(2-WEEKDAY($S94),7))+6),1,IF(N($W94)&gt;0,AVERAGEIFS($Y$5:$Y$1000,$U$5:$U$1000,ROW(),$V$5:$V$1000,"Sub"),$Y94)))</f>
        <v/>
      </c>
      <c r="AD94" s="62">
        <f>IF($V94="","",IF(AND(ISNUMBER($G94),$G94&lt;=IF($S94=MesCiclo,InicioCiclo,$S94+MOD(2-WEEKDAY($S94),7))+13),1,IF(N($W94)&gt;0,AVERAGEIFS($Z$5:$Z$1000,$U$5:$U$1000,ROW(),$V$5:$V$1000,"Sub"),$Z94)))</f>
        <v/>
      </c>
      <c r="AE94" s="62">
        <f>IF($V94="","",IF(AND(ISNUMBER($G94),$G94&lt;=IF($S94=MesCiclo,InicioCiclo,$S94+MOD(2-WEEKDAY($S94),7))+20),1,IF(N($W94)&gt;0,AVERAGEIFS($AA$5:$AA$1000,$U$5:$U$1000,ROW(),$V$5:$V$1000,"Sub"),$AA94)))</f>
        <v/>
      </c>
      <c r="AF94" s="62">
        <f>IF($V94="","",IF(AND(ISNUMBER($G94),$G94&lt;=IF($S94=MesCiclo,InicioCiclo,$S94+MOD(2-WEEKDAY($S94),7))+27),1,IF(N($W94)&gt;0,AVERAGEIFS($AB$5:$AB$1000,$U$5:$U$1000,ROW(),$V$5:$V$1000,"Sub"),$AB94)))</f>
        <v/>
      </c>
      <c r="AG94" s="62">
        <f>IF($V94&lt;&gt;"Macro","",IF(COUNTIFS($S$5:$S$1000,$S94,$V$5:$V$1000,"Macro",$H$5:$H$1000,"&gt;0")=0,1/COUNTIFS($S$5:$S$1000,$S94,$V$5:$V$1000,"Macro"),IF(AND(ISNUMBER($H94),N($H94)&gt;0),$H94,SUMIFS($H$5:$H$1000,$S$5:$S$1000,$S94,$V$5:$V$1000,"Macro")/COUNTIFS($S$5:$S$1000,$S94,$V$5:$V$1000,"Macro",$H$5:$H$1000,"&gt;0"))/(COUNTIFS($S$5:$S$1000,$S94,$V$5:$V$1000,"Macro")*SUMIFS($H$5:$H$1000,$S$5:$S$1000,$S94,$V$5:$V$1000,"Macro")/COUNTIFS($S$5:$S$1000,$S94,$V$5:$V$1000,"Macro",$H$5:$H$1000,"&gt;0"))))</f>
        <v/>
      </c>
      <c r="AH94" s="62" t="n"/>
      <c r="AI94" s="62" t="n"/>
      <c r="AJ94" s="62" t="n"/>
      <c r="AK94" s="62" t="n"/>
      <c r="AL94" s="62">
        <f>IF(LEFT($C94,11)="[Jefatura] ",IFERROR(MATCH("Asistente Técnico de Riesgo|"&amp;MID($C94,12,500),rDname_ADM,0),0),"")</f>
        <v/>
      </c>
      <c r="AM94" s="62">
        <f>IF(N($AL94)&gt;0,INDEX(rIni_ADM,$AL94),IF(ISNUMBER($E94),$E94,""))</f>
        <v/>
      </c>
      <c r="AN94" s="62">
        <f>IF(N($AL94)&gt;0,INDEX(rLim_ADM,$AL94),IF(ISNUMBER($F94),$F94,""))</f>
        <v/>
      </c>
    </row>
    <row r="95">
      <c r="A95" s="56">
        <f>IF(NOT((COUNTA($B95:$D95)+COUNTA($G95:$L95)+COUNTA($Q95))&gt;0),"",IF($V95="Macro",COUNTIFS($V$5:$V95,"Macro",$S$5:$S95,$S95),IF(N($U95)=0,"?",COUNTIFS(INDEX($V$5:$V$1000,1):INDEX($V$5:$V$1000,$U95-4),"Macro",INDEX($S$5:$S$1000,1):INDEX($S$5:$S$1000,$U95-4),INDEX($S$5:$S$1000,$U95-4))&amp;"."&amp;COUNTIFS($U$5:$U95,$U95,$V$5:$V95,"Sub"))))</f>
        <v/>
      </c>
      <c r="B95" s="57" t="n"/>
      <c r="C95" s="58" t="n"/>
      <c r="D95" s="58" t="n"/>
      <c r="E95" s="59">
        <f>IF(N($AL95)&gt;0,INDEX(rIni_ADM,$AL95),"")</f>
        <v/>
      </c>
      <c r="F95" s="59">
        <f>IF(N($AL95)&gt;0,INDEX(rLim_ADM,$AL95),"")</f>
        <v/>
      </c>
      <c r="G95" s="59" t="n"/>
      <c r="H95" s="60" t="n"/>
      <c r="I95" s="60" t="n"/>
      <c r="J95" s="60" t="n"/>
      <c r="K95" s="60" t="n"/>
      <c r="L95" s="60" t="n"/>
      <c r="M95" s="61">
        <f>IF(NOT((COUNTA($B95:$D95)+COUNTA($G95:$L95)+COUNTA($Q95))&gt;0),"",IF(ISNUMBER($G95),1,IF(N($W95)&gt;0,AVERAGEIFS($X$5:$X$1000,$U$5:$U$1000,ROW(),$V$5:$V$1000,"Sub"),$X95)))</f>
        <v/>
      </c>
      <c r="N95" s="56">
        <f>IF($M95="","",IF($M95&gt;=1,"Completado",IF($M95&gt;0,"En curso","Pendiente")))</f>
        <v/>
      </c>
      <c r="O95" s="56">
        <f>IF(NOT((COUNTA($B95:$D95)+COUNTA($G95:$L95)+COUNTA($Q95))&gt;0),"",IF(ISNUMBER($G95),IF(AND(ISNUMBER($AN95),$G95&gt;$AN95),"Cumplida con "&amp;($G95-$AN95)&amp;IF($G95-$AN95=1," día"," días")&amp;" de retraso","Cumplida"),IF(N($M95)&gt;=1,"Cumplida",IF(NOT(ISNUMBER($AN95)),"Sin fecha límite",IF($AN95&lt;FechaRef,"Vencida hace "&amp;(FechaRef-$AN95)&amp;IF(FechaRef-$AN95=1," día"," días"),IF($AN95=FechaRef,"Vence hoy",IF($AN95-FechaRef&lt;=DiasAlerta,"Vence en "&amp;($AN95-FechaRef)&amp;IF($AN95-FechaRef=1," día"," días"),"En plazo")))))))</f>
        <v/>
      </c>
      <c r="P95" s="62" t="n"/>
      <c r="Q95" s="58" t="n"/>
      <c r="R95" s="63">
        <f>IF(NOT((COUNTA($B95:$D95)+COUNTA($G95:$L95)+COUNTA($Q95))&gt;0),"",IF((IF($C95="","Falta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",""))="","✔ OK","⚠ "&amp;LEFT(IF($C95="","Falta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",""),LEN(IF($C95="","Falta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",""))-3)))</f>
        <v/>
      </c>
      <c r="S95" s="64">
        <f>IF(NOT((COUNTA($B95:$D95)+COUNTA($G95:$L95)+COUNTA($Q95))&gt;0),"",IF(AND($V95="Sub",N($U95)&gt;0),IF(ISNUMBER(INDEX($AM$5:$AM$1000,$U95-4)),DATE(YEAR(INDEX($AM$5:$AM$1000,$U95-4)),MONTH(INDEX($AM$5:$AM$1000,$U95-4)),1),IF(ISNUMBER(INDEX($AN$5:$AN$1000,$U95-4)),DATE(YEAR(INDEX($AN$5:$AN$1000,$U95-4)),MONTH(INDEX($AN$5:$AN$1000,$U95-4)),1),MesCiclo)),IF(ISNUMBER($AM95),DATE(YEAR($AM95),MONTH($AM95),1),IF(ISNUMBER($AN95),DATE(YEAR($AN95),MONTH($AN95),1),MesCiclo))))</f>
        <v/>
      </c>
      <c r="T95" s="62">
        <f>IF(OR($S95="",$S95&lt;&gt;MesCiclo),"",COUNTIF($S$5:$S95,MesCiclo))</f>
        <v/>
      </c>
      <c r="U95" s="62">
        <f>IF($V95="","",IF($V95="Macro",ROW(),IFERROR(LOOKUP(2,1/($V$5:$V95="Macro"),ROW($V$5:$V95)),0)))</f>
        <v/>
      </c>
      <c r="V95" s="62">
        <f>IF(NOT((COUNTA($B95:$D95)+COUNTA($G95:$L95)+COUNTA($Q95))&gt;0),"",IF($B95="Subactividad","Sub","Macro"))</f>
        <v/>
      </c>
      <c r="W95" s="62">
        <f>IF($V95="Macro",COUNTIFS($U$5:$U$1000,ROW(),$V$5:$V$1000,"Sub"),"")</f>
        <v/>
      </c>
      <c r="X95" s="62">
        <f>IF($V95="","",IF(ISNUMBER($G95),1,IFERROR(LOOKUP(2,1/($I95:$L95&lt;&gt;""),$I95:$L95),0)))</f>
        <v/>
      </c>
      <c r="Y95" s="62">
        <f>IF($V95="","",IF(AND(ISNUMBER($G95),$G95&lt;=IF($S95=MesCiclo,InicioCiclo,$S95+MOD(2-WEEKDAY($S95),7))+6),1,IF(ISNUMBER($I95),$I95,0)))</f>
        <v/>
      </c>
      <c r="Z95" s="62">
        <f>IF($V95="","",IF(AND(ISNUMBER($G95),$G95&lt;=IF($S95=MesCiclo,InicioCiclo,$S95+MOD(2-WEEKDAY($S95),7))+13),1,IF(ISNUMBER($J95),$J95,$Y95)))</f>
        <v/>
      </c>
      <c r="AA95" s="62">
        <f>IF($V95="","",IF(AND(ISNUMBER($G95),$G95&lt;=IF($S95=MesCiclo,InicioCiclo,$S95+MOD(2-WEEKDAY($S95),7))+20),1,IF(ISNUMBER($K95),$K95,$Z95)))</f>
        <v/>
      </c>
      <c r="AB95" s="62">
        <f>IF($V95="","",IF(AND(ISNUMBER($G95),$G95&lt;=IF($S95=MesCiclo,InicioCiclo,$S95+MOD(2-WEEKDAY($S95),7))+27),1,IF(ISNUMBER($L95),$L95,$AA95)))</f>
        <v/>
      </c>
      <c r="AC95" s="62">
        <f>IF($V95="","",IF(AND(ISNUMBER($G95),$G95&lt;=IF($S95=MesCiclo,InicioCiclo,$S95+MOD(2-WEEKDAY($S95),7))+6),1,IF(N($W95)&gt;0,AVERAGEIFS($Y$5:$Y$1000,$U$5:$U$1000,ROW(),$V$5:$V$1000,"Sub"),$Y95)))</f>
        <v/>
      </c>
      <c r="AD95" s="62">
        <f>IF($V95="","",IF(AND(ISNUMBER($G95),$G95&lt;=IF($S95=MesCiclo,InicioCiclo,$S95+MOD(2-WEEKDAY($S95),7))+13),1,IF(N($W95)&gt;0,AVERAGEIFS($Z$5:$Z$1000,$U$5:$U$1000,ROW(),$V$5:$V$1000,"Sub"),$Z95)))</f>
        <v/>
      </c>
      <c r="AE95" s="62">
        <f>IF($V95="","",IF(AND(ISNUMBER($G95),$G95&lt;=IF($S95=MesCiclo,InicioCiclo,$S95+MOD(2-WEEKDAY($S95),7))+20),1,IF(N($W95)&gt;0,AVERAGEIFS($AA$5:$AA$1000,$U$5:$U$1000,ROW(),$V$5:$V$1000,"Sub"),$AA95)))</f>
        <v/>
      </c>
      <c r="AF95" s="62">
        <f>IF($V95="","",IF(AND(ISNUMBER($G95),$G95&lt;=IF($S95=MesCiclo,InicioCiclo,$S95+MOD(2-WEEKDAY($S95),7))+27),1,IF(N($W95)&gt;0,AVERAGEIFS($AB$5:$AB$1000,$U$5:$U$1000,ROW(),$V$5:$V$1000,"Sub"),$AB95)))</f>
        <v/>
      </c>
      <c r="AG95" s="62">
        <f>IF($V95&lt;&gt;"Macro","",IF(COUNTIFS($S$5:$S$1000,$S95,$V$5:$V$1000,"Macro",$H$5:$H$1000,"&gt;0")=0,1/COUNTIFS($S$5:$S$1000,$S95,$V$5:$V$1000,"Macro"),IF(AND(ISNUMBER($H95),N($H95)&gt;0),$H95,SUMIFS($H$5:$H$1000,$S$5:$S$1000,$S95,$V$5:$V$1000,"Macro")/COUNTIFS($S$5:$S$1000,$S95,$V$5:$V$1000,"Macro",$H$5:$H$1000,"&gt;0"))/(COUNTIFS($S$5:$S$1000,$S95,$V$5:$V$1000,"Macro")*SUMIFS($H$5:$H$1000,$S$5:$S$1000,$S95,$V$5:$V$1000,"Macro")/COUNTIFS($S$5:$S$1000,$S95,$V$5:$V$1000,"Macro",$H$5:$H$1000,"&gt;0"))))</f>
        <v/>
      </c>
      <c r="AH95" s="62" t="n"/>
      <c r="AI95" s="62" t="n"/>
      <c r="AJ95" s="62" t="n"/>
      <c r="AK95" s="62" t="n"/>
      <c r="AL95" s="62">
        <f>IF(LEFT($C95,11)="[Jefatura] ",IFERROR(MATCH("Asistente Técnico de Riesgo|"&amp;MID($C95,12,500),rDname_ADM,0),0),"")</f>
        <v/>
      </c>
      <c r="AM95" s="62">
        <f>IF(N($AL95)&gt;0,INDEX(rIni_ADM,$AL95),IF(ISNUMBER($E95),$E95,""))</f>
        <v/>
      </c>
      <c r="AN95" s="62">
        <f>IF(N($AL95)&gt;0,INDEX(rLim_ADM,$AL95),IF(ISNUMBER($F95),$F95,""))</f>
        <v/>
      </c>
    </row>
    <row r="96">
      <c r="A96" s="56">
        <f>IF(NOT((COUNTA($B96:$D96)+COUNTA($G96:$L96)+COUNTA($Q96))&gt;0),"",IF($V96="Macro",COUNTIFS($V$5:$V96,"Macro",$S$5:$S96,$S96),IF(N($U96)=0,"?",COUNTIFS(INDEX($V$5:$V$1000,1):INDEX($V$5:$V$1000,$U96-4),"Macro",INDEX($S$5:$S$1000,1):INDEX($S$5:$S$1000,$U96-4),INDEX($S$5:$S$1000,$U96-4))&amp;"."&amp;COUNTIFS($U$5:$U96,$U96,$V$5:$V96,"Sub"))))</f>
        <v/>
      </c>
      <c r="B96" s="57" t="n"/>
      <c r="C96" s="58" t="n"/>
      <c r="D96" s="58" t="n"/>
      <c r="E96" s="59">
        <f>IF(N($AL96)&gt;0,INDEX(rIni_ADM,$AL96),"")</f>
        <v/>
      </c>
      <c r="F96" s="59">
        <f>IF(N($AL96)&gt;0,INDEX(rLim_ADM,$AL96),"")</f>
        <v/>
      </c>
      <c r="G96" s="59" t="n"/>
      <c r="H96" s="60" t="n"/>
      <c r="I96" s="60" t="n"/>
      <c r="J96" s="60" t="n"/>
      <c r="K96" s="60" t="n"/>
      <c r="L96" s="60" t="n"/>
      <c r="M96" s="61">
        <f>IF(NOT((COUNTA($B96:$D96)+COUNTA($G96:$L96)+COUNTA($Q96))&gt;0),"",IF(ISNUMBER($G96),1,IF(N($W96)&gt;0,AVERAGEIFS($X$5:$X$1000,$U$5:$U$1000,ROW(),$V$5:$V$1000,"Sub"),$X96)))</f>
        <v/>
      </c>
      <c r="N96" s="56">
        <f>IF($M96="","",IF($M96&gt;=1,"Completado",IF($M96&gt;0,"En curso","Pendiente")))</f>
        <v/>
      </c>
      <c r="O96" s="56">
        <f>IF(NOT((COUNTA($B96:$D96)+COUNTA($G96:$L96)+COUNTA($Q96))&gt;0),"",IF(ISNUMBER($G96),IF(AND(ISNUMBER($AN96),$G96&gt;$AN96),"Cumplida con "&amp;($G96-$AN96)&amp;IF($G96-$AN96=1," día"," días")&amp;" de retraso","Cumplida"),IF(N($M96)&gt;=1,"Cumplida",IF(NOT(ISNUMBER($AN96)),"Sin fecha límite",IF($AN96&lt;FechaRef,"Vencida hace "&amp;(FechaRef-$AN96)&amp;IF(FechaRef-$AN96=1," día"," días"),IF($AN96=FechaRef,"Vence hoy",IF($AN96-FechaRef&lt;=DiasAlerta,"Vence en "&amp;($AN96-FechaRef)&amp;IF($AN96-FechaRef=1," día"," días"),"En plazo")))))))</f>
        <v/>
      </c>
      <c r="P96" s="62" t="n"/>
      <c r="Q96" s="58" t="n"/>
      <c r="R96" s="63">
        <f>IF(NOT((COUNTA($B96:$D96)+COUNTA($G96:$L96)+COUNTA($Q96))&gt;0),"",IF((IF($C96="","Falta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",""))="","✔ OK","⚠ "&amp;LEFT(IF($C96="","Falta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",""),LEN(IF($C96="","Falta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",""))-3)))</f>
        <v/>
      </c>
      <c r="S96" s="64">
        <f>IF(NOT((COUNTA($B96:$D96)+COUNTA($G96:$L96)+COUNTA($Q96))&gt;0),"",IF(AND($V96="Sub",N($U96)&gt;0),IF(ISNUMBER(INDEX($AM$5:$AM$1000,$U96-4)),DATE(YEAR(INDEX($AM$5:$AM$1000,$U96-4)),MONTH(INDEX($AM$5:$AM$1000,$U96-4)),1),IF(ISNUMBER(INDEX($AN$5:$AN$1000,$U96-4)),DATE(YEAR(INDEX($AN$5:$AN$1000,$U96-4)),MONTH(INDEX($AN$5:$AN$1000,$U96-4)),1),MesCiclo)),IF(ISNUMBER($AM96),DATE(YEAR($AM96),MONTH($AM96),1),IF(ISNUMBER($AN96),DATE(YEAR($AN96),MONTH($AN96),1),MesCiclo))))</f>
        <v/>
      </c>
      <c r="T96" s="62">
        <f>IF(OR($S96="",$S96&lt;&gt;MesCiclo),"",COUNTIF($S$5:$S96,MesCiclo))</f>
        <v/>
      </c>
      <c r="U96" s="62">
        <f>IF($V96="","",IF($V96="Macro",ROW(),IFERROR(LOOKUP(2,1/($V$5:$V96="Macro"),ROW($V$5:$V96)),0)))</f>
        <v/>
      </c>
      <c r="V96" s="62">
        <f>IF(NOT((COUNTA($B96:$D96)+COUNTA($G96:$L96)+COUNTA($Q96))&gt;0),"",IF($B96="Subactividad","Sub","Macro"))</f>
        <v/>
      </c>
      <c r="W96" s="62">
        <f>IF($V96="Macro",COUNTIFS($U$5:$U$1000,ROW(),$V$5:$V$1000,"Sub"),"")</f>
        <v/>
      </c>
      <c r="X96" s="62">
        <f>IF($V96="","",IF(ISNUMBER($G96),1,IFERROR(LOOKUP(2,1/($I96:$L96&lt;&gt;""),$I96:$L96),0)))</f>
        <v/>
      </c>
      <c r="Y96" s="62">
        <f>IF($V96="","",IF(AND(ISNUMBER($G96),$G96&lt;=IF($S96=MesCiclo,InicioCiclo,$S96+MOD(2-WEEKDAY($S96),7))+6),1,IF(ISNUMBER($I96),$I96,0)))</f>
        <v/>
      </c>
      <c r="Z96" s="62">
        <f>IF($V96="","",IF(AND(ISNUMBER($G96),$G96&lt;=IF($S96=MesCiclo,InicioCiclo,$S96+MOD(2-WEEKDAY($S96),7))+13),1,IF(ISNUMBER($J96),$J96,$Y96)))</f>
        <v/>
      </c>
      <c r="AA96" s="62">
        <f>IF($V96="","",IF(AND(ISNUMBER($G96),$G96&lt;=IF($S96=MesCiclo,InicioCiclo,$S96+MOD(2-WEEKDAY($S96),7))+20),1,IF(ISNUMBER($K96),$K96,$Z96)))</f>
        <v/>
      </c>
      <c r="AB96" s="62">
        <f>IF($V96="","",IF(AND(ISNUMBER($G96),$G96&lt;=IF($S96=MesCiclo,InicioCiclo,$S96+MOD(2-WEEKDAY($S96),7))+27),1,IF(ISNUMBER($L96),$L96,$AA96)))</f>
        <v/>
      </c>
      <c r="AC96" s="62">
        <f>IF($V96="","",IF(AND(ISNUMBER($G96),$G96&lt;=IF($S96=MesCiclo,InicioCiclo,$S96+MOD(2-WEEKDAY($S96),7))+6),1,IF(N($W96)&gt;0,AVERAGEIFS($Y$5:$Y$1000,$U$5:$U$1000,ROW(),$V$5:$V$1000,"Sub"),$Y96)))</f>
        <v/>
      </c>
      <c r="AD96" s="62">
        <f>IF($V96="","",IF(AND(ISNUMBER($G96),$G96&lt;=IF($S96=MesCiclo,InicioCiclo,$S96+MOD(2-WEEKDAY($S96),7))+13),1,IF(N($W96)&gt;0,AVERAGEIFS($Z$5:$Z$1000,$U$5:$U$1000,ROW(),$V$5:$V$1000,"Sub"),$Z96)))</f>
        <v/>
      </c>
      <c r="AE96" s="62">
        <f>IF($V96="","",IF(AND(ISNUMBER($G96),$G96&lt;=IF($S96=MesCiclo,InicioCiclo,$S96+MOD(2-WEEKDAY($S96),7))+20),1,IF(N($W96)&gt;0,AVERAGEIFS($AA$5:$AA$1000,$U$5:$U$1000,ROW(),$V$5:$V$1000,"Sub"),$AA96)))</f>
        <v/>
      </c>
      <c r="AF96" s="62">
        <f>IF($V96="","",IF(AND(ISNUMBER($G96),$G96&lt;=IF($S96=MesCiclo,InicioCiclo,$S96+MOD(2-WEEKDAY($S96),7))+27),1,IF(N($W96)&gt;0,AVERAGEIFS($AB$5:$AB$1000,$U$5:$U$1000,ROW(),$V$5:$V$1000,"Sub"),$AB96)))</f>
        <v/>
      </c>
      <c r="AG96" s="62">
        <f>IF($V96&lt;&gt;"Macro","",IF(COUNTIFS($S$5:$S$1000,$S96,$V$5:$V$1000,"Macro",$H$5:$H$1000,"&gt;0")=0,1/COUNTIFS($S$5:$S$1000,$S96,$V$5:$V$1000,"Macro"),IF(AND(ISNUMBER($H96),N($H96)&gt;0),$H96,SUMIFS($H$5:$H$1000,$S$5:$S$1000,$S96,$V$5:$V$1000,"Macro")/COUNTIFS($S$5:$S$1000,$S96,$V$5:$V$1000,"Macro",$H$5:$H$1000,"&gt;0"))/(COUNTIFS($S$5:$S$1000,$S96,$V$5:$V$1000,"Macro")*SUMIFS($H$5:$H$1000,$S$5:$S$1000,$S96,$V$5:$V$1000,"Macro")/COUNTIFS($S$5:$S$1000,$S96,$V$5:$V$1000,"Macro",$H$5:$H$1000,"&gt;0"))))</f>
        <v/>
      </c>
      <c r="AH96" s="62" t="n"/>
      <c r="AI96" s="62" t="n"/>
      <c r="AJ96" s="62" t="n"/>
      <c r="AK96" s="62" t="n"/>
      <c r="AL96" s="62">
        <f>IF(LEFT($C96,11)="[Jefatura] ",IFERROR(MATCH("Asistente Técnico de Riesgo|"&amp;MID($C96,12,500),rDname_ADM,0),0),"")</f>
        <v/>
      </c>
      <c r="AM96" s="62">
        <f>IF(N($AL96)&gt;0,INDEX(rIni_ADM,$AL96),IF(ISNUMBER($E96),$E96,""))</f>
        <v/>
      </c>
      <c r="AN96" s="62">
        <f>IF(N($AL96)&gt;0,INDEX(rLim_ADM,$AL96),IF(ISNUMBER($F96),$F96,""))</f>
        <v/>
      </c>
    </row>
    <row r="97">
      <c r="A97" s="56">
        <f>IF(NOT((COUNTA($B97:$D97)+COUNTA($G97:$L97)+COUNTA($Q97))&gt;0),"",IF($V97="Macro",COUNTIFS($V$5:$V97,"Macro",$S$5:$S97,$S97),IF(N($U97)=0,"?",COUNTIFS(INDEX($V$5:$V$1000,1):INDEX($V$5:$V$1000,$U97-4),"Macro",INDEX($S$5:$S$1000,1):INDEX($S$5:$S$1000,$U97-4),INDEX($S$5:$S$1000,$U97-4))&amp;"."&amp;COUNTIFS($U$5:$U97,$U97,$V$5:$V97,"Sub"))))</f>
        <v/>
      </c>
      <c r="B97" s="57" t="n"/>
      <c r="C97" s="58" t="n"/>
      <c r="D97" s="58" t="n"/>
      <c r="E97" s="59">
        <f>IF(N($AL97)&gt;0,INDEX(rIni_ADM,$AL97),"")</f>
        <v/>
      </c>
      <c r="F97" s="59">
        <f>IF(N($AL97)&gt;0,INDEX(rLim_ADM,$AL97),"")</f>
        <v/>
      </c>
      <c r="G97" s="59" t="n"/>
      <c r="H97" s="60" t="n"/>
      <c r="I97" s="60" t="n"/>
      <c r="J97" s="60" t="n"/>
      <c r="K97" s="60" t="n"/>
      <c r="L97" s="60" t="n"/>
      <c r="M97" s="61">
        <f>IF(NOT((COUNTA($B97:$D97)+COUNTA($G97:$L97)+COUNTA($Q97))&gt;0),"",IF(ISNUMBER($G97),1,IF(N($W97)&gt;0,AVERAGEIFS($X$5:$X$1000,$U$5:$U$1000,ROW(),$V$5:$V$1000,"Sub"),$X97)))</f>
        <v/>
      </c>
      <c r="N97" s="56">
        <f>IF($M97="","",IF($M97&gt;=1,"Completado",IF($M97&gt;0,"En curso","Pendiente")))</f>
        <v/>
      </c>
      <c r="O97" s="56">
        <f>IF(NOT((COUNTA($B97:$D97)+COUNTA($G97:$L97)+COUNTA($Q97))&gt;0),"",IF(ISNUMBER($G97),IF(AND(ISNUMBER($AN97),$G97&gt;$AN97),"Cumplida con "&amp;($G97-$AN97)&amp;IF($G97-$AN97=1," día"," días")&amp;" de retraso","Cumplida"),IF(N($M97)&gt;=1,"Cumplida",IF(NOT(ISNUMBER($AN97)),"Sin fecha límite",IF($AN97&lt;FechaRef,"Vencida hace "&amp;(FechaRef-$AN97)&amp;IF(FechaRef-$AN97=1," día"," días"),IF($AN97=FechaRef,"Vence hoy",IF($AN97-FechaRef&lt;=DiasAlerta,"Vence en "&amp;($AN97-FechaRef)&amp;IF($AN97-FechaRef=1," día"," días"),"En plazo")))))))</f>
        <v/>
      </c>
      <c r="P97" s="62" t="n"/>
      <c r="Q97" s="58" t="n"/>
      <c r="R97" s="63">
        <f>IF(NOT((COUNTA($B97:$D97)+COUNTA($G97:$L97)+COUNTA($Q97))&gt;0),"",IF((IF($C97="","Falta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",""))="","✔ OK","⚠ "&amp;LEFT(IF($C97="","Falta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",""),LEN(IF($C97="","Falta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",""))-3)))</f>
        <v/>
      </c>
      <c r="S97" s="64">
        <f>IF(NOT((COUNTA($B97:$D97)+COUNTA($G97:$L97)+COUNTA($Q97))&gt;0),"",IF(AND($V97="Sub",N($U97)&gt;0),IF(ISNUMBER(INDEX($AM$5:$AM$1000,$U97-4)),DATE(YEAR(INDEX($AM$5:$AM$1000,$U97-4)),MONTH(INDEX($AM$5:$AM$1000,$U97-4)),1),IF(ISNUMBER(INDEX($AN$5:$AN$1000,$U97-4)),DATE(YEAR(INDEX($AN$5:$AN$1000,$U97-4)),MONTH(INDEX($AN$5:$AN$1000,$U97-4)),1),MesCiclo)),IF(ISNUMBER($AM97),DATE(YEAR($AM97),MONTH($AM97),1),IF(ISNUMBER($AN97),DATE(YEAR($AN97),MONTH($AN97),1),MesCiclo))))</f>
        <v/>
      </c>
      <c r="T97" s="62">
        <f>IF(OR($S97="",$S97&lt;&gt;MesCiclo),"",COUNTIF($S$5:$S97,MesCiclo))</f>
        <v/>
      </c>
      <c r="U97" s="62">
        <f>IF($V97="","",IF($V97="Macro",ROW(),IFERROR(LOOKUP(2,1/($V$5:$V97="Macro"),ROW($V$5:$V97)),0)))</f>
        <v/>
      </c>
      <c r="V97" s="62">
        <f>IF(NOT((COUNTA($B97:$D97)+COUNTA($G97:$L97)+COUNTA($Q97))&gt;0),"",IF($B97="Subactividad","Sub","Macro"))</f>
        <v/>
      </c>
      <c r="W97" s="62">
        <f>IF($V97="Macro",COUNTIFS($U$5:$U$1000,ROW(),$V$5:$V$1000,"Sub"),"")</f>
        <v/>
      </c>
      <c r="X97" s="62">
        <f>IF($V97="","",IF(ISNUMBER($G97),1,IFERROR(LOOKUP(2,1/($I97:$L97&lt;&gt;""),$I97:$L97),0)))</f>
        <v/>
      </c>
      <c r="Y97" s="62">
        <f>IF($V97="","",IF(AND(ISNUMBER($G97),$G97&lt;=IF($S97=MesCiclo,InicioCiclo,$S97+MOD(2-WEEKDAY($S97),7))+6),1,IF(ISNUMBER($I97),$I97,0)))</f>
        <v/>
      </c>
      <c r="Z97" s="62">
        <f>IF($V97="","",IF(AND(ISNUMBER($G97),$G97&lt;=IF($S97=MesCiclo,InicioCiclo,$S97+MOD(2-WEEKDAY($S97),7))+13),1,IF(ISNUMBER($J97),$J97,$Y97)))</f>
        <v/>
      </c>
      <c r="AA97" s="62">
        <f>IF($V97="","",IF(AND(ISNUMBER($G97),$G97&lt;=IF($S97=MesCiclo,InicioCiclo,$S97+MOD(2-WEEKDAY($S97),7))+20),1,IF(ISNUMBER($K97),$K97,$Z97)))</f>
        <v/>
      </c>
      <c r="AB97" s="62">
        <f>IF($V97="","",IF(AND(ISNUMBER($G97),$G97&lt;=IF($S97=MesCiclo,InicioCiclo,$S97+MOD(2-WEEKDAY($S97),7))+27),1,IF(ISNUMBER($L97),$L97,$AA97)))</f>
        <v/>
      </c>
      <c r="AC97" s="62">
        <f>IF($V97="","",IF(AND(ISNUMBER($G97),$G97&lt;=IF($S97=MesCiclo,InicioCiclo,$S97+MOD(2-WEEKDAY($S97),7))+6),1,IF(N($W97)&gt;0,AVERAGEIFS($Y$5:$Y$1000,$U$5:$U$1000,ROW(),$V$5:$V$1000,"Sub"),$Y97)))</f>
        <v/>
      </c>
      <c r="AD97" s="62">
        <f>IF($V97="","",IF(AND(ISNUMBER($G97),$G97&lt;=IF($S97=MesCiclo,InicioCiclo,$S97+MOD(2-WEEKDAY($S97),7))+13),1,IF(N($W97)&gt;0,AVERAGEIFS($Z$5:$Z$1000,$U$5:$U$1000,ROW(),$V$5:$V$1000,"Sub"),$Z97)))</f>
        <v/>
      </c>
      <c r="AE97" s="62">
        <f>IF($V97="","",IF(AND(ISNUMBER($G97),$G97&lt;=IF($S97=MesCiclo,InicioCiclo,$S97+MOD(2-WEEKDAY($S97),7))+20),1,IF(N($W97)&gt;0,AVERAGEIFS($AA$5:$AA$1000,$U$5:$U$1000,ROW(),$V$5:$V$1000,"Sub"),$AA97)))</f>
        <v/>
      </c>
      <c r="AF97" s="62">
        <f>IF($V97="","",IF(AND(ISNUMBER($G97),$G97&lt;=IF($S97=MesCiclo,InicioCiclo,$S97+MOD(2-WEEKDAY($S97),7))+27),1,IF(N($W97)&gt;0,AVERAGEIFS($AB$5:$AB$1000,$U$5:$U$1000,ROW(),$V$5:$V$1000,"Sub"),$AB97)))</f>
        <v/>
      </c>
      <c r="AG97" s="62">
        <f>IF($V97&lt;&gt;"Macro","",IF(COUNTIFS($S$5:$S$1000,$S97,$V$5:$V$1000,"Macro",$H$5:$H$1000,"&gt;0")=0,1/COUNTIFS($S$5:$S$1000,$S97,$V$5:$V$1000,"Macro"),IF(AND(ISNUMBER($H97),N($H97)&gt;0),$H97,SUMIFS($H$5:$H$1000,$S$5:$S$1000,$S97,$V$5:$V$1000,"Macro")/COUNTIFS($S$5:$S$1000,$S97,$V$5:$V$1000,"Macro",$H$5:$H$1000,"&gt;0"))/(COUNTIFS($S$5:$S$1000,$S97,$V$5:$V$1000,"Macro")*SUMIFS($H$5:$H$1000,$S$5:$S$1000,$S97,$V$5:$V$1000,"Macro")/COUNTIFS($S$5:$S$1000,$S97,$V$5:$V$1000,"Macro",$H$5:$H$1000,"&gt;0"))))</f>
        <v/>
      </c>
      <c r="AH97" s="62" t="n"/>
      <c r="AI97" s="62" t="n"/>
      <c r="AJ97" s="62" t="n"/>
      <c r="AK97" s="62" t="n"/>
      <c r="AL97" s="62">
        <f>IF(LEFT($C97,11)="[Jefatura] ",IFERROR(MATCH("Asistente Técnico de Riesgo|"&amp;MID($C97,12,500),rDname_ADM,0),0),"")</f>
        <v/>
      </c>
      <c r="AM97" s="62">
        <f>IF(N($AL97)&gt;0,INDEX(rIni_ADM,$AL97),IF(ISNUMBER($E97),$E97,""))</f>
        <v/>
      </c>
      <c r="AN97" s="62">
        <f>IF(N($AL97)&gt;0,INDEX(rLim_ADM,$AL97),IF(ISNUMBER($F97),$F97,""))</f>
        <v/>
      </c>
    </row>
    <row r="98">
      <c r="A98" s="56">
        <f>IF(NOT((COUNTA($B98:$D98)+COUNTA($G98:$L98)+COUNTA($Q98))&gt;0),"",IF($V98="Macro",COUNTIFS($V$5:$V98,"Macro",$S$5:$S98,$S98),IF(N($U98)=0,"?",COUNTIFS(INDEX($V$5:$V$1000,1):INDEX($V$5:$V$1000,$U98-4),"Macro",INDEX($S$5:$S$1000,1):INDEX($S$5:$S$1000,$U98-4),INDEX($S$5:$S$1000,$U98-4))&amp;"."&amp;COUNTIFS($U$5:$U98,$U98,$V$5:$V98,"Sub"))))</f>
        <v/>
      </c>
      <c r="B98" s="57" t="n"/>
      <c r="C98" s="58" t="n"/>
      <c r="D98" s="58" t="n"/>
      <c r="E98" s="59">
        <f>IF(N($AL98)&gt;0,INDEX(rIni_ADM,$AL98),"")</f>
        <v/>
      </c>
      <c r="F98" s="59">
        <f>IF(N($AL98)&gt;0,INDEX(rLim_ADM,$AL98),"")</f>
        <v/>
      </c>
      <c r="G98" s="59" t="n"/>
      <c r="H98" s="60" t="n"/>
      <c r="I98" s="60" t="n"/>
      <c r="J98" s="60" t="n"/>
      <c r="K98" s="60" t="n"/>
      <c r="L98" s="60" t="n"/>
      <c r="M98" s="61">
        <f>IF(NOT((COUNTA($B98:$D98)+COUNTA($G98:$L98)+COUNTA($Q98))&gt;0),"",IF(ISNUMBER($G98),1,IF(N($W98)&gt;0,AVERAGEIFS($X$5:$X$1000,$U$5:$U$1000,ROW(),$V$5:$V$1000,"Sub"),$X98)))</f>
        <v/>
      </c>
      <c r="N98" s="56">
        <f>IF($M98="","",IF($M98&gt;=1,"Completado",IF($M98&gt;0,"En curso","Pendiente")))</f>
        <v/>
      </c>
      <c r="O98" s="56">
        <f>IF(NOT((COUNTA($B98:$D98)+COUNTA($G98:$L98)+COUNTA($Q98))&gt;0),"",IF(ISNUMBER($G98),IF(AND(ISNUMBER($AN98),$G98&gt;$AN98),"Cumplida con "&amp;($G98-$AN98)&amp;IF($G98-$AN98=1," día"," días")&amp;" de retraso","Cumplida"),IF(N($M98)&gt;=1,"Cumplida",IF(NOT(ISNUMBER($AN98)),"Sin fecha límite",IF($AN98&lt;FechaRef,"Vencida hace "&amp;(FechaRef-$AN98)&amp;IF(FechaRef-$AN98=1," día"," días"),IF($AN98=FechaRef,"Vence hoy",IF($AN98-FechaRef&lt;=DiasAlerta,"Vence en "&amp;($AN98-FechaRef)&amp;IF($AN98-FechaRef=1," día"," días"),"En plazo")))))))</f>
        <v/>
      </c>
      <c r="P98" s="62" t="n"/>
      <c r="Q98" s="58" t="n"/>
      <c r="R98" s="63">
        <f>IF(NOT((COUNTA($B98:$D98)+COUNTA($G98:$L98)+COUNTA($Q98))&gt;0),"",IF((IF($C98="","Falta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",""))="","✔ OK","⚠ "&amp;LEFT(IF($C98="","Falta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",""),LEN(IF($C98="","Falta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",""))-3)))</f>
        <v/>
      </c>
      <c r="S98" s="64">
        <f>IF(NOT((COUNTA($B98:$D98)+COUNTA($G98:$L98)+COUNTA($Q98))&gt;0),"",IF(AND($V98="Sub",N($U98)&gt;0),IF(ISNUMBER(INDEX($AM$5:$AM$1000,$U98-4)),DATE(YEAR(INDEX($AM$5:$AM$1000,$U98-4)),MONTH(INDEX($AM$5:$AM$1000,$U98-4)),1),IF(ISNUMBER(INDEX($AN$5:$AN$1000,$U98-4)),DATE(YEAR(INDEX($AN$5:$AN$1000,$U98-4)),MONTH(INDEX($AN$5:$AN$1000,$U98-4)),1),MesCiclo)),IF(ISNUMBER($AM98),DATE(YEAR($AM98),MONTH($AM98),1),IF(ISNUMBER($AN98),DATE(YEAR($AN98),MONTH($AN98),1),MesCiclo))))</f>
        <v/>
      </c>
      <c r="T98" s="62">
        <f>IF(OR($S98="",$S98&lt;&gt;MesCiclo),"",COUNTIF($S$5:$S98,MesCiclo))</f>
        <v/>
      </c>
      <c r="U98" s="62">
        <f>IF($V98="","",IF($V98="Macro",ROW(),IFERROR(LOOKUP(2,1/($V$5:$V98="Macro"),ROW($V$5:$V98)),0)))</f>
        <v/>
      </c>
      <c r="V98" s="62">
        <f>IF(NOT((COUNTA($B98:$D98)+COUNTA($G98:$L98)+COUNTA($Q98))&gt;0),"",IF($B98="Subactividad","Sub","Macro"))</f>
        <v/>
      </c>
      <c r="W98" s="62">
        <f>IF($V98="Macro",COUNTIFS($U$5:$U$1000,ROW(),$V$5:$V$1000,"Sub"),"")</f>
        <v/>
      </c>
      <c r="X98" s="62">
        <f>IF($V98="","",IF(ISNUMBER($G98),1,IFERROR(LOOKUP(2,1/($I98:$L98&lt;&gt;""),$I98:$L98),0)))</f>
        <v/>
      </c>
      <c r="Y98" s="62">
        <f>IF($V98="","",IF(AND(ISNUMBER($G98),$G98&lt;=IF($S98=MesCiclo,InicioCiclo,$S98+MOD(2-WEEKDAY($S98),7))+6),1,IF(ISNUMBER($I98),$I98,0)))</f>
        <v/>
      </c>
      <c r="Z98" s="62">
        <f>IF($V98="","",IF(AND(ISNUMBER($G98),$G98&lt;=IF($S98=MesCiclo,InicioCiclo,$S98+MOD(2-WEEKDAY($S98),7))+13),1,IF(ISNUMBER($J98),$J98,$Y98)))</f>
        <v/>
      </c>
      <c r="AA98" s="62">
        <f>IF($V98="","",IF(AND(ISNUMBER($G98),$G98&lt;=IF($S98=MesCiclo,InicioCiclo,$S98+MOD(2-WEEKDAY($S98),7))+20),1,IF(ISNUMBER($K98),$K98,$Z98)))</f>
        <v/>
      </c>
      <c r="AB98" s="62">
        <f>IF($V98="","",IF(AND(ISNUMBER($G98),$G98&lt;=IF($S98=MesCiclo,InicioCiclo,$S98+MOD(2-WEEKDAY($S98),7))+27),1,IF(ISNUMBER($L98),$L98,$AA98)))</f>
        <v/>
      </c>
      <c r="AC98" s="62">
        <f>IF($V98="","",IF(AND(ISNUMBER($G98),$G98&lt;=IF($S98=MesCiclo,InicioCiclo,$S98+MOD(2-WEEKDAY($S98),7))+6),1,IF(N($W98)&gt;0,AVERAGEIFS($Y$5:$Y$1000,$U$5:$U$1000,ROW(),$V$5:$V$1000,"Sub"),$Y98)))</f>
        <v/>
      </c>
      <c r="AD98" s="62">
        <f>IF($V98="","",IF(AND(ISNUMBER($G98),$G98&lt;=IF($S98=MesCiclo,InicioCiclo,$S98+MOD(2-WEEKDAY($S98),7))+13),1,IF(N($W98)&gt;0,AVERAGEIFS($Z$5:$Z$1000,$U$5:$U$1000,ROW(),$V$5:$V$1000,"Sub"),$Z98)))</f>
        <v/>
      </c>
      <c r="AE98" s="62">
        <f>IF($V98="","",IF(AND(ISNUMBER($G98),$G98&lt;=IF($S98=MesCiclo,InicioCiclo,$S98+MOD(2-WEEKDAY($S98),7))+20),1,IF(N($W98)&gt;0,AVERAGEIFS($AA$5:$AA$1000,$U$5:$U$1000,ROW(),$V$5:$V$1000,"Sub"),$AA98)))</f>
        <v/>
      </c>
      <c r="AF98" s="62">
        <f>IF($V98="","",IF(AND(ISNUMBER($G98),$G98&lt;=IF($S98=MesCiclo,InicioCiclo,$S98+MOD(2-WEEKDAY($S98),7))+27),1,IF(N($W98)&gt;0,AVERAGEIFS($AB$5:$AB$1000,$U$5:$U$1000,ROW(),$V$5:$V$1000,"Sub"),$AB98)))</f>
        <v/>
      </c>
      <c r="AG98" s="62">
        <f>IF($V98&lt;&gt;"Macro","",IF(COUNTIFS($S$5:$S$1000,$S98,$V$5:$V$1000,"Macro",$H$5:$H$1000,"&gt;0")=0,1/COUNTIFS($S$5:$S$1000,$S98,$V$5:$V$1000,"Macro"),IF(AND(ISNUMBER($H98),N($H98)&gt;0),$H98,SUMIFS($H$5:$H$1000,$S$5:$S$1000,$S98,$V$5:$V$1000,"Macro")/COUNTIFS($S$5:$S$1000,$S98,$V$5:$V$1000,"Macro",$H$5:$H$1000,"&gt;0"))/(COUNTIFS($S$5:$S$1000,$S98,$V$5:$V$1000,"Macro")*SUMIFS($H$5:$H$1000,$S$5:$S$1000,$S98,$V$5:$V$1000,"Macro")/COUNTIFS($S$5:$S$1000,$S98,$V$5:$V$1000,"Macro",$H$5:$H$1000,"&gt;0"))))</f>
        <v/>
      </c>
      <c r="AH98" s="62" t="n"/>
      <c r="AI98" s="62" t="n"/>
      <c r="AJ98" s="62" t="n"/>
      <c r="AK98" s="62" t="n"/>
      <c r="AL98" s="62">
        <f>IF(LEFT($C98,11)="[Jefatura] ",IFERROR(MATCH("Asistente Técnico de Riesgo|"&amp;MID($C98,12,500),rDname_ADM,0),0),"")</f>
        <v/>
      </c>
      <c r="AM98" s="62">
        <f>IF(N($AL98)&gt;0,INDEX(rIni_ADM,$AL98),IF(ISNUMBER($E98),$E98,""))</f>
        <v/>
      </c>
      <c r="AN98" s="62">
        <f>IF(N($AL98)&gt;0,INDEX(rLim_ADM,$AL98),IF(ISNUMBER($F98),$F98,""))</f>
        <v/>
      </c>
    </row>
    <row r="99">
      <c r="A99" s="56">
        <f>IF(NOT((COUNTA($B99:$D99)+COUNTA($G99:$L99)+COUNTA($Q99))&gt;0),"",IF($V99="Macro",COUNTIFS($V$5:$V99,"Macro",$S$5:$S99,$S99),IF(N($U99)=0,"?",COUNTIFS(INDEX($V$5:$V$1000,1):INDEX($V$5:$V$1000,$U99-4),"Macro",INDEX($S$5:$S$1000,1):INDEX($S$5:$S$1000,$U99-4),INDEX($S$5:$S$1000,$U99-4))&amp;"."&amp;COUNTIFS($U$5:$U99,$U99,$V$5:$V99,"Sub"))))</f>
        <v/>
      </c>
      <c r="B99" s="57" t="n"/>
      <c r="C99" s="58" t="n"/>
      <c r="D99" s="58" t="n"/>
      <c r="E99" s="59">
        <f>IF(N($AL99)&gt;0,INDEX(rIni_ADM,$AL99),"")</f>
        <v/>
      </c>
      <c r="F99" s="59">
        <f>IF(N($AL99)&gt;0,INDEX(rLim_ADM,$AL99),"")</f>
        <v/>
      </c>
      <c r="G99" s="59" t="n"/>
      <c r="H99" s="60" t="n"/>
      <c r="I99" s="60" t="n"/>
      <c r="J99" s="60" t="n"/>
      <c r="K99" s="60" t="n"/>
      <c r="L99" s="60" t="n"/>
      <c r="M99" s="61">
        <f>IF(NOT((COUNTA($B99:$D99)+COUNTA($G99:$L99)+COUNTA($Q99))&gt;0),"",IF(ISNUMBER($G99),1,IF(N($W99)&gt;0,AVERAGEIFS($X$5:$X$1000,$U$5:$U$1000,ROW(),$V$5:$V$1000,"Sub"),$X99)))</f>
        <v/>
      </c>
      <c r="N99" s="56">
        <f>IF($M99="","",IF($M99&gt;=1,"Completado",IF($M99&gt;0,"En curso","Pendiente")))</f>
        <v/>
      </c>
      <c r="O99" s="56">
        <f>IF(NOT((COUNTA($B99:$D99)+COUNTA($G99:$L99)+COUNTA($Q99))&gt;0),"",IF(ISNUMBER($G99),IF(AND(ISNUMBER($AN99),$G99&gt;$AN99),"Cumplida con "&amp;($G99-$AN99)&amp;IF($G99-$AN99=1," día"," días")&amp;" de retraso","Cumplida"),IF(N($M99)&gt;=1,"Cumplida",IF(NOT(ISNUMBER($AN99)),"Sin fecha límite",IF($AN99&lt;FechaRef,"Vencida hace "&amp;(FechaRef-$AN99)&amp;IF(FechaRef-$AN99=1," día"," días"),IF($AN99=FechaRef,"Vence hoy",IF($AN99-FechaRef&lt;=DiasAlerta,"Vence en "&amp;($AN99-FechaRef)&amp;IF($AN99-FechaRef=1," día"," días"),"En plazo")))))))</f>
        <v/>
      </c>
      <c r="P99" s="62" t="n"/>
      <c r="Q99" s="58" t="n"/>
      <c r="R99" s="63">
        <f>IF(NOT((COUNTA($B99:$D99)+COUNTA($G99:$L99)+COUNTA($Q99))&gt;0),"",IF((IF($C99="","Falta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",""))="","✔ OK","⚠ "&amp;LEFT(IF($C99="","Falta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",""),LEN(IF($C99="","Falta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",""))-3)))</f>
        <v/>
      </c>
      <c r="S99" s="64">
        <f>IF(NOT((COUNTA($B99:$D99)+COUNTA($G99:$L99)+COUNTA($Q99))&gt;0),"",IF(AND($V99="Sub",N($U99)&gt;0),IF(ISNUMBER(INDEX($AM$5:$AM$1000,$U99-4)),DATE(YEAR(INDEX($AM$5:$AM$1000,$U99-4)),MONTH(INDEX($AM$5:$AM$1000,$U99-4)),1),IF(ISNUMBER(INDEX($AN$5:$AN$1000,$U99-4)),DATE(YEAR(INDEX($AN$5:$AN$1000,$U99-4)),MONTH(INDEX($AN$5:$AN$1000,$U99-4)),1),MesCiclo)),IF(ISNUMBER($AM99),DATE(YEAR($AM99),MONTH($AM99),1),IF(ISNUMBER($AN99),DATE(YEAR($AN99),MONTH($AN99),1),MesCiclo))))</f>
        <v/>
      </c>
      <c r="T99" s="62">
        <f>IF(OR($S99="",$S99&lt;&gt;MesCiclo),"",COUNTIF($S$5:$S99,MesCiclo))</f>
        <v/>
      </c>
      <c r="U99" s="62">
        <f>IF($V99="","",IF($V99="Macro",ROW(),IFERROR(LOOKUP(2,1/($V$5:$V99="Macro"),ROW($V$5:$V99)),0)))</f>
        <v/>
      </c>
      <c r="V99" s="62">
        <f>IF(NOT((COUNTA($B99:$D99)+COUNTA($G99:$L99)+COUNTA($Q99))&gt;0),"",IF($B99="Subactividad","Sub","Macro"))</f>
        <v/>
      </c>
      <c r="W99" s="62">
        <f>IF($V99="Macro",COUNTIFS($U$5:$U$1000,ROW(),$V$5:$V$1000,"Sub"),"")</f>
        <v/>
      </c>
      <c r="X99" s="62">
        <f>IF($V99="","",IF(ISNUMBER($G99),1,IFERROR(LOOKUP(2,1/($I99:$L99&lt;&gt;""),$I99:$L99),0)))</f>
        <v/>
      </c>
      <c r="Y99" s="62">
        <f>IF($V99="","",IF(AND(ISNUMBER($G99),$G99&lt;=IF($S99=MesCiclo,InicioCiclo,$S99+MOD(2-WEEKDAY($S99),7))+6),1,IF(ISNUMBER($I99),$I99,0)))</f>
        <v/>
      </c>
      <c r="Z99" s="62">
        <f>IF($V99="","",IF(AND(ISNUMBER($G99),$G99&lt;=IF($S99=MesCiclo,InicioCiclo,$S99+MOD(2-WEEKDAY($S99),7))+13),1,IF(ISNUMBER($J99),$J99,$Y99)))</f>
        <v/>
      </c>
      <c r="AA99" s="62">
        <f>IF($V99="","",IF(AND(ISNUMBER($G99),$G99&lt;=IF($S99=MesCiclo,InicioCiclo,$S99+MOD(2-WEEKDAY($S99),7))+20),1,IF(ISNUMBER($K99),$K99,$Z99)))</f>
        <v/>
      </c>
      <c r="AB99" s="62">
        <f>IF($V99="","",IF(AND(ISNUMBER($G99),$G99&lt;=IF($S99=MesCiclo,InicioCiclo,$S99+MOD(2-WEEKDAY($S99),7))+27),1,IF(ISNUMBER($L99),$L99,$AA99)))</f>
        <v/>
      </c>
      <c r="AC99" s="62">
        <f>IF($V99="","",IF(AND(ISNUMBER($G99),$G99&lt;=IF($S99=MesCiclo,InicioCiclo,$S99+MOD(2-WEEKDAY($S99),7))+6),1,IF(N($W99)&gt;0,AVERAGEIFS($Y$5:$Y$1000,$U$5:$U$1000,ROW(),$V$5:$V$1000,"Sub"),$Y99)))</f>
        <v/>
      </c>
      <c r="AD99" s="62">
        <f>IF($V99="","",IF(AND(ISNUMBER($G99),$G99&lt;=IF($S99=MesCiclo,InicioCiclo,$S99+MOD(2-WEEKDAY($S99),7))+13),1,IF(N($W99)&gt;0,AVERAGEIFS($Z$5:$Z$1000,$U$5:$U$1000,ROW(),$V$5:$V$1000,"Sub"),$Z99)))</f>
        <v/>
      </c>
      <c r="AE99" s="62">
        <f>IF($V99="","",IF(AND(ISNUMBER($G99),$G99&lt;=IF($S99=MesCiclo,InicioCiclo,$S99+MOD(2-WEEKDAY($S99),7))+20),1,IF(N($W99)&gt;0,AVERAGEIFS($AA$5:$AA$1000,$U$5:$U$1000,ROW(),$V$5:$V$1000,"Sub"),$AA99)))</f>
        <v/>
      </c>
      <c r="AF99" s="62">
        <f>IF($V99="","",IF(AND(ISNUMBER($G99),$G99&lt;=IF($S99=MesCiclo,InicioCiclo,$S99+MOD(2-WEEKDAY($S99),7))+27),1,IF(N($W99)&gt;0,AVERAGEIFS($AB$5:$AB$1000,$U$5:$U$1000,ROW(),$V$5:$V$1000,"Sub"),$AB99)))</f>
        <v/>
      </c>
      <c r="AG99" s="62">
        <f>IF($V99&lt;&gt;"Macro","",IF(COUNTIFS($S$5:$S$1000,$S99,$V$5:$V$1000,"Macro",$H$5:$H$1000,"&gt;0")=0,1/COUNTIFS($S$5:$S$1000,$S99,$V$5:$V$1000,"Macro"),IF(AND(ISNUMBER($H99),N($H99)&gt;0),$H99,SUMIFS($H$5:$H$1000,$S$5:$S$1000,$S99,$V$5:$V$1000,"Macro")/COUNTIFS($S$5:$S$1000,$S99,$V$5:$V$1000,"Macro",$H$5:$H$1000,"&gt;0"))/(COUNTIFS($S$5:$S$1000,$S99,$V$5:$V$1000,"Macro")*SUMIFS($H$5:$H$1000,$S$5:$S$1000,$S99,$V$5:$V$1000,"Macro")/COUNTIFS($S$5:$S$1000,$S99,$V$5:$V$1000,"Macro",$H$5:$H$1000,"&gt;0"))))</f>
        <v/>
      </c>
      <c r="AH99" s="62" t="n"/>
      <c r="AI99" s="62" t="n"/>
      <c r="AJ99" s="62" t="n"/>
      <c r="AK99" s="62" t="n"/>
      <c r="AL99" s="62">
        <f>IF(LEFT($C99,11)="[Jefatura] ",IFERROR(MATCH("Asistente Técnico de Riesgo|"&amp;MID($C99,12,500),rDname_ADM,0),0),"")</f>
        <v/>
      </c>
      <c r="AM99" s="62">
        <f>IF(N($AL99)&gt;0,INDEX(rIni_ADM,$AL99),IF(ISNUMBER($E99),$E99,""))</f>
        <v/>
      </c>
      <c r="AN99" s="62">
        <f>IF(N($AL99)&gt;0,INDEX(rLim_ADM,$AL99),IF(ISNUMBER($F99),$F99,""))</f>
        <v/>
      </c>
    </row>
    <row r="100">
      <c r="A100" s="56">
        <f>IF(NOT((COUNTA($B100:$D100)+COUNTA($G100:$L100)+COUNTA($Q100))&gt;0),"",IF($V100="Macro",COUNTIFS($V$5:$V100,"Macro",$S$5:$S100,$S100),IF(N($U100)=0,"?",COUNTIFS(INDEX($V$5:$V$1000,1):INDEX($V$5:$V$1000,$U100-4),"Macro",INDEX($S$5:$S$1000,1):INDEX($S$5:$S$1000,$U100-4),INDEX($S$5:$S$1000,$U100-4))&amp;"."&amp;COUNTIFS($U$5:$U100,$U100,$V$5:$V100,"Sub"))))</f>
        <v/>
      </c>
      <c r="B100" s="57" t="n"/>
      <c r="C100" s="58" t="n"/>
      <c r="D100" s="58" t="n"/>
      <c r="E100" s="59">
        <f>IF(N($AL100)&gt;0,INDEX(rIni_ADM,$AL100),"")</f>
        <v/>
      </c>
      <c r="F100" s="59">
        <f>IF(N($AL100)&gt;0,INDEX(rLim_ADM,$AL100),"")</f>
        <v/>
      </c>
      <c r="G100" s="59" t="n"/>
      <c r="H100" s="60" t="n"/>
      <c r="I100" s="60" t="n"/>
      <c r="J100" s="60" t="n"/>
      <c r="K100" s="60" t="n"/>
      <c r="L100" s="60" t="n"/>
      <c r="M100" s="61">
        <f>IF(NOT((COUNTA($B100:$D100)+COUNTA($G100:$L100)+COUNTA($Q100))&gt;0),"",IF(ISNUMBER($G100),1,IF(N($W100)&gt;0,AVERAGEIFS($X$5:$X$1000,$U$5:$U$1000,ROW(),$V$5:$V$1000,"Sub"),$X100)))</f>
        <v/>
      </c>
      <c r="N100" s="56">
        <f>IF($M100="","",IF($M100&gt;=1,"Completado",IF($M100&gt;0,"En curso","Pendiente")))</f>
        <v/>
      </c>
      <c r="O100" s="56">
        <f>IF(NOT((COUNTA($B100:$D100)+COUNTA($G100:$L100)+COUNTA($Q100))&gt;0),"",IF(ISNUMBER($G100),IF(AND(ISNUMBER($AN100),$G100&gt;$AN100),"Cumplida con "&amp;($G100-$AN100)&amp;IF($G100-$AN100=1," día"," días")&amp;" de retraso","Cumplida"),IF(N($M100)&gt;=1,"Cumplida",IF(NOT(ISNUMBER($AN100)),"Sin fecha límite",IF($AN100&lt;FechaRef,"Vencida hace "&amp;(FechaRef-$AN100)&amp;IF(FechaRef-$AN100=1," día"," días"),IF($AN100=FechaRef,"Vence hoy",IF($AN100-FechaRef&lt;=DiasAlerta,"Vence en "&amp;($AN100-FechaRef)&amp;IF($AN100-FechaRef=1," día"," días"),"En plazo")))))))</f>
        <v/>
      </c>
      <c r="P100" s="62" t="n"/>
      <c r="Q100" s="58" t="n"/>
      <c r="R100" s="63">
        <f>IF(NOT((COUNTA($B100:$D100)+COUNTA($G100:$L100)+COUNTA($Q100))&gt;0),"",IF((IF($C100="","Falta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",""))="","✔ OK","⚠ "&amp;LEFT(IF($C100="","Falta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",""),LEN(IF($C100="","Falta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",""))-3)))</f>
        <v/>
      </c>
      <c r="S100" s="64">
        <f>IF(NOT((COUNTA($B100:$D100)+COUNTA($G100:$L100)+COUNTA($Q100))&gt;0),"",IF(AND($V100="Sub",N($U100)&gt;0),IF(ISNUMBER(INDEX($AM$5:$AM$1000,$U100-4)),DATE(YEAR(INDEX($AM$5:$AM$1000,$U100-4)),MONTH(INDEX($AM$5:$AM$1000,$U100-4)),1),IF(ISNUMBER(INDEX($AN$5:$AN$1000,$U100-4)),DATE(YEAR(INDEX($AN$5:$AN$1000,$U100-4)),MONTH(INDEX($AN$5:$AN$1000,$U100-4)),1),MesCiclo)),IF(ISNUMBER($AM100),DATE(YEAR($AM100),MONTH($AM100),1),IF(ISNUMBER($AN100),DATE(YEAR($AN100),MONTH($AN100),1),MesCiclo))))</f>
        <v/>
      </c>
      <c r="T100" s="62">
        <f>IF(OR($S100="",$S100&lt;&gt;MesCiclo),"",COUNTIF($S$5:$S100,MesCiclo))</f>
        <v/>
      </c>
      <c r="U100" s="62">
        <f>IF($V100="","",IF($V100="Macro",ROW(),IFERROR(LOOKUP(2,1/($V$5:$V100="Macro"),ROW($V$5:$V100)),0)))</f>
        <v/>
      </c>
      <c r="V100" s="62">
        <f>IF(NOT((COUNTA($B100:$D100)+COUNTA($G100:$L100)+COUNTA($Q100))&gt;0),"",IF($B100="Subactividad","Sub","Macro"))</f>
        <v/>
      </c>
      <c r="W100" s="62">
        <f>IF($V100="Macro",COUNTIFS($U$5:$U$1000,ROW(),$V$5:$V$1000,"Sub"),"")</f>
        <v/>
      </c>
      <c r="X100" s="62">
        <f>IF($V100="","",IF(ISNUMBER($G100),1,IFERROR(LOOKUP(2,1/($I100:$L100&lt;&gt;""),$I100:$L100),0)))</f>
        <v/>
      </c>
      <c r="Y100" s="62">
        <f>IF($V100="","",IF(AND(ISNUMBER($G100),$G100&lt;=IF($S100=MesCiclo,InicioCiclo,$S100+MOD(2-WEEKDAY($S100),7))+6),1,IF(ISNUMBER($I100),$I100,0)))</f>
        <v/>
      </c>
      <c r="Z100" s="62">
        <f>IF($V100="","",IF(AND(ISNUMBER($G100),$G100&lt;=IF($S100=MesCiclo,InicioCiclo,$S100+MOD(2-WEEKDAY($S100),7))+13),1,IF(ISNUMBER($J100),$J100,$Y100)))</f>
        <v/>
      </c>
      <c r="AA100" s="62">
        <f>IF($V100="","",IF(AND(ISNUMBER($G100),$G100&lt;=IF($S100=MesCiclo,InicioCiclo,$S100+MOD(2-WEEKDAY($S100),7))+20),1,IF(ISNUMBER($K100),$K100,$Z100)))</f>
        <v/>
      </c>
      <c r="AB100" s="62">
        <f>IF($V100="","",IF(AND(ISNUMBER($G100),$G100&lt;=IF($S100=MesCiclo,InicioCiclo,$S100+MOD(2-WEEKDAY($S100),7))+27),1,IF(ISNUMBER($L100),$L100,$AA100)))</f>
        <v/>
      </c>
      <c r="AC100" s="62">
        <f>IF($V100="","",IF(AND(ISNUMBER($G100),$G100&lt;=IF($S100=MesCiclo,InicioCiclo,$S100+MOD(2-WEEKDAY($S100),7))+6),1,IF(N($W100)&gt;0,AVERAGEIFS($Y$5:$Y$1000,$U$5:$U$1000,ROW(),$V$5:$V$1000,"Sub"),$Y100)))</f>
        <v/>
      </c>
      <c r="AD100" s="62">
        <f>IF($V100="","",IF(AND(ISNUMBER($G100),$G100&lt;=IF($S100=MesCiclo,InicioCiclo,$S100+MOD(2-WEEKDAY($S100),7))+13),1,IF(N($W100)&gt;0,AVERAGEIFS($Z$5:$Z$1000,$U$5:$U$1000,ROW(),$V$5:$V$1000,"Sub"),$Z100)))</f>
        <v/>
      </c>
      <c r="AE100" s="62">
        <f>IF($V100="","",IF(AND(ISNUMBER($G100),$G100&lt;=IF($S100=MesCiclo,InicioCiclo,$S100+MOD(2-WEEKDAY($S100),7))+20),1,IF(N($W100)&gt;0,AVERAGEIFS($AA$5:$AA$1000,$U$5:$U$1000,ROW(),$V$5:$V$1000,"Sub"),$AA100)))</f>
        <v/>
      </c>
      <c r="AF100" s="62">
        <f>IF($V100="","",IF(AND(ISNUMBER($G100),$G100&lt;=IF($S100=MesCiclo,InicioCiclo,$S100+MOD(2-WEEKDAY($S100),7))+27),1,IF(N($W100)&gt;0,AVERAGEIFS($AB$5:$AB$1000,$U$5:$U$1000,ROW(),$V$5:$V$1000,"Sub"),$AB100)))</f>
        <v/>
      </c>
      <c r="AG100" s="62">
        <f>IF($V100&lt;&gt;"Macro","",IF(COUNTIFS($S$5:$S$1000,$S100,$V$5:$V$1000,"Macro",$H$5:$H$1000,"&gt;0")=0,1/COUNTIFS($S$5:$S$1000,$S100,$V$5:$V$1000,"Macro"),IF(AND(ISNUMBER($H100),N($H100)&gt;0),$H100,SUMIFS($H$5:$H$1000,$S$5:$S$1000,$S100,$V$5:$V$1000,"Macro")/COUNTIFS($S$5:$S$1000,$S100,$V$5:$V$1000,"Macro",$H$5:$H$1000,"&gt;0"))/(COUNTIFS($S$5:$S$1000,$S100,$V$5:$V$1000,"Macro")*SUMIFS($H$5:$H$1000,$S$5:$S$1000,$S100,$V$5:$V$1000,"Macro")/COUNTIFS($S$5:$S$1000,$S100,$V$5:$V$1000,"Macro",$H$5:$H$1000,"&gt;0"))))</f>
        <v/>
      </c>
      <c r="AH100" s="62" t="n"/>
      <c r="AI100" s="62" t="n"/>
      <c r="AJ100" s="62" t="n"/>
      <c r="AK100" s="62" t="n"/>
      <c r="AL100" s="62">
        <f>IF(LEFT($C100,11)="[Jefatura] ",IFERROR(MATCH("Asistente Técnico de Riesgo|"&amp;MID($C100,12,500),rDname_ADM,0),0),"")</f>
        <v/>
      </c>
      <c r="AM100" s="62">
        <f>IF(N($AL100)&gt;0,INDEX(rIni_ADM,$AL100),IF(ISNUMBER($E100),$E100,""))</f>
        <v/>
      </c>
      <c r="AN100" s="62">
        <f>IF(N($AL100)&gt;0,INDEX(rLim_ADM,$AL100),IF(ISNUMBER($F100),$F100,""))</f>
        <v/>
      </c>
    </row>
    <row r="101">
      <c r="A101" s="56">
        <f>IF(NOT((COUNTA($B101:$D101)+COUNTA($G101:$L101)+COUNTA($Q101))&gt;0),"",IF($V101="Macro",COUNTIFS($V$5:$V101,"Macro",$S$5:$S101,$S101),IF(N($U101)=0,"?",COUNTIFS(INDEX($V$5:$V$1000,1):INDEX($V$5:$V$1000,$U101-4),"Macro",INDEX($S$5:$S$1000,1):INDEX($S$5:$S$1000,$U101-4),INDEX($S$5:$S$1000,$U101-4))&amp;"."&amp;COUNTIFS($U$5:$U101,$U101,$V$5:$V101,"Sub"))))</f>
        <v/>
      </c>
      <c r="B101" s="57" t="n"/>
      <c r="C101" s="58" t="n"/>
      <c r="D101" s="58" t="n"/>
      <c r="E101" s="59">
        <f>IF(N($AL101)&gt;0,INDEX(rIni_ADM,$AL101),"")</f>
        <v/>
      </c>
      <c r="F101" s="59">
        <f>IF(N($AL101)&gt;0,INDEX(rLim_ADM,$AL101),"")</f>
        <v/>
      </c>
      <c r="G101" s="59" t="n"/>
      <c r="H101" s="60" t="n"/>
      <c r="I101" s="60" t="n"/>
      <c r="J101" s="60" t="n"/>
      <c r="K101" s="60" t="n"/>
      <c r="L101" s="60" t="n"/>
      <c r="M101" s="61">
        <f>IF(NOT((COUNTA($B101:$D101)+COUNTA($G101:$L101)+COUNTA($Q101))&gt;0),"",IF(ISNUMBER($G101),1,IF(N($W101)&gt;0,AVERAGEIFS($X$5:$X$1000,$U$5:$U$1000,ROW(),$V$5:$V$1000,"Sub"),$X101)))</f>
        <v/>
      </c>
      <c r="N101" s="56">
        <f>IF($M101="","",IF($M101&gt;=1,"Completado",IF($M101&gt;0,"En curso","Pendiente")))</f>
        <v/>
      </c>
      <c r="O101" s="56">
        <f>IF(NOT((COUNTA($B101:$D101)+COUNTA($G101:$L101)+COUNTA($Q101))&gt;0),"",IF(ISNUMBER($G101),IF(AND(ISNUMBER($AN101),$G101&gt;$AN101),"Cumplida con "&amp;($G101-$AN101)&amp;IF($G101-$AN101=1," día"," días")&amp;" de retraso","Cumplida"),IF(N($M101)&gt;=1,"Cumplida",IF(NOT(ISNUMBER($AN101)),"Sin fecha límite",IF($AN101&lt;FechaRef,"Vencida hace "&amp;(FechaRef-$AN101)&amp;IF(FechaRef-$AN101=1," día"," días"),IF($AN101=FechaRef,"Vence hoy",IF($AN101-FechaRef&lt;=DiasAlerta,"Vence en "&amp;($AN101-FechaRef)&amp;IF($AN101-FechaRef=1," día"," días"),"En plazo")))))))</f>
        <v/>
      </c>
      <c r="P101" s="62" t="n"/>
      <c r="Q101" s="58" t="n"/>
      <c r="R101" s="63">
        <f>IF(NOT((COUNTA($B101:$D101)+COUNTA($G101:$L101)+COUNTA($Q101))&gt;0),"",IF((IF($C101="","Falta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",""))="","✔ OK","⚠ "&amp;LEFT(IF($C101="","Falta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",""),LEN(IF($C101="","Falta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",""))-3)))</f>
        <v/>
      </c>
      <c r="S101" s="64">
        <f>IF(NOT((COUNTA($B101:$D101)+COUNTA($G101:$L101)+COUNTA($Q101))&gt;0),"",IF(AND($V101="Sub",N($U101)&gt;0),IF(ISNUMBER(INDEX($AM$5:$AM$1000,$U101-4)),DATE(YEAR(INDEX($AM$5:$AM$1000,$U101-4)),MONTH(INDEX($AM$5:$AM$1000,$U101-4)),1),IF(ISNUMBER(INDEX($AN$5:$AN$1000,$U101-4)),DATE(YEAR(INDEX($AN$5:$AN$1000,$U101-4)),MONTH(INDEX($AN$5:$AN$1000,$U101-4)),1),MesCiclo)),IF(ISNUMBER($AM101),DATE(YEAR($AM101),MONTH($AM101),1),IF(ISNUMBER($AN101),DATE(YEAR($AN101),MONTH($AN101),1),MesCiclo))))</f>
        <v/>
      </c>
      <c r="T101" s="62">
        <f>IF(OR($S101="",$S101&lt;&gt;MesCiclo),"",COUNTIF($S$5:$S101,MesCiclo))</f>
        <v/>
      </c>
      <c r="U101" s="62">
        <f>IF($V101="","",IF($V101="Macro",ROW(),IFERROR(LOOKUP(2,1/($V$5:$V101="Macro"),ROW($V$5:$V101)),0)))</f>
        <v/>
      </c>
      <c r="V101" s="62">
        <f>IF(NOT((COUNTA($B101:$D101)+COUNTA($G101:$L101)+COUNTA($Q101))&gt;0),"",IF($B101="Subactividad","Sub","Macro"))</f>
        <v/>
      </c>
      <c r="W101" s="62">
        <f>IF($V101="Macro",COUNTIFS($U$5:$U$1000,ROW(),$V$5:$V$1000,"Sub"),"")</f>
        <v/>
      </c>
      <c r="X101" s="62">
        <f>IF($V101="","",IF(ISNUMBER($G101),1,IFERROR(LOOKUP(2,1/($I101:$L101&lt;&gt;""),$I101:$L101),0)))</f>
        <v/>
      </c>
      <c r="Y101" s="62">
        <f>IF($V101="","",IF(AND(ISNUMBER($G101),$G101&lt;=IF($S101=MesCiclo,InicioCiclo,$S101+MOD(2-WEEKDAY($S101),7))+6),1,IF(ISNUMBER($I101),$I101,0)))</f>
        <v/>
      </c>
      <c r="Z101" s="62">
        <f>IF($V101="","",IF(AND(ISNUMBER($G101),$G101&lt;=IF($S101=MesCiclo,InicioCiclo,$S101+MOD(2-WEEKDAY($S101),7))+13),1,IF(ISNUMBER($J101),$J101,$Y101)))</f>
        <v/>
      </c>
      <c r="AA101" s="62">
        <f>IF($V101="","",IF(AND(ISNUMBER($G101),$G101&lt;=IF($S101=MesCiclo,InicioCiclo,$S101+MOD(2-WEEKDAY($S101),7))+20),1,IF(ISNUMBER($K101),$K101,$Z101)))</f>
        <v/>
      </c>
      <c r="AB101" s="62">
        <f>IF($V101="","",IF(AND(ISNUMBER($G101),$G101&lt;=IF($S101=MesCiclo,InicioCiclo,$S101+MOD(2-WEEKDAY($S101),7))+27),1,IF(ISNUMBER($L101),$L101,$AA101)))</f>
        <v/>
      </c>
      <c r="AC101" s="62">
        <f>IF($V101="","",IF(AND(ISNUMBER($G101),$G101&lt;=IF($S101=MesCiclo,InicioCiclo,$S101+MOD(2-WEEKDAY($S101),7))+6),1,IF(N($W101)&gt;0,AVERAGEIFS($Y$5:$Y$1000,$U$5:$U$1000,ROW(),$V$5:$V$1000,"Sub"),$Y101)))</f>
        <v/>
      </c>
      <c r="AD101" s="62">
        <f>IF($V101="","",IF(AND(ISNUMBER($G101),$G101&lt;=IF($S101=MesCiclo,InicioCiclo,$S101+MOD(2-WEEKDAY($S101),7))+13),1,IF(N($W101)&gt;0,AVERAGEIFS($Z$5:$Z$1000,$U$5:$U$1000,ROW(),$V$5:$V$1000,"Sub"),$Z101)))</f>
        <v/>
      </c>
      <c r="AE101" s="62">
        <f>IF($V101="","",IF(AND(ISNUMBER($G101),$G101&lt;=IF($S101=MesCiclo,InicioCiclo,$S101+MOD(2-WEEKDAY($S101),7))+20),1,IF(N($W101)&gt;0,AVERAGEIFS($AA$5:$AA$1000,$U$5:$U$1000,ROW(),$V$5:$V$1000,"Sub"),$AA101)))</f>
        <v/>
      </c>
      <c r="AF101" s="62">
        <f>IF($V101="","",IF(AND(ISNUMBER($G101),$G101&lt;=IF($S101=MesCiclo,InicioCiclo,$S101+MOD(2-WEEKDAY($S101),7))+27),1,IF(N($W101)&gt;0,AVERAGEIFS($AB$5:$AB$1000,$U$5:$U$1000,ROW(),$V$5:$V$1000,"Sub"),$AB101)))</f>
        <v/>
      </c>
      <c r="AG101" s="62">
        <f>IF($V101&lt;&gt;"Macro","",IF(COUNTIFS($S$5:$S$1000,$S101,$V$5:$V$1000,"Macro",$H$5:$H$1000,"&gt;0")=0,1/COUNTIFS($S$5:$S$1000,$S101,$V$5:$V$1000,"Macro"),IF(AND(ISNUMBER($H101),N($H101)&gt;0),$H101,SUMIFS($H$5:$H$1000,$S$5:$S$1000,$S101,$V$5:$V$1000,"Macro")/COUNTIFS($S$5:$S$1000,$S101,$V$5:$V$1000,"Macro",$H$5:$H$1000,"&gt;0"))/(COUNTIFS($S$5:$S$1000,$S101,$V$5:$V$1000,"Macro")*SUMIFS($H$5:$H$1000,$S$5:$S$1000,$S101,$V$5:$V$1000,"Macro")/COUNTIFS($S$5:$S$1000,$S101,$V$5:$V$1000,"Macro",$H$5:$H$1000,"&gt;0"))))</f>
        <v/>
      </c>
      <c r="AH101" s="62" t="n"/>
      <c r="AI101" s="62" t="n"/>
      <c r="AJ101" s="62" t="n"/>
      <c r="AK101" s="62" t="n"/>
      <c r="AL101" s="62">
        <f>IF(LEFT($C101,11)="[Jefatura] ",IFERROR(MATCH("Asistente Técnico de Riesgo|"&amp;MID($C101,12,500),rDname_ADM,0),0),"")</f>
        <v/>
      </c>
      <c r="AM101" s="62">
        <f>IF(N($AL101)&gt;0,INDEX(rIni_ADM,$AL101),IF(ISNUMBER($E101),$E101,""))</f>
        <v/>
      </c>
      <c r="AN101" s="62">
        <f>IF(N($AL101)&gt;0,INDEX(rLim_ADM,$AL101),IF(ISNUMBER($F101),$F101,""))</f>
        <v/>
      </c>
    </row>
    <row r="102">
      <c r="A102" s="56">
        <f>IF(NOT((COUNTA($B102:$D102)+COUNTA($G102:$L102)+COUNTA($Q102))&gt;0),"",IF($V102="Macro",COUNTIFS($V$5:$V102,"Macro",$S$5:$S102,$S102),IF(N($U102)=0,"?",COUNTIFS(INDEX($V$5:$V$1000,1):INDEX($V$5:$V$1000,$U102-4),"Macro",INDEX($S$5:$S$1000,1):INDEX($S$5:$S$1000,$U102-4),INDEX($S$5:$S$1000,$U102-4))&amp;"."&amp;COUNTIFS($U$5:$U102,$U102,$V$5:$V102,"Sub"))))</f>
        <v/>
      </c>
      <c r="B102" s="57" t="n"/>
      <c r="C102" s="58" t="n"/>
      <c r="D102" s="58" t="n"/>
      <c r="E102" s="59">
        <f>IF(N($AL102)&gt;0,INDEX(rIni_ADM,$AL102),"")</f>
        <v/>
      </c>
      <c r="F102" s="59">
        <f>IF(N($AL102)&gt;0,INDEX(rLim_ADM,$AL102),"")</f>
        <v/>
      </c>
      <c r="G102" s="59" t="n"/>
      <c r="H102" s="60" t="n"/>
      <c r="I102" s="60" t="n"/>
      <c r="J102" s="60" t="n"/>
      <c r="K102" s="60" t="n"/>
      <c r="L102" s="60" t="n"/>
      <c r="M102" s="61">
        <f>IF(NOT((COUNTA($B102:$D102)+COUNTA($G102:$L102)+COUNTA($Q102))&gt;0),"",IF(ISNUMBER($G102),1,IF(N($W102)&gt;0,AVERAGEIFS($X$5:$X$1000,$U$5:$U$1000,ROW(),$V$5:$V$1000,"Sub"),$X102)))</f>
        <v/>
      </c>
      <c r="N102" s="56">
        <f>IF($M102="","",IF($M102&gt;=1,"Completado",IF($M102&gt;0,"En curso","Pendiente")))</f>
        <v/>
      </c>
      <c r="O102" s="56">
        <f>IF(NOT((COUNTA($B102:$D102)+COUNTA($G102:$L102)+COUNTA($Q102))&gt;0),"",IF(ISNUMBER($G102),IF(AND(ISNUMBER($AN102),$G102&gt;$AN102),"Cumplida con "&amp;($G102-$AN102)&amp;IF($G102-$AN102=1," día"," días")&amp;" de retraso","Cumplida"),IF(N($M102)&gt;=1,"Cumplida",IF(NOT(ISNUMBER($AN102)),"Sin fecha límite",IF($AN102&lt;FechaRef,"Vencida hace "&amp;(FechaRef-$AN102)&amp;IF(FechaRef-$AN102=1," día"," días"),IF($AN102=FechaRef,"Vence hoy",IF($AN102-FechaRef&lt;=DiasAlerta,"Vence en "&amp;($AN102-FechaRef)&amp;IF($AN102-FechaRef=1," día"," días"),"En plazo")))))))</f>
        <v/>
      </c>
      <c r="P102" s="62" t="n"/>
      <c r="Q102" s="58" t="n"/>
      <c r="R102" s="63">
        <f>IF(NOT((COUNTA($B102:$D102)+COUNTA($G102:$L102)+COUNTA($Q102))&gt;0),"",IF((IF($C102="","Falta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",""))="","✔ OK","⚠ "&amp;LEFT(IF($C102="","Falta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",""),LEN(IF($C102="","Falta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",""))-3)))</f>
        <v/>
      </c>
      <c r="S102" s="64">
        <f>IF(NOT((COUNTA($B102:$D102)+COUNTA($G102:$L102)+COUNTA($Q102))&gt;0),"",IF(AND($V102="Sub",N($U102)&gt;0),IF(ISNUMBER(INDEX($AM$5:$AM$1000,$U102-4)),DATE(YEAR(INDEX($AM$5:$AM$1000,$U102-4)),MONTH(INDEX($AM$5:$AM$1000,$U102-4)),1),IF(ISNUMBER(INDEX($AN$5:$AN$1000,$U102-4)),DATE(YEAR(INDEX($AN$5:$AN$1000,$U102-4)),MONTH(INDEX($AN$5:$AN$1000,$U102-4)),1),MesCiclo)),IF(ISNUMBER($AM102),DATE(YEAR($AM102),MONTH($AM102),1),IF(ISNUMBER($AN102),DATE(YEAR($AN102),MONTH($AN102),1),MesCiclo))))</f>
        <v/>
      </c>
      <c r="T102" s="62">
        <f>IF(OR($S102="",$S102&lt;&gt;MesCiclo),"",COUNTIF($S$5:$S102,MesCiclo))</f>
        <v/>
      </c>
      <c r="U102" s="62">
        <f>IF($V102="","",IF($V102="Macro",ROW(),IFERROR(LOOKUP(2,1/($V$5:$V102="Macro"),ROW($V$5:$V102)),0)))</f>
        <v/>
      </c>
      <c r="V102" s="62">
        <f>IF(NOT((COUNTA($B102:$D102)+COUNTA($G102:$L102)+COUNTA($Q102))&gt;0),"",IF($B102="Subactividad","Sub","Macro"))</f>
        <v/>
      </c>
      <c r="W102" s="62">
        <f>IF($V102="Macro",COUNTIFS($U$5:$U$1000,ROW(),$V$5:$V$1000,"Sub"),"")</f>
        <v/>
      </c>
      <c r="X102" s="62">
        <f>IF($V102="","",IF(ISNUMBER($G102),1,IFERROR(LOOKUP(2,1/($I102:$L102&lt;&gt;""),$I102:$L102),0)))</f>
        <v/>
      </c>
      <c r="Y102" s="62">
        <f>IF($V102="","",IF(AND(ISNUMBER($G102),$G102&lt;=IF($S102=MesCiclo,InicioCiclo,$S102+MOD(2-WEEKDAY($S102),7))+6),1,IF(ISNUMBER($I102),$I102,0)))</f>
        <v/>
      </c>
      <c r="Z102" s="62">
        <f>IF($V102="","",IF(AND(ISNUMBER($G102),$G102&lt;=IF($S102=MesCiclo,InicioCiclo,$S102+MOD(2-WEEKDAY($S102),7))+13),1,IF(ISNUMBER($J102),$J102,$Y102)))</f>
        <v/>
      </c>
      <c r="AA102" s="62">
        <f>IF($V102="","",IF(AND(ISNUMBER($G102),$G102&lt;=IF($S102=MesCiclo,InicioCiclo,$S102+MOD(2-WEEKDAY($S102),7))+20),1,IF(ISNUMBER($K102),$K102,$Z102)))</f>
        <v/>
      </c>
      <c r="AB102" s="62">
        <f>IF($V102="","",IF(AND(ISNUMBER($G102),$G102&lt;=IF($S102=MesCiclo,InicioCiclo,$S102+MOD(2-WEEKDAY($S102),7))+27),1,IF(ISNUMBER($L102),$L102,$AA102)))</f>
        <v/>
      </c>
      <c r="AC102" s="62">
        <f>IF($V102="","",IF(AND(ISNUMBER($G102),$G102&lt;=IF($S102=MesCiclo,InicioCiclo,$S102+MOD(2-WEEKDAY($S102),7))+6),1,IF(N($W102)&gt;0,AVERAGEIFS($Y$5:$Y$1000,$U$5:$U$1000,ROW(),$V$5:$V$1000,"Sub"),$Y102)))</f>
        <v/>
      </c>
      <c r="AD102" s="62">
        <f>IF($V102="","",IF(AND(ISNUMBER($G102),$G102&lt;=IF($S102=MesCiclo,InicioCiclo,$S102+MOD(2-WEEKDAY($S102),7))+13),1,IF(N($W102)&gt;0,AVERAGEIFS($Z$5:$Z$1000,$U$5:$U$1000,ROW(),$V$5:$V$1000,"Sub"),$Z102)))</f>
        <v/>
      </c>
      <c r="AE102" s="62">
        <f>IF($V102="","",IF(AND(ISNUMBER($G102),$G102&lt;=IF($S102=MesCiclo,InicioCiclo,$S102+MOD(2-WEEKDAY($S102),7))+20),1,IF(N($W102)&gt;0,AVERAGEIFS($AA$5:$AA$1000,$U$5:$U$1000,ROW(),$V$5:$V$1000,"Sub"),$AA102)))</f>
        <v/>
      </c>
      <c r="AF102" s="62">
        <f>IF($V102="","",IF(AND(ISNUMBER($G102),$G102&lt;=IF($S102=MesCiclo,InicioCiclo,$S102+MOD(2-WEEKDAY($S102),7))+27),1,IF(N($W102)&gt;0,AVERAGEIFS($AB$5:$AB$1000,$U$5:$U$1000,ROW(),$V$5:$V$1000,"Sub"),$AB102)))</f>
        <v/>
      </c>
      <c r="AG102" s="62">
        <f>IF($V102&lt;&gt;"Macro","",IF(COUNTIFS($S$5:$S$1000,$S102,$V$5:$V$1000,"Macro",$H$5:$H$1000,"&gt;0")=0,1/COUNTIFS($S$5:$S$1000,$S102,$V$5:$V$1000,"Macro"),IF(AND(ISNUMBER($H102),N($H102)&gt;0),$H102,SUMIFS($H$5:$H$1000,$S$5:$S$1000,$S102,$V$5:$V$1000,"Macro")/COUNTIFS($S$5:$S$1000,$S102,$V$5:$V$1000,"Macro",$H$5:$H$1000,"&gt;0"))/(COUNTIFS($S$5:$S$1000,$S102,$V$5:$V$1000,"Macro")*SUMIFS($H$5:$H$1000,$S$5:$S$1000,$S102,$V$5:$V$1000,"Macro")/COUNTIFS($S$5:$S$1000,$S102,$V$5:$V$1000,"Macro",$H$5:$H$1000,"&gt;0"))))</f>
        <v/>
      </c>
      <c r="AH102" s="62" t="n"/>
      <c r="AI102" s="62" t="n"/>
      <c r="AJ102" s="62" t="n"/>
      <c r="AK102" s="62" t="n"/>
      <c r="AL102" s="62">
        <f>IF(LEFT($C102,11)="[Jefatura] ",IFERROR(MATCH("Asistente Técnico de Riesgo|"&amp;MID($C102,12,500),rDname_ADM,0),0),"")</f>
        <v/>
      </c>
      <c r="AM102" s="62">
        <f>IF(N($AL102)&gt;0,INDEX(rIni_ADM,$AL102),IF(ISNUMBER($E102),$E102,""))</f>
        <v/>
      </c>
      <c r="AN102" s="62">
        <f>IF(N($AL102)&gt;0,INDEX(rLim_ADM,$AL102),IF(ISNUMBER($F102),$F102,""))</f>
        <v/>
      </c>
    </row>
    <row r="103">
      <c r="A103" s="56">
        <f>IF(NOT((COUNTA($B103:$D103)+COUNTA($G103:$L103)+COUNTA($Q103))&gt;0),"",IF($V103="Macro",COUNTIFS($V$5:$V103,"Macro",$S$5:$S103,$S103),IF(N($U103)=0,"?",COUNTIFS(INDEX($V$5:$V$1000,1):INDEX($V$5:$V$1000,$U103-4),"Macro",INDEX($S$5:$S$1000,1):INDEX($S$5:$S$1000,$U103-4),INDEX($S$5:$S$1000,$U103-4))&amp;"."&amp;COUNTIFS($U$5:$U103,$U103,$V$5:$V103,"Sub"))))</f>
        <v/>
      </c>
      <c r="B103" s="57" t="n"/>
      <c r="C103" s="58" t="n"/>
      <c r="D103" s="58" t="n"/>
      <c r="E103" s="59">
        <f>IF(N($AL103)&gt;0,INDEX(rIni_ADM,$AL103),"")</f>
        <v/>
      </c>
      <c r="F103" s="59">
        <f>IF(N($AL103)&gt;0,INDEX(rLim_ADM,$AL103),"")</f>
        <v/>
      </c>
      <c r="G103" s="59" t="n"/>
      <c r="H103" s="60" t="n"/>
      <c r="I103" s="60" t="n"/>
      <c r="J103" s="60" t="n"/>
      <c r="K103" s="60" t="n"/>
      <c r="L103" s="60" t="n"/>
      <c r="M103" s="61">
        <f>IF(NOT((COUNTA($B103:$D103)+COUNTA($G103:$L103)+COUNTA($Q103))&gt;0),"",IF(ISNUMBER($G103),1,IF(N($W103)&gt;0,AVERAGEIFS($X$5:$X$1000,$U$5:$U$1000,ROW(),$V$5:$V$1000,"Sub"),$X103)))</f>
        <v/>
      </c>
      <c r="N103" s="56">
        <f>IF($M103="","",IF($M103&gt;=1,"Completado",IF($M103&gt;0,"En curso","Pendiente")))</f>
        <v/>
      </c>
      <c r="O103" s="56">
        <f>IF(NOT((COUNTA($B103:$D103)+COUNTA($G103:$L103)+COUNTA($Q103))&gt;0),"",IF(ISNUMBER($G103),IF(AND(ISNUMBER($AN103),$G103&gt;$AN103),"Cumplida con "&amp;($G103-$AN103)&amp;IF($G103-$AN103=1," día"," días")&amp;" de retraso","Cumplida"),IF(N($M103)&gt;=1,"Cumplida",IF(NOT(ISNUMBER($AN103)),"Sin fecha límite",IF($AN103&lt;FechaRef,"Vencida hace "&amp;(FechaRef-$AN103)&amp;IF(FechaRef-$AN103=1," día"," días"),IF($AN103=FechaRef,"Vence hoy",IF($AN103-FechaRef&lt;=DiasAlerta,"Vence en "&amp;($AN103-FechaRef)&amp;IF($AN103-FechaRef=1," día"," días"),"En plazo")))))))</f>
        <v/>
      </c>
      <c r="P103" s="62" t="n"/>
      <c r="Q103" s="58" t="n"/>
      <c r="R103" s="63">
        <f>IF(NOT((COUNTA($B103:$D103)+COUNTA($G103:$L103)+COUNTA($Q103))&gt;0),"",IF((IF($C103="","Falta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",""))="","✔ OK","⚠ "&amp;LEFT(IF($C103="","Falta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",""),LEN(IF($C103="","Falta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",""))-3)))</f>
        <v/>
      </c>
      <c r="S103" s="64">
        <f>IF(NOT((COUNTA($B103:$D103)+COUNTA($G103:$L103)+COUNTA($Q103))&gt;0),"",IF(AND($V103="Sub",N($U103)&gt;0),IF(ISNUMBER(INDEX($AM$5:$AM$1000,$U103-4)),DATE(YEAR(INDEX($AM$5:$AM$1000,$U103-4)),MONTH(INDEX($AM$5:$AM$1000,$U103-4)),1),IF(ISNUMBER(INDEX($AN$5:$AN$1000,$U103-4)),DATE(YEAR(INDEX($AN$5:$AN$1000,$U103-4)),MONTH(INDEX($AN$5:$AN$1000,$U103-4)),1),MesCiclo)),IF(ISNUMBER($AM103),DATE(YEAR($AM103),MONTH($AM103),1),IF(ISNUMBER($AN103),DATE(YEAR($AN103),MONTH($AN103),1),MesCiclo))))</f>
        <v/>
      </c>
      <c r="T103" s="62">
        <f>IF(OR($S103="",$S103&lt;&gt;MesCiclo),"",COUNTIF($S$5:$S103,MesCiclo))</f>
        <v/>
      </c>
      <c r="U103" s="62">
        <f>IF($V103="","",IF($V103="Macro",ROW(),IFERROR(LOOKUP(2,1/($V$5:$V103="Macro"),ROW($V$5:$V103)),0)))</f>
        <v/>
      </c>
      <c r="V103" s="62">
        <f>IF(NOT((COUNTA($B103:$D103)+COUNTA($G103:$L103)+COUNTA($Q103))&gt;0),"",IF($B103="Subactividad","Sub","Macro"))</f>
        <v/>
      </c>
      <c r="W103" s="62">
        <f>IF($V103="Macro",COUNTIFS($U$5:$U$1000,ROW(),$V$5:$V$1000,"Sub"),"")</f>
        <v/>
      </c>
      <c r="X103" s="62">
        <f>IF($V103="","",IF(ISNUMBER($G103),1,IFERROR(LOOKUP(2,1/($I103:$L103&lt;&gt;""),$I103:$L103),0)))</f>
        <v/>
      </c>
      <c r="Y103" s="62">
        <f>IF($V103="","",IF(AND(ISNUMBER($G103),$G103&lt;=IF($S103=MesCiclo,InicioCiclo,$S103+MOD(2-WEEKDAY($S103),7))+6),1,IF(ISNUMBER($I103),$I103,0)))</f>
        <v/>
      </c>
      <c r="Z103" s="62">
        <f>IF($V103="","",IF(AND(ISNUMBER($G103),$G103&lt;=IF($S103=MesCiclo,InicioCiclo,$S103+MOD(2-WEEKDAY($S103),7))+13),1,IF(ISNUMBER($J103),$J103,$Y103)))</f>
        <v/>
      </c>
      <c r="AA103" s="62">
        <f>IF($V103="","",IF(AND(ISNUMBER($G103),$G103&lt;=IF($S103=MesCiclo,InicioCiclo,$S103+MOD(2-WEEKDAY($S103),7))+20),1,IF(ISNUMBER($K103),$K103,$Z103)))</f>
        <v/>
      </c>
      <c r="AB103" s="62">
        <f>IF($V103="","",IF(AND(ISNUMBER($G103),$G103&lt;=IF($S103=MesCiclo,InicioCiclo,$S103+MOD(2-WEEKDAY($S103),7))+27),1,IF(ISNUMBER($L103),$L103,$AA103)))</f>
        <v/>
      </c>
      <c r="AC103" s="62">
        <f>IF($V103="","",IF(AND(ISNUMBER($G103),$G103&lt;=IF($S103=MesCiclo,InicioCiclo,$S103+MOD(2-WEEKDAY($S103),7))+6),1,IF(N($W103)&gt;0,AVERAGEIFS($Y$5:$Y$1000,$U$5:$U$1000,ROW(),$V$5:$V$1000,"Sub"),$Y103)))</f>
        <v/>
      </c>
      <c r="AD103" s="62">
        <f>IF($V103="","",IF(AND(ISNUMBER($G103),$G103&lt;=IF($S103=MesCiclo,InicioCiclo,$S103+MOD(2-WEEKDAY($S103),7))+13),1,IF(N($W103)&gt;0,AVERAGEIFS($Z$5:$Z$1000,$U$5:$U$1000,ROW(),$V$5:$V$1000,"Sub"),$Z103)))</f>
        <v/>
      </c>
      <c r="AE103" s="62">
        <f>IF($V103="","",IF(AND(ISNUMBER($G103),$G103&lt;=IF($S103=MesCiclo,InicioCiclo,$S103+MOD(2-WEEKDAY($S103),7))+20),1,IF(N($W103)&gt;0,AVERAGEIFS($AA$5:$AA$1000,$U$5:$U$1000,ROW(),$V$5:$V$1000,"Sub"),$AA103)))</f>
        <v/>
      </c>
      <c r="AF103" s="62">
        <f>IF($V103="","",IF(AND(ISNUMBER($G103),$G103&lt;=IF($S103=MesCiclo,InicioCiclo,$S103+MOD(2-WEEKDAY($S103),7))+27),1,IF(N($W103)&gt;0,AVERAGEIFS($AB$5:$AB$1000,$U$5:$U$1000,ROW(),$V$5:$V$1000,"Sub"),$AB103)))</f>
        <v/>
      </c>
      <c r="AG103" s="62">
        <f>IF($V103&lt;&gt;"Macro","",IF(COUNTIFS($S$5:$S$1000,$S103,$V$5:$V$1000,"Macro",$H$5:$H$1000,"&gt;0")=0,1/COUNTIFS($S$5:$S$1000,$S103,$V$5:$V$1000,"Macro"),IF(AND(ISNUMBER($H103),N($H103)&gt;0),$H103,SUMIFS($H$5:$H$1000,$S$5:$S$1000,$S103,$V$5:$V$1000,"Macro")/COUNTIFS($S$5:$S$1000,$S103,$V$5:$V$1000,"Macro",$H$5:$H$1000,"&gt;0"))/(COUNTIFS($S$5:$S$1000,$S103,$V$5:$V$1000,"Macro")*SUMIFS($H$5:$H$1000,$S$5:$S$1000,$S103,$V$5:$V$1000,"Macro")/COUNTIFS($S$5:$S$1000,$S103,$V$5:$V$1000,"Macro",$H$5:$H$1000,"&gt;0"))))</f>
        <v/>
      </c>
      <c r="AH103" s="62" t="n"/>
      <c r="AI103" s="62" t="n"/>
      <c r="AJ103" s="62" t="n"/>
      <c r="AK103" s="62" t="n"/>
      <c r="AL103" s="62">
        <f>IF(LEFT($C103,11)="[Jefatura] ",IFERROR(MATCH("Asistente Técnico de Riesgo|"&amp;MID($C103,12,500),rDname_ADM,0),0),"")</f>
        <v/>
      </c>
      <c r="AM103" s="62">
        <f>IF(N($AL103)&gt;0,INDEX(rIni_ADM,$AL103),IF(ISNUMBER($E103),$E103,""))</f>
        <v/>
      </c>
      <c r="AN103" s="62">
        <f>IF(N($AL103)&gt;0,INDEX(rLim_ADM,$AL103),IF(ISNUMBER($F103),$F103,""))</f>
        <v/>
      </c>
    </row>
    <row r="104">
      <c r="A104" s="56">
        <f>IF(NOT((COUNTA($B104:$D104)+COUNTA($G104:$L104)+COUNTA($Q104))&gt;0),"",IF($V104="Macro",COUNTIFS($V$5:$V104,"Macro",$S$5:$S104,$S104),IF(N($U104)=0,"?",COUNTIFS(INDEX($V$5:$V$1000,1):INDEX($V$5:$V$1000,$U104-4),"Macro",INDEX($S$5:$S$1000,1):INDEX($S$5:$S$1000,$U104-4),INDEX($S$5:$S$1000,$U104-4))&amp;"."&amp;COUNTIFS($U$5:$U104,$U104,$V$5:$V104,"Sub"))))</f>
        <v/>
      </c>
      <c r="B104" s="57" t="n"/>
      <c r="C104" s="58" t="n"/>
      <c r="D104" s="58" t="n"/>
      <c r="E104" s="59">
        <f>IF(N($AL104)&gt;0,INDEX(rIni_ADM,$AL104),"")</f>
        <v/>
      </c>
      <c r="F104" s="59">
        <f>IF(N($AL104)&gt;0,INDEX(rLim_ADM,$AL104),"")</f>
        <v/>
      </c>
      <c r="G104" s="59" t="n"/>
      <c r="H104" s="60" t="n"/>
      <c r="I104" s="60" t="n"/>
      <c r="J104" s="60" t="n"/>
      <c r="K104" s="60" t="n"/>
      <c r="L104" s="60" t="n"/>
      <c r="M104" s="61">
        <f>IF(NOT((COUNTA($B104:$D104)+COUNTA($G104:$L104)+COUNTA($Q104))&gt;0),"",IF(ISNUMBER($G104),1,IF(N($W104)&gt;0,AVERAGEIFS($X$5:$X$1000,$U$5:$U$1000,ROW(),$V$5:$V$1000,"Sub"),$X104)))</f>
        <v/>
      </c>
      <c r="N104" s="56">
        <f>IF($M104="","",IF($M104&gt;=1,"Completado",IF($M104&gt;0,"En curso","Pendiente")))</f>
        <v/>
      </c>
      <c r="O104" s="56">
        <f>IF(NOT((COUNTA($B104:$D104)+COUNTA($G104:$L104)+COUNTA($Q104))&gt;0),"",IF(ISNUMBER($G104),IF(AND(ISNUMBER($AN104),$G104&gt;$AN104),"Cumplida con "&amp;($G104-$AN104)&amp;IF($G104-$AN104=1," día"," días")&amp;" de retraso","Cumplida"),IF(N($M104)&gt;=1,"Cumplida",IF(NOT(ISNUMBER($AN104)),"Sin fecha límite",IF($AN104&lt;FechaRef,"Vencida hace "&amp;(FechaRef-$AN104)&amp;IF(FechaRef-$AN104=1," día"," días"),IF($AN104=FechaRef,"Vence hoy",IF($AN104-FechaRef&lt;=DiasAlerta,"Vence en "&amp;($AN104-FechaRef)&amp;IF($AN104-FechaRef=1," día"," días"),"En plazo")))))))</f>
        <v/>
      </c>
      <c r="P104" s="62" t="n"/>
      <c r="Q104" s="58" t="n"/>
      <c r="R104" s="63">
        <f>IF(NOT((COUNTA($B104:$D104)+COUNTA($G104:$L104)+COUNTA($Q104))&gt;0),"",IF((IF($C104="","Falta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",""))="","✔ OK","⚠ "&amp;LEFT(IF($C104="","Falta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",""),LEN(IF($C104="","Falta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",""))-3)))</f>
        <v/>
      </c>
      <c r="S104" s="64">
        <f>IF(NOT((COUNTA($B104:$D104)+COUNTA($G104:$L104)+COUNTA($Q104))&gt;0),"",IF(AND($V104="Sub",N($U104)&gt;0),IF(ISNUMBER(INDEX($AM$5:$AM$1000,$U104-4)),DATE(YEAR(INDEX($AM$5:$AM$1000,$U104-4)),MONTH(INDEX($AM$5:$AM$1000,$U104-4)),1),IF(ISNUMBER(INDEX($AN$5:$AN$1000,$U104-4)),DATE(YEAR(INDEX($AN$5:$AN$1000,$U104-4)),MONTH(INDEX($AN$5:$AN$1000,$U104-4)),1),MesCiclo)),IF(ISNUMBER($AM104),DATE(YEAR($AM104),MONTH($AM104),1),IF(ISNUMBER($AN104),DATE(YEAR($AN104),MONTH($AN104),1),MesCiclo))))</f>
        <v/>
      </c>
      <c r="T104" s="62">
        <f>IF(OR($S104="",$S104&lt;&gt;MesCiclo),"",COUNTIF($S$5:$S104,MesCiclo))</f>
        <v/>
      </c>
      <c r="U104" s="62">
        <f>IF($V104="","",IF($V104="Macro",ROW(),IFERROR(LOOKUP(2,1/($V$5:$V104="Macro"),ROW($V$5:$V104)),0)))</f>
        <v/>
      </c>
      <c r="V104" s="62">
        <f>IF(NOT((COUNTA($B104:$D104)+COUNTA($G104:$L104)+COUNTA($Q104))&gt;0),"",IF($B104="Subactividad","Sub","Macro"))</f>
        <v/>
      </c>
      <c r="W104" s="62">
        <f>IF($V104="Macro",COUNTIFS($U$5:$U$1000,ROW(),$V$5:$V$1000,"Sub"),"")</f>
        <v/>
      </c>
      <c r="X104" s="62">
        <f>IF($V104="","",IF(ISNUMBER($G104),1,IFERROR(LOOKUP(2,1/($I104:$L104&lt;&gt;""),$I104:$L104),0)))</f>
        <v/>
      </c>
      <c r="Y104" s="62">
        <f>IF($V104="","",IF(AND(ISNUMBER($G104),$G104&lt;=IF($S104=MesCiclo,InicioCiclo,$S104+MOD(2-WEEKDAY($S104),7))+6),1,IF(ISNUMBER($I104),$I104,0)))</f>
        <v/>
      </c>
      <c r="Z104" s="62">
        <f>IF($V104="","",IF(AND(ISNUMBER($G104),$G104&lt;=IF($S104=MesCiclo,InicioCiclo,$S104+MOD(2-WEEKDAY($S104),7))+13),1,IF(ISNUMBER($J104),$J104,$Y104)))</f>
        <v/>
      </c>
      <c r="AA104" s="62">
        <f>IF($V104="","",IF(AND(ISNUMBER($G104),$G104&lt;=IF($S104=MesCiclo,InicioCiclo,$S104+MOD(2-WEEKDAY($S104),7))+20),1,IF(ISNUMBER($K104),$K104,$Z104)))</f>
        <v/>
      </c>
      <c r="AB104" s="62">
        <f>IF($V104="","",IF(AND(ISNUMBER($G104),$G104&lt;=IF($S104=MesCiclo,InicioCiclo,$S104+MOD(2-WEEKDAY($S104),7))+27),1,IF(ISNUMBER($L104),$L104,$AA104)))</f>
        <v/>
      </c>
      <c r="AC104" s="62">
        <f>IF($V104="","",IF(AND(ISNUMBER($G104),$G104&lt;=IF($S104=MesCiclo,InicioCiclo,$S104+MOD(2-WEEKDAY($S104),7))+6),1,IF(N($W104)&gt;0,AVERAGEIFS($Y$5:$Y$1000,$U$5:$U$1000,ROW(),$V$5:$V$1000,"Sub"),$Y104)))</f>
        <v/>
      </c>
      <c r="AD104" s="62">
        <f>IF($V104="","",IF(AND(ISNUMBER($G104),$G104&lt;=IF($S104=MesCiclo,InicioCiclo,$S104+MOD(2-WEEKDAY($S104),7))+13),1,IF(N($W104)&gt;0,AVERAGEIFS($Z$5:$Z$1000,$U$5:$U$1000,ROW(),$V$5:$V$1000,"Sub"),$Z104)))</f>
        <v/>
      </c>
      <c r="AE104" s="62">
        <f>IF($V104="","",IF(AND(ISNUMBER($G104),$G104&lt;=IF($S104=MesCiclo,InicioCiclo,$S104+MOD(2-WEEKDAY($S104),7))+20),1,IF(N($W104)&gt;0,AVERAGEIFS($AA$5:$AA$1000,$U$5:$U$1000,ROW(),$V$5:$V$1000,"Sub"),$AA104)))</f>
        <v/>
      </c>
      <c r="AF104" s="62">
        <f>IF($V104="","",IF(AND(ISNUMBER($G104),$G104&lt;=IF($S104=MesCiclo,InicioCiclo,$S104+MOD(2-WEEKDAY($S104),7))+27),1,IF(N($W104)&gt;0,AVERAGEIFS($AB$5:$AB$1000,$U$5:$U$1000,ROW(),$V$5:$V$1000,"Sub"),$AB104)))</f>
        <v/>
      </c>
      <c r="AG104" s="62">
        <f>IF($V104&lt;&gt;"Macro","",IF(COUNTIFS($S$5:$S$1000,$S104,$V$5:$V$1000,"Macro",$H$5:$H$1000,"&gt;0")=0,1/COUNTIFS($S$5:$S$1000,$S104,$V$5:$V$1000,"Macro"),IF(AND(ISNUMBER($H104),N($H104)&gt;0),$H104,SUMIFS($H$5:$H$1000,$S$5:$S$1000,$S104,$V$5:$V$1000,"Macro")/COUNTIFS($S$5:$S$1000,$S104,$V$5:$V$1000,"Macro",$H$5:$H$1000,"&gt;0"))/(COUNTIFS($S$5:$S$1000,$S104,$V$5:$V$1000,"Macro")*SUMIFS($H$5:$H$1000,$S$5:$S$1000,$S104,$V$5:$V$1000,"Macro")/COUNTIFS($S$5:$S$1000,$S104,$V$5:$V$1000,"Macro",$H$5:$H$1000,"&gt;0"))))</f>
        <v/>
      </c>
      <c r="AH104" s="62" t="n"/>
      <c r="AI104" s="62" t="n"/>
      <c r="AJ104" s="62" t="n"/>
      <c r="AK104" s="62" t="n"/>
      <c r="AL104" s="62">
        <f>IF(LEFT($C104,11)="[Jefatura] ",IFERROR(MATCH("Asistente Técnico de Riesgo|"&amp;MID($C104,12,500),rDname_ADM,0),0),"")</f>
        <v/>
      </c>
      <c r="AM104" s="62">
        <f>IF(N($AL104)&gt;0,INDEX(rIni_ADM,$AL104),IF(ISNUMBER($E104),$E104,""))</f>
        <v/>
      </c>
      <c r="AN104" s="62">
        <f>IF(N($AL104)&gt;0,INDEX(rLim_ADM,$AL104),IF(ISNUMBER($F104),$F104,""))</f>
        <v/>
      </c>
    </row>
    <row r="105">
      <c r="A105" s="56">
        <f>IF(NOT((COUNTA($B105:$D105)+COUNTA($G105:$L105)+COUNTA($Q105))&gt;0),"",IF($V105="Macro",COUNTIFS($V$5:$V105,"Macro",$S$5:$S105,$S105),IF(N($U105)=0,"?",COUNTIFS(INDEX($V$5:$V$1000,1):INDEX($V$5:$V$1000,$U105-4),"Macro",INDEX($S$5:$S$1000,1):INDEX($S$5:$S$1000,$U105-4),INDEX($S$5:$S$1000,$U105-4))&amp;"."&amp;COUNTIFS($U$5:$U105,$U105,$V$5:$V105,"Sub"))))</f>
        <v/>
      </c>
      <c r="B105" s="57" t="n"/>
      <c r="C105" s="58" t="n"/>
      <c r="D105" s="58" t="n"/>
      <c r="E105" s="59">
        <f>IF(N($AL105)&gt;0,INDEX(rIni_ADM,$AL105),"")</f>
        <v/>
      </c>
      <c r="F105" s="59">
        <f>IF(N($AL105)&gt;0,INDEX(rLim_ADM,$AL105),"")</f>
        <v/>
      </c>
      <c r="G105" s="59" t="n"/>
      <c r="H105" s="60" t="n"/>
      <c r="I105" s="60" t="n"/>
      <c r="J105" s="60" t="n"/>
      <c r="K105" s="60" t="n"/>
      <c r="L105" s="60" t="n"/>
      <c r="M105" s="61">
        <f>IF(NOT((COUNTA($B105:$D105)+COUNTA($G105:$L105)+COUNTA($Q105))&gt;0),"",IF(ISNUMBER($G105),1,IF(N($W105)&gt;0,AVERAGEIFS($X$5:$X$1000,$U$5:$U$1000,ROW(),$V$5:$V$1000,"Sub"),$X105)))</f>
        <v/>
      </c>
      <c r="N105" s="56">
        <f>IF($M105="","",IF($M105&gt;=1,"Completado",IF($M105&gt;0,"En curso","Pendiente")))</f>
        <v/>
      </c>
      <c r="O105" s="56">
        <f>IF(NOT((COUNTA($B105:$D105)+COUNTA($G105:$L105)+COUNTA($Q105))&gt;0),"",IF(ISNUMBER($G105),IF(AND(ISNUMBER($AN105),$G105&gt;$AN105),"Cumplida con "&amp;($G105-$AN105)&amp;IF($G105-$AN105=1," día"," días")&amp;" de retraso","Cumplida"),IF(N($M105)&gt;=1,"Cumplida",IF(NOT(ISNUMBER($AN105)),"Sin fecha límite",IF($AN105&lt;FechaRef,"Vencida hace "&amp;(FechaRef-$AN105)&amp;IF(FechaRef-$AN105=1," día"," días"),IF($AN105=FechaRef,"Vence hoy",IF($AN105-FechaRef&lt;=DiasAlerta,"Vence en "&amp;($AN105-FechaRef)&amp;IF($AN105-FechaRef=1," día"," días"),"En plazo")))))))</f>
        <v/>
      </c>
      <c r="P105" s="62" t="n"/>
      <c r="Q105" s="58" t="n"/>
      <c r="R105" s="63">
        <f>IF(NOT((COUNTA($B105:$D105)+COUNTA($G105:$L105)+COUNTA($Q105))&gt;0),"",IF((IF($C105="","Falta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",""))="","✔ OK","⚠ "&amp;LEFT(IF($C105="","Falta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",""),LEN(IF($C105="","Falta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",""))-3)))</f>
        <v/>
      </c>
      <c r="S105" s="64">
        <f>IF(NOT((COUNTA($B105:$D105)+COUNTA($G105:$L105)+COUNTA($Q105))&gt;0),"",IF(AND($V105="Sub",N($U105)&gt;0),IF(ISNUMBER(INDEX($AM$5:$AM$1000,$U105-4)),DATE(YEAR(INDEX($AM$5:$AM$1000,$U105-4)),MONTH(INDEX($AM$5:$AM$1000,$U105-4)),1),IF(ISNUMBER(INDEX($AN$5:$AN$1000,$U105-4)),DATE(YEAR(INDEX($AN$5:$AN$1000,$U105-4)),MONTH(INDEX($AN$5:$AN$1000,$U105-4)),1),MesCiclo)),IF(ISNUMBER($AM105),DATE(YEAR($AM105),MONTH($AM105),1),IF(ISNUMBER($AN105),DATE(YEAR($AN105),MONTH($AN105),1),MesCiclo))))</f>
        <v/>
      </c>
      <c r="T105" s="62">
        <f>IF(OR($S105="",$S105&lt;&gt;MesCiclo),"",COUNTIF($S$5:$S105,MesCiclo))</f>
        <v/>
      </c>
      <c r="U105" s="62">
        <f>IF($V105="","",IF($V105="Macro",ROW(),IFERROR(LOOKUP(2,1/($V$5:$V105="Macro"),ROW($V$5:$V105)),0)))</f>
        <v/>
      </c>
      <c r="V105" s="62">
        <f>IF(NOT((COUNTA($B105:$D105)+COUNTA($G105:$L105)+COUNTA($Q105))&gt;0),"",IF($B105="Subactividad","Sub","Macro"))</f>
        <v/>
      </c>
      <c r="W105" s="62">
        <f>IF($V105="Macro",COUNTIFS($U$5:$U$1000,ROW(),$V$5:$V$1000,"Sub"),"")</f>
        <v/>
      </c>
      <c r="X105" s="62">
        <f>IF($V105="","",IF(ISNUMBER($G105),1,IFERROR(LOOKUP(2,1/($I105:$L105&lt;&gt;""),$I105:$L105),0)))</f>
        <v/>
      </c>
      <c r="Y105" s="62">
        <f>IF($V105="","",IF(AND(ISNUMBER($G105),$G105&lt;=IF($S105=MesCiclo,InicioCiclo,$S105+MOD(2-WEEKDAY($S105),7))+6),1,IF(ISNUMBER($I105),$I105,0)))</f>
        <v/>
      </c>
      <c r="Z105" s="62">
        <f>IF($V105="","",IF(AND(ISNUMBER($G105),$G105&lt;=IF($S105=MesCiclo,InicioCiclo,$S105+MOD(2-WEEKDAY($S105),7))+13),1,IF(ISNUMBER($J105),$J105,$Y105)))</f>
        <v/>
      </c>
      <c r="AA105" s="62">
        <f>IF($V105="","",IF(AND(ISNUMBER($G105),$G105&lt;=IF($S105=MesCiclo,InicioCiclo,$S105+MOD(2-WEEKDAY($S105),7))+20),1,IF(ISNUMBER($K105),$K105,$Z105)))</f>
        <v/>
      </c>
      <c r="AB105" s="62">
        <f>IF($V105="","",IF(AND(ISNUMBER($G105),$G105&lt;=IF($S105=MesCiclo,InicioCiclo,$S105+MOD(2-WEEKDAY($S105),7))+27),1,IF(ISNUMBER($L105),$L105,$AA105)))</f>
        <v/>
      </c>
      <c r="AC105" s="62">
        <f>IF($V105="","",IF(AND(ISNUMBER($G105),$G105&lt;=IF($S105=MesCiclo,InicioCiclo,$S105+MOD(2-WEEKDAY($S105),7))+6),1,IF(N($W105)&gt;0,AVERAGEIFS($Y$5:$Y$1000,$U$5:$U$1000,ROW(),$V$5:$V$1000,"Sub"),$Y105)))</f>
        <v/>
      </c>
      <c r="AD105" s="62">
        <f>IF($V105="","",IF(AND(ISNUMBER($G105),$G105&lt;=IF($S105=MesCiclo,InicioCiclo,$S105+MOD(2-WEEKDAY($S105),7))+13),1,IF(N($W105)&gt;0,AVERAGEIFS($Z$5:$Z$1000,$U$5:$U$1000,ROW(),$V$5:$V$1000,"Sub"),$Z105)))</f>
        <v/>
      </c>
      <c r="AE105" s="62">
        <f>IF($V105="","",IF(AND(ISNUMBER($G105),$G105&lt;=IF($S105=MesCiclo,InicioCiclo,$S105+MOD(2-WEEKDAY($S105),7))+20),1,IF(N($W105)&gt;0,AVERAGEIFS($AA$5:$AA$1000,$U$5:$U$1000,ROW(),$V$5:$V$1000,"Sub"),$AA105)))</f>
        <v/>
      </c>
      <c r="AF105" s="62">
        <f>IF($V105="","",IF(AND(ISNUMBER($G105),$G105&lt;=IF($S105=MesCiclo,InicioCiclo,$S105+MOD(2-WEEKDAY($S105),7))+27),1,IF(N($W105)&gt;0,AVERAGEIFS($AB$5:$AB$1000,$U$5:$U$1000,ROW(),$V$5:$V$1000,"Sub"),$AB105)))</f>
        <v/>
      </c>
      <c r="AG105" s="62">
        <f>IF($V105&lt;&gt;"Macro","",IF(COUNTIFS($S$5:$S$1000,$S105,$V$5:$V$1000,"Macro",$H$5:$H$1000,"&gt;0")=0,1/COUNTIFS($S$5:$S$1000,$S105,$V$5:$V$1000,"Macro"),IF(AND(ISNUMBER($H105),N($H105)&gt;0),$H105,SUMIFS($H$5:$H$1000,$S$5:$S$1000,$S105,$V$5:$V$1000,"Macro")/COUNTIFS($S$5:$S$1000,$S105,$V$5:$V$1000,"Macro",$H$5:$H$1000,"&gt;0"))/(COUNTIFS($S$5:$S$1000,$S105,$V$5:$V$1000,"Macro")*SUMIFS($H$5:$H$1000,$S$5:$S$1000,$S105,$V$5:$V$1000,"Macro")/COUNTIFS($S$5:$S$1000,$S105,$V$5:$V$1000,"Macro",$H$5:$H$1000,"&gt;0"))))</f>
        <v/>
      </c>
      <c r="AH105" s="62" t="n"/>
      <c r="AI105" s="62" t="n"/>
      <c r="AJ105" s="62" t="n"/>
      <c r="AK105" s="62" t="n"/>
      <c r="AL105" s="62">
        <f>IF(LEFT($C105,11)="[Jefatura] ",IFERROR(MATCH("Asistente Técnico de Riesgo|"&amp;MID($C105,12,500),rDname_ADM,0),0),"")</f>
        <v/>
      </c>
      <c r="AM105" s="62">
        <f>IF(N($AL105)&gt;0,INDEX(rIni_ADM,$AL105),IF(ISNUMBER($E105),$E105,""))</f>
        <v/>
      </c>
      <c r="AN105" s="62">
        <f>IF(N($AL105)&gt;0,INDEX(rLim_ADM,$AL105),IF(ISNUMBER($F105),$F105,""))</f>
        <v/>
      </c>
    </row>
    <row r="106">
      <c r="A106" s="56">
        <f>IF(NOT((COUNTA($B106:$D106)+COUNTA($G106:$L106)+COUNTA($Q106))&gt;0),"",IF($V106="Macro",COUNTIFS($V$5:$V106,"Macro",$S$5:$S106,$S106),IF(N($U106)=0,"?",COUNTIFS(INDEX($V$5:$V$1000,1):INDEX($V$5:$V$1000,$U106-4),"Macro",INDEX($S$5:$S$1000,1):INDEX($S$5:$S$1000,$U106-4),INDEX($S$5:$S$1000,$U106-4))&amp;"."&amp;COUNTIFS($U$5:$U106,$U106,$V$5:$V106,"Sub"))))</f>
        <v/>
      </c>
      <c r="B106" s="57" t="n"/>
      <c r="C106" s="58" t="n"/>
      <c r="D106" s="58" t="n"/>
      <c r="E106" s="59">
        <f>IF(N($AL106)&gt;0,INDEX(rIni_ADM,$AL106),"")</f>
        <v/>
      </c>
      <c r="F106" s="59">
        <f>IF(N($AL106)&gt;0,INDEX(rLim_ADM,$AL106),"")</f>
        <v/>
      </c>
      <c r="G106" s="59" t="n"/>
      <c r="H106" s="60" t="n"/>
      <c r="I106" s="60" t="n"/>
      <c r="J106" s="60" t="n"/>
      <c r="K106" s="60" t="n"/>
      <c r="L106" s="60" t="n"/>
      <c r="M106" s="61">
        <f>IF(NOT((COUNTA($B106:$D106)+COUNTA($G106:$L106)+COUNTA($Q106))&gt;0),"",IF(ISNUMBER($G106),1,IF(N($W106)&gt;0,AVERAGEIFS($X$5:$X$1000,$U$5:$U$1000,ROW(),$V$5:$V$1000,"Sub"),$X106)))</f>
        <v/>
      </c>
      <c r="N106" s="56">
        <f>IF($M106="","",IF($M106&gt;=1,"Completado",IF($M106&gt;0,"En curso","Pendiente")))</f>
        <v/>
      </c>
      <c r="O106" s="56">
        <f>IF(NOT((COUNTA($B106:$D106)+COUNTA($G106:$L106)+COUNTA($Q106))&gt;0),"",IF(ISNUMBER($G106),IF(AND(ISNUMBER($AN106),$G106&gt;$AN106),"Cumplida con "&amp;($G106-$AN106)&amp;IF($G106-$AN106=1," día"," días")&amp;" de retraso","Cumplida"),IF(N($M106)&gt;=1,"Cumplida",IF(NOT(ISNUMBER($AN106)),"Sin fecha límite",IF($AN106&lt;FechaRef,"Vencida hace "&amp;(FechaRef-$AN106)&amp;IF(FechaRef-$AN106=1," día"," días"),IF($AN106=FechaRef,"Vence hoy",IF($AN106-FechaRef&lt;=DiasAlerta,"Vence en "&amp;($AN106-FechaRef)&amp;IF($AN106-FechaRef=1," día"," días"),"En plazo")))))))</f>
        <v/>
      </c>
      <c r="P106" s="62" t="n"/>
      <c r="Q106" s="58" t="n"/>
      <c r="R106" s="63">
        <f>IF(NOT((COUNTA($B106:$D106)+COUNTA($G106:$L106)+COUNTA($Q106))&gt;0),"",IF((IF($C106="","Falta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",""))="","✔ OK","⚠ "&amp;LEFT(IF($C106="","Falta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",""),LEN(IF($C106="","Falta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",""))-3)))</f>
        <v/>
      </c>
      <c r="S106" s="64">
        <f>IF(NOT((COUNTA($B106:$D106)+COUNTA($G106:$L106)+COUNTA($Q106))&gt;0),"",IF(AND($V106="Sub",N($U106)&gt;0),IF(ISNUMBER(INDEX($AM$5:$AM$1000,$U106-4)),DATE(YEAR(INDEX($AM$5:$AM$1000,$U106-4)),MONTH(INDEX($AM$5:$AM$1000,$U106-4)),1),IF(ISNUMBER(INDEX($AN$5:$AN$1000,$U106-4)),DATE(YEAR(INDEX($AN$5:$AN$1000,$U106-4)),MONTH(INDEX($AN$5:$AN$1000,$U106-4)),1),MesCiclo)),IF(ISNUMBER($AM106),DATE(YEAR($AM106),MONTH($AM106),1),IF(ISNUMBER($AN106),DATE(YEAR($AN106),MONTH($AN106),1),MesCiclo))))</f>
        <v/>
      </c>
      <c r="T106" s="62">
        <f>IF(OR($S106="",$S106&lt;&gt;MesCiclo),"",COUNTIF($S$5:$S106,MesCiclo))</f>
        <v/>
      </c>
      <c r="U106" s="62">
        <f>IF($V106="","",IF($V106="Macro",ROW(),IFERROR(LOOKUP(2,1/($V$5:$V106="Macro"),ROW($V$5:$V106)),0)))</f>
        <v/>
      </c>
      <c r="V106" s="62">
        <f>IF(NOT((COUNTA($B106:$D106)+COUNTA($G106:$L106)+COUNTA($Q106))&gt;0),"",IF($B106="Subactividad","Sub","Macro"))</f>
        <v/>
      </c>
      <c r="W106" s="62">
        <f>IF($V106="Macro",COUNTIFS($U$5:$U$1000,ROW(),$V$5:$V$1000,"Sub"),"")</f>
        <v/>
      </c>
      <c r="X106" s="62">
        <f>IF($V106="","",IF(ISNUMBER($G106),1,IFERROR(LOOKUP(2,1/($I106:$L106&lt;&gt;""),$I106:$L106),0)))</f>
        <v/>
      </c>
      <c r="Y106" s="62">
        <f>IF($V106="","",IF(AND(ISNUMBER($G106),$G106&lt;=IF($S106=MesCiclo,InicioCiclo,$S106+MOD(2-WEEKDAY($S106),7))+6),1,IF(ISNUMBER($I106),$I106,0)))</f>
        <v/>
      </c>
      <c r="Z106" s="62">
        <f>IF($V106="","",IF(AND(ISNUMBER($G106),$G106&lt;=IF($S106=MesCiclo,InicioCiclo,$S106+MOD(2-WEEKDAY($S106),7))+13),1,IF(ISNUMBER($J106),$J106,$Y106)))</f>
        <v/>
      </c>
      <c r="AA106" s="62">
        <f>IF($V106="","",IF(AND(ISNUMBER($G106),$G106&lt;=IF($S106=MesCiclo,InicioCiclo,$S106+MOD(2-WEEKDAY($S106),7))+20),1,IF(ISNUMBER($K106),$K106,$Z106)))</f>
        <v/>
      </c>
      <c r="AB106" s="62">
        <f>IF($V106="","",IF(AND(ISNUMBER($G106),$G106&lt;=IF($S106=MesCiclo,InicioCiclo,$S106+MOD(2-WEEKDAY($S106),7))+27),1,IF(ISNUMBER($L106),$L106,$AA106)))</f>
        <v/>
      </c>
      <c r="AC106" s="62">
        <f>IF($V106="","",IF(AND(ISNUMBER($G106),$G106&lt;=IF($S106=MesCiclo,InicioCiclo,$S106+MOD(2-WEEKDAY($S106),7))+6),1,IF(N($W106)&gt;0,AVERAGEIFS($Y$5:$Y$1000,$U$5:$U$1000,ROW(),$V$5:$V$1000,"Sub"),$Y106)))</f>
        <v/>
      </c>
      <c r="AD106" s="62">
        <f>IF($V106="","",IF(AND(ISNUMBER($G106),$G106&lt;=IF($S106=MesCiclo,InicioCiclo,$S106+MOD(2-WEEKDAY($S106),7))+13),1,IF(N($W106)&gt;0,AVERAGEIFS($Z$5:$Z$1000,$U$5:$U$1000,ROW(),$V$5:$V$1000,"Sub"),$Z106)))</f>
        <v/>
      </c>
      <c r="AE106" s="62">
        <f>IF($V106="","",IF(AND(ISNUMBER($G106),$G106&lt;=IF($S106=MesCiclo,InicioCiclo,$S106+MOD(2-WEEKDAY($S106),7))+20),1,IF(N($W106)&gt;0,AVERAGEIFS($AA$5:$AA$1000,$U$5:$U$1000,ROW(),$V$5:$V$1000,"Sub"),$AA106)))</f>
        <v/>
      </c>
      <c r="AF106" s="62">
        <f>IF($V106="","",IF(AND(ISNUMBER($G106),$G106&lt;=IF($S106=MesCiclo,InicioCiclo,$S106+MOD(2-WEEKDAY($S106),7))+27),1,IF(N($W106)&gt;0,AVERAGEIFS($AB$5:$AB$1000,$U$5:$U$1000,ROW(),$V$5:$V$1000,"Sub"),$AB106)))</f>
        <v/>
      </c>
      <c r="AG106" s="62">
        <f>IF($V106&lt;&gt;"Macro","",IF(COUNTIFS($S$5:$S$1000,$S106,$V$5:$V$1000,"Macro",$H$5:$H$1000,"&gt;0")=0,1/COUNTIFS($S$5:$S$1000,$S106,$V$5:$V$1000,"Macro"),IF(AND(ISNUMBER($H106),N($H106)&gt;0),$H106,SUMIFS($H$5:$H$1000,$S$5:$S$1000,$S106,$V$5:$V$1000,"Macro")/COUNTIFS($S$5:$S$1000,$S106,$V$5:$V$1000,"Macro",$H$5:$H$1000,"&gt;0"))/(COUNTIFS($S$5:$S$1000,$S106,$V$5:$V$1000,"Macro")*SUMIFS($H$5:$H$1000,$S$5:$S$1000,$S106,$V$5:$V$1000,"Macro")/COUNTIFS($S$5:$S$1000,$S106,$V$5:$V$1000,"Macro",$H$5:$H$1000,"&gt;0"))))</f>
        <v/>
      </c>
      <c r="AH106" s="62" t="n"/>
      <c r="AI106" s="62" t="n"/>
      <c r="AJ106" s="62" t="n"/>
      <c r="AK106" s="62" t="n"/>
      <c r="AL106" s="62">
        <f>IF(LEFT($C106,11)="[Jefatura] ",IFERROR(MATCH("Asistente Técnico de Riesgo|"&amp;MID($C106,12,500),rDname_ADM,0),0),"")</f>
        <v/>
      </c>
      <c r="AM106" s="62">
        <f>IF(N($AL106)&gt;0,INDEX(rIni_ADM,$AL106),IF(ISNUMBER($E106),$E106,""))</f>
        <v/>
      </c>
      <c r="AN106" s="62">
        <f>IF(N($AL106)&gt;0,INDEX(rLim_ADM,$AL106),IF(ISNUMBER($F106),$F106,""))</f>
        <v/>
      </c>
    </row>
    <row r="107">
      <c r="A107" s="56">
        <f>IF(NOT((COUNTA($B107:$D107)+COUNTA($G107:$L107)+COUNTA($Q107))&gt;0),"",IF($V107="Macro",COUNTIFS($V$5:$V107,"Macro",$S$5:$S107,$S107),IF(N($U107)=0,"?",COUNTIFS(INDEX($V$5:$V$1000,1):INDEX($V$5:$V$1000,$U107-4),"Macro",INDEX($S$5:$S$1000,1):INDEX($S$5:$S$1000,$U107-4),INDEX($S$5:$S$1000,$U107-4))&amp;"."&amp;COUNTIFS($U$5:$U107,$U107,$V$5:$V107,"Sub"))))</f>
        <v/>
      </c>
      <c r="B107" s="57" t="n"/>
      <c r="C107" s="58" t="n"/>
      <c r="D107" s="58" t="n"/>
      <c r="E107" s="59">
        <f>IF(N($AL107)&gt;0,INDEX(rIni_ADM,$AL107),"")</f>
        <v/>
      </c>
      <c r="F107" s="59">
        <f>IF(N($AL107)&gt;0,INDEX(rLim_ADM,$AL107),"")</f>
        <v/>
      </c>
      <c r="G107" s="59" t="n"/>
      <c r="H107" s="60" t="n"/>
      <c r="I107" s="60" t="n"/>
      <c r="J107" s="60" t="n"/>
      <c r="K107" s="60" t="n"/>
      <c r="L107" s="60" t="n"/>
      <c r="M107" s="61">
        <f>IF(NOT((COUNTA($B107:$D107)+COUNTA($G107:$L107)+COUNTA($Q107))&gt;0),"",IF(ISNUMBER($G107),1,IF(N($W107)&gt;0,AVERAGEIFS($X$5:$X$1000,$U$5:$U$1000,ROW(),$V$5:$V$1000,"Sub"),$X107)))</f>
        <v/>
      </c>
      <c r="N107" s="56">
        <f>IF($M107="","",IF($M107&gt;=1,"Completado",IF($M107&gt;0,"En curso","Pendiente")))</f>
        <v/>
      </c>
      <c r="O107" s="56">
        <f>IF(NOT((COUNTA($B107:$D107)+COUNTA($G107:$L107)+COUNTA($Q107))&gt;0),"",IF(ISNUMBER($G107),IF(AND(ISNUMBER($AN107),$G107&gt;$AN107),"Cumplida con "&amp;($G107-$AN107)&amp;IF($G107-$AN107=1," día"," días")&amp;" de retraso","Cumplida"),IF(N($M107)&gt;=1,"Cumplida",IF(NOT(ISNUMBER($AN107)),"Sin fecha límite",IF($AN107&lt;FechaRef,"Vencida hace "&amp;(FechaRef-$AN107)&amp;IF(FechaRef-$AN107=1," día"," días"),IF($AN107=FechaRef,"Vence hoy",IF($AN107-FechaRef&lt;=DiasAlerta,"Vence en "&amp;($AN107-FechaRef)&amp;IF($AN107-FechaRef=1," día"," días"),"En plazo")))))))</f>
        <v/>
      </c>
      <c r="P107" s="62" t="n"/>
      <c r="Q107" s="58" t="n"/>
      <c r="R107" s="63">
        <f>IF(NOT((COUNTA($B107:$D107)+COUNTA($G107:$L107)+COUNTA($Q107))&gt;0),"",IF((IF($C107="","Falta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",""))="","✔ OK","⚠ "&amp;LEFT(IF($C107="","Falta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",""),LEN(IF($C107="","Falta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",""))-3)))</f>
        <v/>
      </c>
      <c r="S107" s="64">
        <f>IF(NOT((COUNTA($B107:$D107)+COUNTA($G107:$L107)+COUNTA($Q107))&gt;0),"",IF(AND($V107="Sub",N($U107)&gt;0),IF(ISNUMBER(INDEX($AM$5:$AM$1000,$U107-4)),DATE(YEAR(INDEX($AM$5:$AM$1000,$U107-4)),MONTH(INDEX($AM$5:$AM$1000,$U107-4)),1),IF(ISNUMBER(INDEX($AN$5:$AN$1000,$U107-4)),DATE(YEAR(INDEX($AN$5:$AN$1000,$U107-4)),MONTH(INDEX($AN$5:$AN$1000,$U107-4)),1),MesCiclo)),IF(ISNUMBER($AM107),DATE(YEAR($AM107),MONTH($AM107),1),IF(ISNUMBER($AN107),DATE(YEAR($AN107),MONTH($AN107),1),MesCiclo))))</f>
        <v/>
      </c>
      <c r="T107" s="62">
        <f>IF(OR($S107="",$S107&lt;&gt;MesCiclo),"",COUNTIF($S$5:$S107,MesCiclo))</f>
        <v/>
      </c>
      <c r="U107" s="62">
        <f>IF($V107="","",IF($V107="Macro",ROW(),IFERROR(LOOKUP(2,1/($V$5:$V107="Macro"),ROW($V$5:$V107)),0)))</f>
        <v/>
      </c>
      <c r="V107" s="62">
        <f>IF(NOT((COUNTA($B107:$D107)+COUNTA($G107:$L107)+COUNTA($Q107))&gt;0),"",IF($B107="Subactividad","Sub","Macro"))</f>
        <v/>
      </c>
      <c r="W107" s="62">
        <f>IF($V107="Macro",COUNTIFS($U$5:$U$1000,ROW(),$V$5:$V$1000,"Sub"),"")</f>
        <v/>
      </c>
      <c r="X107" s="62">
        <f>IF($V107="","",IF(ISNUMBER($G107),1,IFERROR(LOOKUP(2,1/($I107:$L107&lt;&gt;""),$I107:$L107),0)))</f>
        <v/>
      </c>
      <c r="Y107" s="62">
        <f>IF($V107="","",IF(AND(ISNUMBER($G107),$G107&lt;=IF($S107=MesCiclo,InicioCiclo,$S107+MOD(2-WEEKDAY($S107),7))+6),1,IF(ISNUMBER($I107),$I107,0)))</f>
        <v/>
      </c>
      <c r="Z107" s="62">
        <f>IF($V107="","",IF(AND(ISNUMBER($G107),$G107&lt;=IF($S107=MesCiclo,InicioCiclo,$S107+MOD(2-WEEKDAY($S107),7))+13),1,IF(ISNUMBER($J107),$J107,$Y107)))</f>
        <v/>
      </c>
      <c r="AA107" s="62">
        <f>IF($V107="","",IF(AND(ISNUMBER($G107),$G107&lt;=IF($S107=MesCiclo,InicioCiclo,$S107+MOD(2-WEEKDAY($S107),7))+20),1,IF(ISNUMBER($K107),$K107,$Z107)))</f>
        <v/>
      </c>
      <c r="AB107" s="62">
        <f>IF($V107="","",IF(AND(ISNUMBER($G107),$G107&lt;=IF($S107=MesCiclo,InicioCiclo,$S107+MOD(2-WEEKDAY($S107),7))+27),1,IF(ISNUMBER($L107),$L107,$AA107)))</f>
        <v/>
      </c>
      <c r="AC107" s="62">
        <f>IF($V107="","",IF(AND(ISNUMBER($G107),$G107&lt;=IF($S107=MesCiclo,InicioCiclo,$S107+MOD(2-WEEKDAY($S107),7))+6),1,IF(N($W107)&gt;0,AVERAGEIFS($Y$5:$Y$1000,$U$5:$U$1000,ROW(),$V$5:$V$1000,"Sub"),$Y107)))</f>
        <v/>
      </c>
      <c r="AD107" s="62">
        <f>IF($V107="","",IF(AND(ISNUMBER($G107),$G107&lt;=IF($S107=MesCiclo,InicioCiclo,$S107+MOD(2-WEEKDAY($S107),7))+13),1,IF(N($W107)&gt;0,AVERAGEIFS($Z$5:$Z$1000,$U$5:$U$1000,ROW(),$V$5:$V$1000,"Sub"),$Z107)))</f>
        <v/>
      </c>
      <c r="AE107" s="62">
        <f>IF($V107="","",IF(AND(ISNUMBER($G107),$G107&lt;=IF($S107=MesCiclo,InicioCiclo,$S107+MOD(2-WEEKDAY($S107),7))+20),1,IF(N($W107)&gt;0,AVERAGEIFS($AA$5:$AA$1000,$U$5:$U$1000,ROW(),$V$5:$V$1000,"Sub"),$AA107)))</f>
        <v/>
      </c>
      <c r="AF107" s="62">
        <f>IF($V107="","",IF(AND(ISNUMBER($G107),$G107&lt;=IF($S107=MesCiclo,InicioCiclo,$S107+MOD(2-WEEKDAY($S107),7))+27),1,IF(N($W107)&gt;0,AVERAGEIFS($AB$5:$AB$1000,$U$5:$U$1000,ROW(),$V$5:$V$1000,"Sub"),$AB107)))</f>
        <v/>
      </c>
      <c r="AG107" s="62">
        <f>IF($V107&lt;&gt;"Macro","",IF(COUNTIFS($S$5:$S$1000,$S107,$V$5:$V$1000,"Macro",$H$5:$H$1000,"&gt;0")=0,1/COUNTIFS($S$5:$S$1000,$S107,$V$5:$V$1000,"Macro"),IF(AND(ISNUMBER($H107),N($H107)&gt;0),$H107,SUMIFS($H$5:$H$1000,$S$5:$S$1000,$S107,$V$5:$V$1000,"Macro")/COUNTIFS($S$5:$S$1000,$S107,$V$5:$V$1000,"Macro",$H$5:$H$1000,"&gt;0"))/(COUNTIFS($S$5:$S$1000,$S107,$V$5:$V$1000,"Macro")*SUMIFS($H$5:$H$1000,$S$5:$S$1000,$S107,$V$5:$V$1000,"Macro")/COUNTIFS($S$5:$S$1000,$S107,$V$5:$V$1000,"Macro",$H$5:$H$1000,"&gt;0"))))</f>
        <v/>
      </c>
      <c r="AH107" s="62" t="n"/>
      <c r="AI107" s="62" t="n"/>
      <c r="AJ107" s="62" t="n"/>
      <c r="AK107" s="62" t="n"/>
      <c r="AL107" s="62">
        <f>IF(LEFT($C107,11)="[Jefatura] ",IFERROR(MATCH("Asistente Técnico de Riesgo|"&amp;MID($C107,12,500),rDname_ADM,0),0),"")</f>
        <v/>
      </c>
      <c r="AM107" s="62">
        <f>IF(N($AL107)&gt;0,INDEX(rIni_ADM,$AL107),IF(ISNUMBER($E107),$E107,""))</f>
        <v/>
      </c>
      <c r="AN107" s="62">
        <f>IF(N($AL107)&gt;0,INDEX(rLim_ADM,$AL107),IF(ISNUMBER($F107),$F107,""))</f>
        <v/>
      </c>
    </row>
    <row r="108">
      <c r="A108" s="56">
        <f>IF(NOT((COUNTA($B108:$D108)+COUNTA($G108:$L108)+COUNTA($Q108))&gt;0),"",IF($V108="Macro",COUNTIFS($V$5:$V108,"Macro",$S$5:$S108,$S108),IF(N($U108)=0,"?",COUNTIFS(INDEX($V$5:$V$1000,1):INDEX($V$5:$V$1000,$U108-4),"Macro",INDEX($S$5:$S$1000,1):INDEX($S$5:$S$1000,$U108-4),INDEX($S$5:$S$1000,$U108-4))&amp;"."&amp;COUNTIFS($U$5:$U108,$U108,$V$5:$V108,"Sub"))))</f>
        <v/>
      </c>
      <c r="B108" s="57" t="n"/>
      <c r="C108" s="58" t="n"/>
      <c r="D108" s="58" t="n"/>
      <c r="E108" s="59">
        <f>IF(N($AL108)&gt;0,INDEX(rIni_ADM,$AL108),"")</f>
        <v/>
      </c>
      <c r="F108" s="59">
        <f>IF(N($AL108)&gt;0,INDEX(rLim_ADM,$AL108),"")</f>
        <v/>
      </c>
      <c r="G108" s="59" t="n"/>
      <c r="H108" s="60" t="n"/>
      <c r="I108" s="60" t="n"/>
      <c r="J108" s="60" t="n"/>
      <c r="K108" s="60" t="n"/>
      <c r="L108" s="60" t="n"/>
      <c r="M108" s="61">
        <f>IF(NOT((COUNTA($B108:$D108)+COUNTA($G108:$L108)+COUNTA($Q108))&gt;0),"",IF(ISNUMBER($G108),1,IF(N($W108)&gt;0,AVERAGEIFS($X$5:$X$1000,$U$5:$U$1000,ROW(),$V$5:$V$1000,"Sub"),$X108)))</f>
        <v/>
      </c>
      <c r="N108" s="56">
        <f>IF($M108="","",IF($M108&gt;=1,"Completado",IF($M108&gt;0,"En curso","Pendiente")))</f>
        <v/>
      </c>
      <c r="O108" s="56">
        <f>IF(NOT((COUNTA($B108:$D108)+COUNTA($G108:$L108)+COUNTA($Q108))&gt;0),"",IF(ISNUMBER($G108),IF(AND(ISNUMBER($AN108),$G108&gt;$AN108),"Cumplida con "&amp;($G108-$AN108)&amp;IF($G108-$AN108=1," día"," días")&amp;" de retraso","Cumplida"),IF(N($M108)&gt;=1,"Cumplida",IF(NOT(ISNUMBER($AN108)),"Sin fecha límite",IF($AN108&lt;FechaRef,"Vencida hace "&amp;(FechaRef-$AN108)&amp;IF(FechaRef-$AN108=1," día"," días"),IF($AN108=FechaRef,"Vence hoy",IF($AN108-FechaRef&lt;=DiasAlerta,"Vence en "&amp;($AN108-FechaRef)&amp;IF($AN108-FechaRef=1," día"," días"),"En plazo")))))))</f>
        <v/>
      </c>
      <c r="P108" s="62" t="n"/>
      <c r="Q108" s="58" t="n"/>
      <c r="R108" s="63">
        <f>IF(NOT((COUNTA($B108:$D108)+COUNTA($G108:$L108)+COUNTA($Q108))&gt;0),"",IF((IF($C108="","Falta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",""))="","✔ OK","⚠ "&amp;LEFT(IF($C108="","Falta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",""),LEN(IF($C108="","Falta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",""))-3)))</f>
        <v/>
      </c>
      <c r="S108" s="64">
        <f>IF(NOT((COUNTA($B108:$D108)+COUNTA($G108:$L108)+COUNTA($Q108))&gt;0),"",IF(AND($V108="Sub",N($U108)&gt;0),IF(ISNUMBER(INDEX($AM$5:$AM$1000,$U108-4)),DATE(YEAR(INDEX($AM$5:$AM$1000,$U108-4)),MONTH(INDEX($AM$5:$AM$1000,$U108-4)),1),IF(ISNUMBER(INDEX($AN$5:$AN$1000,$U108-4)),DATE(YEAR(INDEX($AN$5:$AN$1000,$U108-4)),MONTH(INDEX($AN$5:$AN$1000,$U108-4)),1),MesCiclo)),IF(ISNUMBER($AM108),DATE(YEAR($AM108),MONTH($AM108),1),IF(ISNUMBER($AN108),DATE(YEAR($AN108),MONTH($AN108),1),MesCiclo))))</f>
        <v/>
      </c>
      <c r="T108" s="62">
        <f>IF(OR($S108="",$S108&lt;&gt;MesCiclo),"",COUNTIF($S$5:$S108,MesCiclo))</f>
        <v/>
      </c>
      <c r="U108" s="62">
        <f>IF($V108="","",IF($V108="Macro",ROW(),IFERROR(LOOKUP(2,1/($V$5:$V108="Macro"),ROW($V$5:$V108)),0)))</f>
        <v/>
      </c>
      <c r="V108" s="62">
        <f>IF(NOT((COUNTA($B108:$D108)+COUNTA($G108:$L108)+COUNTA($Q108))&gt;0),"",IF($B108="Subactividad","Sub","Macro"))</f>
        <v/>
      </c>
      <c r="W108" s="62">
        <f>IF($V108="Macro",COUNTIFS($U$5:$U$1000,ROW(),$V$5:$V$1000,"Sub"),"")</f>
        <v/>
      </c>
      <c r="X108" s="62">
        <f>IF($V108="","",IF(ISNUMBER($G108),1,IFERROR(LOOKUP(2,1/($I108:$L108&lt;&gt;""),$I108:$L108),0)))</f>
        <v/>
      </c>
      <c r="Y108" s="62">
        <f>IF($V108="","",IF(AND(ISNUMBER($G108),$G108&lt;=IF($S108=MesCiclo,InicioCiclo,$S108+MOD(2-WEEKDAY($S108),7))+6),1,IF(ISNUMBER($I108),$I108,0)))</f>
        <v/>
      </c>
      <c r="Z108" s="62">
        <f>IF($V108="","",IF(AND(ISNUMBER($G108),$G108&lt;=IF($S108=MesCiclo,InicioCiclo,$S108+MOD(2-WEEKDAY($S108),7))+13),1,IF(ISNUMBER($J108),$J108,$Y108)))</f>
        <v/>
      </c>
      <c r="AA108" s="62">
        <f>IF($V108="","",IF(AND(ISNUMBER($G108),$G108&lt;=IF($S108=MesCiclo,InicioCiclo,$S108+MOD(2-WEEKDAY($S108),7))+20),1,IF(ISNUMBER($K108),$K108,$Z108)))</f>
        <v/>
      </c>
      <c r="AB108" s="62">
        <f>IF($V108="","",IF(AND(ISNUMBER($G108),$G108&lt;=IF($S108=MesCiclo,InicioCiclo,$S108+MOD(2-WEEKDAY($S108),7))+27),1,IF(ISNUMBER($L108),$L108,$AA108)))</f>
        <v/>
      </c>
      <c r="AC108" s="62">
        <f>IF($V108="","",IF(AND(ISNUMBER($G108),$G108&lt;=IF($S108=MesCiclo,InicioCiclo,$S108+MOD(2-WEEKDAY($S108),7))+6),1,IF(N($W108)&gt;0,AVERAGEIFS($Y$5:$Y$1000,$U$5:$U$1000,ROW(),$V$5:$V$1000,"Sub"),$Y108)))</f>
        <v/>
      </c>
      <c r="AD108" s="62">
        <f>IF($V108="","",IF(AND(ISNUMBER($G108),$G108&lt;=IF($S108=MesCiclo,InicioCiclo,$S108+MOD(2-WEEKDAY($S108),7))+13),1,IF(N($W108)&gt;0,AVERAGEIFS($Z$5:$Z$1000,$U$5:$U$1000,ROW(),$V$5:$V$1000,"Sub"),$Z108)))</f>
        <v/>
      </c>
      <c r="AE108" s="62">
        <f>IF($V108="","",IF(AND(ISNUMBER($G108),$G108&lt;=IF($S108=MesCiclo,InicioCiclo,$S108+MOD(2-WEEKDAY($S108),7))+20),1,IF(N($W108)&gt;0,AVERAGEIFS($AA$5:$AA$1000,$U$5:$U$1000,ROW(),$V$5:$V$1000,"Sub"),$AA108)))</f>
        <v/>
      </c>
      <c r="AF108" s="62">
        <f>IF($V108="","",IF(AND(ISNUMBER($G108),$G108&lt;=IF($S108=MesCiclo,InicioCiclo,$S108+MOD(2-WEEKDAY($S108),7))+27),1,IF(N($W108)&gt;0,AVERAGEIFS($AB$5:$AB$1000,$U$5:$U$1000,ROW(),$V$5:$V$1000,"Sub"),$AB108)))</f>
        <v/>
      </c>
      <c r="AG108" s="62">
        <f>IF($V108&lt;&gt;"Macro","",IF(COUNTIFS($S$5:$S$1000,$S108,$V$5:$V$1000,"Macro",$H$5:$H$1000,"&gt;0")=0,1/COUNTIFS($S$5:$S$1000,$S108,$V$5:$V$1000,"Macro"),IF(AND(ISNUMBER($H108),N($H108)&gt;0),$H108,SUMIFS($H$5:$H$1000,$S$5:$S$1000,$S108,$V$5:$V$1000,"Macro")/COUNTIFS($S$5:$S$1000,$S108,$V$5:$V$1000,"Macro",$H$5:$H$1000,"&gt;0"))/(COUNTIFS($S$5:$S$1000,$S108,$V$5:$V$1000,"Macro")*SUMIFS($H$5:$H$1000,$S$5:$S$1000,$S108,$V$5:$V$1000,"Macro")/COUNTIFS($S$5:$S$1000,$S108,$V$5:$V$1000,"Macro",$H$5:$H$1000,"&gt;0"))))</f>
        <v/>
      </c>
      <c r="AH108" s="62" t="n"/>
      <c r="AI108" s="62" t="n"/>
      <c r="AJ108" s="62" t="n"/>
      <c r="AK108" s="62" t="n"/>
      <c r="AL108" s="62">
        <f>IF(LEFT($C108,11)="[Jefatura] ",IFERROR(MATCH("Asistente Técnico de Riesgo|"&amp;MID($C108,12,500),rDname_ADM,0),0),"")</f>
        <v/>
      </c>
      <c r="AM108" s="62">
        <f>IF(N($AL108)&gt;0,INDEX(rIni_ADM,$AL108),IF(ISNUMBER($E108),$E108,""))</f>
        <v/>
      </c>
      <c r="AN108" s="62">
        <f>IF(N($AL108)&gt;0,INDEX(rLim_ADM,$AL108),IF(ISNUMBER($F108),$F108,""))</f>
        <v/>
      </c>
    </row>
    <row r="109">
      <c r="A109" s="56">
        <f>IF(NOT((COUNTA($B109:$D109)+COUNTA($G109:$L109)+COUNTA($Q109))&gt;0),"",IF($V109="Macro",COUNTIFS($V$5:$V109,"Macro",$S$5:$S109,$S109),IF(N($U109)=0,"?",COUNTIFS(INDEX($V$5:$V$1000,1):INDEX($V$5:$V$1000,$U109-4),"Macro",INDEX($S$5:$S$1000,1):INDEX($S$5:$S$1000,$U109-4),INDEX($S$5:$S$1000,$U109-4))&amp;"."&amp;COUNTIFS($U$5:$U109,$U109,$V$5:$V109,"Sub"))))</f>
        <v/>
      </c>
      <c r="B109" s="57" t="n"/>
      <c r="C109" s="58" t="n"/>
      <c r="D109" s="58" t="n"/>
      <c r="E109" s="59">
        <f>IF(N($AL109)&gt;0,INDEX(rIni_ADM,$AL109),"")</f>
        <v/>
      </c>
      <c r="F109" s="59">
        <f>IF(N($AL109)&gt;0,INDEX(rLim_ADM,$AL109),"")</f>
        <v/>
      </c>
      <c r="G109" s="59" t="n"/>
      <c r="H109" s="60" t="n"/>
      <c r="I109" s="60" t="n"/>
      <c r="J109" s="60" t="n"/>
      <c r="K109" s="60" t="n"/>
      <c r="L109" s="60" t="n"/>
      <c r="M109" s="61">
        <f>IF(NOT((COUNTA($B109:$D109)+COUNTA($G109:$L109)+COUNTA($Q109))&gt;0),"",IF(ISNUMBER($G109),1,IF(N($W109)&gt;0,AVERAGEIFS($X$5:$X$1000,$U$5:$U$1000,ROW(),$V$5:$V$1000,"Sub"),$X109)))</f>
        <v/>
      </c>
      <c r="N109" s="56">
        <f>IF($M109="","",IF($M109&gt;=1,"Completado",IF($M109&gt;0,"En curso","Pendiente")))</f>
        <v/>
      </c>
      <c r="O109" s="56">
        <f>IF(NOT((COUNTA($B109:$D109)+COUNTA($G109:$L109)+COUNTA($Q109))&gt;0),"",IF(ISNUMBER($G109),IF(AND(ISNUMBER($AN109),$G109&gt;$AN109),"Cumplida con "&amp;($G109-$AN109)&amp;IF($G109-$AN109=1," día"," días")&amp;" de retraso","Cumplida"),IF(N($M109)&gt;=1,"Cumplida",IF(NOT(ISNUMBER($AN109)),"Sin fecha límite",IF($AN109&lt;FechaRef,"Vencida hace "&amp;(FechaRef-$AN109)&amp;IF(FechaRef-$AN109=1," día"," días"),IF($AN109=FechaRef,"Vence hoy",IF($AN109-FechaRef&lt;=DiasAlerta,"Vence en "&amp;($AN109-FechaRef)&amp;IF($AN109-FechaRef=1," día"," días"),"En plazo")))))))</f>
        <v/>
      </c>
      <c r="P109" s="62" t="n"/>
      <c r="Q109" s="58" t="n"/>
      <c r="R109" s="63">
        <f>IF(NOT((COUNTA($B109:$D109)+COUNTA($G109:$L109)+COUNTA($Q109))&gt;0),"",IF((IF($C109="","Falta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",""))="","✔ OK","⚠ "&amp;LEFT(IF($C109="","Falta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",""),LEN(IF($C109="","Falta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",""))-3)))</f>
        <v/>
      </c>
      <c r="S109" s="64">
        <f>IF(NOT((COUNTA($B109:$D109)+COUNTA($G109:$L109)+COUNTA($Q109))&gt;0),"",IF(AND($V109="Sub",N($U109)&gt;0),IF(ISNUMBER(INDEX($AM$5:$AM$1000,$U109-4)),DATE(YEAR(INDEX($AM$5:$AM$1000,$U109-4)),MONTH(INDEX($AM$5:$AM$1000,$U109-4)),1),IF(ISNUMBER(INDEX($AN$5:$AN$1000,$U109-4)),DATE(YEAR(INDEX($AN$5:$AN$1000,$U109-4)),MONTH(INDEX($AN$5:$AN$1000,$U109-4)),1),MesCiclo)),IF(ISNUMBER($AM109),DATE(YEAR($AM109),MONTH($AM109),1),IF(ISNUMBER($AN109),DATE(YEAR($AN109),MONTH($AN109),1),MesCiclo))))</f>
        <v/>
      </c>
      <c r="T109" s="62">
        <f>IF(OR($S109="",$S109&lt;&gt;MesCiclo),"",COUNTIF($S$5:$S109,MesCiclo))</f>
        <v/>
      </c>
      <c r="U109" s="62">
        <f>IF($V109="","",IF($V109="Macro",ROW(),IFERROR(LOOKUP(2,1/($V$5:$V109="Macro"),ROW($V$5:$V109)),0)))</f>
        <v/>
      </c>
      <c r="V109" s="62">
        <f>IF(NOT((COUNTA($B109:$D109)+COUNTA($G109:$L109)+COUNTA($Q109))&gt;0),"",IF($B109="Subactividad","Sub","Macro"))</f>
        <v/>
      </c>
      <c r="W109" s="62">
        <f>IF($V109="Macro",COUNTIFS($U$5:$U$1000,ROW(),$V$5:$V$1000,"Sub"),"")</f>
        <v/>
      </c>
      <c r="X109" s="62">
        <f>IF($V109="","",IF(ISNUMBER($G109),1,IFERROR(LOOKUP(2,1/($I109:$L109&lt;&gt;""),$I109:$L109),0)))</f>
        <v/>
      </c>
      <c r="Y109" s="62">
        <f>IF($V109="","",IF(AND(ISNUMBER($G109),$G109&lt;=IF($S109=MesCiclo,InicioCiclo,$S109+MOD(2-WEEKDAY($S109),7))+6),1,IF(ISNUMBER($I109),$I109,0)))</f>
        <v/>
      </c>
      <c r="Z109" s="62">
        <f>IF($V109="","",IF(AND(ISNUMBER($G109),$G109&lt;=IF($S109=MesCiclo,InicioCiclo,$S109+MOD(2-WEEKDAY($S109),7))+13),1,IF(ISNUMBER($J109),$J109,$Y109)))</f>
        <v/>
      </c>
      <c r="AA109" s="62">
        <f>IF($V109="","",IF(AND(ISNUMBER($G109),$G109&lt;=IF($S109=MesCiclo,InicioCiclo,$S109+MOD(2-WEEKDAY($S109),7))+20),1,IF(ISNUMBER($K109),$K109,$Z109)))</f>
        <v/>
      </c>
      <c r="AB109" s="62">
        <f>IF($V109="","",IF(AND(ISNUMBER($G109),$G109&lt;=IF($S109=MesCiclo,InicioCiclo,$S109+MOD(2-WEEKDAY($S109),7))+27),1,IF(ISNUMBER($L109),$L109,$AA109)))</f>
        <v/>
      </c>
      <c r="AC109" s="62">
        <f>IF($V109="","",IF(AND(ISNUMBER($G109),$G109&lt;=IF($S109=MesCiclo,InicioCiclo,$S109+MOD(2-WEEKDAY($S109),7))+6),1,IF(N($W109)&gt;0,AVERAGEIFS($Y$5:$Y$1000,$U$5:$U$1000,ROW(),$V$5:$V$1000,"Sub"),$Y109)))</f>
        <v/>
      </c>
      <c r="AD109" s="62">
        <f>IF($V109="","",IF(AND(ISNUMBER($G109),$G109&lt;=IF($S109=MesCiclo,InicioCiclo,$S109+MOD(2-WEEKDAY($S109),7))+13),1,IF(N($W109)&gt;0,AVERAGEIFS($Z$5:$Z$1000,$U$5:$U$1000,ROW(),$V$5:$V$1000,"Sub"),$Z109)))</f>
        <v/>
      </c>
      <c r="AE109" s="62">
        <f>IF($V109="","",IF(AND(ISNUMBER($G109),$G109&lt;=IF($S109=MesCiclo,InicioCiclo,$S109+MOD(2-WEEKDAY($S109),7))+20),1,IF(N($W109)&gt;0,AVERAGEIFS($AA$5:$AA$1000,$U$5:$U$1000,ROW(),$V$5:$V$1000,"Sub"),$AA109)))</f>
        <v/>
      </c>
      <c r="AF109" s="62">
        <f>IF($V109="","",IF(AND(ISNUMBER($G109),$G109&lt;=IF($S109=MesCiclo,InicioCiclo,$S109+MOD(2-WEEKDAY($S109),7))+27),1,IF(N($W109)&gt;0,AVERAGEIFS($AB$5:$AB$1000,$U$5:$U$1000,ROW(),$V$5:$V$1000,"Sub"),$AB109)))</f>
        <v/>
      </c>
      <c r="AG109" s="62">
        <f>IF($V109&lt;&gt;"Macro","",IF(COUNTIFS($S$5:$S$1000,$S109,$V$5:$V$1000,"Macro",$H$5:$H$1000,"&gt;0")=0,1/COUNTIFS($S$5:$S$1000,$S109,$V$5:$V$1000,"Macro"),IF(AND(ISNUMBER($H109),N($H109)&gt;0),$H109,SUMIFS($H$5:$H$1000,$S$5:$S$1000,$S109,$V$5:$V$1000,"Macro")/COUNTIFS($S$5:$S$1000,$S109,$V$5:$V$1000,"Macro",$H$5:$H$1000,"&gt;0"))/(COUNTIFS($S$5:$S$1000,$S109,$V$5:$V$1000,"Macro")*SUMIFS($H$5:$H$1000,$S$5:$S$1000,$S109,$V$5:$V$1000,"Macro")/COUNTIFS($S$5:$S$1000,$S109,$V$5:$V$1000,"Macro",$H$5:$H$1000,"&gt;0"))))</f>
        <v/>
      </c>
      <c r="AH109" s="62" t="n"/>
      <c r="AI109" s="62" t="n"/>
      <c r="AJ109" s="62" t="n"/>
      <c r="AK109" s="62" t="n"/>
      <c r="AL109" s="62">
        <f>IF(LEFT($C109,11)="[Jefatura] ",IFERROR(MATCH("Asistente Técnico de Riesgo|"&amp;MID($C109,12,500),rDname_ADM,0),0),"")</f>
        <v/>
      </c>
      <c r="AM109" s="62">
        <f>IF(N($AL109)&gt;0,INDEX(rIni_ADM,$AL109),IF(ISNUMBER($E109),$E109,""))</f>
        <v/>
      </c>
      <c r="AN109" s="62">
        <f>IF(N($AL109)&gt;0,INDEX(rLim_ADM,$AL109),IF(ISNUMBER($F109),$F109,""))</f>
        <v/>
      </c>
    </row>
    <row r="110">
      <c r="A110" s="56">
        <f>IF(NOT((COUNTA($B110:$D110)+COUNTA($G110:$L110)+COUNTA($Q110))&gt;0),"",IF($V110="Macro",COUNTIFS($V$5:$V110,"Macro",$S$5:$S110,$S110),IF(N($U110)=0,"?",COUNTIFS(INDEX($V$5:$V$1000,1):INDEX($V$5:$V$1000,$U110-4),"Macro",INDEX($S$5:$S$1000,1):INDEX($S$5:$S$1000,$U110-4),INDEX($S$5:$S$1000,$U110-4))&amp;"."&amp;COUNTIFS($U$5:$U110,$U110,$V$5:$V110,"Sub"))))</f>
        <v/>
      </c>
      <c r="B110" s="57" t="n"/>
      <c r="C110" s="58" t="n"/>
      <c r="D110" s="58" t="n"/>
      <c r="E110" s="59">
        <f>IF(N($AL110)&gt;0,INDEX(rIni_ADM,$AL110),"")</f>
        <v/>
      </c>
      <c r="F110" s="59">
        <f>IF(N($AL110)&gt;0,INDEX(rLim_ADM,$AL110),"")</f>
        <v/>
      </c>
      <c r="G110" s="59" t="n"/>
      <c r="H110" s="60" t="n"/>
      <c r="I110" s="60" t="n"/>
      <c r="J110" s="60" t="n"/>
      <c r="K110" s="60" t="n"/>
      <c r="L110" s="60" t="n"/>
      <c r="M110" s="61">
        <f>IF(NOT((COUNTA($B110:$D110)+COUNTA($G110:$L110)+COUNTA($Q110))&gt;0),"",IF(ISNUMBER($G110),1,IF(N($W110)&gt;0,AVERAGEIFS($X$5:$X$1000,$U$5:$U$1000,ROW(),$V$5:$V$1000,"Sub"),$X110)))</f>
        <v/>
      </c>
      <c r="N110" s="56">
        <f>IF($M110="","",IF($M110&gt;=1,"Completado",IF($M110&gt;0,"En curso","Pendiente")))</f>
        <v/>
      </c>
      <c r="O110" s="56">
        <f>IF(NOT((COUNTA($B110:$D110)+COUNTA($G110:$L110)+COUNTA($Q110))&gt;0),"",IF(ISNUMBER($G110),IF(AND(ISNUMBER($AN110),$G110&gt;$AN110),"Cumplida con "&amp;($G110-$AN110)&amp;IF($G110-$AN110=1," día"," días")&amp;" de retraso","Cumplida"),IF(N($M110)&gt;=1,"Cumplida",IF(NOT(ISNUMBER($AN110)),"Sin fecha límite",IF($AN110&lt;FechaRef,"Vencida hace "&amp;(FechaRef-$AN110)&amp;IF(FechaRef-$AN110=1," día"," días"),IF($AN110=FechaRef,"Vence hoy",IF($AN110-FechaRef&lt;=DiasAlerta,"Vence en "&amp;($AN110-FechaRef)&amp;IF($AN110-FechaRef=1," día"," días"),"En plazo")))))))</f>
        <v/>
      </c>
      <c r="P110" s="62" t="n"/>
      <c r="Q110" s="58" t="n"/>
      <c r="R110" s="63">
        <f>IF(NOT((COUNTA($B110:$D110)+COUNTA($G110:$L110)+COUNTA($Q110))&gt;0),"",IF((IF($C110="","Falta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",""))="","✔ OK","⚠ "&amp;LEFT(IF($C110="","Falta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",""),LEN(IF($C110="","Falta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",""))-3)))</f>
        <v/>
      </c>
      <c r="S110" s="64">
        <f>IF(NOT((COUNTA($B110:$D110)+COUNTA($G110:$L110)+COUNTA($Q110))&gt;0),"",IF(AND($V110="Sub",N($U110)&gt;0),IF(ISNUMBER(INDEX($AM$5:$AM$1000,$U110-4)),DATE(YEAR(INDEX($AM$5:$AM$1000,$U110-4)),MONTH(INDEX($AM$5:$AM$1000,$U110-4)),1),IF(ISNUMBER(INDEX($AN$5:$AN$1000,$U110-4)),DATE(YEAR(INDEX($AN$5:$AN$1000,$U110-4)),MONTH(INDEX($AN$5:$AN$1000,$U110-4)),1),MesCiclo)),IF(ISNUMBER($AM110),DATE(YEAR($AM110),MONTH($AM110),1),IF(ISNUMBER($AN110),DATE(YEAR($AN110),MONTH($AN110),1),MesCiclo))))</f>
        <v/>
      </c>
      <c r="T110" s="62">
        <f>IF(OR($S110="",$S110&lt;&gt;MesCiclo),"",COUNTIF($S$5:$S110,MesCiclo))</f>
        <v/>
      </c>
      <c r="U110" s="62">
        <f>IF($V110="","",IF($V110="Macro",ROW(),IFERROR(LOOKUP(2,1/($V$5:$V110="Macro"),ROW($V$5:$V110)),0)))</f>
        <v/>
      </c>
      <c r="V110" s="62">
        <f>IF(NOT((COUNTA($B110:$D110)+COUNTA($G110:$L110)+COUNTA($Q110))&gt;0),"",IF($B110="Subactividad","Sub","Macro"))</f>
        <v/>
      </c>
      <c r="W110" s="62">
        <f>IF($V110="Macro",COUNTIFS($U$5:$U$1000,ROW(),$V$5:$V$1000,"Sub"),"")</f>
        <v/>
      </c>
      <c r="X110" s="62">
        <f>IF($V110="","",IF(ISNUMBER($G110),1,IFERROR(LOOKUP(2,1/($I110:$L110&lt;&gt;""),$I110:$L110),0)))</f>
        <v/>
      </c>
      <c r="Y110" s="62">
        <f>IF($V110="","",IF(AND(ISNUMBER($G110),$G110&lt;=IF($S110=MesCiclo,InicioCiclo,$S110+MOD(2-WEEKDAY($S110),7))+6),1,IF(ISNUMBER($I110),$I110,0)))</f>
        <v/>
      </c>
      <c r="Z110" s="62">
        <f>IF($V110="","",IF(AND(ISNUMBER($G110),$G110&lt;=IF($S110=MesCiclo,InicioCiclo,$S110+MOD(2-WEEKDAY($S110),7))+13),1,IF(ISNUMBER($J110),$J110,$Y110)))</f>
        <v/>
      </c>
      <c r="AA110" s="62">
        <f>IF($V110="","",IF(AND(ISNUMBER($G110),$G110&lt;=IF($S110=MesCiclo,InicioCiclo,$S110+MOD(2-WEEKDAY($S110),7))+20),1,IF(ISNUMBER($K110),$K110,$Z110)))</f>
        <v/>
      </c>
      <c r="AB110" s="62">
        <f>IF($V110="","",IF(AND(ISNUMBER($G110),$G110&lt;=IF($S110=MesCiclo,InicioCiclo,$S110+MOD(2-WEEKDAY($S110),7))+27),1,IF(ISNUMBER($L110),$L110,$AA110)))</f>
        <v/>
      </c>
      <c r="AC110" s="62">
        <f>IF($V110="","",IF(AND(ISNUMBER($G110),$G110&lt;=IF($S110=MesCiclo,InicioCiclo,$S110+MOD(2-WEEKDAY($S110),7))+6),1,IF(N($W110)&gt;0,AVERAGEIFS($Y$5:$Y$1000,$U$5:$U$1000,ROW(),$V$5:$V$1000,"Sub"),$Y110)))</f>
        <v/>
      </c>
      <c r="AD110" s="62">
        <f>IF($V110="","",IF(AND(ISNUMBER($G110),$G110&lt;=IF($S110=MesCiclo,InicioCiclo,$S110+MOD(2-WEEKDAY($S110),7))+13),1,IF(N($W110)&gt;0,AVERAGEIFS($Z$5:$Z$1000,$U$5:$U$1000,ROW(),$V$5:$V$1000,"Sub"),$Z110)))</f>
        <v/>
      </c>
      <c r="AE110" s="62">
        <f>IF($V110="","",IF(AND(ISNUMBER($G110),$G110&lt;=IF($S110=MesCiclo,InicioCiclo,$S110+MOD(2-WEEKDAY($S110),7))+20),1,IF(N($W110)&gt;0,AVERAGEIFS($AA$5:$AA$1000,$U$5:$U$1000,ROW(),$V$5:$V$1000,"Sub"),$AA110)))</f>
        <v/>
      </c>
      <c r="AF110" s="62">
        <f>IF($V110="","",IF(AND(ISNUMBER($G110),$G110&lt;=IF($S110=MesCiclo,InicioCiclo,$S110+MOD(2-WEEKDAY($S110),7))+27),1,IF(N($W110)&gt;0,AVERAGEIFS($AB$5:$AB$1000,$U$5:$U$1000,ROW(),$V$5:$V$1000,"Sub"),$AB110)))</f>
        <v/>
      </c>
      <c r="AG110" s="62">
        <f>IF($V110&lt;&gt;"Macro","",IF(COUNTIFS($S$5:$S$1000,$S110,$V$5:$V$1000,"Macro",$H$5:$H$1000,"&gt;0")=0,1/COUNTIFS($S$5:$S$1000,$S110,$V$5:$V$1000,"Macro"),IF(AND(ISNUMBER($H110),N($H110)&gt;0),$H110,SUMIFS($H$5:$H$1000,$S$5:$S$1000,$S110,$V$5:$V$1000,"Macro")/COUNTIFS($S$5:$S$1000,$S110,$V$5:$V$1000,"Macro",$H$5:$H$1000,"&gt;0"))/(COUNTIFS($S$5:$S$1000,$S110,$V$5:$V$1000,"Macro")*SUMIFS($H$5:$H$1000,$S$5:$S$1000,$S110,$V$5:$V$1000,"Macro")/COUNTIFS($S$5:$S$1000,$S110,$V$5:$V$1000,"Macro",$H$5:$H$1000,"&gt;0"))))</f>
        <v/>
      </c>
      <c r="AH110" s="62" t="n"/>
      <c r="AI110" s="62" t="n"/>
      <c r="AJ110" s="62" t="n"/>
      <c r="AK110" s="62" t="n"/>
      <c r="AL110" s="62">
        <f>IF(LEFT($C110,11)="[Jefatura] ",IFERROR(MATCH("Asistente Técnico de Riesgo|"&amp;MID($C110,12,500),rDname_ADM,0),0),"")</f>
        <v/>
      </c>
      <c r="AM110" s="62">
        <f>IF(N($AL110)&gt;0,INDEX(rIni_ADM,$AL110),IF(ISNUMBER($E110),$E110,""))</f>
        <v/>
      </c>
      <c r="AN110" s="62">
        <f>IF(N($AL110)&gt;0,INDEX(rLim_ADM,$AL110),IF(ISNUMBER($F110),$F110,""))</f>
        <v/>
      </c>
    </row>
    <row r="111">
      <c r="A111" s="56">
        <f>IF(NOT((COUNTA($B111:$D111)+COUNTA($G111:$L111)+COUNTA($Q111))&gt;0),"",IF($V111="Macro",COUNTIFS($V$5:$V111,"Macro",$S$5:$S111,$S111),IF(N($U111)=0,"?",COUNTIFS(INDEX($V$5:$V$1000,1):INDEX($V$5:$V$1000,$U111-4),"Macro",INDEX($S$5:$S$1000,1):INDEX($S$5:$S$1000,$U111-4),INDEX($S$5:$S$1000,$U111-4))&amp;"."&amp;COUNTIFS($U$5:$U111,$U111,$V$5:$V111,"Sub"))))</f>
        <v/>
      </c>
      <c r="B111" s="57" t="n"/>
      <c r="C111" s="58" t="n"/>
      <c r="D111" s="58" t="n"/>
      <c r="E111" s="59">
        <f>IF(N($AL111)&gt;0,INDEX(rIni_ADM,$AL111),"")</f>
        <v/>
      </c>
      <c r="F111" s="59">
        <f>IF(N($AL111)&gt;0,INDEX(rLim_ADM,$AL111),"")</f>
        <v/>
      </c>
      <c r="G111" s="59" t="n"/>
      <c r="H111" s="60" t="n"/>
      <c r="I111" s="60" t="n"/>
      <c r="J111" s="60" t="n"/>
      <c r="K111" s="60" t="n"/>
      <c r="L111" s="60" t="n"/>
      <c r="M111" s="61">
        <f>IF(NOT((COUNTA($B111:$D111)+COUNTA($G111:$L111)+COUNTA($Q111))&gt;0),"",IF(ISNUMBER($G111),1,IF(N($W111)&gt;0,AVERAGEIFS($X$5:$X$1000,$U$5:$U$1000,ROW(),$V$5:$V$1000,"Sub"),$X111)))</f>
        <v/>
      </c>
      <c r="N111" s="56">
        <f>IF($M111="","",IF($M111&gt;=1,"Completado",IF($M111&gt;0,"En curso","Pendiente")))</f>
        <v/>
      </c>
      <c r="O111" s="56">
        <f>IF(NOT((COUNTA($B111:$D111)+COUNTA($G111:$L111)+COUNTA($Q111))&gt;0),"",IF(ISNUMBER($G111),IF(AND(ISNUMBER($AN111),$G111&gt;$AN111),"Cumplida con "&amp;($G111-$AN111)&amp;IF($G111-$AN111=1," día"," días")&amp;" de retraso","Cumplida"),IF(N($M111)&gt;=1,"Cumplida",IF(NOT(ISNUMBER($AN111)),"Sin fecha límite",IF($AN111&lt;FechaRef,"Vencida hace "&amp;(FechaRef-$AN111)&amp;IF(FechaRef-$AN111=1," día"," días"),IF($AN111=FechaRef,"Vence hoy",IF($AN111-FechaRef&lt;=DiasAlerta,"Vence en "&amp;($AN111-FechaRef)&amp;IF($AN111-FechaRef=1," día"," días"),"En plazo")))))))</f>
        <v/>
      </c>
      <c r="P111" s="62" t="n"/>
      <c r="Q111" s="58" t="n"/>
      <c r="R111" s="63">
        <f>IF(NOT((COUNTA($B111:$D111)+COUNTA($G111:$L111)+COUNTA($Q111))&gt;0),"",IF((IF($C111="","Falta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",""))="","✔ OK","⚠ "&amp;LEFT(IF($C111="","Falta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",""),LEN(IF($C111="","Falta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",""))-3)))</f>
        <v/>
      </c>
      <c r="S111" s="64">
        <f>IF(NOT((COUNTA($B111:$D111)+COUNTA($G111:$L111)+COUNTA($Q111))&gt;0),"",IF(AND($V111="Sub",N($U111)&gt;0),IF(ISNUMBER(INDEX($AM$5:$AM$1000,$U111-4)),DATE(YEAR(INDEX($AM$5:$AM$1000,$U111-4)),MONTH(INDEX($AM$5:$AM$1000,$U111-4)),1),IF(ISNUMBER(INDEX($AN$5:$AN$1000,$U111-4)),DATE(YEAR(INDEX($AN$5:$AN$1000,$U111-4)),MONTH(INDEX($AN$5:$AN$1000,$U111-4)),1),MesCiclo)),IF(ISNUMBER($AM111),DATE(YEAR($AM111),MONTH($AM111),1),IF(ISNUMBER($AN111),DATE(YEAR($AN111),MONTH($AN111),1),MesCiclo))))</f>
        <v/>
      </c>
      <c r="T111" s="62">
        <f>IF(OR($S111="",$S111&lt;&gt;MesCiclo),"",COUNTIF($S$5:$S111,MesCiclo))</f>
        <v/>
      </c>
      <c r="U111" s="62">
        <f>IF($V111="","",IF($V111="Macro",ROW(),IFERROR(LOOKUP(2,1/($V$5:$V111="Macro"),ROW($V$5:$V111)),0)))</f>
        <v/>
      </c>
      <c r="V111" s="62">
        <f>IF(NOT((COUNTA($B111:$D111)+COUNTA($G111:$L111)+COUNTA($Q111))&gt;0),"",IF($B111="Subactividad","Sub","Macro"))</f>
        <v/>
      </c>
      <c r="W111" s="62">
        <f>IF($V111="Macro",COUNTIFS($U$5:$U$1000,ROW(),$V$5:$V$1000,"Sub"),"")</f>
        <v/>
      </c>
      <c r="X111" s="62">
        <f>IF($V111="","",IF(ISNUMBER($G111),1,IFERROR(LOOKUP(2,1/($I111:$L111&lt;&gt;""),$I111:$L111),0)))</f>
        <v/>
      </c>
      <c r="Y111" s="62">
        <f>IF($V111="","",IF(AND(ISNUMBER($G111),$G111&lt;=IF($S111=MesCiclo,InicioCiclo,$S111+MOD(2-WEEKDAY($S111),7))+6),1,IF(ISNUMBER($I111),$I111,0)))</f>
        <v/>
      </c>
      <c r="Z111" s="62">
        <f>IF($V111="","",IF(AND(ISNUMBER($G111),$G111&lt;=IF($S111=MesCiclo,InicioCiclo,$S111+MOD(2-WEEKDAY($S111),7))+13),1,IF(ISNUMBER($J111),$J111,$Y111)))</f>
        <v/>
      </c>
      <c r="AA111" s="62">
        <f>IF($V111="","",IF(AND(ISNUMBER($G111),$G111&lt;=IF($S111=MesCiclo,InicioCiclo,$S111+MOD(2-WEEKDAY($S111),7))+20),1,IF(ISNUMBER($K111),$K111,$Z111)))</f>
        <v/>
      </c>
      <c r="AB111" s="62">
        <f>IF($V111="","",IF(AND(ISNUMBER($G111),$G111&lt;=IF($S111=MesCiclo,InicioCiclo,$S111+MOD(2-WEEKDAY($S111),7))+27),1,IF(ISNUMBER($L111),$L111,$AA111)))</f>
        <v/>
      </c>
      <c r="AC111" s="62">
        <f>IF($V111="","",IF(AND(ISNUMBER($G111),$G111&lt;=IF($S111=MesCiclo,InicioCiclo,$S111+MOD(2-WEEKDAY($S111),7))+6),1,IF(N($W111)&gt;0,AVERAGEIFS($Y$5:$Y$1000,$U$5:$U$1000,ROW(),$V$5:$V$1000,"Sub"),$Y111)))</f>
        <v/>
      </c>
      <c r="AD111" s="62">
        <f>IF($V111="","",IF(AND(ISNUMBER($G111),$G111&lt;=IF($S111=MesCiclo,InicioCiclo,$S111+MOD(2-WEEKDAY($S111),7))+13),1,IF(N($W111)&gt;0,AVERAGEIFS($Z$5:$Z$1000,$U$5:$U$1000,ROW(),$V$5:$V$1000,"Sub"),$Z111)))</f>
        <v/>
      </c>
      <c r="AE111" s="62">
        <f>IF($V111="","",IF(AND(ISNUMBER($G111),$G111&lt;=IF($S111=MesCiclo,InicioCiclo,$S111+MOD(2-WEEKDAY($S111),7))+20),1,IF(N($W111)&gt;0,AVERAGEIFS($AA$5:$AA$1000,$U$5:$U$1000,ROW(),$V$5:$V$1000,"Sub"),$AA111)))</f>
        <v/>
      </c>
      <c r="AF111" s="62">
        <f>IF($V111="","",IF(AND(ISNUMBER($G111),$G111&lt;=IF($S111=MesCiclo,InicioCiclo,$S111+MOD(2-WEEKDAY($S111),7))+27),1,IF(N($W111)&gt;0,AVERAGEIFS($AB$5:$AB$1000,$U$5:$U$1000,ROW(),$V$5:$V$1000,"Sub"),$AB111)))</f>
        <v/>
      </c>
      <c r="AG111" s="62">
        <f>IF($V111&lt;&gt;"Macro","",IF(COUNTIFS($S$5:$S$1000,$S111,$V$5:$V$1000,"Macro",$H$5:$H$1000,"&gt;0")=0,1/COUNTIFS($S$5:$S$1000,$S111,$V$5:$V$1000,"Macro"),IF(AND(ISNUMBER($H111),N($H111)&gt;0),$H111,SUMIFS($H$5:$H$1000,$S$5:$S$1000,$S111,$V$5:$V$1000,"Macro")/COUNTIFS($S$5:$S$1000,$S111,$V$5:$V$1000,"Macro",$H$5:$H$1000,"&gt;0"))/(COUNTIFS($S$5:$S$1000,$S111,$V$5:$V$1000,"Macro")*SUMIFS($H$5:$H$1000,$S$5:$S$1000,$S111,$V$5:$V$1000,"Macro")/COUNTIFS($S$5:$S$1000,$S111,$V$5:$V$1000,"Macro",$H$5:$H$1000,"&gt;0"))))</f>
        <v/>
      </c>
      <c r="AH111" s="62" t="n"/>
      <c r="AI111" s="62" t="n"/>
      <c r="AJ111" s="62" t="n"/>
      <c r="AK111" s="62" t="n"/>
      <c r="AL111" s="62">
        <f>IF(LEFT($C111,11)="[Jefatura] ",IFERROR(MATCH("Asistente Técnico de Riesgo|"&amp;MID($C111,12,500),rDname_ADM,0),0),"")</f>
        <v/>
      </c>
      <c r="AM111" s="62">
        <f>IF(N($AL111)&gt;0,INDEX(rIni_ADM,$AL111),IF(ISNUMBER($E111),$E111,""))</f>
        <v/>
      </c>
      <c r="AN111" s="62">
        <f>IF(N($AL111)&gt;0,INDEX(rLim_ADM,$AL111),IF(ISNUMBER($F111),$F111,""))</f>
        <v/>
      </c>
    </row>
    <row r="112">
      <c r="A112" s="56">
        <f>IF(NOT((COUNTA($B112:$D112)+COUNTA($G112:$L112)+COUNTA($Q112))&gt;0),"",IF($V112="Macro",COUNTIFS($V$5:$V112,"Macro",$S$5:$S112,$S112),IF(N($U112)=0,"?",COUNTIFS(INDEX($V$5:$V$1000,1):INDEX($V$5:$V$1000,$U112-4),"Macro",INDEX($S$5:$S$1000,1):INDEX($S$5:$S$1000,$U112-4),INDEX($S$5:$S$1000,$U112-4))&amp;"."&amp;COUNTIFS($U$5:$U112,$U112,$V$5:$V112,"Sub"))))</f>
        <v/>
      </c>
      <c r="B112" s="57" t="n"/>
      <c r="C112" s="58" t="n"/>
      <c r="D112" s="58" t="n"/>
      <c r="E112" s="59">
        <f>IF(N($AL112)&gt;0,INDEX(rIni_ADM,$AL112),"")</f>
        <v/>
      </c>
      <c r="F112" s="59">
        <f>IF(N($AL112)&gt;0,INDEX(rLim_ADM,$AL112),"")</f>
        <v/>
      </c>
      <c r="G112" s="59" t="n"/>
      <c r="H112" s="60" t="n"/>
      <c r="I112" s="60" t="n"/>
      <c r="J112" s="60" t="n"/>
      <c r="K112" s="60" t="n"/>
      <c r="L112" s="60" t="n"/>
      <c r="M112" s="61">
        <f>IF(NOT((COUNTA($B112:$D112)+COUNTA($G112:$L112)+COUNTA($Q112))&gt;0),"",IF(ISNUMBER($G112),1,IF(N($W112)&gt;0,AVERAGEIFS($X$5:$X$1000,$U$5:$U$1000,ROW(),$V$5:$V$1000,"Sub"),$X112)))</f>
        <v/>
      </c>
      <c r="N112" s="56">
        <f>IF($M112="","",IF($M112&gt;=1,"Completado",IF($M112&gt;0,"En curso","Pendiente")))</f>
        <v/>
      </c>
      <c r="O112" s="56">
        <f>IF(NOT((COUNTA($B112:$D112)+COUNTA($G112:$L112)+COUNTA($Q112))&gt;0),"",IF(ISNUMBER($G112),IF(AND(ISNUMBER($AN112),$G112&gt;$AN112),"Cumplida con "&amp;($G112-$AN112)&amp;IF($G112-$AN112=1," día"," días")&amp;" de retraso","Cumplida"),IF(N($M112)&gt;=1,"Cumplida",IF(NOT(ISNUMBER($AN112)),"Sin fecha límite",IF($AN112&lt;FechaRef,"Vencida hace "&amp;(FechaRef-$AN112)&amp;IF(FechaRef-$AN112=1," día"," días"),IF($AN112=FechaRef,"Vence hoy",IF($AN112-FechaRef&lt;=DiasAlerta,"Vence en "&amp;($AN112-FechaRef)&amp;IF($AN112-FechaRef=1," día"," días"),"En plazo")))))))</f>
        <v/>
      </c>
      <c r="P112" s="62" t="n"/>
      <c r="Q112" s="58" t="n"/>
      <c r="R112" s="63">
        <f>IF(NOT((COUNTA($B112:$D112)+COUNTA($G112:$L112)+COUNTA($Q112))&gt;0),"",IF((IF($C112="","Falta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",""))="","✔ OK","⚠ "&amp;LEFT(IF($C112="","Falta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",""),LEN(IF($C112="","Falta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",""))-3)))</f>
        <v/>
      </c>
      <c r="S112" s="64">
        <f>IF(NOT((COUNTA($B112:$D112)+COUNTA($G112:$L112)+COUNTA($Q112))&gt;0),"",IF(AND($V112="Sub",N($U112)&gt;0),IF(ISNUMBER(INDEX($AM$5:$AM$1000,$U112-4)),DATE(YEAR(INDEX($AM$5:$AM$1000,$U112-4)),MONTH(INDEX($AM$5:$AM$1000,$U112-4)),1),IF(ISNUMBER(INDEX($AN$5:$AN$1000,$U112-4)),DATE(YEAR(INDEX($AN$5:$AN$1000,$U112-4)),MONTH(INDEX($AN$5:$AN$1000,$U112-4)),1),MesCiclo)),IF(ISNUMBER($AM112),DATE(YEAR($AM112),MONTH($AM112),1),IF(ISNUMBER($AN112),DATE(YEAR($AN112),MONTH($AN112),1),MesCiclo))))</f>
        <v/>
      </c>
      <c r="T112" s="62">
        <f>IF(OR($S112="",$S112&lt;&gt;MesCiclo),"",COUNTIF($S$5:$S112,MesCiclo))</f>
        <v/>
      </c>
      <c r="U112" s="62">
        <f>IF($V112="","",IF($V112="Macro",ROW(),IFERROR(LOOKUP(2,1/($V$5:$V112="Macro"),ROW($V$5:$V112)),0)))</f>
        <v/>
      </c>
      <c r="V112" s="62">
        <f>IF(NOT((COUNTA($B112:$D112)+COUNTA($G112:$L112)+COUNTA($Q112))&gt;0),"",IF($B112="Subactividad","Sub","Macro"))</f>
        <v/>
      </c>
      <c r="W112" s="62">
        <f>IF($V112="Macro",COUNTIFS($U$5:$U$1000,ROW(),$V$5:$V$1000,"Sub"),"")</f>
        <v/>
      </c>
      <c r="X112" s="62">
        <f>IF($V112="","",IF(ISNUMBER($G112),1,IFERROR(LOOKUP(2,1/($I112:$L112&lt;&gt;""),$I112:$L112),0)))</f>
        <v/>
      </c>
      <c r="Y112" s="62">
        <f>IF($V112="","",IF(AND(ISNUMBER($G112),$G112&lt;=IF($S112=MesCiclo,InicioCiclo,$S112+MOD(2-WEEKDAY($S112),7))+6),1,IF(ISNUMBER($I112),$I112,0)))</f>
        <v/>
      </c>
      <c r="Z112" s="62">
        <f>IF($V112="","",IF(AND(ISNUMBER($G112),$G112&lt;=IF($S112=MesCiclo,InicioCiclo,$S112+MOD(2-WEEKDAY($S112),7))+13),1,IF(ISNUMBER($J112),$J112,$Y112)))</f>
        <v/>
      </c>
      <c r="AA112" s="62">
        <f>IF($V112="","",IF(AND(ISNUMBER($G112),$G112&lt;=IF($S112=MesCiclo,InicioCiclo,$S112+MOD(2-WEEKDAY($S112),7))+20),1,IF(ISNUMBER($K112),$K112,$Z112)))</f>
        <v/>
      </c>
      <c r="AB112" s="62">
        <f>IF($V112="","",IF(AND(ISNUMBER($G112),$G112&lt;=IF($S112=MesCiclo,InicioCiclo,$S112+MOD(2-WEEKDAY($S112),7))+27),1,IF(ISNUMBER($L112),$L112,$AA112)))</f>
        <v/>
      </c>
      <c r="AC112" s="62">
        <f>IF($V112="","",IF(AND(ISNUMBER($G112),$G112&lt;=IF($S112=MesCiclo,InicioCiclo,$S112+MOD(2-WEEKDAY($S112),7))+6),1,IF(N($W112)&gt;0,AVERAGEIFS($Y$5:$Y$1000,$U$5:$U$1000,ROW(),$V$5:$V$1000,"Sub"),$Y112)))</f>
        <v/>
      </c>
      <c r="AD112" s="62">
        <f>IF($V112="","",IF(AND(ISNUMBER($G112),$G112&lt;=IF($S112=MesCiclo,InicioCiclo,$S112+MOD(2-WEEKDAY($S112),7))+13),1,IF(N($W112)&gt;0,AVERAGEIFS($Z$5:$Z$1000,$U$5:$U$1000,ROW(),$V$5:$V$1000,"Sub"),$Z112)))</f>
        <v/>
      </c>
      <c r="AE112" s="62">
        <f>IF($V112="","",IF(AND(ISNUMBER($G112),$G112&lt;=IF($S112=MesCiclo,InicioCiclo,$S112+MOD(2-WEEKDAY($S112),7))+20),1,IF(N($W112)&gt;0,AVERAGEIFS($AA$5:$AA$1000,$U$5:$U$1000,ROW(),$V$5:$V$1000,"Sub"),$AA112)))</f>
        <v/>
      </c>
      <c r="AF112" s="62">
        <f>IF($V112="","",IF(AND(ISNUMBER($G112),$G112&lt;=IF($S112=MesCiclo,InicioCiclo,$S112+MOD(2-WEEKDAY($S112),7))+27),1,IF(N($W112)&gt;0,AVERAGEIFS($AB$5:$AB$1000,$U$5:$U$1000,ROW(),$V$5:$V$1000,"Sub"),$AB112)))</f>
        <v/>
      </c>
      <c r="AG112" s="62">
        <f>IF($V112&lt;&gt;"Macro","",IF(COUNTIFS($S$5:$S$1000,$S112,$V$5:$V$1000,"Macro",$H$5:$H$1000,"&gt;0")=0,1/COUNTIFS($S$5:$S$1000,$S112,$V$5:$V$1000,"Macro"),IF(AND(ISNUMBER($H112),N($H112)&gt;0),$H112,SUMIFS($H$5:$H$1000,$S$5:$S$1000,$S112,$V$5:$V$1000,"Macro")/COUNTIFS($S$5:$S$1000,$S112,$V$5:$V$1000,"Macro",$H$5:$H$1000,"&gt;0"))/(COUNTIFS($S$5:$S$1000,$S112,$V$5:$V$1000,"Macro")*SUMIFS($H$5:$H$1000,$S$5:$S$1000,$S112,$V$5:$V$1000,"Macro")/COUNTIFS($S$5:$S$1000,$S112,$V$5:$V$1000,"Macro",$H$5:$H$1000,"&gt;0"))))</f>
        <v/>
      </c>
      <c r="AH112" s="62" t="n"/>
      <c r="AI112" s="62" t="n"/>
      <c r="AJ112" s="62" t="n"/>
      <c r="AK112" s="62" t="n"/>
      <c r="AL112" s="62">
        <f>IF(LEFT($C112,11)="[Jefatura] ",IFERROR(MATCH("Asistente Técnico de Riesgo|"&amp;MID($C112,12,500),rDname_ADM,0),0),"")</f>
        <v/>
      </c>
      <c r="AM112" s="62">
        <f>IF(N($AL112)&gt;0,INDEX(rIni_ADM,$AL112),IF(ISNUMBER($E112),$E112,""))</f>
        <v/>
      </c>
      <c r="AN112" s="62">
        <f>IF(N($AL112)&gt;0,INDEX(rLim_ADM,$AL112),IF(ISNUMBER($F112),$F112,""))</f>
        <v/>
      </c>
    </row>
    <row r="113">
      <c r="A113" s="56">
        <f>IF(NOT((COUNTA($B113:$D113)+COUNTA($G113:$L113)+COUNTA($Q113))&gt;0),"",IF($V113="Macro",COUNTIFS($V$5:$V113,"Macro",$S$5:$S113,$S113),IF(N($U113)=0,"?",COUNTIFS(INDEX($V$5:$V$1000,1):INDEX($V$5:$V$1000,$U113-4),"Macro",INDEX($S$5:$S$1000,1):INDEX($S$5:$S$1000,$U113-4),INDEX($S$5:$S$1000,$U113-4))&amp;"."&amp;COUNTIFS($U$5:$U113,$U113,$V$5:$V113,"Sub"))))</f>
        <v/>
      </c>
      <c r="B113" s="57" t="n"/>
      <c r="C113" s="58" t="n"/>
      <c r="D113" s="58" t="n"/>
      <c r="E113" s="59">
        <f>IF(N($AL113)&gt;0,INDEX(rIni_ADM,$AL113),"")</f>
        <v/>
      </c>
      <c r="F113" s="59">
        <f>IF(N($AL113)&gt;0,INDEX(rLim_ADM,$AL113),"")</f>
        <v/>
      </c>
      <c r="G113" s="59" t="n"/>
      <c r="H113" s="60" t="n"/>
      <c r="I113" s="60" t="n"/>
      <c r="J113" s="60" t="n"/>
      <c r="K113" s="60" t="n"/>
      <c r="L113" s="60" t="n"/>
      <c r="M113" s="61">
        <f>IF(NOT((COUNTA($B113:$D113)+COUNTA($G113:$L113)+COUNTA($Q113))&gt;0),"",IF(ISNUMBER($G113),1,IF(N($W113)&gt;0,AVERAGEIFS($X$5:$X$1000,$U$5:$U$1000,ROW(),$V$5:$V$1000,"Sub"),$X113)))</f>
        <v/>
      </c>
      <c r="N113" s="56">
        <f>IF($M113="","",IF($M113&gt;=1,"Completado",IF($M113&gt;0,"En curso","Pendiente")))</f>
        <v/>
      </c>
      <c r="O113" s="56">
        <f>IF(NOT((COUNTA($B113:$D113)+COUNTA($G113:$L113)+COUNTA($Q113))&gt;0),"",IF(ISNUMBER($G113),IF(AND(ISNUMBER($AN113),$G113&gt;$AN113),"Cumplida con "&amp;($G113-$AN113)&amp;IF($G113-$AN113=1," día"," días")&amp;" de retraso","Cumplida"),IF(N($M113)&gt;=1,"Cumplida",IF(NOT(ISNUMBER($AN113)),"Sin fecha límite",IF($AN113&lt;FechaRef,"Vencida hace "&amp;(FechaRef-$AN113)&amp;IF(FechaRef-$AN113=1," día"," días"),IF($AN113=FechaRef,"Vence hoy",IF($AN113-FechaRef&lt;=DiasAlerta,"Vence en "&amp;($AN113-FechaRef)&amp;IF($AN113-FechaRef=1," día"," días"),"En plazo")))))))</f>
        <v/>
      </c>
      <c r="P113" s="62" t="n"/>
      <c r="Q113" s="58" t="n"/>
      <c r="R113" s="63">
        <f>IF(NOT((COUNTA($B113:$D113)+COUNTA($G113:$L113)+COUNTA($Q113))&gt;0),"",IF((IF($C113="","Falta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",""))="","✔ OK","⚠ "&amp;LEFT(IF($C113="","Falta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",""),LEN(IF($C113="","Falta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",""))-3)))</f>
        <v/>
      </c>
      <c r="S113" s="64">
        <f>IF(NOT((COUNTA($B113:$D113)+COUNTA($G113:$L113)+COUNTA($Q113))&gt;0),"",IF(AND($V113="Sub",N($U113)&gt;0),IF(ISNUMBER(INDEX($AM$5:$AM$1000,$U113-4)),DATE(YEAR(INDEX($AM$5:$AM$1000,$U113-4)),MONTH(INDEX($AM$5:$AM$1000,$U113-4)),1),IF(ISNUMBER(INDEX($AN$5:$AN$1000,$U113-4)),DATE(YEAR(INDEX($AN$5:$AN$1000,$U113-4)),MONTH(INDEX($AN$5:$AN$1000,$U113-4)),1),MesCiclo)),IF(ISNUMBER($AM113),DATE(YEAR($AM113),MONTH($AM113),1),IF(ISNUMBER($AN113),DATE(YEAR($AN113),MONTH($AN113),1),MesCiclo))))</f>
        <v/>
      </c>
      <c r="T113" s="62">
        <f>IF(OR($S113="",$S113&lt;&gt;MesCiclo),"",COUNTIF($S$5:$S113,MesCiclo))</f>
        <v/>
      </c>
      <c r="U113" s="62">
        <f>IF($V113="","",IF($V113="Macro",ROW(),IFERROR(LOOKUP(2,1/($V$5:$V113="Macro"),ROW($V$5:$V113)),0)))</f>
        <v/>
      </c>
      <c r="V113" s="62">
        <f>IF(NOT((COUNTA($B113:$D113)+COUNTA($G113:$L113)+COUNTA($Q113))&gt;0),"",IF($B113="Subactividad","Sub","Macro"))</f>
        <v/>
      </c>
      <c r="W113" s="62">
        <f>IF($V113="Macro",COUNTIFS($U$5:$U$1000,ROW(),$V$5:$V$1000,"Sub"),"")</f>
        <v/>
      </c>
      <c r="X113" s="62">
        <f>IF($V113="","",IF(ISNUMBER($G113),1,IFERROR(LOOKUP(2,1/($I113:$L113&lt;&gt;""),$I113:$L113),0)))</f>
        <v/>
      </c>
      <c r="Y113" s="62">
        <f>IF($V113="","",IF(AND(ISNUMBER($G113),$G113&lt;=IF($S113=MesCiclo,InicioCiclo,$S113+MOD(2-WEEKDAY($S113),7))+6),1,IF(ISNUMBER($I113),$I113,0)))</f>
        <v/>
      </c>
      <c r="Z113" s="62">
        <f>IF($V113="","",IF(AND(ISNUMBER($G113),$G113&lt;=IF($S113=MesCiclo,InicioCiclo,$S113+MOD(2-WEEKDAY($S113),7))+13),1,IF(ISNUMBER($J113),$J113,$Y113)))</f>
        <v/>
      </c>
      <c r="AA113" s="62">
        <f>IF($V113="","",IF(AND(ISNUMBER($G113),$G113&lt;=IF($S113=MesCiclo,InicioCiclo,$S113+MOD(2-WEEKDAY($S113),7))+20),1,IF(ISNUMBER($K113),$K113,$Z113)))</f>
        <v/>
      </c>
      <c r="AB113" s="62">
        <f>IF($V113="","",IF(AND(ISNUMBER($G113),$G113&lt;=IF($S113=MesCiclo,InicioCiclo,$S113+MOD(2-WEEKDAY($S113),7))+27),1,IF(ISNUMBER($L113),$L113,$AA113)))</f>
        <v/>
      </c>
      <c r="AC113" s="62">
        <f>IF($V113="","",IF(AND(ISNUMBER($G113),$G113&lt;=IF($S113=MesCiclo,InicioCiclo,$S113+MOD(2-WEEKDAY($S113),7))+6),1,IF(N($W113)&gt;0,AVERAGEIFS($Y$5:$Y$1000,$U$5:$U$1000,ROW(),$V$5:$V$1000,"Sub"),$Y113)))</f>
        <v/>
      </c>
      <c r="AD113" s="62">
        <f>IF($V113="","",IF(AND(ISNUMBER($G113),$G113&lt;=IF($S113=MesCiclo,InicioCiclo,$S113+MOD(2-WEEKDAY($S113),7))+13),1,IF(N($W113)&gt;0,AVERAGEIFS($Z$5:$Z$1000,$U$5:$U$1000,ROW(),$V$5:$V$1000,"Sub"),$Z113)))</f>
        <v/>
      </c>
      <c r="AE113" s="62">
        <f>IF($V113="","",IF(AND(ISNUMBER($G113),$G113&lt;=IF($S113=MesCiclo,InicioCiclo,$S113+MOD(2-WEEKDAY($S113),7))+20),1,IF(N($W113)&gt;0,AVERAGEIFS($AA$5:$AA$1000,$U$5:$U$1000,ROW(),$V$5:$V$1000,"Sub"),$AA113)))</f>
        <v/>
      </c>
      <c r="AF113" s="62">
        <f>IF($V113="","",IF(AND(ISNUMBER($G113),$G113&lt;=IF($S113=MesCiclo,InicioCiclo,$S113+MOD(2-WEEKDAY($S113),7))+27),1,IF(N($W113)&gt;0,AVERAGEIFS($AB$5:$AB$1000,$U$5:$U$1000,ROW(),$V$5:$V$1000,"Sub"),$AB113)))</f>
        <v/>
      </c>
      <c r="AG113" s="62">
        <f>IF($V113&lt;&gt;"Macro","",IF(COUNTIFS($S$5:$S$1000,$S113,$V$5:$V$1000,"Macro",$H$5:$H$1000,"&gt;0")=0,1/COUNTIFS($S$5:$S$1000,$S113,$V$5:$V$1000,"Macro"),IF(AND(ISNUMBER($H113),N($H113)&gt;0),$H113,SUMIFS($H$5:$H$1000,$S$5:$S$1000,$S113,$V$5:$V$1000,"Macro")/COUNTIFS($S$5:$S$1000,$S113,$V$5:$V$1000,"Macro",$H$5:$H$1000,"&gt;0"))/(COUNTIFS($S$5:$S$1000,$S113,$V$5:$V$1000,"Macro")*SUMIFS($H$5:$H$1000,$S$5:$S$1000,$S113,$V$5:$V$1000,"Macro")/COUNTIFS($S$5:$S$1000,$S113,$V$5:$V$1000,"Macro",$H$5:$H$1000,"&gt;0"))))</f>
        <v/>
      </c>
      <c r="AH113" s="62" t="n"/>
      <c r="AI113" s="62" t="n"/>
      <c r="AJ113" s="62" t="n"/>
      <c r="AK113" s="62" t="n"/>
      <c r="AL113" s="62">
        <f>IF(LEFT($C113,11)="[Jefatura] ",IFERROR(MATCH("Asistente Técnico de Riesgo|"&amp;MID($C113,12,500),rDname_ADM,0),0),"")</f>
        <v/>
      </c>
      <c r="AM113" s="62">
        <f>IF(N($AL113)&gt;0,INDEX(rIni_ADM,$AL113),IF(ISNUMBER($E113),$E113,""))</f>
        <v/>
      </c>
      <c r="AN113" s="62">
        <f>IF(N($AL113)&gt;0,INDEX(rLim_ADM,$AL113),IF(ISNUMBER($F113),$F113,""))</f>
        <v/>
      </c>
    </row>
    <row r="114">
      <c r="A114" s="56">
        <f>IF(NOT((COUNTA($B114:$D114)+COUNTA($G114:$L114)+COUNTA($Q114))&gt;0),"",IF($V114="Macro",COUNTIFS($V$5:$V114,"Macro",$S$5:$S114,$S114),IF(N($U114)=0,"?",COUNTIFS(INDEX($V$5:$V$1000,1):INDEX($V$5:$V$1000,$U114-4),"Macro",INDEX($S$5:$S$1000,1):INDEX($S$5:$S$1000,$U114-4),INDEX($S$5:$S$1000,$U114-4))&amp;"."&amp;COUNTIFS($U$5:$U114,$U114,$V$5:$V114,"Sub"))))</f>
        <v/>
      </c>
      <c r="B114" s="57" t="n"/>
      <c r="C114" s="58" t="n"/>
      <c r="D114" s="58" t="n"/>
      <c r="E114" s="59">
        <f>IF(N($AL114)&gt;0,INDEX(rIni_ADM,$AL114),"")</f>
        <v/>
      </c>
      <c r="F114" s="59">
        <f>IF(N($AL114)&gt;0,INDEX(rLim_ADM,$AL114),"")</f>
        <v/>
      </c>
      <c r="G114" s="59" t="n"/>
      <c r="H114" s="60" t="n"/>
      <c r="I114" s="60" t="n"/>
      <c r="J114" s="60" t="n"/>
      <c r="K114" s="60" t="n"/>
      <c r="L114" s="60" t="n"/>
      <c r="M114" s="61">
        <f>IF(NOT((COUNTA($B114:$D114)+COUNTA($G114:$L114)+COUNTA($Q114))&gt;0),"",IF(ISNUMBER($G114),1,IF(N($W114)&gt;0,AVERAGEIFS($X$5:$X$1000,$U$5:$U$1000,ROW(),$V$5:$V$1000,"Sub"),$X114)))</f>
        <v/>
      </c>
      <c r="N114" s="56">
        <f>IF($M114="","",IF($M114&gt;=1,"Completado",IF($M114&gt;0,"En curso","Pendiente")))</f>
        <v/>
      </c>
      <c r="O114" s="56">
        <f>IF(NOT((COUNTA($B114:$D114)+COUNTA($G114:$L114)+COUNTA($Q114))&gt;0),"",IF(ISNUMBER($G114),IF(AND(ISNUMBER($AN114),$G114&gt;$AN114),"Cumplida con "&amp;($G114-$AN114)&amp;IF($G114-$AN114=1," día"," días")&amp;" de retraso","Cumplida"),IF(N($M114)&gt;=1,"Cumplida",IF(NOT(ISNUMBER($AN114)),"Sin fecha límite",IF($AN114&lt;FechaRef,"Vencida hace "&amp;(FechaRef-$AN114)&amp;IF(FechaRef-$AN114=1," día"," días"),IF($AN114=FechaRef,"Vence hoy",IF($AN114-FechaRef&lt;=DiasAlerta,"Vence en "&amp;($AN114-FechaRef)&amp;IF($AN114-FechaRef=1," día"," días"),"En plazo")))))))</f>
        <v/>
      </c>
      <c r="P114" s="62" t="n"/>
      <c r="Q114" s="58" t="n"/>
      <c r="R114" s="63">
        <f>IF(NOT((COUNTA($B114:$D114)+COUNTA($G114:$L114)+COUNTA($Q114))&gt;0),"",IF((IF($C114="","Falta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",""))="","✔ OK","⚠ "&amp;LEFT(IF($C114="","Falta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",""),LEN(IF($C114="","Falta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",""))-3)))</f>
        <v/>
      </c>
      <c r="S114" s="64">
        <f>IF(NOT((COUNTA($B114:$D114)+COUNTA($G114:$L114)+COUNTA($Q114))&gt;0),"",IF(AND($V114="Sub",N($U114)&gt;0),IF(ISNUMBER(INDEX($AM$5:$AM$1000,$U114-4)),DATE(YEAR(INDEX($AM$5:$AM$1000,$U114-4)),MONTH(INDEX($AM$5:$AM$1000,$U114-4)),1),IF(ISNUMBER(INDEX($AN$5:$AN$1000,$U114-4)),DATE(YEAR(INDEX($AN$5:$AN$1000,$U114-4)),MONTH(INDEX($AN$5:$AN$1000,$U114-4)),1),MesCiclo)),IF(ISNUMBER($AM114),DATE(YEAR($AM114),MONTH($AM114),1),IF(ISNUMBER($AN114),DATE(YEAR($AN114),MONTH($AN114),1),MesCiclo))))</f>
        <v/>
      </c>
      <c r="T114" s="62">
        <f>IF(OR($S114="",$S114&lt;&gt;MesCiclo),"",COUNTIF($S$5:$S114,MesCiclo))</f>
        <v/>
      </c>
      <c r="U114" s="62">
        <f>IF($V114="","",IF($V114="Macro",ROW(),IFERROR(LOOKUP(2,1/($V$5:$V114="Macro"),ROW($V$5:$V114)),0)))</f>
        <v/>
      </c>
      <c r="V114" s="62">
        <f>IF(NOT((COUNTA($B114:$D114)+COUNTA($G114:$L114)+COUNTA($Q114))&gt;0),"",IF($B114="Subactividad","Sub","Macro"))</f>
        <v/>
      </c>
      <c r="W114" s="62">
        <f>IF($V114="Macro",COUNTIFS($U$5:$U$1000,ROW(),$V$5:$V$1000,"Sub"),"")</f>
        <v/>
      </c>
      <c r="X114" s="62">
        <f>IF($V114="","",IF(ISNUMBER($G114),1,IFERROR(LOOKUP(2,1/($I114:$L114&lt;&gt;""),$I114:$L114),0)))</f>
        <v/>
      </c>
      <c r="Y114" s="62">
        <f>IF($V114="","",IF(AND(ISNUMBER($G114),$G114&lt;=IF($S114=MesCiclo,InicioCiclo,$S114+MOD(2-WEEKDAY($S114),7))+6),1,IF(ISNUMBER($I114),$I114,0)))</f>
        <v/>
      </c>
      <c r="Z114" s="62">
        <f>IF($V114="","",IF(AND(ISNUMBER($G114),$G114&lt;=IF($S114=MesCiclo,InicioCiclo,$S114+MOD(2-WEEKDAY($S114),7))+13),1,IF(ISNUMBER($J114),$J114,$Y114)))</f>
        <v/>
      </c>
      <c r="AA114" s="62">
        <f>IF($V114="","",IF(AND(ISNUMBER($G114),$G114&lt;=IF($S114=MesCiclo,InicioCiclo,$S114+MOD(2-WEEKDAY($S114),7))+20),1,IF(ISNUMBER($K114),$K114,$Z114)))</f>
        <v/>
      </c>
      <c r="AB114" s="62">
        <f>IF($V114="","",IF(AND(ISNUMBER($G114),$G114&lt;=IF($S114=MesCiclo,InicioCiclo,$S114+MOD(2-WEEKDAY($S114),7))+27),1,IF(ISNUMBER($L114),$L114,$AA114)))</f>
        <v/>
      </c>
      <c r="AC114" s="62">
        <f>IF($V114="","",IF(AND(ISNUMBER($G114),$G114&lt;=IF($S114=MesCiclo,InicioCiclo,$S114+MOD(2-WEEKDAY($S114),7))+6),1,IF(N($W114)&gt;0,AVERAGEIFS($Y$5:$Y$1000,$U$5:$U$1000,ROW(),$V$5:$V$1000,"Sub"),$Y114)))</f>
        <v/>
      </c>
      <c r="AD114" s="62">
        <f>IF($V114="","",IF(AND(ISNUMBER($G114),$G114&lt;=IF($S114=MesCiclo,InicioCiclo,$S114+MOD(2-WEEKDAY($S114),7))+13),1,IF(N($W114)&gt;0,AVERAGEIFS($Z$5:$Z$1000,$U$5:$U$1000,ROW(),$V$5:$V$1000,"Sub"),$Z114)))</f>
        <v/>
      </c>
      <c r="AE114" s="62">
        <f>IF($V114="","",IF(AND(ISNUMBER($G114),$G114&lt;=IF($S114=MesCiclo,InicioCiclo,$S114+MOD(2-WEEKDAY($S114),7))+20),1,IF(N($W114)&gt;0,AVERAGEIFS($AA$5:$AA$1000,$U$5:$U$1000,ROW(),$V$5:$V$1000,"Sub"),$AA114)))</f>
        <v/>
      </c>
      <c r="AF114" s="62">
        <f>IF($V114="","",IF(AND(ISNUMBER($G114),$G114&lt;=IF($S114=MesCiclo,InicioCiclo,$S114+MOD(2-WEEKDAY($S114),7))+27),1,IF(N($W114)&gt;0,AVERAGEIFS($AB$5:$AB$1000,$U$5:$U$1000,ROW(),$V$5:$V$1000,"Sub"),$AB114)))</f>
        <v/>
      </c>
      <c r="AG114" s="62">
        <f>IF($V114&lt;&gt;"Macro","",IF(COUNTIFS($S$5:$S$1000,$S114,$V$5:$V$1000,"Macro",$H$5:$H$1000,"&gt;0")=0,1/COUNTIFS($S$5:$S$1000,$S114,$V$5:$V$1000,"Macro"),IF(AND(ISNUMBER($H114),N($H114)&gt;0),$H114,SUMIFS($H$5:$H$1000,$S$5:$S$1000,$S114,$V$5:$V$1000,"Macro")/COUNTIFS($S$5:$S$1000,$S114,$V$5:$V$1000,"Macro",$H$5:$H$1000,"&gt;0"))/(COUNTIFS($S$5:$S$1000,$S114,$V$5:$V$1000,"Macro")*SUMIFS($H$5:$H$1000,$S$5:$S$1000,$S114,$V$5:$V$1000,"Macro")/COUNTIFS($S$5:$S$1000,$S114,$V$5:$V$1000,"Macro",$H$5:$H$1000,"&gt;0"))))</f>
        <v/>
      </c>
      <c r="AH114" s="62" t="n"/>
      <c r="AI114" s="62" t="n"/>
      <c r="AJ114" s="62" t="n"/>
      <c r="AK114" s="62" t="n"/>
      <c r="AL114" s="62">
        <f>IF(LEFT($C114,11)="[Jefatura] ",IFERROR(MATCH("Asistente Técnico de Riesgo|"&amp;MID($C114,12,500),rDname_ADM,0),0),"")</f>
        <v/>
      </c>
      <c r="AM114" s="62">
        <f>IF(N($AL114)&gt;0,INDEX(rIni_ADM,$AL114),IF(ISNUMBER($E114),$E114,""))</f>
        <v/>
      </c>
      <c r="AN114" s="62">
        <f>IF(N($AL114)&gt;0,INDEX(rLim_ADM,$AL114),IF(ISNUMBER($F114),$F114,""))</f>
        <v/>
      </c>
    </row>
    <row r="115">
      <c r="A115" s="56">
        <f>IF(NOT((COUNTA($B115:$D115)+COUNTA($G115:$L115)+COUNTA($Q115))&gt;0),"",IF($V115="Macro",COUNTIFS($V$5:$V115,"Macro",$S$5:$S115,$S115),IF(N($U115)=0,"?",COUNTIFS(INDEX($V$5:$V$1000,1):INDEX($V$5:$V$1000,$U115-4),"Macro",INDEX($S$5:$S$1000,1):INDEX($S$5:$S$1000,$U115-4),INDEX($S$5:$S$1000,$U115-4))&amp;"."&amp;COUNTIFS($U$5:$U115,$U115,$V$5:$V115,"Sub"))))</f>
        <v/>
      </c>
      <c r="B115" s="57" t="n"/>
      <c r="C115" s="58" t="n"/>
      <c r="D115" s="58" t="n"/>
      <c r="E115" s="59">
        <f>IF(N($AL115)&gt;0,INDEX(rIni_ADM,$AL115),"")</f>
        <v/>
      </c>
      <c r="F115" s="59">
        <f>IF(N($AL115)&gt;0,INDEX(rLim_ADM,$AL115),"")</f>
        <v/>
      </c>
      <c r="G115" s="59" t="n"/>
      <c r="H115" s="60" t="n"/>
      <c r="I115" s="60" t="n"/>
      <c r="J115" s="60" t="n"/>
      <c r="K115" s="60" t="n"/>
      <c r="L115" s="60" t="n"/>
      <c r="M115" s="61">
        <f>IF(NOT((COUNTA($B115:$D115)+COUNTA($G115:$L115)+COUNTA($Q115))&gt;0),"",IF(ISNUMBER($G115),1,IF(N($W115)&gt;0,AVERAGEIFS($X$5:$X$1000,$U$5:$U$1000,ROW(),$V$5:$V$1000,"Sub"),$X115)))</f>
        <v/>
      </c>
      <c r="N115" s="56">
        <f>IF($M115="","",IF($M115&gt;=1,"Completado",IF($M115&gt;0,"En curso","Pendiente")))</f>
        <v/>
      </c>
      <c r="O115" s="56">
        <f>IF(NOT((COUNTA($B115:$D115)+COUNTA($G115:$L115)+COUNTA($Q115))&gt;0),"",IF(ISNUMBER($G115),IF(AND(ISNUMBER($AN115),$G115&gt;$AN115),"Cumplida con "&amp;($G115-$AN115)&amp;IF($G115-$AN115=1," día"," días")&amp;" de retraso","Cumplida"),IF(N($M115)&gt;=1,"Cumplida",IF(NOT(ISNUMBER($AN115)),"Sin fecha límite",IF($AN115&lt;FechaRef,"Vencida hace "&amp;(FechaRef-$AN115)&amp;IF(FechaRef-$AN115=1," día"," días"),IF($AN115=FechaRef,"Vence hoy",IF($AN115-FechaRef&lt;=DiasAlerta,"Vence en "&amp;($AN115-FechaRef)&amp;IF($AN115-FechaRef=1," día"," días"),"En plazo")))))))</f>
        <v/>
      </c>
      <c r="P115" s="62" t="n"/>
      <c r="Q115" s="58" t="n"/>
      <c r="R115" s="63">
        <f>IF(NOT((COUNTA($B115:$D115)+COUNTA($G115:$L115)+COUNTA($Q115))&gt;0),"",IF((IF($C115="","Falta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",""))="","✔ OK","⚠ "&amp;LEFT(IF($C115="","Falta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",""),LEN(IF($C115="","Falta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",""))-3)))</f>
        <v/>
      </c>
      <c r="S115" s="64">
        <f>IF(NOT((COUNTA($B115:$D115)+COUNTA($G115:$L115)+COUNTA($Q115))&gt;0),"",IF(AND($V115="Sub",N($U115)&gt;0),IF(ISNUMBER(INDEX($AM$5:$AM$1000,$U115-4)),DATE(YEAR(INDEX($AM$5:$AM$1000,$U115-4)),MONTH(INDEX($AM$5:$AM$1000,$U115-4)),1),IF(ISNUMBER(INDEX($AN$5:$AN$1000,$U115-4)),DATE(YEAR(INDEX($AN$5:$AN$1000,$U115-4)),MONTH(INDEX($AN$5:$AN$1000,$U115-4)),1),MesCiclo)),IF(ISNUMBER($AM115),DATE(YEAR($AM115),MONTH($AM115),1),IF(ISNUMBER($AN115),DATE(YEAR($AN115),MONTH($AN115),1),MesCiclo))))</f>
        <v/>
      </c>
      <c r="T115" s="62">
        <f>IF(OR($S115="",$S115&lt;&gt;MesCiclo),"",COUNTIF($S$5:$S115,MesCiclo))</f>
        <v/>
      </c>
      <c r="U115" s="62">
        <f>IF($V115="","",IF($V115="Macro",ROW(),IFERROR(LOOKUP(2,1/($V$5:$V115="Macro"),ROW($V$5:$V115)),0)))</f>
        <v/>
      </c>
      <c r="V115" s="62">
        <f>IF(NOT((COUNTA($B115:$D115)+COUNTA($G115:$L115)+COUNTA($Q115))&gt;0),"",IF($B115="Subactividad","Sub","Macro"))</f>
        <v/>
      </c>
      <c r="W115" s="62">
        <f>IF($V115="Macro",COUNTIFS($U$5:$U$1000,ROW(),$V$5:$V$1000,"Sub"),"")</f>
        <v/>
      </c>
      <c r="X115" s="62">
        <f>IF($V115="","",IF(ISNUMBER($G115),1,IFERROR(LOOKUP(2,1/($I115:$L115&lt;&gt;""),$I115:$L115),0)))</f>
        <v/>
      </c>
      <c r="Y115" s="62">
        <f>IF($V115="","",IF(AND(ISNUMBER($G115),$G115&lt;=IF($S115=MesCiclo,InicioCiclo,$S115+MOD(2-WEEKDAY($S115),7))+6),1,IF(ISNUMBER($I115),$I115,0)))</f>
        <v/>
      </c>
      <c r="Z115" s="62">
        <f>IF($V115="","",IF(AND(ISNUMBER($G115),$G115&lt;=IF($S115=MesCiclo,InicioCiclo,$S115+MOD(2-WEEKDAY($S115),7))+13),1,IF(ISNUMBER($J115),$J115,$Y115)))</f>
        <v/>
      </c>
      <c r="AA115" s="62">
        <f>IF($V115="","",IF(AND(ISNUMBER($G115),$G115&lt;=IF($S115=MesCiclo,InicioCiclo,$S115+MOD(2-WEEKDAY($S115),7))+20),1,IF(ISNUMBER($K115),$K115,$Z115)))</f>
        <v/>
      </c>
      <c r="AB115" s="62">
        <f>IF($V115="","",IF(AND(ISNUMBER($G115),$G115&lt;=IF($S115=MesCiclo,InicioCiclo,$S115+MOD(2-WEEKDAY($S115),7))+27),1,IF(ISNUMBER($L115),$L115,$AA115)))</f>
        <v/>
      </c>
      <c r="AC115" s="62">
        <f>IF($V115="","",IF(AND(ISNUMBER($G115),$G115&lt;=IF($S115=MesCiclo,InicioCiclo,$S115+MOD(2-WEEKDAY($S115),7))+6),1,IF(N($W115)&gt;0,AVERAGEIFS($Y$5:$Y$1000,$U$5:$U$1000,ROW(),$V$5:$V$1000,"Sub"),$Y115)))</f>
        <v/>
      </c>
      <c r="AD115" s="62">
        <f>IF($V115="","",IF(AND(ISNUMBER($G115),$G115&lt;=IF($S115=MesCiclo,InicioCiclo,$S115+MOD(2-WEEKDAY($S115),7))+13),1,IF(N($W115)&gt;0,AVERAGEIFS($Z$5:$Z$1000,$U$5:$U$1000,ROW(),$V$5:$V$1000,"Sub"),$Z115)))</f>
        <v/>
      </c>
      <c r="AE115" s="62">
        <f>IF($V115="","",IF(AND(ISNUMBER($G115),$G115&lt;=IF($S115=MesCiclo,InicioCiclo,$S115+MOD(2-WEEKDAY($S115),7))+20),1,IF(N($W115)&gt;0,AVERAGEIFS($AA$5:$AA$1000,$U$5:$U$1000,ROW(),$V$5:$V$1000,"Sub"),$AA115)))</f>
        <v/>
      </c>
      <c r="AF115" s="62">
        <f>IF($V115="","",IF(AND(ISNUMBER($G115),$G115&lt;=IF($S115=MesCiclo,InicioCiclo,$S115+MOD(2-WEEKDAY($S115),7))+27),1,IF(N($W115)&gt;0,AVERAGEIFS($AB$5:$AB$1000,$U$5:$U$1000,ROW(),$V$5:$V$1000,"Sub"),$AB115)))</f>
        <v/>
      </c>
      <c r="AG115" s="62">
        <f>IF($V115&lt;&gt;"Macro","",IF(COUNTIFS($S$5:$S$1000,$S115,$V$5:$V$1000,"Macro",$H$5:$H$1000,"&gt;0")=0,1/COUNTIFS($S$5:$S$1000,$S115,$V$5:$V$1000,"Macro"),IF(AND(ISNUMBER($H115),N($H115)&gt;0),$H115,SUMIFS($H$5:$H$1000,$S$5:$S$1000,$S115,$V$5:$V$1000,"Macro")/COUNTIFS($S$5:$S$1000,$S115,$V$5:$V$1000,"Macro",$H$5:$H$1000,"&gt;0"))/(COUNTIFS($S$5:$S$1000,$S115,$V$5:$V$1000,"Macro")*SUMIFS($H$5:$H$1000,$S$5:$S$1000,$S115,$V$5:$V$1000,"Macro")/COUNTIFS($S$5:$S$1000,$S115,$V$5:$V$1000,"Macro",$H$5:$H$1000,"&gt;0"))))</f>
        <v/>
      </c>
      <c r="AH115" s="62" t="n"/>
      <c r="AI115" s="62" t="n"/>
      <c r="AJ115" s="62" t="n"/>
      <c r="AK115" s="62" t="n"/>
      <c r="AL115" s="62">
        <f>IF(LEFT($C115,11)="[Jefatura] ",IFERROR(MATCH("Asistente Técnico de Riesgo|"&amp;MID($C115,12,500),rDname_ADM,0),0),"")</f>
        <v/>
      </c>
      <c r="AM115" s="62">
        <f>IF(N($AL115)&gt;0,INDEX(rIni_ADM,$AL115),IF(ISNUMBER($E115),$E115,""))</f>
        <v/>
      </c>
      <c r="AN115" s="62">
        <f>IF(N($AL115)&gt;0,INDEX(rLim_ADM,$AL115),IF(ISNUMBER($F115),$F115,""))</f>
        <v/>
      </c>
    </row>
    <row r="116">
      <c r="A116" s="56">
        <f>IF(NOT((COUNTA($B116:$D116)+COUNTA($G116:$L116)+COUNTA($Q116))&gt;0),"",IF($V116="Macro",COUNTIFS($V$5:$V116,"Macro",$S$5:$S116,$S116),IF(N($U116)=0,"?",COUNTIFS(INDEX($V$5:$V$1000,1):INDEX($V$5:$V$1000,$U116-4),"Macro",INDEX($S$5:$S$1000,1):INDEX($S$5:$S$1000,$U116-4),INDEX($S$5:$S$1000,$U116-4))&amp;"."&amp;COUNTIFS($U$5:$U116,$U116,$V$5:$V116,"Sub"))))</f>
        <v/>
      </c>
      <c r="B116" s="57" t="n"/>
      <c r="C116" s="58" t="n"/>
      <c r="D116" s="58" t="n"/>
      <c r="E116" s="59">
        <f>IF(N($AL116)&gt;0,INDEX(rIni_ADM,$AL116),"")</f>
        <v/>
      </c>
      <c r="F116" s="59">
        <f>IF(N($AL116)&gt;0,INDEX(rLim_ADM,$AL116),"")</f>
        <v/>
      </c>
      <c r="G116" s="59" t="n"/>
      <c r="H116" s="60" t="n"/>
      <c r="I116" s="60" t="n"/>
      <c r="J116" s="60" t="n"/>
      <c r="K116" s="60" t="n"/>
      <c r="L116" s="60" t="n"/>
      <c r="M116" s="61">
        <f>IF(NOT((COUNTA($B116:$D116)+COUNTA($G116:$L116)+COUNTA($Q116))&gt;0),"",IF(ISNUMBER($G116),1,IF(N($W116)&gt;0,AVERAGEIFS($X$5:$X$1000,$U$5:$U$1000,ROW(),$V$5:$V$1000,"Sub"),$X116)))</f>
        <v/>
      </c>
      <c r="N116" s="56">
        <f>IF($M116="","",IF($M116&gt;=1,"Completado",IF($M116&gt;0,"En curso","Pendiente")))</f>
        <v/>
      </c>
      <c r="O116" s="56">
        <f>IF(NOT((COUNTA($B116:$D116)+COUNTA($G116:$L116)+COUNTA($Q116))&gt;0),"",IF(ISNUMBER($G116),IF(AND(ISNUMBER($AN116),$G116&gt;$AN116),"Cumplida con "&amp;($G116-$AN116)&amp;IF($G116-$AN116=1," día"," días")&amp;" de retraso","Cumplida"),IF(N($M116)&gt;=1,"Cumplida",IF(NOT(ISNUMBER($AN116)),"Sin fecha límite",IF($AN116&lt;FechaRef,"Vencida hace "&amp;(FechaRef-$AN116)&amp;IF(FechaRef-$AN116=1," día"," días"),IF($AN116=FechaRef,"Vence hoy",IF($AN116-FechaRef&lt;=DiasAlerta,"Vence en "&amp;($AN116-FechaRef)&amp;IF($AN116-FechaRef=1," día"," días"),"En plazo")))))))</f>
        <v/>
      </c>
      <c r="P116" s="62" t="n"/>
      <c r="Q116" s="58" t="n"/>
      <c r="R116" s="63">
        <f>IF(NOT((COUNTA($B116:$D116)+COUNTA($G116:$L116)+COUNTA($Q116))&gt;0),"",IF((IF($C116="","Falta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",""))="","✔ OK","⚠ "&amp;LEFT(IF($C116="","Falta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",""),LEN(IF($C116="","Falta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",""))-3)))</f>
        <v/>
      </c>
      <c r="S116" s="64">
        <f>IF(NOT((COUNTA($B116:$D116)+COUNTA($G116:$L116)+COUNTA($Q116))&gt;0),"",IF(AND($V116="Sub",N($U116)&gt;0),IF(ISNUMBER(INDEX($AM$5:$AM$1000,$U116-4)),DATE(YEAR(INDEX($AM$5:$AM$1000,$U116-4)),MONTH(INDEX($AM$5:$AM$1000,$U116-4)),1),IF(ISNUMBER(INDEX($AN$5:$AN$1000,$U116-4)),DATE(YEAR(INDEX($AN$5:$AN$1000,$U116-4)),MONTH(INDEX($AN$5:$AN$1000,$U116-4)),1),MesCiclo)),IF(ISNUMBER($AM116),DATE(YEAR($AM116),MONTH($AM116),1),IF(ISNUMBER($AN116),DATE(YEAR($AN116),MONTH($AN116),1),MesCiclo))))</f>
        <v/>
      </c>
      <c r="T116" s="62">
        <f>IF(OR($S116="",$S116&lt;&gt;MesCiclo),"",COUNTIF($S$5:$S116,MesCiclo))</f>
        <v/>
      </c>
      <c r="U116" s="62">
        <f>IF($V116="","",IF($V116="Macro",ROW(),IFERROR(LOOKUP(2,1/($V$5:$V116="Macro"),ROW($V$5:$V116)),0)))</f>
        <v/>
      </c>
      <c r="V116" s="62">
        <f>IF(NOT((COUNTA($B116:$D116)+COUNTA($G116:$L116)+COUNTA($Q116))&gt;0),"",IF($B116="Subactividad","Sub","Macro"))</f>
        <v/>
      </c>
      <c r="W116" s="62">
        <f>IF($V116="Macro",COUNTIFS($U$5:$U$1000,ROW(),$V$5:$V$1000,"Sub"),"")</f>
        <v/>
      </c>
      <c r="X116" s="62">
        <f>IF($V116="","",IF(ISNUMBER($G116),1,IFERROR(LOOKUP(2,1/($I116:$L116&lt;&gt;""),$I116:$L116),0)))</f>
        <v/>
      </c>
      <c r="Y116" s="62">
        <f>IF($V116="","",IF(AND(ISNUMBER($G116),$G116&lt;=IF($S116=MesCiclo,InicioCiclo,$S116+MOD(2-WEEKDAY($S116),7))+6),1,IF(ISNUMBER($I116),$I116,0)))</f>
        <v/>
      </c>
      <c r="Z116" s="62">
        <f>IF($V116="","",IF(AND(ISNUMBER($G116),$G116&lt;=IF($S116=MesCiclo,InicioCiclo,$S116+MOD(2-WEEKDAY($S116),7))+13),1,IF(ISNUMBER($J116),$J116,$Y116)))</f>
        <v/>
      </c>
      <c r="AA116" s="62">
        <f>IF($V116="","",IF(AND(ISNUMBER($G116),$G116&lt;=IF($S116=MesCiclo,InicioCiclo,$S116+MOD(2-WEEKDAY($S116),7))+20),1,IF(ISNUMBER($K116),$K116,$Z116)))</f>
        <v/>
      </c>
      <c r="AB116" s="62">
        <f>IF($V116="","",IF(AND(ISNUMBER($G116),$G116&lt;=IF($S116=MesCiclo,InicioCiclo,$S116+MOD(2-WEEKDAY($S116),7))+27),1,IF(ISNUMBER($L116),$L116,$AA116)))</f>
        <v/>
      </c>
      <c r="AC116" s="62">
        <f>IF($V116="","",IF(AND(ISNUMBER($G116),$G116&lt;=IF($S116=MesCiclo,InicioCiclo,$S116+MOD(2-WEEKDAY($S116),7))+6),1,IF(N($W116)&gt;0,AVERAGEIFS($Y$5:$Y$1000,$U$5:$U$1000,ROW(),$V$5:$V$1000,"Sub"),$Y116)))</f>
        <v/>
      </c>
      <c r="AD116" s="62">
        <f>IF($V116="","",IF(AND(ISNUMBER($G116),$G116&lt;=IF($S116=MesCiclo,InicioCiclo,$S116+MOD(2-WEEKDAY($S116),7))+13),1,IF(N($W116)&gt;0,AVERAGEIFS($Z$5:$Z$1000,$U$5:$U$1000,ROW(),$V$5:$V$1000,"Sub"),$Z116)))</f>
        <v/>
      </c>
      <c r="AE116" s="62">
        <f>IF($V116="","",IF(AND(ISNUMBER($G116),$G116&lt;=IF($S116=MesCiclo,InicioCiclo,$S116+MOD(2-WEEKDAY($S116),7))+20),1,IF(N($W116)&gt;0,AVERAGEIFS($AA$5:$AA$1000,$U$5:$U$1000,ROW(),$V$5:$V$1000,"Sub"),$AA116)))</f>
        <v/>
      </c>
      <c r="AF116" s="62">
        <f>IF($V116="","",IF(AND(ISNUMBER($G116),$G116&lt;=IF($S116=MesCiclo,InicioCiclo,$S116+MOD(2-WEEKDAY($S116),7))+27),1,IF(N($W116)&gt;0,AVERAGEIFS($AB$5:$AB$1000,$U$5:$U$1000,ROW(),$V$5:$V$1000,"Sub"),$AB116)))</f>
        <v/>
      </c>
      <c r="AG116" s="62">
        <f>IF($V116&lt;&gt;"Macro","",IF(COUNTIFS($S$5:$S$1000,$S116,$V$5:$V$1000,"Macro",$H$5:$H$1000,"&gt;0")=0,1/COUNTIFS($S$5:$S$1000,$S116,$V$5:$V$1000,"Macro"),IF(AND(ISNUMBER($H116),N($H116)&gt;0),$H116,SUMIFS($H$5:$H$1000,$S$5:$S$1000,$S116,$V$5:$V$1000,"Macro")/COUNTIFS($S$5:$S$1000,$S116,$V$5:$V$1000,"Macro",$H$5:$H$1000,"&gt;0"))/(COUNTIFS($S$5:$S$1000,$S116,$V$5:$V$1000,"Macro")*SUMIFS($H$5:$H$1000,$S$5:$S$1000,$S116,$V$5:$V$1000,"Macro")/COUNTIFS($S$5:$S$1000,$S116,$V$5:$V$1000,"Macro",$H$5:$H$1000,"&gt;0"))))</f>
        <v/>
      </c>
      <c r="AH116" s="62" t="n"/>
      <c r="AI116" s="62" t="n"/>
      <c r="AJ116" s="62" t="n"/>
      <c r="AK116" s="62" t="n"/>
      <c r="AL116" s="62">
        <f>IF(LEFT($C116,11)="[Jefatura] ",IFERROR(MATCH("Asistente Técnico de Riesgo|"&amp;MID($C116,12,500),rDname_ADM,0),0),"")</f>
        <v/>
      </c>
      <c r="AM116" s="62">
        <f>IF(N($AL116)&gt;0,INDEX(rIni_ADM,$AL116),IF(ISNUMBER($E116),$E116,""))</f>
        <v/>
      </c>
      <c r="AN116" s="62">
        <f>IF(N($AL116)&gt;0,INDEX(rLim_ADM,$AL116),IF(ISNUMBER($F116),$F116,""))</f>
        <v/>
      </c>
    </row>
    <row r="117">
      <c r="A117" s="56">
        <f>IF(NOT((COUNTA($B117:$D117)+COUNTA($G117:$L117)+COUNTA($Q117))&gt;0),"",IF($V117="Macro",COUNTIFS($V$5:$V117,"Macro",$S$5:$S117,$S117),IF(N($U117)=0,"?",COUNTIFS(INDEX($V$5:$V$1000,1):INDEX($V$5:$V$1000,$U117-4),"Macro",INDEX($S$5:$S$1000,1):INDEX($S$5:$S$1000,$U117-4),INDEX($S$5:$S$1000,$U117-4))&amp;"."&amp;COUNTIFS($U$5:$U117,$U117,$V$5:$V117,"Sub"))))</f>
        <v/>
      </c>
      <c r="B117" s="57" t="n"/>
      <c r="C117" s="58" t="n"/>
      <c r="D117" s="58" t="n"/>
      <c r="E117" s="59">
        <f>IF(N($AL117)&gt;0,INDEX(rIni_ADM,$AL117),"")</f>
        <v/>
      </c>
      <c r="F117" s="59">
        <f>IF(N($AL117)&gt;0,INDEX(rLim_ADM,$AL117),"")</f>
        <v/>
      </c>
      <c r="G117" s="59" t="n"/>
      <c r="H117" s="60" t="n"/>
      <c r="I117" s="60" t="n"/>
      <c r="J117" s="60" t="n"/>
      <c r="K117" s="60" t="n"/>
      <c r="L117" s="60" t="n"/>
      <c r="M117" s="61">
        <f>IF(NOT((COUNTA($B117:$D117)+COUNTA($G117:$L117)+COUNTA($Q117))&gt;0),"",IF(ISNUMBER($G117),1,IF(N($W117)&gt;0,AVERAGEIFS($X$5:$X$1000,$U$5:$U$1000,ROW(),$V$5:$V$1000,"Sub"),$X117)))</f>
        <v/>
      </c>
      <c r="N117" s="56">
        <f>IF($M117="","",IF($M117&gt;=1,"Completado",IF($M117&gt;0,"En curso","Pendiente")))</f>
        <v/>
      </c>
      <c r="O117" s="56">
        <f>IF(NOT((COUNTA($B117:$D117)+COUNTA($G117:$L117)+COUNTA($Q117))&gt;0),"",IF(ISNUMBER($G117),IF(AND(ISNUMBER($AN117),$G117&gt;$AN117),"Cumplida con "&amp;($G117-$AN117)&amp;IF($G117-$AN117=1," día"," días")&amp;" de retraso","Cumplida"),IF(N($M117)&gt;=1,"Cumplida",IF(NOT(ISNUMBER($AN117)),"Sin fecha límite",IF($AN117&lt;FechaRef,"Vencida hace "&amp;(FechaRef-$AN117)&amp;IF(FechaRef-$AN117=1," día"," días"),IF($AN117=FechaRef,"Vence hoy",IF($AN117-FechaRef&lt;=DiasAlerta,"Vence en "&amp;($AN117-FechaRef)&amp;IF($AN117-FechaRef=1," día"," días"),"En plazo")))))))</f>
        <v/>
      </c>
      <c r="P117" s="62" t="n"/>
      <c r="Q117" s="58" t="n"/>
      <c r="R117" s="63">
        <f>IF(NOT((COUNTA($B117:$D117)+COUNTA($G117:$L117)+COUNTA($Q117))&gt;0),"",IF((IF($C117="","Falta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",""))="","✔ OK","⚠ "&amp;LEFT(IF($C117="","Falta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",""),LEN(IF($C117="","Falta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",""))-3)))</f>
        <v/>
      </c>
      <c r="S117" s="64">
        <f>IF(NOT((COUNTA($B117:$D117)+COUNTA($G117:$L117)+COUNTA($Q117))&gt;0),"",IF(AND($V117="Sub",N($U117)&gt;0),IF(ISNUMBER(INDEX($AM$5:$AM$1000,$U117-4)),DATE(YEAR(INDEX($AM$5:$AM$1000,$U117-4)),MONTH(INDEX($AM$5:$AM$1000,$U117-4)),1),IF(ISNUMBER(INDEX($AN$5:$AN$1000,$U117-4)),DATE(YEAR(INDEX($AN$5:$AN$1000,$U117-4)),MONTH(INDEX($AN$5:$AN$1000,$U117-4)),1),MesCiclo)),IF(ISNUMBER($AM117),DATE(YEAR($AM117),MONTH($AM117),1),IF(ISNUMBER($AN117),DATE(YEAR($AN117),MONTH($AN117),1),MesCiclo))))</f>
        <v/>
      </c>
      <c r="T117" s="62">
        <f>IF(OR($S117="",$S117&lt;&gt;MesCiclo),"",COUNTIF($S$5:$S117,MesCiclo))</f>
        <v/>
      </c>
      <c r="U117" s="62">
        <f>IF($V117="","",IF($V117="Macro",ROW(),IFERROR(LOOKUP(2,1/($V$5:$V117="Macro"),ROW($V$5:$V117)),0)))</f>
        <v/>
      </c>
      <c r="V117" s="62">
        <f>IF(NOT((COUNTA($B117:$D117)+COUNTA($G117:$L117)+COUNTA($Q117))&gt;0),"",IF($B117="Subactividad","Sub","Macro"))</f>
        <v/>
      </c>
      <c r="W117" s="62">
        <f>IF($V117="Macro",COUNTIFS($U$5:$U$1000,ROW(),$V$5:$V$1000,"Sub"),"")</f>
        <v/>
      </c>
      <c r="X117" s="62">
        <f>IF($V117="","",IF(ISNUMBER($G117),1,IFERROR(LOOKUP(2,1/($I117:$L117&lt;&gt;""),$I117:$L117),0)))</f>
        <v/>
      </c>
      <c r="Y117" s="62">
        <f>IF($V117="","",IF(AND(ISNUMBER($G117),$G117&lt;=IF($S117=MesCiclo,InicioCiclo,$S117+MOD(2-WEEKDAY($S117),7))+6),1,IF(ISNUMBER($I117),$I117,0)))</f>
        <v/>
      </c>
      <c r="Z117" s="62">
        <f>IF($V117="","",IF(AND(ISNUMBER($G117),$G117&lt;=IF($S117=MesCiclo,InicioCiclo,$S117+MOD(2-WEEKDAY($S117),7))+13),1,IF(ISNUMBER($J117),$J117,$Y117)))</f>
        <v/>
      </c>
      <c r="AA117" s="62">
        <f>IF($V117="","",IF(AND(ISNUMBER($G117),$G117&lt;=IF($S117=MesCiclo,InicioCiclo,$S117+MOD(2-WEEKDAY($S117),7))+20),1,IF(ISNUMBER($K117),$K117,$Z117)))</f>
        <v/>
      </c>
      <c r="AB117" s="62">
        <f>IF($V117="","",IF(AND(ISNUMBER($G117),$G117&lt;=IF($S117=MesCiclo,InicioCiclo,$S117+MOD(2-WEEKDAY($S117),7))+27),1,IF(ISNUMBER($L117),$L117,$AA117)))</f>
        <v/>
      </c>
      <c r="AC117" s="62">
        <f>IF($V117="","",IF(AND(ISNUMBER($G117),$G117&lt;=IF($S117=MesCiclo,InicioCiclo,$S117+MOD(2-WEEKDAY($S117),7))+6),1,IF(N($W117)&gt;0,AVERAGEIFS($Y$5:$Y$1000,$U$5:$U$1000,ROW(),$V$5:$V$1000,"Sub"),$Y117)))</f>
        <v/>
      </c>
      <c r="AD117" s="62">
        <f>IF($V117="","",IF(AND(ISNUMBER($G117),$G117&lt;=IF($S117=MesCiclo,InicioCiclo,$S117+MOD(2-WEEKDAY($S117),7))+13),1,IF(N($W117)&gt;0,AVERAGEIFS($Z$5:$Z$1000,$U$5:$U$1000,ROW(),$V$5:$V$1000,"Sub"),$Z117)))</f>
        <v/>
      </c>
      <c r="AE117" s="62">
        <f>IF($V117="","",IF(AND(ISNUMBER($G117),$G117&lt;=IF($S117=MesCiclo,InicioCiclo,$S117+MOD(2-WEEKDAY($S117),7))+20),1,IF(N($W117)&gt;0,AVERAGEIFS($AA$5:$AA$1000,$U$5:$U$1000,ROW(),$V$5:$V$1000,"Sub"),$AA117)))</f>
        <v/>
      </c>
      <c r="AF117" s="62">
        <f>IF($V117="","",IF(AND(ISNUMBER($G117),$G117&lt;=IF($S117=MesCiclo,InicioCiclo,$S117+MOD(2-WEEKDAY($S117),7))+27),1,IF(N($W117)&gt;0,AVERAGEIFS($AB$5:$AB$1000,$U$5:$U$1000,ROW(),$V$5:$V$1000,"Sub"),$AB117)))</f>
        <v/>
      </c>
      <c r="AG117" s="62">
        <f>IF($V117&lt;&gt;"Macro","",IF(COUNTIFS($S$5:$S$1000,$S117,$V$5:$V$1000,"Macro",$H$5:$H$1000,"&gt;0")=0,1/COUNTIFS($S$5:$S$1000,$S117,$V$5:$V$1000,"Macro"),IF(AND(ISNUMBER($H117),N($H117)&gt;0),$H117,SUMIFS($H$5:$H$1000,$S$5:$S$1000,$S117,$V$5:$V$1000,"Macro")/COUNTIFS($S$5:$S$1000,$S117,$V$5:$V$1000,"Macro",$H$5:$H$1000,"&gt;0"))/(COUNTIFS($S$5:$S$1000,$S117,$V$5:$V$1000,"Macro")*SUMIFS($H$5:$H$1000,$S$5:$S$1000,$S117,$V$5:$V$1000,"Macro")/COUNTIFS($S$5:$S$1000,$S117,$V$5:$V$1000,"Macro",$H$5:$H$1000,"&gt;0"))))</f>
        <v/>
      </c>
      <c r="AH117" s="62" t="n"/>
      <c r="AI117" s="62" t="n"/>
      <c r="AJ117" s="62" t="n"/>
      <c r="AK117" s="62" t="n"/>
      <c r="AL117" s="62">
        <f>IF(LEFT($C117,11)="[Jefatura] ",IFERROR(MATCH("Asistente Técnico de Riesgo|"&amp;MID($C117,12,500),rDname_ADM,0),0),"")</f>
        <v/>
      </c>
      <c r="AM117" s="62">
        <f>IF(N($AL117)&gt;0,INDEX(rIni_ADM,$AL117),IF(ISNUMBER($E117),$E117,""))</f>
        <v/>
      </c>
      <c r="AN117" s="62">
        <f>IF(N($AL117)&gt;0,INDEX(rLim_ADM,$AL117),IF(ISNUMBER($F117),$F117,""))</f>
        <v/>
      </c>
    </row>
    <row r="118">
      <c r="A118" s="56">
        <f>IF(NOT((COUNTA($B118:$D118)+COUNTA($G118:$L118)+COUNTA($Q118))&gt;0),"",IF($V118="Macro",COUNTIFS($V$5:$V118,"Macro",$S$5:$S118,$S118),IF(N($U118)=0,"?",COUNTIFS(INDEX($V$5:$V$1000,1):INDEX($V$5:$V$1000,$U118-4),"Macro",INDEX($S$5:$S$1000,1):INDEX($S$5:$S$1000,$U118-4),INDEX($S$5:$S$1000,$U118-4))&amp;"."&amp;COUNTIFS($U$5:$U118,$U118,$V$5:$V118,"Sub"))))</f>
        <v/>
      </c>
      <c r="B118" s="57" t="n"/>
      <c r="C118" s="58" t="n"/>
      <c r="D118" s="58" t="n"/>
      <c r="E118" s="59">
        <f>IF(N($AL118)&gt;0,INDEX(rIni_ADM,$AL118),"")</f>
        <v/>
      </c>
      <c r="F118" s="59">
        <f>IF(N($AL118)&gt;0,INDEX(rLim_ADM,$AL118),"")</f>
        <v/>
      </c>
      <c r="G118" s="59" t="n"/>
      <c r="H118" s="60" t="n"/>
      <c r="I118" s="60" t="n"/>
      <c r="J118" s="60" t="n"/>
      <c r="K118" s="60" t="n"/>
      <c r="L118" s="60" t="n"/>
      <c r="M118" s="61">
        <f>IF(NOT((COUNTA($B118:$D118)+COUNTA($G118:$L118)+COUNTA($Q118))&gt;0),"",IF(ISNUMBER($G118),1,IF(N($W118)&gt;0,AVERAGEIFS($X$5:$X$1000,$U$5:$U$1000,ROW(),$V$5:$V$1000,"Sub"),$X118)))</f>
        <v/>
      </c>
      <c r="N118" s="56">
        <f>IF($M118="","",IF($M118&gt;=1,"Completado",IF($M118&gt;0,"En curso","Pendiente")))</f>
        <v/>
      </c>
      <c r="O118" s="56">
        <f>IF(NOT((COUNTA($B118:$D118)+COUNTA($G118:$L118)+COUNTA($Q118))&gt;0),"",IF(ISNUMBER($G118),IF(AND(ISNUMBER($AN118),$G118&gt;$AN118),"Cumplida con "&amp;($G118-$AN118)&amp;IF($G118-$AN118=1," día"," días")&amp;" de retraso","Cumplida"),IF(N($M118)&gt;=1,"Cumplida",IF(NOT(ISNUMBER($AN118)),"Sin fecha límite",IF($AN118&lt;FechaRef,"Vencida hace "&amp;(FechaRef-$AN118)&amp;IF(FechaRef-$AN118=1," día"," días"),IF($AN118=FechaRef,"Vence hoy",IF($AN118-FechaRef&lt;=DiasAlerta,"Vence en "&amp;($AN118-FechaRef)&amp;IF($AN118-FechaRef=1," día"," días"),"En plazo")))))))</f>
        <v/>
      </c>
      <c r="P118" s="62" t="n"/>
      <c r="Q118" s="58" t="n"/>
      <c r="R118" s="63">
        <f>IF(NOT((COUNTA($B118:$D118)+COUNTA($G118:$L118)+COUNTA($Q118))&gt;0),"",IF((IF($C118="","Falta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",""))="","✔ OK","⚠ "&amp;LEFT(IF($C118="","Falta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",""),LEN(IF($C118="","Falta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",""))-3)))</f>
        <v/>
      </c>
      <c r="S118" s="64">
        <f>IF(NOT((COUNTA($B118:$D118)+COUNTA($G118:$L118)+COUNTA($Q118))&gt;0),"",IF(AND($V118="Sub",N($U118)&gt;0),IF(ISNUMBER(INDEX($AM$5:$AM$1000,$U118-4)),DATE(YEAR(INDEX($AM$5:$AM$1000,$U118-4)),MONTH(INDEX($AM$5:$AM$1000,$U118-4)),1),IF(ISNUMBER(INDEX($AN$5:$AN$1000,$U118-4)),DATE(YEAR(INDEX($AN$5:$AN$1000,$U118-4)),MONTH(INDEX($AN$5:$AN$1000,$U118-4)),1),MesCiclo)),IF(ISNUMBER($AM118),DATE(YEAR($AM118),MONTH($AM118),1),IF(ISNUMBER($AN118),DATE(YEAR($AN118),MONTH($AN118),1),MesCiclo))))</f>
        <v/>
      </c>
      <c r="T118" s="62">
        <f>IF(OR($S118="",$S118&lt;&gt;MesCiclo),"",COUNTIF($S$5:$S118,MesCiclo))</f>
        <v/>
      </c>
      <c r="U118" s="62">
        <f>IF($V118="","",IF($V118="Macro",ROW(),IFERROR(LOOKUP(2,1/($V$5:$V118="Macro"),ROW($V$5:$V118)),0)))</f>
        <v/>
      </c>
      <c r="V118" s="62">
        <f>IF(NOT((COUNTA($B118:$D118)+COUNTA($G118:$L118)+COUNTA($Q118))&gt;0),"",IF($B118="Subactividad","Sub","Macro"))</f>
        <v/>
      </c>
      <c r="W118" s="62">
        <f>IF($V118="Macro",COUNTIFS($U$5:$U$1000,ROW(),$V$5:$V$1000,"Sub"),"")</f>
        <v/>
      </c>
      <c r="X118" s="62">
        <f>IF($V118="","",IF(ISNUMBER($G118),1,IFERROR(LOOKUP(2,1/($I118:$L118&lt;&gt;""),$I118:$L118),0)))</f>
        <v/>
      </c>
      <c r="Y118" s="62">
        <f>IF($V118="","",IF(AND(ISNUMBER($G118),$G118&lt;=IF($S118=MesCiclo,InicioCiclo,$S118+MOD(2-WEEKDAY($S118),7))+6),1,IF(ISNUMBER($I118),$I118,0)))</f>
        <v/>
      </c>
      <c r="Z118" s="62">
        <f>IF($V118="","",IF(AND(ISNUMBER($G118),$G118&lt;=IF($S118=MesCiclo,InicioCiclo,$S118+MOD(2-WEEKDAY($S118),7))+13),1,IF(ISNUMBER($J118),$J118,$Y118)))</f>
        <v/>
      </c>
      <c r="AA118" s="62">
        <f>IF($V118="","",IF(AND(ISNUMBER($G118),$G118&lt;=IF($S118=MesCiclo,InicioCiclo,$S118+MOD(2-WEEKDAY($S118),7))+20),1,IF(ISNUMBER($K118),$K118,$Z118)))</f>
        <v/>
      </c>
      <c r="AB118" s="62">
        <f>IF($V118="","",IF(AND(ISNUMBER($G118),$G118&lt;=IF($S118=MesCiclo,InicioCiclo,$S118+MOD(2-WEEKDAY($S118),7))+27),1,IF(ISNUMBER($L118),$L118,$AA118)))</f>
        <v/>
      </c>
      <c r="AC118" s="62">
        <f>IF($V118="","",IF(AND(ISNUMBER($G118),$G118&lt;=IF($S118=MesCiclo,InicioCiclo,$S118+MOD(2-WEEKDAY($S118),7))+6),1,IF(N($W118)&gt;0,AVERAGEIFS($Y$5:$Y$1000,$U$5:$U$1000,ROW(),$V$5:$V$1000,"Sub"),$Y118)))</f>
        <v/>
      </c>
      <c r="AD118" s="62">
        <f>IF($V118="","",IF(AND(ISNUMBER($G118),$G118&lt;=IF($S118=MesCiclo,InicioCiclo,$S118+MOD(2-WEEKDAY($S118),7))+13),1,IF(N($W118)&gt;0,AVERAGEIFS($Z$5:$Z$1000,$U$5:$U$1000,ROW(),$V$5:$V$1000,"Sub"),$Z118)))</f>
        <v/>
      </c>
      <c r="AE118" s="62">
        <f>IF($V118="","",IF(AND(ISNUMBER($G118),$G118&lt;=IF($S118=MesCiclo,InicioCiclo,$S118+MOD(2-WEEKDAY($S118),7))+20),1,IF(N($W118)&gt;0,AVERAGEIFS($AA$5:$AA$1000,$U$5:$U$1000,ROW(),$V$5:$V$1000,"Sub"),$AA118)))</f>
        <v/>
      </c>
      <c r="AF118" s="62">
        <f>IF($V118="","",IF(AND(ISNUMBER($G118),$G118&lt;=IF($S118=MesCiclo,InicioCiclo,$S118+MOD(2-WEEKDAY($S118),7))+27),1,IF(N($W118)&gt;0,AVERAGEIFS($AB$5:$AB$1000,$U$5:$U$1000,ROW(),$V$5:$V$1000,"Sub"),$AB118)))</f>
        <v/>
      </c>
      <c r="AG118" s="62">
        <f>IF($V118&lt;&gt;"Macro","",IF(COUNTIFS($S$5:$S$1000,$S118,$V$5:$V$1000,"Macro",$H$5:$H$1000,"&gt;0")=0,1/COUNTIFS($S$5:$S$1000,$S118,$V$5:$V$1000,"Macro"),IF(AND(ISNUMBER($H118),N($H118)&gt;0),$H118,SUMIFS($H$5:$H$1000,$S$5:$S$1000,$S118,$V$5:$V$1000,"Macro")/COUNTIFS($S$5:$S$1000,$S118,$V$5:$V$1000,"Macro",$H$5:$H$1000,"&gt;0"))/(COUNTIFS($S$5:$S$1000,$S118,$V$5:$V$1000,"Macro")*SUMIFS($H$5:$H$1000,$S$5:$S$1000,$S118,$V$5:$V$1000,"Macro")/COUNTIFS($S$5:$S$1000,$S118,$V$5:$V$1000,"Macro",$H$5:$H$1000,"&gt;0"))))</f>
        <v/>
      </c>
      <c r="AH118" s="62" t="n"/>
      <c r="AI118" s="62" t="n"/>
      <c r="AJ118" s="62" t="n"/>
      <c r="AK118" s="62" t="n"/>
      <c r="AL118" s="62">
        <f>IF(LEFT($C118,11)="[Jefatura] ",IFERROR(MATCH("Asistente Técnico de Riesgo|"&amp;MID($C118,12,500),rDname_ADM,0),0),"")</f>
        <v/>
      </c>
      <c r="AM118" s="62">
        <f>IF(N($AL118)&gt;0,INDEX(rIni_ADM,$AL118),IF(ISNUMBER($E118),$E118,""))</f>
        <v/>
      </c>
      <c r="AN118" s="62">
        <f>IF(N($AL118)&gt;0,INDEX(rLim_ADM,$AL118),IF(ISNUMBER($F118),$F118,""))</f>
        <v/>
      </c>
    </row>
    <row r="119">
      <c r="A119" s="56">
        <f>IF(NOT((COUNTA($B119:$D119)+COUNTA($G119:$L119)+COUNTA($Q119))&gt;0),"",IF($V119="Macro",COUNTIFS($V$5:$V119,"Macro",$S$5:$S119,$S119),IF(N($U119)=0,"?",COUNTIFS(INDEX($V$5:$V$1000,1):INDEX($V$5:$V$1000,$U119-4),"Macro",INDEX($S$5:$S$1000,1):INDEX($S$5:$S$1000,$U119-4),INDEX($S$5:$S$1000,$U119-4))&amp;"."&amp;COUNTIFS($U$5:$U119,$U119,$V$5:$V119,"Sub"))))</f>
        <v/>
      </c>
      <c r="B119" s="57" t="n"/>
      <c r="C119" s="58" t="n"/>
      <c r="D119" s="58" t="n"/>
      <c r="E119" s="59">
        <f>IF(N($AL119)&gt;0,INDEX(rIni_ADM,$AL119),"")</f>
        <v/>
      </c>
      <c r="F119" s="59">
        <f>IF(N($AL119)&gt;0,INDEX(rLim_ADM,$AL119),"")</f>
        <v/>
      </c>
      <c r="G119" s="59" t="n"/>
      <c r="H119" s="60" t="n"/>
      <c r="I119" s="60" t="n"/>
      <c r="J119" s="60" t="n"/>
      <c r="K119" s="60" t="n"/>
      <c r="L119" s="60" t="n"/>
      <c r="M119" s="61">
        <f>IF(NOT((COUNTA($B119:$D119)+COUNTA($G119:$L119)+COUNTA($Q119))&gt;0),"",IF(ISNUMBER($G119),1,IF(N($W119)&gt;0,AVERAGEIFS($X$5:$X$1000,$U$5:$U$1000,ROW(),$V$5:$V$1000,"Sub"),$X119)))</f>
        <v/>
      </c>
      <c r="N119" s="56">
        <f>IF($M119="","",IF($M119&gt;=1,"Completado",IF($M119&gt;0,"En curso","Pendiente")))</f>
        <v/>
      </c>
      <c r="O119" s="56">
        <f>IF(NOT((COUNTA($B119:$D119)+COUNTA($G119:$L119)+COUNTA($Q119))&gt;0),"",IF(ISNUMBER($G119),IF(AND(ISNUMBER($AN119),$G119&gt;$AN119),"Cumplida con "&amp;($G119-$AN119)&amp;IF($G119-$AN119=1," día"," días")&amp;" de retraso","Cumplida"),IF(N($M119)&gt;=1,"Cumplida",IF(NOT(ISNUMBER($AN119)),"Sin fecha límite",IF($AN119&lt;FechaRef,"Vencida hace "&amp;(FechaRef-$AN119)&amp;IF(FechaRef-$AN119=1," día"," días"),IF($AN119=FechaRef,"Vence hoy",IF($AN119-FechaRef&lt;=DiasAlerta,"Vence en "&amp;($AN119-FechaRef)&amp;IF($AN119-FechaRef=1," día"," días"),"En plazo")))))))</f>
        <v/>
      </c>
      <c r="P119" s="62" t="n"/>
      <c r="Q119" s="58" t="n"/>
      <c r="R119" s="63">
        <f>IF(NOT((COUNTA($B119:$D119)+COUNTA($G119:$L119)+COUNTA($Q119))&gt;0),"",IF((IF($C119="","Falta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",""))="","✔ OK","⚠ "&amp;LEFT(IF($C119="","Falta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",""),LEN(IF($C119="","Falta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",""))-3)))</f>
        <v/>
      </c>
      <c r="S119" s="64">
        <f>IF(NOT((COUNTA($B119:$D119)+COUNTA($G119:$L119)+COUNTA($Q119))&gt;0),"",IF(AND($V119="Sub",N($U119)&gt;0),IF(ISNUMBER(INDEX($AM$5:$AM$1000,$U119-4)),DATE(YEAR(INDEX($AM$5:$AM$1000,$U119-4)),MONTH(INDEX($AM$5:$AM$1000,$U119-4)),1),IF(ISNUMBER(INDEX($AN$5:$AN$1000,$U119-4)),DATE(YEAR(INDEX($AN$5:$AN$1000,$U119-4)),MONTH(INDEX($AN$5:$AN$1000,$U119-4)),1),MesCiclo)),IF(ISNUMBER($AM119),DATE(YEAR($AM119),MONTH($AM119),1),IF(ISNUMBER($AN119),DATE(YEAR($AN119),MONTH($AN119),1),MesCiclo))))</f>
        <v/>
      </c>
      <c r="T119" s="62">
        <f>IF(OR($S119="",$S119&lt;&gt;MesCiclo),"",COUNTIF($S$5:$S119,MesCiclo))</f>
        <v/>
      </c>
      <c r="U119" s="62">
        <f>IF($V119="","",IF($V119="Macro",ROW(),IFERROR(LOOKUP(2,1/($V$5:$V119="Macro"),ROW($V$5:$V119)),0)))</f>
        <v/>
      </c>
      <c r="V119" s="62">
        <f>IF(NOT((COUNTA($B119:$D119)+COUNTA($G119:$L119)+COUNTA($Q119))&gt;0),"",IF($B119="Subactividad","Sub","Macro"))</f>
        <v/>
      </c>
      <c r="W119" s="62">
        <f>IF($V119="Macro",COUNTIFS($U$5:$U$1000,ROW(),$V$5:$V$1000,"Sub"),"")</f>
        <v/>
      </c>
      <c r="X119" s="62">
        <f>IF($V119="","",IF(ISNUMBER($G119),1,IFERROR(LOOKUP(2,1/($I119:$L119&lt;&gt;""),$I119:$L119),0)))</f>
        <v/>
      </c>
      <c r="Y119" s="62">
        <f>IF($V119="","",IF(AND(ISNUMBER($G119),$G119&lt;=IF($S119=MesCiclo,InicioCiclo,$S119+MOD(2-WEEKDAY($S119),7))+6),1,IF(ISNUMBER($I119),$I119,0)))</f>
        <v/>
      </c>
      <c r="Z119" s="62">
        <f>IF($V119="","",IF(AND(ISNUMBER($G119),$G119&lt;=IF($S119=MesCiclo,InicioCiclo,$S119+MOD(2-WEEKDAY($S119),7))+13),1,IF(ISNUMBER($J119),$J119,$Y119)))</f>
        <v/>
      </c>
      <c r="AA119" s="62">
        <f>IF($V119="","",IF(AND(ISNUMBER($G119),$G119&lt;=IF($S119=MesCiclo,InicioCiclo,$S119+MOD(2-WEEKDAY($S119),7))+20),1,IF(ISNUMBER($K119),$K119,$Z119)))</f>
        <v/>
      </c>
      <c r="AB119" s="62">
        <f>IF($V119="","",IF(AND(ISNUMBER($G119),$G119&lt;=IF($S119=MesCiclo,InicioCiclo,$S119+MOD(2-WEEKDAY($S119),7))+27),1,IF(ISNUMBER($L119),$L119,$AA119)))</f>
        <v/>
      </c>
      <c r="AC119" s="62">
        <f>IF($V119="","",IF(AND(ISNUMBER($G119),$G119&lt;=IF($S119=MesCiclo,InicioCiclo,$S119+MOD(2-WEEKDAY($S119),7))+6),1,IF(N($W119)&gt;0,AVERAGEIFS($Y$5:$Y$1000,$U$5:$U$1000,ROW(),$V$5:$V$1000,"Sub"),$Y119)))</f>
        <v/>
      </c>
      <c r="AD119" s="62">
        <f>IF($V119="","",IF(AND(ISNUMBER($G119),$G119&lt;=IF($S119=MesCiclo,InicioCiclo,$S119+MOD(2-WEEKDAY($S119),7))+13),1,IF(N($W119)&gt;0,AVERAGEIFS($Z$5:$Z$1000,$U$5:$U$1000,ROW(),$V$5:$V$1000,"Sub"),$Z119)))</f>
        <v/>
      </c>
      <c r="AE119" s="62">
        <f>IF($V119="","",IF(AND(ISNUMBER($G119),$G119&lt;=IF($S119=MesCiclo,InicioCiclo,$S119+MOD(2-WEEKDAY($S119),7))+20),1,IF(N($W119)&gt;0,AVERAGEIFS($AA$5:$AA$1000,$U$5:$U$1000,ROW(),$V$5:$V$1000,"Sub"),$AA119)))</f>
        <v/>
      </c>
      <c r="AF119" s="62">
        <f>IF($V119="","",IF(AND(ISNUMBER($G119),$G119&lt;=IF($S119=MesCiclo,InicioCiclo,$S119+MOD(2-WEEKDAY($S119),7))+27),1,IF(N($W119)&gt;0,AVERAGEIFS($AB$5:$AB$1000,$U$5:$U$1000,ROW(),$V$5:$V$1000,"Sub"),$AB119)))</f>
        <v/>
      </c>
      <c r="AG119" s="62">
        <f>IF($V119&lt;&gt;"Macro","",IF(COUNTIFS($S$5:$S$1000,$S119,$V$5:$V$1000,"Macro",$H$5:$H$1000,"&gt;0")=0,1/COUNTIFS($S$5:$S$1000,$S119,$V$5:$V$1000,"Macro"),IF(AND(ISNUMBER($H119),N($H119)&gt;0),$H119,SUMIFS($H$5:$H$1000,$S$5:$S$1000,$S119,$V$5:$V$1000,"Macro")/COUNTIFS($S$5:$S$1000,$S119,$V$5:$V$1000,"Macro",$H$5:$H$1000,"&gt;0"))/(COUNTIFS($S$5:$S$1000,$S119,$V$5:$V$1000,"Macro")*SUMIFS($H$5:$H$1000,$S$5:$S$1000,$S119,$V$5:$V$1000,"Macro")/COUNTIFS($S$5:$S$1000,$S119,$V$5:$V$1000,"Macro",$H$5:$H$1000,"&gt;0"))))</f>
        <v/>
      </c>
      <c r="AH119" s="62" t="n"/>
      <c r="AI119" s="62" t="n"/>
      <c r="AJ119" s="62" t="n"/>
      <c r="AK119" s="62" t="n"/>
      <c r="AL119" s="62">
        <f>IF(LEFT($C119,11)="[Jefatura] ",IFERROR(MATCH("Asistente Técnico de Riesgo|"&amp;MID($C119,12,500),rDname_ADM,0),0),"")</f>
        <v/>
      </c>
      <c r="AM119" s="62">
        <f>IF(N($AL119)&gt;0,INDEX(rIni_ADM,$AL119),IF(ISNUMBER($E119),$E119,""))</f>
        <v/>
      </c>
      <c r="AN119" s="62">
        <f>IF(N($AL119)&gt;0,INDEX(rLim_ADM,$AL119),IF(ISNUMBER($F119),$F119,""))</f>
        <v/>
      </c>
    </row>
    <row r="120">
      <c r="A120" s="56">
        <f>IF(NOT((COUNTA($B120:$D120)+COUNTA($G120:$L120)+COUNTA($Q120))&gt;0),"",IF($V120="Macro",COUNTIFS($V$5:$V120,"Macro",$S$5:$S120,$S120),IF(N($U120)=0,"?",COUNTIFS(INDEX($V$5:$V$1000,1):INDEX($V$5:$V$1000,$U120-4),"Macro",INDEX($S$5:$S$1000,1):INDEX($S$5:$S$1000,$U120-4),INDEX($S$5:$S$1000,$U120-4))&amp;"."&amp;COUNTIFS($U$5:$U120,$U120,$V$5:$V120,"Sub"))))</f>
        <v/>
      </c>
      <c r="B120" s="57" t="n"/>
      <c r="C120" s="58" t="n"/>
      <c r="D120" s="58" t="n"/>
      <c r="E120" s="59">
        <f>IF(N($AL120)&gt;0,INDEX(rIni_ADM,$AL120),"")</f>
        <v/>
      </c>
      <c r="F120" s="59">
        <f>IF(N($AL120)&gt;0,INDEX(rLim_ADM,$AL120),"")</f>
        <v/>
      </c>
      <c r="G120" s="59" t="n"/>
      <c r="H120" s="60" t="n"/>
      <c r="I120" s="60" t="n"/>
      <c r="J120" s="60" t="n"/>
      <c r="K120" s="60" t="n"/>
      <c r="L120" s="60" t="n"/>
      <c r="M120" s="61">
        <f>IF(NOT((COUNTA($B120:$D120)+COUNTA($G120:$L120)+COUNTA($Q120))&gt;0),"",IF(ISNUMBER($G120),1,IF(N($W120)&gt;0,AVERAGEIFS($X$5:$X$1000,$U$5:$U$1000,ROW(),$V$5:$V$1000,"Sub"),$X120)))</f>
        <v/>
      </c>
      <c r="N120" s="56">
        <f>IF($M120="","",IF($M120&gt;=1,"Completado",IF($M120&gt;0,"En curso","Pendiente")))</f>
        <v/>
      </c>
      <c r="O120" s="56">
        <f>IF(NOT((COUNTA($B120:$D120)+COUNTA($G120:$L120)+COUNTA($Q120))&gt;0),"",IF(ISNUMBER($G120),IF(AND(ISNUMBER($AN120),$G120&gt;$AN120),"Cumplida con "&amp;($G120-$AN120)&amp;IF($G120-$AN120=1," día"," días")&amp;" de retraso","Cumplida"),IF(N($M120)&gt;=1,"Cumplida",IF(NOT(ISNUMBER($AN120)),"Sin fecha límite",IF($AN120&lt;FechaRef,"Vencida hace "&amp;(FechaRef-$AN120)&amp;IF(FechaRef-$AN120=1," día"," días"),IF($AN120=FechaRef,"Vence hoy",IF($AN120-FechaRef&lt;=DiasAlerta,"Vence en "&amp;($AN120-FechaRef)&amp;IF($AN120-FechaRef=1," día"," días"),"En plazo")))))))</f>
        <v/>
      </c>
      <c r="P120" s="62" t="n"/>
      <c r="Q120" s="58" t="n"/>
      <c r="R120" s="63">
        <f>IF(NOT((COUNTA($B120:$D120)+COUNTA($G120:$L120)+COUNTA($Q120))&gt;0),"",IF((IF($C120="","Falta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",""))="","✔ OK","⚠ "&amp;LEFT(IF($C120="","Falta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",""),LEN(IF($C120="","Falta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",""))-3)))</f>
        <v/>
      </c>
      <c r="S120" s="64">
        <f>IF(NOT((COUNTA($B120:$D120)+COUNTA($G120:$L120)+COUNTA($Q120))&gt;0),"",IF(AND($V120="Sub",N($U120)&gt;0),IF(ISNUMBER(INDEX($AM$5:$AM$1000,$U120-4)),DATE(YEAR(INDEX($AM$5:$AM$1000,$U120-4)),MONTH(INDEX($AM$5:$AM$1000,$U120-4)),1),IF(ISNUMBER(INDEX($AN$5:$AN$1000,$U120-4)),DATE(YEAR(INDEX($AN$5:$AN$1000,$U120-4)),MONTH(INDEX($AN$5:$AN$1000,$U120-4)),1),MesCiclo)),IF(ISNUMBER($AM120),DATE(YEAR($AM120),MONTH($AM120),1),IF(ISNUMBER($AN120),DATE(YEAR($AN120),MONTH($AN120),1),MesCiclo))))</f>
        <v/>
      </c>
      <c r="T120" s="62">
        <f>IF(OR($S120="",$S120&lt;&gt;MesCiclo),"",COUNTIF($S$5:$S120,MesCiclo))</f>
        <v/>
      </c>
      <c r="U120" s="62">
        <f>IF($V120="","",IF($V120="Macro",ROW(),IFERROR(LOOKUP(2,1/($V$5:$V120="Macro"),ROW($V$5:$V120)),0)))</f>
        <v/>
      </c>
      <c r="V120" s="62">
        <f>IF(NOT((COUNTA($B120:$D120)+COUNTA($G120:$L120)+COUNTA($Q120))&gt;0),"",IF($B120="Subactividad","Sub","Macro"))</f>
        <v/>
      </c>
      <c r="W120" s="62">
        <f>IF($V120="Macro",COUNTIFS($U$5:$U$1000,ROW(),$V$5:$V$1000,"Sub"),"")</f>
        <v/>
      </c>
      <c r="X120" s="62">
        <f>IF($V120="","",IF(ISNUMBER($G120),1,IFERROR(LOOKUP(2,1/($I120:$L120&lt;&gt;""),$I120:$L120),0)))</f>
        <v/>
      </c>
      <c r="Y120" s="62">
        <f>IF($V120="","",IF(AND(ISNUMBER($G120),$G120&lt;=IF($S120=MesCiclo,InicioCiclo,$S120+MOD(2-WEEKDAY($S120),7))+6),1,IF(ISNUMBER($I120),$I120,0)))</f>
        <v/>
      </c>
      <c r="Z120" s="62">
        <f>IF($V120="","",IF(AND(ISNUMBER($G120),$G120&lt;=IF($S120=MesCiclo,InicioCiclo,$S120+MOD(2-WEEKDAY($S120),7))+13),1,IF(ISNUMBER($J120),$J120,$Y120)))</f>
        <v/>
      </c>
      <c r="AA120" s="62">
        <f>IF($V120="","",IF(AND(ISNUMBER($G120),$G120&lt;=IF($S120=MesCiclo,InicioCiclo,$S120+MOD(2-WEEKDAY($S120),7))+20),1,IF(ISNUMBER($K120),$K120,$Z120)))</f>
        <v/>
      </c>
      <c r="AB120" s="62">
        <f>IF($V120="","",IF(AND(ISNUMBER($G120),$G120&lt;=IF($S120=MesCiclo,InicioCiclo,$S120+MOD(2-WEEKDAY($S120),7))+27),1,IF(ISNUMBER($L120),$L120,$AA120)))</f>
        <v/>
      </c>
      <c r="AC120" s="62">
        <f>IF($V120="","",IF(AND(ISNUMBER($G120),$G120&lt;=IF($S120=MesCiclo,InicioCiclo,$S120+MOD(2-WEEKDAY($S120),7))+6),1,IF(N($W120)&gt;0,AVERAGEIFS($Y$5:$Y$1000,$U$5:$U$1000,ROW(),$V$5:$V$1000,"Sub"),$Y120)))</f>
        <v/>
      </c>
      <c r="AD120" s="62">
        <f>IF($V120="","",IF(AND(ISNUMBER($G120),$G120&lt;=IF($S120=MesCiclo,InicioCiclo,$S120+MOD(2-WEEKDAY($S120),7))+13),1,IF(N($W120)&gt;0,AVERAGEIFS($Z$5:$Z$1000,$U$5:$U$1000,ROW(),$V$5:$V$1000,"Sub"),$Z120)))</f>
        <v/>
      </c>
      <c r="AE120" s="62">
        <f>IF($V120="","",IF(AND(ISNUMBER($G120),$G120&lt;=IF($S120=MesCiclo,InicioCiclo,$S120+MOD(2-WEEKDAY($S120),7))+20),1,IF(N($W120)&gt;0,AVERAGEIFS($AA$5:$AA$1000,$U$5:$U$1000,ROW(),$V$5:$V$1000,"Sub"),$AA120)))</f>
        <v/>
      </c>
      <c r="AF120" s="62">
        <f>IF($V120="","",IF(AND(ISNUMBER($G120),$G120&lt;=IF($S120=MesCiclo,InicioCiclo,$S120+MOD(2-WEEKDAY($S120),7))+27),1,IF(N($W120)&gt;0,AVERAGEIFS($AB$5:$AB$1000,$U$5:$U$1000,ROW(),$V$5:$V$1000,"Sub"),$AB120)))</f>
        <v/>
      </c>
      <c r="AG120" s="62">
        <f>IF($V120&lt;&gt;"Macro","",IF(COUNTIFS($S$5:$S$1000,$S120,$V$5:$V$1000,"Macro",$H$5:$H$1000,"&gt;0")=0,1/COUNTIFS($S$5:$S$1000,$S120,$V$5:$V$1000,"Macro"),IF(AND(ISNUMBER($H120),N($H120)&gt;0),$H120,SUMIFS($H$5:$H$1000,$S$5:$S$1000,$S120,$V$5:$V$1000,"Macro")/COUNTIFS($S$5:$S$1000,$S120,$V$5:$V$1000,"Macro",$H$5:$H$1000,"&gt;0"))/(COUNTIFS($S$5:$S$1000,$S120,$V$5:$V$1000,"Macro")*SUMIFS($H$5:$H$1000,$S$5:$S$1000,$S120,$V$5:$V$1000,"Macro")/COUNTIFS($S$5:$S$1000,$S120,$V$5:$V$1000,"Macro",$H$5:$H$1000,"&gt;0"))))</f>
        <v/>
      </c>
      <c r="AH120" s="62" t="n"/>
      <c r="AI120" s="62" t="n"/>
      <c r="AJ120" s="62" t="n"/>
      <c r="AK120" s="62" t="n"/>
      <c r="AL120" s="62">
        <f>IF(LEFT($C120,11)="[Jefatura] ",IFERROR(MATCH("Asistente Técnico de Riesgo|"&amp;MID($C120,12,500),rDname_ADM,0),0),"")</f>
        <v/>
      </c>
      <c r="AM120" s="62">
        <f>IF(N($AL120)&gt;0,INDEX(rIni_ADM,$AL120),IF(ISNUMBER($E120),$E120,""))</f>
        <v/>
      </c>
      <c r="AN120" s="62">
        <f>IF(N($AL120)&gt;0,INDEX(rLim_ADM,$AL120),IF(ISNUMBER($F120),$F120,""))</f>
        <v/>
      </c>
    </row>
    <row r="121">
      <c r="A121" s="56">
        <f>IF(NOT((COUNTA($B121:$D121)+COUNTA($G121:$L121)+COUNTA($Q121))&gt;0),"",IF($V121="Macro",COUNTIFS($V$5:$V121,"Macro",$S$5:$S121,$S121),IF(N($U121)=0,"?",COUNTIFS(INDEX($V$5:$V$1000,1):INDEX($V$5:$V$1000,$U121-4),"Macro",INDEX($S$5:$S$1000,1):INDEX($S$5:$S$1000,$U121-4),INDEX($S$5:$S$1000,$U121-4))&amp;"."&amp;COUNTIFS($U$5:$U121,$U121,$V$5:$V121,"Sub"))))</f>
        <v/>
      </c>
      <c r="B121" s="57" t="n"/>
      <c r="C121" s="58" t="n"/>
      <c r="D121" s="58" t="n"/>
      <c r="E121" s="59">
        <f>IF(N($AL121)&gt;0,INDEX(rIni_ADM,$AL121),"")</f>
        <v/>
      </c>
      <c r="F121" s="59">
        <f>IF(N($AL121)&gt;0,INDEX(rLim_ADM,$AL121),"")</f>
        <v/>
      </c>
      <c r="G121" s="59" t="n"/>
      <c r="H121" s="60" t="n"/>
      <c r="I121" s="60" t="n"/>
      <c r="J121" s="60" t="n"/>
      <c r="K121" s="60" t="n"/>
      <c r="L121" s="60" t="n"/>
      <c r="M121" s="61">
        <f>IF(NOT((COUNTA($B121:$D121)+COUNTA($G121:$L121)+COUNTA($Q121))&gt;0),"",IF(ISNUMBER($G121),1,IF(N($W121)&gt;0,AVERAGEIFS($X$5:$X$1000,$U$5:$U$1000,ROW(),$V$5:$V$1000,"Sub"),$X121)))</f>
        <v/>
      </c>
      <c r="N121" s="56">
        <f>IF($M121="","",IF($M121&gt;=1,"Completado",IF($M121&gt;0,"En curso","Pendiente")))</f>
        <v/>
      </c>
      <c r="O121" s="56">
        <f>IF(NOT((COUNTA($B121:$D121)+COUNTA($G121:$L121)+COUNTA($Q121))&gt;0),"",IF(ISNUMBER($G121),IF(AND(ISNUMBER($AN121),$G121&gt;$AN121),"Cumplida con "&amp;($G121-$AN121)&amp;IF($G121-$AN121=1," día"," días")&amp;" de retraso","Cumplida"),IF(N($M121)&gt;=1,"Cumplida",IF(NOT(ISNUMBER($AN121)),"Sin fecha límite",IF($AN121&lt;FechaRef,"Vencida hace "&amp;(FechaRef-$AN121)&amp;IF(FechaRef-$AN121=1," día"," días"),IF($AN121=FechaRef,"Vence hoy",IF($AN121-FechaRef&lt;=DiasAlerta,"Vence en "&amp;($AN121-FechaRef)&amp;IF($AN121-FechaRef=1," día"," días"),"En plazo")))))))</f>
        <v/>
      </c>
      <c r="P121" s="62" t="n"/>
      <c r="Q121" s="58" t="n"/>
      <c r="R121" s="63">
        <f>IF(NOT((COUNTA($B121:$D121)+COUNTA($G121:$L121)+COUNTA($Q121))&gt;0),"",IF((IF($C121="","Falta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",""))="","✔ OK","⚠ "&amp;LEFT(IF($C121="","Falta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",""),LEN(IF($C121="","Falta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",""))-3)))</f>
        <v/>
      </c>
      <c r="S121" s="64">
        <f>IF(NOT((COUNTA($B121:$D121)+COUNTA($G121:$L121)+COUNTA($Q121))&gt;0),"",IF(AND($V121="Sub",N($U121)&gt;0),IF(ISNUMBER(INDEX($AM$5:$AM$1000,$U121-4)),DATE(YEAR(INDEX($AM$5:$AM$1000,$U121-4)),MONTH(INDEX($AM$5:$AM$1000,$U121-4)),1),IF(ISNUMBER(INDEX($AN$5:$AN$1000,$U121-4)),DATE(YEAR(INDEX($AN$5:$AN$1000,$U121-4)),MONTH(INDEX($AN$5:$AN$1000,$U121-4)),1),MesCiclo)),IF(ISNUMBER($AM121),DATE(YEAR($AM121),MONTH($AM121),1),IF(ISNUMBER($AN121),DATE(YEAR($AN121),MONTH($AN121),1),MesCiclo))))</f>
        <v/>
      </c>
      <c r="T121" s="62">
        <f>IF(OR($S121="",$S121&lt;&gt;MesCiclo),"",COUNTIF($S$5:$S121,MesCiclo))</f>
        <v/>
      </c>
      <c r="U121" s="62">
        <f>IF($V121="","",IF($V121="Macro",ROW(),IFERROR(LOOKUP(2,1/($V$5:$V121="Macro"),ROW($V$5:$V121)),0)))</f>
        <v/>
      </c>
      <c r="V121" s="62">
        <f>IF(NOT((COUNTA($B121:$D121)+COUNTA($G121:$L121)+COUNTA($Q121))&gt;0),"",IF($B121="Subactividad","Sub","Macro"))</f>
        <v/>
      </c>
      <c r="W121" s="62">
        <f>IF($V121="Macro",COUNTIFS($U$5:$U$1000,ROW(),$V$5:$V$1000,"Sub"),"")</f>
        <v/>
      </c>
      <c r="X121" s="62">
        <f>IF($V121="","",IF(ISNUMBER($G121),1,IFERROR(LOOKUP(2,1/($I121:$L121&lt;&gt;""),$I121:$L121),0)))</f>
        <v/>
      </c>
      <c r="Y121" s="62">
        <f>IF($V121="","",IF(AND(ISNUMBER($G121),$G121&lt;=IF($S121=MesCiclo,InicioCiclo,$S121+MOD(2-WEEKDAY($S121),7))+6),1,IF(ISNUMBER($I121),$I121,0)))</f>
        <v/>
      </c>
      <c r="Z121" s="62">
        <f>IF($V121="","",IF(AND(ISNUMBER($G121),$G121&lt;=IF($S121=MesCiclo,InicioCiclo,$S121+MOD(2-WEEKDAY($S121),7))+13),1,IF(ISNUMBER($J121),$J121,$Y121)))</f>
        <v/>
      </c>
      <c r="AA121" s="62">
        <f>IF($V121="","",IF(AND(ISNUMBER($G121),$G121&lt;=IF($S121=MesCiclo,InicioCiclo,$S121+MOD(2-WEEKDAY($S121),7))+20),1,IF(ISNUMBER($K121),$K121,$Z121)))</f>
        <v/>
      </c>
      <c r="AB121" s="62">
        <f>IF($V121="","",IF(AND(ISNUMBER($G121),$G121&lt;=IF($S121=MesCiclo,InicioCiclo,$S121+MOD(2-WEEKDAY($S121),7))+27),1,IF(ISNUMBER($L121),$L121,$AA121)))</f>
        <v/>
      </c>
      <c r="AC121" s="62">
        <f>IF($V121="","",IF(AND(ISNUMBER($G121),$G121&lt;=IF($S121=MesCiclo,InicioCiclo,$S121+MOD(2-WEEKDAY($S121),7))+6),1,IF(N($W121)&gt;0,AVERAGEIFS($Y$5:$Y$1000,$U$5:$U$1000,ROW(),$V$5:$V$1000,"Sub"),$Y121)))</f>
        <v/>
      </c>
      <c r="AD121" s="62">
        <f>IF($V121="","",IF(AND(ISNUMBER($G121),$G121&lt;=IF($S121=MesCiclo,InicioCiclo,$S121+MOD(2-WEEKDAY($S121),7))+13),1,IF(N($W121)&gt;0,AVERAGEIFS($Z$5:$Z$1000,$U$5:$U$1000,ROW(),$V$5:$V$1000,"Sub"),$Z121)))</f>
        <v/>
      </c>
      <c r="AE121" s="62">
        <f>IF($V121="","",IF(AND(ISNUMBER($G121),$G121&lt;=IF($S121=MesCiclo,InicioCiclo,$S121+MOD(2-WEEKDAY($S121),7))+20),1,IF(N($W121)&gt;0,AVERAGEIFS($AA$5:$AA$1000,$U$5:$U$1000,ROW(),$V$5:$V$1000,"Sub"),$AA121)))</f>
        <v/>
      </c>
      <c r="AF121" s="62">
        <f>IF($V121="","",IF(AND(ISNUMBER($G121),$G121&lt;=IF($S121=MesCiclo,InicioCiclo,$S121+MOD(2-WEEKDAY($S121),7))+27),1,IF(N($W121)&gt;0,AVERAGEIFS($AB$5:$AB$1000,$U$5:$U$1000,ROW(),$V$5:$V$1000,"Sub"),$AB121)))</f>
        <v/>
      </c>
      <c r="AG121" s="62">
        <f>IF($V121&lt;&gt;"Macro","",IF(COUNTIFS($S$5:$S$1000,$S121,$V$5:$V$1000,"Macro",$H$5:$H$1000,"&gt;0")=0,1/COUNTIFS($S$5:$S$1000,$S121,$V$5:$V$1000,"Macro"),IF(AND(ISNUMBER($H121),N($H121)&gt;0),$H121,SUMIFS($H$5:$H$1000,$S$5:$S$1000,$S121,$V$5:$V$1000,"Macro")/COUNTIFS($S$5:$S$1000,$S121,$V$5:$V$1000,"Macro",$H$5:$H$1000,"&gt;0"))/(COUNTIFS($S$5:$S$1000,$S121,$V$5:$V$1000,"Macro")*SUMIFS($H$5:$H$1000,$S$5:$S$1000,$S121,$V$5:$V$1000,"Macro")/COUNTIFS($S$5:$S$1000,$S121,$V$5:$V$1000,"Macro",$H$5:$H$1000,"&gt;0"))))</f>
        <v/>
      </c>
      <c r="AH121" s="62" t="n"/>
      <c r="AI121" s="62" t="n"/>
      <c r="AJ121" s="62" t="n"/>
      <c r="AK121" s="62" t="n"/>
      <c r="AL121" s="62">
        <f>IF(LEFT($C121,11)="[Jefatura] ",IFERROR(MATCH("Asistente Técnico de Riesgo|"&amp;MID($C121,12,500),rDname_ADM,0),0),"")</f>
        <v/>
      </c>
      <c r="AM121" s="62">
        <f>IF(N($AL121)&gt;0,INDEX(rIni_ADM,$AL121),IF(ISNUMBER($E121),$E121,""))</f>
        <v/>
      </c>
      <c r="AN121" s="62">
        <f>IF(N($AL121)&gt;0,INDEX(rLim_ADM,$AL121),IF(ISNUMBER($F121),$F121,""))</f>
        <v/>
      </c>
    </row>
    <row r="122">
      <c r="A122" s="56">
        <f>IF(NOT((COUNTA($B122:$D122)+COUNTA($G122:$L122)+COUNTA($Q122))&gt;0),"",IF($V122="Macro",COUNTIFS($V$5:$V122,"Macro",$S$5:$S122,$S122),IF(N($U122)=0,"?",COUNTIFS(INDEX($V$5:$V$1000,1):INDEX($V$5:$V$1000,$U122-4),"Macro",INDEX($S$5:$S$1000,1):INDEX($S$5:$S$1000,$U122-4),INDEX($S$5:$S$1000,$U122-4))&amp;"."&amp;COUNTIFS($U$5:$U122,$U122,$V$5:$V122,"Sub"))))</f>
        <v/>
      </c>
      <c r="B122" s="57" t="n"/>
      <c r="C122" s="58" t="n"/>
      <c r="D122" s="58" t="n"/>
      <c r="E122" s="59">
        <f>IF(N($AL122)&gt;0,INDEX(rIni_ADM,$AL122),"")</f>
        <v/>
      </c>
      <c r="F122" s="59">
        <f>IF(N($AL122)&gt;0,INDEX(rLim_ADM,$AL122),"")</f>
        <v/>
      </c>
      <c r="G122" s="59" t="n"/>
      <c r="H122" s="60" t="n"/>
      <c r="I122" s="60" t="n"/>
      <c r="J122" s="60" t="n"/>
      <c r="K122" s="60" t="n"/>
      <c r="L122" s="60" t="n"/>
      <c r="M122" s="61">
        <f>IF(NOT((COUNTA($B122:$D122)+COUNTA($G122:$L122)+COUNTA($Q122))&gt;0),"",IF(ISNUMBER($G122),1,IF(N($W122)&gt;0,AVERAGEIFS($X$5:$X$1000,$U$5:$U$1000,ROW(),$V$5:$V$1000,"Sub"),$X122)))</f>
        <v/>
      </c>
      <c r="N122" s="56">
        <f>IF($M122="","",IF($M122&gt;=1,"Completado",IF($M122&gt;0,"En curso","Pendiente")))</f>
        <v/>
      </c>
      <c r="O122" s="56">
        <f>IF(NOT((COUNTA($B122:$D122)+COUNTA($G122:$L122)+COUNTA($Q122))&gt;0),"",IF(ISNUMBER($G122),IF(AND(ISNUMBER($AN122),$G122&gt;$AN122),"Cumplida con "&amp;($G122-$AN122)&amp;IF($G122-$AN122=1," día"," días")&amp;" de retraso","Cumplida"),IF(N($M122)&gt;=1,"Cumplida",IF(NOT(ISNUMBER($AN122)),"Sin fecha límite",IF($AN122&lt;FechaRef,"Vencida hace "&amp;(FechaRef-$AN122)&amp;IF(FechaRef-$AN122=1," día"," días"),IF($AN122=FechaRef,"Vence hoy",IF($AN122-FechaRef&lt;=DiasAlerta,"Vence en "&amp;($AN122-FechaRef)&amp;IF($AN122-FechaRef=1," día"," días"),"En plazo")))))))</f>
        <v/>
      </c>
      <c r="P122" s="62" t="n"/>
      <c r="Q122" s="58" t="n"/>
      <c r="R122" s="63">
        <f>IF(NOT((COUNTA($B122:$D122)+COUNTA($G122:$L122)+COUNTA($Q122))&gt;0),"",IF((IF($C122="","Falta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",""))="","✔ OK","⚠ "&amp;LEFT(IF($C122="","Falta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",""),LEN(IF($C122="","Falta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",""))-3)))</f>
        <v/>
      </c>
      <c r="S122" s="64">
        <f>IF(NOT((COUNTA($B122:$D122)+COUNTA($G122:$L122)+COUNTA($Q122))&gt;0),"",IF(AND($V122="Sub",N($U122)&gt;0),IF(ISNUMBER(INDEX($AM$5:$AM$1000,$U122-4)),DATE(YEAR(INDEX($AM$5:$AM$1000,$U122-4)),MONTH(INDEX($AM$5:$AM$1000,$U122-4)),1),IF(ISNUMBER(INDEX($AN$5:$AN$1000,$U122-4)),DATE(YEAR(INDEX($AN$5:$AN$1000,$U122-4)),MONTH(INDEX($AN$5:$AN$1000,$U122-4)),1),MesCiclo)),IF(ISNUMBER($AM122),DATE(YEAR($AM122),MONTH($AM122),1),IF(ISNUMBER($AN122),DATE(YEAR($AN122),MONTH($AN122),1),MesCiclo))))</f>
        <v/>
      </c>
      <c r="T122" s="62">
        <f>IF(OR($S122="",$S122&lt;&gt;MesCiclo),"",COUNTIF($S$5:$S122,MesCiclo))</f>
        <v/>
      </c>
      <c r="U122" s="62">
        <f>IF($V122="","",IF($V122="Macro",ROW(),IFERROR(LOOKUP(2,1/($V$5:$V122="Macro"),ROW($V$5:$V122)),0)))</f>
        <v/>
      </c>
      <c r="V122" s="62">
        <f>IF(NOT((COUNTA($B122:$D122)+COUNTA($G122:$L122)+COUNTA($Q122))&gt;0),"",IF($B122="Subactividad","Sub","Macro"))</f>
        <v/>
      </c>
      <c r="W122" s="62">
        <f>IF($V122="Macro",COUNTIFS($U$5:$U$1000,ROW(),$V$5:$V$1000,"Sub"),"")</f>
        <v/>
      </c>
      <c r="X122" s="62">
        <f>IF($V122="","",IF(ISNUMBER($G122),1,IFERROR(LOOKUP(2,1/($I122:$L122&lt;&gt;""),$I122:$L122),0)))</f>
        <v/>
      </c>
      <c r="Y122" s="62">
        <f>IF($V122="","",IF(AND(ISNUMBER($G122),$G122&lt;=IF($S122=MesCiclo,InicioCiclo,$S122+MOD(2-WEEKDAY($S122),7))+6),1,IF(ISNUMBER($I122),$I122,0)))</f>
        <v/>
      </c>
      <c r="Z122" s="62">
        <f>IF($V122="","",IF(AND(ISNUMBER($G122),$G122&lt;=IF($S122=MesCiclo,InicioCiclo,$S122+MOD(2-WEEKDAY($S122),7))+13),1,IF(ISNUMBER($J122),$J122,$Y122)))</f>
        <v/>
      </c>
      <c r="AA122" s="62">
        <f>IF($V122="","",IF(AND(ISNUMBER($G122),$G122&lt;=IF($S122=MesCiclo,InicioCiclo,$S122+MOD(2-WEEKDAY($S122),7))+20),1,IF(ISNUMBER($K122),$K122,$Z122)))</f>
        <v/>
      </c>
      <c r="AB122" s="62">
        <f>IF($V122="","",IF(AND(ISNUMBER($G122),$G122&lt;=IF($S122=MesCiclo,InicioCiclo,$S122+MOD(2-WEEKDAY($S122),7))+27),1,IF(ISNUMBER($L122),$L122,$AA122)))</f>
        <v/>
      </c>
      <c r="AC122" s="62">
        <f>IF($V122="","",IF(AND(ISNUMBER($G122),$G122&lt;=IF($S122=MesCiclo,InicioCiclo,$S122+MOD(2-WEEKDAY($S122),7))+6),1,IF(N($W122)&gt;0,AVERAGEIFS($Y$5:$Y$1000,$U$5:$U$1000,ROW(),$V$5:$V$1000,"Sub"),$Y122)))</f>
        <v/>
      </c>
      <c r="AD122" s="62">
        <f>IF($V122="","",IF(AND(ISNUMBER($G122),$G122&lt;=IF($S122=MesCiclo,InicioCiclo,$S122+MOD(2-WEEKDAY($S122),7))+13),1,IF(N($W122)&gt;0,AVERAGEIFS($Z$5:$Z$1000,$U$5:$U$1000,ROW(),$V$5:$V$1000,"Sub"),$Z122)))</f>
        <v/>
      </c>
      <c r="AE122" s="62">
        <f>IF($V122="","",IF(AND(ISNUMBER($G122),$G122&lt;=IF($S122=MesCiclo,InicioCiclo,$S122+MOD(2-WEEKDAY($S122),7))+20),1,IF(N($W122)&gt;0,AVERAGEIFS($AA$5:$AA$1000,$U$5:$U$1000,ROW(),$V$5:$V$1000,"Sub"),$AA122)))</f>
        <v/>
      </c>
      <c r="AF122" s="62">
        <f>IF($V122="","",IF(AND(ISNUMBER($G122),$G122&lt;=IF($S122=MesCiclo,InicioCiclo,$S122+MOD(2-WEEKDAY($S122),7))+27),1,IF(N($W122)&gt;0,AVERAGEIFS($AB$5:$AB$1000,$U$5:$U$1000,ROW(),$V$5:$V$1000,"Sub"),$AB122)))</f>
        <v/>
      </c>
      <c r="AG122" s="62">
        <f>IF($V122&lt;&gt;"Macro","",IF(COUNTIFS($S$5:$S$1000,$S122,$V$5:$V$1000,"Macro",$H$5:$H$1000,"&gt;0")=0,1/COUNTIFS($S$5:$S$1000,$S122,$V$5:$V$1000,"Macro"),IF(AND(ISNUMBER($H122),N($H122)&gt;0),$H122,SUMIFS($H$5:$H$1000,$S$5:$S$1000,$S122,$V$5:$V$1000,"Macro")/COUNTIFS($S$5:$S$1000,$S122,$V$5:$V$1000,"Macro",$H$5:$H$1000,"&gt;0"))/(COUNTIFS($S$5:$S$1000,$S122,$V$5:$V$1000,"Macro")*SUMIFS($H$5:$H$1000,$S$5:$S$1000,$S122,$V$5:$V$1000,"Macro")/COUNTIFS($S$5:$S$1000,$S122,$V$5:$V$1000,"Macro",$H$5:$H$1000,"&gt;0"))))</f>
        <v/>
      </c>
      <c r="AH122" s="62" t="n"/>
      <c r="AI122" s="62" t="n"/>
      <c r="AJ122" s="62" t="n"/>
      <c r="AK122" s="62" t="n"/>
      <c r="AL122" s="62">
        <f>IF(LEFT($C122,11)="[Jefatura] ",IFERROR(MATCH("Asistente Técnico de Riesgo|"&amp;MID($C122,12,500),rDname_ADM,0),0),"")</f>
        <v/>
      </c>
      <c r="AM122" s="62">
        <f>IF(N($AL122)&gt;0,INDEX(rIni_ADM,$AL122),IF(ISNUMBER($E122),$E122,""))</f>
        <v/>
      </c>
      <c r="AN122" s="62">
        <f>IF(N($AL122)&gt;0,INDEX(rLim_ADM,$AL122),IF(ISNUMBER($F122),$F122,""))</f>
        <v/>
      </c>
    </row>
    <row r="123">
      <c r="A123" s="56">
        <f>IF(NOT((COUNTA($B123:$D123)+COUNTA($G123:$L123)+COUNTA($Q123))&gt;0),"",IF($V123="Macro",COUNTIFS($V$5:$V123,"Macro",$S$5:$S123,$S123),IF(N($U123)=0,"?",COUNTIFS(INDEX($V$5:$V$1000,1):INDEX($V$5:$V$1000,$U123-4),"Macro",INDEX($S$5:$S$1000,1):INDEX($S$5:$S$1000,$U123-4),INDEX($S$5:$S$1000,$U123-4))&amp;"."&amp;COUNTIFS($U$5:$U123,$U123,$V$5:$V123,"Sub"))))</f>
        <v/>
      </c>
      <c r="B123" s="57" t="n"/>
      <c r="C123" s="58" t="n"/>
      <c r="D123" s="58" t="n"/>
      <c r="E123" s="59">
        <f>IF(N($AL123)&gt;0,INDEX(rIni_ADM,$AL123),"")</f>
        <v/>
      </c>
      <c r="F123" s="59">
        <f>IF(N($AL123)&gt;0,INDEX(rLim_ADM,$AL123),"")</f>
        <v/>
      </c>
      <c r="G123" s="59" t="n"/>
      <c r="H123" s="60" t="n"/>
      <c r="I123" s="60" t="n"/>
      <c r="J123" s="60" t="n"/>
      <c r="K123" s="60" t="n"/>
      <c r="L123" s="60" t="n"/>
      <c r="M123" s="61">
        <f>IF(NOT((COUNTA($B123:$D123)+COUNTA($G123:$L123)+COUNTA($Q123))&gt;0),"",IF(ISNUMBER($G123),1,IF(N($W123)&gt;0,AVERAGEIFS($X$5:$X$1000,$U$5:$U$1000,ROW(),$V$5:$V$1000,"Sub"),$X123)))</f>
        <v/>
      </c>
      <c r="N123" s="56">
        <f>IF($M123="","",IF($M123&gt;=1,"Completado",IF($M123&gt;0,"En curso","Pendiente")))</f>
        <v/>
      </c>
      <c r="O123" s="56">
        <f>IF(NOT((COUNTA($B123:$D123)+COUNTA($G123:$L123)+COUNTA($Q123))&gt;0),"",IF(ISNUMBER($G123),IF(AND(ISNUMBER($AN123),$G123&gt;$AN123),"Cumplida con "&amp;($G123-$AN123)&amp;IF($G123-$AN123=1," día"," días")&amp;" de retraso","Cumplida"),IF(N($M123)&gt;=1,"Cumplida",IF(NOT(ISNUMBER($AN123)),"Sin fecha límite",IF($AN123&lt;FechaRef,"Vencida hace "&amp;(FechaRef-$AN123)&amp;IF(FechaRef-$AN123=1," día"," días"),IF($AN123=FechaRef,"Vence hoy",IF($AN123-FechaRef&lt;=DiasAlerta,"Vence en "&amp;($AN123-FechaRef)&amp;IF($AN123-FechaRef=1," día"," días"),"En plazo")))))))</f>
        <v/>
      </c>
      <c r="P123" s="62" t="n"/>
      <c r="Q123" s="58" t="n"/>
      <c r="R123" s="63">
        <f>IF(NOT((COUNTA($B123:$D123)+COUNTA($G123:$L123)+COUNTA($Q123))&gt;0),"",IF((IF($C123="","Falta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",""))="","✔ OK","⚠ "&amp;LEFT(IF($C123="","Falta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",""),LEN(IF($C123="","Falta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",""))-3)))</f>
        <v/>
      </c>
      <c r="S123" s="64">
        <f>IF(NOT((COUNTA($B123:$D123)+COUNTA($G123:$L123)+COUNTA($Q123))&gt;0),"",IF(AND($V123="Sub",N($U123)&gt;0),IF(ISNUMBER(INDEX($AM$5:$AM$1000,$U123-4)),DATE(YEAR(INDEX($AM$5:$AM$1000,$U123-4)),MONTH(INDEX($AM$5:$AM$1000,$U123-4)),1),IF(ISNUMBER(INDEX($AN$5:$AN$1000,$U123-4)),DATE(YEAR(INDEX($AN$5:$AN$1000,$U123-4)),MONTH(INDEX($AN$5:$AN$1000,$U123-4)),1),MesCiclo)),IF(ISNUMBER($AM123),DATE(YEAR($AM123),MONTH($AM123),1),IF(ISNUMBER($AN123),DATE(YEAR($AN123),MONTH($AN123),1),MesCiclo))))</f>
        <v/>
      </c>
      <c r="T123" s="62">
        <f>IF(OR($S123="",$S123&lt;&gt;MesCiclo),"",COUNTIF($S$5:$S123,MesCiclo))</f>
        <v/>
      </c>
      <c r="U123" s="62">
        <f>IF($V123="","",IF($V123="Macro",ROW(),IFERROR(LOOKUP(2,1/($V$5:$V123="Macro"),ROW($V$5:$V123)),0)))</f>
        <v/>
      </c>
      <c r="V123" s="62">
        <f>IF(NOT((COUNTA($B123:$D123)+COUNTA($G123:$L123)+COUNTA($Q123))&gt;0),"",IF($B123="Subactividad","Sub","Macro"))</f>
        <v/>
      </c>
      <c r="W123" s="62">
        <f>IF($V123="Macro",COUNTIFS($U$5:$U$1000,ROW(),$V$5:$V$1000,"Sub"),"")</f>
        <v/>
      </c>
      <c r="X123" s="62">
        <f>IF($V123="","",IF(ISNUMBER($G123),1,IFERROR(LOOKUP(2,1/($I123:$L123&lt;&gt;""),$I123:$L123),0)))</f>
        <v/>
      </c>
      <c r="Y123" s="62">
        <f>IF($V123="","",IF(AND(ISNUMBER($G123),$G123&lt;=IF($S123=MesCiclo,InicioCiclo,$S123+MOD(2-WEEKDAY($S123),7))+6),1,IF(ISNUMBER($I123),$I123,0)))</f>
        <v/>
      </c>
      <c r="Z123" s="62">
        <f>IF($V123="","",IF(AND(ISNUMBER($G123),$G123&lt;=IF($S123=MesCiclo,InicioCiclo,$S123+MOD(2-WEEKDAY($S123),7))+13),1,IF(ISNUMBER($J123),$J123,$Y123)))</f>
        <v/>
      </c>
      <c r="AA123" s="62">
        <f>IF($V123="","",IF(AND(ISNUMBER($G123),$G123&lt;=IF($S123=MesCiclo,InicioCiclo,$S123+MOD(2-WEEKDAY($S123),7))+20),1,IF(ISNUMBER($K123),$K123,$Z123)))</f>
        <v/>
      </c>
      <c r="AB123" s="62">
        <f>IF($V123="","",IF(AND(ISNUMBER($G123),$G123&lt;=IF($S123=MesCiclo,InicioCiclo,$S123+MOD(2-WEEKDAY($S123),7))+27),1,IF(ISNUMBER($L123),$L123,$AA123)))</f>
        <v/>
      </c>
      <c r="AC123" s="62">
        <f>IF($V123="","",IF(AND(ISNUMBER($G123),$G123&lt;=IF($S123=MesCiclo,InicioCiclo,$S123+MOD(2-WEEKDAY($S123),7))+6),1,IF(N($W123)&gt;0,AVERAGEIFS($Y$5:$Y$1000,$U$5:$U$1000,ROW(),$V$5:$V$1000,"Sub"),$Y123)))</f>
        <v/>
      </c>
      <c r="AD123" s="62">
        <f>IF($V123="","",IF(AND(ISNUMBER($G123),$G123&lt;=IF($S123=MesCiclo,InicioCiclo,$S123+MOD(2-WEEKDAY($S123),7))+13),1,IF(N($W123)&gt;0,AVERAGEIFS($Z$5:$Z$1000,$U$5:$U$1000,ROW(),$V$5:$V$1000,"Sub"),$Z123)))</f>
        <v/>
      </c>
      <c r="AE123" s="62">
        <f>IF($V123="","",IF(AND(ISNUMBER($G123),$G123&lt;=IF($S123=MesCiclo,InicioCiclo,$S123+MOD(2-WEEKDAY($S123),7))+20),1,IF(N($W123)&gt;0,AVERAGEIFS($AA$5:$AA$1000,$U$5:$U$1000,ROW(),$V$5:$V$1000,"Sub"),$AA123)))</f>
        <v/>
      </c>
      <c r="AF123" s="62">
        <f>IF($V123="","",IF(AND(ISNUMBER($G123),$G123&lt;=IF($S123=MesCiclo,InicioCiclo,$S123+MOD(2-WEEKDAY($S123),7))+27),1,IF(N($W123)&gt;0,AVERAGEIFS($AB$5:$AB$1000,$U$5:$U$1000,ROW(),$V$5:$V$1000,"Sub"),$AB123)))</f>
        <v/>
      </c>
      <c r="AG123" s="62">
        <f>IF($V123&lt;&gt;"Macro","",IF(COUNTIFS($S$5:$S$1000,$S123,$V$5:$V$1000,"Macro",$H$5:$H$1000,"&gt;0")=0,1/COUNTIFS($S$5:$S$1000,$S123,$V$5:$V$1000,"Macro"),IF(AND(ISNUMBER($H123),N($H123)&gt;0),$H123,SUMIFS($H$5:$H$1000,$S$5:$S$1000,$S123,$V$5:$V$1000,"Macro")/COUNTIFS($S$5:$S$1000,$S123,$V$5:$V$1000,"Macro",$H$5:$H$1000,"&gt;0"))/(COUNTIFS($S$5:$S$1000,$S123,$V$5:$V$1000,"Macro")*SUMIFS($H$5:$H$1000,$S$5:$S$1000,$S123,$V$5:$V$1000,"Macro")/COUNTIFS($S$5:$S$1000,$S123,$V$5:$V$1000,"Macro",$H$5:$H$1000,"&gt;0"))))</f>
        <v/>
      </c>
      <c r="AH123" s="62" t="n"/>
      <c r="AI123" s="62" t="n"/>
      <c r="AJ123" s="62" t="n"/>
      <c r="AK123" s="62" t="n"/>
      <c r="AL123" s="62">
        <f>IF(LEFT($C123,11)="[Jefatura] ",IFERROR(MATCH("Asistente Técnico de Riesgo|"&amp;MID($C123,12,500),rDname_ADM,0),0),"")</f>
        <v/>
      </c>
      <c r="AM123" s="62">
        <f>IF(N($AL123)&gt;0,INDEX(rIni_ADM,$AL123),IF(ISNUMBER($E123),$E123,""))</f>
        <v/>
      </c>
      <c r="AN123" s="62">
        <f>IF(N($AL123)&gt;0,INDEX(rLim_ADM,$AL123),IF(ISNUMBER($F123),$F123,""))</f>
        <v/>
      </c>
    </row>
    <row r="124">
      <c r="A124" s="56">
        <f>IF(NOT((COUNTA($B124:$D124)+COUNTA($G124:$L124)+COUNTA($Q124))&gt;0),"",IF($V124="Macro",COUNTIFS($V$5:$V124,"Macro",$S$5:$S124,$S124),IF(N($U124)=0,"?",COUNTIFS(INDEX($V$5:$V$1000,1):INDEX($V$5:$V$1000,$U124-4),"Macro",INDEX($S$5:$S$1000,1):INDEX($S$5:$S$1000,$U124-4),INDEX($S$5:$S$1000,$U124-4))&amp;"."&amp;COUNTIFS($U$5:$U124,$U124,$V$5:$V124,"Sub"))))</f>
        <v/>
      </c>
      <c r="B124" s="57" t="n"/>
      <c r="C124" s="58" t="n"/>
      <c r="D124" s="58" t="n"/>
      <c r="E124" s="59">
        <f>IF(N($AL124)&gt;0,INDEX(rIni_ADM,$AL124),"")</f>
        <v/>
      </c>
      <c r="F124" s="59">
        <f>IF(N($AL124)&gt;0,INDEX(rLim_ADM,$AL124),"")</f>
        <v/>
      </c>
      <c r="G124" s="59" t="n"/>
      <c r="H124" s="60" t="n"/>
      <c r="I124" s="60" t="n"/>
      <c r="J124" s="60" t="n"/>
      <c r="K124" s="60" t="n"/>
      <c r="L124" s="60" t="n"/>
      <c r="M124" s="61">
        <f>IF(NOT((COUNTA($B124:$D124)+COUNTA($G124:$L124)+COUNTA($Q124))&gt;0),"",IF(ISNUMBER($G124),1,IF(N($W124)&gt;0,AVERAGEIFS($X$5:$X$1000,$U$5:$U$1000,ROW(),$V$5:$V$1000,"Sub"),$X124)))</f>
        <v/>
      </c>
      <c r="N124" s="56">
        <f>IF($M124="","",IF($M124&gt;=1,"Completado",IF($M124&gt;0,"En curso","Pendiente")))</f>
        <v/>
      </c>
      <c r="O124" s="56">
        <f>IF(NOT((COUNTA($B124:$D124)+COUNTA($G124:$L124)+COUNTA($Q124))&gt;0),"",IF(ISNUMBER($G124),IF(AND(ISNUMBER($AN124),$G124&gt;$AN124),"Cumplida con "&amp;($G124-$AN124)&amp;IF($G124-$AN124=1," día"," días")&amp;" de retraso","Cumplida"),IF(N($M124)&gt;=1,"Cumplida",IF(NOT(ISNUMBER($AN124)),"Sin fecha límite",IF($AN124&lt;FechaRef,"Vencida hace "&amp;(FechaRef-$AN124)&amp;IF(FechaRef-$AN124=1," día"," días"),IF($AN124=FechaRef,"Vence hoy",IF($AN124-FechaRef&lt;=DiasAlerta,"Vence en "&amp;($AN124-FechaRef)&amp;IF($AN124-FechaRef=1," día"," días"),"En plazo")))))))</f>
        <v/>
      </c>
      <c r="P124" s="62" t="n"/>
      <c r="Q124" s="58" t="n"/>
      <c r="R124" s="63">
        <f>IF(NOT((COUNTA($B124:$D124)+COUNTA($G124:$L124)+COUNTA($Q124))&gt;0),"",IF((IF($C124="","Falta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",""))="","✔ OK","⚠ "&amp;LEFT(IF($C124="","Falta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",""),LEN(IF($C124="","Falta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",""))-3)))</f>
        <v/>
      </c>
      <c r="S124" s="64">
        <f>IF(NOT((COUNTA($B124:$D124)+COUNTA($G124:$L124)+COUNTA($Q124))&gt;0),"",IF(AND($V124="Sub",N($U124)&gt;0),IF(ISNUMBER(INDEX($AM$5:$AM$1000,$U124-4)),DATE(YEAR(INDEX($AM$5:$AM$1000,$U124-4)),MONTH(INDEX($AM$5:$AM$1000,$U124-4)),1),IF(ISNUMBER(INDEX($AN$5:$AN$1000,$U124-4)),DATE(YEAR(INDEX($AN$5:$AN$1000,$U124-4)),MONTH(INDEX($AN$5:$AN$1000,$U124-4)),1),MesCiclo)),IF(ISNUMBER($AM124),DATE(YEAR($AM124),MONTH($AM124),1),IF(ISNUMBER($AN124),DATE(YEAR($AN124),MONTH($AN124),1),MesCiclo))))</f>
        <v/>
      </c>
      <c r="T124" s="62">
        <f>IF(OR($S124="",$S124&lt;&gt;MesCiclo),"",COUNTIF($S$5:$S124,MesCiclo))</f>
        <v/>
      </c>
      <c r="U124" s="62">
        <f>IF($V124="","",IF($V124="Macro",ROW(),IFERROR(LOOKUP(2,1/($V$5:$V124="Macro"),ROW($V$5:$V124)),0)))</f>
        <v/>
      </c>
      <c r="V124" s="62">
        <f>IF(NOT((COUNTA($B124:$D124)+COUNTA($G124:$L124)+COUNTA($Q124))&gt;0),"",IF($B124="Subactividad","Sub","Macro"))</f>
        <v/>
      </c>
      <c r="W124" s="62">
        <f>IF($V124="Macro",COUNTIFS($U$5:$U$1000,ROW(),$V$5:$V$1000,"Sub"),"")</f>
        <v/>
      </c>
      <c r="X124" s="62">
        <f>IF($V124="","",IF(ISNUMBER($G124),1,IFERROR(LOOKUP(2,1/($I124:$L124&lt;&gt;""),$I124:$L124),0)))</f>
        <v/>
      </c>
      <c r="Y124" s="62">
        <f>IF($V124="","",IF(AND(ISNUMBER($G124),$G124&lt;=IF($S124=MesCiclo,InicioCiclo,$S124+MOD(2-WEEKDAY($S124),7))+6),1,IF(ISNUMBER($I124),$I124,0)))</f>
        <v/>
      </c>
      <c r="Z124" s="62">
        <f>IF($V124="","",IF(AND(ISNUMBER($G124),$G124&lt;=IF($S124=MesCiclo,InicioCiclo,$S124+MOD(2-WEEKDAY($S124),7))+13),1,IF(ISNUMBER($J124),$J124,$Y124)))</f>
        <v/>
      </c>
      <c r="AA124" s="62">
        <f>IF($V124="","",IF(AND(ISNUMBER($G124),$G124&lt;=IF($S124=MesCiclo,InicioCiclo,$S124+MOD(2-WEEKDAY($S124),7))+20),1,IF(ISNUMBER($K124),$K124,$Z124)))</f>
        <v/>
      </c>
      <c r="AB124" s="62">
        <f>IF($V124="","",IF(AND(ISNUMBER($G124),$G124&lt;=IF($S124=MesCiclo,InicioCiclo,$S124+MOD(2-WEEKDAY($S124),7))+27),1,IF(ISNUMBER($L124),$L124,$AA124)))</f>
        <v/>
      </c>
      <c r="AC124" s="62">
        <f>IF($V124="","",IF(AND(ISNUMBER($G124),$G124&lt;=IF($S124=MesCiclo,InicioCiclo,$S124+MOD(2-WEEKDAY($S124),7))+6),1,IF(N($W124)&gt;0,AVERAGEIFS($Y$5:$Y$1000,$U$5:$U$1000,ROW(),$V$5:$V$1000,"Sub"),$Y124)))</f>
        <v/>
      </c>
      <c r="AD124" s="62">
        <f>IF($V124="","",IF(AND(ISNUMBER($G124),$G124&lt;=IF($S124=MesCiclo,InicioCiclo,$S124+MOD(2-WEEKDAY($S124),7))+13),1,IF(N($W124)&gt;0,AVERAGEIFS($Z$5:$Z$1000,$U$5:$U$1000,ROW(),$V$5:$V$1000,"Sub"),$Z124)))</f>
        <v/>
      </c>
      <c r="AE124" s="62">
        <f>IF($V124="","",IF(AND(ISNUMBER($G124),$G124&lt;=IF($S124=MesCiclo,InicioCiclo,$S124+MOD(2-WEEKDAY($S124),7))+20),1,IF(N($W124)&gt;0,AVERAGEIFS($AA$5:$AA$1000,$U$5:$U$1000,ROW(),$V$5:$V$1000,"Sub"),$AA124)))</f>
        <v/>
      </c>
      <c r="AF124" s="62">
        <f>IF($V124="","",IF(AND(ISNUMBER($G124),$G124&lt;=IF($S124=MesCiclo,InicioCiclo,$S124+MOD(2-WEEKDAY($S124),7))+27),1,IF(N($W124)&gt;0,AVERAGEIFS($AB$5:$AB$1000,$U$5:$U$1000,ROW(),$V$5:$V$1000,"Sub"),$AB124)))</f>
        <v/>
      </c>
      <c r="AG124" s="62">
        <f>IF($V124&lt;&gt;"Macro","",IF(COUNTIFS($S$5:$S$1000,$S124,$V$5:$V$1000,"Macro",$H$5:$H$1000,"&gt;0")=0,1/COUNTIFS($S$5:$S$1000,$S124,$V$5:$V$1000,"Macro"),IF(AND(ISNUMBER($H124),N($H124)&gt;0),$H124,SUMIFS($H$5:$H$1000,$S$5:$S$1000,$S124,$V$5:$V$1000,"Macro")/COUNTIFS($S$5:$S$1000,$S124,$V$5:$V$1000,"Macro",$H$5:$H$1000,"&gt;0"))/(COUNTIFS($S$5:$S$1000,$S124,$V$5:$V$1000,"Macro")*SUMIFS($H$5:$H$1000,$S$5:$S$1000,$S124,$V$5:$V$1000,"Macro")/COUNTIFS($S$5:$S$1000,$S124,$V$5:$V$1000,"Macro",$H$5:$H$1000,"&gt;0"))))</f>
        <v/>
      </c>
      <c r="AH124" s="62" t="n"/>
      <c r="AI124" s="62" t="n"/>
      <c r="AJ124" s="62" t="n"/>
      <c r="AK124" s="62" t="n"/>
      <c r="AL124" s="62">
        <f>IF(LEFT($C124,11)="[Jefatura] ",IFERROR(MATCH("Asistente Técnico de Riesgo|"&amp;MID($C124,12,500),rDname_ADM,0),0),"")</f>
        <v/>
      </c>
      <c r="AM124" s="62">
        <f>IF(N($AL124)&gt;0,INDEX(rIni_ADM,$AL124),IF(ISNUMBER($E124),$E124,""))</f>
        <v/>
      </c>
      <c r="AN124" s="62">
        <f>IF(N($AL124)&gt;0,INDEX(rLim_ADM,$AL124),IF(ISNUMBER($F124),$F124,""))</f>
        <v/>
      </c>
    </row>
    <row r="125">
      <c r="A125" s="56">
        <f>IF(NOT((COUNTA($B125:$D125)+COUNTA($G125:$L125)+COUNTA($Q125))&gt;0),"",IF($V125="Macro",COUNTIFS($V$5:$V125,"Macro",$S$5:$S125,$S125),IF(N($U125)=0,"?",COUNTIFS(INDEX($V$5:$V$1000,1):INDEX($V$5:$V$1000,$U125-4),"Macro",INDEX($S$5:$S$1000,1):INDEX($S$5:$S$1000,$U125-4),INDEX($S$5:$S$1000,$U125-4))&amp;"."&amp;COUNTIFS($U$5:$U125,$U125,$V$5:$V125,"Sub"))))</f>
        <v/>
      </c>
      <c r="B125" s="57" t="n"/>
      <c r="C125" s="58" t="n"/>
      <c r="D125" s="58" t="n"/>
      <c r="E125" s="59">
        <f>IF(N($AL125)&gt;0,INDEX(rIni_ADM,$AL125),"")</f>
        <v/>
      </c>
      <c r="F125" s="59">
        <f>IF(N($AL125)&gt;0,INDEX(rLim_ADM,$AL125),"")</f>
        <v/>
      </c>
      <c r="G125" s="59" t="n"/>
      <c r="H125" s="60" t="n"/>
      <c r="I125" s="60" t="n"/>
      <c r="J125" s="60" t="n"/>
      <c r="K125" s="60" t="n"/>
      <c r="L125" s="60" t="n"/>
      <c r="M125" s="61">
        <f>IF(NOT((COUNTA($B125:$D125)+COUNTA($G125:$L125)+COUNTA($Q125))&gt;0),"",IF(ISNUMBER($G125),1,IF(N($W125)&gt;0,AVERAGEIFS($X$5:$X$1000,$U$5:$U$1000,ROW(),$V$5:$V$1000,"Sub"),$X125)))</f>
        <v/>
      </c>
      <c r="N125" s="56">
        <f>IF($M125="","",IF($M125&gt;=1,"Completado",IF($M125&gt;0,"En curso","Pendiente")))</f>
        <v/>
      </c>
      <c r="O125" s="56">
        <f>IF(NOT((COUNTA($B125:$D125)+COUNTA($G125:$L125)+COUNTA($Q125))&gt;0),"",IF(ISNUMBER($G125),IF(AND(ISNUMBER($AN125),$G125&gt;$AN125),"Cumplida con "&amp;($G125-$AN125)&amp;IF($G125-$AN125=1," día"," días")&amp;" de retraso","Cumplida"),IF(N($M125)&gt;=1,"Cumplida",IF(NOT(ISNUMBER($AN125)),"Sin fecha límite",IF($AN125&lt;FechaRef,"Vencida hace "&amp;(FechaRef-$AN125)&amp;IF(FechaRef-$AN125=1," día"," días"),IF($AN125=FechaRef,"Vence hoy",IF($AN125-FechaRef&lt;=DiasAlerta,"Vence en "&amp;($AN125-FechaRef)&amp;IF($AN125-FechaRef=1," día"," días"),"En plazo")))))))</f>
        <v/>
      </c>
      <c r="P125" s="62" t="n"/>
      <c r="Q125" s="58" t="n"/>
      <c r="R125" s="63">
        <f>IF(NOT((COUNTA($B125:$D125)+COUNTA($G125:$L125)+COUNTA($Q125))&gt;0),"",IF((IF($C125="","Falta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",""))="","✔ OK","⚠ "&amp;LEFT(IF($C125="","Falta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",""),LEN(IF($C125="","Falta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",""))-3)))</f>
        <v/>
      </c>
      <c r="S125" s="64">
        <f>IF(NOT((COUNTA($B125:$D125)+COUNTA($G125:$L125)+COUNTA($Q125))&gt;0),"",IF(AND($V125="Sub",N($U125)&gt;0),IF(ISNUMBER(INDEX($AM$5:$AM$1000,$U125-4)),DATE(YEAR(INDEX($AM$5:$AM$1000,$U125-4)),MONTH(INDEX($AM$5:$AM$1000,$U125-4)),1),IF(ISNUMBER(INDEX($AN$5:$AN$1000,$U125-4)),DATE(YEAR(INDEX($AN$5:$AN$1000,$U125-4)),MONTH(INDEX($AN$5:$AN$1000,$U125-4)),1),MesCiclo)),IF(ISNUMBER($AM125),DATE(YEAR($AM125),MONTH($AM125),1),IF(ISNUMBER($AN125),DATE(YEAR($AN125),MONTH($AN125),1),MesCiclo))))</f>
        <v/>
      </c>
      <c r="T125" s="62">
        <f>IF(OR($S125="",$S125&lt;&gt;MesCiclo),"",COUNTIF($S$5:$S125,MesCiclo))</f>
        <v/>
      </c>
      <c r="U125" s="62">
        <f>IF($V125="","",IF($V125="Macro",ROW(),IFERROR(LOOKUP(2,1/($V$5:$V125="Macro"),ROW($V$5:$V125)),0)))</f>
        <v/>
      </c>
      <c r="V125" s="62">
        <f>IF(NOT((COUNTA($B125:$D125)+COUNTA($G125:$L125)+COUNTA($Q125))&gt;0),"",IF($B125="Subactividad","Sub","Macro"))</f>
        <v/>
      </c>
      <c r="W125" s="62">
        <f>IF($V125="Macro",COUNTIFS($U$5:$U$1000,ROW(),$V$5:$V$1000,"Sub"),"")</f>
        <v/>
      </c>
      <c r="X125" s="62">
        <f>IF($V125="","",IF(ISNUMBER($G125),1,IFERROR(LOOKUP(2,1/($I125:$L125&lt;&gt;""),$I125:$L125),0)))</f>
        <v/>
      </c>
      <c r="Y125" s="62">
        <f>IF($V125="","",IF(AND(ISNUMBER($G125),$G125&lt;=IF($S125=MesCiclo,InicioCiclo,$S125+MOD(2-WEEKDAY($S125),7))+6),1,IF(ISNUMBER($I125),$I125,0)))</f>
        <v/>
      </c>
      <c r="Z125" s="62">
        <f>IF($V125="","",IF(AND(ISNUMBER($G125),$G125&lt;=IF($S125=MesCiclo,InicioCiclo,$S125+MOD(2-WEEKDAY($S125),7))+13),1,IF(ISNUMBER($J125),$J125,$Y125)))</f>
        <v/>
      </c>
      <c r="AA125" s="62">
        <f>IF($V125="","",IF(AND(ISNUMBER($G125),$G125&lt;=IF($S125=MesCiclo,InicioCiclo,$S125+MOD(2-WEEKDAY($S125),7))+20),1,IF(ISNUMBER($K125),$K125,$Z125)))</f>
        <v/>
      </c>
      <c r="AB125" s="62">
        <f>IF($V125="","",IF(AND(ISNUMBER($G125),$G125&lt;=IF($S125=MesCiclo,InicioCiclo,$S125+MOD(2-WEEKDAY($S125),7))+27),1,IF(ISNUMBER($L125),$L125,$AA125)))</f>
        <v/>
      </c>
      <c r="AC125" s="62">
        <f>IF($V125="","",IF(AND(ISNUMBER($G125),$G125&lt;=IF($S125=MesCiclo,InicioCiclo,$S125+MOD(2-WEEKDAY($S125),7))+6),1,IF(N($W125)&gt;0,AVERAGEIFS($Y$5:$Y$1000,$U$5:$U$1000,ROW(),$V$5:$V$1000,"Sub"),$Y125)))</f>
        <v/>
      </c>
      <c r="AD125" s="62">
        <f>IF($V125="","",IF(AND(ISNUMBER($G125),$G125&lt;=IF($S125=MesCiclo,InicioCiclo,$S125+MOD(2-WEEKDAY($S125),7))+13),1,IF(N($W125)&gt;0,AVERAGEIFS($Z$5:$Z$1000,$U$5:$U$1000,ROW(),$V$5:$V$1000,"Sub"),$Z125)))</f>
        <v/>
      </c>
      <c r="AE125" s="62">
        <f>IF($V125="","",IF(AND(ISNUMBER($G125),$G125&lt;=IF($S125=MesCiclo,InicioCiclo,$S125+MOD(2-WEEKDAY($S125),7))+20),1,IF(N($W125)&gt;0,AVERAGEIFS($AA$5:$AA$1000,$U$5:$U$1000,ROW(),$V$5:$V$1000,"Sub"),$AA125)))</f>
        <v/>
      </c>
      <c r="AF125" s="62">
        <f>IF($V125="","",IF(AND(ISNUMBER($G125),$G125&lt;=IF($S125=MesCiclo,InicioCiclo,$S125+MOD(2-WEEKDAY($S125),7))+27),1,IF(N($W125)&gt;0,AVERAGEIFS($AB$5:$AB$1000,$U$5:$U$1000,ROW(),$V$5:$V$1000,"Sub"),$AB125)))</f>
        <v/>
      </c>
      <c r="AG125" s="62">
        <f>IF($V125&lt;&gt;"Macro","",IF(COUNTIFS($S$5:$S$1000,$S125,$V$5:$V$1000,"Macro",$H$5:$H$1000,"&gt;0")=0,1/COUNTIFS($S$5:$S$1000,$S125,$V$5:$V$1000,"Macro"),IF(AND(ISNUMBER($H125),N($H125)&gt;0),$H125,SUMIFS($H$5:$H$1000,$S$5:$S$1000,$S125,$V$5:$V$1000,"Macro")/COUNTIFS($S$5:$S$1000,$S125,$V$5:$V$1000,"Macro",$H$5:$H$1000,"&gt;0"))/(COUNTIFS($S$5:$S$1000,$S125,$V$5:$V$1000,"Macro")*SUMIFS($H$5:$H$1000,$S$5:$S$1000,$S125,$V$5:$V$1000,"Macro")/COUNTIFS($S$5:$S$1000,$S125,$V$5:$V$1000,"Macro",$H$5:$H$1000,"&gt;0"))))</f>
        <v/>
      </c>
      <c r="AH125" s="62" t="n"/>
      <c r="AI125" s="62" t="n"/>
      <c r="AJ125" s="62" t="n"/>
      <c r="AK125" s="62" t="n"/>
      <c r="AL125" s="62">
        <f>IF(LEFT($C125,11)="[Jefatura] ",IFERROR(MATCH("Asistente Técnico de Riesgo|"&amp;MID($C125,12,500),rDname_ADM,0),0),"")</f>
        <v/>
      </c>
      <c r="AM125" s="62">
        <f>IF(N($AL125)&gt;0,INDEX(rIni_ADM,$AL125),IF(ISNUMBER($E125),$E125,""))</f>
        <v/>
      </c>
      <c r="AN125" s="62">
        <f>IF(N($AL125)&gt;0,INDEX(rLim_ADM,$AL125),IF(ISNUMBER($F125),$F125,""))</f>
        <v/>
      </c>
    </row>
    <row r="126">
      <c r="A126" s="56">
        <f>IF(NOT((COUNTA($B126:$D126)+COUNTA($G126:$L126)+COUNTA($Q126))&gt;0),"",IF($V126="Macro",COUNTIFS($V$5:$V126,"Macro",$S$5:$S126,$S126),IF(N($U126)=0,"?",COUNTIFS(INDEX($V$5:$V$1000,1):INDEX($V$5:$V$1000,$U126-4),"Macro",INDEX($S$5:$S$1000,1):INDEX($S$5:$S$1000,$U126-4),INDEX($S$5:$S$1000,$U126-4))&amp;"."&amp;COUNTIFS($U$5:$U126,$U126,$V$5:$V126,"Sub"))))</f>
        <v/>
      </c>
      <c r="B126" s="57" t="n"/>
      <c r="C126" s="58" t="n"/>
      <c r="D126" s="58" t="n"/>
      <c r="E126" s="59">
        <f>IF(N($AL126)&gt;0,INDEX(rIni_ADM,$AL126),"")</f>
        <v/>
      </c>
      <c r="F126" s="59">
        <f>IF(N($AL126)&gt;0,INDEX(rLim_ADM,$AL126),"")</f>
        <v/>
      </c>
      <c r="G126" s="59" t="n"/>
      <c r="H126" s="60" t="n"/>
      <c r="I126" s="60" t="n"/>
      <c r="J126" s="60" t="n"/>
      <c r="K126" s="60" t="n"/>
      <c r="L126" s="60" t="n"/>
      <c r="M126" s="61">
        <f>IF(NOT((COUNTA($B126:$D126)+COUNTA($G126:$L126)+COUNTA($Q126))&gt;0),"",IF(ISNUMBER($G126),1,IF(N($W126)&gt;0,AVERAGEIFS($X$5:$X$1000,$U$5:$U$1000,ROW(),$V$5:$V$1000,"Sub"),$X126)))</f>
        <v/>
      </c>
      <c r="N126" s="56">
        <f>IF($M126="","",IF($M126&gt;=1,"Completado",IF($M126&gt;0,"En curso","Pendiente")))</f>
        <v/>
      </c>
      <c r="O126" s="56">
        <f>IF(NOT((COUNTA($B126:$D126)+COUNTA($G126:$L126)+COUNTA($Q126))&gt;0),"",IF(ISNUMBER($G126),IF(AND(ISNUMBER($AN126),$G126&gt;$AN126),"Cumplida con "&amp;($G126-$AN126)&amp;IF($G126-$AN126=1," día"," días")&amp;" de retraso","Cumplida"),IF(N($M126)&gt;=1,"Cumplida",IF(NOT(ISNUMBER($AN126)),"Sin fecha límite",IF($AN126&lt;FechaRef,"Vencida hace "&amp;(FechaRef-$AN126)&amp;IF(FechaRef-$AN126=1," día"," días"),IF($AN126=FechaRef,"Vence hoy",IF($AN126-FechaRef&lt;=DiasAlerta,"Vence en "&amp;($AN126-FechaRef)&amp;IF($AN126-FechaRef=1," día"," días"),"En plazo")))))))</f>
        <v/>
      </c>
      <c r="P126" s="62" t="n"/>
      <c r="Q126" s="58" t="n"/>
      <c r="R126" s="63">
        <f>IF(NOT((COUNTA($B126:$D126)+COUNTA($G126:$L126)+COUNTA($Q126))&gt;0),"",IF((IF($C126="","Falta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",""))="","✔ OK","⚠ "&amp;LEFT(IF($C126="","Falta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",""),LEN(IF($C126="","Falta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",""))-3)))</f>
        <v/>
      </c>
      <c r="S126" s="64">
        <f>IF(NOT((COUNTA($B126:$D126)+COUNTA($G126:$L126)+COUNTA($Q126))&gt;0),"",IF(AND($V126="Sub",N($U126)&gt;0),IF(ISNUMBER(INDEX($AM$5:$AM$1000,$U126-4)),DATE(YEAR(INDEX($AM$5:$AM$1000,$U126-4)),MONTH(INDEX($AM$5:$AM$1000,$U126-4)),1),IF(ISNUMBER(INDEX($AN$5:$AN$1000,$U126-4)),DATE(YEAR(INDEX($AN$5:$AN$1000,$U126-4)),MONTH(INDEX($AN$5:$AN$1000,$U126-4)),1),MesCiclo)),IF(ISNUMBER($AM126),DATE(YEAR($AM126),MONTH($AM126),1),IF(ISNUMBER($AN126),DATE(YEAR($AN126),MONTH($AN126),1),MesCiclo))))</f>
        <v/>
      </c>
      <c r="T126" s="62">
        <f>IF(OR($S126="",$S126&lt;&gt;MesCiclo),"",COUNTIF($S$5:$S126,MesCiclo))</f>
        <v/>
      </c>
      <c r="U126" s="62">
        <f>IF($V126="","",IF($V126="Macro",ROW(),IFERROR(LOOKUP(2,1/($V$5:$V126="Macro"),ROW($V$5:$V126)),0)))</f>
        <v/>
      </c>
      <c r="V126" s="62">
        <f>IF(NOT((COUNTA($B126:$D126)+COUNTA($G126:$L126)+COUNTA($Q126))&gt;0),"",IF($B126="Subactividad","Sub","Macro"))</f>
        <v/>
      </c>
      <c r="W126" s="62">
        <f>IF($V126="Macro",COUNTIFS($U$5:$U$1000,ROW(),$V$5:$V$1000,"Sub"),"")</f>
        <v/>
      </c>
      <c r="X126" s="62">
        <f>IF($V126="","",IF(ISNUMBER($G126),1,IFERROR(LOOKUP(2,1/($I126:$L126&lt;&gt;""),$I126:$L126),0)))</f>
        <v/>
      </c>
      <c r="Y126" s="62">
        <f>IF($V126="","",IF(AND(ISNUMBER($G126),$G126&lt;=IF($S126=MesCiclo,InicioCiclo,$S126+MOD(2-WEEKDAY($S126),7))+6),1,IF(ISNUMBER($I126),$I126,0)))</f>
        <v/>
      </c>
      <c r="Z126" s="62">
        <f>IF($V126="","",IF(AND(ISNUMBER($G126),$G126&lt;=IF($S126=MesCiclo,InicioCiclo,$S126+MOD(2-WEEKDAY($S126),7))+13),1,IF(ISNUMBER($J126),$J126,$Y126)))</f>
        <v/>
      </c>
      <c r="AA126" s="62">
        <f>IF($V126="","",IF(AND(ISNUMBER($G126),$G126&lt;=IF($S126=MesCiclo,InicioCiclo,$S126+MOD(2-WEEKDAY($S126),7))+20),1,IF(ISNUMBER($K126),$K126,$Z126)))</f>
        <v/>
      </c>
      <c r="AB126" s="62">
        <f>IF($V126="","",IF(AND(ISNUMBER($G126),$G126&lt;=IF($S126=MesCiclo,InicioCiclo,$S126+MOD(2-WEEKDAY($S126),7))+27),1,IF(ISNUMBER($L126),$L126,$AA126)))</f>
        <v/>
      </c>
      <c r="AC126" s="62">
        <f>IF($V126="","",IF(AND(ISNUMBER($G126),$G126&lt;=IF($S126=MesCiclo,InicioCiclo,$S126+MOD(2-WEEKDAY($S126),7))+6),1,IF(N($W126)&gt;0,AVERAGEIFS($Y$5:$Y$1000,$U$5:$U$1000,ROW(),$V$5:$V$1000,"Sub"),$Y126)))</f>
        <v/>
      </c>
      <c r="AD126" s="62">
        <f>IF($V126="","",IF(AND(ISNUMBER($G126),$G126&lt;=IF($S126=MesCiclo,InicioCiclo,$S126+MOD(2-WEEKDAY($S126),7))+13),1,IF(N($W126)&gt;0,AVERAGEIFS($Z$5:$Z$1000,$U$5:$U$1000,ROW(),$V$5:$V$1000,"Sub"),$Z126)))</f>
        <v/>
      </c>
      <c r="AE126" s="62">
        <f>IF($V126="","",IF(AND(ISNUMBER($G126),$G126&lt;=IF($S126=MesCiclo,InicioCiclo,$S126+MOD(2-WEEKDAY($S126),7))+20),1,IF(N($W126)&gt;0,AVERAGEIFS($AA$5:$AA$1000,$U$5:$U$1000,ROW(),$V$5:$V$1000,"Sub"),$AA126)))</f>
        <v/>
      </c>
      <c r="AF126" s="62">
        <f>IF($V126="","",IF(AND(ISNUMBER($G126),$G126&lt;=IF($S126=MesCiclo,InicioCiclo,$S126+MOD(2-WEEKDAY($S126),7))+27),1,IF(N($W126)&gt;0,AVERAGEIFS($AB$5:$AB$1000,$U$5:$U$1000,ROW(),$V$5:$V$1000,"Sub"),$AB126)))</f>
        <v/>
      </c>
      <c r="AG126" s="62">
        <f>IF($V126&lt;&gt;"Macro","",IF(COUNTIFS($S$5:$S$1000,$S126,$V$5:$V$1000,"Macro",$H$5:$H$1000,"&gt;0")=0,1/COUNTIFS($S$5:$S$1000,$S126,$V$5:$V$1000,"Macro"),IF(AND(ISNUMBER($H126),N($H126)&gt;0),$H126,SUMIFS($H$5:$H$1000,$S$5:$S$1000,$S126,$V$5:$V$1000,"Macro")/COUNTIFS($S$5:$S$1000,$S126,$V$5:$V$1000,"Macro",$H$5:$H$1000,"&gt;0"))/(COUNTIFS($S$5:$S$1000,$S126,$V$5:$V$1000,"Macro")*SUMIFS($H$5:$H$1000,$S$5:$S$1000,$S126,$V$5:$V$1000,"Macro")/COUNTIFS($S$5:$S$1000,$S126,$V$5:$V$1000,"Macro",$H$5:$H$1000,"&gt;0"))))</f>
        <v/>
      </c>
      <c r="AH126" s="62" t="n"/>
      <c r="AI126" s="62" t="n"/>
      <c r="AJ126" s="62" t="n"/>
      <c r="AK126" s="62" t="n"/>
      <c r="AL126" s="62">
        <f>IF(LEFT($C126,11)="[Jefatura] ",IFERROR(MATCH("Asistente Técnico de Riesgo|"&amp;MID($C126,12,500),rDname_ADM,0),0),"")</f>
        <v/>
      </c>
      <c r="AM126" s="62">
        <f>IF(N($AL126)&gt;0,INDEX(rIni_ADM,$AL126),IF(ISNUMBER($E126),$E126,""))</f>
        <v/>
      </c>
      <c r="AN126" s="62">
        <f>IF(N($AL126)&gt;0,INDEX(rLim_ADM,$AL126),IF(ISNUMBER($F126),$F126,""))</f>
        <v/>
      </c>
    </row>
    <row r="127">
      <c r="A127" s="56">
        <f>IF(NOT((COUNTA($B127:$D127)+COUNTA($G127:$L127)+COUNTA($Q127))&gt;0),"",IF($V127="Macro",COUNTIFS($V$5:$V127,"Macro",$S$5:$S127,$S127),IF(N($U127)=0,"?",COUNTIFS(INDEX($V$5:$V$1000,1):INDEX($V$5:$V$1000,$U127-4),"Macro",INDEX($S$5:$S$1000,1):INDEX($S$5:$S$1000,$U127-4),INDEX($S$5:$S$1000,$U127-4))&amp;"."&amp;COUNTIFS($U$5:$U127,$U127,$V$5:$V127,"Sub"))))</f>
        <v/>
      </c>
      <c r="B127" s="57" t="n"/>
      <c r="C127" s="58" t="n"/>
      <c r="D127" s="58" t="n"/>
      <c r="E127" s="59">
        <f>IF(N($AL127)&gt;0,INDEX(rIni_ADM,$AL127),"")</f>
        <v/>
      </c>
      <c r="F127" s="59">
        <f>IF(N($AL127)&gt;0,INDEX(rLim_ADM,$AL127),"")</f>
        <v/>
      </c>
      <c r="G127" s="59" t="n"/>
      <c r="H127" s="60" t="n"/>
      <c r="I127" s="60" t="n"/>
      <c r="J127" s="60" t="n"/>
      <c r="K127" s="60" t="n"/>
      <c r="L127" s="60" t="n"/>
      <c r="M127" s="61">
        <f>IF(NOT((COUNTA($B127:$D127)+COUNTA($G127:$L127)+COUNTA($Q127))&gt;0),"",IF(ISNUMBER($G127),1,IF(N($W127)&gt;0,AVERAGEIFS($X$5:$X$1000,$U$5:$U$1000,ROW(),$V$5:$V$1000,"Sub"),$X127)))</f>
        <v/>
      </c>
      <c r="N127" s="56">
        <f>IF($M127="","",IF($M127&gt;=1,"Completado",IF($M127&gt;0,"En curso","Pendiente")))</f>
        <v/>
      </c>
      <c r="O127" s="56">
        <f>IF(NOT((COUNTA($B127:$D127)+COUNTA($G127:$L127)+COUNTA($Q127))&gt;0),"",IF(ISNUMBER($G127),IF(AND(ISNUMBER($AN127),$G127&gt;$AN127),"Cumplida con "&amp;($G127-$AN127)&amp;IF($G127-$AN127=1," día"," días")&amp;" de retraso","Cumplida"),IF(N($M127)&gt;=1,"Cumplida",IF(NOT(ISNUMBER($AN127)),"Sin fecha límite",IF($AN127&lt;FechaRef,"Vencida hace "&amp;(FechaRef-$AN127)&amp;IF(FechaRef-$AN127=1," día"," días"),IF($AN127=FechaRef,"Vence hoy",IF($AN127-FechaRef&lt;=DiasAlerta,"Vence en "&amp;($AN127-FechaRef)&amp;IF($AN127-FechaRef=1," día"," días"),"En plazo")))))))</f>
        <v/>
      </c>
      <c r="P127" s="62" t="n"/>
      <c r="Q127" s="58" t="n"/>
      <c r="R127" s="63">
        <f>IF(NOT((COUNTA($B127:$D127)+COUNTA($G127:$L127)+COUNTA($Q127))&gt;0),"",IF((IF($C127="","Falta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",""))="","✔ OK","⚠ "&amp;LEFT(IF($C127="","Falta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",""),LEN(IF($C127="","Falta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",""))-3)))</f>
        <v/>
      </c>
      <c r="S127" s="64">
        <f>IF(NOT((COUNTA($B127:$D127)+COUNTA($G127:$L127)+COUNTA($Q127))&gt;0),"",IF(AND($V127="Sub",N($U127)&gt;0),IF(ISNUMBER(INDEX($AM$5:$AM$1000,$U127-4)),DATE(YEAR(INDEX($AM$5:$AM$1000,$U127-4)),MONTH(INDEX($AM$5:$AM$1000,$U127-4)),1),IF(ISNUMBER(INDEX($AN$5:$AN$1000,$U127-4)),DATE(YEAR(INDEX($AN$5:$AN$1000,$U127-4)),MONTH(INDEX($AN$5:$AN$1000,$U127-4)),1),MesCiclo)),IF(ISNUMBER($AM127),DATE(YEAR($AM127),MONTH($AM127),1),IF(ISNUMBER($AN127),DATE(YEAR($AN127),MONTH($AN127),1),MesCiclo))))</f>
        <v/>
      </c>
      <c r="T127" s="62">
        <f>IF(OR($S127="",$S127&lt;&gt;MesCiclo),"",COUNTIF($S$5:$S127,MesCiclo))</f>
        <v/>
      </c>
      <c r="U127" s="62">
        <f>IF($V127="","",IF($V127="Macro",ROW(),IFERROR(LOOKUP(2,1/($V$5:$V127="Macro"),ROW($V$5:$V127)),0)))</f>
        <v/>
      </c>
      <c r="V127" s="62">
        <f>IF(NOT((COUNTA($B127:$D127)+COUNTA($G127:$L127)+COUNTA($Q127))&gt;0),"",IF($B127="Subactividad","Sub","Macro"))</f>
        <v/>
      </c>
      <c r="W127" s="62">
        <f>IF($V127="Macro",COUNTIFS($U$5:$U$1000,ROW(),$V$5:$V$1000,"Sub"),"")</f>
        <v/>
      </c>
      <c r="X127" s="62">
        <f>IF($V127="","",IF(ISNUMBER($G127),1,IFERROR(LOOKUP(2,1/($I127:$L127&lt;&gt;""),$I127:$L127),0)))</f>
        <v/>
      </c>
      <c r="Y127" s="62">
        <f>IF($V127="","",IF(AND(ISNUMBER($G127),$G127&lt;=IF($S127=MesCiclo,InicioCiclo,$S127+MOD(2-WEEKDAY($S127),7))+6),1,IF(ISNUMBER($I127),$I127,0)))</f>
        <v/>
      </c>
      <c r="Z127" s="62">
        <f>IF($V127="","",IF(AND(ISNUMBER($G127),$G127&lt;=IF($S127=MesCiclo,InicioCiclo,$S127+MOD(2-WEEKDAY($S127),7))+13),1,IF(ISNUMBER($J127),$J127,$Y127)))</f>
        <v/>
      </c>
      <c r="AA127" s="62">
        <f>IF($V127="","",IF(AND(ISNUMBER($G127),$G127&lt;=IF($S127=MesCiclo,InicioCiclo,$S127+MOD(2-WEEKDAY($S127),7))+20),1,IF(ISNUMBER($K127),$K127,$Z127)))</f>
        <v/>
      </c>
      <c r="AB127" s="62">
        <f>IF($V127="","",IF(AND(ISNUMBER($G127),$G127&lt;=IF($S127=MesCiclo,InicioCiclo,$S127+MOD(2-WEEKDAY($S127),7))+27),1,IF(ISNUMBER($L127),$L127,$AA127)))</f>
        <v/>
      </c>
      <c r="AC127" s="62">
        <f>IF($V127="","",IF(AND(ISNUMBER($G127),$G127&lt;=IF($S127=MesCiclo,InicioCiclo,$S127+MOD(2-WEEKDAY($S127),7))+6),1,IF(N($W127)&gt;0,AVERAGEIFS($Y$5:$Y$1000,$U$5:$U$1000,ROW(),$V$5:$V$1000,"Sub"),$Y127)))</f>
        <v/>
      </c>
      <c r="AD127" s="62">
        <f>IF($V127="","",IF(AND(ISNUMBER($G127),$G127&lt;=IF($S127=MesCiclo,InicioCiclo,$S127+MOD(2-WEEKDAY($S127),7))+13),1,IF(N($W127)&gt;0,AVERAGEIFS($Z$5:$Z$1000,$U$5:$U$1000,ROW(),$V$5:$V$1000,"Sub"),$Z127)))</f>
        <v/>
      </c>
      <c r="AE127" s="62">
        <f>IF($V127="","",IF(AND(ISNUMBER($G127),$G127&lt;=IF($S127=MesCiclo,InicioCiclo,$S127+MOD(2-WEEKDAY($S127),7))+20),1,IF(N($W127)&gt;0,AVERAGEIFS($AA$5:$AA$1000,$U$5:$U$1000,ROW(),$V$5:$V$1000,"Sub"),$AA127)))</f>
        <v/>
      </c>
      <c r="AF127" s="62">
        <f>IF($V127="","",IF(AND(ISNUMBER($G127),$G127&lt;=IF($S127=MesCiclo,InicioCiclo,$S127+MOD(2-WEEKDAY($S127),7))+27),1,IF(N($W127)&gt;0,AVERAGEIFS($AB$5:$AB$1000,$U$5:$U$1000,ROW(),$V$5:$V$1000,"Sub"),$AB127)))</f>
        <v/>
      </c>
      <c r="AG127" s="62">
        <f>IF($V127&lt;&gt;"Macro","",IF(COUNTIFS($S$5:$S$1000,$S127,$V$5:$V$1000,"Macro",$H$5:$H$1000,"&gt;0")=0,1/COUNTIFS($S$5:$S$1000,$S127,$V$5:$V$1000,"Macro"),IF(AND(ISNUMBER($H127),N($H127)&gt;0),$H127,SUMIFS($H$5:$H$1000,$S$5:$S$1000,$S127,$V$5:$V$1000,"Macro")/COUNTIFS($S$5:$S$1000,$S127,$V$5:$V$1000,"Macro",$H$5:$H$1000,"&gt;0"))/(COUNTIFS($S$5:$S$1000,$S127,$V$5:$V$1000,"Macro")*SUMIFS($H$5:$H$1000,$S$5:$S$1000,$S127,$V$5:$V$1000,"Macro")/COUNTIFS($S$5:$S$1000,$S127,$V$5:$V$1000,"Macro",$H$5:$H$1000,"&gt;0"))))</f>
        <v/>
      </c>
      <c r="AH127" s="62" t="n"/>
      <c r="AI127" s="62" t="n"/>
      <c r="AJ127" s="62" t="n"/>
      <c r="AK127" s="62" t="n"/>
      <c r="AL127" s="62">
        <f>IF(LEFT($C127,11)="[Jefatura] ",IFERROR(MATCH("Asistente Técnico de Riesgo|"&amp;MID($C127,12,500),rDname_ADM,0),0),"")</f>
        <v/>
      </c>
      <c r="AM127" s="62">
        <f>IF(N($AL127)&gt;0,INDEX(rIni_ADM,$AL127),IF(ISNUMBER($E127),$E127,""))</f>
        <v/>
      </c>
      <c r="AN127" s="62">
        <f>IF(N($AL127)&gt;0,INDEX(rLim_ADM,$AL127),IF(ISNUMBER($F127),$F127,""))</f>
        <v/>
      </c>
    </row>
    <row r="128">
      <c r="A128" s="56">
        <f>IF(NOT((COUNTA($B128:$D128)+COUNTA($G128:$L128)+COUNTA($Q128))&gt;0),"",IF($V128="Macro",COUNTIFS($V$5:$V128,"Macro",$S$5:$S128,$S128),IF(N($U128)=0,"?",COUNTIFS(INDEX($V$5:$V$1000,1):INDEX($V$5:$V$1000,$U128-4),"Macro",INDEX($S$5:$S$1000,1):INDEX($S$5:$S$1000,$U128-4),INDEX($S$5:$S$1000,$U128-4))&amp;"."&amp;COUNTIFS($U$5:$U128,$U128,$V$5:$V128,"Sub"))))</f>
        <v/>
      </c>
      <c r="B128" s="57" t="n"/>
      <c r="C128" s="58" t="n"/>
      <c r="D128" s="58" t="n"/>
      <c r="E128" s="59">
        <f>IF(N($AL128)&gt;0,INDEX(rIni_ADM,$AL128),"")</f>
        <v/>
      </c>
      <c r="F128" s="59">
        <f>IF(N($AL128)&gt;0,INDEX(rLim_ADM,$AL128),"")</f>
        <v/>
      </c>
      <c r="G128" s="59" t="n"/>
      <c r="H128" s="60" t="n"/>
      <c r="I128" s="60" t="n"/>
      <c r="J128" s="60" t="n"/>
      <c r="K128" s="60" t="n"/>
      <c r="L128" s="60" t="n"/>
      <c r="M128" s="61">
        <f>IF(NOT((COUNTA($B128:$D128)+COUNTA($G128:$L128)+COUNTA($Q128))&gt;0),"",IF(ISNUMBER($G128),1,IF(N($W128)&gt;0,AVERAGEIFS($X$5:$X$1000,$U$5:$U$1000,ROW(),$V$5:$V$1000,"Sub"),$X128)))</f>
        <v/>
      </c>
      <c r="N128" s="56">
        <f>IF($M128="","",IF($M128&gt;=1,"Completado",IF($M128&gt;0,"En curso","Pendiente")))</f>
        <v/>
      </c>
      <c r="O128" s="56">
        <f>IF(NOT((COUNTA($B128:$D128)+COUNTA($G128:$L128)+COUNTA($Q128))&gt;0),"",IF(ISNUMBER($G128),IF(AND(ISNUMBER($AN128),$G128&gt;$AN128),"Cumplida con "&amp;($G128-$AN128)&amp;IF($G128-$AN128=1," día"," días")&amp;" de retraso","Cumplida"),IF(N($M128)&gt;=1,"Cumplida",IF(NOT(ISNUMBER($AN128)),"Sin fecha límite",IF($AN128&lt;FechaRef,"Vencida hace "&amp;(FechaRef-$AN128)&amp;IF(FechaRef-$AN128=1," día"," días"),IF($AN128=FechaRef,"Vence hoy",IF($AN128-FechaRef&lt;=DiasAlerta,"Vence en "&amp;($AN128-FechaRef)&amp;IF($AN128-FechaRef=1," día"," días"),"En plazo")))))))</f>
        <v/>
      </c>
      <c r="P128" s="62" t="n"/>
      <c r="Q128" s="58" t="n"/>
      <c r="R128" s="63">
        <f>IF(NOT((COUNTA($B128:$D128)+COUNTA($G128:$L128)+COUNTA($Q128))&gt;0),"",IF((IF($C128="","Falta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",""))="","✔ OK","⚠ "&amp;LEFT(IF($C128="","Falta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",""),LEN(IF($C128="","Falta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",""))-3)))</f>
        <v/>
      </c>
      <c r="S128" s="64">
        <f>IF(NOT((COUNTA($B128:$D128)+COUNTA($G128:$L128)+COUNTA($Q128))&gt;0),"",IF(AND($V128="Sub",N($U128)&gt;0),IF(ISNUMBER(INDEX($AM$5:$AM$1000,$U128-4)),DATE(YEAR(INDEX($AM$5:$AM$1000,$U128-4)),MONTH(INDEX($AM$5:$AM$1000,$U128-4)),1),IF(ISNUMBER(INDEX($AN$5:$AN$1000,$U128-4)),DATE(YEAR(INDEX($AN$5:$AN$1000,$U128-4)),MONTH(INDEX($AN$5:$AN$1000,$U128-4)),1),MesCiclo)),IF(ISNUMBER($AM128),DATE(YEAR($AM128),MONTH($AM128),1),IF(ISNUMBER($AN128),DATE(YEAR($AN128),MONTH($AN128),1),MesCiclo))))</f>
        <v/>
      </c>
      <c r="T128" s="62">
        <f>IF(OR($S128="",$S128&lt;&gt;MesCiclo),"",COUNTIF($S$5:$S128,MesCiclo))</f>
        <v/>
      </c>
      <c r="U128" s="62">
        <f>IF($V128="","",IF($V128="Macro",ROW(),IFERROR(LOOKUP(2,1/($V$5:$V128="Macro"),ROW($V$5:$V128)),0)))</f>
        <v/>
      </c>
      <c r="V128" s="62">
        <f>IF(NOT((COUNTA($B128:$D128)+COUNTA($G128:$L128)+COUNTA($Q128))&gt;0),"",IF($B128="Subactividad","Sub","Macro"))</f>
        <v/>
      </c>
      <c r="W128" s="62">
        <f>IF($V128="Macro",COUNTIFS($U$5:$U$1000,ROW(),$V$5:$V$1000,"Sub"),"")</f>
        <v/>
      </c>
      <c r="X128" s="62">
        <f>IF($V128="","",IF(ISNUMBER($G128),1,IFERROR(LOOKUP(2,1/($I128:$L128&lt;&gt;""),$I128:$L128),0)))</f>
        <v/>
      </c>
      <c r="Y128" s="62">
        <f>IF($V128="","",IF(AND(ISNUMBER($G128),$G128&lt;=IF($S128=MesCiclo,InicioCiclo,$S128+MOD(2-WEEKDAY($S128),7))+6),1,IF(ISNUMBER($I128),$I128,0)))</f>
        <v/>
      </c>
      <c r="Z128" s="62">
        <f>IF($V128="","",IF(AND(ISNUMBER($G128),$G128&lt;=IF($S128=MesCiclo,InicioCiclo,$S128+MOD(2-WEEKDAY($S128),7))+13),1,IF(ISNUMBER($J128),$J128,$Y128)))</f>
        <v/>
      </c>
      <c r="AA128" s="62">
        <f>IF($V128="","",IF(AND(ISNUMBER($G128),$G128&lt;=IF($S128=MesCiclo,InicioCiclo,$S128+MOD(2-WEEKDAY($S128),7))+20),1,IF(ISNUMBER($K128),$K128,$Z128)))</f>
        <v/>
      </c>
      <c r="AB128" s="62">
        <f>IF($V128="","",IF(AND(ISNUMBER($G128),$G128&lt;=IF($S128=MesCiclo,InicioCiclo,$S128+MOD(2-WEEKDAY($S128),7))+27),1,IF(ISNUMBER($L128),$L128,$AA128)))</f>
        <v/>
      </c>
      <c r="AC128" s="62">
        <f>IF($V128="","",IF(AND(ISNUMBER($G128),$G128&lt;=IF($S128=MesCiclo,InicioCiclo,$S128+MOD(2-WEEKDAY($S128),7))+6),1,IF(N($W128)&gt;0,AVERAGEIFS($Y$5:$Y$1000,$U$5:$U$1000,ROW(),$V$5:$V$1000,"Sub"),$Y128)))</f>
        <v/>
      </c>
      <c r="AD128" s="62">
        <f>IF($V128="","",IF(AND(ISNUMBER($G128),$G128&lt;=IF($S128=MesCiclo,InicioCiclo,$S128+MOD(2-WEEKDAY($S128),7))+13),1,IF(N($W128)&gt;0,AVERAGEIFS($Z$5:$Z$1000,$U$5:$U$1000,ROW(),$V$5:$V$1000,"Sub"),$Z128)))</f>
        <v/>
      </c>
      <c r="AE128" s="62">
        <f>IF($V128="","",IF(AND(ISNUMBER($G128),$G128&lt;=IF($S128=MesCiclo,InicioCiclo,$S128+MOD(2-WEEKDAY($S128),7))+20),1,IF(N($W128)&gt;0,AVERAGEIFS($AA$5:$AA$1000,$U$5:$U$1000,ROW(),$V$5:$V$1000,"Sub"),$AA128)))</f>
        <v/>
      </c>
      <c r="AF128" s="62">
        <f>IF($V128="","",IF(AND(ISNUMBER($G128),$G128&lt;=IF($S128=MesCiclo,InicioCiclo,$S128+MOD(2-WEEKDAY($S128),7))+27),1,IF(N($W128)&gt;0,AVERAGEIFS($AB$5:$AB$1000,$U$5:$U$1000,ROW(),$V$5:$V$1000,"Sub"),$AB128)))</f>
        <v/>
      </c>
      <c r="AG128" s="62">
        <f>IF($V128&lt;&gt;"Macro","",IF(COUNTIFS($S$5:$S$1000,$S128,$V$5:$V$1000,"Macro",$H$5:$H$1000,"&gt;0")=0,1/COUNTIFS($S$5:$S$1000,$S128,$V$5:$V$1000,"Macro"),IF(AND(ISNUMBER($H128),N($H128)&gt;0),$H128,SUMIFS($H$5:$H$1000,$S$5:$S$1000,$S128,$V$5:$V$1000,"Macro")/COUNTIFS($S$5:$S$1000,$S128,$V$5:$V$1000,"Macro",$H$5:$H$1000,"&gt;0"))/(COUNTIFS($S$5:$S$1000,$S128,$V$5:$V$1000,"Macro")*SUMIFS($H$5:$H$1000,$S$5:$S$1000,$S128,$V$5:$V$1000,"Macro")/COUNTIFS($S$5:$S$1000,$S128,$V$5:$V$1000,"Macro",$H$5:$H$1000,"&gt;0"))))</f>
        <v/>
      </c>
      <c r="AH128" s="62" t="n"/>
      <c r="AI128" s="62" t="n"/>
      <c r="AJ128" s="62" t="n"/>
      <c r="AK128" s="62" t="n"/>
      <c r="AL128" s="62">
        <f>IF(LEFT($C128,11)="[Jefatura] ",IFERROR(MATCH("Asistente Técnico de Riesgo|"&amp;MID($C128,12,500),rDname_ADM,0),0),"")</f>
        <v/>
      </c>
      <c r="AM128" s="62">
        <f>IF(N($AL128)&gt;0,INDEX(rIni_ADM,$AL128),IF(ISNUMBER($E128),$E128,""))</f>
        <v/>
      </c>
      <c r="AN128" s="62">
        <f>IF(N($AL128)&gt;0,INDEX(rLim_ADM,$AL128),IF(ISNUMBER($F128),$F128,""))</f>
        <v/>
      </c>
    </row>
    <row r="129">
      <c r="A129" s="56">
        <f>IF(NOT((COUNTA($B129:$D129)+COUNTA($G129:$L129)+COUNTA($Q129))&gt;0),"",IF($V129="Macro",COUNTIFS($V$5:$V129,"Macro",$S$5:$S129,$S129),IF(N($U129)=0,"?",COUNTIFS(INDEX($V$5:$V$1000,1):INDEX($V$5:$V$1000,$U129-4),"Macro",INDEX($S$5:$S$1000,1):INDEX($S$5:$S$1000,$U129-4),INDEX($S$5:$S$1000,$U129-4))&amp;"."&amp;COUNTIFS($U$5:$U129,$U129,$V$5:$V129,"Sub"))))</f>
        <v/>
      </c>
      <c r="B129" s="57" t="n"/>
      <c r="C129" s="58" t="n"/>
      <c r="D129" s="58" t="n"/>
      <c r="E129" s="59">
        <f>IF(N($AL129)&gt;0,INDEX(rIni_ADM,$AL129),"")</f>
        <v/>
      </c>
      <c r="F129" s="59">
        <f>IF(N($AL129)&gt;0,INDEX(rLim_ADM,$AL129),"")</f>
        <v/>
      </c>
      <c r="G129" s="59" t="n"/>
      <c r="H129" s="60" t="n"/>
      <c r="I129" s="60" t="n"/>
      <c r="J129" s="60" t="n"/>
      <c r="K129" s="60" t="n"/>
      <c r="L129" s="60" t="n"/>
      <c r="M129" s="61">
        <f>IF(NOT((COUNTA($B129:$D129)+COUNTA($G129:$L129)+COUNTA($Q129))&gt;0),"",IF(ISNUMBER($G129),1,IF(N($W129)&gt;0,AVERAGEIFS($X$5:$X$1000,$U$5:$U$1000,ROW(),$V$5:$V$1000,"Sub"),$X129)))</f>
        <v/>
      </c>
      <c r="N129" s="56">
        <f>IF($M129="","",IF($M129&gt;=1,"Completado",IF($M129&gt;0,"En curso","Pendiente")))</f>
        <v/>
      </c>
      <c r="O129" s="56">
        <f>IF(NOT((COUNTA($B129:$D129)+COUNTA($G129:$L129)+COUNTA($Q129))&gt;0),"",IF(ISNUMBER($G129),IF(AND(ISNUMBER($AN129),$G129&gt;$AN129),"Cumplida con "&amp;($G129-$AN129)&amp;IF($G129-$AN129=1," día"," días")&amp;" de retraso","Cumplida"),IF(N($M129)&gt;=1,"Cumplida",IF(NOT(ISNUMBER($AN129)),"Sin fecha límite",IF($AN129&lt;FechaRef,"Vencida hace "&amp;(FechaRef-$AN129)&amp;IF(FechaRef-$AN129=1," día"," días"),IF($AN129=FechaRef,"Vence hoy",IF($AN129-FechaRef&lt;=DiasAlerta,"Vence en "&amp;($AN129-FechaRef)&amp;IF($AN129-FechaRef=1," día"," días"),"En plazo")))))))</f>
        <v/>
      </c>
      <c r="P129" s="62" t="n"/>
      <c r="Q129" s="58" t="n"/>
      <c r="R129" s="63">
        <f>IF(NOT((COUNTA($B129:$D129)+COUNTA($G129:$L129)+COUNTA($Q129))&gt;0),"",IF((IF($C129="","Falta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",""))="","✔ OK","⚠ "&amp;LEFT(IF($C129="","Falta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",""),LEN(IF($C129="","Falta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",""))-3)))</f>
        <v/>
      </c>
      <c r="S129" s="64">
        <f>IF(NOT((COUNTA($B129:$D129)+COUNTA($G129:$L129)+COUNTA($Q129))&gt;0),"",IF(AND($V129="Sub",N($U129)&gt;0),IF(ISNUMBER(INDEX($AM$5:$AM$1000,$U129-4)),DATE(YEAR(INDEX($AM$5:$AM$1000,$U129-4)),MONTH(INDEX($AM$5:$AM$1000,$U129-4)),1),IF(ISNUMBER(INDEX($AN$5:$AN$1000,$U129-4)),DATE(YEAR(INDEX($AN$5:$AN$1000,$U129-4)),MONTH(INDEX($AN$5:$AN$1000,$U129-4)),1),MesCiclo)),IF(ISNUMBER($AM129),DATE(YEAR($AM129),MONTH($AM129),1),IF(ISNUMBER($AN129),DATE(YEAR($AN129),MONTH($AN129),1),MesCiclo))))</f>
        <v/>
      </c>
      <c r="T129" s="62">
        <f>IF(OR($S129="",$S129&lt;&gt;MesCiclo),"",COUNTIF($S$5:$S129,MesCiclo))</f>
        <v/>
      </c>
      <c r="U129" s="62">
        <f>IF($V129="","",IF($V129="Macro",ROW(),IFERROR(LOOKUP(2,1/($V$5:$V129="Macro"),ROW($V$5:$V129)),0)))</f>
        <v/>
      </c>
      <c r="V129" s="62">
        <f>IF(NOT((COUNTA($B129:$D129)+COUNTA($G129:$L129)+COUNTA($Q129))&gt;0),"",IF($B129="Subactividad","Sub","Macro"))</f>
        <v/>
      </c>
      <c r="W129" s="62">
        <f>IF($V129="Macro",COUNTIFS($U$5:$U$1000,ROW(),$V$5:$V$1000,"Sub"),"")</f>
        <v/>
      </c>
      <c r="X129" s="62">
        <f>IF($V129="","",IF(ISNUMBER($G129),1,IFERROR(LOOKUP(2,1/($I129:$L129&lt;&gt;""),$I129:$L129),0)))</f>
        <v/>
      </c>
      <c r="Y129" s="62">
        <f>IF($V129="","",IF(AND(ISNUMBER($G129),$G129&lt;=IF($S129=MesCiclo,InicioCiclo,$S129+MOD(2-WEEKDAY($S129),7))+6),1,IF(ISNUMBER($I129),$I129,0)))</f>
        <v/>
      </c>
      <c r="Z129" s="62">
        <f>IF($V129="","",IF(AND(ISNUMBER($G129),$G129&lt;=IF($S129=MesCiclo,InicioCiclo,$S129+MOD(2-WEEKDAY($S129),7))+13),1,IF(ISNUMBER($J129),$J129,$Y129)))</f>
        <v/>
      </c>
      <c r="AA129" s="62">
        <f>IF($V129="","",IF(AND(ISNUMBER($G129),$G129&lt;=IF($S129=MesCiclo,InicioCiclo,$S129+MOD(2-WEEKDAY($S129),7))+20),1,IF(ISNUMBER($K129),$K129,$Z129)))</f>
        <v/>
      </c>
      <c r="AB129" s="62">
        <f>IF($V129="","",IF(AND(ISNUMBER($G129),$G129&lt;=IF($S129=MesCiclo,InicioCiclo,$S129+MOD(2-WEEKDAY($S129),7))+27),1,IF(ISNUMBER($L129),$L129,$AA129)))</f>
        <v/>
      </c>
      <c r="AC129" s="62">
        <f>IF($V129="","",IF(AND(ISNUMBER($G129),$G129&lt;=IF($S129=MesCiclo,InicioCiclo,$S129+MOD(2-WEEKDAY($S129),7))+6),1,IF(N($W129)&gt;0,AVERAGEIFS($Y$5:$Y$1000,$U$5:$U$1000,ROW(),$V$5:$V$1000,"Sub"),$Y129)))</f>
        <v/>
      </c>
      <c r="AD129" s="62">
        <f>IF($V129="","",IF(AND(ISNUMBER($G129),$G129&lt;=IF($S129=MesCiclo,InicioCiclo,$S129+MOD(2-WEEKDAY($S129),7))+13),1,IF(N($W129)&gt;0,AVERAGEIFS($Z$5:$Z$1000,$U$5:$U$1000,ROW(),$V$5:$V$1000,"Sub"),$Z129)))</f>
        <v/>
      </c>
      <c r="AE129" s="62">
        <f>IF($V129="","",IF(AND(ISNUMBER($G129),$G129&lt;=IF($S129=MesCiclo,InicioCiclo,$S129+MOD(2-WEEKDAY($S129),7))+20),1,IF(N($W129)&gt;0,AVERAGEIFS($AA$5:$AA$1000,$U$5:$U$1000,ROW(),$V$5:$V$1000,"Sub"),$AA129)))</f>
        <v/>
      </c>
      <c r="AF129" s="62">
        <f>IF($V129="","",IF(AND(ISNUMBER($G129),$G129&lt;=IF($S129=MesCiclo,InicioCiclo,$S129+MOD(2-WEEKDAY($S129),7))+27),1,IF(N($W129)&gt;0,AVERAGEIFS($AB$5:$AB$1000,$U$5:$U$1000,ROW(),$V$5:$V$1000,"Sub"),$AB129)))</f>
        <v/>
      </c>
      <c r="AG129" s="62">
        <f>IF($V129&lt;&gt;"Macro","",IF(COUNTIFS($S$5:$S$1000,$S129,$V$5:$V$1000,"Macro",$H$5:$H$1000,"&gt;0")=0,1/COUNTIFS($S$5:$S$1000,$S129,$V$5:$V$1000,"Macro"),IF(AND(ISNUMBER($H129),N($H129)&gt;0),$H129,SUMIFS($H$5:$H$1000,$S$5:$S$1000,$S129,$V$5:$V$1000,"Macro")/COUNTIFS($S$5:$S$1000,$S129,$V$5:$V$1000,"Macro",$H$5:$H$1000,"&gt;0"))/(COUNTIFS($S$5:$S$1000,$S129,$V$5:$V$1000,"Macro")*SUMIFS($H$5:$H$1000,$S$5:$S$1000,$S129,$V$5:$V$1000,"Macro")/COUNTIFS($S$5:$S$1000,$S129,$V$5:$V$1000,"Macro",$H$5:$H$1000,"&gt;0"))))</f>
        <v/>
      </c>
      <c r="AH129" s="62" t="n"/>
      <c r="AI129" s="62" t="n"/>
      <c r="AJ129" s="62" t="n"/>
      <c r="AK129" s="62" t="n"/>
      <c r="AL129" s="62">
        <f>IF(LEFT($C129,11)="[Jefatura] ",IFERROR(MATCH("Asistente Técnico de Riesgo|"&amp;MID($C129,12,500),rDname_ADM,0),0),"")</f>
        <v/>
      </c>
      <c r="AM129" s="62">
        <f>IF(N($AL129)&gt;0,INDEX(rIni_ADM,$AL129),IF(ISNUMBER($E129),$E129,""))</f>
        <v/>
      </c>
      <c r="AN129" s="62">
        <f>IF(N($AL129)&gt;0,INDEX(rLim_ADM,$AL129),IF(ISNUMBER($F129),$F129,""))</f>
        <v/>
      </c>
    </row>
    <row r="130">
      <c r="A130" s="56">
        <f>IF(NOT((COUNTA($B130:$D130)+COUNTA($G130:$L130)+COUNTA($Q130))&gt;0),"",IF($V130="Macro",COUNTIFS($V$5:$V130,"Macro",$S$5:$S130,$S130),IF(N($U130)=0,"?",COUNTIFS(INDEX($V$5:$V$1000,1):INDEX($V$5:$V$1000,$U130-4),"Macro",INDEX($S$5:$S$1000,1):INDEX($S$5:$S$1000,$U130-4),INDEX($S$5:$S$1000,$U130-4))&amp;"."&amp;COUNTIFS($U$5:$U130,$U130,$V$5:$V130,"Sub"))))</f>
        <v/>
      </c>
      <c r="B130" s="57" t="n"/>
      <c r="C130" s="58" t="n"/>
      <c r="D130" s="58" t="n"/>
      <c r="E130" s="59">
        <f>IF(N($AL130)&gt;0,INDEX(rIni_ADM,$AL130),"")</f>
        <v/>
      </c>
      <c r="F130" s="59">
        <f>IF(N($AL130)&gt;0,INDEX(rLim_ADM,$AL130),"")</f>
        <v/>
      </c>
      <c r="G130" s="59" t="n"/>
      <c r="H130" s="60" t="n"/>
      <c r="I130" s="60" t="n"/>
      <c r="J130" s="60" t="n"/>
      <c r="K130" s="60" t="n"/>
      <c r="L130" s="60" t="n"/>
      <c r="M130" s="61">
        <f>IF(NOT((COUNTA($B130:$D130)+COUNTA($G130:$L130)+COUNTA($Q130))&gt;0),"",IF(ISNUMBER($G130),1,IF(N($W130)&gt;0,AVERAGEIFS($X$5:$X$1000,$U$5:$U$1000,ROW(),$V$5:$V$1000,"Sub"),$X130)))</f>
        <v/>
      </c>
      <c r="N130" s="56">
        <f>IF($M130="","",IF($M130&gt;=1,"Completado",IF($M130&gt;0,"En curso","Pendiente")))</f>
        <v/>
      </c>
      <c r="O130" s="56">
        <f>IF(NOT((COUNTA($B130:$D130)+COUNTA($G130:$L130)+COUNTA($Q130))&gt;0),"",IF(ISNUMBER($G130),IF(AND(ISNUMBER($AN130),$G130&gt;$AN130),"Cumplida con "&amp;($G130-$AN130)&amp;IF($G130-$AN130=1," día"," días")&amp;" de retraso","Cumplida"),IF(N($M130)&gt;=1,"Cumplida",IF(NOT(ISNUMBER($AN130)),"Sin fecha límite",IF($AN130&lt;FechaRef,"Vencida hace "&amp;(FechaRef-$AN130)&amp;IF(FechaRef-$AN130=1," día"," días"),IF($AN130=FechaRef,"Vence hoy",IF($AN130-FechaRef&lt;=DiasAlerta,"Vence en "&amp;($AN130-FechaRef)&amp;IF($AN130-FechaRef=1," día"," días"),"En plazo")))))))</f>
        <v/>
      </c>
      <c r="P130" s="62" t="n"/>
      <c r="Q130" s="58" t="n"/>
      <c r="R130" s="63">
        <f>IF(NOT((COUNTA($B130:$D130)+COUNTA($G130:$L130)+COUNTA($Q130))&gt;0),"",IF((IF($C130="","Falta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",""))="","✔ OK","⚠ "&amp;LEFT(IF($C130="","Falta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",""),LEN(IF($C130="","Falta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",""))-3)))</f>
        <v/>
      </c>
      <c r="S130" s="64">
        <f>IF(NOT((COUNTA($B130:$D130)+COUNTA($G130:$L130)+COUNTA($Q130))&gt;0),"",IF(AND($V130="Sub",N($U130)&gt;0),IF(ISNUMBER(INDEX($AM$5:$AM$1000,$U130-4)),DATE(YEAR(INDEX($AM$5:$AM$1000,$U130-4)),MONTH(INDEX($AM$5:$AM$1000,$U130-4)),1),IF(ISNUMBER(INDEX($AN$5:$AN$1000,$U130-4)),DATE(YEAR(INDEX($AN$5:$AN$1000,$U130-4)),MONTH(INDEX($AN$5:$AN$1000,$U130-4)),1),MesCiclo)),IF(ISNUMBER($AM130),DATE(YEAR($AM130),MONTH($AM130),1),IF(ISNUMBER($AN130),DATE(YEAR($AN130),MONTH($AN130),1),MesCiclo))))</f>
        <v/>
      </c>
      <c r="T130" s="62">
        <f>IF(OR($S130="",$S130&lt;&gt;MesCiclo),"",COUNTIF($S$5:$S130,MesCiclo))</f>
        <v/>
      </c>
      <c r="U130" s="62">
        <f>IF($V130="","",IF($V130="Macro",ROW(),IFERROR(LOOKUP(2,1/($V$5:$V130="Macro"),ROW($V$5:$V130)),0)))</f>
        <v/>
      </c>
      <c r="V130" s="62">
        <f>IF(NOT((COUNTA($B130:$D130)+COUNTA($G130:$L130)+COUNTA($Q130))&gt;0),"",IF($B130="Subactividad","Sub","Macro"))</f>
        <v/>
      </c>
      <c r="W130" s="62">
        <f>IF($V130="Macro",COUNTIFS($U$5:$U$1000,ROW(),$V$5:$V$1000,"Sub"),"")</f>
        <v/>
      </c>
      <c r="X130" s="62">
        <f>IF($V130="","",IF(ISNUMBER($G130),1,IFERROR(LOOKUP(2,1/($I130:$L130&lt;&gt;""),$I130:$L130),0)))</f>
        <v/>
      </c>
      <c r="Y130" s="62">
        <f>IF($V130="","",IF(AND(ISNUMBER($G130),$G130&lt;=IF($S130=MesCiclo,InicioCiclo,$S130+MOD(2-WEEKDAY($S130),7))+6),1,IF(ISNUMBER($I130),$I130,0)))</f>
        <v/>
      </c>
      <c r="Z130" s="62">
        <f>IF($V130="","",IF(AND(ISNUMBER($G130),$G130&lt;=IF($S130=MesCiclo,InicioCiclo,$S130+MOD(2-WEEKDAY($S130),7))+13),1,IF(ISNUMBER($J130),$J130,$Y130)))</f>
        <v/>
      </c>
      <c r="AA130" s="62">
        <f>IF($V130="","",IF(AND(ISNUMBER($G130),$G130&lt;=IF($S130=MesCiclo,InicioCiclo,$S130+MOD(2-WEEKDAY($S130),7))+20),1,IF(ISNUMBER($K130),$K130,$Z130)))</f>
        <v/>
      </c>
      <c r="AB130" s="62">
        <f>IF($V130="","",IF(AND(ISNUMBER($G130),$G130&lt;=IF($S130=MesCiclo,InicioCiclo,$S130+MOD(2-WEEKDAY($S130),7))+27),1,IF(ISNUMBER($L130),$L130,$AA130)))</f>
        <v/>
      </c>
      <c r="AC130" s="62">
        <f>IF($V130="","",IF(AND(ISNUMBER($G130),$G130&lt;=IF($S130=MesCiclo,InicioCiclo,$S130+MOD(2-WEEKDAY($S130),7))+6),1,IF(N($W130)&gt;0,AVERAGEIFS($Y$5:$Y$1000,$U$5:$U$1000,ROW(),$V$5:$V$1000,"Sub"),$Y130)))</f>
        <v/>
      </c>
      <c r="AD130" s="62">
        <f>IF($V130="","",IF(AND(ISNUMBER($G130),$G130&lt;=IF($S130=MesCiclo,InicioCiclo,$S130+MOD(2-WEEKDAY($S130),7))+13),1,IF(N($W130)&gt;0,AVERAGEIFS($Z$5:$Z$1000,$U$5:$U$1000,ROW(),$V$5:$V$1000,"Sub"),$Z130)))</f>
        <v/>
      </c>
      <c r="AE130" s="62">
        <f>IF($V130="","",IF(AND(ISNUMBER($G130),$G130&lt;=IF($S130=MesCiclo,InicioCiclo,$S130+MOD(2-WEEKDAY($S130),7))+20),1,IF(N($W130)&gt;0,AVERAGEIFS($AA$5:$AA$1000,$U$5:$U$1000,ROW(),$V$5:$V$1000,"Sub"),$AA130)))</f>
        <v/>
      </c>
      <c r="AF130" s="62">
        <f>IF($V130="","",IF(AND(ISNUMBER($G130),$G130&lt;=IF($S130=MesCiclo,InicioCiclo,$S130+MOD(2-WEEKDAY($S130),7))+27),1,IF(N($W130)&gt;0,AVERAGEIFS($AB$5:$AB$1000,$U$5:$U$1000,ROW(),$V$5:$V$1000,"Sub"),$AB130)))</f>
        <v/>
      </c>
      <c r="AG130" s="62">
        <f>IF($V130&lt;&gt;"Macro","",IF(COUNTIFS($S$5:$S$1000,$S130,$V$5:$V$1000,"Macro",$H$5:$H$1000,"&gt;0")=0,1/COUNTIFS($S$5:$S$1000,$S130,$V$5:$V$1000,"Macro"),IF(AND(ISNUMBER($H130),N($H130)&gt;0),$H130,SUMIFS($H$5:$H$1000,$S$5:$S$1000,$S130,$V$5:$V$1000,"Macro")/COUNTIFS($S$5:$S$1000,$S130,$V$5:$V$1000,"Macro",$H$5:$H$1000,"&gt;0"))/(COUNTIFS($S$5:$S$1000,$S130,$V$5:$V$1000,"Macro")*SUMIFS($H$5:$H$1000,$S$5:$S$1000,$S130,$V$5:$V$1000,"Macro")/COUNTIFS($S$5:$S$1000,$S130,$V$5:$V$1000,"Macro",$H$5:$H$1000,"&gt;0"))))</f>
        <v/>
      </c>
      <c r="AH130" s="62" t="n"/>
      <c r="AI130" s="62" t="n"/>
      <c r="AJ130" s="62" t="n"/>
      <c r="AK130" s="62" t="n"/>
      <c r="AL130" s="62">
        <f>IF(LEFT($C130,11)="[Jefatura] ",IFERROR(MATCH("Asistente Técnico de Riesgo|"&amp;MID($C130,12,500),rDname_ADM,0),0),"")</f>
        <v/>
      </c>
      <c r="AM130" s="62">
        <f>IF(N($AL130)&gt;0,INDEX(rIni_ADM,$AL130),IF(ISNUMBER($E130),$E130,""))</f>
        <v/>
      </c>
      <c r="AN130" s="62">
        <f>IF(N($AL130)&gt;0,INDEX(rLim_ADM,$AL130),IF(ISNUMBER($F130),$F130,""))</f>
        <v/>
      </c>
    </row>
    <row r="131">
      <c r="A131" s="56">
        <f>IF(NOT((COUNTA($B131:$D131)+COUNTA($G131:$L131)+COUNTA($Q131))&gt;0),"",IF($V131="Macro",COUNTIFS($V$5:$V131,"Macro",$S$5:$S131,$S131),IF(N($U131)=0,"?",COUNTIFS(INDEX($V$5:$V$1000,1):INDEX($V$5:$V$1000,$U131-4),"Macro",INDEX($S$5:$S$1000,1):INDEX($S$5:$S$1000,$U131-4),INDEX($S$5:$S$1000,$U131-4))&amp;"."&amp;COUNTIFS($U$5:$U131,$U131,$V$5:$V131,"Sub"))))</f>
        <v/>
      </c>
      <c r="B131" s="57" t="n"/>
      <c r="C131" s="58" t="n"/>
      <c r="D131" s="58" t="n"/>
      <c r="E131" s="59">
        <f>IF(N($AL131)&gt;0,INDEX(rIni_ADM,$AL131),"")</f>
        <v/>
      </c>
      <c r="F131" s="59">
        <f>IF(N($AL131)&gt;0,INDEX(rLim_ADM,$AL131),"")</f>
        <v/>
      </c>
      <c r="G131" s="59" t="n"/>
      <c r="H131" s="60" t="n"/>
      <c r="I131" s="60" t="n"/>
      <c r="J131" s="60" t="n"/>
      <c r="K131" s="60" t="n"/>
      <c r="L131" s="60" t="n"/>
      <c r="M131" s="61">
        <f>IF(NOT((COUNTA($B131:$D131)+COUNTA($G131:$L131)+COUNTA($Q131))&gt;0),"",IF(ISNUMBER($G131),1,IF(N($W131)&gt;0,AVERAGEIFS($X$5:$X$1000,$U$5:$U$1000,ROW(),$V$5:$V$1000,"Sub"),$X131)))</f>
        <v/>
      </c>
      <c r="N131" s="56">
        <f>IF($M131="","",IF($M131&gt;=1,"Completado",IF($M131&gt;0,"En curso","Pendiente")))</f>
        <v/>
      </c>
      <c r="O131" s="56">
        <f>IF(NOT((COUNTA($B131:$D131)+COUNTA($G131:$L131)+COUNTA($Q131))&gt;0),"",IF(ISNUMBER($G131),IF(AND(ISNUMBER($AN131),$G131&gt;$AN131),"Cumplida con "&amp;($G131-$AN131)&amp;IF($G131-$AN131=1," día"," días")&amp;" de retraso","Cumplida"),IF(N($M131)&gt;=1,"Cumplida",IF(NOT(ISNUMBER($AN131)),"Sin fecha límite",IF($AN131&lt;FechaRef,"Vencida hace "&amp;(FechaRef-$AN131)&amp;IF(FechaRef-$AN131=1," día"," días"),IF($AN131=FechaRef,"Vence hoy",IF($AN131-FechaRef&lt;=DiasAlerta,"Vence en "&amp;($AN131-FechaRef)&amp;IF($AN131-FechaRef=1," día"," días"),"En plazo")))))))</f>
        <v/>
      </c>
      <c r="P131" s="62" t="n"/>
      <c r="Q131" s="58" t="n"/>
      <c r="R131" s="63">
        <f>IF(NOT((COUNTA($B131:$D131)+COUNTA($G131:$L131)+COUNTA($Q131))&gt;0),"",IF((IF($C131="","Falta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",""))="","✔ OK","⚠ "&amp;LEFT(IF($C131="","Falta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",""),LEN(IF($C131="","Falta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",""))-3)))</f>
        <v/>
      </c>
      <c r="S131" s="64">
        <f>IF(NOT((COUNTA($B131:$D131)+COUNTA($G131:$L131)+COUNTA($Q131))&gt;0),"",IF(AND($V131="Sub",N($U131)&gt;0),IF(ISNUMBER(INDEX($AM$5:$AM$1000,$U131-4)),DATE(YEAR(INDEX($AM$5:$AM$1000,$U131-4)),MONTH(INDEX($AM$5:$AM$1000,$U131-4)),1),IF(ISNUMBER(INDEX($AN$5:$AN$1000,$U131-4)),DATE(YEAR(INDEX($AN$5:$AN$1000,$U131-4)),MONTH(INDEX($AN$5:$AN$1000,$U131-4)),1),MesCiclo)),IF(ISNUMBER($AM131),DATE(YEAR($AM131),MONTH($AM131),1),IF(ISNUMBER($AN131),DATE(YEAR($AN131),MONTH($AN131),1),MesCiclo))))</f>
        <v/>
      </c>
      <c r="T131" s="62">
        <f>IF(OR($S131="",$S131&lt;&gt;MesCiclo),"",COUNTIF($S$5:$S131,MesCiclo))</f>
        <v/>
      </c>
      <c r="U131" s="62">
        <f>IF($V131="","",IF($V131="Macro",ROW(),IFERROR(LOOKUP(2,1/($V$5:$V131="Macro"),ROW($V$5:$V131)),0)))</f>
        <v/>
      </c>
      <c r="V131" s="62">
        <f>IF(NOT((COUNTA($B131:$D131)+COUNTA($G131:$L131)+COUNTA($Q131))&gt;0),"",IF($B131="Subactividad","Sub","Macro"))</f>
        <v/>
      </c>
      <c r="W131" s="62">
        <f>IF($V131="Macro",COUNTIFS($U$5:$U$1000,ROW(),$V$5:$V$1000,"Sub"),"")</f>
        <v/>
      </c>
      <c r="X131" s="62">
        <f>IF($V131="","",IF(ISNUMBER($G131),1,IFERROR(LOOKUP(2,1/($I131:$L131&lt;&gt;""),$I131:$L131),0)))</f>
        <v/>
      </c>
      <c r="Y131" s="62">
        <f>IF($V131="","",IF(AND(ISNUMBER($G131),$G131&lt;=IF($S131=MesCiclo,InicioCiclo,$S131+MOD(2-WEEKDAY($S131),7))+6),1,IF(ISNUMBER($I131),$I131,0)))</f>
        <v/>
      </c>
      <c r="Z131" s="62">
        <f>IF($V131="","",IF(AND(ISNUMBER($G131),$G131&lt;=IF($S131=MesCiclo,InicioCiclo,$S131+MOD(2-WEEKDAY($S131),7))+13),1,IF(ISNUMBER($J131),$J131,$Y131)))</f>
        <v/>
      </c>
      <c r="AA131" s="62">
        <f>IF($V131="","",IF(AND(ISNUMBER($G131),$G131&lt;=IF($S131=MesCiclo,InicioCiclo,$S131+MOD(2-WEEKDAY($S131),7))+20),1,IF(ISNUMBER($K131),$K131,$Z131)))</f>
        <v/>
      </c>
      <c r="AB131" s="62">
        <f>IF($V131="","",IF(AND(ISNUMBER($G131),$G131&lt;=IF($S131=MesCiclo,InicioCiclo,$S131+MOD(2-WEEKDAY($S131),7))+27),1,IF(ISNUMBER($L131),$L131,$AA131)))</f>
        <v/>
      </c>
      <c r="AC131" s="62">
        <f>IF($V131="","",IF(AND(ISNUMBER($G131),$G131&lt;=IF($S131=MesCiclo,InicioCiclo,$S131+MOD(2-WEEKDAY($S131),7))+6),1,IF(N($W131)&gt;0,AVERAGEIFS($Y$5:$Y$1000,$U$5:$U$1000,ROW(),$V$5:$V$1000,"Sub"),$Y131)))</f>
        <v/>
      </c>
      <c r="AD131" s="62">
        <f>IF($V131="","",IF(AND(ISNUMBER($G131),$G131&lt;=IF($S131=MesCiclo,InicioCiclo,$S131+MOD(2-WEEKDAY($S131),7))+13),1,IF(N($W131)&gt;0,AVERAGEIFS($Z$5:$Z$1000,$U$5:$U$1000,ROW(),$V$5:$V$1000,"Sub"),$Z131)))</f>
        <v/>
      </c>
      <c r="AE131" s="62">
        <f>IF($V131="","",IF(AND(ISNUMBER($G131),$G131&lt;=IF($S131=MesCiclo,InicioCiclo,$S131+MOD(2-WEEKDAY($S131),7))+20),1,IF(N($W131)&gt;0,AVERAGEIFS($AA$5:$AA$1000,$U$5:$U$1000,ROW(),$V$5:$V$1000,"Sub"),$AA131)))</f>
        <v/>
      </c>
      <c r="AF131" s="62">
        <f>IF($V131="","",IF(AND(ISNUMBER($G131),$G131&lt;=IF($S131=MesCiclo,InicioCiclo,$S131+MOD(2-WEEKDAY($S131),7))+27),1,IF(N($W131)&gt;0,AVERAGEIFS($AB$5:$AB$1000,$U$5:$U$1000,ROW(),$V$5:$V$1000,"Sub"),$AB131)))</f>
        <v/>
      </c>
      <c r="AG131" s="62">
        <f>IF($V131&lt;&gt;"Macro","",IF(COUNTIFS($S$5:$S$1000,$S131,$V$5:$V$1000,"Macro",$H$5:$H$1000,"&gt;0")=0,1/COUNTIFS($S$5:$S$1000,$S131,$V$5:$V$1000,"Macro"),IF(AND(ISNUMBER($H131),N($H131)&gt;0),$H131,SUMIFS($H$5:$H$1000,$S$5:$S$1000,$S131,$V$5:$V$1000,"Macro")/COUNTIFS($S$5:$S$1000,$S131,$V$5:$V$1000,"Macro",$H$5:$H$1000,"&gt;0"))/(COUNTIFS($S$5:$S$1000,$S131,$V$5:$V$1000,"Macro")*SUMIFS($H$5:$H$1000,$S$5:$S$1000,$S131,$V$5:$V$1000,"Macro")/COUNTIFS($S$5:$S$1000,$S131,$V$5:$V$1000,"Macro",$H$5:$H$1000,"&gt;0"))))</f>
        <v/>
      </c>
      <c r="AH131" s="62" t="n"/>
      <c r="AI131" s="62" t="n"/>
      <c r="AJ131" s="62" t="n"/>
      <c r="AK131" s="62" t="n"/>
      <c r="AL131" s="62">
        <f>IF(LEFT($C131,11)="[Jefatura] ",IFERROR(MATCH("Asistente Técnico de Riesgo|"&amp;MID($C131,12,500),rDname_ADM,0),0),"")</f>
        <v/>
      </c>
      <c r="AM131" s="62">
        <f>IF(N($AL131)&gt;0,INDEX(rIni_ADM,$AL131),IF(ISNUMBER($E131),$E131,""))</f>
        <v/>
      </c>
      <c r="AN131" s="62">
        <f>IF(N($AL131)&gt;0,INDEX(rLim_ADM,$AL131),IF(ISNUMBER($F131),$F131,""))</f>
        <v/>
      </c>
    </row>
    <row r="132">
      <c r="A132" s="56">
        <f>IF(NOT((COUNTA($B132:$D132)+COUNTA($G132:$L132)+COUNTA($Q132))&gt;0),"",IF($V132="Macro",COUNTIFS($V$5:$V132,"Macro",$S$5:$S132,$S132),IF(N($U132)=0,"?",COUNTIFS(INDEX($V$5:$V$1000,1):INDEX($V$5:$V$1000,$U132-4),"Macro",INDEX($S$5:$S$1000,1):INDEX($S$5:$S$1000,$U132-4),INDEX($S$5:$S$1000,$U132-4))&amp;"."&amp;COUNTIFS($U$5:$U132,$U132,$V$5:$V132,"Sub"))))</f>
        <v/>
      </c>
      <c r="B132" s="57" t="n"/>
      <c r="C132" s="58" t="n"/>
      <c r="D132" s="58" t="n"/>
      <c r="E132" s="59">
        <f>IF(N($AL132)&gt;0,INDEX(rIni_ADM,$AL132),"")</f>
        <v/>
      </c>
      <c r="F132" s="59">
        <f>IF(N($AL132)&gt;0,INDEX(rLim_ADM,$AL132),"")</f>
        <v/>
      </c>
      <c r="G132" s="59" t="n"/>
      <c r="H132" s="60" t="n"/>
      <c r="I132" s="60" t="n"/>
      <c r="J132" s="60" t="n"/>
      <c r="K132" s="60" t="n"/>
      <c r="L132" s="60" t="n"/>
      <c r="M132" s="61">
        <f>IF(NOT((COUNTA($B132:$D132)+COUNTA($G132:$L132)+COUNTA($Q132))&gt;0),"",IF(ISNUMBER($G132),1,IF(N($W132)&gt;0,AVERAGEIFS($X$5:$X$1000,$U$5:$U$1000,ROW(),$V$5:$V$1000,"Sub"),$X132)))</f>
        <v/>
      </c>
      <c r="N132" s="56">
        <f>IF($M132="","",IF($M132&gt;=1,"Completado",IF($M132&gt;0,"En curso","Pendiente")))</f>
        <v/>
      </c>
      <c r="O132" s="56">
        <f>IF(NOT((COUNTA($B132:$D132)+COUNTA($G132:$L132)+COUNTA($Q132))&gt;0),"",IF(ISNUMBER($G132),IF(AND(ISNUMBER($AN132),$G132&gt;$AN132),"Cumplida con "&amp;($G132-$AN132)&amp;IF($G132-$AN132=1," día"," días")&amp;" de retraso","Cumplida"),IF(N($M132)&gt;=1,"Cumplida",IF(NOT(ISNUMBER($AN132)),"Sin fecha límite",IF($AN132&lt;FechaRef,"Vencida hace "&amp;(FechaRef-$AN132)&amp;IF(FechaRef-$AN132=1," día"," días"),IF($AN132=FechaRef,"Vence hoy",IF($AN132-FechaRef&lt;=DiasAlerta,"Vence en "&amp;($AN132-FechaRef)&amp;IF($AN132-FechaRef=1," día"," días"),"En plazo")))))))</f>
        <v/>
      </c>
      <c r="P132" s="62" t="n"/>
      <c r="Q132" s="58" t="n"/>
      <c r="R132" s="63">
        <f>IF(NOT((COUNTA($B132:$D132)+COUNTA($G132:$L132)+COUNTA($Q132))&gt;0),"",IF((IF($C132="","Falta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",""))="","✔ OK","⚠ "&amp;LEFT(IF($C132="","Falta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",""),LEN(IF($C132="","Falta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",""))-3)))</f>
        <v/>
      </c>
      <c r="S132" s="64">
        <f>IF(NOT((COUNTA($B132:$D132)+COUNTA($G132:$L132)+COUNTA($Q132))&gt;0),"",IF(AND($V132="Sub",N($U132)&gt;0),IF(ISNUMBER(INDEX($AM$5:$AM$1000,$U132-4)),DATE(YEAR(INDEX($AM$5:$AM$1000,$U132-4)),MONTH(INDEX($AM$5:$AM$1000,$U132-4)),1),IF(ISNUMBER(INDEX($AN$5:$AN$1000,$U132-4)),DATE(YEAR(INDEX($AN$5:$AN$1000,$U132-4)),MONTH(INDEX($AN$5:$AN$1000,$U132-4)),1),MesCiclo)),IF(ISNUMBER($AM132),DATE(YEAR($AM132),MONTH($AM132),1),IF(ISNUMBER($AN132),DATE(YEAR($AN132),MONTH($AN132),1),MesCiclo))))</f>
        <v/>
      </c>
      <c r="T132" s="62">
        <f>IF(OR($S132="",$S132&lt;&gt;MesCiclo),"",COUNTIF($S$5:$S132,MesCiclo))</f>
        <v/>
      </c>
      <c r="U132" s="62">
        <f>IF($V132="","",IF($V132="Macro",ROW(),IFERROR(LOOKUP(2,1/($V$5:$V132="Macro"),ROW($V$5:$V132)),0)))</f>
        <v/>
      </c>
      <c r="V132" s="62">
        <f>IF(NOT((COUNTA($B132:$D132)+COUNTA($G132:$L132)+COUNTA($Q132))&gt;0),"",IF($B132="Subactividad","Sub","Macro"))</f>
        <v/>
      </c>
      <c r="W132" s="62">
        <f>IF($V132="Macro",COUNTIFS($U$5:$U$1000,ROW(),$V$5:$V$1000,"Sub"),"")</f>
        <v/>
      </c>
      <c r="X132" s="62">
        <f>IF($V132="","",IF(ISNUMBER($G132),1,IFERROR(LOOKUP(2,1/($I132:$L132&lt;&gt;""),$I132:$L132),0)))</f>
        <v/>
      </c>
      <c r="Y132" s="62">
        <f>IF($V132="","",IF(AND(ISNUMBER($G132),$G132&lt;=IF($S132=MesCiclo,InicioCiclo,$S132+MOD(2-WEEKDAY($S132),7))+6),1,IF(ISNUMBER($I132),$I132,0)))</f>
        <v/>
      </c>
      <c r="Z132" s="62">
        <f>IF($V132="","",IF(AND(ISNUMBER($G132),$G132&lt;=IF($S132=MesCiclo,InicioCiclo,$S132+MOD(2-WEEKDAY($S132),7))+13),1,IF(ISNUMBER($J132),$J132,$Y132)))</f>
        <v/>
      </c>
      <c r="AA132" s="62">
        <f>IF($V132="","",IF(AND(ISNUMBER($G132),$G132&lt;=IF($S132=MesCiclo,InicioCiclo,$S132+MOD(2-WEEKDAY($S132),7))+20),1,IF(ISNUMBER($K132),$K132,$Z132)))</f>
        <v/>
      </c>
      <c r="AB132" s="62">
        <f>IF($V132="","",IF(AND(ISNUMBER($G132),$G132&lt;=IF($S132=MesCiclo,InicioCiclo,$S132+MOD(2-WEEKDAY($S132),7))+27),1,IF(ISNUMBER($L132),$L132,$AA132)))</f>
        <v/>
      </c>
      <c r="AC132" s="62">
        <f>IF($V132="","",IF(AND(ISNUMBER($G132),$G132&lt;=IF($S132=MesCiclo,InicioCiclo,$S132+MOD(2-WEEKDAY($S132),7))+6),1,IF(N($W132)&gt;0,AVERAGEIFS($Y$5:$Y$1000,$U$5:$U$1000,ROW(),$V$5:$V$1000,"Sub"),$Y132)))</f>
        <v/>
      </c>
      <c r="AD132" s="62">
        <f>IF($V132="","",IF(AND(ISNUMBER($G132),$G132&lt;=IF($S132=MesCiclo,InicioCiclo,$S132+MOD(2-WEEKDAY($S132),7))+13),1,IF(N($W132)&gt;0,AVERAGEIFS($Z$5:$Z$1000,$U$5:$U$1000,ROW(),$V$5:$V$1000,"Sub"),$Z132)))</f>
        <v/>
      </c>
      <c r="AE132" s="62">
        <f>IF($V132="","",IF(AND(ISNUMBER($G132),$G132&lt;=IF($S132=MesCiclo,InicioCiclo,$S132+MOD(2-WEEKDAY($S132),7))+20),1,IF(N($W132)&gt;0,AVERAGEIFS($AA$5:$AA$1000,$U$5:$U$1000,ROW(),$V$5:$V$1000,"Sub"),$AA132)))</f>
        <v/>
      </c>
      <c r="AF132" s="62">
        <f>IF($V132="","",IF(AND(ISNUMBER($G132),$G132&lt;=IF($S132=MesCiclo,InicioCiclo,$S132+MOD(2-WEEKDAY($S132),7))+27),1,IF(N($W132)&gt;0,AVERAGEIFS($AB$5:$AB$1000,$U$5:$U$1000,ROW(),$V$5:$V$1000,"Sub"),$AB132)))</f>
        <v/>
      </c>
      <c r="AG132" s="62">
        <f>IF($V132&lt;&gt;"Macro","",IF(COUNTIFS($S$5:$S$1000,$S132,$V$5:$V$1000,"Macro",$H$5:$H$1000,"&gt;0")=0,1/COUNTIFS($S$5:$S$1000,$S132,$V$5:$V$1000,"Macro"),IF(AND(ISNUMBER($H132),N($H132)&gt;0),$H132,SUMIFS($H$5:$H$1000,$S$5:$S$1000,$S132,$V$5:$V$1000,"Macro")/COUNTIFS($S$5:$S$1000,$S132,$V$5:$V$1000,"Macro",$H$5:$H$1000,"&gt;0"))/(COUNTIFS($S$5:$S$1000,$S132,$V$5:$V$1000,"Macro")*SUMIFS($H$5:$H$1000,$S$5:$S$1000,$S132,$V$5:$V$1000,"Macro")/COUNTIFS($S$5:$S$1000,$S132,$V$5:$V$1000,"Macro",$H$5:$H$1000,"&gt;0"))))</f>
        <v/>
      </c>
      <c r="AH132" s="62" t="n"/>
      <c r="AI132" s="62" t="n"/>
      <c r="AJ132" s="62" t="n"/>
      <c r="AK132" s="62" t="n"/>
      <c r="AL132" s="62">
        <f>IF(LEFT($C132,11)="[Jefatura] ",IFERROR(MATCH("Asistente Técnico de Riesgo|"&amp;MID($C132,12,500),rDname_ADM,0),0),"")</f>
        <v/>
      </c>
      <c r="AM132" s="62">
        <f>IF(N($AL132)&gt;0,INDEX(rIni_ADM,$AL132),IF(ISNUMBER($E132),$E132,""))</f>
        <v/>
      </c>
      <c r="AN132" s="62">
        <f>IF(N($AL132)&gt;0,INDEX(rLim_ADM,$AL132),IF(ISNUMBER($F132),$F132,""))</f>
        <v/>
      </c>
    </row>
    <row r="133">
      <c r="A133" s="56">
        <f>IF(NOT((COUNTA($B133:$D133)+COUNTA($G133:$L133)+COUNTA($Q133))&gt;0),"",IF($V133="Macro",COUNTIFS($V$5:$V133,"Macro",$S$5:$S133,$S133),IF(N($U133)=0,"?",COUNTIFS(INDEX($V$5:$V$1000,1):INDEX($V$5:$V$1000,$U133-4),"Macro",INDEX($S$5:$S$1000,1):INDEX($S$5:$S$1000,$U133-4),INDEX($S$5:$S$1000,$U133-4))&amp;"."&amp;COUNTIFS($U$5:$U133,$U133,$V$5:$V133,"Sub"))))</f>
        <v/>
      </c>
      <c r="B133" s="57" t="n"/>
      <c r="C133" s="58" t="n"/>
      <c r="D133" s="58" t="n"/>
      <c r="E133" s="59">
        <f>IF(N($AL133)&gt;0,INDEX(rIni_ADM,$AL133),"")</f>
        <v/>
      </c>
      <c r="F133" s="59">
        <f>IF(N($AL133)&gt;0,INDEX(rLim_ADM,$AL133),"")</f>
        <v/>
      </c>
      <c r="G133" s="59" t="n"/>
      <c r="H133" s="60" t="n"/>
      <c r="I133" s="60" t="n"/>
      <c r="J133" s="60" t="n"/>
      <c r="K133" s="60" t="n"/>
      <c r="L133" s="60" t="n"/>
      <c r="M133" s="61">
        <f>IF(NOT((COUNTA($B133:$D133)+COUNTA($G133:$L133)+COUNTA($Q133))&gt;0),"",IF(ISNUMBER($G133),1,IF(N($W133)&gt;0,AVERAGEIFS($X$5:$X$1000,$U$5:$U$1000,ROW(),$V$5:$V$1000,"Sub"),$X133)))</f>
        <v/>
      </c>
      <c r="N133" s="56">
        <f>IF($M133="","",IF($M133&gt;=1,"Completado",IF($M133&gt;0,"En curso","Pendiente")))</f>
        <v/>
      </c>
      <c r="O133" s="56">
        <f>IF(NOT((COUNTA($B133:$D133)+COUNTA($G133:$L133)+COUNTA($Q133))&gt;0),"",IF(ISNUMBER($G133),IF(AND(ISNUMBER($AN133),$G133&gt;$AN133),"Cumplida con "&amp;($G133-$AN133)&amp;IF($G133-$AN133=1," día"," días")&amp;" de retraso","Cumplida"),IF(N($M133)&gt;=1,"Cumplida",IF(NOT(ISNUMBER($AN133)),"Sin fecha límite",IF($AN133&lt;FechaRef,"Vencida hace "&amp;(FechaRef-$AN133)&amp;IF(FechaRef-$AN133=1," día"," días"),IF($AN133=FechaRef,"Vence hoy",IF($AN133-FechaRef&lt;=DiasAlerta,"Vence en "&amp;($AN133-FechaRef)&amp;IF($AN133-FechaRef=1," día"," días"),"En plazo")))))))</f>
        <v/>
      </c>
      <c r="P133" s="62" t="n"/>
      <c r="Q133" s="58" t="n"/>
      <c r="R133" s="63">
        <f>IF(NOT((COUNTA($B133:$D133)+COUNTA($G133:$L133)+COUNTA($Q133))&gt;0),"",IF((IF($C133="","Falta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",""))="","✔ OK","⚠ "&amp;LEFT(IF($C133="","Falta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",""),LEN(IF($C133="","Falta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",""))-3)))</f>
        <v/>
      </c>
      <c r="S133" s="64">
        <f>IF(NOT((COUNTA($B133:$D133)+COUNTA($G133:$L133)+COUNTA($Q133))&gt;0),"",IF(AND($V133="Sub",N($U133)&gt;0),IF(ISNUMBER(INDEX($AM$5:$AM$1000,$U133-4)),DATE(YEAR(INDEX($AM$5:$AM$1000,$U133-4)),MONTH(INDEX($AM$5:$AM$1000,$U133-4)),1),IF(ISNUMBER(INDEX($AN$5:$AN$1000,$U133-4)),DATE(YEAR(INDEX($AN$5:$AN$1000,$U133-4)),MONTH(INDEX($AN$5:$AN$1000,$U133-4)),1),MesCiclo)),IF(ISNUMBER($AM133),DATE(YEAR($AM133),MONTH($AM133),1),IF(ISNUMBER($AN133),DATE(YEAR($AN133),MONTH($AN133),1),MesCiclo))))</f>
        <v/>
      </c>
      <c r="T133" s="62">
        <f>IF(OR($S133="",$S133&lt;&gt;MesCiclo),"",COUNTIF($S$5:$S133,MesCiclo))</f>
        <v/>
      </c>
      <c r="U133" s="62">
        <f>IF($V133="","",IF($V133="Macro",ROW(),IFERROR(LOOKUP(2,1/($V$5:$V133="Macro"),ROW($V$5:$V133)),0)))</f>
        <v/>
      </c>
      <c r="V133" s="62">
        <f>IF(NOT((COUNTA($B133:$D133)+COUNTA($G133:$L133)+COUNTA($Q133))&gt;0),"",IF($B133="Subactividad","Sub","Macro"))</f>
        <v/>
      </c>
      <c r="W133" s="62">
        <f>IF($V133="Macro",COUNTIFS($U$5:$U$1000,ROW(),$V$5:$V$1000,"Sub"),"")</f>
        <v/>
      </c>
      <c r="X133" s="62">
        <f>IF($V133="","",IF(ISNUMBER($G133),1,IFERROR(LOOKUP(2,1/($I133:$L133&lt;&gt;""),$I133:$L133),0)))</f>
        <v/>
      </c>
      <c r="Y133" s="62">
        <f>IF($V133="","",IF(AND(ISNUMBER($G133),$G133&lt;=IF($S133=MesCiclo,InicioCiclo,$S133+MOD(2-WEEKDAY($S133),7))+6),1,IF(ISNUMBER($I133),$I133,0)))</f>
        <v/>
      </c>
      <c r="Z133" s="62">
        <f>IF($V133="","",IF(AND(ISNUMBER($G133),$G133&lt;=IF($S133=MesCiclo,InicioCiclo,$S133+MOD(2-WEEKDAY($S133),7))+13),1,IF(ISNUMBER($J133),$J133,$Y133)))</f>
        <v/>
      </c>
      <c r="AA133" s="62">
        <f>IF($V133="","",IF(AND(ISNUMBER($G133),$G133&lt;=IF($S133=MesCiclo,InicioCiclo,$S133+MOD(2-WEEKDAY($S133),7))+20),1,IF(ISNUMBER($K133),$K133,$Z133)))</f>
        <v/>
      </c>
      <c r="AB133" s="62">
        <f>IF($V133="","",IF(AND(ISNUMBER($G133),$G133&lt;=IF($S133=MesCiclo,InicioCiclo,$S133+MOD(2-WEEKDAY($S133),7))+27),1,IF(ISNUMBER($L133),$L133,$AA133)))</f>
        <v/>
      </c>
      <c r="AC133" s="62">
        <f>IF($V133="","",IF(AND(ISNUMBER($G133),$G133&lt;=IF($S133=MesCiclo,InicioCiclo,$S133+MOD(2-WEEKDAY($S133),7))+6),1,IF(N($W133)&gt;0,AVERAGEIFS($Y$5:$Y$1000,$U$5:$U$1000,ROW(),$V$5:$V$1000,"Sub"),$Y133)))</f>
        <v/>
      </c>
      <c r="AD133" s="62">
        <f>IF($V133="","",IF(AND(ISNUMBER($G133),$G133&lt;=IF($S133=MesCiclo,InicioCiclo,$S133+MOD(2-WEEKDAY($S133),7))+13),1,IF(N($W133)&gt;0,AVERAGEIFS($Z$5:$Z$1000,$U$5:$U$1000,ROW(),$V$5:$V$1000,"Sub"),$Z133)))</f>
        <v/>
      </c>
      <c r="AE133" s="62">
        <f>IF($V133="","",IF(AND(ISNUMBER($G133),$G133&lt;=IF($S133=MesCiclo,InicioCiclo,$S133+MOD(2-WEEKDAY($S133),7))+20),1,IF(N($W133)&gt;0,AVERAGEIFS($AA$5:$AA$1000,$U$5:$U$1000,ROW(),$V$5:$V$1000,"Sub"),$AA133)))</f>
        <v/>
      </c>
      <c r="AF133" s="62">
        <f>IF($V133="","",IF(AND(ISNUMBER($G133),$G133&lt;=IF($S133=MesCiclo,InicioCiclo,$S133+MOD(2-WEEKDAY($S133),7))+27),1,IF(N($W133)&gt;0,AVERAGEIFS($AB$5:$AB$1000,$U$5:$U$1000,ROW(),$V$5:$V$1000,"Sub"),$AB133)))</f>
        <v/>
      </c>
      <c r="AG133" s="62">
        <f>IF($V133&lt;&gt;"Macro","",IF(COUNTIFS($S$5:$S$1000,$S133,$V$5:$V$1000,"Macro",$H$5:$H$1000,"&gt;0")=0,1/COUNTIFS($S$5:$S$1000,$S133,$V$5:$V$1000,"Macro"),IF(AND(ISNUMBER($H133),N($H133)&gt;0),$H133,SUMIFS($H$5:$H$1000,$S$5:$S$1000,$S133,$V$5:$V$1000,"Macro")/COUNTIFS($S$5:$S$1000,$S133,$V$5:$V$1000,"Macro",$H$5:$H$1000,"&gt;0"))/(COUNTIFS($S$5:$S$1000,$S133,$V$5:$V$1000,"Macro")*SUMIFS($H$5:$H$1000,$S$5:$S$1000,$S133,$V$5:$V$1000,"Macro")/COUNTIFS($S$5:$S$1000,$S133,$V$5:$V$1000,"Macro",$H$5:$H$1000,"&gt;0"))))</f>
        <v/>
      </c>
      <c r="AH133" s="62" t="n"/>
      <c r="AI133" s="62" t="n"/>
      <c r="AJ133" s="62" t="n"/>
      <c r="AK133" s="62" t="n"/>
      <c r="AL133" s="62">
        <f>IF(LEFT($C133,11)="[Jefatura] ",IFERROR(MATCH("Asistente Técnico de Riesgo|"&amp;MID($C133,12,500),rDname_ADM,0),0),"")</f>
        <v/>
      </c>
      <c r="AM133" s="62">
        <f>IF(N($AL133)&gt;0,INDEX(rIni_ADM,$AL133),IF(ISNUMBER($E133),$E133,""))</f>
        <v/>
      </c>
      <c r="AN133" s="62">
        <f>IF(N($AL133)&gt;0,INDEX(rLim_ADM,$AL133),IF(ISNUMBER($F133),$F133,""))</f>
        <v/>
      </c>
    </row>
    <row r="134">
      <c r="A134" s="56">
        <f>IF(NOT((COUNTA($B134:$D134)+COUNTA($G134:$L134)+COUNTA($Q134))&gt;0),"",IF($V134="Macro",COUNTIFS($V$5:$V134,"Macro",$S$5:$S134,$S134),IF(N($U134)=0,"?",COUNTIFS(INDEX($V$5:$V$1000,1):INDEX($V$5:$V$1000,$U134-4),"Macro",INDEX($S$5:$S$1000,1):INDEX($S$5:$S$1000,$U134-4),INDEX($S$5:$S$1000,$U134-4))&amp;"."&amp;COUNTIFS($U$5:$U134,$U134,$V$5:$V134,"Sub"))))</f>
        <v/>
      </c>
      <c r="B134" s="57" t="n"/>
      <c r="C134" s="58" t="n"/>
      <c r="D134" s="58" t="n"/>
      <c r="E134" s="59">
        <f>IF(N($AL134)&gt;0,INDEX(rIni_ADM,$AL134),"")</f>
        <v/>
      </c>
      <c r="F134" s="59">
        <f>IF(N($AL134)&gt;0,INDEX(rLim_ADM,$AL134),"")</f>
        <v/>
      </c>
      <c r="G134" s="59" t="n"/>
      <c r="H134" s="60" t="n"/>
      <c r="I134" s="60" t="n"/>
      <c r="J134" s="60" t="n"/>
      <c r="K134" s="60" t="n"/>
      <c r="L134" s="60" t="n"/>
      <c r="M134" s="61">
        <f>IF(NOT((COUNTA($B134:$D134)+COUNTA($G134:$L134)+COUNTA($Q134))&gt;0),"",IF(ISNUMBER($G134),1,IF(N($W134)&gt;0,AVERAGEIFS($X$5:$X$1000,$U$5:$U$1000,ROW(),$V$5:$V$1000,"Sub"),$X134)))</f>
        <v/>
      </c>
      <c r="N134" s="56">
        <f>IF($M134="","",IF($M134&gt;=1,"Completado",IF($M134&gt;0,"En curso","Pendiente")))</f>
        <v/>
      </c>
      <c r="O134" s="56">
        <f>IF(NOT((COUNTA($B134:$D134)+COUNTA($G134:$L134)+COUNTA($Q134))&gt;0),"",IF(ISNUMBER($G134),IF(AND(ISNUMBER($AN134),$G134&gt;$AN134),"Cumplida con "&amp;($G134-$AN134)&amp;IF($G134-$AN134=1," día"," días")&amp;" de retraso","Cumplida"),IF(N($M134)&gt;=1,"Cumplida",IF(NOT(ISNUMBER($AN134)),"Sin fecha límite",IF($AN134&lt;FechaRef,"Vencida hace "&amp;(FechaRef-$AN134)&amp;IF(FechaRef-$AN134=1," día"," días"),IF($AN134=FechaRef,"Vence hoy",IF($AN134-FechaRef&lt;=DiasAlerta,"Vence en "&amp;($AN134-FechaRef)&amp;IF($AN134-FechaRef=1," día"," días"),"En plazo")))))))</f>
        <v/>
      </c>
      <c r="P134" s="62" t="n"/>
      <c r="Q134" s="58" t="n"/>
      <c r="R134" s="63">
        <f>IF(NOT((COUNTA($B134:$D134)+COUNTA($G134:$L134)+COUNTA($Q134))&gt;0),"",IF((IF($C134="","Falta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",""))="","✔ OK","⚠ "&amp;LEFT(IF($C134="","Falta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",""),LEN(IF($C134="","Falta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",""))-3)))</f>
        <v/>
      </c>
      <c r="S134" s="64">
        <f>IF(NOT((COUNTA($B134:$D134)+COUNTA($G134:$L134)+COUNTA($Q134))&gt;0),"",IF(AND($V134="Sub",N($U134)&gt;0),IF(ISNUMBER(INDEX($AM$5:$AM$1000,$U134-4)),DATE(YEAR(INDEX($AM$5:$AM$1000,$U134-4)),MONTH(INDEX($AM$5:$AM$1000,$U134-4)),1),IF(ISNUMBER(INDEX($AN$5:$AN$1000,$U134-4)),DATE(YEAR(INDEX($AN$5:$AN$1000,$U134-4)),MONTH(INDEX($AN$5:$AN$1000,$U134-4)),1),MesCiclo)),IF(ISNUMBER($AM134),DATE(YEAR($AM134),MONTH($AM134),1),IF(ISNUMBER($AN134),DATE(YEAR($AN134),MONTH($AN134),1),MesCiclo))))</f>
        <v/>
      </c>
      <c r="T134" s="62">
        <f>IF(OR($S134="",$S134&lt;&gt;MesCiclo),"",COUNTIF($S$5:$S134,MesCiclo))</f>
        <v/>
      </c>
      <c r="U134" s="62">
        <f>IF($V134="","",IF($V134="Macro",ROW(),IFERROR(LOOKUP(2,1/($V$5:$V134="Macro"),ROW($V$5:$V134)),0)))</f>
        <v/>
      </c>
      <c r="V134" s="62">
        <f>IF(NOT((COUNTA($B134:$D134)+COUNTA($G134:$L134)+COUNTA($Q134))&gt;0),"",IF($B134="Subactividad","Sub","Macro"))</f>
        <v/>
      </c>
      <c r="W134" s="62">
        <f>IF($V134="Macro",COUNTIFS($U$5:$U$1000,ROW(),$V$5:$V$1000,"Sub"),"")</f>
        <v/>
      </c>
      <c r="X134" s="62">
        <f>IF($V134="","",IF(ISNUMBER($G134),1,IFERROR(LOOKUP(2,1/($I134:$L134&lt;&gt;""),$I134:$L134),0)))</f>
        <v/>
      </c>
      <c r="Y134" s="62">
        <f>IF($V134="","",IF(AND(ISNUMBER($G134),$G134&lt;=IF($S134=MesCiclo,InicioCiclo,$S134+MOD(2-WEEKDAY($S134),7))+6),1,IF(ISNUMBER($I134),$I134,0)))</f>
        <v/>
      </c>
      <c r="Z134" s="62">
        <f>IF($V134="","",IF(AND(ISNUMBER($G134),$G134&lt;=IF($S134=MesCiclo,InicioCiclo,$S134+MOD(2-WEEKDAY($S134),7))+13),1,IF(ISNUMBER($J134),$J134,$Y134)))</f>
        <v/>
      </c>
      <c r="AA134" s="62">
        <f>IF($V134="","",IF(AND(ISNUMBER($G134),$G134&lt;=IF($S134=MesCiclo,InicioCiclo,$S134+MOD(2-WEEKDAY($S134),7))+20),1,IF(ISNUMBER($K134),$K134,$Z134)))</f>
        <v/>
      </c>
      <c r="AB134" s="62">
        <f>IF($V134="","",IF(AND(ISNUMBER($G134),$G134&lt;=IF($S134=MesCiclo,InicioCiclo,$S134+MOD(2-WEEKDAY($S134),7))+27),1,IF(ISNUMBER($L134),$L134,$AA134)))</f>
        <v/>
      </c>
      <c r="AC134" s="62">
        <f>IF($V134="","",IF(AND(ISNUMBER($G134),$G134&lt;=IF($S134=MesCiclo,InicioCiclo,$S134+MOD(2-WEEKDAY($S134),7))+6),1,IF(N($W134)&gt;0,AVERAGEIFS($Y$5:$Y$1000,$U$5:$U$1000,ROW(),$V$5:$V$1000,"Sub"),$Y134)))</f>
        <v/>
      </c>
      <c r="AD134" s="62">
        <f>IF($V134="","",IF(AND(ISNUMBER($G134),$G134&lt;=IF($S134=MesCiclo,InicioCiclo,$S134+MOD(2-WEEKDAY($S134),7))+13),1,IF(N($W134)&gt;0,AVERAGEIFS($Z$5:$Z$1000,$U$5:$U$1000,ROW(),$V$5:$V$1000,"Sub"),$Z134)))</f>
        <v/>
      </c>
      <c r="AE134" s="62">
        <f>IF($V134="","",IF(AND(ISNUMBER($G134),$G134&lt;=IF($S134=MesCiclo,InicioCiclo,$S134+MOD(2-WEEKDAY($S134),7))+20),1,IF(N($W134)&gt;0,AVERAGEIFS($AA$5:$AA$1000,$U$5:$U$1000,ROW(),$V$5:$V$1000,"Sub"),$AA134)))</f>
        <v/>
      </c>
      <c r="AF134" s="62">
        <f>IF($V134="","",IF(AND(ISNUMBER($G134),$G134&lt;=IF($S134=MesCiclo,InicioCiclo,$S134+MOD(2-WEEKDAY($S134),7))+27),1,IF(N($W134)&gt;0,AVERAGEIFS($AB$5:$AB$1000,$U$5:$U$1000,ROW(),$V$5:$V$1000,"Sub"),$AB134)))</f>
        <v/>
      </c>
      <c r="AG134" s="62">
        <f>IF($V134&lt;&gt;"Macro","",IF(COUNTIFS($S$5:$S$1000,$S134,$V$5:$V$1000,"Macro",$H$5:$H$1000,"&gt;0")=0,1/COUNTIFS($S$5:$S$1000,$S134,$V$5:$V$1000,"Macro"),IF(AND(ISNUMBER($H134),N($H134)&gt;0),$H134,SUMIFS($H$5:$H$1000,$S$5:$S$1000,$S134,$V$5:$V$1000,"Macro")/COUNTIFS($S$5:$S$1000,$S134,$V$5:$V$1000,"Macro",$H$5:$H$1000,"&gt;0"))/(COUNTIFS($S$5:$S$1000,$S134,$V$5:$V$1000,"Macro")*SUMIFS($H$5:$H$1000,$S$5:$S$1000,$S134,$V$5:$V$1000,"Macro")/COUNTIFS($S$5:$S$1000,$S134,$V$5:$V$1000,"Macro",$H$5:$H$1000,"&gt;0"))))</f>
        <v/>
      </c>
      <c r="AH134" s="62" t="n"/>
      <c r="AI134" s="62" t="n"/>
      <c r="AJ134" s="62" t="n"/>
      <c r="AK134" s="62" t="n"/>
      <c r="AL134" s="62">
        <f>IF(LEFT($C134,11)="[Jefatura] ",IFERROR(MATCH("Asistente Técnico de Riesgo|"&amp;MID($C134,12,500),rDname_ADM,0),0),"")</f>
        <v/>
      </c>
      <c r="AM134" s="62">
        <f>IF(N($AL134)&gt;0,INDEX(rIni_ADM,$AL134),IF(ISNUMBER($E134),$E134,""))</f>
        <v/>
      </c>
      <c r="AN134" s="62">
        <f>IF(N($AL134)&gt;0,INDEX(rLim_ADM,$AL134),IF(ISNUMBER($F134),$F134,""))</f>
        <v/>
      </c>
    </row>
    <row r="135">
      <c r="A135" s="56">
        <f>IF(NOT((COUNTA($B135:$D135)+COUNTA($G135:$L135)+COUNTA($Q135))&gt;0),"",IF($V135="Macro",COUNTIFS($V$5:$V135,"Macro",$S$5:$S135,$S135),IF(N($U135)=0,"?",COUNTIFS(INDEX($V$5:$V$1000,1):INDEX($V$5:$V$1000,$U135-4),"Macro",INDEX($S$5:$S$1000,1):INDEX($S$5:$S$1000,$U135-4),INDEX($S$5:$S$1000,$U135-4))&amp;"."&amp;COUNTIFS($U$5:$U135,$U135,$V$5:$V135,"Sub"))))</f>
        <v/>
      </c>
      <c r="B135" s="57" t="n"/>
      <c r="C135" s="58" t="n"/>
      <c r="D135" s="58" t="n"/>
      <c r="E135" s="59">
        <f>IF(N($AL135)&gt;0,INDEX(rIni_ADM,$AL135),"")</f>
        <v/>
      </c>
      <c r="F135" s="59">
        <f>IF(N($AL135)&gt;0,INDEX(rLim_ADM,$AL135),"")</f>
        <v/>
      </c>
      <c r="G135" s="59" t="n"/>
      <c r="H135" s="60" t="n"/>
      <c r="I135" s="60" t="n"/>
      <c r="J135" s="60" t="n"/>
      <c r="K135" s="60" t="n"/>
      <c r="L135" s="60" t="n"/>
      <c r="M135" s="61">
        <f>IF(NOT((COUNTA($B135:$D135)+COUNTA($G135:$L135)+COUNTA($Q135))&gt;0),"",IF(ISNUMBER($G135),1,IF(N($W135)&gt;0,AVERAGEIFS($X$5:$X$1000,$U$5:$U$1000,ROW(),$V$5:$V$1000,"Sub"),$X135)))</f>
        <v/>
      </c>
      <c r="N135" s="56">
        <f>IF($M135="","",IF($M135&gt;=1,"Completado",IF($M135&gt;0,"En curso","Pendiente")))</f>
        <v/>
      </c>
      <c r="O135" s="56">
        <f>IF(NOT((COUNTA($B135:$D135)+COUNTA($G135:$L135)+COUNTA($Q135))&gt;0),"",IF(ISNUMBER($G135),IF(AND(ISNUMBER($AN135),$G135&gt;$AN135),"Cumplida con "&amp;($G135-$AN135)&amp;IF($G135-$AN135=1," día"," días")&amp;" de retraso","Cumplida"),IF(N($M135)&gt;=1,"Cumplida",IF(NOT(ISNUMBER($AN135)),"Sin fecha límite",IF($AN135&lt;FechaRef,"Vencida hace "&amp;(FechaRef-$AN135)&amp;IF(FechaRef-$AN135=1," día"," días"),IF($AN135=FechaRef,"Vence hoy",IF($AN135-FechaRef&lt;=DiasAlerta,"Vence en "&amp;($AN135-FechaRef)&amp;IF($AN135-FechaRef=1," día"," días"),"En plazo")))))))</f>
        <v/>
      </c>
      <c r="P135" s="62" t="n"/>
      <c r="Q135" s="58" t="n"/>
      <c r="R135" s="63">
        <f>IF(NOT((COUNTA($B135:$D135)+COUNTA($G135:$L135)+COUNTA($Q135))&gt;0),"",IF((IF($C135="","Falta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",""))="","✔ OK","⚠ "&amp;LEFT(IF($C135="","Falta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",""),LEN(IF($C135="","Falta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",""))-3)))</f>
        <v/>
      </c>
      <c r="S135" s="64">
        <f>IF(NOT((COUNTA($B135:$D135)+COUNTA($G135:$L135)+COUNTA($Q135))&gt;0),"",IF(AND($V135="Sub",N($U135)&gt;0),IF(ISNUMBER(INDEX($AM$5:$AM$1000,$U135-4)),DATE(YEAR(INDEX($AM$5:$AM$1000,$U135-4)),MONTH(INDEX($AM$5:$AM$1000,$U135-4)),1),IF(ISNUMBER(INDEX($AN$5:$AN$1000,$U135-4)),DATE(YEAR(INDEX($AN$5:$AN$1000,$U135-4)),MONTH(INDEX($AN$5:$AN$1000,$U135-4)),1),MesCiclo)),IF(ISNUMBER($AM135),DATE(YEAR($AM135),MONTH($AM135),1),IF(ISNUMBER($AN135),DATE(YEAR($AN135),MONTH($AN135),1),MesCiclo))))</f>
        <v/>
      </c>
      <c r="T135" s="62">
        <f>IF(OR($S135="",$S135&lt;&gt;MesCiclo),"",COUNTIF($S$5:$S135,MesCiclo))</f>
        <v/>
      </c>
      <c r="U135" s="62">
        <f>IF($V135="","",IF($V135="Macro",ROW(),IFERROR(LOOKUP(2,1/($V$5:$V135="Macro"),ROW($V$5:$V135)),0)))</f>
        <v/>
      </c>
      <c r="V135" s="62">
        <f>IF(NOT((COUNTA($B135:$D135)+COUNTA($G135:$L135)+COUNTA($Q135))&gt;0),"",IF($B135="Subactividad","Sub","Macro"))</f>
        <v/>
      </c>
      <c r="W135" s="62">
        <f>IF($V135="Macro",COUNTIFS($U$5:$U$1000,ROW(),$V$5:$V$1000,"Sub"),"")</f>
        <v/>
      </c>
      <c r="X135" s="62">
        <f>IF($V135="","",IF(ISNUMBER($G135),1,IFERROR(LOOKUP(2,1/($I135:$L135&lt;&gt;""),$I135:$L135),0)))</f>
        <v/>
      </c>
      <c r="Y135" s="62">
        <f>IF($V135="","",IF(AND(ISNUMBER($G135),$G135&lt;=IF($S135=MesCiclo,InicioCiclo,$S135+MOD(2-WEEKDAY($S135),7))+6),1,IF(ISNUMBER($I135),$I135,0)))</f>
        <v/>
      </c>
      <c r="Z135" s="62">
        <f>IF($V135="","",IF(AND(ISNUMBER($G135),$G135&lt;=IF($S135=MesCiclo,InicioCiclo,$S135+MOD(2-WEEKDAY($S135),7))+13),1,IF(ISNUMBER($J135),$J135,$Y135)))</f>
        <v/>
      </c>
      <c r="AA135" s="62">
        <f>IF($V135="","",IF(AND(ISNUMBER($G135),$G135&lt;=IF($S135=MesCiclo,InicioCiclo,$S135+MOD(2-WEEKDAY($S135),7))+20),1,IF(ISNUMBER($K135),$K135,$Z135)))</f>
        <v/>
      </c>
      <c r="AB135" s="62">
        <f>IF($V135="","",IF(AND(ISNUMBER($G135),$G135&lt;=IF($S135=MesCiclo,InicioCiclo,$S135+MOD(2-WEEKDAY($S135),7))+27),1,IF(ISNUMBER($L135),$L135,$AA135)))</f>
        <v/>
      </c>
      <c r="AC135" s="62">
        <f>IF($V135="","",IF(AND(ISNUMBER($G135),$G135&lt;=IF($S135=MesCiclo,InicioCiclo,$S135+MOD(2-WEEKDAY($S135),7))+6),1,IF(N($W135)&gt;0,AVERAGEIFS($Y$5:$Y$1000,$U$5:$U$1000,ROW(),$V$5:$V$1000,"Sub"),$Y135)))</f>
        <v/>
      </c>
      <c r="AD135" s="62">
        <f>IF($V135="","",IF(AND(ISNUMBER($G135),$G135&lt;=IF($S135=MesCiclo,InicioCiclo,$S135+MOD(2-WEEKDAY($S135),7))+13),1,IF(N($W135)&gt;0,AVERAGEIFS($Z$5:$Z$1000,$U$5:$U$1000,ROW(),$V$5:$V$1000,"Sub"),$Z135)))</f>
        <v/>
      </c>
      <c r="AE135" s="62">
        <f>IF($V135="","",IF(AND(ISNUMBER($G135),$G135&lt;=IF($S135=MesCiclo,InicioCiclo,$S135+MOD(2-WEEKDAY($S135),7))+20),1,IF(N($W135)&gt;0,AVERAGEIFS($AA$5:$AA$1000,$U$5:$U$1000,ROW(),$V$5:$V$1000,"Sub"),$AA135)))</f>
        <v/>
      </c>
      <c r="AF135" s="62">
        <f>IF($V135="","",IF(AND(ISNUMBER($G135),$G135&lt;=IF($S135=MesCiclo,InicioCiclo,$S135+MOD(2-WEEKDAY($S135),7))+27),1,IF(N($W135)&gt;0,AVERAGEIFS($AB$5:$AB$1000,$U$5:$U$1000,ROW(),$V$5:$V$1000,"Sub"),$AB135)))</f>
        <v/>
      </c>
      <c r="AG135" s="62">
        <f>IF($V135&lt;&gt;"Macro","",IF(COUNTIFS($S$5:$S$1000,$S135,$V$5:$V$1000,"Macro",$H$5:$H$1000,"&gt;0")=0,1/COUNTIFS($S$5:$S$1000,$S135,$V$5:$V$1000,"Macro"),IF(AND(ISNUMBER($H135),N($H135)&gt;0),$H135,SUMIFS($H$5:$H$1000,$S$5:$S$1000,$S135,$V$5:$V$1000,"Macro")/COUNTIFS($S$5:$S$1000,$S135,$V$5:$V$1000,"Macro",$H$5:$H$1000,"&gt;0"))/(COUNTIFS($S$5:$S$1000,$S135,$V$5:$V$1000,"Macro")*SUMIFS($H$5:$H$1000,$S$5:$S$1000,$S135,$V$5:$V$1000,"Macro")/COUNTIFS($S$5:$S$1000,$S135,$V$5:$V$1000,"Macro",$H$5:$H$1000,"&gt;0"))))</f>
        <v/>
      </c>
      <c r="AH135" s="62" t="n"/>
      <c r="AI135" s="62" t="n"/>
      <c r="AJ135" s="62" t="n"/>
      <c r="AK135" s="62" t="n"/>
      <c r="AL135" s="62">
        <f>IF(LEFT($C135,11)="[Jefatura] ",IFERROR(MATCH("Asistente Técnico de Riesgo|"&amp;MID($C135,12,500),rDname_ADM,0),0),"")</f>
        <v/>
      </c>
      <c r="AM135" s="62">
        <f>IF(N($AL135)&gt;0,INDEX(rIni_ADM,$AL135),IF(ISNUMBER($E135),$E135,""))</f>
        <v/>
      </c>
      <c r="AN135" s="62">
        <f>IF(N($AL135)&gt;0,INDEX(rLim_ADM,$AL135),IF(ISNUMBER($F135),$F135,""))</f>
        <v/>
      </c>
    </row>
    <row r="136">
      <c r="A136" s="56">
        <f>IF(NOT((COUNTA($B136:$D136)+COUNTA($G136:$L136)+COUNTA($Q136))&gt;0),"",IF($V136="Macro",COUNTIFS($V$5:$V136,"Macro",$S$5:$S136,$S136),IF(N($U136)=0,"?",COUNTIFS(INDEX($V$5:$V$1000,1):INDEX($V$5:$V$1000,$U136-4),"Macro",INDEX($S$5:$S$1000,1):INDEX($S$5:$S$1000,$U136-4),INDEX($S$5:$S$1000,$U136-4))&amp;"."&amp;COUNTIFS($U$5:$U136,$U136,$V$5:$V136,"Sub"))))</f>
        <v/>
      </c>
      <c r="B136" s="57" t="n"/>
      <c r="C136" s="58" t="n"/>
      <c r="D136" s="58" t="n"/>
      <c r="E136" s="59">
        <f>IF(N($AL136)&gt;0,INDEX(rIni_ADM,$AL136),"")</f>
        <v/>
      </c>
      <c r="F136" s="59">
        <f>IF(N($AL136)&gt;0,INDEX(rLim_ADM,$AL136),"")</f>
        <v/>
      </c>
      <c r="G136" s="59" t="n"/>
      <c r="H136" s="60" t="n"/>
      <c r="I136" s="60" t="n"/>
      <c r="J136" s="60" t="n"/>
      <c r="K136" s="60" t="n"/>
      <c r="L136" s="60" t="n"/>
      <c r="M136" s="61">
        <f>IF(NOT((COUNTA($B136:$D136)+COUNTA($G136:$L136)+COUNTA($Q136))&gt;0),"",IF(ISNUMBER($G136),1,IF(N($W136)&gt;0,AVERAGEIFS($X$5:$X$1000,$U$5:$U$1000,ROW(),$V$5:$V$1000,"Sub"),$X136)))</f>
        <v/>
      </c>
      <c r="N136" s="56">
        <f>IF($M136="","",IF($M136&gt;=1,"Completado",IF($M136&gt;0,"En curso","Pendiente")))</f>
        <v/>
      </c>
      <c r="O136" s="56">
        <f>IF(NOT((COUNTA($B136:$D136)+COUNTA($G136:$L136)+COUNTA($Q136))&gt;0),"",IF(ISNUMBER($G136),IF(AND(ISNUMBER($AN136),$G136&gt;$AN136),"Cumplida con "&amp;($G136-$AN136)&amp;IF($G136-$AN136=1," día"," días")&amp;" de retraso","Cumplida"),IF(N($M136)&gt;=1,"Cumplida",IF(NOT(ISNUMBER($AN136)),"Sin fecha límite",IF($AN136&lt;FechaRef,"Vencida hace "&amp;(FechaRef-$AN136)&amp;IF(FechaRef-$AN136=1," día"," días"),IF($AN136=FechaRef,"Vence hoy",IF($AN136-FechaRef&lt;=DiasAlerta,"Vence en "&amp;($AN136-FechaRef)&amp;IF($AN136-FechaRef=1," día"," días"),"En plazo")))))))</f>
        <v/>
      </c>
      <c r="P136" s="62" t="n"/>
      <c r="Q136" s="58" t="n"/>
      <c r="R136" s="63">
        <f>IF(NOT((COUNTA($B136:$D136)+COUNTA($G136:$L136)+COUNTA($Q136))&gt;0),"",IF((IF($C136="","Falta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",""))="","✔ OK","⚠ "&amp;LEFT(IF($C136="","Falta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",""),LEN(IF($C136="","Falta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",""))-3)))</f>
        <v/>
      </c>
      <c r="S136" s="64">
        <f>IF(NOT((COUNTA($B136:$D136)+COUNTA($G136:$L136)+COUNTA($Q136))&gt;0),"",IF(AND($V136="Sub",N($U136)&gt;0),IF(ISNUMBER(INDEX($AM$5:$AM$1000,$U136-4)),DATE(YEAR(INDEX($AM$5:$AM$1000,$U136-4)),MONTH(INDEX($AM$5:$AM$1000,$U136-4)),1),IF(ISNUMBER(INDEX($AN$5:$AN$1000,$U136-4)),DATE(YEAR(INDEX($AN$5:$AN$1000,$U136-4)),MONTH(INDEX($AN$5:$AN$1000,$U136-4)),1),MesCiclo)),IF(ISNUMBER($AM136),DATE(YEAR($AM136),MONTH($AM136),1),IF(ISNUMBER($AN136),DATE(YEAR($AN136),MONTH($AN136),1),MesCiclo))))</f>
        <v/>
      </c>
      <c r="T136" s="62">
        <f>IF(OR($S136="",$S136&lt;&gt;MesCiclo),"",COUNTIF($S$5:$S136,MesCiclo))</f>
        <v/>
      </c>
      <c r="U136" s="62">
        <f>IF($V136="","",IF($V136="Macro",ROW(),IFERROR(LOOKUP(2,1/($V$5:$V136="Macro"),ROW($V$5:$V136)),0)))</f>
        <v/>
      </c>
      <c r="V136" s="62">
        <f>IF(NOT((COUNTA($B136:$D136)+COUNTA($G136:$L136)+COUNTA($Q136))&gt;0),"",IF($B136="Subactividad","Sub","Macro"))</f>
        <v/>
      </c>
      <c r="W136" s="62">
        <f>IF($V136="Macro",COUNTIFS($U$5:$U$1000,ROW(),$V$5:$V$1000,"Sub"),"")</f>
        <v/>
      </c>
      <c r="X136" s="62">
        <f>IF($V136="","",IF(ISNUMBER($G136),1,IFERROR(LOOKUP(2,1/($I136:$L136&lt;&gt;""),$I136:$L136),0)))</f>
        <v/>
      </c>
      <c r="Y136" s="62">
        <f>IF($V136="","",IF(AND(ISNUMBER($G136),$G136&lt;=IF($S136=MesCiclo,InicioCiclo,$S136+MOD(2-WEEKDAY($S136),7))+6),1,IF(ISNUMBER($I136),$I136,0)))</f>
        <v/>
      </c>
      <c r="Z136" s="62">
        <f>IF($V136="","",IF(AND(ISNUMBER($G136),$G136&lt;=IF($S136=MesCiclo,InicioCiclo,$S136+MOD(2-WEEKDAY($S136),7))+13),1,IF(ISNUMBER($J136),$J136,$Y136)))</f>
        <v/>
      </c>
      <c r="AA136" s="62">
        <f>IF($V136="","",IF(AND(ISNUMBER($G136),$G136&lt;=IF($S136=MesCiclo,InicioCiclo,$S136+MOD(2-WEEKDAY($S136),7))+20),1,IF(ISNUMBER($K136),$K136,$Z136)))</f>
        <v/>
      </c>
      <c r="AB136" s="62">
        <f>IF($V136="","",IF(AND(ISNUMBER($G136),$G136&lt;=IF($S136=MesCiclo,InicioCiclo,$S136+MOD(2-WEEKDAY($S136),7))+27),1,IF(ISNUMBER($L136),$L136,$AA136)))</f>
        <v/>
      </c>
      <c r="AC136" s="62">
        <f>IF($V136="","",IF(AND(ISNUMBER($G136),$G136&lt;=IF($S136=MesCiclo,InicioCiclo,$S136+MOD(2-WEEKDAY($S136),7))+6),1,IF(N($W136)&gt;0,AVERAGEIFS($Y$5:$Y$1000,$U$5:$U$1000,ROW(),$V$5:$V$1000,"Sub"),$Y136)))</f>
        <v/>
      </c>
      <c r="AD136" s="62">
        <f>IF($V136="","",IF(AND(ISNUMBER($G136),$G136&lt;=IF($S136=MesCiclo,InicioCiclo,$S136+MOD(2-WEEKDAY($S136),7))+13),1,IF(N($W136)&gt;0,AVERAGEIFS($Z$5:$Z$1000,$U$5:$U$1000,ROW(),$V$5:$V$1000,"Sub"),$Z136)))</f>
        <v/>
      </c>
      <c r="AE136" s="62">
        <f>IF($V136="","",IF(AND(ISNUMBER($G136),$G136&lt;=IF($S136=MesCiclo,InicioCiclo,$S136+MOD(2-WEEKDAY($S136),7))+20),1,IF(N($W136)&gt;0,AVERAGEIFS($AA$5:$AA$1000,$U$5:$U$1000,ROW(),$V$5:$V$1000,"Sub"),$AA136)))</f>
        <v/>
      </c>
      <c r="AF136" s="62">
        <f>IF($V136="","",IF(AND(ISNUMBER($G136),$G136&lt;=IF($S136=MesCiclo,InicioCiclo,$S136+MOD(2-WEEKDAY($S136),7))+27),1,IF(N($W136)&gt;0,AVERAGEIFS($AB$5:$AB$1000,$U$5:$U$1000,ROW(),$V$5:$V$1000,"Sub"),$AB136)))</f>
        <v/>
      </c>
      <c r="AG136" s="62">
        <f>IF($V136&lt;&gt;"Macro","",IF(COUNTIFS($S$5:$S$1000,$S136,$V$5:$V$1000,"Macro",$H$5:$H$1000,"&gt;0")=0,1/COUNTIFS($S$5:$S$1000,$S136,$V$5:$V$1000,"Macro"),IF(AND(ISNUMBER($H136),N($H136)&gt;0),$H136,SUMIFS($H$5:$H$1000,$S$5:$S$1000,$S136,$V$5:$V$1000,"Macro")/COUNTIFS($S$5:$S$1000,$S136,$V$5:$V$1000,"Macro",$H$5:$H$1000,"&gt;0"))/(COUNTIFS($S$5:$S$1000,$S136,$V$5:$V$1000,"Macro")*SUMIFS($H$5:$H$1000,$S$5:$S$1000,$S136,$V$5:$V$1000,"Macro")/COUNTIFS($S$5:$S$1000,$S136,$V$5:$V$1000,"Macro",$H$5:$H$1000,"&gt;0"))))</f>
        <v/>
      </c>
      <c r="AH136" s="62" t="n"/>
      <c r="AI136" s="62" t="n"/>
      <c r="AJ136" s="62" t="n"/>
      <c r="AK136" s="62" t="n"/>
      <c r="AL136" s="62">
        <f>IF(LEFT($C136,11)="[Jefatura] ",IFERROR(MATCH("Asistente Técnico de Riesgo|"&amp;MID($C136,12,500),rDname_ADM,0),0),"")</f>
        <v/>
      </c>
      <c r="AM136" s="62">
        <f>IF(N($AL136)&gt;0,INDEX(rIni_ADM,$AL136),IF(ISNUMBER($E136),$E136,""))</f>
        <v/>
      </c>
      <c r="AN136" s="62">
        <f>IF(N($AL136)&gt;0,INDEX(rLim_ADM,$AL136),IF(ISNUMBER($F136),$F136,""))</f>
        <v/>
      </c>
    </row>
    <row r="137">
      <c r="A137" s="56">
        <f>IF(NOT((COUNTA($B137:$D137)+COUNTA($G137:$L137)+COUNTA($Q137))&gt;0),"",IF($V137="Macro",COUNTIFS($V$5:$V137,"Macro",$S$5:$S137,$S137),IF(N($U137)=0,"?",COUNTIFS(INDEX($V$5:$V$1000,1):INDEX($V$5:$V$1000,$U137-4),"Macro",INDEX($S$5:$S$1000,1):INDEX($S$5:$S$1000,$U137-4),INDEX($S$5:$S$1000,$U137-4))&amp;"."&amp;COUNTIFS($U$5:$U137,$U137,$V$5:$V137,"Sub"))))</f>
        <v/>
      </c>
      <c r="B137" s="57" t="n"/>
      <c r="C137" s="58" t="n"/>
      <c r="D137" s="58" t="n"/>
      <c r="E137" s="59">
        <f>IF(N($AL137)&gt;0,INDEX(rIni_ADM,$AL137),"")</f>
        <v/>
      </c>
      <c r="F137" s="59">
        <f>IF(N($AL137)&gt;0,INDEX(rLim_ADM,$AL137),"")</f>
        <v/>
      </c>
      <c r="G137" s="59" t="n"/>
      <c r="H137" s="60" t="n"/>
      <c r="I137" s="60" t="n"/>
      <c r="J137" s="60" t="n"/>
      <c r="K137" s="60" t="n"/>
      <c r="L137" s="60" t="n"/>
      <c r="M137" s="61">
        <f>IF(NOT((COUNTA($B137:$D137)+COUNTA($G137:$L137)+COUNTA($Q137))&gt;0),"",IF(ISNUMBER($G137),1,IF(N($W137)&gt;0,AVERAGEIFS($X$5:$X$1000,$U$5:$U$1000,ROW(),$V$5:$V$1000,"Sub"),$X137)))</f>
        <v/>
      </c>
      <c r="N137" s="56">
        <f>IF($M137="","",IF($M137&gt;=1,"Completado",IF($M137&gt;0,"En curso","Pendiente")))</f>
        <v/>
      </c>
      <c r="O137" s="56">
        <f>IF(NOT((COUNTA($B137:$D137)+COUNTA($G137:$L137)+COUNTA($Q137))&gt;0),"",IF(ISNUMBER($G137),IF(AND(ISNUMBER($AN137),$G137&gt;$AN137),"Cumplida con "&amp;($G137-$AN137)&amp;IF($G137-$AN137=1," día"," días")&amp;" de retraso","Cumplida"),IF(N($M137)&gt;=1,"Cumplida",IF(NOT(ISNUMBER($AN137)),"Sin fecha límite",IF($AN137&lt;FechaRef,"Vencida hace "&amp;(FechaRef-$AN137)&amp;IF(FechaRef-$AN137=1," día"," días"),IF($AN137=FechaRef,"Vence hoy",IF($AN137-FechaRef&lt;=DiasAlerta,"Vence en "&amp;($AN137-FechaRef)&amp;IF($AN137-FechaRef=1," día"," días"),"En plazo")))))))</f>
        <v/>
      </c>
      <c r="P137" s="62" t="n"/>
      <c r="Q137" s="58" t="n"/>
      <c r="R137" s="63">
        <f>IF(NOT((COUNTA($B137:$D137)+COUNTA($G137:$L137)+COUNTA($Q137))&gt;0),"",IF((IF($C137="","Falta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",""))="","✔ OK","⚠ "&amp;LEFT(IF($C137="","Falta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",""),LEN(IF($C137="","Falta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",""))-3)))</f>
        <v/>
      </c>
      <c r="S137" s="64">
        <f>IF(NOT((COUNTA($B137:$D137)+COUNTA($G137:$L137)+COUNTA($Q137))&gt;0),"",IF(AND($V137="Sub",N($U137)&gt;0),IF(ISNUMBER(INDEX($AM$5:$AM$1000,$U137-4)),DATE(YEAR(INDEX($AM$5:$AM$1000,$U137-4)),MONTH(INDEX($AM$5:$AM$1000,$U137-4)),1),IF(ISNUMBER(INDEX($AN$5:$AN$1000,$U137-4)),DATE(YEAR(INDEX($AN$5:$AN$1000,$U137-4)),MONTH(INDEX($AN$5:$AN$1000,$U137-4)),1),MesCiclo)),IF(ISNUMBER($AM137),DATE(YEAR($AM137),MONTH($AM137),1),IF(ISNUMBER($AN137),DATE(YEAR($AN137),MONTH($AN137),1),MesCiclo))))</f>
        <v/>
      </c>
      <c r="T137" s="62">
        <f>IF(OR($S137="",$S137&lt;&gt;MesCiclo),"",COUNTIF($S$5:$S137,MesCiclo))</f>
        <v/>
      </c>
      <c r="U137" s="62">
        <f>IF($V137="","",IF($V137="Macro",ROW(),IFERROR(LOOKUP(2,1/($V$5:$V137="Macro"),ROW($V$5:$V137)),0)))</f>
        <v/>
      </c>
      <c r="V137" s="62">
        <f>IF(NOT((COUNTA($B137:$D137)+COUNTA($G137:$L137)+COUNTA($Q137))&gt;0),"",IF($B137="Subactividad","Sub","Macro"))</f>
        <v/>
      </c>
      <c r="W137" s="62">
        <f>IF($V137="Macro",COUNTIFS($U$5:$U$1000,ROW(),$V$5:$V$1000,"Sub"),"")</f>
        <v/>
      </c>
      <c r="X137" s="62">
        <f>IF($V137="","",IF(ISNUMBER($G137),1,IFERROR(LOOKUP(2,1/($I137:$L137&lt;&gt;""),$I137:$L137),0)))</f>
        <v/>
      </c>
      <c r="Y137" s="62">
        <f>IF($V137="","",IF(AND(ISNUMBER($G137),$G137&lt;=IF($S137=MesCiclo,InicioCiclo,$S137+MOD(2-WEEKDAY($S137),7))+6),1,IF(ISNUMBER($I137),$I137,0)))</f>
        <v/>
      </c>
      <c r="Z137" s="62">
        <f>IF($V137="","",IF(AND(ISNUMBER($G137),$G137&lt;=IF($S137=MesCiclo,InicioCiclo,$S137+MOD(2-WEEKDAY($S137),7))+13),1,IF(ISNUMBER($J137),$J137,$Y137)))</f>
        <v/>
      </c>
      <c r="AA137" s="62">
        <f>IF($V137="","",IF(AND(ISNUMBER($G137),$G137&lt;=IF($S137=MesCiclo,InicioCiclo,$S137+MOD(2-WEEKDAY($S137),7))+20),1,IF(ISNUMBER($K137),$K137,$Z137)))</f>
        <v/>
      </c>
      <c r="AB137" s="62">
        <f>IF($V137="","",IF(AND(ISNUMBER($G137),$G137&lt;=IF($S137=MesCiclo,InicioCiclo,$S137+MOD(2-WEEKDAY($S137),7))+27),1,IF(ISNUMBER($L137),$L137,$AA137)))</f>
        <v/>
      </c>
      <c r="AC137" s="62">
        <f>IF($V137="","",IF(AND(ISNUMBER($G137),$G137&lt;=IF($S137=MesCiclo,InicioCiclo,$S137+MOD(2-WEEKDAY($S137),7))+6),1,IF(N($W137)&gt;0,AVERAGEIFS($Y$5:$Y$1000,$U$5:$U$1000,ROW(),$V$5:$V$1000,"Sub"),$Y137)))</f>
        <v/>
      </c>
      <c r="AD137" s="62">
        <f>IF($V137="","",IF(AND(ISNUMBER($G137),$G137&lt;=IF($S137=MesCiclo,InicioCiclo,$S137+MOD(2-WEEKDAY($S137),7))+13),1,IF(N($W137)&gt;0,AVERAGEIFS($Z$5:$Z$1000,$U$5:$U$1000,ROW(),$V$5:$V$1000,"Sub"),$Z137)))</f>
        <v/>
      </c>
      <c r="AE137" s="62">
        <f>IF($V137="","",IF(AND(ISNUMBER($G137),$G137&lt;=IF($S137=MesCiclo,InicioCiclo,$S137+MOD(2-WEEKDAY($S137),7))+20),1,IF(N($W137)&gt;0,AVERAGEIFS($AA$5:$AA$1000,$U$5:$U$1000,ROW(),$V$5:$V$1000,"Sub"),$AA137)))</f>
        <v/>
      </c>
      <c r="AF137" s="62">
        <f>IF($V137="","",IF(AND(ISNUMBER($G137),$G137&lt;=IF($S137=MesCiclo,InicioCiclo,$S137+MOD(2-WEEKDAY($S137),7))+27),1,IF(N($W137)&gt;0,AVERAGEIFS($AB$5:$AB$1000,$U$5:$U$1000,ROW(),$V$5:$V$1000,"Sub"),$AB137)))</f>
        <v/>
      </c>
      <c r="AG137" s="62">
        <f>IF($V137&lt;&gt;"Macro","",IF(COUNTIFS($S$5:$S$1000,$S137,$V$5:$V$1000,"Macro",$H$5:$H$1000,"&gt;0")=0,1/COUNTIFS($S$5:$S$1000,$S137,$V$5:$V$1000,"Macro"),IF(AND(ISNUMBER($H137),N($H137)&gt;0),$H137,SUMIFS($H$5:$H$1000,$S$5:$S$1000,$S137,$V$5:$V$1000,"Macro")/COUNTIFS($S$5:$S$1000,$S137,$V$5:$V$1000,"Macro",$H$5:$H$1000,"&gt;0"))/(COUNTIFS($S$5:$S$1000,$S137,$V$5:$V$1000,"Macro")*SUMIFS($H$5:$H$1000,$S$5:$S$1000,$S137,$V$5:$V$1000,"Macro")/COUNTIFS($S$5:$S$1000,$S137,$V$5:$V$1000,"Macro",$H$5:$H$1000,"&gt;0"))))</f>
        <v/>
      </c>
      <c r="AH137" s="62" t="n"/>
      <c r="AI137" s="62" t="n"/>
      <c r="AJ137" s="62" t="n"/>
      <c r="AK137" s="62" t="n"/>
      <c r="AL137" s="62">
        <f>IF(LEFT($C137,11)="[Jefatura] ",IFERROR(MATCH("Asistente Técnico de Riesgo|"&amp;MID($C137,12,500),rDname_ADM,0),0),"")</f>
        <v/>
      </c>
      <c r="AM137" s="62">
        <f>IF(N($AL137)&gt;0,INDEX(rIni_ADM,$AL137),IF(ISNUMBER($E137),$E137,""))</f>
        <v/>
      </c>
      <c r="AN137" s="62">
        <f>IF(N($AL137)&gt;0,INDEX(rLim_ADM,$AL137),IF(ISNUMBER($F137),$F137,""))</f>
        <v/>
      </c>
    </row>
    <row r="138">
      <c r="A138" s="56">
        <f>IF(NOT((COUNTA($B138:$D138)+COUNTA($G138:$L138)+COUNTA($Q138))&gt;0),"",IF($V138="Macro",COUNTIFS($V$5:$V138,"Macro",$S$5:$S138,$S138),IF(N($U138)=0,"?",COUNTIFS(INDEX($V$5:$V$1000,1):INDEX($V$5:$V$1000,$U138-4),"Macro",INDEX($S$5:$S$1000,1):INDEX($S$5:$S$1000,$U138-4),INDEX($S$5:$S$1000,$U138-4))&amp;"."&amp;COUNTIFS($U$5:$U138,$U138,$V$5:$V138,"Sub"))))</f>
        <v/>
      </c>
      <c r="B138" s="57" t="n"/>
      <c r="C138" s="58" t="n"/>
      <c r="D138" s="58" t="n"/>
      <c r="E138" s="59">
        <f>IF(N($AL138)&gt;0,INDEX(rIni_ADM,$AL138),"")</f>
        <v/>
      </c>
      <c r="F138" s="59">
        <f>IF(N($AL138)&gt;0,INDEX(rLim_ADM,$AL138),"")</f>
        <v/>
      </c>
      <c r="G138" s="59" t="n"/>
      <c r="H138" s="60" t="n"/>
      <c r="I138" s="60" t="n"/>
      <c r="J138" s="60" t="n"/>
      <c r="K138" s="60" t="n"/>
      <c r="L138" s="60" t="n"/>
      <c r="M138" s="61">
        <f>IF(NOT((COUNTA($B138:$D138)+COUNTA($G138:$L138)+COUNTA($Q138))&gt;0),"",IF(ISNUMBER($G138),1,IF(N($W138)&gt;0,AVERAGEIFS($X$5:$X$1000,$U$5:$U$1000,ROW(),$V$5:$V$1000,"Sub"),$X138)))</f>
        <v/>
      </c>
      <c r="N138" s="56">
        <f>IF($M138="","",IF($M138&gt;=1,"Completado",IF($M138&gt;0,"En curso","Pendiente")))</f>
        <v/>
      </c>
      <c r="O138" s="56">
        <f>IF(NOT((COUNTA($B138:$D138)+COUNTA($G138:$L138)+COUNTA($Q138))&gt;0),"",IF(ISNUMBER($G138),IF(AND(ISNUMBER($AN138),$G138&gt;$AN138),"Cumplida con "&amp;($G138-$AN138)&amp;IF($G138-$AN138=1," día"," días")&amp;" de retraso","Cumplida"),IF(N($M138)&gt;=1,"Cumplida",IF(NOT(ISNUMBER($AN138)),"Sin fecha límite",IF($AN138&lt;FechaRef,"Vencida hace "&amp;(FechaRef-$AN138)&amp;IF(FechaRef-$AN138=1," día"," días"),IF($AN138=FechaRef,"Vence hoy",IF($AN138-FechaRef&lt;=DiasAlerta,"Vence en "&amp;($AN138-FechaRef)&amp;IF($AN138-FechaRef=1," día"," días"),"En plazo")))))))</f>
        <v/>
      </c>
      <c r="P138" s="62" t="n"/>
      <c r="Q138" s="58" t="n"/>
      <c r="R138" s="63">
        <f>IF(NOT((COUNTA($B138:$D138)+COUNTA($G138:$L138)+COUNTA($Q138))&gt;0),"",IF((IF($C138="","Falta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",""))="","✔ OK","⚠ "&amp;LEFT(IF($C138="","Falta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",""),LEN(IF($C138="","Falta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",""))-3)))</f>
        <v/>
      </c>
      <c r="S138" s="64">
        <f>IF(NOT((COUNTA($B138:$D138)+COUNTA($G138:$L138)+COUNTA($Q138))&gt;0),"",IF(AND($V138="Sub",N($U138)&gt;0),IF(ISNUMBER(INDEX($AM$5:$AM$1000,$U138-4)),DATE(YEAR(INDEX($AM$5:$AM$1000,$U138-4)),MONTH(INDEX($AM$5:$AM$1000,$U138-4)),1),IF(ISNUMBER(INDEX($AN$5:$AN$1000,$U138-4)),DATE(YEAR(INDEX($AN$5:$AN$1000,$U138-4)),MONTH(INDEX($AN$5:$AN$1000,$U138-4)),1),MesCiclo)),IF(ISNUMBER($AM138),DATE(YEAR($AM138),MONTH($AM138),1),IF(ISNUMBER($AN138),DATE(YEAR($AN138),MONTH($AN138),1),MesCiclo))))</f>
        <v/>
      </c>
      <c r="T138" s="62">
        <f>IF(OR($S138="",$S138&lt;&gt;MesCiclo),"",COUNTIF($S$5:$S138,MesCiclo))</f>
        <v/>
      </c>
      <c r="U138" s="62">
        <f>IF($V138="","",IF($V138="Macro",ROW(),IFERROR(LOOKUP(2,1/($V$5:$V138="Macro"),ROW($V$5:$V138)),0)))</f>
        <v/>
      </c>
      <c r="V138" s="62">
        <f>IF(NOT((COUNTA($B138:$D138)+COUNTA($G138:$L138)+COUNTA($Q138))&gt;0),"",IF($B138="Subactividad","Sub","Macro"))</f>
        <v/>
      </c>
      <c r="W138" s="62">
        <f>IF($V138="Macro",COUNTIFS($U$5:$U$1000,ROW(),$V$5:$V$1000,"Sub"),"")</f>
        <v/>
      </c>
      <c r="X138" s="62">
        <f>IF($V138="","",IF(ISNUMBER($G138),1,IFERROR(LOOKUP(2,1/($I138:$L138&lt;&gt;""),$I138:$L138),0)))</f>
        <v/>
      </c>
      <c r="Y138" s="62">
        <f>IF($V138="","",IF(AND(ISNUMBER($G138),$G138&lt;=IF($S138=MesCiclo,InicioCiclo,$S138+MOD(2-WEEKDAY($S138),7))+6),1,IF(ISNUMBER($I138),$I138,0)))</f>
        <v/>
      </c>
      <c r="Z138" s="62">
        <f>IF($V138="","",IF(AND(ISNUMBER($G138),$G138&lt;=IF($S138=MesCiclo,InicioCiclo,$S138+MOD(2-WEEKDAY($S138),7))+13),1,IF(ISNUMBER($J138),$J138,$Y138)))</f>
        <v/>
      </c>
      <c r="AA138" s="62">
        <f>IF($V138="","",IF(AND(ISNUMBER($G138),$G138&lt;=IF($S138=MesCiclo,InicioCiclo,$S138+MOD(2-WEEKDAY($S138),7))+20),1,IF(ISNUMBER($K138),$K138,$Z138)))</f>
        <v/>
      </c>
      <c r="AB138" s="62">
        <f>IF($V138="","",IF(AND(ISNUMBER($G138),$G138&lt;=IF($S138=MesCiclo,InicioCiclo,$S138+MOD(2-WEEKDAY($S138),7))+27),1,IF(ISNUMBER($L138),$L138,$AA138)))</f>
        <v/>
      </c>
      <c r="AC138" s="62">
        <f>IF($V138="","",IF(AND(ISNUMBER($G138),$G138&lt;=IF($S138=MesCiclo,InicioCiclo,$S138+MOD(2-WEEKDAY($S138),7))+6),1,IF(N($W138)&gt;0,AVERAGEIFS($Y$5:$Y$1000,$U$5:$U$1000,ROW(),$V$5:$V$1000,"Sub"),$Y138)))</f>
        <v/>
      </c>
      <c r="AD138" s="62">
        <f>IF($V138="","",IF(AND(ISNUMBER($G138),$G138&lt;=IF($S138=MesCiclo,InicioCiclo,$S138+MOD(2-WEEKDAY($S138),7))+13),1,IF(N($W138)&gt;0,AVERAGEIFS($Z$5:$Z$1000,$U$5:$U$1000,ROW(),$V$5:$V$1000,"Sub"),$Z138)))</f>
        <v/>
      </c>
      <c r="AE138" s="62">
        <f>IF($V138="","",IF(AND(ISNUMBER($G138),$G138&lt;=IF($S138=MesCiclo,InicioCiclo,$S138+MOD(2-WEEKDAY($S138),7))+20),1,IF(N($W138)&gt;0,AVERAGEIFS($AA$5:$AA$1000,$U$5:$U$1000,ROW(),$V$5:$V$1000,"Sub"),$AA138)))</f>
        <v/>
      </c>
      <c r="AF138" s="62">
        <f>IF($V138="","",IF(AND(ISNUMBER($G138),$G138&lt;=IF($S138=MesCiclo,InicioCiclo,$S138+MOD(2-WEEKDAY($S138),7))+27),1,IF(N($W138)&gt;0,AVERAGEIFS($AB$5:$AB$1000,$U$5:$U$1000,ROW(),$V$5:$V$1000,"Sub"),$AB138)))</f>
        <v/>
      </c>
      <c r="AG138" s="62">
        <f>IF($V138&lt;&gt;"Macro","",IF(COUNTIFS($S$5:$S$1000,$S138,$V$5:$V$1000,"Macro",$H$5:$H$1000,"&gt;0")=0,1/COUNTIFS($S$5:$S$1000,$S138,$V$5:$V$1000,"Macro"),IF(AND(ISNUMBER($H138),N($H138)&gt;0),$H138,SUMIFS($H$5:$H$1000,$S$5:$S$1000,$S138,$V$5:$V$1000,"Macro")/COUNTIFS($S$5:$S$1000,$S138,$V$5:$V$1000,"Macro",$H$5:$H$1000,"&gt;0"))/(COUNTIFS($S$5:$S$1000,$S138,$V$5:$V$1000,"Macro")*SUMIFS($H$5:$H$1000,$S$5:$S$1000,$S138,$V$5:$V$1000,"Macro")/COUNTIFS($S$5:$S$1000,$S138,$V$5:$V$1000,"Macro",$H$5:$H$1000,"&gt;0"))))</f>
        <v/>
      </c>
      <c r="AH138" s="62" t="n"/>
      <c r="AI138" s="62" t="n"/>
      <c r="AJ138" s="62" t="n"/>
      <c r="AK138" s="62" t="n"/>
      <c r="AL138" s="62">
        <f>IF(LEFT($C138,11)="[Jefatura] ",IFERROR(MATCH("Asistente Técnico de Riesgo|"&amp;MID($C138,12,500),rDname_ADM,0),0),"")</f>
        <v/>
      </c>
      <c r="AM138" s="62">
        <f>IF(N($AL138)&gt;0,INDEX(rIni_ADM,$AL138),IF(ISNUMBER($E138),$E138,""))</f>
        <v/>
      </c>
      <c r="AN138" s="62">
        <f>IF(N($AL138)&gt;0,INDEX(rLim_ADM,$AL138),IF(ISNUMBER($F138),$F138,""))</f>
        <v/>
      </c>
    </row>
    <row r="139">
      <c r="A139" s="56">
        <f>IF(NOT((COUNTA($B139:$D139)+COUNTA($G139:$L139)+COUNTA($Q139))&gt;0),"",IF($V139="Macro",COUNTIFS($V$5:$V139,"Macro",$S$5:$S139,$S139),IF(N($U139)=0,"?",COUNTIFS(INDEX($V$5:$V$1000,1):INDEX($V$5:$V$1000,$U139-4),"Macro",INDEX($S$5:$S$1000,1):INDEX($S$5:$S$1000,$U139-4),INDEX($S$5:$S$1000,$U139-4))&amp;"."&amp;COUNTIFS($U$5:$U139,$U139,$V$5:$V139,"Sub"))))</f>
        <v/>
      </c>
      <c r="B139" s="57" t="n"/>
      <c r="C139" s="58" t="n"/>
      <c r="D139" s="58" t="n"/>
      <c r="E139" s="59">
        <f>IF(N($AL139)&gt;0,INDEX(rIni_ADM,$AL139),"")</f>
        <v/>
      </c>
      <c r="F139" s="59">
        <f>IF(N($AL139)&gt;0,INDEX(rLim_ADM,$AL139),"")</f>
        <v/>
      </c>
      <c r="G139" s="59" t="n"/>
      <c r="H139" s="60" t="n"/>
      <c r="I139" s="60" t="n"/>
      <c r="J139" s="60" t="n"/>
      <c r="K139" s="60" t="n"/>
      <c r="L139" s="60" t="n"/>
      <c r="M139" s="61">
        <f>IF(NOT((COUNTA($B139:$D139)+COUNTA($G139:$L139)+COUNTA($Q139))&gt;0),"",IF(ISNUMBER($G139),1,IF(N($W139)&gt;0,AVERAGEIFS($X$5:$X$1000,$U$5:$U$1000,ROW(),$V$5:$V$1000,"Sub"),$X139)))</f>
        <v/>
      </c>
      <c r="N139" s="56">
        <f>IF($M139="","",IF($M139&gt;=1,"Completado",IF($M139&gt;0,"En curso","Pendiente")))</f>
        <v/>
      </c>
      <c r="O139" s="56">
        <f>IF(NOT((COUNTA($B139:$D139)+COUNTA($G139:$L139)+COUNTA($Q139))&gt;0),"",IF(ISNUMBER($G139),IF(AND(ISNUMBER($AN139),$G139&gt;$AN139),"Cumplida con "&amp;($G139-$AN139)&amp;IF($G139-$AN139=1," día"," días")&amp;" de retraso","Cumplida"),IF(N($M139)&gt;=1,"Cumplida",IF(NOT(ISNUMBER($AN139)),"Sin fecha límite",IF($AN139&lt;FechaRef,"Vencida hace "&amp;(FechaRef-$AN139)&amp;IF(FechaRef-$AN139=1," día"," días"),IF($AN139=FechaRef,"Vence hoy",IF($AN139-FechaRef&lt;=DiasAlerta,"Vence en "&amp;($AN139-FechaRef)&amp;IF($AN139-FechaRef=1," día"," días"),"En plazo")))))))</f>
        <v/>
      </c>
      <c r="P139" s="62" t="n"/>
      <c r="Q139" s="58" t="n"/>
      <c r="R139" s="63">
        <f>IF(NOT((COUNTA($B139:$D139)+COUNTA($G139:$L139)+COUNTA($Q139))&gt;0),"",IF((IF($C139="","Falta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",""))="","✔ OK","⚠ "&amp;LEFT(IF($C139="","Falta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",""),LEN(IF($C139="","Falta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",""))-3)))</f>
        <v/>
      </c>
      <c r="S139" s="64">
        <f>IF(NOT((COUNTA($B139:$D139)+COUNTA($G139:$L139)+COUNTA($Q139))&gt;0),"",IF(AND($V139="Sub",N($U139)&gt;0),IF(ISNUMBER(INDEX($AM$5:$AM$1000,$U139-4)),DATE(YEAR(INDEX($AM$5:$AM$1000,$U139-4)),MONTH(INDEX($AM$5:$AM$1000,$U139-4)),1),IF(ISNUMBER(INDEX($AN$5:$AN$1000,$U139-4)),DATE(YEAR(INDEX($AN$5:$AN$1000,$U139-4)),MONTH(INDEX($AN$5:$AN$1000,$U139-4)),1),MesCiclo)),IF(ISNUMBER($AM139),DATE(YEAR($AM139),MONTH($AM139),1),IF(ISNUMBER($AN139),DATE(YEAR($AN139),MONTH($AN139),1),MesCiclo))))</f>
        <v/>
      </c>
      <c r="T139" s="62">
        <f>IF(OR($S139="",$S139&lt;&gt;MesCiclo),"",COUNTIF($S$5:$S139,MesCiclo))</f>
        <v/>
      </c>
      <c r="U139" s="62">
        <f>IF($V139="","",IF($V139="Macro",ROW(),IFERROR(LOOKUP(2,1/($V$5:$V139="Macro"),ROW($V$5:$V139)),0)))</f>
        <v/>
      </c>
      <c r="V139" s="62">
        <f>IF(NOT((COUNTA($B139:$D139)+COUNTA($G139:$L139)+COUNTA($Q139))&gt;0),"",IF($B139="Subactividad","Sub","Macro"))</f>
        <v/>
      </c>
      <c r="W139" s="62">
        <f>IF($V139="Macro",COUNTIFS($U$5:$U$1000,ROW(),$V$5:$V$1000,"Sub"),"")</f>
        <v/>
      </c>
      <c r="X139" s="62">
        <f>IF($V139="","",IF(ISNUMBER($G139),1,IFERROR(LOOKUP(2,1/($I139:$L139&lt;&gt;""),$I139:$L139),0)))</f>
        <v/>
      </c>
      <c r="Y139" s="62">
        <f>IF($V139="","",IF(AND(ISNUMBER($G139),$G139&lt;=IF($S139=MesCiclo,InicioCiclo,$S139+MOD(2-WEEKDAY($S139),7))+6),1,IF(ISNUMBER($I139),$I139,0)))</f>
        <v/>
      </c>
      <c r="Z139" s="62">
        <f>IF($V139="","",IF(AND(ISNUMBER($G139),$G139&lt;=IF($S139=MesCiclo,InicioCiclo,$S139+MOD(2-WEEKDAY($S139),7))+13),1,IF(ISNUMBER($J139),$J139,$Y139)))</f>
        <v/>
      </c>
      <c r="AA139" s="62">
        <f>IF($V139="","",IF(AND(ISNUMBER($G139),$G139&lt;=IF($S139=MesCiclo,InicioCiclo,$S139+MOD(2-WEEKDAY($S139),7))+20),1,IF(ISNUMBER($K139),$K139,$Z139)))</f>
        <v/>
      </c>
      <c r="AB139" s="62">
        <f>IF($V139="","",IF(AND(ISNUMBER($G139),$G139&lt;=IF($S139=MesCiclo,InicioCiclo,$S139+MOD(2-WEEKDAY($S139),7))+27),1,IF(ISNUMBER($L139),$L139,$AA139)))</f>
        <v/>
      </c>
      <c r="AC139" s="62">
        <f>IF($V139="","",IF(AND(ISNUMBER($G139),$G139&lt;=IF($S139=MesCiclo,InicioCiclo,$S139+MOD(2-WEEKDAY($S139),7))+6),1,IF(N($W139)&gt;0,AVERAGEIFS($Y$5:$Y$1000,$U$5:$U$1000,ROW(),$V$5:$V$1000,"Sub"),$Y139)))</f>
        <v/>
      </c>
      <c r="AD139" s="62">
        <f>IF($V139="","",IF(AND(ISNUMBER($G139),$G139&lt;=IF($S139=MesCiclo,InicioCiclo,$S139+MOD(2-WEEKDAY($S139),7))+13),1,IF(N($W139)&gt;0,AVERAGEIFS($Z$5:$Z$1000,$U$5:$U$1000,ROW(),$V$5:$V$1000,"Sub"),$Z139)))</f>
        <v/>
      </c>
      <c r="AE139" s="62">
        <f>IF($V139="","",IF(AND(ISNUMBER($G139),$G139&lt;=IF($S139=MesCiclo,InicioCiclo,$S139+MOD(2-WEEKDAY($S139),7))+20),1,IF(N($W139)&gt;0,AVERAGEIFS($AA$5:$AA$1000,$U$5:$U$1000,ROW(),$V$5:$V$1000,"Sub"),$AA139)))</f>
        <v/>
      </c>
      <c r="AF139" s="62">
        <f>IF($V139="","",IF(AND(ISNUMBER($G139),$G139&lt;=IF($S139=MesCiclo,InicioCiclo,$S139+MOD(2-WEEKDAY($S139),7))+27),1,IF(N($W139)&gt;0,AVERAGEIFS($AB$5:$AB$1000,$U$5:$U$1000,ROW(),$V$5:$V$1000,"Sub"),$AB139)))</f>
        <v/>
      </c>
      <c r="AG139" s="62">
        <f>IF($V139&lt;&gt;"Macro","",IF(COUNTIFS($S$5:$S$1000,$S139,$V$5:$V$1000,"Macro",$H$5:$H$1000,"&gt;0")=0,1/COUNTIFS($S$5:$S$1000,$S139,$V$5:$V$1000,"Macro"),IF(AND(ISNUMBER($H139),N($H139)&gt;0),$H139,SUMIFS($H$5:$H$1000,$S$5:$S$1000,$S139,$V$5:$V$1000,"Macro")/COUNTIFS($S$5:$S$1000,$S139,$V$5:$V$1000,"Macro",$H$5:$H$1000,"&gt;0"))/(COUNTIFS($S$5:$S$1000,$S139,$V$5:$V$1000,"Macro")*SUMIFS($H$5:$H$1000,$S$5:$S$1000,$S139,$V$5:$V$1000,"Macro")/COUNTIFS($S$5:$S$1000,$S139,$V$5:$V$1000,"Macro",$H$5:$H$1000,"&gt;0"))))</f>
        <v/>
      </c>
      <c r="AH139" s="62" t="n"/>
      <c r="AI139" s="62" t="n"/>
      <c r="AJ139" s="62" t="n"/>
      <c r="AK139" s="62" t="n"/>
      <c r="AL139" s="62">
        <f>IF(LEFT($C139,11)="[Jefatura] ",IFERROR(MATCH("Asistente Técnico de Riesgo|"&amp;MID($C139,12,500),rDname_ADM,0),0),"")</f>
        <v/>
      </c>
      <c r="AM139" s="62">
        <f>IF(N($AL139)&gt;0,INDEX(rIni_ADM,$AL139),IF(ISNUMBER($E139),$E139,""))</f>
        <v/>
      </c>
      <c r="AN139" s="62">
        <f>IF(N($AL139)&gt;0,INDEX(rLim_ADM,$AL139),IF(ISNUMBER($F139),$F139,""))</f>
        <v/>
      </c>
    </row>
    <row r="140">
      <c r="A140" s="56">
        <f>IF(NOT((COUNTA($B140:$D140)+COUNTA($G140:$L140)+COUNTA($Q140))&gt;0),"",IF($V140="Macro",COUNTIFS($V$5:$V140,"Macro",$S$5:$S140,$S140),IF(N($U140)=0,"?",COUNTIFS(INDEX($V$5:$V$1000,1):INDEX($V$5:$V$1000,$U140-4),"Macro",INDEX($S$5:$S$1000,1):INDEX($S$5:$S$1000,$U140-4),INDEX($S$5:$S$1000,$U140-4))&amp;"."&amp;COUNTIFS($U$5:$U140,$U140,$V$5:$V140,"Sub"))))</f>
        <v/>
      </c>
      <c r="B140" s="57" t="n"/>
      <c r="C140" s="58" t="n"/>
      <c r="D140" s="58" t="n"/>
      <c r="E140" s="59">
        <f>IF(N($AL140)&gt;0,INDEX(rIni_ADM,$AL140),"")</f>
        <v/>
      </c>
      <c r="F140" s="59">
        <f>IF(N($AL140)&gt;0,INDEX(rLim_ADM,$AL140),"")</f>
        <v/>
      </c>
      <c r="G140" s="59" t="n"/>
      <c r="H140" s="60" t="n"/>
      <c r="I140" s="60" t="n"/>
      <c r="J140" s="60" t="n"/>
      <c r="K140" s="60" t="n"/>
      <c r="L140" s="60" t="n"/>
      <c r="M140" s="61">
        <f>IF(NOT((COUNTA($B140:$D140)+COUNTA($G140:$L140)+COUNTA($Q140))&gt;0),"",IF(ISNUMBER($G140),1,IF(N($W140)&gt;0,AVERAGEIFS($X$5:$X$1000,$U$5:$U$1000,ROW(),$V$5:$V$1000,"Sub"),$X140)))</f>
        <v/>
      </c>
      <c r="N140" s="56">
        <f>IF($M140="","",IF($M140&gt;=1,"Completado",IF($M140&gt;0,"En curso","Pendiente")))</f>
        <v/>
      </c>
      <c r="O140" s="56">
        <f>IF(NOT((COUNTA($B140:$D140)+COUNTA($G140:$L140)+COUNTA($Q140))&gt;0),"",IF(ISNUMBER($G140),IF(AND(ISNUMBER($AN140),$G140&gt;$AN140),"Cumplida con "&amp;($G140-$AN140)&amp;IF($G140-$AN140=1," día"," días")&amp;" de retraso","Cumplida"),IF(N($M140)&gt;=1,"Cumplida",IF(NOT(ISNUMBER($AN140)),"Sin fecha límite",IF($AN140&lt;FechaRef,"Vencida hace "&amp;(FechaRef-$AN140)&amp;IF(FechaRef-$AN140=1," día"," días"),IF($AN140=FechaRef,"Vence hoy",IF($AN140-FechaRef&lt;=DiasAlerta,"Vence en "&amp;($AN140-FechaRef)&amp;IF($AN140-FechaRef=1," día"," días"),"En plazo")))))))</f>
        <v/>
      </c>
      <c r="P140" s="62" t="n"/>
      <c r="Q140" s="58" t="n"/>
      <c r="R140" s="63">
        <f>IF(NOT((COUNTA($B140:$D140)+COUNTA($G140:$L140)+COUNTA($Q140))&gt;0),"",IF((IF($C140="","Falta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",""))="","✔ OK","⚠ "&amp;LEFT(IF($C140="","Falta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",""),LEN(IF($C140="","Falta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",""))-3)))</f>
        <v/>
      </c>
      <c r="S140" s="64">
        <f>IF(NOT((COUNTA($B140:$D140)+COUNTA($G140:$L140)+COUNTA($Q140))&gt;0),"",IF(AND($V140="Sub",N($U140)&gt;0),IF(ISNUMBER(INDEX($AM$5:$AM$1000,$U140-4)),DATE(YEAR(INDEX($AM$5:$AM$1000,$U140-4)),MONTH(INDEX($AM$5:$AM$1000,$U140-4)),1),IF(ISNUMBER(INDEX($AN$5:$AN$1000,$U140-4)),DATE(YEAR(INDEX($AN$5:$AN$1000,$U140-4)),MONTH(INDEX($AN$5:$AN$1000,$U140-4)),1),MesCiclo)),IF(ISNUMBER($AM140),DATE(YEAR($AM140),MONTH($AM140),1),IF(ISNUMBER($AN140),DATE(YEAR($AN140),MONTH($AN140),1),MesCiclo))))</f>
        <v/>
      </c>
      <c r="T140" s="62">
        <f>IF(OR($S140="",$S140&lt;&gt;MesCiclo),"",COUNTIF($S$5:$S140,MesCiclo))</f>
        <v/>
      </c>
      <c r="U140" s="62">
        <f>IF($V140="","",IF($V140="Macro",ROW(),IFERROR(LOOKUP(2,1/($V$5:$V140="Macro"),ROW($V$5:$V140)),0)))</f>
        <v/>
      </c>
      <c r="V140" s="62">
        <f>IF(NOT((COUNTA($B140:$D140)+COUNTA($G140:$L140)+COUNTA($Q140))&gt;0),"",IF($B140="Subactividad","Sub","Macro"))</f>
        <v/>
      </c>
      <c r="W140" s="62">
        <f>IF($V140="Macro",COUNTIFS($U$5:$U$1000,ROW(),$V$5:$V$1000,"Sub"),"")</f>
        <v/>
      </c>
      <c r="X140" s="62">
        <f>IF($V140="","",IF(ISNUMBER($G140),1,IFERROR(LOOKUP(2,1/($I140:$L140&lt;&gt;""),$I140:$L140),0)))</f>
        <v/>
      </c>
      <c r="Y140" s="62">
        <f>IF($V140="","",IF(AND(ISNUMBER($G140),$G140&lt;=IF($S140=MesCiclo,InicioCiclo,$S140+MOD(2-WEEKDAY($S140),7))+6),1,IF(ISNUMBER($I140),$I140,0)))</f>
        <v/>
      </c>
      <c r="Z140" s="62">
        <f>IF($V140="","",IF(AND(ISNUMBER($G140),$G140&lt;=IF($S140=MesCiclo,InicioCiclo,$S140+MOD(2-WEEKDAY($S140),7))+13),1,IF(ISNUMBER($J140),$J140,$Y140)))</f>
        <v/>
      </c>
      <c r="AA140" s="62">
        <f>IF($V140="","",IF(AND(ISNUMBER($G140),$G140&lt;=IF($S140=MesCiclo,InicioCiclo,$S140+MOD(2-WEEKDAY($S140),7))+20),1,IF(ISNUMBER($K140),$K140,$Z140)))</f>
        <v/>
      </c>
      <c r="AB140" s="62">
        <f>IF($V140="","",IF(AND(ISNUMBER($G140),$G140&lt;=IF($S140=MesCiclo,InicioCiclo,$S140+MOD(2-WEEKDAY($S140),7))+27),1,IF(ISNUMBER($L140),$L140,$AA140)))</f>
        <v/>
      </c>
      <c r="AC140" s="62">
        <f>IF($V140="","",IF(AND(ISNUMBER($G140),$G140&lt;=IF($S140=MesCiclo,InicioCiclo,$S140+MOD(2-WEEKDAY($S140),7))+6),1,IF(N($W140)&gt;0,AVERAGEIFS($Y$5:$Y$1000,$U$5:$U$1000,ROW(),$V$5:$V$1000,"Sub"),$Y140)))</f>
        <v/>
      </c>
      <c r="AD140" s="62">
        <f>IF($V140="","",IF(AND(ISNUMBER($G140),$G140&lt;=IF($S140=MesCiclo,InicioCiclo,$S140+MOD(2-WEEKDAY($S140),7))+13),1,IF(N($W140)&gt;0,AVERAGEIFS($Z$5:$Z$1000,$U$5:$U$1000,ROW(),$V$5:$V$1000,"Sub"),$Z140)))</f>
        <v/>
      </c>
      <c r="AE140" s="62">
        <f>IF($V140="","",IF(AND(ISNUMBER($G140),$G140&lt;=IF($S140=MesCiclo,InicioCiclo,$S140+MOD(2-WEEKDAY($S140),7))+20),1,IF(N($W140)&gt;0,AVERAGEIFS($AA$5:$AA$1000,$U$5:$U$1000,ROW(),$V$5:$V$1000,"Sub"),$AA140)))</f>
        <v/>
      </c>
      <c r="AF140" s="62">
        <f>IF($V140="","",IF(AND(ISNUMBER($G140),$G140&lt;=IF($S140=MesCiclo,InicioCiclo,$S140+MOD(2-WEEKDAY($S140),7))+27),1,IF(N($W140)&gt;0,AVERAGEIFS($AB$5:$AB$1000,$U$5:$U$1000,ROW(),$V$5:$V$1000,"Sub"),$AB140)))</f>
        <v/>
      </c>
      <c r="AG140" s="62">
        <f>IF($V140&lt;&gt;"Macro","",IF(COUNTIFS($S$5:$S$1000,$S140,$V$5:$V$1000,"Macro",$H$5:$H$1000,"&gt;0")=0,1/COUNTIFS($S$5:$S$1000,$S140,$V$5:$V$1000,"Macro"),IF(AND(ISNUMBER($H140),N($H140)&gt;0),$H140,SUMIFS($H$5:$H$1000,$S$5:$S$1000,$S140,$V$5:$V$1000,"Macro")/COUNTIFS($S$5:$S$1000,$S140,$V$5:$V$1000,"Macro",$H$5:$H$1000,"&gt;0"))/(COUNTIFS($S$5:$S$1000,$S140,$V$5:$V$1000,"Macro")*SUMIFS($H$5:$H$1000,$S$5:$S$1000,$S140,$V$5:$V$1000,"Macro")/COUNTIFS($S$5:$S$1000,$S140,$V$5:$V$1000,"Macro",$H$5:$H$1000,"&gt;0"))))</f>
        <v/>
      </c>
      <c r="AH140" s="62" t="n"/>
      <c r="AI140" s="62" t="n"/>
      <c r="AJ140" s="62" t="n"/>
      <c r="AK140" s="62" t="n"/>
      <c r="AL140" s="62">
        <f>IF(LEFT($C140,11)="[Jefatura] ",IFERROR(MATCH("Asistente Técnico de Riesgo|"&amp;MID($C140,12,500),rDname_ADM,0),0),"")</f>
        <v/>
      </c>
      <c r="AM140" s="62">
        <f>IF(N($AL140)&gt;0,INDEX(rIni_ADM,$AL140),IF(ISNUMBER($E140),$E140,""))</f>
        <v/>
      </c>
      <c r="AN140" s="62">
        <f>IF(N($AL140)&gt;0,INDEX(rLim_ADM,$AL140),IF(ISNUMBER($F140),$F140,""))</f>
        <v/>
      </c>
    </row>
    <row r="141">
      <c r="A141" s="56">
        <f>IF(NOT((COUNTA($B141:$D141)+COUNTA($G141:$L141)+COUNTA($Q141))&gt;0),"",IF($V141="Macro",COUNTIFS($V$5:$V141,"Macro",$S$5:$S141,$S141),IF(N($U141)=0,"?",COUNTIFS(INDEX($V$5:$V$1000,1):INDEX($V$5:$V$1000,$U141-4),"Macro",INDEX($S$5:$S$1000,1):INDEX($S$5:$S$1000,$U141-4),INDEX($S$5:$S$1000,$U141-4))&amp;"."&amp;COUNTIFS($U$5:$U141,$U141,$V$5:$V141,"Sub"))))</f>
        <v/>
      </c>
      <c r="B141" s="57" t="n"/>
      <c r="C141" s="58" t="n"/>
      <c r="D141" s="58" t="n"/>
      <c r="E141" s="59">
        <f>IF(N($AL141)&gt;0,INDEX(rIni_ADM,$AL141),"")</f>
        <v/>
      </c>
      <c r="F141" s="59">
        <f>IF(N($AL141)&gt;0,INDEX(rLim_ADM,$AL141),"")</f>
        <v/>
      </c>
      <c r="G141" s="59" t="n"/>
      <c r="H141" s="60" t="n"/>
      <c r="I141" s="60" t="n"/>
      <c r="J141" s="60" t="n"/>
      <c r="K141" s="60" t="n"/>
      <c r="L141" s="60" t="n"/>
      <c r="M141" s="61">
        <f>IF(NOT((COUNTA($B141:$D141)+COUNTA($G141:$L141)+COUNTA($Q141))&gt;0),"",IF(ISNUMBER($G141),1,IF(N($W141)&gt;0,AVERAGEIFS($X$5:$X$1000,$U$5:$U$1000,ROW(),$V$5:$V$1000,"Sub"),$X141)))</f>
        <v/>
      </c>
      <c r="N141" s="56">
        <f>IF($M141="","",IF($M141&gt;=1,"Completado",IF($M141&gt;0,"En curso","Pendiente")))</f>
        <v/>
      </c>
      <c r="O141" s="56">
        <f>IF(NOT((COUNTA($B141:$D141)+COUNTA($G141:$L141)+COUNTA($Q141))&gt;0),"",IF(ISNUMBER($G141),IF(AND(ISNUMBER($AN141),$G141&gt;$AN141),"Cumplida con "&amp;($G141-$AN141)&amp;IF($G141-$AN141=1," día"," días")&amp;" de retraso","Cumplida"),IF(N($M141)&gt;=1,"Cumplida",IF(NOT(ISNUMBER($AN141)),"Sin fecha límite",IF($AN141&lt;FechaRef,"Vencida hace "&amp;(FechaRef-$AN141)&amp;IF(FechaRef-$AN141=1," día"," días"),IF($AN141=FechaRef,"Vence hoy",IF($AN141-FechaRef&lt;=DiasAlerta,"Vence en "&amp;($AN141-FechaRef)&amp;IF($AN141-FechaRef=1," día"," días"),"En plazo")))))))</f>
        <v/>
      </c>
      <c r="P141" s="62" t="n"/>
      <c r="Q141" s="58" t="n"/>
      <c r="R141" s="63">
        <f>IF(NOT((COUNTA($B141:$D141)+COUNTA($G141:$L141)+COUNTA($Q141))&gt;0),"",IF((IF($C141="","Falta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",""))="","✔ OK","⚠ "&amp;LEFT(IF($C141="","Falta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",""),LEN(IF($C141="","Falta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",""))-3)))</f>
        <v/>
      </c>
      <c r="S141" s="64">
        <f>IF(NOT((COUNTA($B141:$D141)+COUNTA($G141:$L141)+COUNTA($Q141))&gt;0),"",IF(AND($V141="Sub",N($U141)&gt;0),IF(ISNUMBER(INDEX($AM$5:$AM$1000,$U141-4)),DATE(YEAR(INDEX($AM$5:$AM$1000,$U141-4)),MONTH(INDEX($AM$5:$AM$1000,$U141-4)),1),IF(ISNUMBER(INDEX($AN$5:$AN$1000,$U141-4)),DATE(YEAR(INDEX($AN$5:$AN$1000,$U141-4)),MONTH(INDEX($AN$5:$AN$1000,$U141-4)),1),MesCiclo)),IF(ISNUMBER($AM141),DATE(YEAR($AM141),MONTH($AM141),1),IF(ISNUMBER($AN141),DATE(YEAR($AN141),MONTH($AN141),1),MesCiclo))))</f>
        <v/>
      </c>
      <c r="T141" s="62">
        <f>IF(OR($S141="",$S141&lt;&gt;MesCiclo),"",COUNTIF($S$5:$S141,MesCiclo))</f>
        <v/>
      </c>
      <c r="U141" s="62">
        <f>IF($V141="","",IF($V141="Macro",ROW(),IFERROR(LOOKUP(2,1/($V$5:$V141="Macro"),ROW($V$5:$V141)),0)))</f>
        <v/>
      </c>
      <c r="V141" s="62">
        <f>IF(NOT((COUNTA($B141:$D141)+COUNTA($G141:$L141)+COUNTA($Q141))&gt;0),"",IF($B141="Subactividad","Sub","Macro"))</f>
        <v/>
      </c>
      <c r="W141" s="62">
        <f>IF($V141="Macro",COUNTIFS($U$5:$U$1000,ROW(),$V$5:$V$1000,"Sub"),"")</f>
        <v/>
      </c>
      <c r="X141" s="62">
        <f>IF($V141="","",IF(ISNUMBER($G141),1,IFERROR(LOOKUP(2,1/($I141:$L141&lt;&gt;""),$I141:$L141),0)))</f>
        <v/>
      </c>
      <c r="Y141" s="62">
        <f>IF($V141="","",IF(AND(ISNUMBER($G141),$G141&lt;=IF($S141=MesCiclo,InicioCiclo,$S141+MOD(2-WEEKDAY($S141),7))+6),1,IF(ISNUMBER($I141),$I141,0)))</f>
        <v/>
      </c>
      <c r="Z141" s="62">
        <f>IF($V141="","",IF(AND(ISNUMBER($G141),$G141&lt;=IF($S141=MesCiclo,InicioCiclo,$S141+MOD(2-WEEKDAY($S141),7))+13),1,IF(ISNUMBER($J141),$J141,$Y141)))</f>
        <v/>
      </c>
      <c r="AA141" s="62">
        <f>IF($V141="","",IF(AND(ISNUMBER($G141),$G141&lt;=IF($S141=MesCiclo,InicioCiclo,$S141+MOD(2-WEEKDAY($S141),7))+20),1,IF(ISNUMBER($K141),$K141,$Z141)))</f>
        <v/>
      </c>
      <c r="AB141" s="62">
        <f>IF($V141="","",IF(AND(ISNUMBER($G141),$G141&lt;=IF($S141=MesCiclo,InicioCiclo,$S141+MOD(2-WEEKDAY($S141),7))+27),1,IF(ISNUMBER($L141),$L141,$AA141)))</f>
        <v/>
      </c>
      <c r="AC141" s="62">
        <f>IF($V141="","",IF(AND(ISNUMBER($G141),$G141&lt;=IF($S141=MesCiclo,InicioCiclo,$S141+MOD(2-WEEKDAY($S141),7))+6),1,IF(N($W141)&gt;0,AVERAGEIFS($Y$5:$Y$1000,$U$5:$U$1000,ROW(),$V$5:$V$1000,"Sub"),$Y141)))</f>
        <v/>
      </c>
      <c r="AD141" s="62">
        <f>IF($V141="","",IF(AND(ISNUMBER($G141),$G141&lt;=IF($S141=MesCiclo,InicioCiclo,$S141+MOD(2-WEEKDAY($S141),7))+13),1,IF(N($W141)&gt;0,AVERAGEIFS($Z$5:$Z$1000,$U$5:$U$1000,ROW(),$V$5:$V$1000,"Sub"),$Z141)))</f>
        <v/>
      </c>
      <c r="AE141" s="62">
        <f>IF($V141="","",IF(AND(ISNUMBER($G141),$G141&lt;=IF($S141=MesCiclo,InicioCiclo,$S141+MOD(2-WEEKDAY($S141),7))+20),1,IF(N($W141)&gt;0,AVERAGEIFS($AA$5:$AA$1000,$U$5:$U$1000,ROW(),$V$5:$V$1000,"Sub"),$AA141)))</f>
        <v/>
      </c>
      <c r="AF141" s="62">
        <f>IF($V141="","",IF(AND(ISNUMBER($G141),$G141&lt;=IF($S141=MesCiclo,InicioCiclo,$S141+MOD(2-WEEKDAY($S141),7))+27),1,IF(N($W141)&gt;0,AVERAGEIFS($AB$5:$AB$1000,$U$5:$U$1000,ROW(),$V$5:$V$1000,"Sub"),$AB141)))</f>
        <v/>
      </c>
      <c r="AG141" s="62">
        <f>IF($V141&lt;&gt;"Macro","",IF(COUNTIFS($S$5:$S$1000,$S141,$V$5:$V$1000,"Macro",$H$5:$H$1000,"&gt;0")=0,1/COUNTIFS($S$5:$S$1000,$S141,$V$5:$V$1000,"Macro"),IF(AND(ISNUMBER($H141),N($H141)&gt;0),$H141,SUMIFS($H$5:$H$1000,$S$5:$S$1000,$S141,$V$5:$V$1000,"Macro")/COUNTIFS($S$5:$S$1000,$S141,$V$5:$V$1000,"Macro",$H$5:$H$1000,"&gt;0"))/(COUNTIFS($S$5:$S$1000,$S141,$V$5:$V$1000,"Macro")*SUMIFS($H$5:$H$1000,$S$5:$S$1000,$S141,$V$5:$V$1000,"Macro")/COUNTIFS($S$5:$S$1000,$S141,$V$5:$V$1000,"Macro",$H$5:$H$1000,"&gt;0"))))</f>
        <v/>
      </c>
      <c r="AH141" s="62" t="n"/>
      <c r="AI141" s="62" t="n"/>
      <c r="AJ141" s="62" t="n"/>
      <c r="AK141" s="62" t="n"/>
      <c r="AL141" s="62">
        <f>IF(LEFT($C141,11)="[Jefatura] ",IFERROR(MATCH("Asistente Técnico de Riesgo|"&amp;MID($C141,12,500),rDname_ADM,0),0),"")</f>
        <v/>
      </c>
      <c r="AM141" s="62">
        <f>IF(N($AL141)&gt;0,INDEX(rIni_ADM,$AL141),IF(ISNUMBER($E141),$E141,""))</f>
        <v/>
      </c>
      <c r="AN141" s="62">
        <f>IF(N($AL141)&gt;0,INDEX(rLim_ADM,$AL141),IF(ISNUMBER($F141),$F141,""))</f>
        <v/>
      </c>
    </row>
    <row r="142">
      <c r="A142" s="56">
        <f>IF(NOT((COUNTA($B142:$D142)+COUNTA($G142:$L142)+COUNTA($Q142))&gt;0),"",IF($V142="Macro",COUNTIFS($V$5:$V142,"Macro",$S$5:$S142,$S142),IF(N($U142)=0,"?",COUNTIFS(INDEX($V$5:$V$1000,1):INDEX($V$5:$V$1000,$U142-4),"Macro",INDEX($S$5:$S$1000,1):INDEX($S$5:$S$1000,$U142-4),INDEX($S$5:$S$1000,$U142-4))&amp;"."&amp;COUNTIFS($U$5:$U142,$U142,$V$5:$V142,"Sub"))))</f>
        <v/>
      </c>
      <c r="B142" s="57" t="n"/>
      <c r="C142" s="58" t="n"/>
      <c r="D142" s="58" t="n"/>
      <c r="E142" s="59">
        <f>IF(N($AL142)&gt;0,INDEX(rIni_ADM,$AL142),"")</f>
        <v/>
      </c>
      <c r="F142" s="59">
        <f>IF(N($AL142)&gt;0,INDEX(rLim_ADM,$AL142),"")</f>
        <v/>
      </c>
      <c r="G142" s="59" t="n"/>
      <c r="H142" s="60" t="n"/>
      <c r="I142" s="60" t="n"/>
      <c r="J142" s="60" t="n"/>
      <c r="K142" s="60" t="n"/>
      <c r="L142" s="60" t="n"/>
      <c r="M142" s="61">
        <f>IF(NOT((COUNTA($B142:$D142)+COUNTA($G142:$L142)+COUNTA($Q142))&gt;0),"",IF(ISNUMBER($G142),1,IF(N($W142)&gt;0,AVERAGEIFS($X$5:$X$1000,$U$5:$U$1000,ROW(),$V$5:$V$1000,"Sub"),$X142)))</f>
        <v/>
      </c>
      <c r="N142" s="56">
        <f>IF($M142="","",IF($M142&gt;=1,"Completado",IF($M142&gt;0,"En curso","Pendiente")))</f>
        <v/>
      </c>
      <c r="O142" s="56">
        <f>IF(NOT((COUNTA($B142:$D142)+COUNTA($G142:$L142)+COUNTA($Q142))&gt;0),"",IF(ISNUMBER($G142),IF(AND(ISNUMBER($AN142),$G142&gt;$AN142),"Cumplida con "&amp;($G142-$AN142)&amp;IF($G142-$AN142=1," día"," días")&amp;" de retraso","Cumplida"),IF(N($M142)&gt;=1,"Cumplida",IF(NOT(ISNUMBER($AN142)),"Sin fecha límite",IF($AN142&lt;FechaRef,"Vencida hace "&amp;(FechaRef-$AN142)&amp;IF(FechaRef-$AN142=1," día"," días"),IF($AN142=FechaRef,"Vence hoy",IF($AN142-FechaRef&lt;=DiasAlerta,"Vence en "&amp;($AN142-FechaRef)&amp;IF($AN142-FechaRef=1," día"," días"),"En plazo")))))))</f>
        <v/>
      </c>
      <c r="P142" s="62" t="n"/>
      <c r="Q142" s="58" t="n"/>
      <c r="R142" s="63">
        <f>IF(NOT((COUNTA($B142:$D142)+COUNTA($G142:$L142)+COUNTA($Q142))&gt;0),"",IF((IF($C142="","Falta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",""))="","✔ OK","⚠ "&amp;LEFT(IF($C142="","Falta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",""),LEN(IF($C142="","Falta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",""))-3)))</f>
        <v/>
      </c>
      <c r="S142" s="64">
        <f>IF(NOT((COUNTA($B142:$D142)+COUNTA($G142:$L142)+COUNTA($Q142))&gt;0),"",IF(AND($V142="Sub",N($U142)&gt;0),IF(ISNUMBER(INDEX($AM$5:$AM$1000,$U142-4)),DATE(YEAR(INDEX($AM$5:$AM$1000,$U142-4)),MONTH(INDEX($AM$5:$AM$1000,$U142-4)),1),IF(ISNUMBER(INDEX($AN$5:$AN$1000,$U142-4)),DATE(YEAR(INDEX($AN$5:$AN$1000,$U142-4)),MONTH(INDEX($AN$5:$AN$1000,$U142-4)),1),MesCiclo)),IF(ISNUMBER($AM142),DATE(YEAR($AM142),MONTH($AM142),1),IF(ISNUMBER($AN142),DATE(YEAR($AN142),MONTH($AN142),1),MesCiclo))))</f>
        <v/>
      </c>
      <c r="T142" s="62">
        <f>IF(OR($S142="",$S142&lt;&gt;MesCiclo),"",COUNTIF($S$5:$S142,MesCiclo))</f>
        <v/>
      </c>
      <c r="U142" s="62">
        <f>IF($V142="","",IF($V142="Macro",ROW(),IFERROR(LOOKUP(2,1/($V$5:$V142="Macro"),ROW($V$5:$V142)),0)))</f>
        <v/>
      </c>
      <c r="V142" s="62">
        <f>IF(NOT((COUNTA($B142:$D142)+COUNTA($G142:$L142)+COUNTA($Q142))&gt;0),"",IF($B142="Subactividad","Sub","Macro"))</f>
        <v/>
      </c>
      <c r="W142" s="62">
        <f>IF($V142="Macro",COUNTIFS($U$5:$U$1000,ROW(),$V$5:$V$1000,"Sub"),"")</f>
        <v/>
      </c>
      <c r="X142" s="62">
        <f>IF($V142="","",IF(ISNUMBER($G142),1,IFERROR(LOOKUP(2,1/($I142:$L142&lt;&gt;""),$I142:$L142),0)))</f>
        <v/>
      </c>
      <c r="Y142" s="62">
        <f>IF($V142="","",IF(AND(ISNUMBER($G142),$G142&lt;=IF($S142=MesCiclo,InicioCiclo,$S142+MOD(2-WEEKDAY($S142),7))+6),1,IF(ISNUMBER($I142),$I142,0)))</f>
        <v/>
      </c>
      <c r="Z142" s="62">
        <f>IF($V142="","",IF(AND(ISNUMBER($G142),$G142&lt;=IF($S142=MesCiclo,InicioCiclo,$S142+MOD(2-WEEKDAY($S142),7))+13),1,IF(ISNUMBER($J142),$J142,$Y142)))</f>
        <v/>
      </c>
      <c r="AA142" s="62">
        <f>IF($V142="","",IF(AND(ISNUMBER($G142),$G142&lt;=IF($S142=MesCiclo,InicioCiclo,$S142+MOD(2-WEEKDAY($S142),7))+20),1,IF(ISNUMBER($K142),$K142,$Z142)))</f>
        <v/>
      </c>
      <c r="AB142" s="62">
        <f>IF($V142="","",IF(AND(ISNUMBER($G142),$G142&lt;=IF($S142=MesCiclo,InicioCiclo,$S142+MOD(2-WEEKDAY($S142),7))+27),1,IF(ISNUMBER($L142),$L142,$AA142)))</f>
        <v/>
      </c>
      <c r="AC142" s="62">
        <f>IF($V142="","",IF(AND(ISNUMBER($G142),$G142&lt;=IF($S142=MesCiclo,InicioCiclo,$S142+MOD(2-WEEKDAY($S142),7))+6),1,IF(N($W142)&gt;0,AVERAGEIFS($Y$5:$Y$1000,$U$5:$U$1000,ROW(),$V$5:$V$1000,"Sub"),$Y142)))</f>
        <v/>
      </c>
      <c r="AD142" s="62">
        <f>IF($V142="","",IF(AND(ISNUMBER($G142),$G142&lt;=IF($S142=MesCiclo,InicioCiclo,$S142+MOD(2-WEEKDAY($S142),7))+13),1,IF(N($W142)&gt;0,AVERAGEIFS($Z$5:$Z$1000,$U$5:$U$1000,ROW(),$V$5:$V$1000,"Sub"),$Z142)))</f>
        <v/>
      </c>
      <c r="AE142" s="62">
        <f>IF($V142="","",IF(AND(ISNUMBER($G142),$G142&lt;=IF($S142=MesCiclo,InicioCiclo,$S142+MOD(2-WEEKDAY($S142),7))+20),1,IF(N($W142)&gt;0,AVERAGEIFS($AA$5:$AA$1000,$U$5:$U$1000,ROW(),$V$5:$V$1000,"Sub"),$AA142)))</f>
        <v/>
      </c>
      <c r="AF142" s="62">
        <f>IF($V142="","",IF(AND(ISNUMBER($G142),$G142&lt;=IF($S142=MesCiclo,InicioCiclo,$S142+MOD(2-WEEKDAY($S142),7))+27),1,IF(N($W142)&gt;0,AVERAGEIFS($AB$5:$AB$1000,$U$5:$U$1000,ROW(),$V$5:$V$1000,"Sub"),$AB142)))</f>
        <v/>
      </c>
      <c r="AG142" s="62">
        <f>IF($V142&lt;&gt;"Macro","",IF(COUNTIFS($S$5:$S$1000,$S142,$V$5:$V$1000,"Macro",$H$5:$H$1000,"&gt;0")=0,1/COUNTIFS($S$5:$S$1000,$S142,$V$5:$V$1000,"Macro"),IF(AND(ISNUMBER($H142),N($H142)&gt;0),$H142,SUMIFS($H$5:$H$1000,$S$5:$S$1000,$S142,$V$5:$V$1000,"Macro")/COUNTIFS($S$5:$S$1000,$S142,$V$5:$V$1000,"Macro",$H$5:$H$1000,"&gt;0"))/(COUNTIFS($S$5:$S$1000,$S142,$V$5:$V$1000,"Macro")*SUMIFS($H$5:$H$1000,$S$5:$S$1000,$S142,$V$5:$V$1000,"Macro")/COUNTIFS($S$5:$S$1000,$S142,$V$5:$V$1000,"Macro",$H$5:$H$1000,"&gt;0"))))</f>
        <v/>
      </c>
      <c r="AH142" s="62" t="n"/>
      <c r="AI142" s="62" t="n"/>
      <c r="AJ142" s="62" t="n"/>
      <c r="AK142" s="62" t="n"/>
      <c r="AL142" s="62">
        <f>IF(LEFT($C142,11)="[Jefatura] ",IFERROR(MATCH("Asistente Técnico de Riesgo|"&amp;MID($C142,12,500),rDname_ADM,0),0),"")</f>
        <v/>
      </c>
      <c r="AM142" s="62">
        <f>IF(N($AL142)&gt;0,INDEX(rIni_ADM,$AL142),IF(ISNUMBER($E142),$E142,""))</f>
        <v/>
      </c>
      <c r="AN142" s="62">
        <f>IF(N($AL142)&gt;0,INDEX(rLim_ADM,$AL142),IF(ISNUMBER($F142),$F142,""))</f>
        <v/>
      </c>
    </row>
    <row r="143">
      <c r="A143" s="56">
        <f>IF(NOT((COUNTA($B143:$D143)+COUNTA($G143:$L143)+COUNTA($Q143))&gt;0),"",IF($V143="Macro",COUNTIFS($V$5:$V143,"Macro",$S$5:$S143,$S143),IF(N($U143)=0,"?",COUNTIFS(INDEX($V$5:$V$1000,1):INDEX($V$5:$V$1000,$U143-4),"Macro",INDEX($S$5:$S$1000,1):INDEX($S$5:$S$1000,$U143-4),INDEX($S$5:$S$1000,$U143-4))&amp;"."&amp;COUNTIFS($U$5:$U143,$U143,$V$5:$V143,"Sub"))))</f>
        <v/>
      </c>
      <c r="B143" s="57" t="n"/>
      <c r="C143" s="58" t="n"/>
      <c r="D143" s="58" t="n"/>
      <c r="E143" s="59">
        <f>IF(N($AL143)&gt;0,INDEX(rIni_ADM,$AL143),"")</f>
        <v/>
      </c>
      <c r="F143" s="59">
        <f>IF(N($AL143)&gt;0,INDEX(rLim_ADM,$AL143),"")</f>
        <v/>
      </c>
      <c r="G143" s="59" t="n"/>
      <c r="H143" s="60" t="n"/>
      <c r="I143" s="60" t="n"/>
      <c r="J143" s="60" t="n"/>
      <c r="K143" s="60" t="n"/>
      <c r="L143" s="60" t="n"/>
      <c r="M143" s="61">
        <f>IF(NOT((COUNTA($B143:$D143)+COUNTA($G143:$L143)+COUNTA($Q143))&gt;0),"",IF(ISNUMBER($G143),1,IF(N($W143)&gt;0,AVERAGEIFS($X$5:$X$1000,$U$5:$U$1000,ROW(),$V$5:$V$1000,"Sub"),$X143)))</f>
        <v/>
      </c>
      <c r="N143" s="56">
        <f>IF($M143="","",IF($M143&gt;=1,"Completado",IF($M143&gt;0,"En curso","Pendiente")))</f>
        <v/>
      </c>
      <c r="O143" s="56">
        <f>IF(NOT((COUNTA($B143:$D143)+COUNTA($G143:$L143)+COUNTA($Q143))&gt;0),"",IF(ISNUMBER($G143),IF(AND(ISNUMBER($AN143),$G143&gt;$AN143),"Cumplida con "&amp;($G143-$AN143)&amp;IF($G143-$AN143=1," día"," días")&amp;" de retraso","Cumplida"),IF(N($M143)&gt;=1,"Cumplida",IF(NOT(ISNUMBER($AN143)),"Sin fecha límite",IF($AN143&lt;FechaRef,"Vencida hace "&amp;(FechaRef-$AN143)&amp;IF(FechaRef-$AN143=1," día"," días"),IF($AN143=FechaRef,"Vence hoy",IF($AN143-FechaRef&lt;=DiasAlerta,"Vence en "&amp;($AN143-FechaRef)&amp;IF($AN143-FechaRef=1," día"," días"),"En plazo")))))))</f>
        <v/>
      </c>
      <c r="P143" s="62" t="n"/>
      <c r="Q143" s="58" t="n"/>
      <c r="R143" s="63">
        <f>IF(NOT((COUNTA($B143:$D143)+COUNTA($G143:$L143)+COUNTA($Q143))&gt;0),"",IF((IF($C143="","Falta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",""))="","✔ OK","⚠ "&amp;LEFT(IF($C143="","Falta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",""),LEN(IF($C143="","Falta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",""))-3)))</f>
        <v/>
      </c>
      <c r="S143" s="64">
        <f>IF(NOT((COUNTA($B143:$D143)+COUNTA($G143:$L143)+COUNTA($Q143))&gt;0),"",IF(AND($V143="Sub",N($U143)&gt;0),IF(ISNUMBER(INDEX($AM$5:$AM$1000,$U143-4)),DATE(YEAR(INDEX($AM$5:$AM$1000,$U143-4)),MONTH(INDEX($AM$5:$AM$1000,$U143-4)),1),IF(ISNUMBER(INDEX($AN$5:$AN$1000,$U143-4)),DATE(YEAR(INDEX($AN$5:$AN$1000,$U143-4)),MONTH(INDEX($AN$5:$AN$1000,$U143-4)),1),MesCiclo)),IF(ISNUMBER($AM143),DATE(YEAR($AM143),MONTH($AM143),1),IF(ISNUMBER($AN143),DATE(YEAR($AN143),MONTH($AN143),1),MesCiclo))))</f>
        <v/>
      </c>
      <c r="T143" s="62">
        <f>IF(OR($S143="",$S143&lt;&gt;MesCiclo),"",COUNTIF($S$5:$S143,MesCiclo))</f>
        <v/>
      </c>
      <c r="U143" s="62">
        <f>IF($V143="","",IF($V143="Macro",ROW(),IFERROR(LOOKUP(2,1/($V$5:$V143="Macro"),ROW($V$5:$V143)),0)))</f>
        <v/>
      </c>
      <c r="V143" s="62">
        <f>IF(NOT((COUNTA($B143:$D143)+COUNTA($G143:$L143)+COUNTA($Q143))&gt;0),"",IF($B143="Subactividad","Sub","Macro"))</f>
        <v/>
      </c>
      <c r="W143" s="62">
        <f>IF($V143="Macro",COUNTIFS($U$5:$U$1000,ROW(),$V$5:$V$1000,"Sub"),"")</f>
        <v/>
      </c>
      <c r="X143" s="62">
        <f>IF($V143="","",IF(ISNUMBER($G143),1,IFERROR(LOOKUP(2,1/($I143:$L143&lt;&gt;""),$I143:$L143),0)))</f>
        <v/>
      </c>
      <c r="Y143" s="62">
        <f>IF($V143="","",IF(AND(ISNUMBER($G143),$G143&lt;=IF($S143=MesCiclo,InicioCiclo,$S143+MOD(2-WEEKDAY($S143),7))+6),1,IF(ISNUMBER($I143),$I143,0)))</f>
        <v/>
      </c>
      <c r="Z143" s="62">
        <f>IF($V143="","",IF(AND(ISNUMBER($G143),$G143&lt;=IF($S143=MesCiclo,InicioCiclo,$S143+MOD(2-WEEKDAY($S143),7))+13),1,IF(ISNUMBER($J143),$J143,$Y143)))</f>
        <v/>
      </c>
      <c r="AA143" s="62">
        <f>IF($V143="","",IF(AND(ISNUMBER($G143),$G143&lt;=IF($S143=MesCiclo,InicioCiclo,$S143+MOD(2-WEEKDAY($S143),7))+20),1,IF(ISNUMBER($K143),$K143,$Z143)))</f>
        <v/>
      </c>
      <c r="AB143" s="62">
        <f>IF($V143="","",IF(AND(ISNUMBER($G143),$G143&lt;=IF($S143=MesCiclo,InicioCiclo,$S143+MOD(2-WEEKDAY($S143),7))+27),1,IF(ISNUMBER($L143),$L143,$AA143)))</f>
        <v/>
      </c>
      <c r="AC143" s="62">
        <f>IF($V143="","",IF(AND(ISNUMBER($G143),$G143&lt;=IF($S143=MesCiclo,InicioCiclo,$S143+MOD(2-WEEKDAY($S143),7))+6),1,IF(N($W143)&gt;0,AVERAGEIFS($Y$5:$Y$1000,$U$5:$U$1000,ROW(),$V$5:$V$1000,"Sub"),$Y143)))</f>
        <v/>
      </c>
      <c r="AD143" s="62">
        <f>IF($V143="","",IF(AND(ISNUMBER($G143),$G143&lt;=IF($S143=MesCiclo,InicioCiclo,$S143+MOD(2-WEEKDAY($S143),7))+13),1,IF(N($W143)&gt;0,AVERAGEIFS($Z$5:$Z$1000,$U$5:$U$1000,ROW(),$V$5:$V$1000,"Sub"),$Z143)))</f>
        <v/>
      </c>
      <c r="AE143" s="62">
        <f>IF($V143="","",IF(AND(ISNUMBER($G143),$G143&lt;=IF($S143=MesCiclo,InicioCiclo,$S143+MOD(2-WEEKDAY($S143),7))+20),1,IF(N($W143)&gt;0,AVERAGEIFS($AA$5:$AA$1000,$U$5:$U$1000,ROW(),$V$5:$V$1000,"Sub"),$AA143)))</f>
        <v/>
      </c>
      <c r="AF143" s="62">
        <f>IF($V143="","",IF(AND(ISNUMBER($G143),$G143&lt;=IF($S143=MesCiclo,InicioCiclo,$S143+MOD(2-WEEKDAY($S143),7))+27),1,IF(N($W143)&gt;0,AVERAGEIFS($AB$5:$AB$1000,$U$5:$U$1000,ROW(),$V$5:$V$1000,"Sub"),$AB143)))</f>
        <v/>
      </c>
      <c r="AG143" s="62">
        <f>IF($V143&lt;&gt;"Macro","",IF(COUNTIFS($S$5:$S$1000,$S143,$V$5:$V$1000,"Macro",$H$5:$H$1000,"&gt;0")=0,1/COUNTIFS($S$5:$S$1000,$S143,$V$5:$V$1000,"Macro"),IF(AND(ISNUMBER($H143),N($H143)&gt;0),$H143,SUMIFS($H$5:$H$1000,$S$5:$S$1000,$S143,$V$5:$V$1000,"Macro")/COUNTIFS($S$5:$S$1000,$S143,$V$5:$V$1000,"Macro",$H$5:$H$1000,"&gt;0"))/(COUNTIFS($S$5:$S$1000,$S143,$V$5:$V$1000,"Macro")*SUMIFS($H$5:$H$1000,$S$5:$S$1000,$S143,$V$5:$V$1000,"Macro")/COUNTIFS($S$5:$S$1000,$S143,$V$5:$V$1000,"Macro",$H$5:$H$1000,"&gt;0"))))</f>
        <v/>
      </c>
      <c r="AH143" s="62" t="n"/>
      <c r="AI143" s="62" t="n"/>
      <c r="AJ143" s="62" t="n"/>
      <c r="AK143" s="62" t="n"/>
      <c r="AL143" s="62">
        <f>IF(LEFT($C143,11)="[Jefatura] ",IFERROR(MATCH("Asistente Técnico de Riesgo|"&amp;MID($C143,12,500),rDname_ADM,0),0),"")</f>
        <v/>
      </c>
      <c r="AM143" s="62">
        <f>IF(N($AL143)&gt;0,INDEX(rIni_ADM,$AL143),IF(ISNUMBER($E143),$E143,""))</f>
        <v/>
      </c>
      <c r="AN143" s="62">
        <f>IF(N($AL143)&gt;0,INDEX(rLim_ADM,$AL143),IF(ISNUMBER($F143),$F143,""))</f>
        <v/>
      </c>
    </row>
    <row r="144">
      <c r="A144" s="56">
        <f>IF(NOT((COUNTA($B144:$D144)+COUNTA($G144:$L144)+COUNTA($Q144))&gt;0),"",IF($V144="Macro",COUNTIFS($V$5:$V144,"Macro",$S$5:$S144,$S144),IF(N($U144)=0,"?",COUNTIFS(INDEX($V$5:$V$1000,1):INDEX($V$5:$V$1000,$U144-4),"Macro",INDEX($S$5:$S$1000,1):INDEX($S$5:$S$1000,$U144-4),INDEX($S$5:$S$1000,$U144-4))&amp;"."&amp;COUNTIFS($U$5:$U144,$U144,$V$5:$V144,"Sub"))))</f>
        <v/>
      </c>
      <c r="B144" s="57" t="n"/>
      <c r="C144" s="58" t="n"/>
      <c r="D144" s="58" t="n"/>
      <c r="E144" s="59">
        <f>IF(N($AL144)&gt;0,INDEX(rIni_ADM,$AL144),"")</f>
        <v/>
      </c>
      <c r="F144" s="59">
        <f>IF(N($AL144)&gt;0,INDEX(rLim_ADM,$AL144),"")</f>
        <v/>
      </c>
      <c r="G144" s="59" t="n"/>
      <c r="H144" s="60" t="n"/>
      <c r="I144" s="60" t="n"/>
      <c r="J144" s="60" t="n"/>
      <c r="K144" s="60" t="n"/>
      <c r="L144" s="60" t="n"/>
      <c r="M144" s="61">
        <f>IF(NOT((COUNTA($B144:$D144)+COUNTA($G144:$L144)+COUNTA($Q144))&gt;0),"",IF(ISNUMBER($G144),1,IF(N($W144)&gt;0,AVERAGEIFS($X$5:$X$1000,$U$5:$U$1000,ROW(),$V$5:$V$1000,"Sub"),$X144)))</f>
        <v/>
      </c>
      <c r="N144" s="56">
        <f>IF($M144="","",IF($M144&gt;=1,"Completado",IF($M144&gt;0,"En curso","Pendiente")))</f>
        <v/>
      </c>
      <c r="O144" s="56">
        <f>IF(NOT((COUNTA($B144:$D144)+COUNTA($G144:$L144)+COUNTA($Q144))&gt;0),"",IF(ISNUMBER($G144),IF(AND(ISNUMBER($AN144),$G144&gt;$AN144),"Cumplida con "&amp;($G144-$AN144)&amp;IF($G144-$AN144=1," día"," días")&amp;" de retraso","Cumplida"),IF(N($M144)&gt;=1,"Cumplida",IF(NOT(ISNUMBER($AN144)),"Sin fecha límite",IF($AN144&lt;FechaRef,"Vencida hace "&amp;(FechaRef-$AN144)&amp;IF(FechaRef-$AN144=1," día"," días"),IF($AN144=FechaRef,"Vence hoy",IF($AN144-FechaRef&lt;=DiasAlerta,"Vence en "&amp;($AN144-FechaRef)&amp;IF($AN144-FechaRef=1," día"," días"),"En plazo")))))))</f>
        <v/>
      </c>
      <c r="P144" s="62" t="n"/>
      <c r="Q144" s="58" t="n"/>
      <c r="R144" s="63">
        <f>IF(NOT((COUNTA($B144:$D144)+COUNTA($G144:$L144)+COUNTA($Q144))&gt;0),"",IF((IF($C144="","Falta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",""))="","✔ OK","⚠ "&amp;LEFT(IF($C144="","Falta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",""),LEN(IF($C144="","Falta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",""))-3)))</f>
        <v/>
      </c>
      <c r="S144" s="64">
        <f>IF(NOT((COUNTA($B144:$D144)+COUNTA($G144:$L144)+COUNTA($Q144))&gt;0),"",IF(AND($V144="Sub",N($U144)&gt;0),IF(ISNUMBER(INDEX($AM$5:$AM$1000,$U144-4)),DATE(YEAR(INDEX($AM$5:$AM$1000,$U144-4)),MONTH(INDEX($AM$5:$AM$1000,$U144-4)),1),IF(ISNUMBER(INDEX($AN$5:$AN$1000,$U144-4)),DATE(YEAR(INDEX($AN$5:$AN$1000,$U144-4)),MONTH(INDEX($AN$5:$AN$1000,$U144-4)),1),MesCiclo)),IF(ISNUMBER($AM144),DATE(YEAR($AM144),MONTH($AM144),1),IF(ISNUMBER($AN144),DATE(YEAR($AN144),MONTH($AN144),1),MesCiclo))))</f>
        <v/>
      </c>
      <c r="T144" s="62">
        <f>IF(OR($S144="",$S144&lt;&gt;MesCiclo),"",COUNTIF($S$5:$S144,MesCiclo))</f>
        <v/>
      </c>
      <c r="U144" s="62">
        <f>IF($V144="","",IF($V144="Macro",ROW(),IFERROR(LOOKUP(2,1/($V$5:$V144="Macro"),ROW($V$5:$V144)),0)))</f>
        <v/>
      </c>
      <c r="V144" s="62">
        <f>IF(NOT((COUNTA($B144:$D144)+COUNTA($G144:$L144)+COUNTA($Q144))&gt;0),"",IF($B144="Subactividad","Sub","Macro"))</f>
        <v/>
      </c>
      <c r="W144" s="62">
        <f>IF($V144="Macro",COUNTIFS($U$5:$U$1000,ROW(),$V$5:$V$1000,"Sub"),"")</f>
        <v/>
      </c>
      <c r="X144" s="62">
        <f>IF($V144="","",IF(ISNUMBER($G144),1,IFERROR(LOOKUP(2,1/($I144:$L144&lt;&gt;""),$I144:$L144),0)))</f>
        <v/>
      </c>
      <c r="Y144" s="62">
        <f>IF($V144="","",IF(AND(ISNUMBER($G144),$G144&lt;=IF($S144=MesCiclo,InicioCiclo,$S144+MOD(2-WEEKDAY($S144),7))+6),1,IF(ISNUMBER($I144),$I144,0)))</f>
        <v/>
      </c>
      <c r="Z144" s="62">
        <f>IF($V144="","",IF(AND(ISNUMBER($G144),$G144&lt;=IF($S144=MesCiclo,InicioCiclo,$S144+MOD(2-WEEKDAY($S144),7))+13),1,IF(ISNUMBER($J144),$J144,$Y144)))</f>
        <v/>
      </c>
      <c r="AA144" s="62">
        <f>IF($V144="","",IF(AND(ISNUMBER($G144),$G144&lt;=IF($S144=MesCiclo,InicioCiclo,$S144+MOD(2-WEEKDAY($S144),7))+20),1,IF(ISNUMBER($K144),$K144,$Z144)))</f>
        <v/>
      </c>
      <c r="AB144" s="62">
        <f>IF($V144="","",IF(AND(ISNUMBER($G144),$G144&lt;=IF($S144=MesCiclo,InicioCiclo,$S144+MOD(2-WEEKDAY($S144),7))+27),1,IF(ISNUMBER($L144),$L144,$AA144)))</f>
        <v/>
      </c>
      <c r="AC144" s="62">
        <f>IF($V144="","",IF(AND(ISNUMBER($G144),$G144&lt;=IF($S144=MesCiclo,InicioCiclo,$S144+MOD(2-WEEKDAY($S144),7))+6),1,IF(N($W144)&gt;0,AVERAGEIFS($Y$5:$Y$1000,$U$5:$U$1000,ROW(),$V$5:$V$1000,"Sub"),$Y144)))</f>
        <v/>
      </c>
      <c r="AD144" s="62">
        <f>IF($V144="","",IF(AND(ISNUMBER($G144),$G144&lt;=IF($S144=MesCiclo,InicioCiclo,$S144+MOD(2-WEEKDAY($S144),7))+13),1,IF(N($W144)&gt;0,AVERAGEIFS($Z$5:$Z$1000,$U$5:$U$1000,ROW(),$V$5:$V$1000,"Sub"),$Z144)))</f>
        <v/>
      </c>
      <c r="AE144" s="62">
        <f>IF($V144="","",IF(AND(ISNUMBER($G144),$G144&lt;=IF($S144=MesCiclo,InicioCiclo,$S144+MOD(2-WEEKDAY($S144),7))+20),1,IF(N($W144)&gt;0,AVERAGEIFS($AA$5:$AA$1000,$U$5:$U$1000,ROW(),$V$5:$V$1000,"Sub"),$AA144)))</f>
        <v/>
      </c>
      <c r="AF144" s="62">
        <f>IF($V144="","",IF(AND(ISNUMBER($G144),$G144&lt;=IF($S144=MesCiclo,InicioCiclo,$S144+MOD(2-WEEKDAY($S144),7))+27),1,IF(N($W144)&gt;0,AVERAGEIFS($AB$5:$AB$1000,$U$5:$U$1000,ROW(),$V$5:$V$1000,"Sub"),$AB144)))</f>
        <v/>
      </c>
      <c r="AG144" s="62">
        <f>IF($V144&lt;&gt;"Macro","",IF(COUNTIFS($S$5:$S$1000,$S144,$V$5:$V$1000,"Macro",$H$5:$H$1000,"&gt;0")=0,1/COUNTIFS($S$5:$S$1000,$S144,$V$5:$V$1000,"Macro"),IF(AND(ISNUMBER($H144),N($H144)&gt;0),$H144,SUMIFS($H$5:$H$1000,$S$5:$S$1000,$S144,$V$5:$V$1000,"Macro")/COUNTIFS($S$5:$S$1000,$S144,$V$5:$V$1000,"Macro",$H$5:$H$1000,"&gt;0"))/(COUNTIFS($S$5:$S$1000,$S144,$V$5:$V$1000,"Macro")*SUMIFS($H$5:$H$1000,$S$5:$S$1000,$S144,$V$5:$V$1000,"Macro")/COUNTIFS($S$5:$S$1000,$S144,$V$5:$V$1000,"Macro",$H$5:$H$1000,"&gt;0"))))</f>
        <v/>
      </c>
      <c r="AH144" s="62" t="n"/>
      <c r="AI144" s="62" t="n"/>
      <c r="AJ144" s="62" t="n"/>
      <c r="AK144" s="62" t="n"/>
      <c r="AL144" s="62">
        <f>IF(LEFT($C144,11)="[Jefatura] ",IFERROR(MATCH("Asistente Técnico de Riesgo|"&amp;MID($C144,12,500),rDname_ADM,0),0),"")</f>
        <v/>
      </c>
      <c r="AM144" s="62">
        <f>IF(N($AL144)&gt;0,INDEX(rIni_ADM,$AL144),IF(ISNUMBER($E144),$E144,""))</f>
        <v/>
      </c>
      <c r="AN144" s="62">
        <f>IF(N($AL144)&gt;0,INDEX(rLim_ADM,$AL144),IF(ISNUMBER($F144),$F144,""))</f>
        <v/>
      </c>
    </row>
    <row r="145">
      <c r="A145" s="56">
        <f>IF(NOT((COUNTA($B145:$D145)+COUNTA($G145:$L145)+COUNTA($Q145))&gt;0),"",IF($V145="Macro",COUNTIFS($V$5:$V145,"Macro",$S$5:$S145,$S145),IF(N($U145)=0,"?",COUNTIFS(INDEX($V$5:$V$1000,1):INDEX($V$5:$V$1000,$U145-4),"Macro",INDEX($S$5:$S$1000,1):INDEX($S$5:$S$1000,$U145-4),INDEX($S$5:$S$1000,$U145-4))&amp;"."&amp;COUNTIFS($U$5:$U145,$U145,$V$5:$V145,"Sub"))))</f>
        <v/>
      </c>
      <c r="B145" s="57" t="n"/>
      <c r="C145" s="58" t="n"/>
      <c r="D145" s="58" t="n"/>
      <c r="E145" s="59">
        <f>IF(N($AL145)&gt;0,INDEX(rIni_ADM,$AL145),"")</f>
        <v/>
      </c>
      <c r="F145" s="59">
        <f>IF(N($AL145)&gt;0,INDEX(rLim_ADM,$AL145),"")</f>
        <v/>
      </c>
      <c r="G145" s="59" t="n"/>
      <c r="H145" s="60" t="n"/>
      <c r="I145" s="60" t="n"/>
      <c r="J145" s="60" t="n"/>
      <c r="K145" s="60" t="n"/>
      <c r="L145" s="60" t="n"/>
      <c r="M145" s="61">
        <f>IF(NOT((COUNTA($B145:$D145)+COUNTA($G145:$L145)+COUNTA($Q145))&gt;0),"",IF(ISNUMBER($G145),1,IF(N($W145)&gt;0,AVERAGEIFS($X$5:$X$1000,$U$5:$U$1000,ROW(),$V$5:$V$1000,"Sub"),$X145)))</f>
        <v/>
      </c>
      <c r="N145" s="56">
        <f>IF($M145="","",IF($M145&gt;=1,"Completado",IF($M145&gt;0,"En curso","Pendiente")))</f>
        <v/>
      </c>
      <c r="O145" s="56">
        <f>IF(NOT((COUNTA($B145:$D145)+COUNTA($G145:$L145)+COUNTA($Q145))&gt;0),"",IF(ISNUMBER($G145),IF(AND(ISNUMBER($AN145),$G145&gt;$AN145),"Cumplida con "&amp;($G145-$AN145)&amp;IF($G145-$AN145=1," día"," días")&amp;" de retraso","Cumplida"),IF(N($M145)&gt;=1,"Cumplida",IF(NOT(ISNUMBER($AN145)),"Sin fecha límite",IF($AN145&lt;FechaRef,"Vencida hace "&amp;(FechaRef-$AN145)&amp;IF(FechaRef-$AN145=1," día"," días"),IF($AN145=FechaRef,"Vence hoy",IF($AN145-FechaRef&lt;=DiasAlerta,"Vence en "&amp;($AN145-FechaRef)&amp;IF($AN145-FechaRef=1," día"," días"),"En plazo")))))))</f>
        <v/>
      </c>
      <c r="P145" s="62" t="n"/>
      <c r="Q145" s="58" t="n"/>
      <c r="R145" s="63">
        <f>IF(NOT((COUNTA($B145:$D145)+COUNTA($G145:$L145)+COUNTA($Q145))&gt;0),"",IF((IF($C145="","Falta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",""))="","✔ OK","⚠ "&amp;LEFT(IF($C145="","Falta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",""),LEN(IF($C145="","Falta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",""))-3)))</f>
        <v/>
      </c>
      <c r="S145" s="64">
        <f>IF(NOT((COUNTA($B145:$D145)+COUNTA($G145:$L145)+COUNTA($Q145))&gt;0),"",IF(AND($V145="Sub",N($U145)&gt;0),IF(ISNUMBER(INDEX($AM$5:$AM$1000,$U145-4)),DATE(YEAR(INDEX($AM$5:$AM$1000,$U145-4)),MONTH(INDEX($AM$5:$AM$1000,$U145-4)),1),IF(ISNUMBER(INDEX($AN$5:$AN$1000,$U145-4)),DATE(YEAR(INDEX($AN$5:$AN$1000,$U145-4)),MONTH(INDEX($AN$5:$AN$1000,$U145-4)),1),MesCiclo)),IF(ISNUMBER($AM145),DATE(YEAR($AM145),MONTH($AM145),1),IF(ISNUMBER($AN145),DATE(YEAR($AN145),MONTH($AN145),1),MesCiclo))))</f>
        <v/>
      </c>
      <c r="T145" s="62">
        <f>IF(OR($S145="",$S145&lt;&gt;MesCiclo),"",COUNTIF($S$5:$S145,MesCiclo))</f>
        <v/>
      </c>
      <c r="U145" s="62">
        <f>IF($V145="","",IF($V145="Macro",ROW(),IFERROR(LOOKUP(2,1/($V$5:$V145="Macro"),ROW($V$5:$V145)),0)))</f>
        <v/>
      </c>
      <c r="V145" s="62">
        <f>IF(NOT((COUNTA($B145:$D145)+COUNTA($G145:$L145)+COUNTA($Q145))&gt;0),"",IF($B145="Subactividad","Sub","Macro"))</f>
        <v/>
      </c>
      <c r="W145" s="62">
        <f>IF($V145="Macro",COUNTIFS($U$5:$U$1000,ROW(),$V$5:$V$1000,"Sub"),"")</f>
        <v/>
      </c>
      <c r="X145" s="62">
        <f>IF($V145="","",IF(ISNUMBER($G145),1,IFERROR(LOOKUP(2,1/($I145:$L145&lt;&gt;""),$I145:$L145),0)))</f>
        <v/>
      </c>
      <c r="Y145" s="62">
        <f>IF($V145="","",IF(AND(ISNUMBER($G145),$G145&lt;=IF($S145=MesCiclo,InicioCiclo,$S145+MOD(2-WEEKDAY($S145),7))+6),1,IF(ISNUMBER($I145),$I145,0)))</f>
        <v/>
      </c>
      <c r="Z145" s="62">
        <f>IF($V145="","",IF(AND(ISNUMBER($G145),$G145&lt;=IF($S145=MesCiclo,InicioCiclo,$S145+MOD(2-WEEKDAY($S145),7))+13),1,IF(ISNUMBER($J145),$J145,$Y145)))</f>
        <v/>
      </c>
      <c r="AA145" s="62">
        <f>IF($V145="","",IF(AND(ISNUMBER($G145),$G145&lt;=IF($S145=MesCiclo,InicioCiclo,$S145+MOD(2-WEEKDAY($S145),7))+20),1,IF(ISNUMBER($K145),$K145,$Z145)))</f>
        <v/>
      </c>
      <c r="AB145" s="62">
        <f>IF($V145="","",IF(AND(ISNUMBER($G145),$G145&lt;=IF($S145=MesCiclo,InicioCiclo,$S145+MOD(2-WEEKDAY($S145),7))+27),1,IF(ISNUMBER($L145),$L145,$AA145)))</f>
        <v/>
      </c>
      <c r="AC145" s="62">
        <f>IF($V145="","",IF(AND(ISNUMBER($G145),$G145&lt;=IF($S145=MesCiclo,InicioCiclo,$S145+MOD(2-WEEKDAY($S145),7))+6),1,IF(N($W145)&gt;0,AVERAGEIFS($Y$5:$Y$1000,$U$5:$U$1000,ROW(),$V$5:$V$1000,"Sub"),$Y145)))</f>
        <v/>
      </c>
      <c r="AD145" s="62">
        <f>IF($V145="","",IF(AND(ISNUMBER($G145),$G145&lt;=IF($S145=MesCiclo,InicioCiclo,$S145+MOD(2-WEEKDAY($S145),7))+13),1,IF(N($W145)&gt;0,AVERAGEIFS($Z$5:$Z$1000,$U$5:$U$1000,ROW(),$V$5:$V$1000,"Sub"),$Z145)))</f>
        <v/>
      </c>
      <c r="AE145" s="62">
        <f>IF($V145="","",IF(AND(ISNUMBER($G145),$G145&lt;=IF($S145=MesCiclo,InicioCiclo,$S145+MOD(2-WEEKDAY($S145),7))+20),1,IF(N($W145)&gt;0,AVERAGEIFS($AA$5:$AA$1000,$U$5:$U$1000,ROW(),$V$5:$V$1000,"Sub"),$AA145)))</f>
        <v/>
      </c>
      <c r="AF145" s="62">
        <f>IF($V145="","",IF(AND(ISNUMBER($G145),$G145&lt;=IF($S145=MesCiclo,InicioCiclo,$S145+MOD(2-WEEKDAY($S145),7))+27),1,IF(N($W145)&gt;0,AVERAGEIFS($AB$5:$AB$1000,$U$5:$U$1000,ROW(),$V$5:$V$1000,"Sub"),$AB145)))</f>
        <v/>
      </c>
      <c r="AG145" s="62">
        <f>IF($V145&lt;&gt;"Macro","",IF(COUNTIFS($S$5:$S$1000,$S145,$V$5:$V$1000,"Macro",$H$5:$H$1000,"&gt;0")=0,1/COUNTIFS($S$5:$S$1000,$S145,$V$5:$V$1000,"Macro"),IF(AND(ISNUMBER($H145),N($H145)&gt;0),$H145,SUMIFS($H$5:$H$1000,$S$5:$S$1000,$S145,$V$5:$V$1000,"Macro")/COUNTIFS($S$5:$S$1000,$S145,$V$5:$V$1000,"Macro",$H$5:$H$1000,"&gt;0"))/(COUNTIFS($S$5:$S$1000,$S145,$V$5:$V$1000,"Macro")*SUMIFS($H$5:$H$1000,$S$5:$S$1000,$S145,$V$5:$V$1000,"Macro")/COUNTIFS($S$5:$S$1000,$S145,$V$5:$V$1000,"Macro",$H$5:$H$1000,"&gt;0"))))</f>
        <v/>
      </c>
      <c r="AH145" s="62" t="n"/>
      <c r="AI145" s="62" t="n"/>
      <c r="AJ145" s="62" t="n"/>
      <c r="AK145" s="62" t="n"/>
      <c r="AL145" s="62">
        <f>IF(LEFT($C145,11)="[Jefatura] ",IFERROR(MATCH("Asistente Técnico de Riesgo|"&amp;MID($C145,12,500),rDname_ADM,0),0),"")</f>
        <v/>
      </c>
      <c r="AM145" s="62">
        <f>IF(N($AL145)&gt;0,INDEX(rIni_ADM,$AL145),IF(ISNUMBER($E145),$E145,""))</f>
        <v/>
      </c>
      <c r="AN145" s="62">
        <f>IF(N($AL145)&gt;0,INDEX(rLim_ADM,$AL145),IF(ISNUMBER($F145),$F145,""))</f>
        <v/>
      </c>
    </row>
    <row r="146">
      <c r="A146" s="56">
        <f>IF(NOT((COUNTA($B146:$D146)+COUNTA($G146:$L146)+COUNTA($Q146))&gt;0),"",IF($V146="Macro",COUNTIFS($V$5:$V146,"Macro",$S$5:$S146,$S146),IF(N($U146)=0,"?",COUNTIFS(INDEX($V$5:$V$1000,1):INDEX($V$5:$V$1000,$U146-4),"Macro",INDEX($S$5:$S$1000,1):INDEX($S$5:$S$1000,$U146-4),INDEX($S$5:$S$1000,$U146-4))&amp;"."&amp;COUNTIFS($U$5:$U146,$U146,$V$5:$V146,"Sub"))))</f>
        <v/>
      </c>
      <c r="B146" s="57" t="n"/>
      <c r="C146" s="58" t="n"/>
      <c r="D146" s="58" t="n"/>
      <c r="E146" s="59">
        <f>IF(N($AL146)&gt;0,INDEX(rIni_ADM,$AL146),"")</f>
        <v/>
      </c>
      <c r="F146" s="59">
        <f>IF(N($AL146)&gt;0,INDEX(rLim_ADM,$AL146),"")</f>
        <v/>
      </c>
      <c r="G146" s="59" t="n"/>
      <c r="H146" s="60" t="n"/>
      <c r="I146" s="60" t="n"/>
      <c r="J146" s="60" t="n"/>
      <c r="K146" s="60" t="n"/>
      <c r="L146" s="60" t="n"/>
      <c r="M146" s="61">
        <f>IF(NOT((COUNTA($B146:$D146)+COUNTA($G146:$L146)+COUNTA($Q146))&gt;0),"",IF(ISNUMBER($G146),1,IF(N($W146)&gt;0,AVERAGEIFS($X$5:$X$1000,$U$5:$U$1000,ROW(),$V$5:$V$1000,"Sub"),$X146)))</f>
        <v/>
      </c>
      <c r="N146" s="56">
        <f>IF($M146="","",IF($M146&gt;=1,"Completado",IF($M146&gt;0,"En curso","Pendiente")))</f>
        <v/>
      </c>
      <c r="O146" s="56">
        <f>IF(NOT((COUNTA($B146:$D146)+COUNTA($G146:$L146)+COUNTA($Q146))&gt;0),"",IF(ISNUMBER($G146),IF(AND(ISNUMBER($AN146),$G146&gt;$AN146),"Cumplida con "&amp;($G146-$AN146)&amp;IF($G146-$AN146=1," día"," días")&amp;" de retraso","Cumplida"),IF(N($M146)&gt;=1,"Cumplida",IF(NOT(ISNUMBER($AN146)),"Sin fecha límite",IF($AN146&lt;FechaRef,"Vencida hace "&amp;(FechaRef-$AN146)&amp;IF(FechaRef-$AN146=1," día"," días"),IF($AN146=FechaRef,"Vence hoy",IF($AN146-FechaRef&lt;=DiasAlerta,"Vence en "&amp;($AN146-FechaRef)&amp;IF($AN146-FechaRef=1," día"," días"),"En plazo")))))))</f>
        <v/>
      </c>
      <c r="P146" s="62" t="n"/>
      <c r="Q146" s="58" t="n"/>
      <c r="R146" s="63">
        <f>IF(NOT((COUNTA($B146:$D146)+COUNTA($G146:$L146)+COUNTA($Q146))&gt;0),"",IF((IF($C146="","Falta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",""))="","✔ OK","⚠ "&amp;LEFT(IF($C146="","Falta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",""),LEN(IF($C146="","Falta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",""))-3)))</f>
        <v/>
      </c>
      <c r="S146" s="64">
        <f>IF(NOT((COUNTA($B146:$D146)+COUNTA($G146:$L146)+COUNTA($Q146))&gt;0),"",IF(AND($V146="Sub",N($U146)&gt;0),IF(ISNUMBER(INDEX($AM$5:$AM$1000,$U146-4)),DATE(YEAR(INDEX($AM$5:$AM$1000,$U146-4)),MONTH(INDEX($AM$5:$AM$1000,$U146-4)),1),IF(ISNUMBER(INDEX($AN$5:$AN$1000,$U146-4)),DATE(YEAR(INDEX($AN$5:$AN$1000,$U146-4)),MONTH(INDEX($AN$5:$AN$1000,$U146-4)),1),MesCiclo)),IF(ISNUMBER($AM146),DATE(YEAR($AM146),MONTH($AM146),1),IF(ISNUMBER($AN146),DATE(YEAR($AN146),MONTH($AN146),1),MesCiclo))))</f>
        <v/>
      </c>
      <c r="T146" s="62">
        <f>IF(OR($S146="",$S146&lt;&gt;MesCiclo),"",COUNTIF($S$5:$S146,MesCiclo))</f>
        <v/>
      </c>
      <c r="U146" s="62">
        <f>IF($V146="","",IF($V146="Macro",ROW(),IFERROR(LOOKUP(2,1/($V$5:$V146="Macro"),ROW($V$5:$V146)),0)))</f>
        <v/>
      </c>
      <c r="V146" s="62">
        <f>IF(NOT((COUNTA($B146:$D146)+COUNTA($G146:$L146)+COUNTA($Q146))&gt;0),"",IF($B146="Subactividad","Sub","Macro"))</f>
        <v/>
      </c>
      <c r="W146" s="62">
        <f>IF($V146="Macro",COUNTIFS($U$5:$U$1000,ROW(),$V$5:$V$1000,"Sub"),"")</f>
        <v/>
      </c>
      <c r="X146" s="62">
        <f>IF($V146="","",IF(ISNUMBER($G146),1,IFERROR(LOOKUP(2,1/($I146:$L146&lt;&gt;""),$I146:$L146),0)))</f>
        <v/>
      </c>
      <c r="Y146" s="62">
        <f>IF($V146="","",IF(AND(ISNUMBER($G146),$G146&lt;=IF($S146=MesCiclo,InicioCiclo,$S146+MOD(2-WEEKDAY($S146),7))+6),1,IF(ISNUMBER($I146),$I146,0)))</f>
        <v/>
      </c>
      <c r="Z146" s="62">
        <f>IF($V146="","",IF(AND(ISNUMBER($G146),$G146&lt;=IF($S146=MesCiclo,InicioCiclo,$S146+MOD(2-WEEKDAY($S146),7))+13),1,IF(ISNUMBER($J146),$J146,$Y146)))</f>
        <v/>
      </c>
      <c r="AA146" s="62">
        <f>IF($V146="","",IF(AND(ISNUMBER($G146),$G146&lt;=IF($S146=MesCiclo,InicioCiclo,$S146+MOD(2-WEEKDAY($S146),7))+20),1,IF(ISNUMBER($K146),$K146,$Z146)))</f>
        <v/>
      </c>
      <c r="AB146" s="62">
        <f>IF($V146="","",IF(AND(ISNUMBER($G146),$G146&lt;=IF($S146=MesCiclo,InicioCiclo,$S146+MOD(2-WEEKDAY($S146),7))+27),1,IF(ISNUMBER($L146),$L146,$AA146)))</f>
        <v/>
      </c>
      <c r="AC146" s="62">
        <f>IF($V146="","",IF(AND(ISNUMBER($G146),$G146&lt;=IF($S146=MesCiclo,InicioCiclo,$S146+MOD(2-WEEKDAY($S146),7))+6),1,IF(N($W146)&gt;0,AVERAGEIFS($Y$5:$Y$1000,$U$5:$U$1000,ROW(),$V$5:$V$1000,"Sub"),$Y146)))</f>
        <v/>
      </c>
      <c r="AD146" s="62">
        <f>IF($V146="","",IF(AND(ISNUMBER($G146),$G146&lt;=IF($S146=MesCiclo,InicioCiclo,$S146+MOD(2-WEEKDAY($S146),7))+13),1,IF(N($W146)&gt;0,AVERAGEIFS($Z$5:$Z$1000,$U$5:$U$1000,ROW(),$V$5:$V$1000,"Sub"),$Z146)))</f>
        <v/>
      </c>
      <c r="AE146" s="62">
        <f>IF($V146="","",IF(AND(ISNUMBER($G146),$G146&lt;=IF($S146=MesCiclo,InicioCiclo,$S146+MOD(2-WEEKDAY($S146),7))+20),1,IF(N($W146)&gt;0,AVERAGEIFS($AA$5:$AA$1000,$U$5:$U$1000,ROW(),$V$5:$V$1000,"Sub"),$AA146)))</f>
        <v/>
      </c>
      <c r="AF146" s="62">
        <f>IF($V146="","",IF(AND(ISNUMBER($G146),$G146&lt;=IF($S146=MesCiclo,InicioCiclo,$S146+MOD(2-WEEKDAY($S146),7))+27),1,IF(N($W146)&gt;0,AVERAGEIFS($AB$5:$AB$1000,$U$5:$U$1000,ROW(),$V$5:$V$1000,"Sub"),$AB146)))</f>
        <v/>
      </c>
      <c r="AG146" s="62">
        <f>IF($V146&lt;&gt;"Macro","",IF(COUNTIFS($S$5:$S$1000,$S146,$V$5:$V$1000,"Macro",$H$5:$H$1000,"&gt;0")=0,1/COUNTIFS($S$5:$S$1000,$S146,$V$5:$V$1000,"Macro"),IF(AND(ISNUMBER($H146),N($H146)&gt;0),$H146,SUMIFS($H$5:$H$1000,$S$5:$S$1000,$S146,$V$5:$V$1000,"Macro")/COUNTIFS($S$5:$S$1000,$S146,$V$5:$V$1000,"Macro",$H$5:$H$1000,"&gt;0"))/(COUNTIFS($S$5:$S$1000,$S146,$V$5:$V$1000,"Macro")*SUMIFS($H$5:$H$1000,$S$5:$S$1000,$S146,$V$5:$V$1000,"Macro")/COUNTIFS($S$5:$S$1000,$S146,$V$5:$V$1000,"Macro",$H$5:$H$1000,"&gt;0"))))</f>
        <v/>
      </c>
      <c r="AH146" s="62" t="n"/>
      <c r="AI146" s="62" t="n"/>
      <c r="AJ146" s="62" t="n"/>
      <c r="AK146" s="62" t="n"/>
      <c r="AL146" s="62">
        <f>IF(LEFT($C146,11)="[Jefatura] ",IFERROR(MATCH("Asistente Técnico de Riesgo|"&amp;MID($C146,12,500),rDname_ADM,0),0),"")</f>
        <v/>
      </c>
      <c r="AM146" s="62">
        <f>IF(N($AL146)&gt;0,INDEX(rIni_ADM,$AL146),IF(ISNUMBER($E146),$E146,""))</f>
        <v/>
      </c>
      <c r="AN146" s="62">
        <f>IF(N($AL146)&gt;0,INDEX(rLim_ADM,$AL146),IF(ISNUMBER($F146),$F146,""))</f>
        <v/>
      </c>
    </row>
    <row r="147">
      <c r="A147" s="56">
        <f>IF(NOT((COUNTA($B147:$D147)+COUNTA($G147:$L147)+COUNTA($Q147))&gt;0),"",IF($V147="Macro",COUNTIFS($V$5:$V147,"Macro",$S$5:$S147,$S147),IF(N($U147)=0,"?",COUNTIFS(INDEX($V$5:$V$1000,1):INDEX($V$5:$V$1000,$U147-4),"Macro",INDEX($S$5:$S$1000,1):INDEX($S$5:$S$1000,$U147-4),INDEX($S$5:$S$1000,$U147-4))&amp;"."&amp;COUNTIFS($U$5:$U147,$U147,$V$5:$V147,"Sub"))))</f>
        <v/>
      </c>
      <c r="B147" s="57" t="n"/>
      <c r="C147" s="58" t="n"/>
      <c r="D147" s="58" t="n"/>
      <c r="E147" s="59">
        <f>IF(N($AL147)&gt;0,INDEX(rIni_ADM,$AL147),"")</f>
        <v/>
      </c>
      <c r="F147" s="59">
        <f>IF(N($AL147)&gt;0,INDEX(rLim_ADM,$AL147),"")</f>
        <v/>
      </c>
      <c r="G147" s="59" t="n"/>
      <c r="H147" s="60" t="n"/>
      <c r="I147" s="60" t="n"/>
      <c r="J147" s="60" t="n"/>
      <c r="K147" s="60" t="n"/>
      <c r="L147" s="60" t="n"/>
      <c r="M147" s="61">
        <f>IF(NOT((COUNTA($B147:$D147)+COUNTA($G147:$L147)+COUNTA($Q147))&gt;0),"",IF(ISNUMBER($G147),1,IF(N($W147)&gt;0,AVERAGEIFS($X$5:$X$1000,$U$5:$U$1000,ROW(),$V$5:$V$1000,"Sub"),$X147)))</f>
        <v/>
      </c>
      <c r="N147" s="56">
        <f>IF($M147="","",IF($M147&gt;=1,"Completado",IF($M147&gt;0,"En curso","Pendiente")))</f>
        <v/>
      </c>
      <c r="O147" s="56">
        <f>IF(NOT((COUNTA($B147:$D147)+COUNTA($G147:$L147)+COUNTA($Q147))&gt;0),"",IF(ISNUMBER($G147),IF(AND(ISNUMBER($AN147),$G147&gt;$AN147),"Cumplida con "&amp;($G147-$AN147)&amp;IF($G147-$AN147=1," día"," días")&amp;" de retraso","Cumplida"),IF(N($M147)&gt;=1,"Cumplida",IF(NOT(ISNUMBER($AN147)),"Sin fecha límite",IF($AN147&lt;FechaRef,"Vencida hace "&amp;(FechaRef-$AN147)&amp;IF(FechaRef-$AN147=1," día"," días"),IF($AN147=FechaRef,"Vence hoy",IF($AN147-FechaRef&lt;=DiasAlerta,"Vence en "&amp;($AN147-FechaRef)&amp;IF($AN147-FechaRef=1," día"," días"),"En plazo")))))))</f>
        <v/>
      </c>
      <c r="P147" s="62" t="n"/>
      <c r="Q147" s="58" t="n"/>
      <c r="R147" s="63">
        <f>IF(NOT((COUNTA($B147:$D147)+COUNTA($G147:$L147)+COUNTA($Q147))&gt;0),"",IF((IF($C147="","Falta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",""))="","✔ OK","⚠ "&amp;LEFT(IF($C147="","Falta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",""),LEN(IF($C147="","Falta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",""))-3)))</f>
        <v/>
      </c>
      <c r="S147" s="64">
        <f>IF(NOT((COUNTA($B147:$D147)+COUNTA($G147:$L147)+COUNTA($Q147))&gt;0),"",IF(AND($V147="Sub",N($U147)&gt;0),IF(ISNUMBER(INDEX($AM$5:$AM$1000,$U147-4)),DATE(YEAR(INDEX($AM$5:$AM$1000,$U147-4)),MONTH(INDEX($AM$5:$AM$1000,$U147-4)),1),IF(ISNUMBER(INDEX($AN$5:$AN$1000,$U147-4)),DATE(YEAR(INDEX($AN$5:$AN$1000,$U147-4)),MONTH(INDEX($AN$5:$AN$1000,$U147-4)),1),MesCiclo)),IF(ISNUMBER($AM147),DATE(YEAR($AM147),MONTH($AM147),1),IF(ISNUMBER($AN147),DATE(YEAR($AN147),MONTH($AN147),1),MesCiclo))))</f>
        <v/>
      </c>
      <c r="T147" s="62">
        <f>IF(OR($S147="",$S147&lt;&gt;MesCiclo),"",COUNTIF($S$5:$S147,MesCiclo))</f>
        <v/>
      </c>
      <c r="U147" s="62">
        <f>IF($V147="","",IF($V147="Macro",ROW(),IFERROR(LOOKUP(2,1/($V$5:$V147="Macro"),ROW($V$5:$V147)),0)))</f>
        <v/>
      </c>
      <c r="V147" s="62">
        <f>IF(NOT((COUNTA($B147:$D147)+COUNTA($G147:$L147)+COUNTA($Q147))&gt;0),"",IF($B147="Subactividad","Sub","Macro"))</f>
        <v/>
      </c>
      <c r="W147" s="62">
        <f>IF($V147="Macro",COUNTIFS($U$5:$U$1000,ROW(),$V$5:$V$1000,"Sub"),"")</f>
        <v/>
      </c>
      <c r="X147" s="62">
        <f>IF($V147="","",IF(ISNUMBER($G147),1,IFERROR(LOOKUP(2,1/($I147:$L147&lt;&gt;""),$I147:$L147),0)))</f>
        <v/>
      </c>
      <c r="Y147" s="62">
        <f>IF($V147="","",IF(AND(ISNUMBER($G147),$G147&lt;=IF($S147=MesCiclo,InicioCiclo,$S147+MOD(2-WEEKDAY($S147),7))+6),1,IF(ISNUMBER($I147),$I147,0)))</f>
        <v/>
      </c>
      <c r="Z147" s="62">
        <f>IF($V147="","",IF(AND(ISNUMBER($G147),$G147&lt;=IF($S147=MesCiclo,InicioCiclo,$S147+MOD(2-WEEKDAY($S147),7))+13),1,IF(ISNUMBER($J147),$J147,$Y147)))</f>
        <v/>
      </c>
      <c r="AA147" s="62">
        <f>IF($V147="","",IF(AND(ISNUMBER($G147),$G147&lt;=IF($S147=MesCiclo,InicioCiclo,$S147+MOD(2-WEEKDAY($S147),7))+20),1,IF(ISNUMBER($K147),$K147,$Z147)))</f>
        <v/>
      </c>
      <c r="AB147" s="62">
        <f>IF($V147="","",IF(AND(ISNUMBER($G147),$G147&lt;=IF($S147=MesCiclo,InicioCiclo,$S147+MOD(2-WEEKDAY($S147),7))+27),1,IF(ISNUMBER($L147),$L147,$AA147)))</f>
        <v/>
      </c>
      <c r="AC147" s="62">
        <f>IF($V147="","",IF(AND(ISNUMBER($G147),$G147&lt;=IF($S147=MesCiclo,InicioCiclo,$S147+MOD(2-WEEKDAY($S147),7))+6),1,IF(N($W147)&gt;0,AVERAGEIFS($Y$5:$Y$1000,$U$5:$U$1000,ROW(),$V$5:$V$1000,"Sub"),$Y147)))</f>
        <v/>
      </c>
      <c r="AD147" s="62">
        <f>IF($V147="","",IF(AND(ISNUMBER($G147),$G147&lt;=IF($S147=MesCiclo,InicioCiclo,$S147+MOD(2-WEEKDAY($S147),7))+13),1,IF(N($W147)&gt;0,AVERAGEIFS($Z$5:$Z$1000,$U$5:$U$1000,ROW(),$V$5:$V$1000,"Sub"),$Z147)))</f>
        <v/>
      </c>
      <c r="AE147" s="62">
        <f>IF($V147="","",IF(AND(ISNUMBER($G147),$G147&lt;=IF($S147=MesCiclo,InicioCiclo,$S147+MOD(2-WEEKDAY($S147),7))+20),1,IF(N($W147)&gt;0,AVERAGEIFS($AA$5:$AA$1000,$U$5:$U$1000,ROW(),$V$5:$V$1000,"Sub"),$AA147)))</f>
        <v/>
      </c>
      <c r="AF147" s="62">
        <f>IF($V147="","",IF(AND(ISNUMBER($G147),$G147&lt;=IF($S147=MesCiclo,InicioCiclo,$S147+MOD(2-WEEKDAY($S147),7))+27),1,IF(N($W147)&gt;0,AVERAGEIFS($AB$5:$AB$1000,$U$5:$U$1000,ROW(),$V$5:$V$1000,"Sub"),$AB147)))</f>
        <v/>
      </c>
      <c r="AG147" s="62">
        <f>IF($V147&lt;&gt;"Macro","",IF(COUNTIFS($S$5:$S$1000,$S147,$V$5:$V$1000,"Macro",$H$5:$H$1000,"&gt;0")=0,1/COUNTIFS($S$5:$S$1000,$S147,$V$5:$V$1000,"Macro"),IF(AND(ISNUMBER($H147),N($H147)&gt;0),$H147,SUMIFS($H$5:$H$1000,$S$5:$S$1000,$S147,$V$5:$V$1000,"Macro")/COUNTIFS($S$5:$S$1000,$S147,$V$5:$V$1000,"Macro",$H$5:$H$1000,"&gt;0"))/(COUNTIFS($S$5:$S$1000,$S147,$V$5:$V$1000,"Macro")*SUMIFS($H$5:$H$1000,$S$5:$S$1000,$S147,$V$5:$V$1000,"Macro")/COUNTIFS($S$5:$S$1000,$S147,$V$5:$V$1000,"Macro",$H$5:$H$1000,"&gt;0"))))</f>
        <v/>
      </c>
      <c r="AH147" s="62" t="n"/>
      <c r="AI147" s="62" t="n"/>
      <c r="AJ147" s="62" t="n"/>
      <c r="AK147" s="62" t="n"/>
      <c r="AL147" s="62">
        <f>IF(LEFT($C147,11)="[Jefatura] ",IFERROR(MATCH("Asistente Técnico de Riesgo|"&amp;MID($C147,12,500),rDname_ADM,0),0),"")</f>
        <v/>
      </c>
      <c r="AM147" s="62">
        <f>IF(N($AL147)&gt;0,INDEX(rIni_ADM,$AL147),IF(ISNUMBER($E147),$E147,""))</f>
        <v/>
      </c>
      <c r="AN147" s="62">
        <f>IF(N($AL147)&gt;0,INDEX(rLim_ADM,$AL147),IF(ISNUMBER($F147),$F147,""))</f>
        <v/>
      </c>
    </row>
    <row r="148">
      <c r="A148" s="56">
        <f>IF(NOT((COUNTA($B148:$D148)+COUNTA($G148:$L148)+COUNTA($Q148))&gt;0),"",IF($V148="Macro",COUNTIFS($V$5:$V148,"Macro",$S$5:$S148,$S148),IF(N($U148)=0,"?",COUNTIFS(INDEX($V$5:$V$1000,1):INDEX($V$5:$V$1000,$U148-4),"Macro",INDEX($S$5:$S$1000,1):INDEX($S$5:$S$1000,$U148-4),INDEX($S$5:$S$1000,$U148-4))&amp;"."&amp;COUNTIFS($U$5:$U148,$U148,$V$5:$V148,"Sub"))))</f>
        <v/>
      </c>
      <c r="B148" s="57" t="n"/>
      <c r="C148" s="58" t="n"/>
      <c r="D148" s="58" t="n"/>
      <c r="E148" s="59">
        <f>IF(N($AL148)&gt;0,INDEX(rIni_ADM,$AL148),"")</f>
        <v/>
      </c>
      <c r="F148" s="59">
        <f>IF(N($AL148)&gt;0,INDEX(rLim_ADM,$AL148),"")</f>
        <v/>
      </c>
      <c r="G148" s="59" t="n"/>
      <c r="H148" s="60" t="n"/>
      <c r="I148" s="60" t="n"/>
      <c r="J148" s="60" t="n"/>
      <c r="K148" s="60" t="n"/>
      <c r="L148" s="60" t="n"/>
      <c r="M148" s="61">
        <f>IF(NOT((COUNTA($B148:$D148)+COUNTA($G148:$L148)+COUNTA($Q148))&gt;0),"",IF(ISNUMBER($G148),1,IF(N($W148)&gt;0,AVERAGEIFS($X$5:$X$1000,$U$5:$U$1000,ROW(),$V$5:$V$1000,"Sub"),$X148)))</f>
        <v/>
      </c>
      <c r="N148" s="56">
        <f>IF($M148="","",IF($M148&gt;=1,"Completado",IF($M148&gt;0,"En curso","Pendiente")))</f>
        <v/>
      </c>
      <c r="O148" s="56">
        <f>IF(NOT((COUNTA($B148:$D148)+COUNTA($G148:$L148)+COUNTA($Q148))&gt;0),"",IF(ISNUMBER($G148),IF(AND(ISNUMBER($AN148),$G148&gt;$AN148),"Cumplida con "&amp;($G148-$AN148)&amp;IF($G148-$AN148=1," día"," días")&amp;" de retraso","Cumplida"),IF(N($M148)&gt;=1,"Cumplida",IF(NOT(ISNUMBER($AN148)),"Sin fecha límite",IF($AN148&lt;FechaRef,"Vencida hace "&amp;(FechaRef-$AN148)&amp;IF(FechaRef-$AN148=1," día"," días"),IF($AN148=FechaRef,"Vence hoy",IF($AN148-FechaRef&lt;=DiasAlerta,"Vence en "&amp;($AN148-FechaRef)&amp;IF($AN148-FechaRef=1," día"," días"),"En plazo")))))))</f>
        <v/>
      </c>
      <c r="P148" s="62" t="n"/>
      <c r="Q148" s="58" t="n"/>
      <c r="R148" s="63">
        <f>IF(NOT((COUNTA($B148:$D148)+COUNTA($G148:$L148)+COUNTA($Q148))&gt;0),"",IF((IF($C148="","Falta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",""))="","✔ OK","⚠ "&amp;LEFT(IF($C148="","Falta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",""),LEN(IF($C148="","Falta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",""))-3)))</f>
        <v/>
      </c>
      <c r="S148" s="64">
        <f>IF(NOT((COUNTA($B148:$D148)+COUNTA($G148:$L148)+COUNTA($Q148))&gt;0),"",IF(AND($V148="Sub",N($U148)&gt;0),IF(ISNUMBER(INDEX($AM$5:$AM$1000,$U148-4)),DATE(YEAR(INDEX($AM$5:$AM$1000,$U148-4)),MONTH(INDEX($AM$5:$AM$1000,$U148-4)),1),IF(ISNUMBER(INDEX($AN$5:$AN$1000,$U148-4)),DATE(YEAR(INDEX($AN$5:$AN$1000,$U148-4)),MONTH(INDEX($AN$5:$AN$1000,$U148-4)),1),MesCiclo)),IF(ISNUMBER($AM148),DATE(YEAR($AM148),MONTH($AM148),1),IF(ISNUMBER($AN148),DATE(YEAR($AN148),MONTH($AN148),1),MesCiclo))))</f>
        <v/>
      </c>
      <c r="T148" s="62">
        <f>IF(OR($S148="",$S148&lt;&gt;MesCiclo),"",COUNTIF($S$5:$S148,MesCiclo))</f>
        <v/>
      </c>
      <c r="U148" s="62">
        <f>IF($V148="","",IF($V148="Macro",ROW(),IFERROR(LOOKUP(2,1/($V$5:$V148="Macro"),ROW($V$5:$V148)),0)))</f>
        <v/>
      </c>
      <c r="V148" s="62">
        <f>IF(NOT((COUNTA($B148:$D148)+COUNTA($G148:$L148)+COUNTA($Q148))&gt;0),"",IF($B148="Subactividad","Sub","Macro"))</f>
        <v/>
      </c>
      <c r="W148" s="62">
        <f>IF($V148="Macro",COUNTIFS($U$5:$U$1000,ROW(),$V$5:$V$1000,"Sub"),"")</f>
        <v/>
      </c>
      <c r="X148" s="62">
        <f>IF($V148="","",IF(ISNUMBER($G148),1,IFERROR(LOOKUP(2,1/($I148:$L148&lt;&gt;""),$I148:$L148),0)))</f>
        <v/>
      </c>
      <c r="Y148" s="62">
        <f>IF($V148="","",IF(AND(ISNUMBER($G148),$G148&lt;=IF($S148=MesCiclo,InicioCiclo,$S148+MOD(2-WEEKDAY($S148),7))+6),1,IF(ISNUMBER($I148),$I148,0)))</f>
        <v/>
      </c>
      <c r="Z148" s="62">
        <f>IF($V148="","",IF(AND(ISNUMBER($G148),$G148&lt;=IF($S148=MesCiclo,InicioCiclo,$S148+MOD(2-WEEKDAY($S148),7))+13),1,IF(ISNUMBER($J148),$J148,$Y148)))</f>
        <v/>
      </c>
      <c r="AA148" s="62">
        <f>IF($V148="","",IF(AND(ISNUMBER($G148),$G148&lt;=IF($S148=MesCiclo,InicioCiclo,$S148+MOD(2-WEEKDAY($S148),7))+20),1,IF(ISNUMBER($K148),$K148,$Z148)))</f>
        <v/>
      </c>
      <c r="AB148" s="62">
        <f>IF($V148="","",IF(AND(ISNUMBER($G148),$G148&lt;=IF($S148=MesCiclo,InicioCiclo,$S148+MOD(2-WEEKDAY($S148),7))+27),1,IF(ISNUMBER($L148),$L148,$AA148)))</f>
        <v/>
      </c>
      <c r="AC148" s="62">
        <f>IF($V148="","",IF(AND(ISNUMBER($G148),$G148&lt;=IF($S148=MesCiclo,InicioCiclo,$S148+MOD(2-WEEKDAY($S148),7))+6),1,IF(N($W148)&gt;0,AVERAGEIFS($Y$5:$Y$1000,$U$5:$U$1000,ROW(),$V$5:$V$1000,"Sub"),$Y148)))</f>
        <v/>
      </c>
      <c r="AD148" s="62">
        <f>IF($V148="","",IF(AND(ISNUMBER($G148),$G148&lt;=IF($S148=MesCiclo,InicioCiclo,$S148+MOD(2-WEEKDAY($S148),7))+13),1,IF(N($W148)&gt;0,AVERAGEIFS($Z$5:$Z$1000,$U$5:$U$1000,ROW(),$V$5:$V$1000,"Sub"),$Z148)))</f>
        <v/>
      </c>
      <c r="AE148" s="62">
        <f>IF($V148="","",IF(AND(ISNUMBER($G148),$G148&lt;=IF($S148=MesCiclo,InicioCiclo,$S148+MOD(2-WEEKDAY($S148),7))+20),1,IF(N($W148)&gt;0,AVERAGEIFS($AA$5:$AA$1000,$U$5:$U$1000,ROW(),$V$5:$V$1000,"Sub"),$AA148)))</f>
        <v/>
      </c>
      <c r="AF148" s="62">
        <f>IF($V148="","",IF(AND(ISNUMBER($G148),$G148&lt;=IF($S148=MesCiclo,InicioCiclo,$S148+MOD(2-WEEKDAY($S148),7))+27),1,IF(N($W148)&gt;0,AVERAGEIFS($AB$5:$AB$1000,$U$5:$U$1000,ROW(),$V$5:$V$1000,"Sub"),$AB148)))</f>
        <v/>
      </c>
      <c r="AG148" s="62">
        <f>IF($V148&lt;&gt;"Macro","",IF(COUNTIFS($S$5:$S$1000,$S148,$V$5:$V$1000,"Macro",$H$5:$H$1000,"&gt;0")=0,1/COUNTIFS($S$5:$S$1000,$S148,$V$5:$V$1000,"Macro"),IF(AND(ISNUMBER($H148),N($H148)&gt;0),$H148,SUMIFS($H$5:$H$1000,$S$5:$S$1000,$S148,$V$5:$V$1000,"Macro")/COUNTIFS($S$5:$S$1000,$S148,$V$5:$V$1000,"Macro",$H$5:$H$1000,"&gt;0"))/(COUNTIFS($S$5:$S$1000,$S148,$V$5:$V$1000,"Macro")*SUMIFS($H$5:$H$1000,$S$5:$S$1000,$S148,$V$5:$V$1000,"Macro")/COUNTIFS($S$5:$S$1000,$S148,$V$5:$V$1000,"Macro",$H$5:$H$1000,"&gt;0"))))</f>
        <v/>
      </c>
      <c r="AH148" s="62" t="n"/>
      <c r="AI148" s="62" t="n"/>
      <c r="AJ148" s="62" t="n"/>
      <c r="AK148" s="62" t="n"/>
      <c r="AL148" s="62">
        <f>IF(LEFT($C148,11)="[Jefatura] ",IFERROR(MATCH("Asistente Técnico de Riesgo|"&amp;MID($C148,12,500),rDname_ADM,0),0),"")</f>
        <v/>
      </c>
      <c r="AM148" s="62">
        <f>IF(N($AL148)&gt;0,INDEX(rIni_ADM,$AL148),IF(ISNUMBER($E148),$E148,""))</f>
        <v/>
      </c>
      <c r="AN148" s="62">
        <f>IF(N($AL148)&gt;0,INDEX(rLim_ADM,$AL148),IF(ISNUMBER($F148),$F148,""))</f>
        <v/>
      </c>
    </row>
    <row r="149">
      <c r="A149" s="56">
        <f>IF(NOT((COUNTA($B149:$D149)+COUNTA($G149:$L149)+COUNTA($Q149))&gt;0),"",IF($V149="Macro",COUNTIFS($V$5:$V149,"Macro",$S$5:$S149,$S149),IF(N($U149)=0,"?",COUNTIFS(INDEX($V$5:$V$1000,1):INDEX($V$5:$V$1000,$U149-4),"Macro",INDEX($S$5:$S$1000,1):INDEX($S$5:$S$1000,$U149-4),INDEX($S$5:$S$1000,$U149-4))&amp;"."&amp;COUNTIFS($U$5:$U149,$U149,$V$5:$V149,"Sub"))))</f>
        <v/>
      </c>
      <c r="B149" s="57" t="n"/>
      <c r="C149" s="58" t="n"/>
      <c r="D149" s="58" t="n"/>
      <c r="E149" s="59">
        <f>IF(N($AL149)&gt;0,INDEX(rIni_ADM,$AL149),"")</f>
        <v/>
      </c>
      <c r="F149" s="59">
        <f>IF(N($AL149)&gt;0,INDEX(rLim_ADM,$AL149),"")</f>
        <v/>
      </c>
      <c r="G149" s="59" t="n"/>
      <c r="H149" s="60" t="n"/>
      <c r="I149" s="60" t="n"/>
      <c r="J149" s="60" t="n"/>
      <c r="K149" s="60" t="n"/>
      <c r="L149" s="60" t="n"/>
      <c r="M149" s="61">
        <f>IF(NOT((COUNTA($B149:$D149)+COUNTA($G149:$L149)+COUNTA($Q149))&gt;0),"",IF(ISNUMBER($G149),1,IF(N($W149)&gt;0,AVERAGEIFS($X$5:$X$1000,$U$5:$U$1000,ROW(),$V$5:$V$1000,"Sub"),$X149)))</f>
        <v/>
      </c>
      <c r="N149" s="56">
        <f>IF($M149="","",IF($M149&gt;=1,"Completado",IF($M149&gt;0,"En curso","Pendiente")))</f>
        <v/>
      </c>
      <c r="O149" s="56">
        <f>IF(NOT((COUNTA($B149:$D149)+COUNTA($G149:$L149)+COUNTA($Q149))&gt;0),"",IF(ISNUMBER($G149),IF(AND(ISNUMBER($AN149),$G149&gt;$AN149),"Cumplida con "&amp;($G149-$AN149)&amp;IF($G149-$AN149=1," día"," días")&amp;" de retraso","Cumplida"),IF(N($M149)&gt;=1,"Cumplida",IF(NOT(ISNUMBER($AN149)),"Sin fecha límite",IF($AN149&lt;FechaRef,"Vencida hace "&amp;(FechaRef-$AN149)&amp;IF(FechaRef-$AN149=1," día"," días"),IF($AN149=FechaRef,"Vence hoy",IF($AN149-FechaRef&lt;=DiasAlerta,"Vence en "&amp;($AN149-FechaRef)&amp;IF($AN149-FechaRef=1," día"," días"),"En plazo")))))))</f>
        <v/>
      </c>
      <c r="P149" s="62" t="n"/>
      <c r="Q149" s="58" t="n"/>
      <c r="R149" s="63">
        <f>IF(NOT((COUNTA($B149:$D149)+COUNTA($G149:$L149)+COUNTA($Q149))&gt;0),"",IF((IF($C149="","Falta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",""))="","✔ OK","⚠ "&amp;LEFT(IF($C149="","Falta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",""),LEN(IF($C149="","Falta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",""))-3)))</f>
        <v/>
      </c>
      <c r="S149" s="64">
        <f>IF(NOT((COUNTA($B149:$D149)+COUNTA($G149:$L149)+COUNTA($Q149))&gt;0),"",IF(AND($V149="Sub",N($U149)&gt;0),IF(ISNUMBER(INDEX($AM$5:$AM$1000,$U149-4)),DATE(YEAR(INDEX($AM$5:$AM$1000,$U149-4)),MONTH(INDEX($AM$5:$AM$1000,$U149-4)),1),IF(ISNUMBER(INDEX($AN$5:$AN$1000,$U149-4)),DATE(YEAR(INDEX($AN$5:$AN$1000,$U149-4)),MONTH(INDEX($AN$5:$AN$1000,$U149-4)),1),MesCiclo)),IF(ISNUMBER($AM149),DATE(YEAR($AM149),MONTH($AM149),1),IF(ISNUMBER($AN149),DATE(YEAR($AN149),MONTH($AN149),1),MesCiclo))))</f>
        <v/>
      </c>
      <c r="T149" s="62">
        <f>IF(OR($S149="",$S149&lt;&gt;MesCiclo),"",COUNTIF($S$5:$S149,MesCiclo))</f>
        <v/>
      </c>
      <c r="U149" s="62">
        <f>IF($V149="","",IF($V149="Macro",ROW(),IFERROR(LOOKUP(2,1/($V$5:$V149="Macro"),ROW($V$5:$V149)),0)))</f>
        <v/>
      </c>
      <c r="V149" s="62">
        <f>IF(NOT((COUNTA($B149:$D149)+COUNTA($G149:$L149)+COUNTA($Q149))&gt;0),"",IF($B149="Subactividad","Sub","Macro"))</f>
        <v/>
      </c>
      <c r="W149" s="62">
        <f>IF($V149="Macro",COUNTIFS($U$5:$U$1000,ROW(),$V$5:$V$1000,"Sub"),"")</f>
        <v/>
      </c>
      <c r="X149" s="62">
        <f>IF($V149="","",IF(ISNUMBER($G149),1,IFERROR(LOOKUP(2,1/($I149:$L149&lt;&gt;""),$I149:$L149),0)))</f>
        <v/>
      </c>
      <c r="Y149" s="62">
        <f>IF($V149="","",IF(AND(ISNUMBER($G149),$G149&lt;=IF($S149=MesCiclo,InicioCiclo,$S149+MOD(2-WEEKDAY($S149),7))+6),1,IF(ISNUMBER($I149),$I149,0)))</f>
        <v/>
      </c>
      <c r="Z149" s="62">
        <f>IF($V149="","",IF(AND(ISNUMBER($G149),$G149&lt;=IF($S149=MesCiclo,InicioCiclo,$S149+MOD(2-WEEKDAY($S149),7))+13),1,IF(ISNUMBER($J149),$J149,$Y149)))</f>
        <v/>
      </c>
      <c r="AA149" s="62">
        <f>IF($V149="","",IF(AND(ISNUMBER($G149),$G149&lt;=IF($S149=MesCiclo,InicioCiclo,$S149+MOD(2-WEEKDAY($S149),7))+20),1,IF(ISNUMBER($K149),$K149,$Z149)))</f>
        <v/>
      </c>
      <c r="AB149" s="62">
        <f>IF($V149="","",IF(AND(ISNUMBER($G149),$G149&lt;=IF($S149=MesCiclo,InicioCiclo,$S149+MOD(2-WEEKDAY($S149),7))+27),1,IF(ISNUMBER($L149),$L149,$AA149)))</f>
        <v/>
      </c>
      <c r="AC149" s="62">
        <f>IF($V149="","",IF(AND(ISNUMBER($G149),$G149&lt;=IF($S149=MesCiclo,InicioCiclo,$S149+MOD(2-WEEKDAY($S149),7))+6),1,IF(N($W149)&gt;0,AVERAGEIFS($Y$5:$Y$1000,$U$5:$U$1000,ROW(),$V$5:$V$1000,"Sub"),$Y149)))</f>
        <v/>
      </c>
      <c r="AD149" s="62">
        <f>IF($V149="","",IF(AND(ISNUMBER($G149),$G149&lt;=IF($S149=MesCiclo,InicioCiclo,$S149+MOD(2-WEEKDAY($S149),7))+13),1,IF(N($W149)&gt;0,AVERAGEIFS($Z$5:$Z$1000,$U$5:$U$1000,ROW(),$V$5:$V$1000,"Sub"),$Z149)))</f>
        <v/>
      </c>
      <c r="AE149" s="62">
        <f>IF($V149="","",IF(AND(ISNUMBER($G149),$G149&lt;=IF($S149=MesCiclo,InicioCiclo,$S149+MOD(2-WEEKDAY($S149),7))+20),1,IF(N($W149)&gt;0,AVERAGEIFS($AA$5:$AA$1000,$U$5:$U$1000,ROW(),$V$5:$V$1000,"Sub"),$AA149)))</f>
        <v/>
      </c>
      <c r="AF149" s="62">
        <f>IF($V149="","",IF(AND(ISNUMBER($G149),$G149&lt;=IF($S149=MesCiclo,InicioCiclo,$S149+MOD(2-WEEKDAY($S149),7))+27),1,IF(N($W149)&gt;0,AVERAGEIFS($AB$5:$AB$1000,$U$5:$U$1000,ROW(),$V$5:$V$1000,"Sub"),$AB149)))</f>
        <v/>
      </c>
      <c r="AG149" s="62">
        <f>IF($V149&lt;&gt;"Macro","",IF(COUNTIFS($S$5:$S$1000,$S149,$V$5:$V$1000,"Macro",$H$5:$H$1000,"&gt;0")=0,1/COUNTIFS($S$5:$S$1000,$S149,$V$5:$V$1000,"Macro"),IF(AND(ISNUMBER($H149),N($H149)&gt;0),$H149,SUMIFS($H$5:$H$1000,$S$5:$S$1000,$S149,$V$5:$V$1000,"Macro")/COUNTIFS($S$5:$S$1000,$S149,$V$5:$V$1000,"Macro",$H$5:$H$1000,"&gt;0"))/(COUNTIFS($S$5:$S$1000,$S149,$V$5:$V$1000,"Macro")*SUMIFS($H$5:$H$1000,$S$5:$S$1000,$S149,$V$5:$V$1000,"Macro")/COUNTIFS($S$5:$S$1000,$S149,$V$5:$V$1000,"Macro",$H$5:$H$1000,"&gt;0"))))</f>
        <v/>
      </c>
      <c r="AH149" s="62" t="n"/>
      <c r="AI149" s="62" t="n"/>
      <c r="AJ149" s="62" t="n"/>
      <c r="AK149" s="62" t="n"/>
      <c r="AL149" s="62">
        <f>IF(LEFT($C149,11)="[Jefatura] ",IFERROR(MATCH("Asistente Técnico de Riesgo|"&amp;MID($C149,12,500),rDname_ADM,0),0),"")</f>
        <v/>
      </c>
      <c r="AM149" s="62">
        <f>IF(N($AL149)&gt;0,INDEX(rIni_ADM,$AL149),IF(ISNUMBER($E149),$E149,""))</f>
        <v/>
      </c>
      <c r="AN149" s="62">
        <f>IF(N($AL149)&gt;0,INDEX(rLim_ADM,$AL149),IF(ISNUMBER($F149),$F149,""))</f>
        <v/>
      </c>
    </row>
    <row r="150">
      <c r="A150" s="56">
        <f>IF(NOT((COUNTA($B150:$D150)+COUNTA($G150:$L150)+COUNTA($Q150))&gt;0),"",IF($V150="Macro",COUNTIFS($V$5:$V150,"Macro",$S$5:$S150,$S150),IF(N($U150)=0,"?",COUNTIFS(INDEX($V$5:$V$1000,1):INDEX($V$5:$V$1000,$U150-4),"Macro",INDEX($S$5:$S$1000,1):INDEX($S$5:$S$1000,$U150-4),INDEX($S$5:$S$1000,$U150-4))&amp;"."&amp;COUNTIFS($U$5:$U150,$U150,$V$5:$V150,"Sub"))))</f>
        <v/>
      </c>
      <c r="B150" s="57" t="n"/>
      <c r="C150" s="58" t="n"/>
      <c r="D150" s="58" t="n"/>
      <c r="E150" s="59">
        <f>IF(N($AL150)&gt;0,INDEX(rIni_ADM,$AL150),"")</f>
        <v/>
      </c>
      <c r="F150" s="59">
        <f>IF(N($AL150)&gt;0,INDEX(rLim_ADM,$AL150),"")</f>
        <v/>
      </c>
      <c r="G150" s="59" t="n"/>
      <c r="H150" s="60" t="n"/>
      <c r="I150" s="60" t="n"/>
      <c r="J150" s="60" t="n"/>
      <c r="K150" s="60" t="n"/>
      <c r="L150" s="60" t="n"/>
      <c r="M150" s="61">
        <f>IF(NOT((COUNTA($B150:$D150)+COUNTA($G150:$L150)+COUNTA($Q150))&gt;0),"",IF(ISNUMBER($G150),1,IF(N($W150)&gt;0,AVERAGEIFS($X$5:$X$1000,$U$5:$U$1000,ROW(),$V$5:$V$1000,"Sub"),$X150)))</f>
        <v/>
      </c>
      <c r="N150" s="56">
        <f>IF($M150="","",IF($M150&gt;=1,"Completado",IF($M150&gt;0,"En curso","Pendiente")))</f>
        <v/>
      </c>
      <c r="O150" s="56">
        <f>IF(NOT((COUNTA($B150:$D150)+COUNTA($G150:$L150)+COUNTA($Q150))&gt;0),"",IF(ISNUMBER($G150),IF(AND(ISNUMBER($AN150),$G150&gt;$AN150),"Cumplida con "&amp;($G150-$AN150)&amp;IF($G150-$AN150=1," día"," días")&amp;" de retraso","Cumplida"),IF(N($M150)&gt;=1,"Cumplida",IF(NOT(ISNUMBER($AN150)),"Sin fecha límite",IF($AN150&lt;FechaRef,"Vencida hace "&amp;(FechaRef-$AN150)&amp;IF(FechaRef-$AN150=1," día"," días"),IF($AN150=FechaRef,"Vence hoy",IF($AN150-FechaRef&lt;=DiasAlerta,"Vence en "&amp;($AN150-FechaRef)&amp;IF($AN150-FechaRef=1," día"," días"),"En plazo")))))))</f>
        <v/>
      </c>
      <c r="P150" s="62" t="n"/>
      <c r="Q150" s="58" t="n"/>
      <c r="R150" s="63">
        <f>IF(NOT((COUNTA($B150:$D150)+COUNTA($G150:$L150)+COUNTA($Q150))&gt;0),"",IF((IF($C150="","Falta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",""))="","✔ OK","⚠ "&amp;LEFT(IF($C150="","Falta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",""),LEN(IF($C150="","Falta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",""))-3)))</f>
        <v/>
      </c>
      <c r="S150" s="64">
        <f>IF(NOT((COUNTA($B150:$D150)+COUNTA($G150:$L150)+COUNTA($Q150))&gt;0),"",IF(AND($V150="Sub",N($U150)&gt;0),IF(ISNUMBER(INDEX($AM$5:$AM$1000,$U150-4)),DATE(YEAR(INDEX($AM$5:$AM$1000,$U150-4)),MONTH(INDEX($AM$5:$AM$1000,$U150-4)),1),IF(ISNUMBER(INDEX($AN$5:$AN$1000,$U150-4)),DATE(YEAR(INDEX($AN$5:$AN$1000,$U150-4)),MONTH(INDEX($AN$5:$AN$1000,$U150-4)),1),MesCiclo)),IF(ISNUMBER($AM150),DATE(YEAR($AM150),MONTH($AM150),1),IF(ISNUMBER($AN150),DATE(YEAR($AN150),MONTH($AN150),1),MesCiclo))))</f>
        <v/>
      </c>
      <c r="T150" s="62">
        <f>IF(OR($S150="",$S150&lt;&gt;MesCiclo),"",COUNTIF($S$5:$S150,MesCiclo))</f>
        <v/>
      </c>
      <c r="U150" s="62">
        <f>IF($V150="","",IF($V150="Macro",ROW(),IFERROR(LOOKUP(2,1/($V$5:$V150="Macro"),ROW($V$5:$V150)),0)))</f>
        <v/>
      </c>
      <c r="V150" s="62">
        <f>IF(NOT((COUNTA($B150:$D150)+COUNTA($G150:$L150)+COUNTA($Q150))&gt;0),"",IF($B150="Subactividad","Sub","Macro"))</f>
        <v/>
      </c>
      <c r="W150" s="62">
        <f>IF($V150="Macro",COUNTIFS($U$5:$U$1000,ROW(),$V$5:$V$1000,"Sub"),"")</f>
        <v/>
      </c>
      <c r="X150" s="62">
        <f>IF($V150="","",IF(ISNUMBER($G150),1,IFERROR(LOOKUP(2,1/($I150:$L150&lt;&gt;""),$I150:$L150),0)))</f>
        <v/>
      </c>
      <c r="Y150" s="62">
        <f>IF($V150="","",IF(AND(ISNUMBER($G150),$G150&lt;=IF($S150=MesCiclo,InicioCiclo,$S150+MOD(2-WEEKDAY($S150),7))+6),1,IF(ISNUMBER($I150),$I150,0)))</f>
        <v/>
      </c>
      <c r="Z150" s="62">
        <f>IF($V150="","",IF(AND(ISNUMBER($G150),$G150&lt;=IF($S150=MesCiclo,InicioCiclo,$S150+MOD(2-WEEKDAY($S150),7))+13),1,IF(ISNUMBER($J150),$J150,$Y150)))</f>
        <v/>
      </c>
      <c r="AA150" s="62">
        <f>IF($V150="","",IF(AND(ISNUMBER($G150),$G150&lt;=IF($S150=MesCiclo,InicioCiclo,$S150+MOD(2-WEEKDAY($S150),7))+20),1,IF(ISNUMBER($K150),$K150,$Z150)))</f>
        <v/>
      </c>
      <c r="AB150" s="62">
        <f>IF($V150="","",IF(AND(ISNUMBER($G150),$G150&lt;=IF($S150=MesCiclo,InicioCiclo,$S150+MOD(2-WEEKDAY($S150),7))+27),1,IF(ISNUMBER($L150),$L150,$AA150)))</f>
        <v/>
      </c>
      <c r="AC150" s="62">
        <f>IF($V150="","",IF(AND(ISNUMBER($G150),$G150&lt;=IF($S150=MesCiclo,InicioCiclo,$S150+MOD(2-WEEKDAY($S150),7))+6),1,IF(N($W150)&gt;0,AVERAGEIFS($Y$5:$Y$1000,$U$5:$U$1000,ROW(),$V$5:$V$1000,"Sub"),$Y150)))</f>
        <v/>
      </c>
      <c r="AD150" s="62">
        <f>IF($V150="","",IF(AND(ISNUMBER($G150),$G150&lt;=IF($S150=MesCiclo,InicioCiclo,$S150+MOD(2-WEEKDAY($S150),7))+13),1,IF(N($W150)&gt;0,AVERAGEIFS($Z$5:$Z$1000,$U$5:$U$1000,ROW(),$V$5:$V$1000,"Sub"),$Z150)))</f>
        <v/>
      </c>
      <c r="AE150" s="62">
        <f>IF($V150="","",IF(AND(ISNUMBER($G150),$G150&lt;=IF($S150=MesCiclo,InicioCiclo,$S150+MOD(2-WEEKDAY($S150),7))+20),1,IF(N($W150)&gt;0,AVERAGEIFS($AA$5:$AA$1000,$U$5:$U$1000,ROW(),$V$5:$V$1000,"Sub"),$AA150)))</f>
        <v/>
      </c>
      <c r="AF150" s="62">
        <f>IF($V150="","",IF(AND(ISNUMBER($G150),$G150&lt;=IF($S150=MesCiclo,InicioCiclo,$S150+MOD(2-WEEKDAY($S150),7))+27),1,IF(N($W150)&gt;0,AVERAGEIFS($AB$5:$AB$1000,$U$5:$U$1000,ROW(),$V$5:$V$1000,"Sub"),$AB150)))</f>
        <v/>
      </c>
      <c r="AG150" s="62">
        <f>IF($V150&lt;&gt;"Macro","",IF(COUNTIFS($S$5:$S$1000,$S150,$V$5:$V$1000,"Macro",$H$5:$H$1000,"&gt;0")=0,1/COUNTIFS($S$5:$S$1000,$S150,$V$5:$V$1000,"Macro"),IF(AND(ISNUMBER($H150),N($H150)&gt;0),$H150,SUMIFS($H$5:$H$1000,$S$5:$S$1000,$S150,$V$5:$V$1000,"Macro")/COUNTIFS($S$5:$S$1000,$S150,$V$5:$V$1000,"Macro",$H$5:$H$1000,"&gt;0"))/(COUNTIFS($S$5:$S$1000,$S150,$V$5:$V$1000,"Macro")*SUMIFS($H$5:$H$1000,$S$5:$S$1000,$S150,$V$5:$V$1000,"Macro")/COUNTIFS($S$5:$S$1000,$S150,$V$5:$V$1000,"Macro",$H$5:$H$1000,"&gt;0"))))</f>
        <v/>
      </c>
      <c r="AH150" s="62" t="n"/>
      <c r="AI150" s="62" t="n"/>
      <c r="AJ150" s="62" t="n"/>
      <c r="AK150" s="62" t="n"/>
      <c r="AL150" s="62">
        <f>IF(LEFT($C150,11)="[Jefatura] ",IFERROR(MATCH("Asistente Técnico de Riesgo|"&amp;MID($C150,12,500),rDname_ADM,0),0),"")</f>
        <v/>
      </c>
      <c r="AM150" s="62">
        <f>IF(N($AL150)&gt;0,INDEX(rIni_ADM,$AL150),IF(ISNUMBER($E150),$E150,""))</f>
        <v/>
      </c>
      <c r="AN150" s="62">
        <f>IF(N($AL150)&gt;0,INDEX(rLim_ADM,$AL150),IF(ISNUMBER($F150),$F150,""))</f>
        <v/>
      </c>
    </row>
    <row r="151">
      <c r="A151" s="56">
        <f>IF(NOT((COUNTA($B151:$D151)+COUNTA($G151:$L151)+COUNTA($Q151))&gt;0),"",IF($V151="Macro",COUNTIFS($V$5:$V151,"Macro",$S$5:$S151,$S151),IF(N($U151)=0,"?",COUNTIFS(INDEX($V$5:$V$1000,1):INDEX($V$5:$V$1000,$U151-4),"Macro",INDEX($S$5:$S$1000,1):INDEX($S$5:$S$1000,$U151-4),INDEX($S$5:$S$1000,$U151-4))&amp;"."&amp;COUNTIFS($U$5:$U151,$U151,$V$5:$V151,"Sub"))))</f>
        <v/>
      </c>
      <c r="B151" s="57" t="n"/>
      <c r="C151" s="58" t="n"/>
      <c r="D151" s="58" t="n"/>
      <c r="E151" s="59">
        <f>IF(N($AL151)&gt;0,INDEX(rIni_ADM,$AL151),"")</f>
        <v/>
      </c>
      <c r="F151" s="59">
        <f>IF(N($AL151)&gt;0,INDEX(rLim_ADM,$AL151),"")</f>
        <v/>
      </c>
      <c r="G151" s="59" t="n"/>
      <c r="H151" s="60" t="n"/>
      <c r="I151" s="60" t="n"/>
      <c r="J151" s="60" t="n"/>
      <c r="K151" s="60" t="n"/>
      <c r="L151" s="60" t="n"/>
      <c r="M151" s="61">
        <f>IF(NOT((COUNTA($B151:$D151)+COUNTA($G151:$L151)+COUNTA($Q151))&gt;0),"",IF(ISNUMBER($G151),1,IF(N($W151)&gt;0,AVERAGEIFS($X$5:$X$1000,$U$5:$U$1000,ROW(),$V$5:$V$1000,"Sub"),$X151)))</f>
        <v/>
      </c>
      <c r="N151" s="56">
        <f>IF($M151="","",IF($M151&gt;=1,"Completado",IF($M151&gt;0,"En curso","Pendiente")))</f>
        <v/>
      </c>
      <c r="O151" s="56">
        <f>IF(NOT((COUNTA($B151:$D151)+COUNTA($G151:$L151)+COUNTA($Q151))&gt;0),"",IF(ISNUMBER($G151),IF(AND(ISNUMBER($AN151),$G151&gt;$AN151),"Cumplida con "&amp;($G151-$AN151)&amp;IF($G151-$AN151=1," día"," días")&amp;" de retraso","Cumplida"),IF(N($M151)&gt;=1,"Cumplida",IF(NOT(ISNUMBER($AN151)),"Sin fecha límite",IF($AN151&lt;FechaRef,"Vencida hace "&amp;(FechaRef-$AN151)&amp;IF(FechaRef-$AN151=1," día"," días"),IF($AN151=FechaRef,"Vence hoy",IF($AN151-FechaRef&lt;=DiasAlerta,"Vence en "&amp;($AN151-FechaRef)&amp;IF($AN151-FechaRef=1," día"," días"),"En plazo")))))))</f>
        <v/>
      </c>
      <c r="P151" s="62" t="n"/>
      <c r="Q151" s="58" t="n"/>
      <c r="R151" s="63">
        <f>IF(NOT((COUNTA($B151:$D151)+COUNTA($G151:$L151)+COUNTA($Q151))&gt;0),"",IF((IF($C151="","Falta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",""))="","✔ OK","⚠ "&amp;LEFT(IF($C151="","Falta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",""),LEN(IF($C151="","Falta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",""))-3)))</f>
        <v/>
      </c>
      <c r="S151" s="64">
        <f>IF(NOT((COUNTA($B151:$D151)+COUNTA($G151:$L151)+COUNTA($Q151))&gt;0),"",IF(AND($V151="Sub",N($U151)&gt;0),IF(ISNUMBER(INDEX($AM$5:$AM$1000,$U151-4)),DATE(YEAR(INDEX($AM$5:$AM$1000,$U151-4)),MONTH(INDEX($AM$5:$AM$1000,$U151-4)),1),IF(ISNUMBER(INDEX($AN$5:$AN$1000,$U151-4)),DATE(YEAR(INDEX($AN$5:$AN$1000,$U151-4)),MONTH(INDEX($AN$5:$AN$1000,$U151-4)),1),MesCiclo)),IF(ISNUMBER($AM151),DATE(YEAR($AM151),MONTH($AM151),1),IF(ISNUMBER($AN151),DATE(YEAR($AN151),MONTH($AN151),1),MesCiclo))))</f>
        <v/>
      </c>
      <c r="T151" s="62">
        <f>IF(OR($S151="",$S151&lt;&gt;MesCiclo),"",COUNTIF($S$5:$S151,MesCiclo))</f>
        <v/>
      </c>
      <c r="U151" s="62">
        <f>IF($V151="","",IF($V151="Macro",ROW(),IFERROR(LOOKUP(2,1/($V$5:$V151="Macro"),ROW($V$5:$V151)),0)))</f>
        <v/>
      </c>
      <c r="V151" s="62">
        <f>IF(NOT((COUNTA($B151:$D151)+COUNTA($G151:$L151)+COUNTA($Q151))&gt;0),"",IF($B151="Subactividad","Sub","Macro"))</f>
        <v/>
      </c>
      <c r="W151" s="62">
        <f>IF($V151="Macro",COUNTIFS($U$5:$U$1000,ROW(),$V$5:$V$1000,"Sub"),"")</f>
        <v/>
      </c>
      <c r="X151" s="62">
        <f>IF($V151="","",IF(ISNUMBER($G151),1,IFERROR(LOOKUP(2,1/($I151:$L151&lt;&gt;""),$I151:$L151),0)))</f>
        <v/>
      </c>
      <c r="Y151" s="62">
        <f>IF($V151="","",IF(AND(ISNUMBER($G151),$G151&lt;=IF($S151=MesCiclo,InicioCiclo,$S151+MOD(2-WEEKDAY($S151),7))+6),1,IF(ISNUMBER($I151),$I151,0)))</f>
        <v/>
      </c>
      <c r="Z151" s="62">
        <f>IF($V151="","",IF(AND(ISNUMBER($G151),$G151&lt;=IF($S151=MesCiclo,InicioCiclo,$S151+MOD(2-WEEKDAY($S151),7))+13),1,IF(ISNUMBER($J151),$J151,$Y151)))</f>
        <v/>
      </c>
      <c r="AA151" s="62">
        <f>IF($V151="","",IF(AND(ISNUMBER($G151),$G151&lt;=IF($S151=MesCiclo,InicioCiclo,$S151+MOD(2-WEEKDAY($S151),7))+20),1,IF(ISNUMBER($K151),$K151,$Z151)))</f>
        <v/>
      </c>
      <c r="AB151" s="62">
        <f>IF($V151="","",IF(AND(ISNUMBER($G151),$G151&lt;=IF($S151=MesCiclo,InicioCiclo,$S151+MOD(2-WEEKDAY($S151),7))+27),1,IF(ISNUMBER($L151),$L151,$AA151)))</f>
        <v/>
      </c>
      <c r="AC151" s="62">
        <f>IF($V151="","",IF(AND(ISNUMBER($G151),$G151&lt;=IF($S151=MesCiclo,InicioCiclo,$S151+MOD(2-WEEKDAY($S151),7))+6),1,IF(N($W151)&gt;0,AVERAGEIFS($Y$5:$Y$1000,$U$5:$U$1000,ROW(),$V$5:$V$1000,"Sub"),$Y151)))</f>
        <v/>
      </c>
      <c r="AD151" s="62">
        <f>IF($V151="","",IF(AND(ISNUMBER($G151),$G151&lt;=IF($S151=MesCiclo,InicioCiclo,$S151+MOD(2-WEEKDAY($S151),7))+13),1,IF(N($W151)&gt;0,AVERAGEIFS($Z$5:$Z$1000,$U$5:$U$1000,ROW(),$V$5:$V$1000,"Sub"),$Z151)))</f>
        <v/>
      </c>
      <c r="AE151" s="62">
        <f>IF($V151="","",IF(AND(ISNUMBER($G151),$G151&lt;=IF($S151=MesCiclo,InicioCiclo,$S151+MOD(2-WEEKDAY($S151),7))+20),1,IF(N($W151)&gt;0,AVERAGEIFS($AA$5:$AA$1000,$U$5:$U$1000,ROW(),$V$5:$V$1000,"Sub"),$AA151)))</f>
        <v/>
      </c>
      <c r="AF151" s="62">
        <f>IF($V151="","",IF(AND(ISNUMBER($G151),$G151&lt;=IF($S151=MesCiclo,InicioCiclo,$S151+MOD(2-WEEKDAY($S151),7))+27),1,IF(N($W151)&gt;0,AVERAGEIFS($AB$5:$AB$1000,$U$5:$U$1000,ROW(),$V$5:$V$1000,"Sub"),$AB151)))</f>
        <v/>
      </c>
      <c r="AG151" s="62">
        <f>IF($V151&lt;&gt;"Macro","",IF(COUNTIFS($S$5:$S$1000,$S151,$V$5:$V$1000,"Macro",$H$5:$H$1000,"&gt;0")=0,1/COUNTIFS($S$5:$S$1000,$S151,$V$5:$V$1000,"Macro"),IF(AND(ISNUMBER($H151),N($H151)&gt;0),$H151,SUMIFS($H$5:$H$1000,$S$5:$S$1000,$S151,$V$5:$V$1000,"Macro")/COUNTIFS($S$5:$S$1000,$S151,$V$5:$V$1000,"Macro",$H$5:$H$1000,"&gt;0"))/(COUNTIFS($S$5:$S$1000,$S151,$V$5:$V$1000,"Macro")*SUMIFS($H$5:$H$1000,$S$5:$S$1000,$S151,$V$5:$V$1000,"Macro")/COUNTIFS($S$5:$S$1000,$S151,$V$5:$V$1000,"Macro",$H$5:$H$1000,"&gt;0"))))</f>
        <v/>
      </c>
      <c r="AH151" s="62" t="n"/>
      <c r="AI151" s="62" t="n"/>
      <c r="AJ151" s="62" t="n"/>
      <c r="AK151" s="62" t="n"/>
      <c r="AL151" s="62">
        <f>IF(LEFT($C151,11)="[Jefatura] ",IFERROR(MATCH("Asistente Técnico de Riesgo|"&amp;MID($C151,12,500),rDname_ADM,0),0),"")</f>
        <v/>
      </c>
      <c r="AM151" s="62">
        <f>IF(N($AL151)&gt;0,INDEX(rIni_ADM,$AL151),IF(ISNUMBER($E151),$E151,""))</f>
        <v/>
      </c>
      <c r="AN151" s="62">
        <f>IF(N($AL151)&gt;0,INDEX(rLim_ADM,$AL151),IF(ISNUMBER($F151),$F151,""))</f>
        <v/>
      </c>
    </row>
    <row r="152">
      <c r="A152" s="56">
        <f>IF(NOT((COUNTA($B152:$D152)+COUNTA($G152:$L152)+COUNTA($Q152))&gt;0),"",IF($V152="Macro",COUNTIFS($V$5:$V152,"Macro",$S$5:$S152,$S152),IF(N($U152)=0,"?",COUNTIFS(INDEX($V$5:$V$1000,1):INDEX($V$5:$V$1000,$U152-4),"Macro",INDEX($S$5:$S$1000,1):INDEX($S$5:$S$1000,$U152-4),INDEX($S$5:$S$1000,$U152-4))&amp;"."&amp;COUNTIFS($U$5:$U152,$U152,$V$5:$V152,"Sub"))))</f>
        <v/>
      </c>
      <c r="B152" s="57" t="n"/>
      <c r="C152" s="58" t="n"/>
      <c r="D152" s="58" t="n"/>
      <c r="E152" s="59">
        <f>IF(N($AL152)&gt;0,INDEX(rIni_ADM,$AL152),"")</f>
        <v/>
      </c>
      <c r="F152" s="59">
        <f>IF(N($AL152)&gt;0,INDEX(rLim_ADM,$AL152),"")</f>
        <v/>
      </c>
      <c r="G152" s="59" t="n"/>
      <c r="H152" s="60" t="n"/>
      <c r="I152" s="60" t="n"/>
      <c r="J152" s="60" t="n"/>
      <c r="K152" s="60" t="n"/>
      <c r="L152" s="60" t="n"/>
      <c r="M152" s="61">
        <f>IF(NOT((COUNTA($B152:$D152)+COUNTA($G152:$L152)+COUNTA($Q152))&gt;0),"",IF(ISNUMBER($G152),1,IF(N($W152)&gt;0,AVERAGEIFS($X$5:$X$1000,$U$5:$U$1000,ROW(),$V$5:$V$1000,"Sub"),$X152)))</f>
        <v/>
      </c>
      <c r="N152" s="56">
        <f>IF($M152="","",IF($M152&gt;=1,"Completado",IF($M152&gt;0,"En curso","Pendiente")))</f>
        <v/>
      </c>
      <c r="O152" s="56">
        <f>IF(NOT((COUNTA($B152:$D152)+COUNTA($G152:$L152)+COUNTA($Q152))&gt;0),"",IF(ISNUMBER($G152),IF(AND(ISNUMBER($AN152),$G152&gt;$AN152),"Cumplida con "&amp;($G152-$AN152)&amp;IF($G152-$AN152=1," día"," días")&amp;" de retraso","Cumplida"),IF(N($M152)&gt;=1,"Cumplida",IF(NOT(ISNUMBER($AN152)),"Sin fecha límite",IF($AN152&lt;FechaRef,"Vencida hace "&amp;(FechaRef-$AN152)&amp;IF(FechaRef-$AN152=1," día"," días"),IF($AN152=FechaRef,"Vence hoy",IF($AN152-FechaRef&lt;=DiasAlerta,"Vence en "&amp;($AN152-FechaRef)&amp;IF($AN152-FechaRef=1," día"," días"),"En plazo")))))))</f>
        <v/>
      </c>
      <c r="P152" s="62" t="n"/>
      <c r="Q152" s="58" t="n"/>
      <c r="R152" s="63">
        <f>IF(NOT((COUNTA($B152:$D152)+COUNTA($G152:$L152)+COUNTA($Q152))&gt;0),"",IF((IF($C152="","Falta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",""))="","✔ OK","⚠ "&amp;LEFT(IF($C152="","Falta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",""),LEN(IF($C152="","Falta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",""))-3)))</f>
        <v/>
      </c>
      <c r="S152" s="64">
        <f>IF(NOT((COUNTA($B152:$D152)+COUNTA($G152:$L152)+COUNTA($Q152))&gt;0),"",IF(AND($V152="Sub",N($U152)&gt;0),IF(ISNUMBER(INDEX($AM$5:$AM$1000,$U152-4)),DATE(YEAR(INDEX($AM$5:$AM$1000,$U152-4)),MONTH(INDEX($AM$5:$AM$1000,$U152-4)),1),IF(ISNUMBER(INDEX($AN$5:$AN$1000,$U152-4)),DATE(YEAR(INDEX($AN$5:$AN$1000,$U152-4)),MONTH(INDEX($AN$5:$AN$1000,$U152-4)),1),MesCiclo)),IF(ISNUMBER($AM152),DATE(YEAR($AM152),MONTH($AM152),1),IF(ISNUMBER($AN152),DATE(YEAR($AN152),MONTH($AN152),1),MesCiclo))))</f>
        <v/>
      </c>
      <c r="T152" s="62">
        <f>IF(OR($S152="",$S152&lt;&gt;MesCiclo),"",COUNTIF($S$5:$S152,MesCiclo))</f>
        <v/>
      </c>
      <c r="U152" s="62">
        <f>IF($V152="","",IF($V152="Macro",ROW(),IFERROR(LOOKUP(2,1/($V$5:$V152="Macro"),ROW($V$5:$V152)),0)))</f>
        <v/>
      </c>
      <c r="V152" s="62">
        <f>IF(NOT((COUNTA($B152:$D152)+COUNTA($G152:$L152)+COUNTA($Q152))&gt;0),"",IF($B152="Subactividad","Sub","Macro"))</f>
        <v/>
      </c>
      <c r="W152" s="62">
        <f>IF($V152="Macro",COUNTIFS($U$5:$U$1000,ROW(),$V$5:$V$1000,"Sub"),"")</f>
        <v/>
      </c>
      <c r="X152" s="62">
        <f>IF($V152="","",IF(ISNUMBER($G152),1,IFERROR(LOOKUP(2,1/($I152:$L152&lt;&gt;""),$I152:$L152),0)))</f>
        <v/>
      </c>
      <c r="Y152" s="62">
        <f>IF($V152="","",IF(AND(ISNUMBER($G152),$G152&lt;=IF($S152=MesCiclo,InicioCiclo,$S152+MOD(2-WEEKDAY($S152),7))+6),1,IF(ISNUMBER($I152),$I152,0)))</f>
        <v/>
      </c>
      <c r="Z152" s="62">
        <f>IF($V152="","",IF(AND(ISNUMBER($G152),$G152&lt;=IF($S152=MesCiclo,InicioCiclo,$S152+MOD(2-WEEKDAY($S152),7))+13),1,IF(ISNUMBER($J152),$J152,$Y152)))</f>
        <v/>
      </c>
      <c r="AA152" s="62">
        <f>IF($V152="","",IF(AND(ISNUMBER($G152),$G152&lt;=IF($S152=MesCiclo,InicioCiclo,$S152+MOD(2-WEEKDAY($S152),7))+20),1,IF(ISNUMBER($K152),$K152,$Z152)))</f>
        <v/>
      </c>
      <c r="AB152" s="62">
        <f>IF($V152="","",IF(AND(ISNUMBER($G152),$G152&lt;=IF($S152=MesCiclo,InicioCiclo,$S152+MOD(2-WEEKDAY($S152),7))+27),1,IF(ISNUMBER($L152),$L152,$AA152)))</f>
        <v/>
      </c>
      <c r="AC152" s="62">
        <f>IF($V152="","",IF(AND(ISNUMBER($G152),$G152&lt;=IF($S152=MesCiclo,InicioCiclo,$S152+MOD(2-WEEKDAY($S152),7))+6),1,IF(N($W152)&gt;0,AVERAGEIFS($Y$5:$Y$1000,$U$5:$U$1000,ROW(),$V$5:$V$1000,"Sub"),$Y152)))</f>
        <v/>
      </c>
      <c r="AD152" s="62">
        <f>IF($V152="","",IF(AND(ISNUMBER($G152),$G152&lt;=IF($S152=MesCiclo,InicioCiclo,$S152+MOD(2-WEEKDAY($S152),7))+13),1,IF(N($W152)&gt;0,AVERAGEIFS($Z$5:$Z$1000,$U$5:$U$1000,ROW(),$V$5:$V$1000,"Sub"),$Z152)))</f>
        <v/>
      </c>
      <c r="AE152" s="62">
        <f>IF($V152="","",IF(AND(ISNUMBER($G152),$G152&lt;=IF($S152=MesCiclo,InicioCiclo,$S152+MOD(2-WEEKDAY($S152),7))+20),1,IF(N($W152)&gt;0,AVERAGEIFS($AA$5:$AA$1000,$U$5:$U$1000,ROW(),$V$5:$V$1000,"Sub"),$AA152)))</f>
        <v/>
      </c>
      <c r="AF152" s="62">
        <f>IF($V152="","",IF(AND(ISNUMBER($G152),$G152&lt;=IF($S152=MesCiclo,InicioCiclo,$S152+MOD(2-WEEKDAY($S152),7))+27),1,IF(N($W152)&gt;0,AVERAGEIFS($AB$5:$AB$1000,$U$5:$U$1000,ROW(),$V$5:$V$1000,"Sub"),$AB152)))</f>
        <v/>
      </c>
      <c r="AG152" s="62">
        <f>IF($V152&lt;&gt;"Macro","",IF(COUNTIFS($S$5:$S$1000,$S152,$V$5:$V$1000,"Macro",$H$5:$H$1000,"&gt;0")=0,1/COUNTIFS($S$5:$S$1000,$S152,$V$5:$V$1000,"Macro"),IF(AND(ISNUMBER($H152),N($H152)&gt;0),$H152,SUMIFS($H$5:$H$1000,$S$5:$S$1000,$S152,$V$5:$V$1000,"Macro")/COUNTIFS($S$5:$S$1000,$S152,$V$5:$V$1000,"Macro",$H$5:$H$1000,"&gt;0"))/(COUNTIFS($S$5:$S$1000,$S152,$V$5:$V$1000,"Macro")*SUMIFS($H$5:$H$1000,$S$5:$S$1000,$S152,$V$5:$V$1000,"Macro")/COUNTIFS($S$5:$S$1000,$S152,$V$5:$V$1000,"Macro",$H$5:$H$1000,"&gt;0"))))</f>
        <v/>
      </c>
      <c r="AH152" s="62" t="n"/>
      <c r="AI152" s="62" t="n"/>
      <c r="AJ152" s="62" t="n"/>
      <c r="AK152" s="62" t="n"/>
      <c r="AL152" s="62">
        <f>IF(LEFT($C152,11)="[Jefatura] ",IFERROR(MATCH("Asistente Técnico de Riesgo|"&amp;MID($C152,12,500),rDname_ADM,0),0),"")</f>
        <v/>
      </c>
      <c r="AM152" s="62">
        <f>IF(N($AL152)&gt;0,INDEX(rIni_ADM,$AL152),IF(ISNUMBER($E152),$E152,""))</f>
        <v/>
      </c>
      <c r="AN152" s="62">
        <f>IF(N($AL152)&gt;0,INDEX(rLim_ADM,$AL152),IF(ISNUMBER($F152),$F152,""))</f>
        <v/>
      </c>
    </row>
    <row r="153">
      <c r="A153" s="56">
        <f>IF(NOT((COUNTA($B153:$D153)+COUNTA($G153:$L153)+COUNTA($Q153))&gt;0),"",IF($V153="Macro",COUNTIFS($V$5:$V153,"Macro",$S$5:$S153,$S153),IF(N($U153)=0,"?",COUNTIFS(INDEX($V$5:$V$1000,1):INDEX($V$5:$V$1000,$U153-4),"Macro",INDEX($S$5:$S$1000,1):INDEX($S$5:$S$1000,$U153-4),INDEX($S$5:$S$1000,$U153-4))&amp;"."&amp;COUNTIFS($U$5:$U153,$U153,$V$5:$V153,"Sub"))))</f>
        <v/>
      </c>
      <c r="B153" s="57" t="n"/>
      <c r="C153" s="58" t="n"/>
      <c r="D153" s="58" t="n"/>
      <c r="E153" s="59">
        <f>IF(N($AL153)&gt;0,INDEX(rIni_ADM,$AL153),"")</f>
        <v/>
      </c>
      <c r="F153" s="59">
        <f>IF(N($AL153)&gt;0,INDEX(rLim_ADM,$AL153),"")</f>
        <v/>
      </c>
      <c r="G153" s="59" t="n"/>
      <c r="H153" s="60" t="n"/>
      <c r="I153" s="60" t="n"/>
      <c r="J153" s="60" t="n"/>
      <c r="K153" s="60" t="n"/>
      <c r="L153" s="60" t="n"/>
      <c r="M153" s="61">
        <f>IF(NOT((COUNTA($B153:$D153)+COUNTA($G153:$L153)+COUNTA($Q153))&gt;0),"",IF(ISNUMBER($G153),1,IF(N($W153)&gt;0,AVERAGEIFS($X$5:$X$1000,$U$5:$U$1000,ROW(),$V$5:$V$1000,"Sub"),$X153)))</f>
        <v/>
      </c>
      <c r="N153" s="56">
        <f>IF($M153="","",IF($M153&gt;=1,"Completado",IF($M153&gt;0,"En curso","Pendiente")))</f>
        <v/>
      </c>
      <c r="O153" s="56">
        <f>IF(NOT((COUNTA($B153:$D153)+COUNTA($G153:$L153)+COUNTA($Q153))&gt;0),"",IF(ISNUMBER($G153),IF(AND(ISNUMBER($AN153),$G153&gt;$AN153),"Cumplida con "&amp;($G153-$AN153)&amp;IF($G153-$AN153=1," día"," días")&amp;" de retraso","Cumplida"),IF(N($M153)&gt;=1,"Cumplida",IF(NOT(ISNUMBER($AN153)),"Sin fecha límite",IF($AN153&lt;FechaRef,"Vencida hace "&amp;(FechaRef-$AN153)&amp;IF(FechaRef-$AN153=1," día"," días"),IF($AN153=FechaRef,"Vence hoy",IF($AN153-FechaRef&lt;=DiasAlerta,"Vence en "&amp;($AN153-FechaRef)&amp;IF($AN153-FechaRef=1," día"," días"),"En plazo")))))))</f>
        <v/>
      </c>
      <c r="P153" s="62" t="n"/>
      <c r="Q153" s="58" t="n"/>
      <c r="R153" s="63">
        <f>IF(NOT((COUNTA($B153:$D153)+COUNTA($G153:$L153)+COUNTA($Q153))&gt;0),"",IF((IF($C153="","Falta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",""))="","✔ OK","⚠ "&amp;LEFT(IF($C153="","Falta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",""),LEN(IF($C153="","Falta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",""))-3)))</f>
        <v/>
      </c>
      <c r="S153" s="64">
        <f>IF(NOT((COUNTA($B153:$D153)+COUNTA($G153:$L153)+COUNTA($Q153))&gt;0),"",IF(AND($V153="Sub",N($U153)&gt;0),IF(ISNUMBER(INDEX($AM$5:$AM$1000,$U153-4)),DATE(YEAR(INDEX($AM$5:$AM$1000,$U153-4)),MONTH(INDEX($AM$5:$AM$1000,$U153-4)),1),IF(ISNUMBER(INDEX($AN$5:$AN$1000,$U153-4)),DATE(YEAR(INDEX($AN$5:$AN$1000,$U153-4)),MONTH(INDEX($AN$5:$AN$1000,$U153-4)),1),MesCiclo)),IF(ISNUMBER($AM153),DATE(YEAR($AM153),MONTH($AM153),1),IF(ISNUMBER($AN153),DATE(YEAR($AN153),MONTH($AN153),1),MesCiclo))))</f>
        <v/>
      </c>
      <c r="T153" s="62">
        <f>IF(OR($S153="",$S153&lt;&gt;MesCiclo),"",COUNTIF($S$5:$S153,MesCiclo))</f>
        <v/>
      </c>
      <c r="U153" s="62">
        <f>IF($V153="","",IF($V153="Macro",ROW(),IFERROR(LOOKUP(2,1/($V$5:$V153="Macro"),ROW($V$5:$V153)),0)))</f>
        <v/>
      </c>
      <c r="V153" s="62">
        <f>IF(NOT((COUNTA($B153:$D153)+COUNTA($G153:$L153)+COUNTA($Q153))&gt;0),"",IF($B153="Subactividad","Sub","Macro"))</f>
        <v/>
      </c>
      <c r="W153" s="62">
        <f>IF($V153="Macro",COUNTIFS($U$5:$U$1000,ROW(),$V$5:$V$1000,"Sub"),"")</f>
        <v/>
      </c>
      <c r="X153" s="62">
        <f>IF($V153="","",IF(ISNUMBER($G153),1,IFERROR(LOOKUP(2,1/($I153:$L153&lt;&gt;""),$I153:$L153),0)))</f>
        <v/>
      </c>
      <c r="Y153" s="62">
        <f>IF($V153="","",IF(AND(ISNUMBER($G153),$G153&lt;=IF($S153=MesCiclo,InicioCiclo,$S153+MOD(2-WEEKDAY($S153),7))+6),1,IF(ISNUMBER($I153),$I153,0)))</f>
        <v/>
      </c>
      <c r="Z153" s="62">
        <f>IF($V153="","",IF(AND(ISNUMBER($G153),$G153&lt;=IF($S153=MesCiclo,InicioCiclo,$S153+MOD(2-WEEKDAY($S153),7))+13),1,IF(ISNUMBER($J153),$J153,$Y153)))</f>
        <v/>
      </c>
      <c r="AA153" s="62">
        <f>IF($V153="","",IF(AND(ISNUMBER($G153),$G153&lt;=IF($S153=MesCiclo,InicioCiclo,$S153+MOD(2-WEEKDAY($S153),7))+20),1,IF(ISNUMBER($K153),$K153,$Z153)))</f>
        <v/>
      </c>
      <c r="AB153" s="62">
        <f>IF($V153="","",IF(AND(ISNUMBER($G153),$G153&lt;=IF($S153=MesCiclo,InicioCiclo,$S153+MOD(2-WEEKDAY($S153),7))+27),1,IF(ISNUMBER($L153),$L153,$AA153)))</f>
        <v/>
      </c>
      <c r="AC153" s="62">
        <f>IF($V153="","",IF(AND(ISNUMBER($G153),$G153&lt;=IF($S153=MesCiclo,InicioCiclo,$S153+MOD(2-WEEKDAY($S153),7))+6),1,IF(N($W153)&gt;0,AVERAGEIFS($Y$5:$Y$1000,$U$5:$U$1000,ROW(),$V$5:$V$1000,"Sub"),$Y153)))</f>
        <v/>
      </c>
      <c r="AD153" s="62">
        <f>IF($V153="","",IF(AND(ISNUMBER($G153),$G153&lt;=IF($S153=MesCiclo,InicioCiclo,$S153+MOD(2-WEEKDAY($S153),7))+13),1,IF(N($W153)&gt;0,AVERAGEIFS($Z$5:$Z$1000,$U$5:$U$1000,ROW(),$V$5:$V$1000,"Sub"),$Z153)))</f>
        <v/>
      </c>
      <c r="AE153" s="62">
        <f>IF($V153="","",IF(AND(ISNUMBER($G153),$G153&lt;=IF($S153=MesCiclo,InicioCiclo,$S153+MOD(2-WEEKDAY($S153),7))+20),1,IF(N($W153)&gt;0,AVERAGEIFS($AA$5:$AA$1000,$U$5:$U$1000,ROW(),$V$5:$V$1000,"Sub"),$AA153)))</f>
        <v/>
      </c>
      <c r="AF153" s="62">
        <f>IF($V153="","",IF(AND(ISNUMBER($G153),$G153&lt;=IF($S153=MesCiclo,InicioCiclo,$S153+MOD(2-WEEKDAY($S153),7))+27),1,IF(N($W153)&gt;0,AVERAGEIFS($AB$5:$AB$1000,$U$5:$U$1000,ROW(),$V$5:$V$1000,"Sub"),$AB153)))</f>
        <v/>
      </c>
      <c r="AG153" s="62">
        <f>IF($V153&lt;&gt;"Macro","",IF(COUNTIFS($S$5:$S$1000,$S153,$V$5:$V$1000,"Macro",$H$5:$H$1000,"&gt;0")=0,1/COUNTIFS($S$5:$S$1000,$S153,$V$5:$V$1000,"Macro"),IF(AND(ISNUMBER($H153),N($H153)&gt;0),$H153,SUMIFS($H$5:$H$1000,$S$5:$S$1000,$S153,$V$5:$V$1000,"Macro")/COUNTIFS($S$5:$S$1000,$S153,$V$5:$V$1000,"Macro",$H$5:$H$1000,"&gt;0"))/(COUNTIFS($S$5:$S$1000,$S153,$V$5:$V$1000,"Macro")*SUMIFS($H$5:$H$1000,$S$5:$S$1000,$S153,$V$5:$V$1000,"Macro")/COUNTIFS($S$5:$S$1000,$S153,$V$5:$V$1000,"Macro",$H$5:$H$1000,"&gt;0"))))</f>
        <v/>
      </c>
      <c r="AH153" s="62" t="n"/>
      <c r="AI153" s="62" t="n"/>
      <c r="AJ153" s="62" t="n"/>
      <c r="AK153" s="62" t="n"/>
      <c r="AL153" s="62">
        <f>IF(LEFT($C153,11)="[Jefatura] ",IFERROR(MATCH("Asistente Técnico de Riesgo|"&amp;MID($C153,12,500),rDname_ADM,0),0),"")</f>
        <v/>
      </c>
      <c r="AM153" s="62">
        <f>IF(N($AL153)&gt;0,INDEX(rIni_ADM,$AL153),IF(ISNUMBER($E153),$E153,""))</f>
        <v/>
      </c>
      <c r="AN153" s="62">
        <f>IF(N($AL153)&gt;0,INDEX(rLim_ADM,$AL153),IF(ISNUMBER($F153),$F153,""))</f>
        <v/>
      </c>
    </row>
    <row r="154">
      <c r="A154" s="56">
        <f>IF(NOT((COUNTA($B154:$D154)+COUNTA($G154:$L154)+COUNTA($Q154))&gt;0),"",IF($V154="Macro",COUNTIFS($V$5:$V154,"Macro",$S$5:$S154,$S154),IF(N($U154)=0,"?",COUNTIFS(INDEX($V$5:$V$1000,1):INDEX($V$5:$V$1000,$U154-4),"Macro",INDEX($S$5:$S$1000,1):INDEX($S$5:$S$1000,$U154-4),INDEX($S$5:$S$1000,$U154-4))&amp;"."&amp;COUNTIFS($U$5:$U154,$U154,$V$5:$V154,"Sub"))))</f>
        <v/>
      </c>
      <c r="B154" s="57" t="n"/>
      <c r="C154" s="58" t="n"/>
      <c r="D154" s="58" t="n"/>
      <c r="E154" s="59">
        <f>IF(N($AL154)&gt;0,INDEX(rIni_ADM,$AL154),"")</f>
        <v/>
      </c>
      <c r="F154" s="59">
        <f>IF(N($AL154)&gt;0,INDEX(rLim_ADM,$AL154),"")</f>
        <v/>
      </c>
      <c r="G154" s="59" t="n"/>
      <c r="H154" s="60" t="n"/>
      <c r="I154" s="60" t="n"/>
      <c r="J154" s="60" t="n"/>
      <c r="K154" s="60" t="n"/>
      <c r="L154" s="60" t="n"/>
      <c r="M154" s="61">
        <f>IF(NOT((COUNTA($B154:$D154)+COUNTA($G154:$L154)+COUNTA($Q154))&gt;0),"",IF(ISNUMBER($G154),1,IF(N($W154)&gt;0,AVERAGEIFS($X$5:$X$1000,$U$5:$U$1000,ROW(),$V$5:$V$1000,"Sub"),$X154)))</f>
        <v/>
      </c>
      <c r="N154" s="56">
        <f>IF($M154="","",IF($M154&gt;=1,"Completado",IF($M154&gt;0,"En curso","Pendiente")))</f>
        <v/>
      </c>
      <c r="O154" s="56">
        <f>IF(NOT((COUNTA($B154:$D154)+COUNTA($G154:$L154)+COUNTA($Q154))&gt;0),"",IF(ISNUMBER($G154),IF(AND(ISNUMBER($AN154),$G154&gt;$AN154),"Cumplida con "&amp;($G154-$AN154)&amp;IF($G154-$AN154=1," día"," días")&amp;" de retraso","Cumplida"),IF(N($M154)&gt;=1,"Cumplida",IF(NOT(ISNUMBER($AN154)),"Sin fecha límite",IF($AN154&lt;FechaRef,"Vencida hace "&amp;(FechaRef-$AN154)&amp;IF(FechaRef-$AN154=1," día"," días"),IF($AN154=FechaRef,"Vence hoy",IF($AN154-FechaRef&lt;=DiasAlerta,"Vence en "&amp;($AN154-FechaRef)&amp;IF($AN154-FechaRef=1," día"," días"),"En plazo")))))))</f>
        <v/>
      </c>
      <c r="P154" s="62" t="n"/>
      <c r="Q154" s="58" t="n"/>
      <c r="R154" s="63">
        <f>IF(NOT((COUNTA($B154:$D154)+COUNTA($G154:$L154)+COUNTA($Q154))&gt;0),"",IF((IF($C154="","Falta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",""))="","✔ OK","⚠ "&amp;LEFT(IF($C154="","Falta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",""),LEN(IF($C154="","Falta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",""))-3)))</f>
        <v/>
      </c>
      <c r="S154" s="64">
        <f>IF(NOT((COUNTA($B154:$D154)+COUNTA($G154:$L154)+COUNTA($Q154))&gt;0),"",IF(AND($V154="Sub",N($U154)&gt;0),IF(ISNUMBER(INDEX($AM$5:$AM$1000,$U154-4)),DATE(YEAR(INDEX($AM$5:$AM$1000,$U154-4)),MONTH(INDEX($AM$5:$AM$1000,$U154-4)),1),IF(ISNUMBER(INDEX($AN$5:$AN$1000,$U154-4)),DATE(YEAR(INDEX($AN$5:$AN$1000,$U154-4)),MONTH(INDEX($AN$5:$AN$1000,$U154-4)),1),MesCiclo)),IF(ISNUMBER($AM154),DATE(YEAR($AM154),MONTH($AM154),1),IF(ISNUMBER($AN154),DATE(YEAR($AN154),MONTH($AN154),1),MesCiclo))))</f>
        <v/>
      </c>
      <c r="T154" s="62">
        <f>IF(OR($S154="",$S154&lt;&gt;MesCiclo),"",COUNTIF($S$5:$S154,MesCiclo))</f>
        <v/>
      </c>
      <c r="U154" s="62">
        <f>IF($V154="","",IF($V154="Macro",ROW(),IFERROR(LOOKUP(2,1/($V$5:$V154="Macro"),ROW($V$5:$V154)),0)))</f>
        <v/>
      </c>
      <c r="V154" s="62">
        <f>IF(NOT((COUNTA($B154:$D154)+COUNTA($G154:$L154)+COUNTA($Q154))&gt;0),"",IF($B154="Subactividad","Sub","Macro"))</f>
        <v/>
      </c>
      <c r="W154" s="62">
        <f>IF($V154="Macro",COUNTIFS($U$5:$U$1000,ROW(),$V$5:$V$1000,"Sub"),"")</f>
        <v/>
      </c>
      <c r="X154" s="62">
        <f>IF($V154="","",IF(ISNUMBER($G154),1,IFERROR(LOOKUP(2,1/($I154:$L154&lt;&gt;""),$I154:$L154),0)))</f>
        <v/>
      </c>
      <c r="Y154" s="62">
        <f>IF($V154="","",IF(AND(ISNUMBER($G154),$G154&lt;=IF($S154=MesCiclo,InicioCiclo,$S154+MOD(2-WEEKDAY($S154),7))+6),1,IF(ISNUMBER($I154),$I154,0)))</f>
        <v/>
      </c>
      <c r="Z154" s="62">
        <f>IF($V154="","",IF(AND(ISNUMBER($G154),$G154&lt;=IF($S154=MesCiclo,InicioCiclo,$S154+MOD(2-WEEKDAY($S154),7))+13),1,IF(ISNUMBER($J154),$J154,$Y154)))</f>
        <v/>
      </c>
      <c r="AA154" s="62">
        <f>IF($V154="","",IF(AND(ISNUMBER($G154),$G154&lt;=IF($S154=MesCiclo,InicioCiclo,$S154+MOD(2-WEEKDAY($S154),7))+20),1,IF(ISNUMBER($K154),$K154,$Z154)))</f>
        <v/>
      </c>
      <c r="AB154" s="62">
        <f>IF($V154="","",IF(AND(ISNUMBER($G154),$G154&lt;=IF($S154=MesCiclo,InicioCiclo,$S154+MOD(2-WEEKDAY($S154),7))+27),1,IF(ISNUMBER($L154),$L154,$AA154)))</f>
        <v/>
      </c>
      <c r="AC154" s="62">
        <f>IF($V154="","",IF(AND(ISNUMBER($G154),$G154&lt;=IF($S154=MesCiclo,InicioCiclo,$S154+MOD(2-WEEKDAY($S154),7))+6),1,IF(N($W154)&gt;0,AVERAGEIFS($Y$5:$Y$1000,$U$5:$U$1000,ROW(),$V$5:$V$1000,"Sub"),$Y154)))</f>
        <v/>
      </c>
      <c r="AD154" s="62">
        <f>IF($V154="","",IF(AND(ISNUMBER($G154),$G154&lt;=IF($S154=MesCiclo,InicioCiclo,$S154+MOD(2-WEEKDAY($S154),7))+13),1,IF(N($W154)&gt;0,AVERAGEIFS($Z$5:$Z$1000,$U$5:$U$1000,ROW(),$V$5:$V$1000,"Sub"),$Z154)))</f>
        <v/>
      </c>
      <c r="AE154" s="62">
        <f>IF($V154="","",IF(AND(ISNUMBER($G154),$G154&lt;=IF($S154=MesCiclo,InicioCiclo,$S154+MOD(2-WEEKDAY($S154),7))+20),1,IF(N($W154)&gt;0,AVERAGEIFS($AA$5:$AA$1000,$U$5:$U$1000,ROW(),$V$5:$V$1000,"Sub"),$AA154)))</f>
        <v/>
      </c>
      <c r="AF154" s="62">
        <f>IF($V154="","",IF(AND(ISNUMBER($G154),$G154&lt;=IF($S154=MesCiclo,InicioCiclo,$S154+MOD(2-WEEKDAY($S154),7))+27),1,IF(N($W154)&gt;0,AVERAGEIFS($AB$5:$AB$1000,$U$5:$U$1000,ROW(),$V$5:$V$1000,"Sub"),$AB154)))</f>
        <v/>
      </c>
      <c r="AG154" s="62">
        <f>IF($V154&lt;&gt;"Macro","",IF(COUNTIFS($S$5:$S$1000,$S154,$V$5:$V$1000,"Macro",$H$5:$H$1000,"&gt;0")=0,1/COUNTIFS($S$5:$S$1000,$S154,$V$5:$V$1000,"Macro"),IF(AND(ISNUMBER($H154),N($H154)&gt;0),$H154,SUMIFS($H$5:$H$1000,$S$5:$S$1000,$S154,$V$5:$V$1000,"Macro")/COUNTIFS($S$5:$S$1000,$S154,$V$5:$V$1000,"Macro",$H$5:$H$1000,"&gt;0"))/(COUNTIFS($S$5:$S$1000,$S154,$V$5:$V$1000,"Macro")*SUMIFS($H$5:$H$1000,$S$5:$S$1000,$S154,$V$5:$V$1000,"Macro")/COUNTIFS($S$5:$S$1000,$S154,$V$5:$V$1000,"Macro",$H$5:$H$1000,"&gt;0"))))</f>
        <v/>
      </c>
      <c r="AH154" s="62" t="n"/>
      <c r="AI154" s="62" t="n"/>
      <c r="AJ154" s="62" t="n"/>
      <c r="AK154" s="62" t="n"/>
      <c r="AL154" s="62">
        <f>IF(LEFT($C154,11)="[Jefatura] ",IFERROR(MATCH("Asistente Técnico de Riesgo|"&amp;MID($C154,12,500),rDname_ADM,0),0),"")</f>
        <v/>
      </c>
      <c r="AM154" s="62">
        <f>IF(N($AL154)&gt;0,INDEX(rIni_ADM,$AL154),IF(ISNUMBER($E154),$E154,""))</f>
        <v/>
      </c>
      <c r="AN154" s="62">
        <f>IF(N($AL154)&gt;0,INDEX(rLim_ADM,$AL154),IF(ISNUMBER($F154),$F154,""))</f>
        <v/>
      </c>
    </row>
    <row r="155">
      <c r="A155" s="56">
        <f>IF(NOT((COUNTA($B155:$D155)+COUNTA($G155:$L155)+COUNTA($Q155))&gt;0),"",IF($V155="Macro",COUNTIFS($V$5:$V155,"Macro",$S$5:$S155,$S155),IF(N($U155)=0,"?",COUNTIFS(INDEX($V$5:$V$1000,1):INDEX($V$5:$V$1000,$U155-4),"Macro",INDEX($S$5:$S$1000,1):INDEX($S$5:$S$1000,$U155-4),INDEX($S$5:$S$1000,$U155-4))&amp;"."&amp;COUNTIFS($U$5:$U155,$U155,$V$5:$V155,"Sub"))))</f>
        <v/>
      </c>
      <c r="B155" s="57" t="n"/>
      <c r="C155" s="58" t="n"/>
      <c r="D155" s="58" t="n"/>
      <c r="E155" s="59">
        <f>IF(N($AL155)&gt;0,INDEX(rIni_ADM,$AL155),"")</f>
        <v/>
      </c>
      <c r="F155" s="59">
        <f>IF(N($AL155)&gt;0,INDEX(rLim_ADM,$AL155),"")</f>
        <v/>
      </c>
      <c r="G155" s="59" t="n"/>
      <c r="H155" s="60" t="n"/>
      <c r="I155" s="60" t="n"/>
      <c r="J155" s="60" t="n"/>
      <c r="K155" s="60" t="n"/>
      <c r="L155" s="60" t="n"/>
      <c r="M155" s="61">
        <f>IF(NOT((COUNTA($B155:$D155)+COUNTA($G155:$L155)+COUNTA($Q155))&gt;0),"",IF(ISNUMBER($G155),1,IF(N($W155)&gt;0,AVERAGEIFS($X$5:$X$1000,$U$5:$U$1000,ROW(),$V$5:$V$1000,"Sub"),$X155)))</f>
        <v/>
      </c>
      <c r="N155" s="56">
        <f>IF($M155="","",IF($M155&gt;=1,"Completado",IF($M155&gt;0,"En curso","Pendiente")))</f>
        <v/>
      </c>
      <c r="O155" s="56">
        <f>IF(NOT((COUNTA($B155:$D155)+COUNTA($G155:$L155)+COUNTA($Q155))&gt;0),"",IF(ISNUMBER($G155),IF(AND(ISNUMBER($AN155),$G155&gt;$AN155),"Cumplida con "&amp;($G155-$AN155)&amp;IF($G155-$AN155=1," día"," días")&amp;" de retraso","Cumplida"),IF(N($M155)&gt;=1,"Cumplida",IF(NOT(ISNUMBER($AN155)),"Sin fecha límite",IF($AN155&lt;FechaRef,"Vencida hace "&amp;(FechaRef-$AN155)&amp;IF(FechaRef-$AN155=1," día"," días"),IF($AN155=FechaRef,"Vence hoy",IF($AN155-FechaRef&lt;=DiasAlerta,"Vence en "&amp;($AN155-FechaRef)&amp;IF($AN155-FechaRef=1," día"," días"),"En plazo")))))))</f>
        <v/>
      </c>
      <c r="P155" s="62" t="n"/>
      <c r="Q155" s="58" t="n"/>
      <c r="R155" s="63">
        <f>IF(NOT((COUNTA($B155:$D155)+COUNTA($G155:$L155)+COUNTA($Q155))&gt;0),"",IF((IF($C155="","Falta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",""))="","✔ OK","⚠ "&amp;LEFT(IF($C155="","Falta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",""),LEN(IF($C155="","Falta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",""))-3)))</f>
        <v/>
      </c>
      <c r="S155" s="64">
        <f>IF(NOT((COUNTA($B155:$D155)+COUNTA($G155:$L155)+COUNTA($Q155))&gt;0),"",IF(AND($V155="Sub",N($U155)&gt;0),IF(ISNUMBER(INDEX($AM$5:$AM$1000,$U155-4)),DATE(YEAR(INDEX($AM$5:$AM$1000,$U155-4)),MONTH(INDEX($AM$5:$AM$1000,$U155-4)),1),IF(ISNUMBER(INDEX($AN$5:$AN$1000,$U155-4)),DATE(YEAR(INDEX($AN$5:$AN$1000,$U155-4)),MONTH(INDEX($AN$5:$AN$1000,$U155-4)),1),MesCiclo)),IF(ISNUMBER($AM155),DATE(YEAR($AM155),MONTH($AM155),1),IF(ISNUMBER($AN155),DATE(YEAR($AN155),MONTH($AN155),1),MesCiclo))))</f>
        <v/>
      </c>
      <c r="T155" s="62">
        <f>IF(OR($S155="",$S155&lt;&gt;MesCiclo),"",COUNTIF($S$5:$S155,MesCiclo))</f>
        <v/>
      </c>
      <c r="U155" s="62">
        <f>IF($V155="","",IF($V155="Macro",ROW(),IFERROR(LOOKUP(2,1/($V$5:$V155="Macro"),ROW($V$5:$V155)),0)))</f>
        <v/>
      </c>
      <c r="V155" s="62">
        <f>IF(NOT((COUNTA($B155:$D155)+COUNTA($G155:$L155)+COUNTA($Q155))&gt;0),"",IF($B155="Subactividad","Sub","Macro"))</f>
        <v/>
      </c>
      <c r="W155" s="62">
        <f>IF($V155="Macro",COUNTIFS($U$5:$U$1000,ROW(),$V$5:$V$1000,"Sub"),"")</f>
        <v/>
      </c>
      <c r="X155" s="62">
        <f>IF($V155="","",IF(ISNUMBER($G155),1,IFERROR(LOOKUP(2,1/($I155:$L155&lt;&gt;""),$I155:$L155),0)))</f>
        <v/>
      </c>
      <c r="Y155" s="62">
        <f>IF($V155="","",IF(AND(ISNUMBER($G155),$G155&lt;=IF($S155=MesCiclo,InicioCiclo,$S155+MOD(2-WEEKDAY($S155),7))+6),1,IF(ISNUMBER($I155),$I155,0)))</f>
        <v/>
      </c>
      <c r="Z155" s="62">
        <f>IF($V155="","",IF(AND(ISNUMBER($G155),$G155&lt;=IF($S155=MesCiclo,InicioCiclo,$S155+MOD(2-WEEKDAY($S155),7))+13),1,IF(ISNUMBER($J155),$J155,$Y155)))</f>
        <v/>
      </c>
      <c r="AA155" s="62">
        <f>IF($V155="","",IF(AND(ISNUMBER($G155),$G155&lt;=IF($S155=MesCiclo,InicioCiclo,$S155+MOD(2-WEEKDAY($S155),7))+20),1,IF(ISNUMBER($K155),$K155,$Z155)))</f>
        <v/>
      </c>
      <c r="AB155" s="62">
        <f>IF($V155="","",IF(AND(ISNUMBER($G155),$G155&lt;=IF($S155=MesCiclo,InicioCiclo,$S155+MOD(2-WEEKDAY($S155),7))+27),1,IF(ISNUMBER($L155),$L155,$AA155)))</f>
        <v/>
      </c>
      <c r="AC155" s="62">
        <f>IF($V155="","",IF(AND(ISNUMBER($G155),$G155&lt;=IF($S155=MesCiclo,InicioCiclo,$S155+MOD(2-WEEKDAY($S155),7))+6),1,IF(N($W155)&gt;0,AVERAGEIFS($Y$5:$Y$1000,$U$5:$U$1000,ROW(),$V$5:$V$1000,"Sub"),$Y155)))</f>
        <v/>
      </c>
      <c r="AD155" s="62">
        <f>IF($V155="","",IF(AND(ISNUMBER($G155),$G155&lt;=IF($S155=MesCiclo,InicioCiclo,$S155+MOD(2-WEEKDAY($S155),7))+13),1,IF(N($W155)&gt;0,AVERAGEIFS($Z$5:$Z$1000,$U$5:$U$1000,ROW(),$V$5:$V$1000,"Sub"),$Z155)))</f>
        <v/>
      </c>
      <c r="AE155" s="62">
        <f>IF($V155="","",IF(AND(ISNUMBER($G155),$G155&lt;=IF($S155=MesCiclo,InicioCiclo,$S155+MOD(2-WEEKDAY($S155),7))+20),1,IF(N($W155)&gt;0,AVERAGEIFS($AA$5:$AA$1000,$U$5:$U$1000,ROW(),$V$5:$V$1000,"Sub"),$AA155)))</f>
        <v/>
      </c>
      <c r="AF155" s="62">
        <f>IF($V155="","",IF(AND(ISNUMBER($G155),$G155&lt;=IF($S155=MesCiclo,InicioCiclo,$S155+MOD(2-WEEKDAY($S155),7))+27),1,IF(N($W155)&gt;0,AVERAGEIFS($AB$5:$AB$1000,$U$5:$U$1000,ROW(),$V$5:$V$1000,"Sub"),$AB155)))</f>
        <v/>
      </c>
      <c r="AG155" s="62">
        <f>IF($V155&lt;&gt;"Macro","",IF(COUNTIFS($S$5:$S$1000,$S155,$V$5:$V$1000,"Macro",$H$5:$H$1000,"&gt;0")=0,1/COUNTIFS($S$5:$S$1000,$S155,$V$5:$V$1000,"Macro"),IF(AND(ISNUMBER($H155),N($H155)&gt;0),$H155,SUMIFS($H$5:$H$1000,$S$5:$S$1000,$S155,$V$5:$V$1000,"Macro")/COUNTIFS($S$5:$S$1000,$S155,$V$5:$V$1000,"Macro",$H$5:$H$1000,"&gt;0"))/(COUNTIFS($S$5:$S$1000,$S155,$V$5:$V$1000,"Macro")*SUMIFS($H$5:$H$1000,$S$5:$S$1000,$S155,$V$5:$V$1000,"Macro")/COUNTIFS($S$5:$S$1000,$S155,$V$5:$V$1000,"Macro",$H$5:$H$1000,"&gt;0"))))</f>
        <v/>
      </c>
      <c r="AH155" s="62" t="n"/>
      <c r="AI155" s="62" t="n"/>
      <c r="AJ155" s="62" t="n"/>
      <c r="AK155" s="62" t="n"/>
      <c r="AL155" s="62">
        <f>IF(LEFT($C155,11)="[Jefatura] ",IFERROR(MATCH("Asistente Técnico de Riesgo|"&amp;MID($C155,12,500),rDname_ADM,0),0),"")</f>
        <v/>
      </c>
      <c r="AM155" s="62">
        <f>IF(N($AL155)&gt;0,INDEX(rIni_ADM,$AL155),IF(ISNUMBER($E155),$E155,""))</f>
        <v/>
      </c>
      <c r="AN155" s="62">
        <f>IF(N($AL155)&gt;0,INDEX(rLim_ADM,$AL155),IF(ISNUMBER($F155),$F155,""))</f>
        <v/>
      </c>
    </row>
    <row r="156">
      <c r="A156" s="56">
        <f>IF(NOT((COUNTA($B156:$D156)+COUNTA($G156:$L156)+COUNTA($Q156))&gt;0),"",IF($V156="Macro",COUNTIFS($V$5:$V156,"Macro",$S$5:$S156,$S156),IF(N($U156)=0,"?",COUNTIFS(INDEX($V$5:$V$1000,1):INDEX($V$5:$V$1000,$U156-4),"Macro",INDEX($S$5:$S$1000,1):INDEX($S$5:$S$1000,$U156-4),INDEX($S$5:$S$1000,$U156-4))&amp;"."&amp;COUNTIFS($U$5:$U156,$U156,$V$5:$V156,"Sub"))))</f>
        <v/>
      </c>
      <c r="B156" s="57" t="n"/>
      <c r="C156" s="58" t="n"/>
      <c r="D156" s="58" t="n"/>
      <c r="E156" s="59">
        <f>IF(N($AL156)&gt;0,INDEX(rIni_ADM,$AL156),"")</f>
        <v/>
      </c>
      <c r="F156" s="59">
        <f>IF(N($AL156)&gt;0,INDEX(rLim_ADM,$AL156),"")</f>
        <v/>
      </c>
      <c r="G156" s="59" t="n"/>
      <c r="H156" s="60" t="n"/>
      <c r="I156" s="60" t="n"/>
      <c r="J156" s="60" t="n"/>
      <c r="K156" s="60" t="n"/>
      <c r="L156" s="60" t="n"/>
      <c r="M156" s="61">
        <f>IF(NOT((COUNTA($B156:$D156)+COUNTA($G156:$L156)+COUNTA($Q156))&gt;0),"",IF(ISNUMBER($G156),1,IF(N($W156)&gt;0,AVERAGEIFS($X$5:$X$1000,$U$5:$U$1000,ROW(),$V$5:$V$1000,"Sub"),$X156)))</f>
        <v/>
      </c>
      <c r="N156" s="56">
        <f>IF($M156="","",IF($M156&gt;=1,"Completado",IF($M156&gt;0,"En curso","Pendiente")))</f>
        <v/>
      </c>
      <c r="O156" s="56">
        <f>IF(NOT((COUNTA($B156:$D156)+COUNTA($G156:$L156)+COUNTA($Q156))&gt;0),"",IF(ISNUMBER($G156),IF(AND(ISNUMBER($AN156),$G156&gt;$AN156),"Cumplida con "&amp;($G156-$AN156)&amp;IF($G156-$AN156=1," día"," días")&amp;" de retraso","Cumplida"),IF(N($M156)&gt;=1,"Cumplida",IF(NOT(ISNUMBER($AN156)),"Sin fecha límite",IF($AN156&lt;FechaRef,"Vencida hace "&amp;(FechaRef-$AN156)&amp;IF(FechaRef-$AN156=1," día"," días"),IF($AN156=FechaRef,"Vence hoy",IF($AN156-FechaRef&lt;=DiasAlerta,"Vence en "&amp;($AN156-FechaRef)&amp;IF($AN156-FechaRef=1," día"," días"),"En plazo")))))))</f>
        <v/>
      </c>
      <c r="P156" s="62" t="n"/>
      <c r="Q156" s="58" t="n"/>
      <c r="R156" s="63">
        <f>IF(NOT((COUNTA($B156:$D156)+COUNTA($G156:$L156)+COUNTA($Q156))&gt;0),"",IF((IF($C156="","Falta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",""))="","✔ OK","⚠ "&amp;LEFT(IF($C156="","Falta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",""),LEN(IF($C156="","Falta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",""))-3)))</f>
        <v/>
      </c>
      <c r="S156" s="64">
        <f>IF(NOT((COUNTA($B156:$D156)+COUNTA($G156:$L156)+COUNTA($Q156))&gt;0),"",IF(AND($V156="Sub",N($U156)&gt;0),IF(ISNUMBER(INDEX($AM$5:$AM$1000,$U156-4)),DATE(YEAR(INDEX($AM$5:$AM$1000,$U156-4)),MONTH(INDEX($AM$5:$AM$1000,$U156-4)),1),IF(ISNUMBER(INDEX($AN$5:$AN$1000,$U156-4)),DATE(YEAR(INDEX($AN$5:$AN$1000,$U156-4)),MONTH(INDEX($AN$5:$AN$1000,$U156-4)),1),MesCiclo)),IF(ISNUMBER($AM156),DATE(YEAR($AM156),MONTH($AM156),1),IF(ISNUMBER($AN156),DATE(YEAR($AN156),MONTH($AN156),1),MesCiclo))))</f>
        <v/>
      </c>
      <c r="T156" s="62">
        <f>IF(OR($S156="",$S156&lt;&gt;MesCiclo),"",COUNTIF($S$5:$S156,MesCiclo))</f>
        <v/>
      </c>
      <c r="U156" s="62">
        <f>IF($V156="","",IF($V156="Macro",ROW(),IFERROR(LOOKUP(2,1/($V$5:$V156="Macro"),ROW($V$5:$V156)),0)))</f>
        <v/>
      </c>
      <c r="V156" s="62">
        <f>IF(NOT((COUNTA($B156:$D156)+COUNTA($G156:$L156)+COUNTA($Q156))&gt;0),"",IF($B156="Subactividad","Sub","Macro"))</f>
        <v/>
      </c>
      <c r="W156" s="62">
        <f>IF($V156="Macro",COUNTIFS($U$5:$U$1000,ROW(),$V$5:$V$1000,"Sub"),"")</f>
        <v/>
      </c>
      <c r="X156" s="62">
        <f>IF($V156="","",IF(ISNUMBER($G156),1,IFERROR(LOOKUP(2,1/($I156:$L156&lt;&gt;""),$I156:$L156),0)))</f>
        <v/>
      </c>
      <c r="Y156" s="62">
        <f>IF($V156="","",IF(AND(ISNUMBER($G156),$G156&lt;=IF($S156=MesCiclo,InicioCiclo,$S156+MOD(2-WEEKDAY($S156),7))+6),1,IF(ISNUMBER($I156),$I156,0)))</f>
        <v/>
      </c>
      <c r="Z156" s="62">
        <f>IF($V156="","",IF(AND(ISNUMBER($G156),$G156&lt;=IF($S156=MesCiclo,InicioCiclo,$S156+MOD(2-WEEKDAY($S156),7))+13),1,IF(ISNUMBER($J156),$J156,$Y156)))</f>
        <v/>
      </c>
      <c r="AA156" s="62">
        <f>IF($V156="","",IF(AND(ISNUMBER($G156),$G156&lt;=IF($S156=MesCiclo,InicioCiclo,$S156+MOD(2-WEEKDAY($S156),7))+20),1,IF(ISNUMBER($K156),$K156,$Z156)))</f>
        <v/>
      </c>
      <c r="AB156" s="62">
        <f>IF($V156="","",IF(AND(ISNUMBER($G156),$G156&lt;=IF($S156=MesCiclo,InicioCiclo,$S156+MOD(2-WEEKDAY($S156),7))+27),1,IF(ISNUMBER($L156),$L156,$AA156)))</f>
        <v/>
      </c>
      <c r="AC156" s="62">
        <f>IF($V156="","",IF(AND(ISNUMBER($G156),$G156&lt;=IF($S156=MesCiclo,InicioCiclo,$S156+MOD(2-WEEKDAY($S156),7))+6),1,IF(N($W156)&gt;0,AVERAGEIFS($Y$5:$Y$1000,$U$5:$U$1000,ROW(),$V$5:$V$1000,"Sub"),$Y156)))</f>
        <v/>
      </c>
      <c r="AD156" s="62">
        <f>IF($V156="","",IF(AND(ISNUMBER($G156),$G156&lt;=IF($S156=MesCiclo,InicioCiclo,$S156+MOD(2-WEEKDAY($S156),7))+13),1,IF(N($W156)&gt;0,AVERAGEIFS($Z$5:$Z$1000,$U$5:$U$1000,ROW(),$V$5:$V$1000,"Sub"),$Z156)))</f>
        <v/>
      </c>
      <c r="AE156" s="62">
        <f>IF($V156="","",IF(AND(ISNUMBER($G156),$G156&lt;=IF($S156=MesCiclo,InicioCiclo,$S156+MOD(2-WEEKDAY($S156),7))+20),1,IF(N($W156)&gt;0,AVERAGEIFS($AA$5:$AA$1000,$U$5:$U$1000,ROW(),$V$5:$V$1000,"Sub"),$AA156)))</f>
        <v/>
      </c>
      <c r="AF156" s="62">
        <f>IF($V156="","",IF(AND(ISNUMBER($G156),$G156&lt;=IF($S156=MesCiclo,InicioCiclo,$S156+MOD(2-WEEKDAY($S156),7))+27),1,IF(N($W156)&gt;0,AVERAGEIFS($AB$5:$AB$1000,$U$5:$U$1000,ROW(),$V$5:$V$1000,"Sub"),$AB156)))</f>
        <v/>
      </c>
      <c r="AG156" s="62">
        <f>IF($V156&lt;&gt;"Macro","",IF(COUNTIFS($S$5:$S$1000,$S156,$V$5:$V$1000,"Macro",$H$5:$H$1000,"&gt;0")=0,1/COUNTIFS($S$5:$S$1000,$S156,$V$5:$V$1000,"Macro"),IF(AND(ISNUMBER($H156),N($H156)&gt;0),$H156,SUMIFS($H$5:$H$1000,$S$5:$S$1000,$S156,$V$5:$V$1000,"Macro")/COUNTIFS($S$5:$S$1000,$S156,$V$5:$V$1000,"Macro",$H$5:$H$1000,"&gt;0"))/(COUNTIFS($S$5:$S$1000,$S156,$V$5:$V$1000,"Macro")*SUMIFS($H$5:$H$1000,$S$5:$S$1000,$S156,$V$5:$V$1000,"Macro")/COUNTIFS($S$5:$S$1000,$S156,$V$5:$V$1000,"Macro",$H$5:$H$1000,"&gt;0"))))</f>
        <v/>
      </c>
      <c r="AH156" s="62" t="n"/>
      <c r="AI156" s="62" t="n"/>
      <c r="AJ156" s="62" t="n"/>
      <c r="AK156" s="62" t="n"/>
      <c r="AL156" s="62">
        <f>IF(LEFT($C156,11)="[Jefatura] ",IFERROR(MATCH("Asistente Técnico de Riesgo|"&amp;MID($C156,12,500),rDname_ADM,0),0),"")</f>
        <v/>
      </c>
      <c r="AM156" s="62">
        <f>IF(N($AL156)&gt;0,INDEX(rIni_ADM,$AL156),IF(ISNUMBER($E156),$E156,""))</f>
        <v/>
      </c>
      <c r="AN156" s="62">
        <f>IF(N($AL156)&gt;0,INDEX(rLim_ADM,$AL156),IF(ISNUMBER($F156),$F156,""))</f>
        <v/>
      </c>
    </row>
    <row r="157">
      <c r="A157" s="56">
        <f>IF(NOT((COUNTA($B157:$D157)+COUNTA($G157:$L157)+COUNTA($Q157))&gt;0),"",IF($V157="Macro",COUNTIFS($V$5:$V157,"Macro",$S$5:$S157,$S157),IF(N($U157)=0,"?",COUNTIFS(INDEX($V$5:$V$1000,1):INDEX($V$5:$V$1000,$U157-4),"Macro",INDEX($S$5:$S$1000,1):INDEX($S$5:$S$1000,$U157-4),INDEX($S$5:$S$1000,$U157-4))&amp;"."&amp;COUNTIFS($U$5:$U157,$U157,$V$5:$V157,"Sub"))))</f>
        <v/>
      </c>
      <c r="B157" s="57" t="n"/>
      <c r="C157" s="58" t="n"/>
      <c r="D157" s="58" t="n"/>
      <c r="E157" s="59">
        <f>IF(N($AL157)&gt;0,INDEX(rIni_ADM,$AL157),"")</f>
        <v/>
      </c>
      <c r="F157" s="59">
        <f>IF(N($AL157)&gt;0,INDEX(rLim_ADM,$AL157),"")</f>
        <v/>
      </c>
      <c r="G157" s="59" t="n"/>
      <c r="H157" s="60" t="n"/>
      <c r="I157" s="60" t="n"/>
      <c r="J157" s="60" t="n"/>
      <c r="K157" s="60" t="n"/>
      <c r="L157" s="60" t="n"/>
      <c r="M157" s="61">
        <f>IF(NOT((COUNTA($B157:$D157)+COUNTA($G157:$L157)+COUNTA($Q157))&gt;0),"",IF(ISNUMBER($G157),1,IF(N($W157)&gt;0,AVERAGEIFS($X$5:$X$1000,$U$5:$U$1000,ROW(),$V$5:$V$1000,"Sub"),$X157)))</f>
        <v/>
      </c>
      <c r="N157" s="56">
        <f>IF($M157="","",IF($M157&gt;=1,"Completado",IF($M157&gt;0,"En curso","Pendiente")))</f>
        <v/>
      </c>
      <c r="O157" s="56">
        <f>IF(NOT((COUNTA($B157:$D157)+COUNTA($G157:$L157)+COUNTA($Q157))&gt;0),"",IF(ISNUMBER($G157),IF(AND(ISNUMBER($AN157),$G157&gt;$AN157),"Cumplida con "&amp;($G157-$AN157)&amp;IF($G157-$AN157=1," día"," días")&amp;" de retraso","Cumplida"),IF(N($M157)&gt;=1,"Cumplida",IF(NOT(ISNUMBER($AN157)),"Sin fecha límite",IF($AN157&lt;FechaRef,"Vencida hace "&amp;(FechaRef-$AN157)&amp;IF(FechaRef-$AN157=1," día"," días"),IF($AN157=FechaRef,"Vence hoy",IF($AN157-FechaRef&lt;=DiasAlerta,"Vence en "&amp;($AN157-FechaRef)&amp;IF($AN157-FechaRef=1," día"," días"),"En plazo")))))))</f>
        <v/>
      </c>
      <c r="P157" s="62" t="n"/>
      <c r="Q157" s="58" t="n"/>
      <c r="R157" s="63">
        <f>IF(NOT((COUNTA($B157:$D157)+COUNTA($G157:$L157)+COUNTA($Q157))&gt;0),"",IF((IF($C157="","Falta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",""))="","✔ OK","⚠ "&amp;LEFT(IF($C157="","Falta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",""),LEN(IF($C157="","Falta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",""))-3)))</f>
        <v/>
      </c>
      <c r="S157" s="64">
        <f>IF(NOT((COUNTA($B157:$D157)+COUNTA($G157:$L157)+COUNTA($Q157))&gt;0),"",IF(AND($V157="Sub",N($U157)&gt;0),IF(ISNUMBER(INDEX($AM$5:$AM$1000,$U157-4)),DATE(YEAR(INDEX($AM$5:$AM$1000,$U157-4)),MONTH(INDEX($AM$5:$AM$1000,$U157-4)),1),IF(ISNUMBER(INDEX($AN$5:$AN$1000,$U157-4)),DATE(YEAR(INDEX($AN$5:$AN$1000,$U157-4)),MONTH(INDEX($AN$5:$AN$1000,$U157-4)),1),MesCiclo)),IF(ISNUMBER($AM157),DATE(YEAR($AM157),MONTH($AM157),1),IF(ISNUMBER($AN157),DATE(YEAR($AN157),MONTH($AN157),1),MesCiclo))))</f>
        <v/>
      </c>
      <c r="T157" s="62">
        <f>IF(OR($S157="",$S157&lt;&gt;MesCiclo),"",COUNTIF($S$5:$S157,MesCiclo))</f>
        <v/>
      </c>
      <c r="U157" s="62">
        <f>IF($V157="","",IF($V157="Macro",ROW(),IFERROR(LOOKUP(2,1/($V$5:$V157="Macro"),ROW($V$5:$V157)),0)))</f>
        <v/>
      </c>
      <c r="V157" s="62">
        <f>IF(NOT((COUNTA($B157:$D157)+COUNTA($G157:$L157)+COUNTA($Q157))&gt;0),"",IF($B157="Subactividad","Sub","Macro"))</f>
        <v/>
      </c>
      <c r="W157" s="62">
        <f>IF($V157="Macro",COUNTIFS($U$5:$U$1000,ROW(),$V$5:$V$1000,"Sub"),"")</f>
        <v/>
      </c>
      <c r="X157" s="62">
        <f>IF($V157="","",IF(ISNUMBER($G157),1,IFERROR(LOOKUP(2,1/($I157:$L157&lt;&gt;""),$I157:$L157),0)))</f>
        <v/>
      </c>
      <c r="Y157" s="62">
        <f>IF($V157="","",IF(AND(ISNUMBER($G157),$G157&lt;=IF($S157=MesCiclo,InicioCiclo,$S157+MOD(2-WEEKDAY($S157),7))+6),1,IF(ISNUMBER($I157),$I157,0)))</f>
        <v/>
      </c>
      <c r="Z157" s="62">
        <f>IF($V157="","",IF(AND(ISNUMBER($G157),$G157&lt;=IF($S157=MesCiclo,InicioCiclo,$S157+MOD(2-WEEKDAY($S157),7))+13),1,IF(ISNUMBER($J157),$J157,$Y157)))</f>
        <v/>
      </c>
      <c r="AA157" s="62">
        <f>IF($V157="","",IF(AND(ISNUMBER($G157),$G157&lt;=IF($S157=MesCiclo,InicioCiclo,$S157+MOD(2-WEEKDAY($S157),7))+20),1,IF(ISNUMBER($K157),$K157,$Z157)))</f>
        <v/>
      </c>
      <c r="AB157" s="62">
        <f>IF($V157="","",IF(AND(ISNUMBER($G157),$G157&lt;=IF($S157=MesCiclo,InicioCiclo,$S157+MOD(2-WEEKDAY($S157),7))+27),1,IF(ISNUMBER($L157),$L157,$AA157)))</f>
        <v/>
      </c>
      <c r="AC157" s="62">
        <f>IF($V157="","",IF(AND(ISNUMBER($G157),$G157&lt;=IF($S157=MesCiclo,InicioCiclo,$S157+MOD(2-WEEKDAY($S157),7))+6),1,IF(N($W157)&gt;0,AVERAGEIFS($Y$5:$Y$1000,$U$5:$U$1000,ROW(),$V$5:$V$1000,"Sub"),$Y157)))</f>
        <v/>
      </c>
      <c r="AD157" s="62">
        <f>IF($V157="","",IF(AND(ISNUMBER($G157),$G157&lt;=IF($S157=MesCiclo,InicioCiclo,$S157+MOD(2-WEEKDAY($S157),7))+13),1,IF(N($W157)&gt;0,AVERAGEIFS($Z$5:$Z$1000,$U$5:$U$1000,ROW(),$V$5:$V$1000,"Sub"),$Z157)))</f>
        <v/>
      </c>
      <c r="AE157" s="62">
        <f>IF($V157="","",IF(AND(ISNUMBER($G157),$G157&lt;=IF($S157=MesCiclo,InicioCiclo,$S157+MOD(2-WEEKDAY($S157),7))+20),1,IF(N($W157)&gt;0,AVERAGEIFS($AA$5:$AA$1000,$U$5:$U$1000,ROW(),$V$5:$V$1000,"Sub"),$AA157)))</f>
        <v/>
      </c>
      <c r="AF157" s="62">
        <f>IF($V157="","",IF(AND(ISNUMBER($G157),$G157&lt;=IF($S157=MesCiclo,InicioCiclo,$S157+MOD(2-WEEKDAY($S157),7))+27),1,IF(N($W157)&gt;0,AVERAGEIFS($AB$5:$AB$1000,$U$5:$U$1000,ROW(),$V$5:$V$1000,"Sub"),$AB157)))</f>
        <v/>
      </c>
      <c r="AG157" s="62">
        <f>IF($V157&lt;&gt;"Macro","",IF(COUNTIFS($S$5:$S$1000,$S157,$V$5:$V$1000,"Macro",$H$5:$H$1000,"&gt;0")=0,1/COUNTIFS($S$5:$S$1000,$S157,$V$5:$V$1000,"Macro"),IF(AND(ISNUMBER($H157),N($H157)&gt;0),$H157,SUMIFS($H$5:$H$1000,$S$5:$S$1000,$S157,$V$5:$V$1000,"Macro")/COUNTIFS($S$5:$S$1000,$S157,$V$5:$V$1000,"Macro",$H$5:$H$1000,"&gt;0"))/(COUNTIFS($S$5:$S$1000,$S157,$V$5:$V$1000,"Macro")*SUMIFS($H$5:$H$1000,$S$5:$S$1000,$S157,$V$5:$V$1000,"Macro")/COUNTIFS($S$5:$S$1000,$S157,$V$5:$V$1000,"Macro",$H$5:$H$1000,"&gt;0"))))</f>
        <v/>
      </c>
      <c r="AH157" s="62" t="n"/>
      <c r="AI157" s="62" t="n"/>
      <c r="AJ157" s="62" t="n"/>
      <c r="AK157" s="62" t="n"/>
      <c r="AL157" s="62">
        <f>IF(LEFT($C157,11)="[Jefatura] ",IFERROR(MATCH("Asistente Técnico de Riesgo|"&amp;MID($C157,12,500),rDname_ADM,0),0),"")</f>
        <v/>
      </c>
      <c r="AM157" s="62">
        <f>IF(N($AL157)&gt;0,INDEX(rIni_ADM,$AL157),IF(ISNUMBER($E157),$E157,""))</f>
        <v/>
      </c>
      <c r="AN157" s="62">
        <f>IF(N($AL157)&gt;0,INDEX(rLim_ADM,$AL157),IF(ISNUMBER($F157),$F157,""))</f>
        <v/>
      </c>
    </row>
    <row r="158">
      <c r="A158" s="56">
        <f>IF(NOT((COUNTA($B158:$D158)+COUNTA($G158:$L158)+COUNTA($Q158))&gt;0),"",IF($V158="Macro",COUNTIFS($V$5:$V158,"Macro",$S$5:$S158,$S158),IF(N($U158)=0,"?",COUNTIFS(INDEX($V$5:$V$1000,1):INDEX($V$5:$V$1000,$U158-4),"Macro",INDEX($S$5:$S$1000,1):INDEX($S$5:$S$1000,$U158-4),INDEX($S$5:$S$1000,$U158-4))&amp;"."&amp;COUNTIFS($U$5:$U158,$U158,$V$5:$V158,"Sub"))))</f>
        <v/>
      </c>
      <c r="B158" s="57" t="n"/>
      <c r="C158" s="58" t="n"/>
      <c r="D158" s="58" t="n"/>
      <c r="E158" s="59">
        <f>IF(N($AL158)&gt;0,INDEX(rIni_ADM,$AL158),"")</f>
        <v/>
      </c>
      <c r="F158" s="59">
        <f>IF(N($AL158)&gt;0,INDEX(rLim_ADM,$AL158),"")</f>
        <v/>
      </c>
      <c r="G158" s="59" t="n"/>
      <c r="H158" s="60" t="n"/>
      <c r="I158" s="60" t="n"/>
      <c r="J158" s="60" t="n"/>
      <c r="K158" s="60" t="n"/>
      <c r="L158" s="60" t="n"/>
      <c r="M158" s="61">
        <f>IF(NOT((COUNTA($B158:$D158)+COUNTA($G158:$L158)+COUNTA($Q158))&gt;0),"",IF(ISNUMBER($G158),1,IF(N($W158)&gt;0,AVERAGEIFS($X$5:$X$1000,$U$5:$U$1000,ROW(),$V$5:$V$1000,"Sub"),$X158)))</f>
        <v/>
      </c>
      <c r="N158" s="56">
        <f>IF($M158="","",IF($M158&gt;=1,"Completado",IF($M158&gt;0,"En curso","Pendiente")))</f>
        <v/>
      </c>
      <c r="O158" s="56">
        <f>IF(NOT((COUNTA($B158:$D158)+COUNTA($G158:$L158)+COUNTA($Q158))&gt;0),"",IF(ISNUMBER($G158),IF(AND(ISNUMBER($AN158),$G158&gt;$AN158),"Cumplida con "&amp;($G158-$AN158)&amp;IF($G158-$AN158=1," día"," días")&amp;" de retraso","Cumplida"),IF(N($M158)&gt;=1,"Cumplida",IF(NOT(ISNUMBER($AN158)),"Sin fecha límite",IF($AN158&lt;FechaRef,"Vencida hace "&amp;(FechaRef-$AN158)&amp;IF(FechaRef-$AN158=1," día"," días"),IF($AN158=FechaRef,"Vence hoy",IF($AN158-FechaRef&lt;=DiasAlerta,"Vence en "&amp;($AN158-FechaRef)&amp;IF($AN158-FechaRef=1," día"," días"),"En plazo")))))))</f>
        <v/>
      </c>
      <c r="P158" s="62" t="n"/>
      <c r="Q158" s="58" t="n"/>
      <c r="R158" s="63">
        <f>IF(NOT((COUNTA($B158:$D158)+COUNTA($G158:$L158)+COUNTA($Q158))&gt;0),"",IF((IF($C158="","Falta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",""))="","✔ OK","⚠ "&amp;LEFT(IF($C158="","Falta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",""),LEN(IF($C158="","Falta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",""))-3)))</f>
        <v/>
      </c>
      <c r="S158" s="64">
        <f>IF(NOT((COUNTA($B158:$D158)+COUNTA($G158:$L158)+COUNTA($Q158))&gt;0),"",IF(AND($V158="Sub",N($U158)&gt;0),IF(ISNUMBER(INDEX($AM$5:$AM$1000,$U158-4)),DATE(YEAR(INDEX($AM$5:$AM$1000,$U158-4)),MONTH(INDEX($AM$5:$AM$1000,$U158-4)),1),IF(ISNUMBER(INDEX($AN$5:$AN$1000,$U158-4)),DATE(YEAR(INDEX($AN$5:$AN$1000,$U158-4)),MONTH(INDEX($AN$5:$AN$1000,$U158-4)),1),MesCiclo)),IF(ISNUMBER($AM158),DATE(YEAR($AM158),MONTH($AM158),1),IF(ISNUMBER($AN158),DATE(YEAR($AN158),MONTH($AN158),1),MesCiclo))))</f>
        <v/>
      </c>
      <c r="T158" s="62">
        <f>IF(OR($S158="",$S158&lt;&gt;MesCiclo),"",COUNTIF($S$5:$S158,MesCiclo))</f>
        <v/>
      </c>
      <c r="U158" s="62">
        <f>IF($V158="","",IF($V158="Macro",ROW(),IFERROR(LOOKUP(2,1/($V$5:$V158="Macro"),ROW($V$5:$V158)),0)))</f>
        <v/>
      </c>
      <c r="V158" s="62">
        <f>IF(NOT((COUNTA($B158:$D158)+COUNTA($G158:$L158)+COUNTA($Q158))&gt;0),"",IF($B158="Subactividad","Sub","Macro"))</f>
        <v/>
      </c>
      <c r="W158" s="62">
        <f>IF($V158="Macro",COUNTIFS($U$5:$U$1000,ROW(),$V$5:$V$1000,"Sub"),"")</f>
        <v/>
      </c>
      <c r="X158" s="62">
        <f>IF($V158="","",IF(ISNUMBER($G158),1,IFERROR(LOOKUP(2,1/($I158:$L158&lt;&gt;""),$I158:$L158),0)))</f>
        <v/>
      </c>
      <c r="Y158" s="62">
        <f>IF($V158="","",IF(AND(ISNUMBER($G158),$G158&lt;=IF($S158=MesCiclo,InicioCiclo,$S158+MOD(2-WEEKDAY($S158),7))+6),1,IF(ISNUMBER($I158),$I158,0)))</f>
        <v/>
      </c>
      <c r="Z158" s="62">
        <f>IF($V158="","",IF(AND(ISNUMBER($G158),$G158&lt;=IF($S158=MesCiclo,InicioCiclo,$S158+MOD(2-WEEKDAY($S158),7))+13),1,IF(ISNUMBER($J158),$J158,$Y158)))</f>
        <v/>
      </c>
      <c r="AA158" s="62">
        <f>IF($V158="","",IF(AND(ISNUMBER($G158),$G158&lt;=IF($S158=MesCiclo,InicioCiclo,$S158+MOD(2-WEEKDAY($S158),7))+20),1,IF(ISNUMBER($K158),$K158,$Z158)))</f>
        <v/>
      </c>
      <c r="AB158" s="62">
        <f>IF($V158="","",IF(AND(ISNUMBER($G158),$G158&lt;=IF($S158=MesCiclo,InicioCiclo,$S158+MOD(2-WEEKDAY($S158),7))+27),1,IF(ISNUMBER($L158),$L158,$AA158)))</f>
        <v/>
      </c>
      <c r="AC158" s="62">
        <f>IF($V158="","",IF(AND(ISNUMBER($G158),$G158&lt;=IF($S158=MesCiclo,InicioCiclo,$S158+MOD(2-WEEKDAY($S158),7))+6),1,IF(N($W158)&gt;0,AVERAGEIFS($Y$5:$Y$1000,$U$5:$U$1000,ROW(),$V$5:$V$1000,"Sub"),$Y158)))</f>
        <v/>
      </c>
      <c r="AD158" s="62">
        <f>IF($V158="","",IF(AND(ISNUMBER($G158),$G158&lt;=IF($S158=MesCiclo,InicioCiclo,$S158+MOD(2-WEEKDAY($S158),7))+13),1,IF(N($W158)&gt;0,AVERAGEIFS($Z$5:$Z$1000,$U$5:$U$1000,ROW(),$V$5:$V$1000,"Sub"),$Z158)))</f>
        <v/>
      </c>
      <c r="AE158" s="62">
        <f>IF($V158="","",IF(AND(ISNUMBER($G158),$G158&lt;=IF($S158=MesCiclo,InicioCiclo,$S158+MOD(2-WEEKDAY($S158),7))+20),1,IF(N($W158)&gt;0,AVERAGEIFS($AA$5:$AA$1000,$U$5:$U$1000,ROW(),$V$5:$V$1000,"Sub"),$AA158)))</f>
        <v/>
      </c>
      <c r="AF158" s="62">
        <f>IF($V158="","",IF(AND(ISNUMBER($G158),$G158&lt;=IF($S158=MesCiclo,InicioCiclo,$S158+MOD(2-WEEKDAY($S158),7))+27),1,IF(N($W158)&gt;0,AVERAGEIFS($AB$5:$AB$1000,$U$5:$U$1000,ROW(),$V$5:$V$1000,"Sub"),$AB158)))</f>
        <v/>
      </c>
      <c r="AG158" s="62">
        <f>IF($V158&lt;&gt;"Macro","",IF(COUNTIFS($S$5:$S$1000,$S158,$V$5:$V$1000,"Macro",$H$5:$H$1000,"&gt;0")=0,1/COUNTIFS($S$5:$S$1000,$S158,$V$5:$V$1000,"Macro"),IF(AND(ISNUMBER($H158),N($H158)&gt;0),$H158,SUMIFS($H$5:$H$1000,$S$5:$S$1000,$S158,$V$5:$V$1000,"Macro")/COUNTIFS($S$5:$S$1000,$S158,$V$5:$V$1000,"Macro",$H$5:$H$1000,"&gt;0"))/(COUNTIFS($S$5:$S$1000,$S158,$V$5:$V$1000,"Macro")*SUMIFS($H$5:$H$1000,$S$5:$S$1000,$S158,$V$5:$V$1000,"Macro")/COUNTIFS($S$5:$S$1000,$S158,$V$5:$V$1000,"Macro",$H$5:$H$1000,"&gt;0"))))</f>
        <v/>
      </c>
      <c r="AH158" s="62" t="n"/>
      <c r="AI158" s="62" t="n"/>
      <c r="AJ158" s="62" t="n"/>
      <c r="AK158" s="62" t="n"/>
      <c r="AL158" s="62">
        <f>IF(LEFT($C158,11)="[Jefatura] ",IFERROR(MATCH("Asistente Técnico de Riesgo|"&amp;MID($C158,12,500),rDname_ADM,0),0),"")</f>
        <v/>
      </c>
      <c r="AM158" s="62">
        <f>IF(N($AL158)&gt;0,INDEX(rIni_ADM,$AL158),IF(ISNUMBER($E158),$E158,""))</f>
        <v/>
      </c>
      <c r="AN158" s="62">
        <f>IF(N($AL158)&gt;0,INDEX(rLim_ADM,$AL158),IF(ISNUMBER($F158),$F158,""))</f>
        <v/>
      </c>
    </row>
    <row r="159">
      <c r="A159" s="56">
        <f>IF(NOT((COUNTA($B159:$D159)+COUNTA($G159:$L159)+COUNTA($Q159))&gt;0),"",IF($V159="Macro",COUNTIFS($V$5:$V159,"Macro",$S$5:$S159,$S159),IF(N($U159)=0,"?",COUNTIFS(INDEX($V$5:$V$1000,1):INDEX($V$5:$V$1000,$U159-4),"Macro",INDEX($S$5:$S$1000,1):INDEX($S$5:$S$1000,$U159-4),INDEX($S$5:$S$1000,$U159-4))&amp;"."&amp;COUNTIFS($U$5:$U159,$U159,$V$5:$V159,"Sub"))))</f>
        <v/>
      </c>
      <c r="B159" s="57" t="n"/>
      <c r="C159" s="58" t="n"/>
      <c r="D159" s="58" t="n"/>
      <c r="E159" s="59">
        <f>IF(N($AL159)&gt;0,INDEX(rIni_ADM,$AL159),"")</f>
        <v/>
      </c>
      <c r="F159" s="59">
        <f>IF(N($AL159)&gt;0,INDEX(rLim_ADM,$AL159),"")</f>
        <v/>
      </c>
      <c r="G159" s="59" t="n"/>
      <c r="H159" s="60" t="n"/>
      <c r="I159" s="60" t="n"/>
      <c r="J159" s="60" t="n"/>
      <c r="K159" s="60" t="n"/>
      <c r="L159" s="60" t="n"/>
      <c r="M159" s="61">
        <f>IF(NOT((COUNTA($B159:$D159)+COUNTA($G159:$L159)+COUNTA($Q159))&gt;0),"",IF(ISNUMBER($G159),1,IF(N($W159)&gt;0,AVERAGEIFS($X$5:$X$1000,$U$5:$U$1000,ROW(),$V$5:$V$1000,"Sub"),$X159)))</f>
        <v/>
      </c>
      <c r="N159" s="56">
        <f>IF($M159="","",IF($M159&gt;=1,"Completado",IF($M159&gt;0,"En curso","Pendiente")))</f>
        <v/>
      </c>
      <c r="O159" s="56">
        <f>IF(NOT((COUNTA($B159:$D159)+COUNTA($G159:$L159)+COUNTA($Q159))&gt;0),"",IF(ISNUMBER($G159),IF(AND(ISNUMBER($AN159),$G159&gt;$AN159),"Cumplida con "&amp;($G159-$AN159)&amp;IF($G159-$AN159=1," día"," días")&amp;" de retraso","Cumplida"),IF(N($M159)&gt;=1,"Cumplida",IF(NOT(ISNUMBER($AN159)),"Sin fecha límite",IF($AN159&lt;FechaRef,"Vencida hace "&amp;(FechaRef-$AN159)&amp;IF(FechaRef-$AN159=1," día"," días"),IF($AN159=FechaRef,"Vence hoy",IF($AN159-FechaRef&lt;=DiasAlerta,"Vence en "&amp;($AN159-FechaRef)&amp;IF($AN159-FechaRef=1," día"," días"),"En plazo")))))))</f>
        <v/>
      </c>
      <c r="P159" s="62" t="n"/>
      <c r="Q159" s="58" t="n"/>
      <c r="R159" s="63">
        <f>IF(NOT((COUNTA($B159:$D159)+COUNTA($G159:$L159)+COUNTA($Q159))&gt;0),"",IF((IF($C159="","Falta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",""))="","✔ OK","⚠ "&amp;LEFT(IF($C159="","Falta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",""),LEN(IF($C159="","Falta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",""))-3)))</f>
        <v/>
      </c>
      <c r="S159" s="64">
        <f>IF(NOT((COUNTA($B159:$D159)+COUNTA($G159:$L159)+COUNTA($Q159))&gt;0),"",IF(AND($V159="Sub",N($U159)&gt;0),IF(ISNUMBER(INDEX($AM$5:$AM$1000,$U159-4)),DATE(YEAR(INDEX($AM$5:$AM$1000,$U159-4)),MONTH(INDEX($AM$5:$AM$1000,$U159-4)),1),IF(ISNUMBER(INDEX($AN$5:$AN$1000,$U159-4)),DATE(YEAR(INDEX($AN$5:$AN$1000,$U159-4)),MONTH(INDEX($AN$5:$AN$1000,$U159-4)),1),MesCiclo)),IF(ISNUMBER($AM159),DATE(YEAR($AM159),MONTH($AM159),1),IF(ISNUMBER($AN159),DATE(YEAR($AN159),MONTH($AN159),1),MesCiclo))))</f>
        <v/>
      </c>
      <c r="T159" s="62">
        <f>IF(OR($S159="",$S159&lt;&gt;MesCiclo),"",COUNTIF($S$5:$S159,MesCiclo))</f>
        <v/>
      </c>
      <c r="U159" s="62">
        <f>IF($V159="","",IF($V159="Macro",ROW(),IFERROR(LOOKUP(2,1/($V$5:$V159="Macro"),ROW($V$5:$V159)),0)))</f>
        <v/>
      </c>
      <c r="V159" s="62">
        <f>IF(NOT((COUNTA($B159:$D159)+COUNTA($G159:$L159)+COUNTA($Q159))&gt;0),"",IF($B159="Subactividad","Sub","Macro"))</f>
        <v/>
      </c>
      <c r="W159" s="62">
        <f>IF($V159="Macro",COUNTIFS($U$5:$U$1000,ROW(),$V$5:$V$1000,"Sub"),"")</f>
        <v/>
      </c>
      <c r="X159" s="62">
        <f>IF($V159="","",IF(ISNUMBER($G159),1,IFERROR(LOOKUP(2,1/($I159:$L159&lt;&gt;""),$I159:$L159),0)))</f>
        <v/>
      </c>
      <c r="Y159" s="62">
        <f>IF($V159="","",IF(AND(ISNUMBER($G159),$G159&lt;=IF($S159=MesCiclo,InicioCiclo,$S159+MOD(2-WEEKDAY($S159),7))+6),1,IF(ISNUMBER($I159),$I159,0)))</f>
        <v/>
      </c>
      <c r="Z159" s="62">
        <f>IF($V159="","",IF(AND(ISNUMBER($G159),$G159&lt;=IF($S159=MesCiclo,InicioCiclo,$S159+MOD(2-WEEKDAY($S159),7))+13),1,IF(ISNUMBER($J159),$J159,$Y159)))</f>
        <v/>
      </c>
      <c r="AA159" s="62">
        <f>IF($V159="","",IF(AND(ISNUMBER($G159),$G159&lt;=IF($S159=MesCiclo,InicioCiclo,$S159+MOD(2-WEEKDAY($S159),7))+20),1,IF(ISNUMBER($K159),$K159,$Z159)))</f>
        <v/>
      </c>
      <c r="AB159" s="62">
        <f>IF($V159="","",IF(AND(ISNUMBER($G159),$G159&lt;=IF($S159=MesCiclo,InicioCiclo,$S159+MOD(2-WEEKDAY($S159),7))+27),1,IF(ISNUMBER($L159),$L159,$AA159)))</f>
        <v/>
      </c>
      <c r="AC159" s="62">
        <f>IF($V159="","",IF(AND(ISNUMBER($G159),$G159&lt;=IF($S159=MesCiclo,InicioCiclo,$S159+MOD(2-WEEKDAY($S159),7))+6),1,IF(N($W159)&gt;0,AVERAGEIFS($Y$5:$Y$1000,$U$5:$U$1000,ROW(),$V$5:$V$1000,"Sub"),$Y159)))</f>
        <v/>
      </c>
      <c r="AD159" s="62">
        <f>IF($V159="","",IF(AND(ISNUMBER($G159),$G159&lt;=IF($S159=MesCiclo,InicioCiclo,$S159+MOD(2-WEEKDAY($S159),7))+13),1,IF(N($W159)&gt;0,AVERAGEIFS($Z$5:$Z$1000,$U$5:$U$1000,ROW(),$V$5:$V$1000,"Sub"),$Z159)))</f>
        <v/>
      </c>
      <c r="AE159" s="62">
        <f>IF($V159="","",IF(AND(ISNUMBER($G159),$G159&lt;=IF($S159=MesCiclo,InicioCiclo,$S159+MOD(2-WEEKDAY($S159),7))+20),1,IF(N($W159)&gt;0,AVERAGEIFS($AA$5:$AA$1000,$U$5:$U$1000,ROW(),$V$5:$V$1000,"Sub"),$AA159)))</f>
        <v/>
      </c>
      <c r="AF159" s="62">
        <f>IF($V159="","",IF(AND(ISNUMBER($G159),$G159&lt;=IF($S159=MesCiclo,InicioCiclo,$S159+MOD(2-WEEKDAY($S159),7))+27),1,IF(N($W159)&gt;0,AVERAGEIFS($AB$5:$AB$1000,$U$5:$U$1000,ROW(),$V$5:$V$1000,"Sub"),$AB159)))</f>
        <v/>
      </c>
      <c r="AG159" s="62">
        <f>IF($V159&lt;&gt;"Macro","",IF(COUNTIFS($S$5:$S$1000,$S159,$V$5:$V$1000,"Macro",$H$5:$H$1000,"&gt;0")=0,1/COUNTIFS($S$5:$S$1000,$S159,$V$5:$V$1000,"Macro"),IF(AND(ISNUMBER($H159),N($H159)&gt;0),$H159,SUMIFS($H$5:$H$1000,$S$5:$S$1000,$S159,$V$5:$V$1000,"Macro")/COUNTIFS($S$5:$S$1000,$S159,$V$5:$V$1000,"Macro",$H$5:$H$1000,"&gt;0"))/(COUNTIFS($S$5:$S$1000,$S159,$V$5:$V$1000,"Macro")*SUMIFS($H$5:$H$1000,$S$5:$S$1000,$S159,$V$5:$V$1000,"Macro")/COUNTIFS($S$5:$S$1000,$S159,$V$5:$V$1000,"Macro",$H$5:$H$1000,"&gt;0"))))</f>
        <v/>
      </c>
      <c r="AH159" s="62" t="n"/>
      <c r="AI159" s="62" t="n"/>
      <c r="AJ159" s="62" t="n"/>
      <c r="AK159" s="62" t="n"/>
      <c r="AL159" s="62">
        <f>IF(LEFT($C159,11)="[Jefatura] ",IFERROR(MATCH("Asistente Técnico de Riesgo|"&amp;MID($C159,12,500),rDname_ADM,0),0),"")</f>
        <v/>
      </c>
      <c r="AM159" s="62">
        <f>IF(N($AL159)&gt;0,INDEX(rIni_ADM,$AL159),IF(ISNUMBER($E159),$E159,""))</f>
        <v/>
      </c>
      <c r="AN159" s="62">
        <f>IF(N($AL159)&gt;0,INDEX(rLim_ADM,$AL159),IF(ISNUMBER($F159),$F159,""))</f>
        <v/>
      </c>
    </row>
    <row r="160">
      <c r="A160" s="56">
        <f>IF(NOT((COUNTA($B160:$D160)+COUNTA($G160:$L160)+COUNTA($Q160))&gt;0),"",IF($V160="Macro",COUNTIFS($V$5:$V160,"Macro",$S$5:$S160,$S160),IF(N($U160)=0,"?",COUNTIFS(INDEX($V$5:$V$1000,1):INDEX($V$5:$V$1000,$U160-4),"Macro",INDEX($S$5:$S$1000,1):INDEX($S$5:$S$1000,$U160-4),INDEX($S$5:$S$1000,$U160-4))&amp;"."&amp;COUNTIFS($U$5:$U160,$U160,$V$5:$V160,"Sub"))))</f>
        <v/>
      </c>
      <c r="B160" s="57" t="n"/>
      <c r="C160" s="58" t="n"/>
      <c r="D160" s="58" t="n"/>
      <c r="E160" s="59">
        <f>IF(N($AL160)&gt;0,INDEX(rIni_ADM,$AL160),"")</f>
        <v/>
      </c>
      <c r="F160" s="59">
        <f>IF(N($AL160)&gt;0,INDEX(rLim_ADM,$AL160),"")</f>
        <v/>
      </c>
      <c r="G160" s="59" t="n"/>
      <c r="H160" s="60" t="n"/>
      <c r="I160" s="60" t="n"/>
      <c r="J160" s="60" t="n"/>
      <c r="K160" s="60" t="n"/>
      <c r="L160" s="60" t="n"/>
      <c r="M160" s="61">
        <f>IF(NOT((COUNTA($B160:$D160)+COUNTA($G160:$L160)+COUNTA($Q160))&gt;0),"",IF(ISNUMBER($G160),1,IF(N($W160)&gt;0,AVERAGEIFS($X$5:$X$1000,$U$5:$U$1000,ROW(),$V$5:$V$1000,"Sub"),$X160)))</f>
        <v/>
      </c>
      <c r="N160" s="56">
        <f>IF($M160="","",IF($M160&gt;=1,"Completado",IF($M160&gt;0,"En curso","Pendiente")))</f>
        <v/>
      </c>
      <c r="O160" s="56">
        <f>IF(NOT((COUNTA($B160:$D160)+COUNTA($G160:$L160)+COUNTA($Q160))&gt;0),"",IF(ISNUMBER($G160),IF(AND(ISNUMBER($AN160),$G160&gt;$AN160),"Cumplida con "&amp;($G160-$AN160)&amp;IF($G160-$AN160=1," día"," días")&amp;" de retraso","Cumplida"),IF(N($M160)&gt;=1,"Cumplida",IF(NOT(ISNUMBER($AN160)),"Sin fecha límite",IF($AN160&lt;FechaRef,"Vencida hace "&amp;(FechaRef-$AN160)&amp;IF(FechaRef-$AN160=1," día"," días"),IF($AN160=FechaRef,"Vence hoy",IF($AN160-FechaRef&lt;=DiasAlerta,"Vence en "&amp;($AN160-FechaRef)&amp;IF($AN160-FechaRef=1," día"," días"),"En plazo")))))))</f>
        <v/>
      </c>
      <c r="P160" s="62" t="n"/>
      <c r="Q160" s="58" t="n"/>
      <c r="R160" s="63">
        <f>IF(NOT((COUNTA($B160:$D160)+COUNTA($G160:$L160)+COUNTA($Q160))&gt;0),"",IF((IF($C160="","Falta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",""))="","✔ OK","⚠ "&amp;LEFT(IF($C160="","Falta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",""),LEN(IF($C160="","Falta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",""))-3)))</f>
        <v/>
      </c>
      <c r="S160" s="64">
        <f>IF(NOT((COUNTA($B160:$D160)+COUNTA($G160:$L160)+COUNTA($Q160))&gt;0),"",IF(AND($V160="Sub",N($U160)&gt;0),IF(ISNUMBER(INDEX($AM$5:$AM$1000,$U160-4)),DATE(YEAR(INDEX($AM$5:$AM$1000,$U160-4)),MONTH(INDEX($AM$5:$AM$1000,$U160-4)),1),IF(ISNUMBER(INDEX($AN$5:$AN$1000,$U160-4)),DATE(YEAR(INDEX($AN$5:$AN$1000,$U160-4)),MONTH(INDEX($AN$5:$AN$1000,$U160-4)),1),MesCiclo)),IF(ISNUMBER($AM160),DATE(YEAR($AM160),MONTH($AM160),1),IF(ISNUMBER($AN160),DATE(YEAR($AN160),MONTH($AN160),1),MesCiclo))))</f>
        <v/>
      </c>
      <c r="T160" s="62">
        <f>IF(OR($S160="",$S160&lt;&gt;MesCiclo),"",COUNTIF($S$5:$S160,MesCiclo))</f>
        <v/>
      </c>
      <c r="U160" s="62">
        <f>IF($V160="","",IF($V160="Macro",ROW(),IFERROR(LOOKUP(2,1/($V$5:$V160="Macro"),ROW($V$5:$V160)),0)))</f>
        <v/>
      </c>
      <c r="V160" s="62">
        <f>IF(NOT((COUNTA($B160:$D160)+COUNTA($G160:$L160)+COUNTA($Q160))&gt;0),"",IF($B160="Subactividad","Sub","Macro"))</f>
        <v/>
      </c>
      <c r="W160" s="62">
        <f>IF($V160="Macro",COUNTIFS($U$5:$U$1000,ROW(),$V$5:$V$1000,"Sub"),"")</f>
        <v/>
      </c>
      <c r="X160" s="62">
        <f>IF($V160="","",IF(ISNUMBER($G160),1,IFERROR(LOOKUP(2,1/($I160:$L160&lt;&gt;""),$I160:$L160),0)))</f>
        <v/>
      </c>
      <c r="Y160" s="62">
        <f>IF($V160="","",IF(AND(ISNUMBER($G160),$G160&lt;=IF($S160=MesCiclo,InicioCiclo,$S160+MOD(2-WEEKDAY($S160),7))+6),1,IF(ISNUMBER($I160),$I160,0)))</f>
        <v/>
      </c>
      <c r="Z160" s="62">
        <f>IF($V160="","",IF(AND(ISNUMBER($G160),$G160&lt;=IF($S160=MesCiclo,InicioCiclo,$S160+MOD(2-WEEKDAY($S160),7))+13),1,IF(ISNUMBER($J160),$J160,$Y160)))</f>
        <v/>
      </c>
      <c r="AA160" s="62">
        <f>IF($V160="","",IF(AND(ISNUMBER($G160),$G160&lt;=IF($S160=MesCiclo,InicioCiclo,$S160+MOD(2-WEEKDAY($S160),7))+20),1,IF(ISNUMBER($K160),$K160,$Z160)))</f>
        <v/>
      </c>
      <c r="AB160" s="62">
        <f>IF($V160="","",IF(AND(ISNUMBER($G160),$G160&lt;=IF($S160=MesCiclo,InicioCiclo,$S160+MOD(2-WEEKDAY($S160),7))+27),1,IF(ISNUMBER($L160),$L160,$AA160)))</f>
        <v/>
      </c>
      <c r="AC160" s="62">
        <f>IF($V160="","",IF(AND(ISNUMBER($G160),$G160&lt;=IF($S160=MesCiclo,InicioCiclo,$S160+MOD(2-WEEKDAY($S160),7))+6),1,IF(N($W160)&gt;0,AVERAGEIFS($Y$5:$Y$1000,$U$5:$U$1000,ROW(),$V$5:$V$1000,"Sub"),$Y160)))</f>
        <v/>
      </c>
      <c r="AD160" s="62">
        <f>IF($V160="","",IF(AND(ISNUMBER($G160),$G160&lt;=IF($S160=MesCiclo,InicioCiclo,$S160+MOD(2-WEEKDAY($S160),7))+13),1,IF(N($W160)&gt;0,AVERAGEIFS($Z$5:$Z$1000,$U$5:$U$1000,ROW(),$V$5:$V$1000,"Sub"),$Z160)))</f>
        <v/>
      </c>
      <c r="AE160" s="62">
        <f>IF($V160="","",IF(AND(ISNUMBER($G160),$G160&lt;=IF($S160=MesCiclo,InicioCiclo,$S160+MOD(2-WEEKDAY($S160),7))+20),1,IF(N($W160)&gt;0,AVERAGEIFS($AA$5:$AA$1000,$U$5:$U$1000,ROW(),$V$5:$V$1000,"Sub"),$AA160)))</f>
        <v/>
      </c>
      <c r="AF160" s="62">
        <f>IF($V160="","",IF(AND(ISNUMBER($G160),$G160&lt;=IF($S160=MesCiclo,InicioCiclo,$S160+MOD(2-WEEKDAY($S160),7))+27),1,IF(N($W160)&gt;0,AVERAGEIFS($AB$5:$AB$1000,$U$5:$U$1000,ROW(),$V$5:$V$1000,"Sub"),$AB160)))</f>
        <v/>
      </c>
      <c r="AG160" s="62">
        <f>IF($V160&lt;&gt;"Macro","",IF(COUNTIFS($S$5:$S$1000,$S160,$V$5:$V$1000,"Macro",$H$5:$H$1000,"&gt;0")=0,1/COUNTIFS($S$5:$S$1000,$S160,$V$5:$V$1000,"Macro"),IF(AND(ISNUMBER($H160),N($H160)&gt;0),$H160,SUMIFS($H$5:$H$1000,$S$5:$S$1000,$S160,$V$5:$V$1000,"Macro")/COUNTIFS($S$5:$S$1000,$S160,$V$5:$V$1000,"Macro",$H$5:$H$1000,"&gt;0"))/(COUNTIFS($S$5:$S$1000,$S160,$V$5:$V$1000,"Macro")*SUMIFS($H$5:$H$1000,$S$5:$S$1000,$S160,$V$5:$V$1000,"Macro")/COUNTIFS($S$5:$S$1000,$S160,$V$5:$V$1000,"Macro",$H$5:$H$1000,"&gt;0"))))</f>
        <v/>
      </c>
      <c r="AH160" s="62" t="n"/>
      <c r="AI160" s="62" t="n"/>
      <c r="AJ160" s="62" t="n"/>
      <c r="AK160" s="62" t="n"/>
      <c r="AL160" s="62">
        <f>IF(LEFT($C160,11)="[Jefatura] ",IFERROR(MATCH("Asistente Técnico de Riesgo|"&amp;MID($C160,12,500),rDname_ADM,0),0),"")</f>
        <v/>
      </c>
      <c r="AM160" s="62">
        <f>IF(N($AL160)&gt;0,INDEX(rIni_ADM,$AL160),IF(ISNUMBER($E160),$E160,""))</f>
        <v/>
      </c>
      <c r="AN160" s="62">
        <f>IF(N($AL160)&gt;0,INDEX(rLim_ADM,$AL160),IF(ISNUMBER($F160),$F160,""))</f>
        <v/>
      </c>
    </row>
    <row r="161">
      <c r="A161" s="56">
        <f>IF(NOT((COUNTA($B161:$D161)+COUNTA($G161:$L161)+COUNTA($Q161))&gt;0),"",IF($V161="Macro",COUNTIFS($V$5:$V161,"Macro",$S$5:$S161,$S161),IF(N($U161)=0,"?",COUNTIFS(INDEX($V$5:$V$1000,1):INDEX($V$5:$V$1000,$U161-4),"Macro",INDEX($S$5:$S$1000,1):INDEX($S$5:$S$1000,$U161-4),INDEX($S$5:$S$1000,$U161-4))&amp;"."&amp;COUNTIFS($U$5:$U161,$U161,$V$5:$V161,"Sub"))))</f>
        <v/>
      </c>
      <c r="B161" s="57" t="n"/>
      <c r="C161" s="58" t="n"/>
      <c r="D161" s="58" t="n"/>
      <c r="E161" s="59">
        <f>IF(N($AL161)&gt;0,INDEX(rIni_ADM,$AL161),"")</f>
        <v/>
      </c>
      <c r="F161" s="59">
        <f>IF(N($AL161)&gt;0,INDEX(rLim_ADM,$AL161),"")</f>
        <v/>
      </c>
      <c r="G161" s="59" t="n"/>
      <c r="H161" s="60" t="n"/>
      <c r="I161" s="60" t="n"/>
      <c r="J161" s="60" t="n"/>
      <c r="K161" s="60" t="n"/>
      <c r="L161" s="60" t="n"/>
      <c r="M161" s="61">
        <f>IF(NOT((COUNTA($B161:$D161)+COUNTA($G161:$L161)+COUNTA($Q161))&gt;0),"",IF(ISNUMBER($G161),1,IF(N($W161)&gt;0,AVERAGEIFS($X$5:$X$1000,$U$5:$U$1000,ROW(),$V$5:$V$1000,"Sub"),$X161)))</f>
        <v/>
      </c>
      <c r="N161" s="56">
        <f>IF($M161="","",IF($M161&gt;=1,"Completado",IF($M161&gt;0,"En curso","Pendiente")))</f>
        <v/>
      </c>
      <c r="O161" s="56">
        <f>IF(NOT((COUNTA($B161:$D161)+COUNTA($G161:$L161)+COUNTA($Q161))&gt;0),"",IF(ISNUMBER($G161),IF(AND(ISNUMBER($AN161),$G161&gt;$AN161),"Cumplida con "&amp;($G161-$AN161)&amp;IF($G161-$AN161=1," día"," días")&amp;" de retraso","Cumplida"),IF(N($M161)&gt;=1,"Cumplida",IF(NOT(ISNUMBER($AN161)),"Sin fecha límite",IF($AN161&lt;FechaRef,"Vencida hace "&amp;(FechaRef-$AN161)&amp;IF(FechaRef-$AN161=1," día"," días"),IF($AN161=FechaRef,"Vence hoy",IF($AN161-FechaRef&lt;=DiasAlerta,"Vence en "&amp;($AN161-FechaRef)&amp;IF($AN161-FechaRef=1," día"," días"),"En plazo")))))))</f>
        <v/>
      </c>
      <c r="P161" s="62" t="n"/>
      <c r="Q161" s="58" t="n"/>
      <c r="R161" s="63">
        <f>IF(NOT((COUNTA($B161:$D161)+COUNTA($G161:$L161)+COUNTA($Q161))&gt;0),"",IF((IF($C161="","Falta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",""))="","✔ OK","⚠ "&amp;LEFT(IF($C161="","Falta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",""),LEN(IF($C161="","Falta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",""))-3)))</f>
        <v/>
      </c>
      <c r="S161" s="64">
        <f>IF(NOT((COUNTA($B161:$D161)+COUNTA($G161:$L161)+COUNTA($Q161))&gt;0),"",IF(AND($V161="Sub",N($U161)&gt;0),IF(ISNUMBER(INDEX($AM$5:$AM$1000,$U161-4)),DATE(YEAR(INDEX($AM$5:$AM$1000,$U161-4)),MONTH(INDEX($AM$5:$AM$1000,$U161-4)),1),IF(ISNUMBER(INDEX($AN$5:$AN$1000,$U161-4)),DATE(YEAR(INDEX($AN$5:$AN$1000,$U161-4)),MONTH(INDEX($AN$5:$AN$1000,$U161-4)),1),MesCiclo)),IF(ISNUMBER($AM161),DATE(YEAR($AM161),MONTH($AM161),1),IF(ISNUMBER($AN161),DATE(YEAR($AN161),MONTH($AN161),1),MesCiclo))))</f>
        <v/>
      </c>
      <c r="T161" s="62">
        <f>IF(OR($S161="",$S161&lt;&gt;MesCiclo),"",COUNTIF($S$5:$S161,MesCiclo))</f>
        <v/>
      </c>
      <c r="U161" s="62">
        <f>IF($V161="","",IF($V161="Macro",ROW(),IFERROR(LOOKUP(2,1/($V$5:$V161="Macro"),ROW($V$5:$V161)),0)))</f>
        <v/>
      </c>
      <c r="V161" s="62">
        <f>IF(NOT((COUNTA($B161:$D161)+COUNTA($G161:$L161)+COUNTA($Q161))&gt;0),"",IF($B161="Subactividad","Sub","Macro"))</f>
        <v/>
      </c>
      <c r="W161" s="62">
        <f>IF($V161="Macro",COUNTIFS($U$5:$U$1000,ROW(),$V$5:$V$1000,"Sub"),"")</f>
        <v/>
      </c>
      <c r="X161" s="62">
        <f>IF($V161="","",IF(ISNUMBER($G161),1,IFERROR(LOOKUP(2,1/($I161:$L161&lt;&gt;""),$I161:$L161),0)))</f>
        <v/>
      </c>
      <c r="Y161" s="62">
        <f>IF($V161="","",IF(AND(ISNUMBER($G161),$G161&lt;=IF($S161=MesCiclo,InicioCiclo,$S161+MOD(2-WEEKDAY($S161),7))+6),1,IF(ISNUMBER($I161),$I161,0)))</f>
        <v/>
      </c>
      <c r="Z161" s="62">
        <f>IF($V161="","",IF(AND(ISNUMBER($G161),$G161&lt;=IF($S161=MesCiclo,InicioCiclo,$S161+MOD(2-WEEKDAY($S161),7))+13),1,IF(ISNUMBER($J161),$J161,$Y161)))</f>
        <v/>
      </c>
      <c r="AA161" s="62">
        <f>IF($V161="","",IF(AND(ISNUMBER($G161),$G161&lt;=IF($S161=MesCiclo,InicioCiclo,$S161+MOD(2-WEEKDAY($S161),7))+20),1,IF(ISNUMBER($K161),$K161,$Z161)))</f>
        <v/>
      </c>
      <c r="AB161" s="62">
        <f>IF($V161="","",IF(AND(ISNUMBER($G161),$G161&lt;=IF($S161=MesCiclo,InicioCiclo,$S161+MOD(2-WEEKDAY($S161),7))+27),1,IF(ISNUMBER($L161),$L161,$AA161)))</f>
        <v/>
      </c>
      <c r="AC161" s="62">
        <f>IF($V161="","",IF(AND(ISNUMBER($G161),$G161&lt;=IF($S161=MesCiclo,InicioCiclo,$S161+MOD(2-WEEKDAY($S161),7))+6),1,IF(N($W161)&gt;0,AVERAGEIFS($Y$5:$Y$1000,$U$5:$U$1000,ROW(),$V$5:$V$1000,"Sub"),$Y161)))</f>
        <v/>
      </c>
      <c r="AD161" s="62">
        <f>IF($V161="","",IF(AND(ISNUMBER($G161),$G161&lt;=IF($S161=MesCiclo,InicioCiclo,$S161+MOD(2-WEEKDAY($S161),7))+13),1,IF(N($W161)&gt;0,AVERAGEIFS($Z$5:$Z$1000,$U$5:$U$1000,ROW(),$V$5:$V$1000,"Sub"),$Z161)))</f>
        <v/>
      </c>
      <c r="AE161" s="62">
        <f>IF($V161="","",IF(AND(ISNUMBER($G161),$G161&lt;=IF($S161=MesCiclo,InicioCiclo,$S161+MOD(2-WEEKDAY($S161),7))+20),1,IF(N($W161)&gt;0,AVERAGEIFS($AA$5:$AA$1000,$U$5:$U$1000,ROW(),$V$5:$V$1000,"Sub"),$AA161)))</f>
        <v/>
      </c>
      <c r="AF161" s="62">
        <f>IF($V161="","",IF(AND(ISNUMBER($G161),$G161&lt;=IF($S161=MesCiclo,InicioCiclo,$S161+MOD(2-WEEKDAY($S161),7))+27),1,IF(N($W161)&gt;0,AVERAGEIFS($AB$5:$AB$1000,$U$5:$U$1000,ROW(),$V$5:$V$1000,"Sub"),$AB161)))</f>
        <v/>
      </c>
      <c r="AG161" s="62">
        <f>IF($V161&lt;&gt;"Macro","",IF(COUNTIFS($S$5:$S$1000,$S161,$V$5:$V$1000,"Macro",$H$5:$H$1000,"&gt;0")=0,1/COUNTIFS($S$5:$S$1000,$S161,$V$5:$V$1000,"Macro"),IF(AND(ISNUMBER($H161),N($H161)&gt;0),$H161,SUMIFS($H$5:$H$1000,$S$5:$S$1000,$S161,$V$5:$V$1000,"Macro")/COUNTIFS($S$5:$S$1000,$S161,$V$5:$V$1000,"Macro",$H$5:$H$1000,"&gt;0"))/(COUNTIFS($S$5:$S$1000,$S161,$V$5:$V$1000,"Macro")*SUMIFS($H$5:$H$1000,$S$5:$S$1000,$S161,$V$5:$V$1000,"Macro")/COUNTIFS($S$5:$S$1000,$S161,$V$5:$V$1000,"Macro",$H$5:$H$1000,"&gt;0"))))</f>
        <v/>
      </c>
      <c r="AH161" s="62" t="n"/>
      <c r="AI161" s="62" t="n"/>
      <c r="AJ161" s="62" t="n"/>
      <c r="AK161" s="62" t="n"/>
      <c r="AL161" s="62">
        <f>IF(LEFT($C161,11)="[Jefatura] ",IFERROR(MATCH("Asistente Técnico de Riesgo|"&amp;MID($C161,12,500),rDname_ADM,0),0),"")</f>
        <v/>
      </c>
      <c r="AM161" s="62">
        <f>IF(N($AL161)&gt;0,INDEX(rIni_ADM,$AL161),IF(ISNUMBER($E161),$E161,""))</f>
        <v/>
      </c>
      <c r="AN161" s="62">
        <f>IF(N($AL161)&gt;0,INDEX(rLim_ADM,$AL161),IF(ISNUMBER($F161),$F161,""))</f>
        <v/>
      </c>
    </row>
    <row r="162">
      <c r="A162" s="56">
        <f>IF(NOT((COUNTA($B162:$D162)+COUNTA($G162:$L162)+COUNTA($Q162))&gt;0),"",IF($V162="Macro",COUNTIFS($V$5:$V162,"Macro",$S$5:$S162,$S162),IF(N($U162)=0,"?",COUNTIFS(INDEX($V$5:$V$1000,1):INDEX($V$5:$V$1000,$U162-4),"Macro",INDEX($S$5:$S$1000,1):INDEX($S$5:$S$1000,$U162-4),INDEX($S$5:$S$1000,$U162-4))&amp;"."&amp;COUNTIFS($U$5:$U162,$U162,$V$5:$V162,"Sub"))))</f>
        <v/>
      </c>
      <c r="B162" s="57" t="n"/>
      <c r="C162" s="58" t="n"/>
      <c r="D162" s="58" t="n"/>
      <c r="E162" s="59">
        <f>IF(N($AL162)&gt;0,INDEX(rIni_ADM,$AL162),"")</f>
        <v/>
      </c>
      <c r="F162" s="59">
        <f>IF(N($AL162)&gt;0,INDEX(rLim_ADM,$AL162),"")</f>
        <v/>
      </c>
      <c r="G162" s="59" t="n"/>
      <c r="H162" s="60" t="n"/>
      <c r="I162" s="60" t="n"/>
      <c r="J162" s="60" t="n"/>
      <c r="K162" s="60" t="n"/>
      <c r="L162" s="60" t="n"/>
      <c r="M162" s="61">
        <f>IF(NOT((COUNTA($B162:$D162)+COUNTA($G162:$L162)+COUNTA($Q162))&gt;0),"",IF(ISNUMBER($G162),1,IF(N($W162)&gt;0,AVERAGEIFS($X$5:$X$1000,$U$5:$U$1000,ROW(),$V$5:$V$1000,"Sub"),$X162)))</f>
        <v/>
      </c>
      <c r="N162" s="56">
        <f>IF($M162="","",IF($M162&gt;=1,"Completado",IF($M162&gt;0,"En curso","Pendiente")))</f>
        <v/>
      </c>
      <c r="O162" s="56">
        <f>IF(NOT((COUNTA($B162:$D162)+COUNTA($G162:$L162)+COUNTA($Q162))&gt;0),"",IF(ISNUMBER($G162),IF(AND(ISNUMBER($AN162),$G162&gt;$AN162),"Cumplida con "&amp;($G162-$AN162)&amp;IF($G162-$AN162=1," día"," días")&amp;" de retraso","Cumplida"),IF(N($M162)&gt;=1,"Cumplida",IF(NOT(ISNUMBER($AN162)),"Sin fecha límite",IF($AN162&lt;FechaRef,"Vencida hace "&amp;(FechaRef-$AN162)&amp;IF(FechaRef-$AN162=1," día"," días"),IF($AN162=FechaRef,"Vence hoy",IF($AN162-FechaRef&lt;=DiasAlerta,"Vence en "&amp;($AN162-FechaRef)&amp;IF($AN162-FechaRef=1," día"," días"),"En plazo")))))))</f>
        <v/>
      </c>
      <c r="P162" s="62" t="n"/>
      <c r="Q162" s="58" t="n"/>
      <c r="R162" s="63">
        <f>IF(NOT((COUNTA($B162:$D162)+COUNTA($G162:$L162)+COUNTA($Q162))&gt;0),"",IF((IF($C162="","Falta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",""))="","✔ OK","⚠ "&amp;LEFT(IF($C162="","Falta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",""),LEN(IF($C162="","Falta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",""))-3)))</f>
        <v/>
      </c>
      <c r="S162" s="64">
        <f>IF(NOT((COUNTA($B162:$D162)+COUNTA($G162:$L162)+COUNTA($Q162))&gt;0),"",IF(AND($V162="Sub",N($U162)&gt;0),IF(ISNUMBER(INDEX($AM$5:$AM$1000,$U162-4)),DATE(YEAR(INDEX($AM$5:$AM$1000,$U162-4)),MONTH(INDEX($AM$5:$AM$1000,$U162-4)),1),IF(ISNUMBER(INDEX($AN$5:$AN$1000,$U162-4)),DATE(YEAR(INDEX($AN$5:$AN$1000,$U162-4)),MONTH(INDEX($AN$5:$AN$1000,$U162-4)),1),MesCiclo)),IF(ISNUMBER($AM162),DATE(YEAR($AM162),MONTH($AM162),1),IF(ISNUMBER($AN162),DATE(YEAR($AN162),MONTH($AN162),1),MesCiclo))))</f>
        <v/>
      </c>
      <c r="T162" s="62">
        <f>IF(OR($S162="",$S162&lt;&gt;MesCiclo),"",COUNTIF($S$5:$S162,MesCiclo))</f>
        <v/>
      </c>
      <c r="U162" s="62">
        <f>IF($V162="","",IF($V162="Macro",ROW(),IFERROR(LOOKUP(2,1/($V$5:$V162="Macro"),ROW($V$5:$V162)),0)))</f>
        <v/>
      </c>
      <c r="V162" s="62">
        <f>IF(NOT((COUNTA($B162:$D162)+COUNTA($G162:$L162)+COUNTA($Q162))&gt;0),"",IF($B162="Subactividad","Sub","Macro"))</f>
        <v/>
      </c>
      <c r="W162" s="62">
        <f>IF($V162="Macro",COUNTIFS($U$5:$U$1000,ROW(),$V$5:$V$1000,"Sub"),"")</f>
        <v/>
      </c>
      <c r="X162" s="62">
        <f>IF($V162="","",IF(ISNUMBER($G162),1,IFERROR(LOOKUP(2,1/($I162:$L162&lt;&gt;""),$I162:$L162),0)))</f>
        <v/>
      </c>
      <c r="Y162" s="62">
        <f>IF($V162="","",IF(AND(ISNUMBER($G162),$G162&lt;=IF($S162=MesCiclo,InicioCiclo,$S162+MOD(2-WEEKDAY($S162),7))+6),1,IF(ISNUMBER($I162),$I162,0)))</f>
        <v/>
      </c>
      <c r="Z162" s="62">
        <f>IF($V162="","",IF(AND(ISNUMBER($G162),$G162&lt;=IF($S162=MesCiclo,InicioCiclo,$S162+MOD(2-WEEKDAY($S162),7))+13),1,IF(ISNUMBER($J162),$J162,$Y162)))</f>
        <v/>
      </c>
      <c r="AA162" s="62">
        <f>IF($V162="","",IF(AND(ISNUMBER($G162),$G162&lt;=IF($S162=MesCiclo,InicioCiclo,$S162+MOD(2-WEEKDAY($S162),7))+20),1,IF(ISNUMBER($K162),$K162,$Z162)))</f>
        <v/>
      </c>
      <c r="AB162" s="62">
        <f>IF($V162="","",IF(AND(ISNUMBER($G162),$G162&lt;=IF($S162=MesCiclo,InicioCiclo,$S162+MOD(2-WEEKDAY($S162),7))+27),1,IF(ISNUMBER($L162),$L162,$AA162)))</f>
        <v/>
      </c>
      <c r="AC162" s="62">
        <f>IF($V162="","",IF(AND(ISNUMBER($G162),$G162&lt;=IF($S162=MesCiclo,InicioCiclo,$S162+MOD(2-WEEKDAY($S162),7))+6),1,IF(N($W162)&gt;0,AVERAGEIFS($Y$5:$Y$1000,$U$5:$U$1000,ROW(),$V$5:$V$1000,"Sub"),$Y162)))</f>
        <v/>
      </c>
      <c r="AD162" s="62">
        <f>IF($V162="","",IF(AND(ISNUMBER($G162),$G162&lt;=IF($S162=MesCiclo,InicioCiclo,$S162+MOD(2-WEEKDAY($S162),7))+13),1,IF(N($W162)&gt;0,AVERAGEIFS($Z$5:$Z$1000,$U$5:$U$1000,ROW(),$V$5:$V$1000,"Sub"),$Z162)))</f>
        <v/>
      </c>
      <c r="AE162" s="62">
        <f>IF($V162="","",IF(AND(ISNUMBER($G162),$G162&lt;=IF($S162=MesCiclo,InicioCiclo,$S162+MOD(2-WEEKDAY($S162),7))+20),1,IF(N($W162)&gt;0,AVERAGEIFS($AA$5:$AA$1000,$U$5:$U$1000,ROW(),$V$5:$V$1000,"Sub"),$AA162)))</f>
        <v/>
      </c>
      <c r="AF162" s="62">
        <f>IF($V162="","",IF(AND(ISNUMBER($G162),$G162&lt;=IF($S162=MesCiclo,InicioCiclo,$S162+MOD(2-WEEKDAY($S162),7))+27),1,IF(N($W162)&gt;0,AVERAGEIFS($AB$5:$AB$1000,$U$5:$U$1000,ROW(),$V$5:$V$1000,"Sub"),$AB162)))</f>
        <v/>
      </c>
      <c r="AG162" s="62">
        <f>IF($V162&lt;&gt;"Macro","",IF(COUNTIFS($S$5:$S$1000,$S162,$V$5:$V$1000,"Macro",$H$5:$H$1000,"&gt;0")=0,1/COUNTIFS($S$5:$S$1000,$S162,$V$5:$V$1000,"Macro"),IF(AND(ISNUMBER($H162),N($H162)&gt;0),$H162,SUMIFS($H$5:$H$1000,$S$5:$S$1000,$S162,$V$5:$V$1000,"Macro")/COUNTIFS($S$5:$S$1000,$S162,$V$5:$V$1000,"Macro",$H$5:$H$1000,"&gt;0"))/(COUNTIFS($S$5:$S$1000,$S162,$V$5:$V$1000,"Macro")*SUMIFS($H$5:$H$1000,$S$5:$S$1000,$S162,$V$5:$V$1000,"Macro")/COUNTIFS($S$5:$S$1000,$S162,$V$5:$V$1000,"Macro",$H$5:$H$1000,"&gt;0"))))</f>
        <v/>
      </c>
      <c r="AH162" s="62" t="n"/>
      <c r="AI162" s="62" t="n"/>
      <c r="AJ162" s="62" t="n"/>
      <c r="AK162" s="62" t="n"/>
      <c r="AL162" s="62">
        <f>IF(LEFT($C162,11)="[Jefatura] ",IFERROR(MATCH("Asistente Técnico de Riesgo|"&amp;MID($C162,12,500),rDname_ADM,0),0),"")</f>
        <v/>
      </c>
      <c r="AM162" s="62">
        <f>IF(N($AL162)&gt;0,INDEX(rIni_ADM,$AL162),IF(ISNUMBER($E162),$E162,""))</f>
        <v/>
      </c>
      <c r="AN162" s="62">
        <f>IF(N($AL162)&gt;0,INDEX(rLim_ADM,$AL162),IF(ISNUMBER($F162),$F162,""))</f>
        <v/>
      </c>
    </row>
    <row r="163">
      <c r="A163" s="56">
        <f>IF(NOT((COUNTA($B163:$D163)+COUNTA($G163:$L163)+COUNTA($Q163))&gt;0),"",IF($V163="Macro",COUNTIFS($V$5:$V163,"Macro",$S$5:$S163,$S163),IF(N($U163)=0,"?",COUNTIFS(INDEX($V$5:$V$1000,1):INDEX($V$5:$V$1000,$U163-4),"Macro",INDEX($S$5:$S$1000,1):INDEX($S$5:$S$1000,$U163-4),INDEX($S$5:$S$1000,$U163-4))&amp;"."&amp;COUNTIFS($U$5:$U163,$U163,$V$5:$V163,"Sub"))))</f>
        <v/>
      </c>
      <c r="B163" s="57" t="n"/>
      <c r="C163" s="58" t="n"/>
      <c r="D163" s="58" t="n"/>
      <c r="E163" s="59">
        <f>IF(N($AL163)&gt;0,INDEX(rIni_ADM,$AL163),"")</f>
        <v/>
      </c>
      <c r="F163" s="59">
        <f>IF(N($AL163)&gt;0,INDEX(rLim_ADM,$AL163),"")</f>
        <v/>
      </c>
      <c r="G163" s="59" t="n"/>
      <c r="H163" s="60" t="n"/>
      <c r="I163" s="60" t="n"/>
      <c r="J163" s="60" t="n"/>
      <c r="K163" s="60" t="n"/>
      <c r="L163" s="60" t="n"/>
      <c r="M163" s="61">
        <f>IF(NOT((COUNTA($B163:$D163)+COUNTA($G163:$L163)+COUNTA($Q163))&gt;0),"",IF(ISNUMBER($G163),1,IF(N($W163)&gt;0,AVERAGEIFS($X$5:$X$1000,$U$5:$U$1000,ROW(),$V$5:$V$1000,"Sub"),$X163)))</f>
        <v/>
      </c>
      <c r="N163" s="56">
        <f>IF($M163="","",IF($M163&gt;=1,"Completado",IF($M163&gt;0,"En curso","Pendiente")))</f>
        <v/>
      </c>
      <c r="O163" s="56">
        <f>IF(NOT((COUNTA($B163:$D163)+COUNTA($G163:$L163)+COUNTA($Q163))&gt;0),"",IF(ISNUMBER($G163),IF(AND(ISNUMBER($AN163),$G163&gt;$AN163),"Cumplida con "&amp;($G163-$AN163)&amp;IF($G163-$AN163=1," día"," días")&amp;" de retraso","Cumplida"),IF(N($M163)&gt;=1,"Cumplida",IF(NOT(ISNUMBER($AN163)),"Sin fecha límite",IF($AN163&lt;FechaRef,"Vencida hace "&amp;(FechaRef-$AN163)&amp;IF(FechaRef-$AN163=1," día"," días"),IF($AN163=FechaRef,"Vence hoy",IF($AN163-FechaRef&lt;=DiasAlerta,"Vence en "&amp;($AN163-FechaRef)&amp;IF($AN163-FechaRef=1," día"," días"),"En plazo")))))))</f>
        <v/>
      </c>
      <c r="P163" s="62" t="n"/>
      <c r="Q163" s="58" t="n"/>
      <c r="R163" s="63">
        <f>IF(NOT((COUNTA($B163:$D163)+COUNTA($G163:$L163)+COUNTA($Q163))&gt;0),"",IF((IF($C163="","Falta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",""))="","✔ OK","⚠ "&amp;LEFT(IF($C163="","Falta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",""),LEN(IF($C163="","Falta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",""))-3)))</f>
        <v/>
      </c>
      <c r="S163" s="64">
        <f>IF(NOT((COUNTA($B163:$D163)+COUNTA($G163:$L163)+COUNTA($Q163))&gt;0),"",IF(AND($V163="Sub",N($U163)&gt;0),IF(ISNUMBER(INDEX($AM$5:$AM$1000,$U163-4)),DATE(YEAR(INDEX($AM$5:$AM$1000,$U163-4)),MONTH(INDEX($AM$5:$AM$1000,$U163-4)),1),IF(ISNUMBER(INDEX($AN$5:$AN$1000,$U163-4)),DATE(YEAR(INDEX($AN$5:$AN$1000,$U163-4)),MONTH(INDEX($AN$5:$AN$1000,$U163-4)),1),MesCiclo)),IF(ISNUMBER($AM163),DATE(YEAR($AM163),MONTH($AM163),1),IF(ISNUMBER($AN163),DATE(YEAR($AN163),MONTH($AN163),1),MesCiclo))))</f>
        <v/>
      </c>
      <c r="T163" s="62">
        <f>IF(OR($S163="",$S163&lt;&gt;MesCiclo),"",COUNTIF($S$5:$S163,MesCiclo))</f>
        <v/>
      </c>
      <c r="U163" s="62">
        <f>IF($V163="","",IF($V163="Macro",ROW(),IFERROR(LOOKUP(2,1/($V$5:$V163="Macro"),ROW($V$5:$V163)),0)))</f>
        <v/>
      </c>
      <c r="V163" s="62">
        <f>IF(NOT((COUNTA($B163:$D163)+COUNTA($G163:$L163)+COUNTA($Q163))&gt;0),"",IF($B163="Subactividad","Sub","Macro"))</f>
        <v/>
      </c>
      <c r="W163" s="62">
        <f>IF($V163="Macro",COUNTIFS($U$5:$U$1000,ROW(),$V$5:$V$1000,"Sub"),"")</f>
        <v/>
      </c>
      <c r="X163" s="62">
        <f>IF($V163="","",IF(ISNUMBER($G163),1,IFERROR(LOOKUP(2,1/($I163:$L163&lt;&gt;""),$I163:$L163),0)))</f>
        <v/>
      </c>
      <c r="Y163" s="62">
        <f>IF($V163="","",IF(AND(ISNUMBER($G163),$G163&lt;=IF($S163=MesCiclo,InicioCiclo,$S163+MOD(2-WEEKDAY($S163),7))+6),1,IF(ISNUMBER($I163),$I163,0)))</f>
        <v/>
      </c>
      <c r="Z163" s="62">
        <f>IF($V163="","",IF(AND(ISNUMBER($G163),$G163&lt;=IF($S163=MesCiclo,InicioCiclo,$S163+MOD(2-WEEKDAY($S163),7))+13),1,IF(ISNUMBER($J163),$J163,$Y163)))</f>
        <v/>
      </c>
      <c r="AA163" s="62">
        <f>IF($V163="","",IF(AND(ISNUMBER($G163),$G163&lt;=IF($S163=MesCiclo,InicioCiclo,$S163+MOD(2-WEEKDAY($S163),7))+20),1,IF(ISNUMBER($K163),$K163,$Z163)))</f>
        <v/>
      </c>
      <c r="AB163" s="62">
        <f>IF($V163="","",IF(AND(ISNUMBER($G163),$G163&lt;=IF($S163=MesCiclo,InicioCiclo,$S163+MOD(2-WEEKDAY($S163),7))+27),1,IF(ISNUMBER($L163),$L163,$AA163)))</f>
        <v/>
      </c>
      <c r="AC163" s="62">
        <f>IF($V163="","",IF(AND(ISNUMBER($G163),$G163&lt;=IF($S163=MesCiclo,InicioCiclo,$S163+MOD(2-WEEKDAY($S163),7))+6),1,IF(N($W163)&gt;0,AVERAGEIFS($Y$5:$Y$1000,$U$5:$U$1000,ROW(),$V$5:$V$1000,"Sub"),$Y163)))</f>
        <v/>
      </c>
      <c r="AD163" s="62">
        <f>IF($V163="","",IF(AND(ISNUMBER($G163),$G163&lt;=IF($S163=MesCiclo,InicioCiclo,$S163+MOD(2-WEEKDAY($S163),7))+13),1,IF(N($W163)&gt;0,AVERAGEIFS($Z$5:$Z$1000,$U$5:$U$1000,ROW(),$V$5:$V$1000,"Sub"),$Z163)))</f>
        <v/>
      </c>
      <c r="AE163" s="62">
        <f>IF($V163="","",IF(AND(ISNUMBER($G163),$G163&lt;=IF($S163=MesCiclo,InicioCiclo,$S163+MOD(2-WEEKDAY($S163),7))+20),1,IF(N($W163)&gt;0,AVERAGEIFS($AA$5:$AA$1000,$U$5:$U$1000,ROW(),$V$5:$V$1000,"Sub"),$AA163)))</f>
        <v/>
      </c>
      <c r="AF163" s="62">
        <f>IF($V163="","",IF(AND(ISNUMBER($G163),$G163&lt;=IF($S163=MesCiclo,InicioCiclo,$S163+MOD(2-WEEKDAY($S163),7))+27),1,IF(N($W163)&gt;0,AVERAGEIFS($AB$5:$AB$1000,$U$5:$U$1000,ROW(),$V$5:$V$1000,"Sub"),$AB163)))</f>
        <v/>
      </c>
      <c r="AG163" s="62">
        <f>IF($V163&lt;&gt;"Macro","",IF(COUNTIFS($S$5:$S$1000,$S163,$V$5:$V$1000,"Macro",$H$5:$H$1000,"&gt;0")=0,1/COUNTIFS($S$5:$S$1000,$S163,$V$5:$V$1000,"Macro"),IF(AND(ISNUMBER($H163),N($H163)&gt;0),$H163,SUMIFS($H$5:$H$1000,$S$5:$S$1000,$S163,$V$5:$V$1000,"Macro")/COUNTIFS($S$5:$S$1000,$S163,$V$5:$V$1000,"Macro",$H$5:$H$1000,"&gt;0"))/(COUNTIFS($S$5:$S$1000,$S163,$V$5:$V$1000,"Macro")*SUMIFS($H$5:$H$1000,$S$5:$S$1000,$S163,$V$5:$V$1000,"Macro")/COUNTIFS($S$5:$S$1000,$S163,$V$5:$V$1000,"Macro",$H$5:$H$1000,"&gt;0"))))</f>
        <v/>
      </c>
      <c r="AH163" s="62" t="n"/>
      <c r="AI163" s="62" t="n"/>
      <c r="AJ163" s="62" t="n"/>
      <c r="AK163" s="62" t="n"/>
      <c r="AL163" s="62">
        <f>IF(LEFT($C163,11)="[Jefatura] ",IFERROR(MATCH("Asistente Técnico de Riesgo|"&amp;MID($C163,12,500),rDname_ADM,0),0),"")</f>
        <v/>
      </c>
      <c r="AM163" s="62">
        <f>IF(N($AL163)&gt;0,INDEX(rIni_ADM,$AL163),IF(ISNUMBER($E163),$E163,""))</f>
        <v/>
      </c>
      <c r="AN163" s="62">
        <f>IF(N($AL163)&gt;0,INDEX(rLim_ADM,$AL163),IF(ISNUMBER($F163),$F163,""))</f>
        <v/>
      </c>
    </row>
    <row r="164">
      <c r="A164" s="56">
        <f>IF(NOT((COUNTA($B164:$D164)+COUNTA($G164:$L164)+COUNTA($Q164))&gt;0),"",IF($V164="Macro",COUNTIFS($V$5:$V164,"Macro",$S$5:$S164,$S164),IF(N($U164)=0,"?",COUNTIFS(INDEX($V$5:$V$1000,1):INDEX($V$5:$V$1000,$U164-4),"Macro",INDEX($S$5:$S$1000,1):INDEX($S$5:$S$1000,$U164-4),INDEX($S$5:$S$1000,$U164-4))&amp;"."&amp;COUNTIFS($U$5:$U164,$U164,$V$5:$V164,"Sub"))))</f>
        <v/>
      </c>
      <c r="B164" s="57" t="n"/>
      <c r="C164" s="58" t="n"/>
      <c r="D164" s="58" t="n"/>
      <c r="E164" s="59">
        <f>IF(N($AL164)&gt;0,INDEX(rIni_ADM,$AL164),"")</f>
        <v/>
      </c>
      <c r="F164" s="59">
        <f>IF(N($AL164)&gt;0,INDEX(rLim_ADM,$AL164),"")</f>
        <v/>
      </c>
      <c r="G164" s="59" t="n"/>
      <c r="H164" s="60" t="n"/>
      <c r="I164" s="60" t="n"/>
      <c r="J164" s="60" t="n"/>
      <c r="K164" s="60" t="n"/>
      <c r="L164" s="60" t="n"/>
      <c r="M164" s="61">
        <f>IF(NOT((COUNTA($B164:$D164)+COUNTA($G164:$L164)+COUNTA($Q164))&gt;0),"",IF(ISNUMBER($G164),1,IF(N($W164)&gt;0,AVERAGEIFS($X$5:$X$1000,$U$5:$U$1000,ROW(),$V$5:$V$1000,"Sub"),$X164)))</f>
        <v/>
      </c>
      <c r="N164" s="56">
        <f>IF($M164="","",IF($M164&gt;=1,"Completado",IF($M164&gt;0,"En curso","Pendiente")))</f>
        <v/>
      </c>
      <c r="O164" s="56">
        <f>IF(NOT((COUNTA($B164:$D164)+COUNTA($G164:$L164)+COUNTA($Q164))&gt;0),"",IF(ISNUMBER($G164),IF(AND(ISNUMBER($AN164),$G164&gt;$AN164),"Cumplida con "&amp;($G164-$AN164)&amp;IF($G164-$AN164=1," día"," días")&amp;" de retraso","Cumplida"),IF(N($M164)&gt;=1,"Cumplida",IF(NOT(ISNUMBER($AN164)),"Sin fecha límite",IF($AN164&lt;FechaRef,"Vencida hace "&amp;(FechaRef-$AN164)&amp;IF(FechaRef-$AN164=1," día"," días"),IF($AN164=FechaRef,"Vence hoy",IF($AN164-FechaRef&lt;=DiasAlerta,"Vence en "&amp;($AN164-FechaRef)&amp;IF($AN164-FechaRef=1," día"," días"),"En plazo")))))))</f>
        <v/>
      </c>
      <c r="P164" s="62" t="n"/>
      <c r="Q164" s="58" t="n"/>
      <c r="R164" s="63">
        <f>IF(NOT((COUNTA($B164:$D164)+COUNTA($G164:$L164)+COUNTA($Q164))&gt;0),"",IF((IF($C164="","Falta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",""))="","✔ OK","⚠ "&amp;LEFT(IF($C164="","Falta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",""),LEN(IF($C164="","Falta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",""))-3)))</f>
        <v/>
      </c>
      <c r="S164" s="64">
        <f>IF(NOT((COUNTA($B164:$D164)+COUNTA($G164:$L164)+COUNTA($Q164))&gt;0),"",IF(AND($V164="Sub",N($U164)&gt;0),IF(ISNUMBER(INDEX($AM$5:$AM$1000,$U164-4)),DATE(YEAR(INDEX($AM$5:$AM$1000,$U164-4)),MONTH(INDEX($AM$5:$AM$1000,$U164-4)),1),IF(ISNUMBER(INDEX($AN$5:$AN$1000,$U164-4)),DATE(YEAR(INDEX($AN$5:$AN$1000,$U164-4)),MONTH(INDEX($AN$5:$AN$1000,$U164-4)),1),MesCiclo)),IF(ISNUMBER($AM164),DATE(YEAR($AM164),MONTH($AM164),1),IF(ISNUMBER($AN164),DATE(YEAR($AN164),MONTH($AN164),1),MesCiclo))))</f>
        <v/>
      </c>
      <c r="T164" s="62">
        <f>IF(OR($S164="",$S164&lt;&gt;MesCiclo),"",COUNTIF($S$5:$S164,MesCiclo))</f>
        <v/>
      </c>
      <c r="U164" s="62">
        <f>IF($V164="","",IF($V164="Macro",ROW(),IFERROR(LOOKUP(2,1/($V$5:$V164="Macro"),ROW($V$5:$V164)),0)))</f>
        <v/>
      </c>
      <c r="V164" s="62">
        <f>IF(NOT((COUNTA($B164:$D164)+COUNTA($G164:$L164)+COUNTA($Q164))&gt;0),"",IF($B164="Subactividad","Sub","Macro"))</f>
        <v/>
      </c>
      <c r="W164" s="62">
        <f>IF($V164="Macro",COUNTIFS($U$5:$U$1000,ROW(),$V$5:$V$1000,"Sub"),"")</f>
        <v/>
      </c>
      <c r="X164" s="62">
        <f>IF($V164="","",IF(ISNUMBER($G164),1,IFERROR(LOOKUP(2,1/($I164:$L164&lt;&gt;""),$I164:$L164),0)))</f>
        <v/>
      </c>
      <c r="Y164" s="62">
        <f>IF($V164="","",IF(AND(ISNUMBER($G164),$G164&lt;=IF($S164=MesCiclo,InicioCiclo,$S164+MOD(2-WEEKDAY($S164),7))+6),1,IF(ISNUMBER($I164),$I164,0)))</f>
        <v/>
      </c>
      <c r="Z164" s="62">
        <f>IF($V164="","",IF(AND(ISNUMBER($G164),$G164&lt;=IF($S164=MesCiclo,InicioCiclo,$S164+MOD(2-WEEKDAY($S164),7))+13),1,IF(ISNUMBER($J164),$J164,$Y164)))</f>
        <v/>
      </c>
      <c r="AA164" s="62">
        <f>IF($V164="","",IF(AND(ISNUMBER($G164),$G164&lt;=IF($S164=MesCiclo,InicioCiclo,$S164+MOD(2-WEEKDAY($S164),7))+20),1,IF(ISNUMBER($K164),$K164,$Z164)))</f>
        <v/>
      </c>
      <c r="AB164" s="62">
        <f>IF($V164="","",IF(AND(ISNUMBER($G164),$G164&lt;=IF($S164=MesCiclo,InicioCiclo,$S164+MOD(2-WEEKDAY($S164),7))+27),1,IF(ISNUMBER($L164),$L164,$AA164)))</f>
        <v/>
      </c>
      <c r="AC164" s="62">
        <f>IF($V164="","",IF(AND(ISNUMBER($G164),$G164&lt;=IF($S164=MesCiclo,InicioCiclo,$S164+MOD(2-WEEKDAY($S164),7))+6),1,IF(N($W164)&gt;0,AVERAGEIFS($Y$5:$Y$1000,$U$5:$U$1000,ROW(),$V$5:$V$1000,"Sub"),$Y164)))</f>
        <v/>
      </c>
      <c r="AD164" s="62">
        <f>IF($V164="","",IF(AND(ISNUMBER($G164),$G164&lt;=IF($S164=MesCiclo,InicioCiclo,$S164+MOD(2-WEEKDAY($S164),7))+13),1,IF(N($W164)&gt;0,AVERAGEIFS($Z$5:$Z$1000,$U$5:$U$1000,ROW(),$V$5:$V$1000,"Sub"),$Z164)))</f>
        <v/>
      </c>
      <c r="AE164" s="62">
        <f>IF($V164="","",IF(AND(ISNUMBER($G164),$G164&lt;=IF($S164=MesCiclo,InicioCiclo,$S164+MOD(2-WEEKDAY($S164),7))+20),1,IF(N($W164)&gt;0,AVERAGEIFS($AA$5:$AA$1000,$U$5:$U$1000,ROW(),$V$5:$V$1000,"Sub"),$AA164)))</f>
        <v/>
      </c>
      <c r="AF164" s="62">
        <f>IF($V164="","",IF(AND(ISNUMBER($G164),$G164&lt;=IF($S164=MesCiclo,InicioCiclo,$S164+MOD(2-WEEKDAY($S164),7))+27),1,IF(N($W164)&gt;0,AVERAGEIFS($AB$5:$AB$1000,$U$5:$U$1000,ROW(),$V$5:$V$1000,"Sub"),$AB164)))</f>
        <v/>
      </c>
      <c r="AG164" s="62">
        <f>IF($V164&lt;&gt;"Macro","",IF(COUNTIFS($S$5:$S$1000,$S164,$V$5:$V$1000,"Macro",$H$5:$H$1000,"&gt;0")=0,1/COUNTIFS($S$5:$S$1000,$S164,$V$5:$V$1000,"Macro"),IF(AND(ISNUMBER($H164),N($H164)&gt;0),$H164,SUMIFS($H$5:$H$1000,$S$5:$S$1000,$S164,$V$5:$V$1000,"Macro")/COUNTIFS($S$5:$S$1000,$S164,$V$5:$V$1000,"Macro",$H$5:$H$1000,"&gt;0"))/(COUNTIFS($S$5:$S$1000,$S164,$V$5:$V$1000,"Macro")*SUMIFS($H$5:$H$1000,$S$5:$S$1000,$S164,$V$5:$V$1000,"Macro")/COUNTIFS($S$5:$S$1000,$S164,$V$5:$V$1000,"Macro",$H$5:$H$1000,"&gt;0"))))</f>
        <v/>
      </c>
      <c r="AH164" s="62" t="n"/>
      <c r="AI164" s="62" t="n"/>
      <c r="AJ164" s="62" t="n"/>
      <c r="AK164" s="62" t="n"/>
      <c r="AL164" s="62">
        <f>IF(LEFT($C164,11)="[Jefatura] ",IFERROR(MATCH("Asistente Técnico de Riesgo|"&amp;MID($C164,12,500),rDname_ADM,0),0),"")</f>
        <v/>
      </c>
      <c r="AM164" s="62">
        <f>IF(N($AL164)&gt;0,INDEX(rIni_ADM,$AL164),IF(ISNUMBER($E164),$E164,""))</f>
        <v/>
      </c>
      <c r="AN164" s="62">
        <f>IF(N($AL164)&gt;0,INDEX(rLim_ADM,$AL164),IF(ISNUMBER($F164),$F164,""))</f>
        <v/>
      </c>
    </row>
    <row r="165">
      <c r="A165" s="56">
        <f>IF(NOT((COUNTA($B165:$D165)+COUNTA($G165:$L165)+COUNTA($Q165))&gt;0),"",IF($V165="Macro",COUNTIFS($V$5:$V165,"Macro",$S$5:$S165,$S165),IF(N($U165)=0,"?",COUNTIFS(INDEX($V$5:$V$1000,1):INDEX($V$5:$V$1000,$U165-4),"Macro",INDEX($S$5:$S$1000,1):INDEX($S$5:$S$1000,$U165-4),INDEX($S$5:$S$1000,$U165-4))&amp;"."&amp;COUNTIFS($U$5:$U165,$U165,$V$5:$V165,"Sub"))))</f>
        <v/>
      </c>
      <c r="B165" s="57" t="n"/>
      <c r="C165" s="58" t="n"/>
      <c r="D165" s="58" t="n"/>
      <c r="E165" s="59">
        <f>IF(N($AL165)&gt;0,INDEX(rIni_ADM,$AL165),"")</f>
        <v/>
      </c>
      <c r="F165" s="59">
        <f>IF(N($AL165)&gt;0,INDEX(rLim_ADM,$AL165),"")</f>
        <v/>
      </c>
      <c r="G165" s="59" t="n"/>
      <c r="H165" s="60" t="n"/>
      <c r="I165" s="60" t="n"/>
      <c r="J165" s="60" t="n"/>
      <c r="K165" s="60" t="n"/>
      <c r="L165" s="60" t="n"/>
      <c r="M165" s="61">
        <f>IF(NOT((COUNTA($B165:$D165)+COUNTA($G165:$L165)+COUNTA($Q165))&gt;0),"",IF(ISNUMBER($G165),1,IF(N($W165)&gt;0,AVERAGEIFS($X$5:$X$1000,$U$5:$U$1000,ROW(),$V$5:$V$1000,"Sub"),$X165)))</f>
        <v/>
      </c>
      <c r="N165" s="56">
        <f>IF($M165="","",IF($M165&gt;=1,"Completado",IF($M165&gt;0,"En curso","Pendiente")))</f>
        <v/>
      </c>
      <c r="O165" s="56">
        <f>IF(NOT((COUNTA($B165:$D165)+COUNTA($G165:$L165)+COUNTA($Q165))&gt;0),"",IF(ISNUMBER($G165),IF(AND(ISNUMBER($AN165),$G165&gt;$AN165),"Cumplida con "&amp;($G165-$AN165)&amp;IF($G165-$AN165=1," día"," días")&amp;" de retraso","Cumplida"),IF(N($M165)&gt;=1,"Cumplida",IF(NOT(ISNUMBER($AN165)),"Sin fecha límite",IF($AN165&lt;FechaRef,"Vencida hace "&amp;(FechaRef-$AN165)&amp;IF(FechaRef-$AN165=1," día"," días"),IF($AN165=FechaRef,"Vence hoy",IF($AN165-FechaRef&lt;=DiasAlerta,"Vence en "&amp;($AN165-FechaRef)&amp;IF($AN165-FechaRef=1," día"," días"),"En plazo")))))))</f>
        <v/>
      </c>
      <c r="P165" s="62" t="n"/>
      <c r="Q165" s="58" t="n"/>
      <c r="R165" s="63">
        <f>IF(NOT((COUNTA($B165:$D165)+COUNTA($G165:$L165)+COUNTA($Q165))&gt;0),"",IF((IF($C165="","Falta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",""))="","✔ OK","⚠ "&amp;LEFT(IF($C165="","Falta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",""),LEN(IF($C165="","Falta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",""))-3)))</f>
        <v/>
      </c>
      <c r="S165" s="64">
        <f>IF(NOT((COUNTA($B165:$D165)+COUNTA($G165:$L165)+COUNTA($Q165))&gt;0),"",IF(AND($V165="Sub",N($U165)&gt;0),IF(ISNUMBER(INDEX($AM$5:$AM$1000,$U165-4)),DATE(YEAR(INDEX($AM$5:$AM$1000,$U165-4)),MONTH(INDEX($AM$5:$AM$1000,$U165-4)),1),IF(ISNUMBER(INDEX($AN$5:$AN$1000,$U165-4)),DATE(YEAR(INDEX($AN$5:$AN$1000,$U165-4)),MONTH(INDEX($AN$5:$AN$1000,$U165-4)),1),MesCiclo)),IF(ISNUMBER($AM165),DATE(YEAR($AM165),MONTH($AM165),1),IF(ISNUMBER($AN165),DATE(YEAR($AN165),MONTH($AN165),1),MesCiclo))))</f>
        <v/>
      </c>
      <c r="T165" s="62">
        <f>IF(OR($S165="",$S165&lt;&gt;MesCiclo),"",COUNTIF($S$5:$S165,MesCiclo))</f>
        <v/>
      </c>
      <c r="U165" s="62">
        <f>IF($V165="","",IF($V165="Macro",ROW(),IFERROR(LOOKUP(2,1/($V$5:$V165="Macro"),ROW($V$5:$V165)),0)))</f>
        <v/>
      </c>
      <c r="V165" s="62">
        <f>IF(NOT((COUNTA($B165:$D165)+COUNTA($G165:$L165)+COUNTA($Q165))&gt;0),"",IF($B165="Subactividad","Sub","Macro"))</f>
        <v/>
      </c>
      <c r="W165" s="62">
        <f>IF($V165="Macro",COUNTIFS($U$5:$U$1000,ROW(),$V$5:$V$1000,"Sub"),"")</f>
        <v/>
      </c>
      <c r="X165" s="62">
        <f>IF($V165="","",IF(ISNUMBER($G165),1,IFERROR(LOOKUP(2,1/($I165:$L165&lt;&gt;""),$I165:$L165),0)))</f>
        <v/>
      </c>
      <c r="Y165" s="62">
        <f>IF($V165="","",IF(AND(ISNUMBER($G165),$G165&lt;=IF($S165=MesCiclo,InicioCiclo,$S165+MOD(2-WEEKDAY($S165),7))+6),1,IF(ISNUMBER($I165),$I165,0)))</f>
        <v/>
      </c>
      <c r="Z165" s="62">
        <f>IF($V165="","",IF(AND(ISNUMBER($G165),$G165&lt;=IF($S165=MesCiclo,InicioCiclo,$S165+MOD(2-WEEKDAY($S165),7))+13),1,IF(ISNUMBER($J165),$J165,$Y165)))</f>
        <v/>
      </c>
      <c r="AA165" s="62">
        <f>IF($V165="","",IF(AND(ISNUMBER($G165),$G165&lt;=IF($S165=MesCiclo,InicioCiclo,$S165+MOD(2-WEEKDAY($S165),7))+20),1,IF(ISNUMBER($K165),$K165,$Z165)))</f>
        <v/>
      </c>
      <c r="AB165" s="62">
        <f>IF($V165="","",IF(AND(ISNUMBER($G165),$G165&lt;=IF($S165=MesCiclo,InicioCiclo,$S165+MOD(2-WEEKDAY($S165),7))+27),1,IF(ISNUMBER($L165),$L165,$AA165)))</f>
        <v/>
      </c>
      <c r="AC165" s="62">
        <f>IF($V165="","",IF(AND(ISNUMBER($G165),$G165&lt;=IF($S165=MesCiclo,InicioCiclo,$S165+MOD(2-WEEKDAY($S165),7))+6),1,IF(N($W165)&gt;0,AVERAGEIFS($Y$5:$Y$1000,$U$5:$U$1000,ROW(),$V$5:$V$1000,"Sub"),$Y165)))</f>
        <v/>
      </c>
      <c r="AD165" s="62">
        <f>IF($V165="","",IF(AND(ISNUMBER($G165),$G165&lt;=IF($S165=MesCiclo,InicioCiclo,$S165+MOD(2-WEEKDAY($S165),7))+13),1,IF(N($W165)&gt;0,AVERAGEIFS($Z$5:$Z$1000,$U$5:$U$1000,ROW(),$V$5:$V$1000,"Sub"),$Z165)))</f>
        <v/>
      </c>
      <c r="AE165" s="62">
        <f>IF($V165="","",IF(AND(ISNUMBER($G165),$G165&lt;=IF($S165=MesCiclo,InicioCiclo,$S165+MOD(2-WEEKDAY($S165),7))+20),1,IF(N($W165)&gt;0,AVERAGEIFS($AA$5:$AA$1000,$U$5:$U$1000,ROW(),$V$5:$V$1000,"Sub"),$AA165)))</f>
        <v/>
      </c>
      <c r="AF165" s="62">
        <f>IF($V165="","",IF(AND(ISNUMBER($G165),$G165&lt;=IF($S165=MesCiclo,InicioCiclo,$S165+MOD(2-WEEKDAY($S165),7))+27),1,IF(N($W165)&gt;0,AVERAGEIFS($AB$5:$AB$1000,$U$5:$U$1000,ROW(),$V$5:$V$1000,"Sub"),$AB165)))</f>
        <v/>
      </c>
      <c r="AG165" s="62">
        <f>IF($V165&lt;&gt;"Macro","",IF(COUNTIFS($S$5:$S$1000,$S165,$V$5:$V$1000,"Macro",$H$5:$H$1000,"&gt;0")=0,1/COUNTIFS($S$5:$S$1000,$S165,$V$5:$V$1000,"Macro"),IF(AND(ISNUMBER($H165),N($H165)&gt;0),$H165,SUMIFS($H$5:$H$1000,$S$5:$S$1000,$S165,$V$5:$V$1000,"Macro")/COUNTIFS($S$5:$S$1000,$S165,$V$5:$V$1000,"Macro",$H$5:$H$1000,"&gt;0"))/(COUNTIFS($S$5:$S$1000,$S165,$V$5:$V$1000,"Macro")*SUMIFS($H$5:$H$1000,$S$5:$S$1000,$S165,$V$5:$V$1000,"Macro")/COUNTIFS($S$5:$S$1000,$S165,$V$5:$V$1000,"Macro",$H$5:$H$1000,"&gt;0"))))</f>
        <v/>
      </c>
      <c r="AH165" s="62" t="n"/>
      <c r="AI165" s="62" t="n"/>
      <c r="AJ165" s="62" t="n"/>
      <c r="AK165" s="62" t="n"/>
      <c r="AL165" s="62">
        <f>IF(LEFT($C165,11)="[Jefatura] ",IFERROR(MATCH("Asistente Técnico de Riesgo|"&amp;MID($C165,12,500),rDname_ADM,0),0),"")</f>
        <v/>
      </c>
      <c r="AM165" s="62">
        <f>IF(N($AL165)&gt;0,INDEX(rIni_ADM,$AL165),IF(ISNUMBER($E165),$E165,""))</f>
        <v/>
      </c>
      <c r="AN165" s="62">
        <f>IF(N($AL165)&gt;0,INDEX(rLim_ADM,$AL165),IF(ISNUMBER($F165),$F165,""))</f>
        <v/>
      </c>
    </row>
    <row r="166">
      <c r="A166" s="56">
        <f>IF(NOT((COUNTA($B166:$D166)+COUNTA($G166:$L166)+COUNTA($Q166))&gt;0),"",IF($V166="Macro",COUNTIFS($V$5:$V166,"Macro",$S$5:$S166,$S166),IF(N($U166)=0,"?",COUNTIFS(INDEX($V$5:$V$1000,1):INDEX($V$5:$V$1000,$U166-4),"Macro",INDEX($S$5:$S$1000,1):INDEX($S$5:$S$1000,$U166-4),INDEX($S$5:$S$1000,$U166-4))&amp;"."&amp;COUNTIFS($U$5:$U166,$U166,$V$5:$V166,"Sub"))))</f>
        <v/>
      </c>
      <c r="B166" s="57" t="n"/>
      <c r="C166" s="58" t="n"/>
      <c r="D166" s="58" t="n"/>
      <c r="E166" s="59">
        <f>IF(N($AL166)&gt;0,INDEX(rIni_ADM,$AL166),"")</f>
        <v/>
      </c>
      <c r="F166" s="59">
        <f>IF(N($AL166)&gt;0,INDEX(rLim_ADM,$AL166),"")</f>
        <v/>
      </c>
      <c r="G166" s="59" t="n"/>
      <c r="H166" s="60" t="n"/>
      <c r="I166" s="60" t="n"/>
      <c r="J166" s="60" t="n"/>
      <c r="K166" s="60" t="n"/>
      <c r="L166" s="60" t="n"/>
      <c r="M166" s="61">
        <f>IF(NOT((COUNTA($B166:$D166)+COUNTA($G166:$L166)+COUNTA($Q166))&gt;0),"",IF(ISNUMBER($G166),1,IF(N($W166)&gt;0,AVERAGEIFS($X$5:$X$1000,$U$5:$U$1000,ROW(),$V$5:$V$1000,"Sub"),$X166)))</f>
        <v/>
      </c>
      <c r="N166" s="56">
        <f>IF($M166="","",IF($M166&gt;=1,"Completado",IF($M166&gt;0,"En curso","Pendiente")))</f>
        <v/>
      </c>
      <c r="O166" s="56">
        <f>IF(NOT((COUNTA($B166:$D166)+COUNTA($G166:$L166)+COUNTA($Q166))&gt;0),"",IF(ISNUMBER($G166),IF(AND(ISNUMBER($AN166),$G166&gt;$AN166),"Cumplida con "&amp;($G166-$AN166)&amp;IF($G166-$AN166=1," día"," días")&amp;" de retraso","Cumplida"),IF(N($M166)&gt;=1,"Cumplida",IF(NOT(ISNUMBER($AN166)),"Sin fecha límite",IF($AN166&lt;FechaRef,"Vencida hace "&amp;(FechaRef-$AN166)&amp;IF(FechaRef-$AN166=1," día"," días"),IF($AN166=FechaRef,"Vence hoy",IF($AN166-FechaRef&lt;=DiasAlerta,"Vence en "&amp;($AN166-FechaRef)&amp;IF($AN166-FechaRef=1," día"," días"),"En plazo")))))))</f>
        <v/>
      </c>
      <c r="P166" s="62" t="n"/>
      <c r="Q166" s="58" t="n"/>
      <c r="R166" s="63">
        <f>IF(NOT((COUNTA($B166:$D166)+COUNTA($G166:$L166)+COUNTA($Q166))&gt;0),"",IF((IF($C166="","Falta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",""))="","✔ OK","⚠ "&amp;LEFT(IF($C166="","Falta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",""),LEN(IF($C166="","Falta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",""))-3)))</f>
        <v/>
      </c>
      <c r="S166" s="64">
        <f>IF(NOT((COUNTA($B166:$D166)+COUNTA($G166:$L166)+COUNTA($Q166))&gt;0),"",IF(AND($V166="Sub",N($U166)&gt;0),IF(ISNUMBER(INDEX($AM$5:$AM$1000,$U166-4)),DATE(YEAR(INDEX($AM$5:$AM$1000,$U166-4)),MONTH(INDEX($AM$5:$AM$1000,$U166-4)),1),IF(ISNUMBER(INDEX($AN$5:$AN$1000,$U166-4)),DATE(YEAR(INDEX($AN$5:$AN$1000,$U166-4)),MONTH(INDEX($AN$5:$AN$1000,$U166-4)),1),MesCiclo)),IF(ISNUMBER($AM166),DATE(YEAR($AM166),MONTH($AM166),1),IF(ISNUMBER($AN166),DATE(YEAR($AN166),MONTH($AN166),1),MesCiclo))))</f>
        <v/>
      </c>
      <c r="T166" s="62">
        <f>IF(OR($S166="",$S166&lt;&gt;MesCiclo),"",COUNTIF($S$5:$S166,MesCiclo))</f>
        <v/>
      </c>
      <c r="U166" s="62">
        <f>IF($V166="","",IF($V166="Macro",ROW(),IFERROR(LOOKUP(2,1/($V$5:$V166="Macro"),ROW($V$5:$V166)),0)))</f>
        <v/>
      </c>
      <c r="V166" s="62">
        <f>IF(NOT((COUNTA($B166:$D166)+COUNTA($G166:$L166)+COUNTA($Q166))&gt;0),"",IF($B166="Subactividad","Sub","Macro"))</f>
        <v/>
      </c>
      <c r="W166" s="62">
        <f>IF($V166="Macro",COUNTIFS($U$5:$U$1000,ROW(),$V$5:$V$1000,"Sub"),"")</f>
        <v/>
      </c>
      <c r="X166" s="62">
        <f>IF($V166="","",IF(ISNUMBER($G166),1,IFERROR(LOOKUP(2,1/($I166:$L166&lt;&gt;""),$I166:$L166),0)))</f>
        <v/>
      </c>
      <c r="Y166" s="62">
        <f>IF($V166="","",IF(AND(ISNUMBER($G166),$G166&lt;=IF($S166=MesCiclo,InicioCiclo,$S166+MOD(2-WEEKDAY($S166),7))+6),1,IF(ISNUMBER($I166),$I166,0)))</f>
        <v/>
      </c>
      <c r="Z166" s="62">
        <f>IF($V166="","",IF(AND(ISNUMBER($G166),$G166&lt;=IF($S166=MesCiclo,InicioCiclo,$S166+MOD(2-WEEKDAY($S166),7))+13),1,IF(ISNUMBER($J166),$J166,$Y166)))</f>
        <v/>
      </c>
      <c r="AA166" s="62">
        <f>IF($V166="","",IF(AND(ISNUMBER($G166),$G166&lt;=IF($S166=MesCiclo,InicioCiclo,$S166+MOD(2-WEEKDAY($S166),7))+20),1,IF(ISNUMBER($K166),$K166,$Z166)))</f>
        <v/>
      </c>
      <c r="AB166" s="62">
        <f>IF($V166="","",IF(AND(ISNUMBER($G166),$G166&lt;=IF($S166=MesCiclo,InicioCiclo,$S166+MOD(2-WEEKDAY($S166),7))+27),1,IF(ISNUMBER($L166),$L166,$AA166)))</f>
        <v/>
      </c>
      <c r="AC166" s="62">
        <f>IF($V166="","",IF(AND(ISNUMBER($G166),$G166&lt;=IF($S166=MesCiclo,InicioCiclo,$S166+MOD(2-WEEKDAY($S166),7))+6),1,IF(N($W166)&gt;0,AVERAGEIFS($Y$5:$Y$1000,$U$5:$U$1000,ROW(),$V$5:$V$1000,"Sub"),$Y166)))</f>
        <v/>
      </c>
      <c r="AD166" s="62">
        <f>IF($V166="","",IF(AND(ISNUMBER($G166),$G166&lt;=IF($S166=MesCiclo,InicioCiclo,$S166+MOD(2-WEEKDAY($S166),7))+13),1,IF(N($W166)&gt;0,AVERAGEIFS($Z$5:$Z$1000,$U$5:$U$1000,ROW(),$V$5:$V$1000,"Sub"),$Z166)))</f>
        <v/>
      </c>
      <c r="AE166" s="62">
        <f>IF($V166="","",IF(AND(ISNUMBER($G166),$G166&lt;=IF($S166=MesCiclo,InicioCiclo,$S166+MOD(2-WEEKDAY($S166),7))+20),1,IF(N($W166)&gt;0,AVERAGEIFS($AA$5:$AA$1000,$U$5:$U$1000,ROW(),$V$5:$V$1000,"Sub"),$AA166)))</f>
        <v/>
      </c>
      <c r="AF166" s="62">
        <f>IF($V166="","",IF(AND(ISNUMBER($G166),$G166&lt;=IF($S166=MesCiclo,InicioCiclo,$S166+MOD(2-WEEKDAY($S166),7))+27),1,IF(N($W166)&gt;0,AVERAGEIFS($AB$5:$AB$1000,$U$5:$U$1000,ROW(),$V$5:$V$1000,"Sub"),$AB166)))</f>
        <v/>
      </c>
      <c r="AG166" s="62">
        <f>IF($V166&lt;&gt;"Macro","",IF(COUNTIFS($S$5:$S$1000,$S166,$V$5:$V$1000,"Macro",$H$5:$H$1000,"&gt;0")=0,1/COUNTIFS($S$5:$S$1000,$S166,$V$5:$V$1000,"Macro"),IF(AND(ISNUMBER($H166),N($H166)&gt;0),$H166,SUMIFS($H$5:$H$1000,$S$5:$S$1000,$S166,$V$5:$V$1000,"Macro")/COUNTIFS($S$5:$S$1000,$S166,$V$5:$V$1000,"Macro",$H$5:$H$1000,"&gt;0"))/(COUNTIFS($S$5:$S$1000,$S166,$V$5:$V$1000,"Macro")*SUMIFS($H$5:$H$1000,$S$5:$S$1000,$S166,$V$5:$V$1000,"Macro")/COUNTIFS($S$5:$S$1000,$S166,$V$5:$V$1000,"Macro",$H$5:$H$1000,"&gt;0"))))</f>
        <v/>
      </c>
      <c r="AH166" s="62" t="n"/>
      <c r="AI166" s="62" t="n"/>
      <c r="AJ166" s="62" t="n"/>
      <c r="AK166" s="62" t="n"/>
      <c r="AL166" s="62">
        <f>IF(LEFT($C166,11)="[Jefatura] ",IFERROR(MATCH("Asistente Técnico de Riesgo|"&amp;MID($C166,12,500),rDname_ADM,0),0),"")</f>
        <v/>
      </c>
      <c r="AM166" s="62">
        <f>IF(N($AL166)&gt;0,INDEX(rIni_ADM,$AL166),IF(ISNUMBER($E166),$E166,""))</f>
        <v/>
      </c>
      <c r="AN166" s="62">
        <f>IF(N($AL166)&gt;0,INDEX(rLim_ADM,$AL166),IF(ISNUMBER($F166),$F166,""))</f>
        <v/>
      </c>
    </row>
    <row r="167">
      <c r="A167" s="56">
        <f>IF(NOT((COUNTA($B167:$D167)+COUNTA($G167:$L167)+COUNTA($Q167))&gt;0),"",IF($V167="Macro",COUNTIFS($V$5:$V167,"Macro",$S$5:$S167,$S167),IF(N($U167)=0,"?",COUNTIFS(INDEX($V$5:$V$1000,1):INDEX($V$5:$V$1000,$U167-4),"Macro",INDEX($S$5:$S$1000,1):INDEX($S$5:$S$1000,$U167-4),INDEX($S$5:$S$1000,$U167-4))&amp;"."&amp;COUNTIFS($U$5:$U167,$U167,$V$5:$V167,"Sub"))))</f>
        <v/>
      </c>
      <c r="B167" s="57" t="n"/>
      <c r="C167" s="58" t="n"/>
      <c r="D167" s="58" t="n"/>
      <c r="E167" s="59">
        <f>IF(N($AL167)&gt;0,INDEX(rIni_ADM,$AL167),"")</f>
        <v/>
      </c>
      <c r="F167" s="59">
        <f>IF(N($AL167)&gt;0,INDEX(rLim_ADM,$AL167),"")</f>
        <v/>
      </c>
      <c r="G167" s="59" t="n"/>
      <c r="H167" s="60" t="n"/>
      <c r="I167" s="60" t="n"/>
      <c r="J167" s="60" t="n"/>
      <c r="K167" s="60" t="n"/>
      <c r="L167" s="60" t="n"/>
      <c r="M167" s="61">
        <f>IF(NOT((COUNTA($B167:$D167)+COUNTA($G167:$L167)+COUNTA($Q167))&gt;0),"",IF(ISNUMBER($G167),1,IF(N($W167)&gt;0,AVERAGEIFS($X$5:$X$1000,$U$5:$U$1000,ROW(),$V$5:$V$1000,"Sub"),$X167)))</f>
        <v/>
      </c>
      <c r="N167" s="56">
        <f>IF($M167="","",IF($M167&gt;=1,"Completado",IF($M167&gt;0,"En curso","Pendiente")))</f>
        <v/>
      </c>
      <c r="O167" s="56">
        <f>IF(NOT((COUNTA($B167:$D167)+COUNTA($G167:$L167)+COUNTA($Q167))&gt;0),"",IF(ISNUMBER($G167),IF(AND(ISNUMBER($AN167),$G167&gt;$AN167),"Cumplida con "&amp;($G167-$AN167)&amp;IF($G167-$AN167=1," día"," días")&amp;" de retraso","Cumplida"),IF(N($M167)&gt;=1,"Cumplida",IF(NOT(ISNUMBER($AN167)),"Sin fecha límite",IF($AN167&lt;FechaRef,"Vencida hace "&amp;(FechaRef-$AN167)&amp;IF(FechaRef-$AN167=1," día"," días"),IF($AN167=FechaRef,"Vence hoy",IF($AN167-FechaRef&lt;=DiasAlerta,"Vence en "&amp;($AN167-FechaRef)&amp;IF($AN167-FechaRef=1," día"," días"),"En plazo")))))))</f>
        <v/>
      </c>
      <c r="P167" s="62" t="n"/>
      <c r="Q167" s="58" t="n"/>
      <c r="R167" s="63">
        <f>IF(NOT((COUNTA($B167:$D167)+COUNTA($G167:$L167)+COUNTA($Q167))&gt;0),"",IF((IF($C167="","Falta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",""))="","✔ OK","⚠ "&amp;LEFT(IF($C167="","Falta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",""),LEN(IF($C167="","Falta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",""))-3)))</f>
        <v/>
      </c>
      <c r="S167" s="64">
        <f>IF(NOT((COUNTA($B167:$D167)+COUNTA($G167:$L167)+COUNTA($Q167))&gt;0),"",IF(AND($V167="Sub",N($U167)&gt;0),IF(ISNUMBER(INDEX($AM$5:$AM$1000,$U167-4)),DATE(YEAR(INDEX($AM$5:$AM$1000,$U167-4)),MONTH(INDEX($AM$5:$AM$1000,$U167-4)),1),IF(ISNUMBER(INDEX($AN$5:$AN$1000,$U167-4)),DATE(YEAR(INDEX($AN$5:$AN$1000,$U167-4)),MONTH(INDEX($AN$5:$AN$1000,$U167-4)),1),MesCiclo)),IF(ISNUMBER($AM167),DATE(YEAR($AM167),MONTH($AM167),1),IF(ISNUMBER($AN167),DATE(YEAR($AN167),MONTH($AN167),1),MesCiclo))))</f>
        <v/>
      </c>
      <c r="T167" s="62">
        <f>IF(OR($S167="",$S167&lt;&gt;MesCiclo),"",COUNTIF($S$5:$S167,MesCiclo))</f>
        <v/>
      </c>
      <c r="U167" s="62">
        <f>IF($V167="","",IF($V167="Macro",ROW(),IFERROR(LOOKUP(2,1/($V$5:$V167="Macro"),ROW($V$5:$V167)),0)))</f>
        <v/>
      </c>
      <c r="V167" s="62">
        <f>IF(NOT((COUNTA($B167:$D167)+COUNTA($G167:$L167)+COUNTA($Q167))&gt;0),"",IF($B167="Subactividad","Sub","Macro"))</f>
        <v/>
      </c>
      <c r="W167" s="62">
        <f>IF($V167="Macro",COUNTIFS($U$5:$U$1000,ROW(),$V$5:$V$1000,"Sub"),"")</f>
        <v/>
      </c>
      <c r="X167" s="62">
        <f>IF($V167="","",IF(ISNUMBER($G167),1,IFERROR(LOOKUP(2,1/($I167:$L167&lt;&gt;""),$I167:$L167),0)))</f>
        <v/>
      </c>
      <c r="Y167" s="62">
        <f>IF($V167="","",IF(AND(ISNUMBER($G167),$G167&lt;=IF($S167=MesCiclo,InicioCiclo,$S167+MOD(2-WEEKDAY($S167),7))+6),1,IF(ISNUMBER($I167),$I167,0)))</f>
        <v/>
      </c>
      <c r="Z167" s="62">
        <f>IF($V167="","",IF(AND(ISNUMBER($G167),$G167&lt;=IF($S167=MesCiclo,InicioCiclo,$S167+MOD(2-WEEKDAY($S167),7))+13),1,IF(ISNUMBER($J167),$J167,$Y167)))</f>
        <v/>
      </c>
      <c r="AA167" s="62">
        <f>IF($V167="","",IF(AND(ISNUMBER($G167),$G167&lt;=IF($S167=MesCiclo,InicioCiclo,$S167+MOD(2-WEEKDAY($S167),7))+20),1,IF(ISNUMBER($K167),$K167,$Z167)))</f>
        <v/>
      </c>
      <c r="AB167" s="62">
        <f>IF($V167="","",IF(AND(ISNUMBER($G167),$G167&lt;=IF($S167=MesCiclo,InicioCiclo,$S167+MOD(2-WEEKDAY($S167),7))+27),1,IF(ISNUMBER($L167),$L167,$AA167)))</f>
        <v/>
      </c>
      <c r="AC167" s="62">
        <f>IF($V167="","",IF(AND(ISNUMBER($G167),$G167&lt;=IF($S167=MesCiclo,InicioCiclo,$S167+MOD(2-WEEKDAY($S167),7))+6),1,IF(N($W167)&gt;0,AVERAGEIFS($Y$5:$Y$1000,$U$5:$U$1000,ROW(),$V$5:$V$1000,"Sub"),$Y167)))</f>
        <v/>
      </c>
      <c r="AD167" s="62">
        <f>IF($V167="","",IF(AND(ISNUMBER($G167),$G167&lt;=IF($S167=MesCiclo,InicioCiclo,$S167+MOD(2-WEEKDAY($S167),7))+13),1,IF(N($W167)&gt;0,AVERAGEIFS($Z$5:$Z$1000,$U$5:$U$1000,ROW(),$V$5:$V$1000,"Sub"),$Z167)))</f>
        <v/>
      </c>
      <c r="AE167" s="62">
        <f>IF($V167="","",IF(AND(ISNUMBER($G167),$G167&lt;=IF($S167=MesCiclo,InicioCiclo,$S167+MOD(2-WEEKDAY($S167),7))+20),1,IF(N($W167)&gt;0,AVERAGEIFS($AA$5:$AA$1000,$U$5:$U$1000,ROW(),$V$5:$V$1000,"Sub"),$AA167)))</f>
        <v/>
      </c>
      <c r="AF167" s="62">
        <f>IF($V167="","",IF(AND(ISNUMBER($G167),$G167&lt;=IF($S167=MesCiclo,InicioCiclo,$S167+MOD(2-WEEKDAY($S167),7))+27),1,IF(N($W167)&gt;0,AVERAGEIFS($AB$5:$AB$1000,$U$5:$U$1000,ROW(),$V$5:$V$1000,"Sub"),$AB167)))</f>
        <v/>
      </c>
      <c r="AG167" s="62">
        <f>IF($V167&lt;&gt;"Macro","",IF(COUNTIFS($S$5:$S$1000,$S167,$V$5:$V$1000,"Macro",$H$5:$H$1000,"&gt;0")=0,1/COUNTIFS($S$5:$S$1000,$S167,$V$5:$V$1000,"Macro"),IF(AND(ISNUMBER($H167),N($H167)&gt;0),$H167,SUMIFS($H$5:$H$1000,$S$5:$S$1000,$S167,$V$5:$V$1000,"Macro")/COUNTIFS($S$5:$S$1000,$S167,$V$5:$V$1000,"Macro",$H$5:$H$1000,"&gt;0"))/(COUNTIFS($S$5:$S$1000,$S167,$V$5:$V$1000,"Macro")*SUMIFS($H$5:$H$1000,$S$5:$S$1000,$S167,$V$5:$V$1000,"Macro")/COUNTIFS($S$5:$S$1000,$S167,$V$5:$V$1000,"Macro",$H$5:$H$1000,"&gt;0"))))</f>
        <v/>
      </c>
      <c r="AH167" s="62" t="n"/>
      <c r="AI167" s="62" t="n"/>
      <c r="AJ167" s="62" t="n"/>
      <c r="AK167" s="62" t="n"/>
      <c r="AL167" s="62">
        <f>IF(LEFT($C167,11)="[Jefatura] ",IFERROR(MATCH("Asistente Técnico de Riesgo|"&amp;MID($C167,12,500),rDname_ADM,0),0),"")</f>
        <v/>
      </c>
      <c r="AM167" s="62">
        <f>IF(N($AL167)&gt;0,INDEX(rIni_ADM,$AL167),IF(ISNUMBER($E167),$E167,""))</f>
        <v/>
      </c>
      <c r="AN167" s="62">
        <f>IF(N($AL167)&gt;0,INDEX(rLim_ADM,$AL167),IF(ISNUMBER($F167),$F167,""))</f>
        <v/>
      </c>
    </row>
    <row r="168">
      <c r="A168" s="56">
        <f>IF(NOT((COUNTA($B168:$D168)+COUNTA($G168:$L168)+COUNTA($Q168))&gt;0),"",IF($V168="Macro",COUNTIFS($V$5:$V168,"Macro",$S$5:$S168,$S168),IF(N($U168)=0,"?",COUNTIFS(INDEX($V$5:$V$1000,1):INDEX($V$5:$V$1000,$U168-4),"Macro",INDEX($S$5:$S$1000,1):INDEX($S$5:$S$1000,$U168-4),INDEX($S$5:$S$1000,$U168-4))&amp;"."&amp;COUNTIFS($U$5:$U168,$U168,$V$5:$V168,"Sub"))))</f>
        <v/>
      </c>
      <c r="B168" s="57" t="n"/>
      <c r="C168" s="58" t="n"/>
      <c r="D168" s="58" t="n"/>
      <c r="E168" s="59">
        <f>IF(N($AL168)&gt;0,INDEX(rIni_ADM,$AL168),"")</f>
        <v/>
      </c>
      <c r="F168" s="59">
        <f>IF(N($AL168)&gt;0,INDEX(rLim_ADM,$AL168),"")</f>
        <v/>
      </c>
      <c r="G168" s="59" t="n"/>
      <c r="H168" s="60" t="n"/>
      <c r="I168" s="60" t="n"/>
      <c r="J168" s="60" t="n"/>
      <c r="K168" s="60" t="n"/>
      <c r="L168" s="60" t="n"/>
      <c r="M168" s="61">
        <f>IF(NOT((COUNTA($B168:$D168)+COUNTA($G168:$L168)+COUNTA($Q168))&gt;0),"",IF(ISNUMBER($G168),1,IF(N($W168)&gt;0,AVERAGEIFS($X$5:$X$1000,$U$5:$U$1000,ROW(),$V$5:$V$1000,"Sub"),$X168)))</f>
        <v/>
      </c>
      <c r="N168" s="56">
        <f>IF($M168="","",IF($M168&gt;=1,"Completado",IF($M168&gt;0,"En curso","Pendiente")))</f>
        <v/>
      </c>
      <c r="O168" s="56">
        <f>IF(NOT((COUNTA($B168:$D168)+COUNTA($G168:$L168)+COUNTA($Q168))&gt;0),"",IF(ISNUMBER($G168),IF(AND(ISNUMBER($AN168),$G168&gt;$AN168),"Cumplida con "&amp;($G168-$AN168)&amp;IF($G168-$AN168=1," día"," días")&amp;" de retraso","Cumplida"),IF(N($M168)&gt;=1,"Cumplida",IF(NOT(ISNUMBER($AN168)),"Sin fecha límite",IF($AN168&lt;FechaRef,"Vencida hace "&amp;(FechaRef-$AN168)&amp;IF(FechaRef-$AN168=1," día"," días"),IF($AN168=FechaRef,"Vence hoy",IF($AN168-FechaRef&lt;=DiasAlerta,"Vence en "&amp;($AN168-FechaRef)&amp;IF($AN168-FechaRef=1," día"," días"),"En plazo")))))))</f>
        <v/>
      </c>
      <c r="P168" s="62" t="n"/>
      <c r="Q168" s="58" t="n"/>
      <c r="R168" s="63">
        <f>IF(NOT((COUNTA($B168:$D168)+COUNTA($G168:$L168)+COUNTA($Q168))&gt;0),"",IF((IF($C168="","Falta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",""))="","✔ OK","⚠ "&amp;LEFT(IF($C168="","Falta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",""),LEN(IF($C168="","Falta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",""))-3)))</f>
        <v/>
      </c>
      <c r="S168" s="64">
        <f>IF(NOT((COUNTA($B168:$D168)+COUNTA($G168:$L168)+COUNTA($Q168))&gt;0),"",IF(AND($V168="Sub",N($U168)&gt;0),IF(ISNUMBER(INDEX($AM$5:$AM$1000,$U168-4)),DATE(YEAR(INDEX($AM$5:$AM$1000,$U168-4)),MONTH(INDEX($AM$5:$AM$1000,$U168-4)),1),IF(ISNUMBER(INDEX($AN$5:$AN$1000,$U168-4)),DATE(YEAR(INDEX($AN$5:$AN$1000,$U168-4)),MONTH(INDEX($AN$5:$AN$1000,$U168-4)),1),MesCiclo)),IF(ISNUMBER($AM168),DATE(YEAR($AM168),MONTH($AM168),1),IF(ISNUMBER($AN168),DATE(YEAR($AN168),MONTH($AN168),1),MesCiclo))))</f>
        <v/>
      </c>
      <c r="T168" s="62">
        <f>IF(OR($S168="",$S168&lt;&gt;MesCiclo),"",COUNTIF($S$5:$S168,MesCiclo))</f>
        <v/>
      </c>
      <c r="U168" s="62">
        <f>IF($V168="","",IF($V168="Macro",ROW(),IFERROR(LOOKUP(2,1/($V$5:$V168="Macro"),ROW($V$5:$V168)),0)))</f>
        <v/>
      </c>
      <c r="V168" s="62">
        <f>IF(NOT((COUNTA($B168:$D168)+COUNTA($G168:$L168)+COUNTA($Q168))&gt;0),"",IF($B168="Subactividad","Sub","Macro"))</f>
        <v/>
      </c>
      <c r="W168" s="62">
        <f>IF($V168="Macro",COUNTIFS($U$5:$U$1000,ROW(),$V$5:$V$1000,"Sub"),"")</f>
        <v/>
      </c>
      <c r="X168" s="62">
        <f>IF($V168="","",IF(ISNUMBER($G168),1,IFERROR(LOOKUP(2,1/($I168:$L168&lt;&gt;""),$I168:$L168),0)))</f>
        <v/>
      </c>
      <c r="Y168" s="62">
        <f>IF($V168="","",IF(AND(ISNUMBER($G168),$G168&lt;=IF($S168=MesCiclo,InicioCiclo,$S168+MOD(2-WEEKDAY($S168),7))+6),1,IF(ISNUMBER($I168),$I168,0)))</f>
        <v/>
      </c>
      <c r="Z168" s="62">
        <f>IF($V168="","",IF(AND(ISNUMBER($G168),$G168&lt;=IF($S168=MesCiclo,InicioCiclo,$S168+MOD(2-WEEKDAY($S168),7))+13),1,IF(ISNUMBER($J168),$J168,$Y168)))</f>
        <v/>
      </c>
      <c r="AA168" s="62">
        <f>IF($V168="","",IF(AND(ISNUMBER($G168),$G168&lt;=IF($S168=MesCiclo,InicioCiclo,$S168+MOD(2-WEEKDAY($S168),7))+20),1,IF(ISNUMBER($K168),$K168,$Z168)))</f>
        <v/>
      </c>
      <c r="AB168" s="62">
        <f>IF($V168="","",IF(AND(ISNUMBER($G168),$G168&lt;=IF($S168=MesCiclo,InicioCiclo,$S168+MOD(2-WEEKDAY($S168),7))+27),1,IF(ISNUMBER($L168),$L168,$AA168)))</f>
        <v/>
      </c>
      <c r="AC168" s="62">
        <f>IF($V168="","",IF(AND(ISNUMBER($G168),$G168&lt;=IF($S168=MesCiclo,InicioCiclo,$S168+MOD(2-WEEKDAY($S168),7))+6),1,IF(N($W168)&gt;0,AVERAGEIFS($Y$5:$Y$1000,$U$5:$U$1000,ROW(),$V$5:$V$1000,"Sub"),$Y168)))</f>
        <v/>
      </c>
      <c r="AD168" s="62">
        <f>IF($V168="","",IF(AND(ISNUMBER($G168),$G168&lt;=IF($S168=MesCiclo,InicioCiclo,$S168+MOD(2-WEEKDAY($S168),7))+13),1,IF(N($W168)&gt;0,AVERAGEIFS($Z$5:$Z$1000,$U$5:$U$1000,ROW(),$V$5:$V$1000,"Sub"),$Z168)))</f>
        <v/>
      </c>
      <c r="AE168" s="62">
        <f>IF($V168="","",IF(AND(ISNUMBER($G168),$G168&lt;=IF($S168=MesCiclo,InicioCiclo,$S168+MOD(2-WEEKDAY($S168),7))+20),1,IF(N($W168)&gt;0,AVERAGEIFS($AA$5:$AA$1000,$U$5:$U$1000,ROW(),$V$5:$V$1000,"Sub"),$AA168)))</f>
        <v/>
      </c>
      <c r="AF168" s="62">
        <f>IF($V168="","",IF(AND(ISNUMBER($G168),$G168&lt;=IF($S168=MesCiclo,InicioCiclo,$S168+MOD(2-WEEKDAY($S168),7))+27),1,IF(N($W168)&gt;0,AVERAGEIFS($AB$5:$AB$1000,$U$5:$U$1000,ROW(),$V$5:$V$1000,"Sub"),$AB168)))</f>
        <v/>
      </c>
      <c r="AG168" s="62">
        <f>IF($V168&lt;&gt;"Macro","",IF(COUNTIFS($S$5:$S$1000,$S168,$V$5:$V$1000,"Macro",$H$5:$H$1000,"&gt;0")=0,1/COUNTIFS($S$5:$S$1000,$S168,$V$5:$V$1000,"Macro"),IF(AND(ISNUMBER($H168),N($H168)&gt;0),$H168,SUMIFS($H$5:$H$1000,$S$5:$S$1000,$S168,$V$5:$V$1000,"Macro")/COUNTIFS($S$5:$S$1000,$S168,$V$5:$V$1000,"Macro",$H$5:$H$1000,"&gt;0"))/(COUNTIFS($S$5:$S$1000,$S168,$V$5:$V$1000,"Macro")*SUMIFS($H$5:$H$1000,$S$5:$S$1000,$S168,$V$5:$V$1000,"Macro")/COUNTIFS($S$5:$S$1000,$S168,$V$5:$V$1000,"Macro",$H$5:$H$1000,"&gt;0"))))</f>
        <v/>
      </c>
      <c r="AH168" s="62" t="n"/>
      <c r="AI168" s="62" t="n"/>
      <c r="AJ168" s="62" t="n"/>
      <c r="AK168" s="62" t="n"/>
      <c r="AL168" s="62">
        <f>IF(LEFT($C168,11)="[Jefatura] ",IFERROR(MATCH("Asistente Técnico de Riesgo|"&amp;MID($C168,12,500),rDname_ADM,0),0),"")</f>
        <v/>
      </c>
      <c r="AM168" s="62">
        <f>IF(N($AL168)&gt;0,INDEX(rIni_ADM,$AL168),IF(ISNUMBER($E168),$E168,""))</f>
        <v/>
      </c>
      <c r="AN168" s="62">
        <f>IF(N($AL168)&gt;0,INDEX(rLim_ADM,$AL168),IF(ISNUMBER($F168),$F168,""))</f>
        <v/>
      </c>
    </row>
    <row r="169">
      <c r="A169" s="56">
        <f>IF(NOT((COUNTA($B169:$D169)+COUNTA($G169:$L169)+COUNTA($Q169))&gt;0),"",IF($V169="Macro",COUNTIFS($V$5:$V169,"Macro",$S$5:$S169,$S169),IF(N($U169)=0,"?",COUNTIFS(INDEX($V$5:$V$1000,1):INDEX($V$5:$V$1000,$U169-4),"Macro",INDEX($S$5:$S$1000,1):INDEX($S$5:$S$1000,$U169-4),INDEX($S$5:$S$1000,$U169-4))&amp;"."&amp;COUNTIFS($U$5:$U169,$U169,$V$5:$V169,"Sub"))))</f>
        <v/>
      </c>
      <c r="B169" s="57" t="n"/>
      <c r="C169" s="58" t="n"/>
      <c r="D169" s="58" t="n"/>
      <c r="E169" s="59">
        <f>IF(N($AL169)&gt;0,INDEX(rIni_ADM,$AL169),"")</f>
        <v/>
      </c>
      <c r="F169" s="59">
        <f>IF(N($AL169)&gt;0,INDEX(rLim_ADM,$AL169),"")</f>
        <v/>
      </c>
      <c r="G169" s="59" t="n"/>
      <c r="H169" s="60" t="n"/>
      <c r="I169" s="60" t="n"/>
      <c r="J169" s="60" t="n"/>
      <c r="K169" s="60" t="n"/>
      <c r="L169" s="60" t="n"/>
      <c r="M169" s="61">
        <f>IF(NOT((COUNTA($B169:$D169)+COUNTA($G169:$L169)+COUNTA($Q169))&gt;0),"",IF(ISNUMBER($G169),1,IF(N($W169)&gt;0,AVERAGEIFS($X$5:$X$1000,$U$5:$U$1000,ROW(),$V$5:$V$1000,"Sub"),$X169)))</f>
        <v/>
      </c>
      <c r="N169" s="56">
        <f>IF($M169="","",IF($M169&gt;=1,"Completado",IF($M169&gt;0,"En curso","Pendiente")))</f>
        <v/>
      </c>
      <c r="O169" s="56">
        <f>IF(NOT((COUNTA($B169:$D169)+COUNTA($G169:$L169)+COUNTA($Q169))&gt;0),"",IF(ISNUMBER($G169),IF(AND(ISNUMBER($AN169),$G169&gt;$AN169),"Cumplida con "&amp;($G169-$AN169)&amp;IF($G169-$AN169=1," día"," días")&amp;" de retraso","Cumplida"),IF(N($M169)&gt;=1,"Cumplida",IF(NOT(ISNUMBER($AN169)),"Sin fecha límite",IF($AN169&lt;FechaRef,"Vencida hace "&amp;(FechaRef-$AN169)&amp;IF(FechaRef-$AN169=1," día"," días"),IF($AN169=FechaRef,"Vence hoy",IF($AN169-FechaRef&lt;=DiasAlerta,"Vence en "&amp;($AN169-FechaRef)&amp;IF($AN169-FechaRef=1," día"," días"),"En plazo")))))))</f>
        <v/>
      </c>
      <c r="P169" s="62" t="n"/>
      <c r="Q169" s="58" t="n"/>
      <c r="R169" s="63">
        <f>IF(NOT((COUNTA($B169:$D169)+COUNTA($G169:$L169)+COUNTA($Q169))&gt;0),"",IF((IF($C169="","Falta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",""))="","✔ OK","⚠ "&amp;LEFT(IF($C169="","Falta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",""),LEN(IF($C169="","Falta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",""))-3)))</f>
        <v/>
      </c>
      <c r="S169" s="64">
        <f>IF(NOT((COUNTA($B169:$D169)+COUNTA($G169:$L169)+COUNTA($Q169))&gt;0),"",IF(AND($V169="Sub",N($U169)&gt;0),IF(ISNUMBER(INDEX($AM$5:$AM$1000,$U169-4)),DATE(YEAR(INDEX($AM$5:$AM$1000,$U169-4)),MONTH(INDEX($AM$5:$AM$1000,$U169-4)),1),IF(ISNUMBER(INDEX($AN$5:$AN$1000,$U169-4)),DATE(YEAR(INDEX($AN$5:$AN$1000,$U169-4)),MONTH(INDEX($AN$5:$AN$1000,$U169-4)),1),MesCiclo)),IF(ISNUMBER($AM169),DATE(YEAR($AM169),MONTH($AM169),1),IF(ISNUMBER($AN169),DATE(YEAR($AN169),MONTH($AN169),1),MesCiclo))))</f>
        <v/>
      </c>
      <c r="T169" s="62">
        <f>IF(OR($S169="",$S169&lt;&gt;MesCiclo),"",COUNTIF($S$5:$S169,MesCiclo))</f>
        <v/>
      </c>
      <c r="U169" s="62">
        <f>IF($V169="","",IF($V169="Macro",ROW(),IFERROR(LOOKUP(2,1/($V$5:$V169="Macro"),ROW($V$5:$V169)),0)))</f>
        <v/>
      </c>
      <c r="V169" s="62">
        <f>IF(NOT((COUNTA($B169:$D169)+COUNTA($G169:$L169)+COUNTA($Q169))&gt;0),"",IF($B169="Subactividad","Sub","Macro"))</f>
        <v/>
      </c>
      <c r="W169" s="62">
        <f>IF($V169="Macro",COUNTIFS($U$5:$U$1000,ROW(),$V$5:$V$1000,"Sub"),"")</f>
        <v/>
      </c>
      <c r="X169" s="62">
        <f>IF($V169="","",IF(ISNUMBER($G169),1,IFERROR(LOOKUP(2,1/($I169:$L169&lt;&gt;""),$I169:$L169),0)))</f>
        <v/>
      </c>
      <c r="Y169" s="62">
        <f>IF($V169="","",IF(AND(ISNUMBER($G169),$G169&lt;=IF($S169=MesCiclo,InicioCiclo,$S169+MOD(2-WEEKDAY($S169),7))+6),1,IF(ISNUMBER($I169),$I169,0)))</f>
        <v/>
      </c>
      <c r="Z169" s="62">
        <f>IF($V169="","",IF(AND(ISNUMBER($G169),$G169&lt;=IF($S169=MesCiclo,InicioCiclo,$S169+MOD(2-WEEKDAY($S169),7))+13),1,IF(ISNUMBER($J169),$J169,$Y169)))</f>
        <v/>
      </c>
      <c r="AA169" s="62">
        <f>IF($V169="","",IF(AND(ISNUMBER($G169),$G169&lt;=IF($S169=MesCiclo,InicioCiclo,$S169+MOD(2-WEEKDAY($S169),7))+20),1,IF(ISNUMBER($K169),$K169,$Z169)))</f>
        <v/>
      </c>
      <c r="AB169" s="62">
        <f>IF($V169="","",IF(AND(ISNUMBER($G169),$G169&lt;=IF($S169=MesCiclo,InicioCiclo,$S169+MOD(2-WEEKDAY($S169),7))+27),1,IF(ISNUMBER($L169),$L169,$AA169)))</f>
        <v/>
      </c>
      <c r="AC169" s="62">
        <f>IF($V169="","",IF(AND(ISNUMBER($G169),$G169&lt;=IF($S169=MesCiclo,InicioCiclo,$S169+MOD(2-WEEKDAY($S169),7))+6),1,IF(N($W169)&gt;0,AVERAGEIFS($Y$5:$Y$1000,$U$5:$U$1000,ROW(),$V$5:$V$1000,"Sub"),$Y169)))</f>
        <v/>
      </c>
      <c r="AD169" s="62">
        <f>IF($V169="","",IF(AND(ISNUMBER($G169),$G169&lt;=IF($S169=MesCiclo,InicioCiclo,$S169+MOD(2-WEEKDAY($S169),7))+13),1,IF(N($W169)&gt;0,AVERAGEIFS($Z$5:$Z$1000,$U$5:$U$1000,ROW(),$V$5:$V$1000,"Sub"),$Z169)))</f>
        <v/>
      </c>
      <c r="AE169" s="62">
        <f>IF($V169="","",IF(AND(ISNUMBER($G169),$G169&lt;=IF($S169=MesCiclo,InicioCiclo,$S169+MOD(2-WEEKDAY($S169),7))+20),1,IF(N($W169)&gt;0,AVERAGEIFS($AA$5:$AA$1000,$U$5:$U$1000,ROW(),$V$5:$V$1000,"Sub"),$AA169)))</f>
        <v/>
      </c>
      <c r="AF169" s="62">
        <f>IF($V169="","",IF(AND(ISNUMBER($G169),$G169&lt;=IF($S169=MesCiclo,InicioCiclo,$S169+MOD(2-WEEKDAY($S169),7))+27),1,IF(N($W169)&gt;0,AVERAGEIFS($AB$5:$AB$1000,$U$5:$U$1000,ROW(),$V$5:$V$1000,"Sub"),$AB169)))</f>
        <v/>
      </c>
      <c r="AG169" s="62">
        <f>IF($V169&lt;&gt;"Macro","",IF(COUNTIFS($S$5:$S$1000,$S169,$V$5:$V$1000,"Macro",$H$5:$H$1000,"&gt;0")=0,1/COUNTIFS($S$5:$S$1000,$S169,$V$5:$V$1000,"Macro"),IF(AND(ISNUMBER($H169),N($H169)&gt;0),$H169,SUMIFS($H$5:$H$1000,$S$5:$S$1000,$S169,$V$5:$V$1000,"Macro")/COUNTIFS($S$5:$S$1000,$S169,$V$5:$V$1000,"Macro",$H$5:$H$1000,"&gt;0"))/(COUNTIFS($S$5:$S$1000,$S169,$V$5:$V$1000,"Macro")*SUMIFS($H$5:$H$1000,$S$5:$S$1000,$S169,$V$5:$V$1000,"Macro")/COUNTIFS($S$5:$S$1000,$S169,$V$5:$V$1000,"Macro",$H$5:$H$1000,"&gt;0"))))</f>
        <v/>
      </c>
      <c r="AH169" s="62" t="n"/>
      <c r="AI169" s="62" t="n"/>
      <c r="AJ169" s="62" t="n"/>
      <c r="AK169" s="62" t="n"/>
      <c r="AL169" s="62">
        <f>IF(LEFT($C169,11)="[Jefatura] ",IFERROR(MATCH("Asistente Técnico de Riesgo|"&amp;MID($C169,12,500),rDname_ADM,0),0),"")</f>
        <v/>
      </c>
      <c r="AM169" s="62">
        <f>IF(N($AL169)&gt;0,INDEX(rIni_ADM,$AL169),IF(ISNUMBER($E169),$E169,""))</f>
        <v/>
      </c>
      <c r="AN169" s="62">
        <f>IF(N($AL169)&gt;0,INDEX(rLim_ADM,$AL169),IF(ISNUMBER($F169),$F169,""))</f>
        <v/>
      </c>
    </row>
    <row r="170">
      <c r="A170" s="56">
        <f>IF(NOT((COUNTA($B170:$D170)+COUNTA($G170:$L170)+COUNTA($Q170))&gt;0),"",IF($V170="Macro",COUNTIFS($V$5:$V170,"Macro",$S$5:$S170,$S170),IF(N($U170)=0,"?",COUNTIFS(INDEX($V$5:$V$1000,1):INDEX($V$5:$V$1000,$U170-4),"Macro",INDEX($S$5:$S$1000,1):INDEX($S$5:$S$1000,$U170-4),INDEX($S$5:$S$1000,$U170-4))&amp;"."&amp;COUNTIFS($U$5:$U170,$U170,$V$5:$V170,"Sub"))))</f>
        <v/>
      </c>
      <c r="B170" s="57" t="n"/>
      <c r="C170" s="58" t="n"/>
      <c r="D170" s="58" t="n"/>
      <c r="E170" s="59">
        <f>IF(N($AL170)&gt;0,INDEX(rIni_ADM,$AL170),"")</f>
        <v/>
      </c>
      <c r="F170" s="59">
        <f>IF(N($AL170)&gt;0,INDEX(rLim_ADM,$AL170),"")</f>
        <v/>
      </c>
      <c r="G170" s="59" t="n"/>
      <c r="H170" s="60" t="n"/>
      <c r="I170" s="60" t="n"/>
      <c r="J170" s="60" t="n"/>
      <c r="K170" s="60" t="n"/>
      <c r="L170" s="60" t="n"/>
      <c r="M170" s="61">
        <f>IF(NOT((COUNTA($B170:$D170)+COUNTA($G170:$L170)+COUNTA($Q170))&gt;0),"",IF(ISNUMBER($G170),1,IF(N($W170)&gt;0,AVERAGEIFS($X$5:$X$1000,$U$5:$U$1000,ROW(),$V$5:$V$1000,"Sub"),$X170)))</f>
        <v/>
      </c>
      <c r="N170" s="56">
        <f>IF($M170="","",IF($M170&gt;=1,"Completado",IF($M170&gt;0,"En curso","Pendiente")))</f>
        <v/>
      </c>
      <c r="O170" s="56">
        <f>IF(NOT((COUNTA($B170:$D170)+COUNTA($G170:$L170)+COUNTA($Q170))&gt;0),"",IF(ISNUMBER($G170),IF(AND(ISNUMBER($AN170),$G170&gt;$AN170),"Cumplida con "&amp;($G170-$AN170)&amp;IF($G170-$AN170=1," día"," días")&amp;" de retraso","Cumplida"),IF(N($M170)&gt;=1,"Cumplida",IF(NOT(ISNUMBER($AN170)),"Sin fecha límite",IF($AN170&lt;FechaRef,"Vencida hace "&amp;(FechaRef-$AN170)&amp;IF(FechaRef-$AN170=1," día"," días"),IF($AN170=FechaRef,"Vence hoy",IF($AN170-FechaRef&lt;=DiasAlerta,"Vence en "&amp;($AN170-FechaRef)&amp;IF($AN170-FechaRef=1," día"," días"),"En plazo")))))))</f>
        <v/>
      </c>
      <c r="P170" s="62" t="n"/>
      <c r="Q170" s="58" t="n"/>
      <c r="R170" s="63">
        <f>IF(NOT((COUNTA($B170:$D170)+COUNTA($G170:$L170)+COUNTA($Q170))&gt;0),"",IF((IF($C170="","Falta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",""))="","✔ OK","⚠ "&amp;LEFT(IF($C170="","Falta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",""),LEN(IF($C170="","Falta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",""))-3)))</f>
        <v/>
      </c>
      <c r="S170" s="64">
        <f>IF(NOT((COUNTA($B170:$D170)+COUNTA($G170:$L170)+COUNTA($Q170))&gt;0),"",IF(AND($V170="Sub",N($U170)&gt;0),IF(ISNUMBER(INDEX($AM$5:$AM$1000,$U170-4)),DATE(YEAR(INDEX($AM$5:$AM$1000,$U170-4)),MONTH(INDEX($AM$5:$AM$1000,$U170-4)),1),IF(ISNUMBER(INDEX($AN$5:$AN$1000,$U170-4)),DATE(YEAR(INDEX($AN$5:$AN$1000,$U170-4)),MONTH(INDEX($AN$5:$AN$1000,$U170-4)),1),MesCiclo)),IF(ISNUMBER($AM170),DATE(YEAR($AM170),MONTH($AM170),1),IF(ISNUMBER($AN170),DATE(YEAR($AN170),MONTH($AN170),1),MesCiclo))))</f>
        <v/>
      </c>
      <c r="T170" s="62">
        <f>IF(OR($S170="",$S170&lt;&gt;MesCiclo),"",COUNTIF($S$5:$S170,MesCiclo))</f>
        <v/>
      </c>
      <c r="U170" s="62">
        <f>IF($V170="","",IF($V170="Macro",ROW(),IFERROR(LOOKUP(2,1/($V$5:$V170="Macro"),ROW($V$5:$V170)),0)))</f>
        <v/>
      </c>
      <c r="V170" s="62">
        <f>IF(NOT((COUNTA($B170:$D170)+COUNTA($G170:$L170)+COUNTA($Q170))&gt;0),"",IF($B170="Subactividad","Sub","Macro"))</f>
        <v/>
      </c>
      <c r="W170" s="62">
        <f>IF($V170="Macro",COUNTIFS($U$5:$U$1000,ROW(),$V$5:$V$1000,"Sub"),"")</f>
        <v/>
      </c>
      <c r="X170" s="62">
        <f>IF($V170="","",IF(ISNUMBER($G170),1,IFERROR(LOOKUP(2,1/($I170:$L170&lt;&gt;""),$I170:$L170),0)))</f>
        <v/>
      </c>
      <c r="Y170" s="62">
        <f>IF($V170="","",IF(AND(ISNUMBER($G170),$G170&lt;=IF($S170=MesCiclo,InicioCiclo,$S170+MOD(2-WEEKDAY($S170),7))+6),1,IF(ISNUMBER($I170),$I170,0)))</f>
        <v/>
      </c>
      <c r="Z170" s="62">
        <f>IF($V170="","",IF(AND(ISNUMBER($G170),$G170&lt;=IF($S170=MesCiclo,InicioCiclo,$S170+MOD(2-WEEKDAY($S170),7))+13),1,IF(ISNUMBER($J170),$J170,$Y170)))</f>
        <v/>
      </c>
      <c r="AA170" s="62">
        <f>IF($V170="","",IF(AND(ISNUMBER($G170),$G170&lt;=IF($S170=MesCiclo,InicioCiclo,$S170+MOD(2-WEEKDAY($S170),7))+20),1,IF(ISNUMBER($K170),$K170,$Z170)))</f>
        <v/>
      </c>
      <c r="AB170" s="62">
        <f>IF($V170="","",IF(AND(ISNUMBER($G170),$G170&lt;=IF($S170=MesCiclo,InicioCiclo,$S170+MOD(2-WEEKDAY($S170),7))+27),1,IF(ISNUMBER($L170),$L170,$AA170)))</f>
        <v/>
      </c>
      <c r="AC170" s="62">
        <f>IF($V170="","",IF(AND(ISNUMBER($G170),$G170&lt;=IF($S170=MesCiclo,InicioCiclo,$S170+MOD(2-WEEKDAY($S170),7))+6),1,IF(N($W170)&gt;0,AVERAGEIFS($Y$5:$Y$1000,$U$5:$U$1000,ROW(),$V$5:$V$1000,"Sub"),$Y170)))</f>
        <v/>
      </c>
      <c r="AD170" s="62">
        <f>IF($V170="","",IF(AND(ISNUMBER($G170),$G170&lt;=IF($S170=MesCiclo,InicioCiclo,$S170+MOD(2-WEEKDAY($S170),7))+13),1,IF(N($W170)&gt;0,AVERAGEIFS($Z$5:$Z$1000,$U$5:$U$1000,ROW(),$V$5:$V$1000,"Sub"),$Z170)))</f>
        <v/>
      </c>
      <c r="AE170" s="62">
        <f>IF($V170="","",IF(AND(ISNUMBER($G170),$G170&lt;=IF($S170=MesCiclo,InicioCiclo,$S170+MOD(2-WEEKDAY($S170),7))+20),1,IF(N($W170)&gt;0,AVERAGEIFS($AA$5:$AA$1000,$U$5:$U$1000,ROW(),$V$5:$V$1000,"Sub"),$AA170)))</f>
        <v/>
      </c>
      <c r="AF170" s="62">
        <f>IF($V170="","",IF(AND(ISNUMBER($G170),$G170&lt;=IF($S170=MesCiclo,InicioCiclo,$S170+MOD(2-WEEKDAY($S170),7))+27),1,IF(N($W170)&gt;0,AVERAGEIFS($AB$5:$AB$1000,$U$5:$U$1000,ROW(),$V$5:$V$1000,"Sub"),$AB170)))</f>
        <v/>
      </c>
      <c r="AG170" s="62">
        <f>IF($V170&lt;&gt;"Macro","",IF(COUNTIFS($S$5:$S$1000,$S170,$V$5:$V$1000,"Macro",$H$5:$H$1000,"&gt;0")=0,1/COUNTIFS($S$5:$S$1000,$S170,$V$5:$V$1000,"Macro"),IF(AND(ISNUMBER($H170),N($H170)&gt;0),$H170,SUMIFS($H$5:$H$1000,$S$5:$S$1000,$S170,$V$5:$V$1000,"Macro")/COUNTIFS($S$5:$S$1000,$S170,$V$5:$V$1000,"Macro",$H$5:$H$1000,"&gt;0"))/(COUNTIFS($S$5:$S$1000,$S170,$V$5:$V$1000,"Macro")*SUMIFS($H$5:$H$1000,$S$5:$S$1000,$S170,$V$5:$V$1000,"Macro")/COUNTIFS($S$5:$S$1000,$S170,$V$5:$V$1000,"Macro",$H$5:$H$1000,"&gt;0"))))</f>
        <v/>
      </c>
      <c r="AH170" s="62" t="n"/>
      <c r="AI170" s="62" t="n"/>
      <c r="AJ170" s="62" t="n"/>
      <c r="AK170" s="62" t="n"/>
      <c r="AL170" s="62">
        <f>IF(LEFT($C170,11)="[Jefatura] ",IFERROR(MATCH("Asistente Técnico de Riesgo|"&amp;MID($C170,12,500),rDname_ADM,0),0),"")</f>
        <v/>
      </c>
      <c r="AM170" s="62">
        <f>IF(N($AL170)&gt;0,INDEX(rIni_ADM,$AL170),IF(ISNUMBER($E170),$E170,""))</f>
        <v/>
      </c>
      <c r="AN170" s="62">
        <f>IF(N($AL170)&gt;0,INDEX(rLim_ADM,$AL170),IF(ISNUMBER($F170),$F170,""))</f>
        <v/>
      </c>
    </row>
    <row r="171">
      <c r="A171" s="56">
        <f>IF(NOT((COUNTA($B171:$D171)+COUNTA($G171:$L171)+COUNTA($Q171))&gt;0),"",IF($V171="Macro",COUNTIFS($V$5:$V171,"Macro",$S$5:$S171,$S171),IF(N($U171)=0,"?",COUNTIFS(INDEX($V$5:$V$1000,1):INDEX($V$5:$V$1000,$U171-4),"Macro",INDEX($S$5:$S$1000,1):INDEX($S$5:$S$1000,$U171-4),INDEX($S$5:$S$1000,$U171-4))&amp;"."&amp;COUNTIFS($U$5:$U171,$U171,$V$5:$V171,"Sub"))))</f>
        <v/>
      </c>
      <c r="B171" s="57" t="n"/>
      <c r="C171" s="58" t="n"/>
      <c r="D171" s="58" t="n"/>
      <c r="E171" s="59">
        <f>IF(N($AL171)&gt;0,INDEX(rIni_ADM,$AL171),"")</f>
        <v/>
      </c>
      <c r="F171" s="59">
        <f>IF(N($AL171)&gt;0,INDEX(rLim_ADM,$AL171),"")</f>
        <v/>
      </c>
      <c r="G171" s="59" t="n"/>
      <c r="H171" s="60" t="n"/>
      <c r="I171" s="60" t="n"/>
      <c r="J171" s="60" t="n"/>
      <c r="K171" s="60" t="n"/>
      <c r="L171" s="60" t="n"/>
      <c r="M171" s="61">
        <f>IF(NOT((COUNTA($B171:$D171)+COUNTA($G171:$L171)+COUNTA($Q171))&gt;0),"",IF(ISNUMBER($G171),1,IF(N($W171)&gt;0,AVERAGEIFS($X$5:$X$1000,$U$5:$U$1000,ROW(),$V$5:$V$1000,"Sub"),$X171)))</f>
        <v/>
      </c>
      <c r="N171" s="56">
        <f>IF($M171="","",IF($M171&gt;=1,"Completado",IF($M171&gt;0,"En curso","Pendiente")))</f>
        <v/>
      </c>
      <c r="O171" s="56">
        <f>IF(NOT((COUNTA($B171:$D171)+COUNTA($G171:$L171)+COUNTA($Q171))&gt;0),"",IF(ISNUMBER($G171),IF(AND(ISNUMBER($AN171),$G171&gt;$AN171),"Cumplida con "&amp;($G171-$AN171)&amp;IF($G171-$AN171=1," día"," días")&amp;" de retraso","Cumplida"),IF(N($M171)&gt;=1,"Cumplida",IF(NOT(ISNUMBER($AN171)),"Sin fecha límite",IF($AN171&lt;FechaRef,"Vencida hace "&amp;(FechaRef-$AN171)&amp;IF(FechaRef-$AN171=1," día"," días"),IF($AN171=FechaRef,"Vence hoy",IF($AN171-FechaRef&lt;=DiasAlerta,"Vence en "&amp;($AN171-FechaRef)&amp;IF($AN171-FechaRef=1," día"," días"),"En plazo")))))))</f>
        <v/>
      </c>
      <c r="P171" s="62" t="n"/>
      <c r="Q171" s="58" t="n"/>
      <c r="R171" s="63">
        <f>IF(NOT((COUNTA($B171:$D171)+COUNTA($G171:$L171)+COUNTA($Q171))&gt;0),"",IF((IF($C171="","Falta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",""))="","✔ OK","⚠ "&amp;LEFT(IF($C171="","Falta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",""),LEN(IF($C171="","Falta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",""))-3)))</f>
        <v/>
      </c>
      <c r="S171" s="64">
        <f>IF(NOT((COUNTA($B171:$D171)+COUNTA($G171:$L171)+COUNTA($Q171))&gt;0),"",IF(AND($V171="Sub",N($U171)&gt;0),IF(ISNUMBER(INDEX($AM$5:$AM$1000,$U171-4)),DATE(YEAR(INDEX($AM$5:$AM$1000,$U171-4)),MONTH(INDEX($AM$5:$AM$1000,$U171-4)),1),IF(ISNUMBER(INDEX($AN$5:$AN$1000,$U171-4)),DATE(YEAR(INDEX($AN$5:$AN$1000,$U171-4)),MONTH(INDEX($AN$5:$AN$1000,$U171-4)),1),MesCiclo)),IF(ISNUMBER($AM171),DATE(YEAR($AM171),MONTH($AM171),1),IF(ISNUMBER($AN171),DATE(YEAR($AN171),MONTH($AN171),1),MesCiclo))))</f>
        <v/>
      </c>
      <c r="T171" s="62">
        <f>IF(OR($S171="",$S171&lt;&gt;MesCiclo),"",COUNTIF($S$5:$S171,MesCiclo))</f>
        <v/>
      </c>
      <c r="U171" s="62">
        <f>IF($V171="","",IF($V171="Macro",ROW(),IFERROR(LOOKUP(2,1/($V$5:$V171="Macro"),ROW($V$5:$V171)),0)))</f>
        <v/>
      </c>
      <c r="V171" s="62">
        <f>IF(NOT((COUNTA($B171:$D171)+COUNTA($G171:$L171)+COUNTA($Q171))&gt;0),"",IF($B171="Subactividad","Sub","Macro"))</f>
        <v/>
      </c>
      <c r="W171" s="62">
        <f>IF($V171="Macro",COUNTIFS($U$5:$U$1000,ROW(),$V$5:$V$1000,"Sub"),"")</f>
        <v/>
      </c>
      <c r="X171" s="62">
        <f>IF($V171="","",IF(ISNUMBER($G171),1,IFERROR(LOOKUP(2,1/($I171:$L171&lt;&gt;""),$I171:$L171),0)))</f>
        <v/>
      </c>
      <c r="Y171" s="62">
        <f>IF($V171="","",IF(AND(ISNUMBER($G171),$G171&lt;=IF($S171=MesCiclo,InicioCiclo,$S171+MOD(2-WEEKDAY($S171),7))+6),1,IF(ISNUMBER($I171),$I171,0)))</f>
        <v/>
      </c>
      <c r="Z171" s="62">
        <f>IF($V171="","",IF(AND(ISNUMBER($G171),$G171&lt;=IF($S171=MesCiclo,InicioCiclo,$S171+MOD(2-WEEKDAY($S171),7))+13),1,IF(ISNUMBER($J171),$J171,$Y171)))</f>
        <v/>
      </c>
      <c r="AA171" s="62">
        <f>IF($V171="","",IF(AND(ISNUMBER($G171),$G171&lt;=IF($S171=MesCiclo,InicioCiclo,$S171+MOD(2-WEEKDAY($S171),7))+20),1,IF(ISNUMBER($K171),$K171,$Z171)))</f>
        <v/>
      </c>
      <c r="AB171" s="62">
        <f>IF($V171="","",IF(AND(ISNUMBER($G171),$G171&lt;=IF($S171=MesCiclo,InicioCiclo,$S171+MOD(2-WEEKDAY($S171),7))+27),1,IF(ISNUMBER($L171),$L171,$AA171)))</f>
        <v/>
      </c>
      <c r="AC171" s="62">
        <f>IF($V171="","",IF(AND(ISNUMBER($G171),$G171&lt;=IF($S171=MesCiclo,InicioCiclo,$S171+MOD(2-WEEKDAY($S171),7))+6),1,IF(N($W171)&gt;0,AVERAGEIFS($Y$5:$Y$1000,$U$5:$U$1000,ROW(),$V$5:$V$1000,"Sub"),$Y171)))</f>
        <v/>
      </c>
      <c r="AD171" s="62">
        <f>IF($V171="","",IF(AND(ISNUMBER($G171),$G171&lt;=IF($S171=MesCiclo,InicioCiclo,$S171+MOD(2-WEEKDAY($S171),7))+13),1,IF(N($W171)&gt;0,AVERAGEIFS($Z$5:$Z$1000,$U$5:$U$1000,ROW(),$V$5:$V$1000,"Sub"),$Z171)))</f>
        <v/>
      </c>
      <c r="AE171" s="62">
        <f>IF($V171="","",IF(AND(ISNUMBER($G171),$G171&lt;=IF($S171=MesCiclo,InicioCiclo,$S171+MOD(2-WEEKDAY($S171),7))+20),1,IF(N($W171)&gt;0,AVERAGEIFS($AA$5:$AA$1000,$U$5:$U$1000,ROW(),$V$5:$V$1000,"Sub"),$AA171)))</f>
        <v/>
      </c>
      <c r="AF171" s="62">
        <f>IF($V171="","",IF(AND(ISNUMBER($G171),$G171&lt;=IF($S171=MesCiclo,InicioCiclo,$S171+MOD(2-WEEKDAY($S171),7))+27),1,IF(N($W171)&gt;0,AVERAGEIFS($AB$5:$AB$1000,$U$5:$U$1000,ROW(),$V$5:$V$1000,"Sub"),$AB171)))</f>
        <v/>
      </c>
      <c r="AG171" s="62">
        <f>IF($V171&lt;&gt;"Macro","",IF(COUNTIFS($S$5:$S$1000,$S171,$V$5:$V$1000,"Macro",$H$5:$H$1000,"&gt;0")=0,1/COUNTIFS($S$5:$S$1000,$S171,$V$5:$V$1000,"Macro"),IF(AND(ISNUMBER($H171),N($H171)&gt;0),$H171,SUMIFS($H$5:$H$1000,$S$5:$S$1000,$S171,$V$5:$V$1000,"Macro")/COUNTIFS($S$5:$S$1000,$S171,$V$5:$V$1000,"Macro",$H$5:$H$1000,"&gt;0"))/(COUNTIFS($S$5:$S$1000,$S171,$V$5:$V$1000,"Macro")*SUMIFS($H$5:$H$1000,$S$5:$S$1000,$S171,$V$5:$V$1000,"Macro")/COUNTIFS($S$5:$S$1000,$S171,$V$5:$V$1000,"Macro",$H$5:$H$1000,"&gt;0"))))</f>
        <v/>
      </c>
      <c r="AH171" s="62" t="n"/>
      <c r="AI171" s="62" t="n"/>
      <c r="AJ171" s="62" t="n"/>
      <c r="AK171" s="62" t="n"/>
      <c r="AL171" s="62">
        <f>IF(LEFT($C171,11)="[Jefatura] ",IFERROR(MATCH("Asistente Técnico de Riesgo|"&amp;MID($C171,12,500),rDname_ADM,0),0),"")</f>
        <v/>
      </c>
      <c r="AM171" s="62">
        <f>IF(N($AL171)&gt;0,INDEX(rIni_ADM,$AL171),IF(ISNUMBER($E171),$E171,""))</f>
        <v/>
      </c>
      <c r="AN171" s="62">
        <f>IF(N($AL171)&gt;0,INDEX(rLim_ADM,$AL171),IF(ISNUMBER($F171),$F171,""))</f>
        <v/>
      </c>
    </row>
    <row r="172">
      <c r="A172" s="56">
        <f>IF(NOT((COUNTA($B172:$D172)+COUNTA($G172:$L172)+COUNTA($Q172))&gt;0),"",IF($V172="Macro",COUNTIFS($V$5:$V172,"Macro",$S$5:$S172,$S172),IF(N($U172)=0,"?",COUNTIFS(INDEX($V$5:$V$1000,1):INDEX($V$5:$V$1000,$U172-4),"Macro",INDEX($S$5:$S$1000,1):INDEX($S$5:$S$1000,$U172-4),INDEX($S$5:$S$1000,$U172-4))&amp;"."&amp;COUNTIFS($U$5:$U172,$U172,$V$5:$V172,"Sub"))))</f>
        <v/>
      </c>
      <c r="B172" s="57" t="n"/>
      <c r="C172" s="58" t="n"/>
      <c r="D172" s="58" t="n"/>
      <c r="E172" s="59">
        <f>IF(N($AL172)&gt;0,INDEX(rIni_ADM,$AL172),"")</f>
        <v/>
      </c>
      <c r="F172" s="59">
        <f>IF(N($AL172)&gt;0,INDEX(rLim_ADM,$AL172),"")</f>
        <v/>
      </c>
      <c r="G172" s="59" t="n"/>
      <c r="H172" s="60" t="n"/>
      <c r="I172" s="60" t="n"/>
      <c r="J172" s="60" t="n"/>
      <c r="K172" s="60" t="n"/>
      <c r="L172" s="60" t="n"/>
      <c r="M172" s="61">
        <f>IF(NOT((COUNTA($B172:$D172)+COUNTA($G172:$L172)+COUNTA($Q172))&gt;0),"",IF(ISNUMBER($G172),1,IF(N($W172)&gt;0,AVERAGEIFS($X$5:$X$1000,$U$5:$U$1000,ROW(),$V$5:$V$1000,"Sub"),$X172)))</f>
        <v/>
      </c>
      <c r="N172" s="56">
        <f>IF($M172="","",IF($M172&gt;=1,"Completado",IF($M172&gt;0,"En curso","Pendiente")))</f>
        <v/>
      </c>
      <c r="O172" s="56">
        <f>IF(NOT((COUNTA($B172:$D172)+COUNTA($G172:$L172)+COUNTA($Q172))&gt;0),"",IF(ISNUMBER($G172),IF(AND(ISNUMBER($AN172),$G172&gt;$AN172),"Cumplida con "&amp;($G172-$AN172)&amp;IF($G172-$AN172=1," día"," días")&amp;" de retraso","Cumplida"),IF(N($M172)&gt;=1,"Cumplida",IF(NOT(ISNUMBER($AN172)),"Sin fecha límite",IF($AN172&lt;FechaRef,"Vencida hace "&amp;(FechaRef-$AN172)&amp;IF(FechaRef-$AN172=1," día"," días"),IF($AN172=FechaRef,"Vence hoy",IF($AN172-FechaRef&lt;=DiasAlerta,"Vence en "&amp;($AN172-FechaRef)&amp;IF($AN172-FechaRef=1," día"," días"),"En plazo")))))))</f>
        <v/>
      </c>
      <c r="P172" s="62" t="n"/>
      <c r="Q172" s="58" t="n"/>
      <c r="R172" s="63">
        <f>IF(NOT((COUNTA($B172:$D172)+COUNTA($G172:$L172)+COUNTA($Q172))&gt;0),"",IF((IF($C172="","Falta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",""))="","✔ OK","⚠ "&amp;LEFT(IF($C172="","Falta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",""),LEN(IF($C172="","Falta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",""))-3)))</f>
        <v/>
      </c>
      <c r="S172" s="64">
        <f>IF(NOT((COUNTA($B172:$D172)+COUNTA($G172:$L172)+COUNTA($Q172))&gt;0),"",IF(AND($V172="Sub",N($U172)&gt;0),IF(ISNUMBER(INDEX($AM$5:$AM$1000,$U172-4)),DATE(YEAR(INDEX($AM$5:$AM$1000,$U172-4)),MONTH(INDEX($AM$5:$AM$1000,$U172-4)),1),IF(ISNUMBER(INDEX($AN$5:$AN$1000,$U172-4)),DATE(YEAR(INDEX($AN$5:$AN$1000,$U172-4)),MONTH(INDEX($AN$5:$AN$1000,$U172-4)),1),MesCiclo)),IF(ISNUMBER($AM172),DATE(YEAR($AM172),MONTH($AM172),1),IF(ISNUMBER($AN172),DATE(YEAR($AN172),MONTH($AN172),1),MesCiclo))))</f>
        <v/>
      </c>
      <c r="T172" s="62">
        <f>IF(OR($S172="",$S172&lt;&gt;MesCiclo),"",COUNTIF($S$5:$S172,MesCiclo))</f>
        <v/>
      </c>
      <c r="U172" s="62">
        <f>IF($V172="","",IF($V172="Macro",ROW(),IFERROR(LOOKUP(2,1/($V$5:$V172="Macro"),ROW($V$5:$V172)),0)))</f>
        <v/>
      </c>
      <c r="V172" s="62">
        <f>IF(NOT((COUNTA($B172:$D172)+COUNTA($G172:$L172)+COUNTA($Q172))&gt;0),"",IF($B172="Subactividad","Sub","Macro"))</f>
        <v/>
      </c>
      <c r="W172" s="62">
        <f>IF($V172="Macro",COUNTIFS($U$5:$U$1000,ROW(),$V$5:$V$1000,"Sub"),"")</f>
        <v/>
      </c>
      <c r="X172" s="62">
        <f>IF($V172="","",IF(ISNUMBER($G172),1,IFERROR(LOOKUP(2,1/($I172:$L172&lt;&gt;""),$I172:$L172),0)))</f>
        <v/>
      </c>
      <c r="Y172" s="62">
        <f>IF($V172="","",IF(AND(ISNUMBER($G172),$G172&lt;=IF($S172=MesCiclo,InicioCiclo,$S172+MOD(2-WEEKDAY($S172),7))+6),1,IF(ISNUMBER($I172),$I172,0)))</f>
        <v/>
      </c>
      <c r="Z172" s="62">
        <f>IF($V172="","",IF(AND(ISNUMBER($G172),$G172&lt;=IF($S172=MesCiclo,InicioCiclo,$S172+MOD(2-WEEKDAY($S172),7))+13),1,IF(ISNUMBER($J172),$J172,$Y172)))</f>
        <v/>
      </c>
      <c r="AA172" s="62">
        <f>IF($V172="","",IF(AND(ISNUMBER($G172),$G172&lt;=IF($S172=MesCiclo,InicioCiclo,$S172+MOD(2-WEEKDAY($S172),7))+20),1,IF(ISNUMBER($K172),$K172,$Z172)))</f>
        <v/>
      </c>
      <c r="AB172" s="62">
        <f>IF($V172="","",IF(AND(ISNUMBER($G172),$G172&lt;=IF($S172=MesCiclo,InicioCiclo,$S172+MOD(2-WEEKDAY($S172),7))+27),1,IF(ISNUMBER($L172),$L172,$AA172)))</f>
        <v/>
      </c>
      <c r="AC172" s="62">
        <f>IF($V172="","",IF(AND(ISNUMBER($G172),$G172&lt;=IF($S172=MesCiclo,InicioCiclo,$S172+MOD(2-WEEKDAY($S172),7))+6),1,IF(N($W172)&gt;0,AVERAGEIFS($Y$5:$Y$1000,$U$5:$U$1000,ROW(),$V$5:$V$1000,"Sub"),$Y172)))</f>
        <v/>
      </c>
      <c r="AD172" s="62">
        <f>IF($V172="","",IF(AND(ISNUMBER($G172),$G172&lt;=IF($S172=MesCiclo,InicioCiclo,$S172+MOD(2-WEEKDAY($S172),7))+13),1,IF(N($W172)&gt;0,AVERAGEIFS($Z$5:$Z$1000,$U$5:$U$1000,ROW(),$V$5:$V$1000,"Sub"),$Z172)))</f>
        <v/>
      </c>
      <c r="AE172" s="62">
        <f>IF($V172="","",IF(AND(ISNUMBER($G172),$G172&lt;=IF($S172=MesCiclo,InicioCiclo,$S172+MOD(2-WEEKDAY($S172),7))+20),1,IF(N($W172)&gt;0,AVERAGEIFS($AA$5:$AA$1000,$U$5:$U$1000,ROW(),$V$5:$V$1000,"Sub"),$AA172)))</f>
        <v/>
      </c>
      <c r="AF172" s="62">
        <f>IF($V172="","",IF(AND(ISNUMBER($G172),$G172&lt;=IF($S172=MesCiclo,InicioCiclo,$S172+MOD(2-WEEKDAY($S172),7))+27),1,IF(N($W172)&gt;0,AVERAGEIFS($AB$5:$AB$1000,$U$5:$U$1000,ROW(),$V$5:$V$1000,"Sub"),$AB172)))</f>
        <v/>
      </c>
      <c r="AG172" s="62">
        <f>IF($V172&lt;&gt;"Macro","",IF(COUNTIFS($S$5:$S$1000,$S172,$V$5:$V$1000,"Macro",$H$5:$H$1000,"&gt;0")=0,1/COUNTIFS($S$5:$S$1000,$S172,$V$5:$V$1000,"Macro"),IF(AND(ISNUMBER($H172),N($H172)&gt;0),$H172,SUMIFS($H$5:$H$1000,$S$5:$S$1000,$S172,$V$5:$V$1000,"Macro")/COUNTIFS($S$5:$S$1000,$S172,$V$5:$V$1000,"Macro",$H$5:$H$1000,"&gt;0"))/(COUNTIFS($S$5:$S$1000,$S172,$V$5:$V$1000,"Macro")*SUMIFS($H$5:$H$1000,$S$5:$S$1000,$S172,$V$5:$V$1000,"Macro")/COUNTIFS($S$5:$S$1000,$S172,$V$5:$V$1000,"Macro",$H$5:$H$1000,"&gt;0"))))</f>
        <v/>
      </c>
      <c r="AH172" s="62" t="n"/>
      <c r="AI172" s="62" t="n"/>
      <c r="AJ172" s="62" t="n"/>
      <c r="AK172" s="62" t="n"/>
      <c r="AL172" s="62">
        <f>IF(LEFT($C172,11)="[Jefatura] ",IFERROR(MATCH("Asistente Técnico de Riesgo|"&amp;MID($C172,12,500),rDname_ADM,0),0),"")</f>
        <v/>
      </c>
      <c r="AM172" s="62">
        <f>IF(N($AL172)&gt;0,INDEX(rIni_ADM,$AL172),IF(ISNUMBER($E172),$E172,""))</f>
        <v/>
      </c>
      <c r="AN172" s="62">
        <f>IF(N($AL172)&gt;0,INDEX(rLim_ADM,$AL172),IF(ISNUMBER($F172),$F172,""))</f>
        <v/>
      </c>
    </row>
    <row r="173">
      <c r="A173" s="56">
        <f>IF(NOT((COUNTA($B173:$D173)+COUNTA($G173:$L173)+COUNTA($Q173))&gt;0),"",IF($V173="Macro",COUNTIFS($V$5:$V173,"Macro",$S$5:$S173,$S173),IF(N($U173)=0,"?",COUNTIFS(INDEX($V$5:$V$1000,1):INDEX($V$5:$V$1000,$U173-4),"Macro",INDEX($S$5:$S$1000,1):INDEX($S$5:$S$1000,$U173-4),INDEX($S$5:$S$1000,$U173-4))&amp;"."&amp;COUNTIFS($U$5:$U173,$U173,$V$5:$V173,"Sub"))))</f>
        <v/>
      </c>
      <c r="B173" s="57" t="n"/>
      <c r="C173" s="58" t="n"/>
      <c r="D173" s="58" t="n"/>
      <c r="E173" s="59">
        <f>IF(N($AL173)&gt;0,INDEX(rIni_ADM,$AL173),"")</f>
        <v/>
      </c>
      <c r="F173" s="59">
        <f>IF(N($AL173)&gt;0,INDEX(rLim_ADM,$AL173),"")</f>
        <v/>
      </c>
      <c r="G173" s="59" t="n"/>
      <c r="H173" s="60" t="n"/>
      <c r="I173" s="60" t="n"/>
      <c r="J173" s="60" t="n"/>
      <c r="K173" s="60" t="n"/>
      <c r="L173" s="60" t="n"/>
      <c r="M173" s="61">
        <f>IF(NOT((COUNTA($B173:$D173)+COUNTA($G173:$L173)+COUNTA($Q173))&gt;0),"",IF(ISNUMBER($G173),1,IF(N($W173)&gt;0,AVERAGEIFS($X$5:$X$1000,$U$5:$U$1000,ROW(),$V$5:$V$1000,"Sub"),$X173)))</f>
        <v/>
      </c>
      <c r="N173" s="56">
        <f>IF($M173="","",IF($M173&gt;=1,"Completado",IF($M173&gt;0,"En curso","Pendiente")))</f>
        <v/>
      </c>
      <c r="O173" s="56">
        <f>IF(NOT((COUNTA($B173:$D173)+COUNTA($G173:$L173)+COUNTA($Q173))&gt;0),"",IF(ISNUMBER($G173),IF(AND(ISNUMBER($AN173),$G173&gt;$AN173),"Cumplida con "&amp;($G173-$AN173)&amp;IF($G173-$AN173=1," día"," días")&amp;" de retraso","Cumplida"),IF(N($M173)&gt;=1,"Cumplida",IF(NOT(ISNUMBER($AN173)),"Sin fecha límite",IF($AN173&lt;FechaRef,"Vencida hace "&amp;(FechaRef-$AN173)&amp;IF(FechaRef-$AN173=1," día"," días"),IF($AN173=FechaRef,"Vence hoy",IF($AN173-FechaRef&lt;=DiasAlerta,"Vence en "&amp;($AN173-FechaRef)&amp;IF($AN173-FechaRef=1," día"," días"),"En plazo")))))))</f>
        <v/>
      </c>
      <c r="P173" s="62" t="n"/>
      <c r="Q173" s="58" t="n"/>
      <c r="R173" s="63">
        <f>IF(NOT((COUNTA($B173:$D173)+COUNTA($G173:$L173)+COUNTA($Q173))&gt;0),"",IF((IF($C173="","Falta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",""))="","✔ OK","⚠ "&amp;LEFT(IF($C173="","Falta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",""),LEN(IF($C173="","Falta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",""))-3)))</f>
        <v/>
      </c>
      <c r="S173" s="64">
        <f>IF(NOT((COUNTA($B173:$D173)+COUNTA($G173:$L173)+COUNTA($Q173))&gt;0),"",IF(AND($V173="Sub",N($U173)&gt;0),IF(ISNUMBER(INDEX($AM$5:$AM$1000,$U173-4)),DATE(YEAR(INDEX($AM$5:$AM$1000,$U173-4)),MONTH(INDEX($AM$5:$AM$1000,$U173-4)),1),IF(ISNUMBER(INDEX($AN$5:$AN$1000,$U173-4)),DATE(YEAR(INDEX($AN$5:$AN$1000,$U173-4)),MONTH(INDEX($AN$5:$AN$1000,$U173-4)),1),MesCiclo)),IF(ISNUMBER($AM173),DATE(YEAR($AM173),MONTH($AM173),1),IF(ISNUMBER($AN173),DATE(YEAR($AN173),MONTH($AN173),1),MesCiclo))))</f>
        <v/>
      </c>
      <c r="T173" s="62">
        <f>IF(OR($S173="",$S173&lt;&gt;MesCiclo),"",COUNTIF($S$5:$S173,MesCiclo))</f>
        <v/>
      </c>
      <c r="U173" s="62">
        <f>IF($V173="","",IF($V173="Macro",ROW(),IFERROR(LOOKUP(2,1/($V$5:$V173="Macro"),ROW($V$5:$V173)),0)))</f>
        <v/>
      </c>
      <c r="V173" s="62">
        <f>IF(NOT((COUNTA($B173:$D173)+COUNTA($G173:$L173)+COUNTA($Q173))&gt;0),"",IF($B173="Subactividad","Sub","Macro"))</f>
        <v/>
      </c>
      <c r="W173" s="62">
        <f>IF($V173="Macro",COUNTIFS($U$5:$U$1000,ROW(),$V$5:$V$1000,"Sub"),"")</f>
        <v/>
      </c>
      <c r="X173" s="62">
        <f>IF($V173="","",IF(ISNUMBER($G173),1,IFERROR(LOOKUP(2,1/($I173:$L173&lt;&gt;""),$I173:$L173),0)))</f>
        <v/>
      </c>
      <c r="Y173" s="62">
        <f>IF($V173="","",IF(AND(ISNUMBER($G173),$G173&lt;=IF($S173=MesCiclo,InicioCiclo,$S173+MOD(2-WEEKDAY($S173),7))+6),1,IF(ISNUMBER($I173),$I173,0)))</f>
        <v/>
      </c>
      <c r="Z173" s="62">
        <f>IF($V173="","",IF(AND(ISNUMBER($G173),$G173&lt;=IF($S173=MesCiclo,InicioCiclo,$S173+MOD(2-WEEKDAY($S173),7))+13),1,IF(ISNUMBER($J173),$J173,$Y173)))</f>
        <v/>
      </c>
      <c r="AA173" s="62">
        <f>IF($V173="","",IF(AND(ISNUMBER($G173),$G173&lt;=IF($S173=MesCiclo,InicioCiclo,$S173+MOD(2-WEEKDAY($S173),7))+20),1,IF(ISNUMBER($K173),$K173,$Z173)))</f>
        <v/>
      </c>
      <c r="AB173" s="62">
        <f>IF($V173="","",IF(AND(ISNUMBER($G173),$G173&lt;=IF($S173=MesCiclo,InicioCiclo,$S173+MOD(2-WEEKDAY($S173),7))+27),1,IF(ISNUMBER($L173),$L173,$AA173)))</f>
        <v/>
      </c>
      <c r="AC173" s="62">
        <f>IF($V173="","",IF(AND(ISNUMBER($G173),$G173&lt;=IF($S173=MesCiclo,InicioCiclo,$S173+MOD(2-WEEKDAY($S173),7))+6),1,IF(N($W173)&gt;0,AVERAGEIFS($Y$5:$Y$1000,$U$5:$U$1000,ROW(),$V$5:$V$1000,"Sub"),$Y173)))</f>
        <v/>
      </c>
      <c r="AD173" s="62">
        <f>IF($V173="","",IF(AND(ISNUMBER($G173),$G173&lt;=IF($S173=MesCiclo,InicioCiclo,$S173+MOD(2-WEEKDAY($S173),7))+13),1,IF(N($W173)&gt;0,AVERAGEIFS($Z$5:$Z$1000,$U$5:$U$1000,ROW(),$V$5:$V$1000,"Sub"),$Z173)))</f>
        <v/>
      </c>
      <c r="AE173" s="62">
        <f>IF($V173="","",IF(AND(ISNUMBER($G173),$G173&lt;=IF($S173=MesCiclo,InicioCiclo,$S173+MOD(2-WEEKDAY($S173),7))+20),1,IF(N($W173)&gt;0,AVERAGEIFS($AA$5:$AA$1000,$U$5:$U$1000,ROW(),$V$5:$V$1000,"Sub"),$AA173)))</f>
        <v/>
      </c>
      <c r="AF173" s="62">
        <f>IF($V173="","",IF(AND(ISNUMBER($G173),$G173&lt;=IF($S173=MesCiclo,InicioCiclo,$S173+MOD(2-WEEKDAY($S173),7))+27),1,IF(N($W173)&gt;0,AVERAGEIFS($AB$5:$AB$1000,$U$5:$U$1000,ROW(),$V$5:$V$1000,"Sub"),$AB173)))</f>
        <v/>
      </c>
      <c r="AG173" s="62">
        <f>IF($V173&lt;&gt;"Macro","",IF(COUNTIFS($S$5:$S$1000,$S173,$V$5:$V$1000,"Macro",$H$5:$H$1000,"&gt;0")=0,1/COUNTIFS($S$5:$S$1000,$S173,$V$5:$V$1000,"Macro"),IF(AND(ISNUMBER($H173),N($H173)&gt;0),$H173,SUMIFS($H$5:$H$1000,$S$5:$S$1000,$S173,$V$5:$V$1000,"Macro")/COUNTIFS($S$5:$S$1000,$S173,$V$5:$V$1000,"Macro",$H$5:$H$1000,"&gt;0"))/(COUNTIFS($S$5:$S$1000,$S173,$V$5:$V$1000,"Macro")*SUMIFS($H$5:$H$1000,$S$5:$S$1000,$S173,$V$5:$V$1000,"Macro")/COUNTIFS($S$5:$S$1000,$S173,$V$5:$V$1000,"Macro",$H$5:$H$1000,"&gt;0"))))</f>
        <v/>
      </c>
      <c r="AH173" s="62" t="n"/>
      <c r="AI173" s="62" t="n"/>
      <c r="AJ173" s="62" t="n"/>
      <c r="AK173" s="62" t="n"/>
      <c r="AL173" s="62">
        <f>IF(LEFT($C173,11)="[Jefatura] ",IFERROR(MATCH("Asistente Técnico de Riesgo|"&amp;MID($C173,12,500),rDname_ADM,0),0),"")</f>
        <v/>
      </c>
      <c r="AM173" s="62">
        <f>IF(N($AL173)&gt;0,INDEX(rIni_ADM,$AL173),IF(ISNUMBER($E173),$E173,""))</f>
        <v/>
      </c>
      <c r="AN173" s="62">
        <f>IF(N($AL173)&gt;0,INDEX(rLim_ADM,$AL173),IF(ISNUMBER($F173),$F173,""))</f>
        <v/>
      </c>
    </row>
    <row r="174">
      <c r="A174" s="56">
        <f>IF(NOT((COUNTA($B174:$D174)+COUNTA($G174:$L174)+COUNTA($Q174))&gt;0),"",IF($V174="Macro",COUNTIFS($V$5:$V174,"Macro",$S$5:$S174,$S174),IF(N($U174)=0,"?",COUNTIFS(INDEX($V$5:$V$1000,1):INDEX($V$5:$V$1000,$U174-4),"Macro",INDEX($S$5:$S$1000,1):INDEX($S$5:$S$1000,$U174-4),INDEX($S$5:$S$1000,$U174-4))&amp;"."&amp;COUNTIFS($U$5:$U174,$U174,$V$5:$V174,"Sub"))))</f>
        <v/>
      </c>
      <c r="B174" s="57" t="n"/>
      <c r="C174" s="58" t="n"/>
      <c r="D174" s="58" t="n"/>
      <c r="E174" s="59">
        <f>IF(N($AL174)&gt;0,INDEX(rIni_ADM,$AL174),"")</f>
        <v/>
      </c>
      <c r="F174" s="59">
        <f>IF(N($AL174)&gt;0,INDEX(rLim_ADM,$AL174),"")</f>
        <v/>
      </c>
      <c r="G174" s="59" t="n"/>
      <c r="H174" s="60" t="n"/>
      <c r="I174" s="60" t="n"/>
      <c r="J174" s="60" t="n"/>
      <c r="K174" s="60" t="n"/>
      <c r="L174" s="60" t="n"/>
      <c r="M174" s="61">
        <f>IF(NOT((COUNTA($B174:$D174)+COUNTA($G174:$L174)+COUNTA($Q174))&gt;0),"",IF(ISNUMBER($G174),1,IF(N($W174)&gt;0,AVERAGEIFS($X$5:$X$1000,$U$5:$U$1000,ROW(),$V$5:$V$1000,"Sub"),$X174)))</f>
        <v/>
      </c>
      <c r="N174" s="56">
        <f>IF($M174="","",IF($M174&gt;=1,"Completado",IF($M174&gt;0,"En curso","Pendiente")))</f>
        <v/>
      </c>
      <c r="O174" s="56">
        <f>IF(NOT((COUNTA($B174:$D174)+COUNTA($G174:$L174)+COUNTA($Q174))&gt;0),"",IF(ISNUMBER($G174),IF(AND(ISNUMBER($AN174),$G174&gt;$AN174),"Cumplida con "&amp;($G174-$AN174)&amp;IF($G174-$AN174=1," día"," días")&amp;" de retraso","Cumplida"),IF(N($M174)&gt;=1,"Cumplida",IF(NOT(ISNUMBER($AN174)),"Sin fecha límite",IF($AN174&lt;FechaRef,"Vencida hace "&amp;(FechaRef-$AN174)&amp;IF(FechaRef-$AN174=1," día"," días"),IF($AN174=FechaRef,"Vence hoy",IF($AN174-FechaRef&lt;=DiasAlerta,"Vence en "&amp;($AN174-FechaRef)&amp;IF($AN174-FechaRef=1," día"," días"),"En plazo")))))))</f>
        <v/>
      </c>
      <c r="P174" s="62" t="n"/>
      <c r="Q174" s="58" t="n"/>
      <c r="R174" s="63">
        <f>IF(NOT((COUNTA($B174:$D174)+COUNTA($G174:$L174)+COUNTA($Q174))&gt;0),"",IF((IF($C174="","Falta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",""))="","✔ OK","⚠ "&amp;LEFT(IF($C174="","Falta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",""),LEN(IF($C174="","Falta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",""))-3)))</f>
        <v/>
      </c>
      <c r="S174" s="64">
        <f>IF(NOT((COUNTA($B174:$D174)+COUNTA($G174:$L174)+COUNTA($Q174))&gt;0),"",IF(AND($V174="Sub",N($U174)&gt;0),IF(ISNUMBER(INDEX($AM$5:$AM$1000,$U174-4)),DATE(YEAR(INDEX($AM$5:$AM$1000,$U174-4)),MONTH(INDEX($AM$5:$AM$1000,$U174-4)),1),IF(ISNUMBER(INDEX($AN$5:$AN$1000,$U174-4)),DATE(YEAR(INDEX($AN$5:$AN$1000,$U174-4)),MONTH(INDEX($AN$5:$AN$1000,$U174-4)),1),MesCiclo)),IF(ISNUMBER($AM174),DATE(YEAR($AM174),MONTH($AM174),1),IF(ISNUMBER($AN174),DATE(YEAR($AN174),MONTH($AN174),1),MesCiclo))))</f>
        <v/>
      </c>
      <c r="T174" s="62">
        <f>IF(OR($S174="",$S174&lt;&gt;MesCiclo),"",COUNTIF($S$5:$S174,MesCiclo))</f>
        <v/>
      </c>
      <c r="U174" s="62">
        <f>IF($V174="","",IF($V174="Macro",ROW(),IFERROR(LOOKUP(2,1/($V$5:$V174="Macro"),ROW($V$5:$V174)),0)))</f>
        <v/>
      </c>
      <c r="V174" s="62">
        <f>IF(NOT((COUNTA($B174:$D174)+COUNTA($G174:$L174)+COUNTA($Q174))&gt;0),"",IF($B174="Subactividad","Sub","Macro"))</f>
        <v/>
      </c>
      <c r="W174" s="62">
        <f>IF($V174="Macro",COUNTIFS($U$5:$U$1000,ROW(),$V$5:$V$1000,"Sub"),"")</f>
        <v/>
      </c>
      <c r="X174" s="62">
        <f>IF($V174="","",IF(ISNUMBER($G174),1,IFERROR(LOOKUP(2,1/($I174:$L174&lt;&gt;""),$I174:$L174),0)))</f>
        <v/>
      </c>
      <c r="Y174" s="62">
        <f>IF($V174="","",IF(AND(ISNUMBER($G174),$G174&lt;=IF($S174=MesCiclo,InicioCiclo,$S174+MOD(2-WEEKDAY($S174),7))+6),1,IF(ISNUMBER($I174),$I174,0)))</f>
        <v/>
      </c>
      <c r="Z174" s="62">
        <f>IF($V174="","",IF(AND(ISNUMBER($G174),$G174&lt;=IF($S174=MesCiclo,InicioCiclo,$S174+MOD(2-WEEKDAY($S174),7))+13),1,IF(ISNUMBER($J174),$J174,$Y174)))</f>
        <v/>
      </c>
      <c r="AA174" s="62">
        <f>IF($V174="","",IF(AND(ISNUMBER($G174),$G174&lt;=IF($S174=MesCiclo,InicioCiclo,$S174+MOD(2-WEEKDAY($S174),7))+20),1,IF(ISNUMBER($K174),$K174,$Z174)))</f>
        <v/>
      </c>
      <c r="AB174" s="62">
        <f>IF($V174="","",IF(AND(ISNUMBER($G174),$G174&lt;=IF($S174=MesCiclo,InicioCiclo,$S174+MOD(2-WEEKDAY($S174),7))+27),1,IF(ISNUMBER($L174),$L174,$AA174)))</f>
        <v/>
      </c>
      <c r="AC174" s="62">
        <f>IF($V174="","",IF(AND(ISNUMBER($G174),$G174&lt;=IF($S174=MesCiclo,InicioCiclo,$S174+MOD(2-WEEKDAY($S174),7))+6),1,IF(N($W174)&gt;0,AVERAGEIFS($Y$5:$Y$1000,$U$5:$U$1000,ROW(),$V$5:$V$1000,"Sub"),$Y174)))</f>
        <v/>
      </c>
      <c r="AD174" s="62">
        <f>IF($V174="","",IF(AND(ISNUMBER($G174),$G174&lt;=IF($S174=MesCiclo,InicioCiclo,$S174+MOD(2-WEEKDAY($S174),7))+13),1,IF(N($W174)&gt;0,AVERAGEIFS($Z$5:$Z$1000,$U$5:$U$1000,ROW(),$V$5:$V$1000,"Sub"),$Z174)))</f>
        <v/>
      </c>
      <c r="AE174" s="62">
        <f>IF($V174="","",IF(AND(ISNUMBER($G174),$G174&lt;=IF($S174=MesCiclo,InicioCiclo,$S174+MOD(2-WEEKDAY($S174),7))+20),1,IF(N($W174)&gt;0,AVERAGEIFS($AA$5:$AA$1000,$U$5:$U$1000,ROW(),$V$5:$V$1000,"Sub"),$AA174)))</f>
        <v/>
      </c>
      <c r="AF174" s="62">
        <f>IF($V174="","",IF(AND(ISNUMBER($G174),$G174&lt;=IF($S174=MesCiclo,InicioCiclo,$S174+MOD(2-WEEKDAY($S174),7))+27),1,IF(N($W174)&gt;0,AVERAGEIFS($AB$5:$AB$1000,$U$5:$U$1000,ROW(),$V$5:$V$1000,"Sub"),$AB174)))</f>
        <v/>
      </c>
      <c r="AG174" s="62">
        <f>IF($V174&lt;&gt;"Macro","",IF(COUNTIFS($S$5:$S$1000,$S174,$V$5:$V$1000,"Macro",$H$5:$H$1000,"&gt;0")=0,1/COUNTIFS($S$5:$S$1000,$S174,$V$5:$V$1000,"Macro"),IF(AND(ISNUMBER($H174),N($H174)&gt;0),$H174,SUMIFS($H$5:$H$1000,$S$5:$S$1000,$S174,$V$5:$V$1000,"Macro")/COUNTIFS($S$5:$S$1000,$S174,$V$5:$V$1000,"Macro",$H$5:$H$1000,"&gt;0"))/(COUNTIFS($S$5:$S$1000,$S174,$V$5:$V$1000,"Macro")*SUMIFS($H$5:$H$1000,$S$5:$S$1000,$S174,$V$5:$V$1000,"Macro")/COUNTIFS($S$5:$S$1000,$S174,$V$5:$V$1000,"Macro",$H$5:$H$1000,"&gt;0"))))</f>
        <v/>
      </c>
      <c r="AH174" s="62" t="n"/>
      <c r="AI174" s="62" t="n"/>
      <c r="AJ174" s="62" t="n"/>
      <c r="AK174" s="62" t="n"/>
      <c r="AL174" s="62">
        <f>IF(LEFT($C174,11)="[Jefatura] ",IFERROR(MATCH("Asistente Técnico de Riesgo|"&amp;MID($C174,12,500),rDname_ADM,0),0),"")</f>
        <v/>
      </c>
      <c r="AM174" s="62">
        <f>IF(N($AL174)&gt;0,INDEX(rIni_ADM,$AL174),IF(ISNUMBER($E174),$E174,""))</f>
        <v/>
      </c>
      <c r="AN174" s="62">
        <f>IF(N($AL174)&gt;0,INDEX(rLim_ADM,$AL174),IF(ISNUMBER($F174),$F174,""))</f>
        <v/>
      </c>
    </row>
    <row r="175">
      <c r="A175" s="56">
        <f>IF(NOT((COUNTA($B175:$D175)+COUNTA($G175:$L175)+COUNTA($Q175))&gt;0),"",IF($V175="Macro",COUNTIFS($V$5:$V175,"Macro",$S$5:$S175,$S175),IF(N($U175)=0,"?",COUNTIFS(INDEX($V$5:$V$1000,1):INDEX($V$5:$V$1000,$U175-4),"Macro",INDEX($S$5:$S$1000,1):INDEX($S$5:$S$1000,$U175-4),INDEX($S$5:$S$1000,$U175-4))&amp;"."&amp;COUNTIFS($U$5:$U175,$U175,$V$5:$V175,"Sub"))))</f>
        <v/>
      </c>
      <c r="B175" s="57" t="n"/>
      <c r="C175" s="58" t="n"/>
      <c r="D175" s="58" t="n"/>
      <c r="E175" s="59">
        <f>IF(N($AL175)&gt;0,INDEX(rIni_ADM,$AL175),"")</f>
        <v/>
      </c>
      <c r="F175" s="59">
        <f>IF(N($AL175)&gt;0,INDEX(rLim_ADM,$AL175),"")</f>
        <v/>
      </c>
      <c r="G175" s="59" t="n"/>
      <c r="H175" s="60" t="n"/>
      <c r="I175" s="60" t="n"/>
      <c r="J175" s="60" t="n"/>
      <c r="K175" s="60" t="n"/>
      <c r="L175" s="60" t="n"/>
      <c r="M175" s="61">
        <f>IF(NOT((COUNTA($B175:$D175)+COUNTA($G175:$L175)+COUNTA($Q175))&gt;0),"",IF(ISNUMBER($G175),1,IF(N($W175)&gt;0,AVERAGEIFS($X$5:$X$1000,$U$5:$U$1000,ROW(),$V$5:$V$1000,"Sub"),$X175)))</f>
        <v/>
      </c>
      <c r="N175" s="56">
        <f>IF($M175="","",IF($M175&gt;=1,"Completado",IF($M175&gt;0,"En curso","Pendiente")))</f>
        <v/>
      </c>
      <c r="O175" s="56">
        <f>IF(NOT((COUNTA($B175:$D175)+COUNTA($G175:$L175)+COUNTA($Q175))&gt;0),"",IF(ISNUMBER($G175),IF(AND(ISNUMBER($AN175),$G175&gt;$AN175),"Cumplida con "&amp;($G175-$AN175)&amp;IF($G175-$AN175=1," día"," días")&amp;" de retraso","Cumplida"),IF(N($M175)&gt;=1,"Cumplida",IF(NOT(ISNUMBER($AN175)),"Sin fecha límite",IF($AN175&lt;FechaRef,"Vencida hace "&amp;(FechaRef-$AN175)&amp;IF(FechaRef-$AN175=1," día"," días"),IF($AN175=FechaRef,"Vence hoy",IF($AN175-FechaRef&lt;=DiasAlerta,"Vence en "&amp;($AN175-FechaRef)&amp;IF($AN175-FechaRef=1," día"," días"),"En plazo")))))))</f>
        <v/>
      </c>
      <c r="P175" s="62" t="n"/>
      <c r="Q175" s="58" t="n"/>
      <c r="R175" s="63">
        <f>IF(NOT((COUNTA($B175:$D175)+COUNTA($G175:$L175)+COUNTA($Q175))&gt;0),"",IF((IF($C175="","Falta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",""))="","✔ OK","⚠ "&amp;LEFT(IF($C175="","Falta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",""),LEN(IF($C175="","Falta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",""))-3)))</f>
        <v/>
      </c>
      <c r="S175" s="64">
        <f>IF(NOT((COUNTA($B175:$D175)+COUNTA($G175:$L175)+COUNTA($Q175))&gt;0),"",IF(AND($V175="Sub",N($U175)&gt;0),IF(ISNUMBER(INDEX($AM$5:$AM$1000,$U175-4)),DATE(YEAR(INDEX($AM$5:$AM$1000,$U175-4)),MONTH(INDEX($AM$5:$AM$1000,$U175-4)),1),IF(ISNUMBER(INDEX($AN$5:$AN$1000,$U175-4)),DATE(YEAR(INDEX($AN$5:$AN$1000,$U175-4)),MONTH(INDEX($AN$5:$AN$1000,$U175-4)),1),MesCiclo)),IF(ISNUMBER($AM175),DATE(YEAR($AM175),MONTH($AM175),1),IF(ISNUMBER($AN175),DATE(YEAR($AN175),MONTH($AN175),1),MesCiclo))))</f>
        <v/>
      </c>
      <c r="T175" s="62">
        <f>IF(OR($S175="",$S175&lt;&gt;MesCiclo),"",COUNTIF($S$5:$S175,MesCiclo))</f>
        <v/>
      </c>
      <c r="U175" s="62">
        <f>IF($V175="","",IF($V175="Macro",ROW(),IFERROR(LOOKUP(2,1/($V$5:$V175="Macro"),ROW($V$5:$V175)),0)))</f>
        <v/>
      </c>
      <c r="V175" s="62">
        <f>IF(NOT((COUNTA($B175:$D175)+COUNTA($G175:$L175)+COUNTA($Q175))&gt;0),"",IF($B175="Subactividad","Sub","Macro"))</f>
        <v/>
      </c>
      <c r="W175" s="62">
        <f>IF($V175="Macro",COUNTIFS($U$5:$U$1000,ROW(),$V$5:$V$1000,"Sub"),"")</f>
        <v/>
      </c>
      <c r="X175" s="62">
        <f>IF($V175="","",IF(ISNUMBER($G175),1,IFERROR(LOOKUP(2,1/($I175:$L175&lt;&gt;""),$I175:$L175),0)))</f>
        <v/>
      </c>
      <c r="Y175" s="62">
        <f>IF($V175="","",IF(AND(ISNUMBER($G175),$G175&lt;=IF($S175=MesCiclo,InicioCiclo,$S175+MOD(2-WEEKDAY($S175),7))+6),1,IF(ISNUMBER($I175),$I175,0)))</f>
        <v/>
      </c>
      <c r="Z175" s="62">
        <f>IF($V175="","",IF(AND(ISNUMBER($G175),$G175&lt;=IF($S175=MesCiclo,InicioCiclo,$S175+MOD(2-WEEKDAY($S175),7))+13),1,IF(ISNUMBER($J175),$J175,$Y175)))</f>
        <v/>
      </c>
      <c r="AA175" s="62">
        <f>IF($V175="","",IF(AND(ISNUMBER($G175),$G175&lt;=IF($S175=MesCiclo,InicioCiclo,$S175+MOD(2-WEEKDAY($S175),7))+20),1,IF(ISNUMBER($K175),$K175,$Z175)))</f>
        <v/>
      </c>
      <c r="AB175" s="62">
        <f>IF($V175="","",IF(AND(ISNUMBER($G175),$G175&lt;=IF($S175=MesCiclo,InicioCiclo,$S175+MOD(2-WEEKDAY($S175),7))+27),1,IF(ISNUMBER($L175),$L175,$AA175)))</f>
        <v/>
      </c>
      <c r="AC175" s="62">
        <f>IF($V175="","",IF(AND(ISNUMBER($G175),$G175&lt;=IF($S175=MesCiclo,InicioCiclo,$S175+MOD(2-WEEKDAY($S175),7))+6),1,IF(N($W175)&gt;0,AVERAGEIFS($Y$5:$Y$1000,$U$5:$U$1000,ROW(),$V$5:$V$1000,"Sub"),$Y175)))</f>
        <v/>
      </c>
      <c r="AD175" s="62">
        <f>IF($V175="","",IF(AND(ISNUMBER($G175),$G175&lt;=IF($S175=MesCiclo,InicioCiclo,$S175+MOD(2-WEEKDAY($S175),7))+13),1,IF(N($W175)&gt;0,AVERAGEIFS($Z$5:$Z$1000,$U$5:$U$1000,ROW(),$V$5:$V$1000,"Sub"),$Z175)))</f>
        <v/>
      </c>
      <c r="AE175" s="62">
        <f>IF($V175="","",IF(AND(ISNUMBER($G175),$G175&lt;=IF($S175=MesCiclo,InicioCiclo,$S175+MOD(2-WEEKDAY($S175),7))+20),1,IF(N($W175)&gt;0,AVERAGEIFS($AA$5:$AA$1000,$U$5:$U$1000,ROW(),$V$5:$V$1000,"Sub"),$AA175)))</f>
        <v/>
      </c>
      <c r="AF175" s="62">
        <f>IF($V175="","",IF(AND(ISNUMBER($G175),$G175&lt;=IF($S175=MesCiclo,InicioCiclo,$S175+MOD(2-WEEKDAY($S175),7))+27),1,IF(N($W175)&gt;0,AVERAGEIFS($AB$5:$AB$1000,$U$5:$U$1000,ROW(),$V$5:$V$1000,"Sub"),$AB175)))</f>
        <v/>
      </c>
      <c r="AG175" s="62">
        <f>IF($V175&lt;&gt;"Macro","",IF(COUNTIFS($S$5:$S$1000,$S175,$V$5:$V$1000,"Macro",$H$5:$H$1000,"&gt;0")=0,1/COUNTIFS($S$5:$S$1000,$S175,$V$5:$V$1000,"Macro"),IF(AND(ISNUMBER($H175),N($H175)&gt;0),$H175,SUMIFS($H$5:$H$1000,$S$5:$S$1000,$S175,$V$5:$V$1000,"Macro")/COUNTIFS($S$5:$S$1000,$S175,$V$5:$V$1000,"Macro",$H$5:$H$1000,"&gt;0"))/(COUNTIFS($S$5:$S$1000,$S175,$V$5:$V$1000,"Macro")*SUMIFS($H$5:$H$1000,$S$5:$S$1000,$S175,$V$5:$V$1000,"Macro")/COUNTIFS($S$5:$S$1000,$S175,$V$5:$V$1000,"Macro",$H$5:$H$1000,"&gt;0"))))</f>
        <v/>
      </c>
      <c r="AH175" s="62" t="n"/>
      <c r="AI175" s="62" t="n"/>
      <c r="AJ175" s="62" t="n"/>
      <c r="AK175" s="62" t="n"/>
      <c r="AL175" s="62">
        <f>IF(LEFT($C175,11)="[Jefatura] ",IFERROR(MATCH("Asistente Técnico de Riesgo|"&amp;MID($C175,12,500),rDname_ADM,0),0),"")</f>
        <v/>
      </c>
      <c r="AM175" s="62">
        <f>IF(N($AL175)&gt;0,INDEX(rIni_ADM,$AL175),IF(ISNUMBER($E175),$E175,""))</f>
        <v/>
      </c>
      <c r="AN175" s="62">
        <f>IF(N($AL175)&gt;0,INDEX(rLim_ADM,$AL175),IF(ISNUMBER($F175),$F175,""))</f>
        <v/>
      </c>
    </row>
    <row r="176">
      <c r="A176" s="56">
        <f>IF(NOT((COUNTA($B176:$D176)+COUNTA($G176:$L176)+COUNTA($Q176))&gt;0),"",IF($V176="Macro",COUNTIFS($V$5:$V176,"Macro",$S$5:$S176,$S176),IF(N($U176)=0,"?",COUNTIFS(INDEX($V$5:$V$1000,1):INDEX($V$5:$V$1000,$U176-4),"Macro",INDEX($S$5:$S$1000,1):INDEX($S$5:$S$1000,$U176-4),INDEX($S$5:$S$1000,$U176-4))&amp;"."&amp;COUNTIFS($U$5:$U176,$U176,$V$5:$V176,"Sub"))))</f>
        <v/>
      </c>
      <c r="B176" s="57" t="n"/>
      <c r="C176" s="58" t="n"/>
      <c r="D176" s="58" t="n"/>
      <c r="E176" s="59">
        <f>IF(N($AL176)&gt;0,INDEX(rIni_ADM,$AL176),"")</f>
        <v/>
      </c>
      <c r="F176" s="59">
        <f>IF(N($AL176)&gt;0,INDEX(rLim_ADM,$AL176),"")</f>
        <v/>
      </c>
      <c r="G176" s="59" t="n"/>
      <c r="H176" s="60" t="n"/>
      <c r="I176" s="60" t="n"/>
      <c r="J176" s="60" t="n"/>
      <c r="K176" s="60" t="n"/>
      <c r="L176" s="60" t="n"/>
      <c r="M176" s="61">
        <f>IF(NOT((COUNTA($B176:$D176)+COUNTA($G176:$L176)+COUNTA($Q176))&gt;0),"",IF(ISNUMBER($G176),1,IF(N($W176)&gt;0,AVERAGEIFS($X$5:$X$1000,$U$5:$U$1000,ROW(),$V$5:$V$1000,"Sub"),$X176)))</f>
        <v/>
      </c>
      <c r="N176" s="56">
        <f>IF($M176="","",IF($M176&gt;=1,"Completado",IF($M176&gt;0,"En curso","Pendiente")))</f>
        <v/>
      </c>
      <c r="O176" s="56">
        <f>IF(NOT((COUNTA($B176:$D176)+COUNTA($G176:$L176)+COUNTA($Q176))&gt;0),"",IF(ISNUMBER($G176),IF(AND(ISNUMBER($AN176),$G176&gt;$AN176),"Cumplida con "&amp;($G176-$AN176)&amp;IF($G176-$AN176=1," día"," días")&amp;" de retraso","Cumplida"),IF(N($M176)&gt;=1,"Cumplida",IF(NOT(ISNUMBER($AN176)),"Sin fecha límite",IF($AN176&lt;FechaRef,"Vencida hace "&amp;(FechaRef-$AN176)&amp;IF(FechaRef-$AN176=1," día"," días"),IF($AN176=FechaRef,"Vence hoy",IF($AN176-FechaRef&lt;=DiasAlerta,"Vence en "&amp;($AN176-FechaRef)&amp;IF($AN176-FechaRef=1," día"," días"),"En plazo")))))))</f>
        <v/>
      </c>
      <c r="P176" s="62" t="n"/>
      <c r="Q176" s="58" t="n"/>
      <c r="R176" s="63">
        <f>IF(NOT((COUNTA($B176:$D176)+COUNTA($G176:$L176)+COUNTA($Q176))&gt;0),"",IF((IF($C176="","Falta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",""))="","✔ OK","⚠ "&amp;LEFT(IF($C176="","Falta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",""),LEN(IF($C176="","Falta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",""))-3)))</f>
        <v/>
      </c>
      <c r="S176" s="64">
        <f>IF(NOT((COUNTA($B176:$D176)+COUNTA($G176:$L176)+COUNTA($Q176))&gt;0),"",IF(AND($V176="Sub",N($U176)&gt;0),IF(ISNUMBER(INDEX($AM$5:$AM$1000,$U176-4)),DATE(YEAR(INDEX($AM$5:$AM$1000,$U176-4)),MONTH(INDEX($AM$5:$AM$1000,$U176-4)),1),IF(ISNUMBER(INDEX($AN$5:$AN$1000,$U176-4)),DATE(YEAR(INDEX($AN$5:$AN$1000,$U176-4)),MONTH(INDEX($AN$5:$AN$1000,$U176-4)),1),MesCiclo)),IF(ISNUMBER($AM176),DATE(YEAR($AM176),MONTH($AM176),1),IF(ISNUMBER($AN176),DATE(YEAR($AN176),MONTH($AN176),1),MesCiclo))))</f>
        <v/>
      </c>
      <c r="T176" s="62">
        <f>IF(OR($S176="",$S176&lt;&gt;MesCiclo),"",COUNTIF($S$5:$S176,MesCiclo))</f>
        <v/>
      </c>
      <c r="U176" s="62">
        <f>IF($V176="","",IF($V176="Macro",ROW(),IFERROR(LOOKUP(2,1/($V$5:$V176="Macro"),ROW($V$5:$V176)),0)))</f>
        <v/>
      </c>
      <c r="V176" s="62">
        <f>IF(NOT((COUNTA($B176:$D176)+COUNTA($G176:$L176)+COUNTA($Q176))&gt;0),"",IF($B176="Subactividad","Sub","Macro"))</f>
        <v/>
      </c>
      <c r="W176" s="62">
        <f>IF($V176="Macro",COUNTIFS($U$5:$U$1000,ROW(),$V$5:$V$1000,"Sub"),"")</f>
        <v/>
      </c>
      <c r="X176" s="62">
        <f>IF($V176="","",IF(ISNUMBER($G176),1,IFERROR(LOOKUP(2,1/($I176:$L176&lt;&gt;""),$I176:$L176),0)))</f>
        <v/>
      </c>
      <c r="Y176" s="62">
        <f>IF($V176="","",IF(AND(ISNUMBER($G176),$G176&lt;=IF($S176=MesCiclo,InicioCiclo,$S176+MOD(2-WEEKDAY($S176),7))+6),1,IF(ISNUMBER($I176),$I176,0)))</f>
        <v/>
      </c>
      <c r="Z176" s="62">
        <f>IF($V176="","",IF(AND(ISNUMBER($G176),$G176&lt;=IF($S176=MesCiclo,InicioCiclo,$S176+MOD(2-WEEKDAY($S176),7))+13),1,IF(ISNUMBER($J176),$J176,$Y176)))</f>
        <v/>
      </c>
      <c r="AA176" s="62">
        <f>IF($V176="","",IF(AND(ISNUMBER($G176),$G176&lt;=IF($S176=MesCiclo,InicioCiclo,$S176+MOD(2-WEEKDAY($S176),7))+20),1,IF(ISNUMBER($K176),$K176,$Z176)))</f>
        <v/>
      </c>
      <c r="AB176" s="62">
        <f>IF($V176="","",IF(AND(ISNUMBER($G176),$G176&lt;=IF($S176=MesCiclo,InicioCiclo,$S176+MOD(2-WEEKDAY($S176),7))+27),1,IF(ISNUMBER($L176),$L176,$AA176)))</f>
        <v/>
      </c>
      <c r="AC176" s="62">
        <f>IF($V176="","",IF(AND(ISNUMBER($G176),$G176&lt;=IF($S176=MesCiclo,InicioCiclo,$S176+MOD(2-WEEKDAY($S176),7))+6),1,IF(N($W176)&gt;0,AVERAGEIFS($Y$5:$Y$1000,$U$5:$U$1000,ROW(),$V$5:$V$1000,"Sub"),$Y176)))</f>
        <v/>
      </c>
      <c r="AD176" s="62">
        <f>IF($V176="","",IF(AND(ISNUMBER($G176),$G176&lt;=IF($S176=MesCiclo,InicioCiclo,$S176+MOD(2-WEEKDAY($S176),7))+13),1,IF(N($W176)&gt;0,AVERAGEIFS($Z$5:$Z$1000,$U$5:$U$1000,ROW(),$V$5:$V$1000,"Sub"),$Z176)))</f>
        <v/>
      </c>
      <c r="AE176" s="62">
        <f>IF($V176="","",IF(AND(ISNUMBER($G176),$G176&lt;=IF($S176=MesCiclo,InicioCiclo,$S176+MOD(2-WEEKDAY($S176),7))+20),1,IF(N($W176)&gt;0,AVERAGEIFS($AA$5:$AA$1000,$U$5:$U$1000,ROW(),$V$5:$V$1000,"Sub"),$AA176)))</f>
        <v/>
      </c>
      <c r="AF176" s="62">
        <f>IF($V176="","",IF(AND(ISNUMBER($G176),$G176&lt;=IF($S176=MesCiclo,InicioCiclo,$S176+MOD(2-WEEKDAY($S176),7))+27),1,IF(N($W176)&gt;0,AVERAGEIFS($AB$5:$AB$1000,$U$5:$U$1000,ROW(),$V$5:$V$1000,"Sub"),$AB176)))</f>
        <v/>
      </c>
      <c r="AG176" s="62">
        <f>IF($V176&lt;&gt;"Macro","",IF(COUNTIFS($S$5:$S$1000,$S176,$V$5:$V$1000,"Macro",$H$5:$H$1000,"&gt;0")=0,1/COUNTIFS($S$5:$S$1000,$S176,$V$5:$V$1000,"Macro"),IF(AND(ISNUMBER($H176),N($H176)&gt;0),$H176,SUMIFS($H$5:$H$1000,$S$5:$S$1000,$S176,$V$5:$V$1000,"Macro")/COUNTIFS($S$5:$S$1000,$S176,$V$5:$V$1000,"Macro",$H$5:$H$1000,"&gt;0"))/(COUNTIFS($S$5:$S$1000,$S176,$V$5:$V$1000,"Macro")*SUMIFS($H$5:$H$1000,$S$5:$S$1000,$S176,$V$5:$V$1000,"Macro")/COUNTIFS($S$5:$S$1000,$S176,$V$5:$V$1000,"Macro",$H$5:$H$1000,"&gt;0"))))</f>
        <v/>
      </c>
      <c r="AH176" s="62" t="n"/>
      <c r="AI176" s="62" t="n"/>
      <c r="AJ176" s="62" t="n"/>
      <c r="AK176" s="62" t="n"/>
      <c r="AL176" s="62">
        <f>IF(LEFT($C176,11)="[Jefatura] ",IFERROR(MATCH("Asistente Técnico de Riesgo|"&amp;MID($C176,12,500),rDname_ADM,0),0),"")</f>
        <v/>
      </c>
      <c r="AM176" s="62">
        <f>IF(N($AL176)&gt;0,INDEX(rIni_ADM,$AL176),IF(ISNUMBER($E176),$E176,""))</f>
        <v/>
      </c>
      <c r="AN176" s="62">
        <f>IF(N($AL176)&gt;0,INDEX(rLim_ADM,$AL176),IF(ISNUMBER($F176),$F176,""))</f>
        <v/>
      </c>
    </row>
    <row r="177">
      <c r="A177" s="56">
        <f>IF(NOT((COUNTA($B177:$D177)+COUNTA($G177:$L177)+COUNTA($Q177))&gt;0),"",IF($V177="Macro",COUNTIFS($V$5:$V177,"Macro",$S$5:$S177,$S177),IF(N($U177)=0,"?",COUNTIFS(INDEX($V$5:$V$1000,1):INDEX($V$5:$V$1000,$U177-4),"Macro",INDEX($S$5:$S$1000,1):INDEX($S$5:$S$1000,$U177-4),INDEX($S$5:$S$1000,$U177-4))&amp;"."&amp;COUNTIFS($U$5:$U177,$U177,$V$5:$V177,"Sub"))))</f>
        <v/>
      </c>
      <c r="B177" s="57" t="n"/>
      <c r="C177" s="58" t="n"/>
      <c r="D177" s="58" t="n"/>
      <c r="E177" s="59">
        <f>IF(N($AL177)&gt;0,INDEX(rIni_ADM,$AL177),"")</f>
        <v/>
      </c>
      <c r="F177" s="59">
        <f>IF(N($AL177)&gt;0,INDEX(rLim_ADM,$AL177),"")</f>
        <v/>
      </c>
      <c r="G177" s="59" t="n"/>
      <c r="H177" s="60" t="n"/>
      <c r="I177" s="60" t="n"/>
      <c r="J177" s="60" t="n"/>
      <c r="K177" s="60" t="n"/>
      <c r="L177" s="60" t="n"/>
      <c r="M177" s="61">
        <f>IF(NOT((COUNTA($B177:$D177)+COUNTA($G177:$L177)+COUNTA($Q177))&gt;0),"",IF(ISNUMBER($G177),1,IF(N($W177)&gt;0,AVERAGEIFS($X$5:$X$1000,$U$5:$U$1000,ROW(),$V$5:$V$1000,"Sub"),$X177)))</f>
        <v/>
      </c>
      <c r="N177" s="56">
        <f>IF($M177="","",IF($M177&gt;=1,"Completado",IF($M177&gt;0,"En curso","Pendiente")))</f>
        <v/>
      </c>
      <c r="O177" s="56">
        <f>IF(NOT((COUNTA($B177:$D177)+COUNTA($G177:$L177)+COUNTA($Q177))&gt;0),"",IF(ISNUMBER($G177),IF(AND(ISNUMBER($AN177),$G177&gt;$AN177),"Cumplida con "&amp;($G177-$AN177)&amp;IF($G177-$AN177=1," día"," días")&amp;" de retraso","Cumplida"),IF(N($M177)&gt;=1,"Cumplida",IF(NOT(ISNUMBER($AN177)),"Sin fecha límite",IF($AN177&lt;FechaRef,"Vencida hace "&amp;(FechaRef-$AN177)&amp;IF(FechaRef-$AN177=1," día"," días"),IF($AN177=FechaRef,"Vence hoy",IF($AN177-FechaRef&lt;=DiasAlerta,"Vence en "&amp;($AN177-FechaRef)&amp;IF($AN177-FechaRef=1," día"," días"),"En plazo")))))))</f>
        <v/>
      </c>
      <c r="P177" s="62" t="n"/>
      <c r="Q177" s="58" t="n"/>
      <c r="R177" s="63">
        <f>IF(NOT((COUNTA($B177:$D177)+COUNTA($G177:$L177)+COUNTA($Q177))&gt;0),"",IF((IF($C177="","Falta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",""))="","✔ OK","⚠ "&amp;LEFT(IF($C177="","Falta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",""),LEN(IF($C177="","Falta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",""))-3)))</f>
        <v/>
      </c>
      <c r="S177" s="64">
        <f>IF(NOT((COUNTA($B177:$D177)+COUNTA($G177:$L177)+COUNTA($Q177))&gt;0),"",IF(AND($V177="Sub",N($U177)&gt;0),IF(ISNUMBER(INDEX($AM$5:$AM$1000,$U177-4)),DATE(YEAR(INDEX($AM$5:$AM$1000,$U177-4)),MONTH(INDEX($AM$5:$AM$1000,$U177-4)),1),IF(ISNUMBER(INDEX($AN$5:$AN$1000,$U177-4)),DATE(YEAR(INDEX($AN$5:$AN$1000,$U177-4)),MONTH(INDEX($AN$5:$AN$1000,$U177-4)),1),MesCiclo)),IF(ISNUMBER($AM177),DATE(YEAR($AM177),MONTH($AM177),1),IF(ISNUMBER($AN177),DATE(YEAR($AN177),MONTH($AN177),1),MesCiclo))))</f>
        <v/>
      </c>
      <c r="T177" s="62">
        <f>IF(OR($S177="",$S177&lt;&gt;MesCiclo),"",COUNTIF($S$5:$S177,MesCiclo))</f>
        <v/>
      </c>
      <c r="U177" s="62">
        <f>IF($V177="","",IF($V177="Macro",ROW(),IFERROR(LOOKUP(2,1/($V$5:$V177="Macro"),ROW($V$5:$V177)),0)))</f>
        <v/>
      </c>
      <c r="V177" s="62">
        <f>IF(NOT((COUNTA($B177:$D177)+COUNTA($G177:$L177)+COUNTA($Q177))&gt;0),"",IF($B177="Subactividad","Sub","Macro"))</f>
        <v/>
      </c>
      <c r="W177" s="62">
        <f>IF($V177="Macro",COUNTIFS($U$5:$U$1000,ROW(),$V$5:$V$1000,"Sub"),"")</f>
        <v/>
      </c>
      <c r="X177" s="62">
        <f>IF($V177="","",IF(ISNUMBER($G177),1,IFERROR(LOOKUP(2,1/($I177:$L177&lt;&gt;""),$I177:$L177),0)))</f>
        <v/>
      </c>
      <c r="Y177" s="62">
        <f>IF($V177="","",IF(AND(ISNUMBER($G177),$G177&lt;=IF($S177=MesCiclo,InicioCiclo,$S177+MOD(2-WEEKDAY($S177),7))+6),1,IF(ISNUMBER($I177),$I177,0)))</f>
        <v/>
      </c>
      <c r="Z177" s="62">
        <f>IF($V177="","",IF(AND(ISNUMBER($G177),$G177&lt;=IF($S177=MesCiclo,InicioCiclo,$S177+MOD(2-WEEKDAY($S177),7))+13),1,IF(ISNUMBER($J177),$J177,$Y177)))</f>
        <v/>
      </c>
      <c r="AA177" s="62">
        <f>IF($V177="","",IF(AND(ISNUMBER($G177),$G177&lt;=IF($S177=MesCiclo,InicioCiclo,$S177+MOD(2-WEEKDAY($S177),7))+20),1,IF(ISNUMBER($K177),$K177,$Z177)))</f>
        <v/>
      </c>
      <c r="AB177" s="62">
        <f>IF($V177="","",IF(AND(ISNUMBER($G177),$G177&lt;=IF($S177=MesCiclo,InicioCiclo,$S177+MOD(2-WEEKDAY($S177),7))+27),1,IF(ISNUMBER($L177),$L177,$AA177)))</f>
        <v/>
      </c>
      <c r="AC177" s="62">
        <f>IF($V177="","",IF(AND(ISNUMBER($G177),$G177&lt;=IF($S177=MesCiclo,InicioCiclo,$S177+MOD(2-WEEKDAY($S177),7))+6),1,IF(N($W177)&gt;0,AVERAGEIFS($Y$5:$Y$1000,$U$5:$U$1000,ROW(),$V$5:$V$1000,"Sub"),$Y177)))</f>
        <v/>
      </c>
      <c r="AD177" s="62">
        <f>IF($V177="","",IF(AND(ISNUMBER($G177),$G177&lt;=IF($S177=MesCiclo,InicioCiclo,$S177+MOD(2-WEEKDAY($S177),7))+13),1,IF(N($W177)&gt;0,AVERAGEIFS($Z$5:$Z$1000,$U$5:$U$1000,ROW(),$V$5:$V$1000,"Sub"),$Z177)))</f>
        <v/>
      </c>
      <c r="AE177" s="62">
        <f>IF($V177="","",IF(AND(ISNUMBER($G177),$G177&lt;=IF($S177=MesCiclo,InicioCiclo,$S177+MOD(2-WEEKDAY($S177),7))+20),1,IF(N($W177)&gt;0,AVERAGEIFS($AA$5:$AA$1000,$U$5:$U$1000,ROW(),$V$5:$V$1000,"Sub"),$AA177)))</f>
        <v/>
      </c>
      <c r="AF177" s="62">
        <f>IF($V177="","",IF(AND(ISNUMBER($G177),$G177&lt;=IF($S177=MesCiclo,InicioCiclo,$S177+MOD(2-WEEKDAY($S177),7))+27),1,IF(N($W177)&gt;0,AVERAGEIFS($AB$5:$AB$1000,$U$5:$U$1000,ROW(),$V$5:$V$1000,"Sub"),$AB177)))</f>
        <v/>
      </c>
      <c r="AG177" s="62">
        <f>IF($V177&lt;&gt;"Macro","",IF(COUNTIFS($S$5:$S$1000,$S177,$V$5:$V$1000,"Macro",$H$5:$H$1000,"&gt;0")=0,1/COUNTIFS($S$5:$S$1000,$S177,$V$5:$V$1000,"Macro"),IF(AND(ISNUMBER($H177),N($H177)&gt;0),$H177,SUMIFS($H$5:$H$1000,$S$5:$S$1000,$S177,$V$5:$V$1000,"Macro")/COUNTIFS($S$5:$S$1000,$S177,$V$5:$V$1000,"Macro",$H$5:$H$1000,"&gt;0"))/(COUNTIFS($S$5:$S$1000,$S177,$V$5:$V$1000,"Macro")*SUMIFS($H$5:$H$1000,$S$5:$S$1000,$S177,$V$5:$V$1000,"Macro")/COUNTIFS($S$5:$S$1000,$S177,$V$5:$V$1000,"Macro",$H$5:$H$1000,"&gt;0"))))</f>
        <v/>
      </c>
      <c r="AH177" s="62" t="n"/>
      <c r="AI177" s="62" t="n"/>
      <c r="AJ177" s="62" t="n"/>
      <c r="AK177" s="62" t="n"/>
      <c r="AL177" s="62">
        <f>IF(LEFT($C177,11)="[Jefatura] ",IFERROR(MATCH("Asistente Técnico de Riesgo|"&amp;MID($C177,12,500),rDname_ADM,0),0),"")</f>
        <v/>
      </c>
      <c r="AM177" s="62">
        <f>IF(N($AL177)&gt;0,INDEX(rIni_ADM,$AL177),IF(ISNUMBER($E177),$E177,""))</f>
        <v/>
      </c>
      <c r="AN177" s="62">
        <f>IF(N($AL177)&gt;0,INDEX(rLim_ADM,$AL177),IF(ISNUMBER($F177),$F177,""))</f>
        <v/>
      </c>
    </row>
    <row r="178">
      <c r="A178" s="56">
        <f>IF(NOT((COUNTA($B178:$D178)+COUNTA($G178:$L178)+COUNTA($Q178))&gt;0),"",IF($V178="Macro",COUNTIFS($V$5:$V178,"Macro",$S$5:$S178,$S178),IF(N($U178)=0,"?",COUNTIFS(INDEX($V$5:$V$1000,1):INDEX($V$5:$V$1000,$U178-4),"Macro",INDEX($S$5:$S$1000,1):INDEX($S$5:$S$1000,$U178-4),INDEX($S$5:$S$1000,$U178-4))&amp;"."&amp;COUNTIFS($U$5:$U178,$U178,$V$5:$V178,"Sub"))))</f>
        <v/>
      </c>
      <c r="B178" s="57" t="n"/>
      <c r="C178" s="58" t="n"/>
      <c r="D178" s="58" t="n"/>
      <c r="E178" s="59">
        <f>IF(N($AL178)&gt;0,INDEX(rIni_ADM,$AL178),"")</f>
        <v/>
      </c>
      <c r="F178" s="59">
        <f>IF(N($AL178)&gt;0,INDEX(rLim_ADM,$AL178),"")</f>
        <v/>
      </c>
      <c r="G178" s="59" t="n"/>
      <c r="H178" s="60" t="n"/>
      <c r="I178" s="60" t="n"/>
      <c r="J178" s="60" t="n"/>
      <c r="K178" s="60" t="n"/>
      <c r="L178" s="60" t="n"/>
      <c r="M178" s="61">
        <f>IF(NOT((COUNTA($B178:$D178)+COUNTA($G178:$L178)+COUNTA($Q178))&gt;0),"",IF(ISNUMBER($G178),1,IF(N($W178)&gt;0,AVERAGEIFS($X$5:$X$1000,$U$5:$U$1000,ROW(),$V$5:$V$1000,"Sub"),$X178)))</f>
        <v/>
      </c>
      <c r="N178" s="56">
        <f>IF($M178="","",IF($M178&gt;=1,"Completado",IF($M178&gt;0,"En curso","Pendiente")))</f>
        <v/>
      </c>
      <c r="O178" s="56">
        <f>IF(NOT((COUNTA($B178:$D178)+COUNTA($G178:$L178)+COUNTA($Q178))&gt;0),"",IF(ISNUMBER($G178),IF(AND(ISNUMBER($AN178),$G178&gt;$AN178),"Cumplida con "&amp;($G178-$AN178)&amp;IF($G178-$AN178=1," día"," días")&amp;" de retraso","Cumplida"),IF(N($M178)&gt;=1,"Cumplida",IF(NOT(ISNUMBER($AN178)),"Sin fecha límite",IF($AN178&lt;FechaRef,"Vencida hace "&amp;(FechaRef-$AN178)&amp;IF(FechaRef-$AN178=1," día"," días"),IF($AN178=FechaRef,"Vence hoy",IF($AN178-FechaRef&lt;=DiasAlerta,"Vence en "&amp;($AN178-FechaRef)&amp;IF($AN178-FechaRef=1," día"," días"),"En plazo")))))))</f>
        <v/>
      </c>
      <c r="P178" s="62" t="n"/>
      <c r="Q178" s="58" t="n"/>
      <c r="R178" s="63">
        <f>IF(NOT((COUNTA($B178:$D178)+COUNTA($G178:$L178)+COUNTA($Q178))&gt;0),"",IF((IF($C178="","Falta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",""))="","✔ OK","⚠ "&amp;LEFT(IF($C178="","Falta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",""),LEN(IF($C178="","Falta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",""))-3)))</f>
        <v/>
      </c>
      <c r="S178" s="64">
        <f>IF(NOT((COUNTA($B178:$D178)+COUNTA($G178:$L178)+COUNTA($Q178))&gt;0),"",IF(AND($V178="Sub",N($U178)&gt;0),IF(ISNUMBER(INDEX($AM$5:$AM$1000,$U178-4)),DATE(YEAR(INDEX($AM$5:$AM$1000,$U178-4)),MONTH(INDEX($AM$5:$AM$1000,$U178-4)),1),IF(ISNUMBER(INDEX($AN$5:$AN$1000,$U178-4)),DATE(YEAR(INDEX($AN$5:$AN$1000,$U178-4)),MONTH(INDEX($AN$5:$AN$1000,$U178-4)),1),MesCiclo)),IF(ISNUMBER($AM178),DATE(YEAR($AM178),MONTH($AM178),1),IF(ISNUMBER($AN178),DATE(YEAR($AN178),MONTH($AN178),1),MesCiclo))))</f>
        <v/>
      </c>
      <c r="T178" s="62">
        <f>IF(OR($S178="",$S178&lt;&gt;MesCiclo),"",COUNTIF($S$5:$S178,MesCiclo))</f>
        <v/>
      </c>
      <c r="U178" s="62">
        <f>IF($V178="","",IF($V178="Macro",ROW(),IFERROR(LOOKUP(2,1/($V$5:$V178="Macro"),ROW($V$5:$V178)),0)))</f>
        <v/>
      </c>
      <c r="V178" s="62">
        <f>IF(NOT((COUNTA($B178:$D178)+COUNTA($G178:$L178)+COUNTA($Q178))&gt;0),"",IF($B178="Subactividad","Sub","Macro"))</f>
        <v/>
      </c>
      <c r="W178" s="62">
        <f>IF($V178="Macro",COUNTIFS($U$5:$U$1000,ROW(),$V$5:$V$1000,"Sub"),"")</f>
        <v/>
      </c>
      <c r="X178" s="62">
        <f>IF($V178="","",IF(ISNUMBER($G178),1,IFERROR(LOOKUP(2,1/($I178:$L178&lt;&gt;""),$I178:$L178),0)))</f>
        <v/>
      </c>
      <c r="Y178" s="62">
        <f>IF($V178="","",IF(AND(ISNUMBER($G178),$G178&lt;=IF($S178=MesCiclo,InicioCiclo,$S178+MOD(2-WEEKDAY($S178),7))+6),1,IF(ISNUMBER($I178),$I178,0)))</f>
        <v/>
      </c>
      <c r="Z178" s="62">
        <f>IF($V178="","",IF(AND(ISNUMBER($G178),$G178&lt;=IF($S178=MesCiclo,InicioCiclo,$S178+MOD(2-WEEKDAY($S178),7))+13),1,IF(ISNUMBER($J178),$J178,$Y178)))</f>
        <v/>
      </c>
      <c r="AA178" s="62">
        <f>IF($V178="","",IF(AND(ISNUMBER($G178),$G178&lt;=IF($S178=MesCiclo,InicioCiclo,$S178+MOD(2-WEEKDAY($S178),7))+20),1,IF(ISNUMBER($K178),$K178,$Z178)))</f>
        <v/>
      </c>
      <c r="AB178" s="62">
        <f>IF($V178="","",IF(AND(ISNUMBER($G178),$G178&lt;=IF($S178=MesCiclo,InicioCiclo,$S178+MOD(2-WEEKDAY($S178),7))+27),1,IF(ISNUMBER($L178),$L178,$AA178)))</f>
        <v/>
      </c>
      <c r="AC178" s="62">
        <f>IF($V178="","",IF(AND(ISNUMBER($G178),$G178&lt;=IF($S178=MesCiclo,InicioCiclo,$S178+MOD(2-WEEKDAY($S178),7))+6),1,IF(N($W178)&gt;0,AVERAGEIFS($Y$5:$Y$1000,$U$5:$U$1000,ROW(),$V$5:$V$1000,"Sub"),$Y178)))</f>
        <v/>
      </c>
      <c r="AD178" s="62">
        <f>IF($V178="","",IF(AND(ISNUMBER($G178),$G178&lt;=IF($S178=MesCiclo,InicioCiclo,$S178+MOD(2-WEEKDAY($S178),7))+13),1,IF(N($W178)&gt;0,AVERAGEIFS($Z$5:$Z$1000,$U$5:$U$1000,ROW(),$V$5:$V$1000,"Sub"),$Z178)))</f>
        <v/>
      </c>
      <c r="AE178" s="62">
        <f>IF($V178="","",IF(AND(ISNUMBER($G178),$G178&lt;=IF($S178=MesCiclo,InicioCiclo,$S178+MOD(2-WEEKDAY($S178),7))+20),1,IF(N($W178)&gt;0,AVERAGEIFS($AA$5:$AA$1000,$U$5:$U$1000,ROW(),$V$5:$V$1000,"Sub"),$AA178)))</f>
        <v/>
      </c>
      <c r="AF178" s="62">
        <f>IF($V178="","",IF(AND(ISNUMBER($G178),$G178&lt;=IF($S178=MesCiclo,InicioCiclo,$S178+MOD(2-WEEKDAY($S178),7))+27),1,IF(N($W178)&gt;0,AVERAGEIFS($AB$5:$AB$1000,$U$5:$U$1000,ROW(),$V$5:$V$1000,"Sub"),$AB178)))</f>
        <v/>
      </c>
      <c r="AG178" s="62">
        <f>IF($V178&lt;&gt;"Macro","",IF(COUNTIFS($S$5:$S$1000,$S178,$V$5:$V$1000,"Macro",$H$5:$H$1000,"&gt;0")=0,1/COUNTIFS($S$5:$S$1000,$S178,$V$5:$V$1000,"Macro"),IF(AND(ISNUMBER($H178),N($H178)&gt;0),$H178,SUMIFS($H$5:$H$1000,$S$5:$S$1000,$S178,$V$5:$V$1000,"Macro")/COUNTIFS($S$5:$S$1000,$S178,$V$5:$V$1000,"Macro",$H$5:$H$1000,"&gt;0"))/(COUNTIFS($S$5:$S$1000,$S178,$V$5:$V$1000,"Macro")*SUMIFS($H$5:$H$1000,$S$5:$S$1000,$S178,$V$5:$V$1000,"Macro")/COUNTIFS($S$5:$S$1000,$S178,$V$5:$V$1000,"Macro",$H$5:$H$1000,"&gt;0"))))</f>
        <v/>
      </c>
      <c r="AH178" s="62" t="n"/>
      <c r="AI178" s="62" t="n"/>
      <c r="AJ178" s="62" t="n"/>
      <c r="AK178" s="62" t="n"/>
      <c r="AL178" s="62">
        <f>IF(LEFT($C178,11)="[Jefatura] ",IFERROR(MATCH("Asistente Técnico de Riesgo|"&amp;MID($C178,12,500),rDname_ADM,0),0),"")</f>
        <v/>
      </c>
      <c r="AM178" s="62">
        <f>IF(N($AL178)&gt;0,INDEX(rIni_ADM,$AL178),IF(ISNUMBER($E178),$E178,""))</f>
        <v/>
      </c>
      <c r="AN178" s="62">
        <f>IF(N($AL178)&gt;0,INDEX(rLim_ADM,$AL178),IF(ISNUMBER($F178),$F178,""))</f>
        <v/>
      </c>
    </row>
    <row r="179">
      <c r="A179" s="56">
        <f>IF(NOT((COUNTA($B179:$D179)+COUNTA($G179:$L179)+COUNTA($Q179))&gt;0),"",IF($V179="Macro",COUNTIFS($V$5:$V179,"Macro",$S$5:$S179,$S179),IF(N($U179)=0,"?",COUNTIFS(INDEX($V$5:$V$1000,1):INDEX($V$5:$V$1000,$U179-4),"Macro",INDEX($S$5:$S$1000,1):INDEX($S$5:$S$1000,$U179-4),INDEX($S$5:$S$1000,$U179-4))&amp;"."&amp;COUNTIFS($U$5:$U179,$U179,$V$5:$V179,"Sub"))))</f>
        <v/>
      </c>
      <c r="B179" s="57" t="n"/>
      <c r="C179" s="58" t="n"/>
      <c r="D179" s="58" t="n"/>
      <c r="E179" s="59">
        <f>IF(N($AL179)&gt;0,INDEX(rIni_ADM,$AL179),"")</f>
        <v/>
      </c>
      <c r="F179" s="59">
        <f>IF(N($AL179)&gt;0,INDEX(rLim_ADM,$AL179),"")</f>
        <v/>
      </c>
      <c r="G179" s="59" t="n"/>
      <c r="H179" s="60" t="n"/>
      <c r="I179" s="60" t="n"/>
      <c r="J179" s="60" t="n"/>
      <c r="K179" s="60" t="n"/>
      <c r="L179" s="60" t="n"/>
      <c r="M179" s="61">
        <f>IF(NOT((COUNTA($B179:$D179)+COUNTA($G179:$L179)+COUNTA($Q179))&gt;0),"",IF(ISNUMBER($G179),1,IF(N($W179)&gt;0,AVERAGEIFS($X$5:$X$1000,$U$5:$U$1000,ROW(),$V$5:$V$1000,"Sub"),$X179)))</f>
        <v/>
      </c>
      <c r="N179" s="56">
        <f>IF($M179="","",IF($M179&gt;=1,"Completado",IF($M179&gt;0,"En curso","Pendiente")))</f>
        <v/>
      </c>
      <c r="O179" s="56">
        <f>IF(NOT((COUNTA($B179:$D179)+COUNTA($G179:$L179)+COUNTA($Q179))&gt;0),"",IF(ISNUMBER($G179),IF(AND(ISNUMBER($AN179),$G179&gt;$AN179),"Cumplida con "&amp;($G179-$AN179)&amp;IF($G179-$AN179=1," día"," días")&amp;" de retraso","Cumplida"),IF(N($M179)&gt;=1,"Cumplida",IF(NOT(ISNUMBER($AN179)),"Sin fecha límite",IF($AN179&lt;FechaRef,"Vencida hace "&amp;(FechaRef-$AN179)&amp;IF(FechaRef-$AN179=1," día"," días"),IF($AN179=FechaRef,"Vence hoy",IF($AN179-FechaRef&lt;=DiasAlerta,"Vence en "&amp;($AN179-FechaRef)&amp;IF($AN179-FechaRef=1," día"," días"),"En plazo")))))))</f>
        <v/>
      </c>
      <c r="P179" s="62" t="n"/>
      <c r="Q179" s="58" t="n"/>
      <c r="R179" s="63">
        <f>IF(NOT((COUNTA($B179:$D179)+COUNTA($G179:$L179)+COUNTA($Q179))&gt;0),"",IF((IF($C179="","Falta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",""))="","✔ OK","⚠ "&amp;LEFT(IF($C179="","Falta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",""),LEN(IF($C179="","Falta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",""))-3)))</f>
        <v/>
      </c>
      <c r="S179" s="64">
        <f>IF(NOT((COUNTA($B179:$D179)+COUNTA($G179:$L179)+COUNTA($Q179))&gt;0),"",IF(AND($V179="Sub",N($U179)&gt;0),IF(ISNUMBER(INDEX($AM$5:$AM$1000,$U179-4)),DATE(YEAR(INDEX($AM$5:$AM$1000,$U179-4)),MONTH(INDEX($AM$5:$AM$1000,$U179-4)),1),IF(ISNUMBER(INDEX($AN$5:$AN$1000,$U179-4)),DATE(YEAR(INDEX($AN$5:$AN$1000,$U179-4)),MONTH(INDEX($AN$5:$AN$1000,$U179-4)),1),MesCiclo)),IF(ISNUMBER($AM179),DATE(YEAR($AM179),MONTH($AM179),1),IF(ISNUMBER($AN179),DATE(YEAR($AN179),MONTH($AN179),1),MesCiclo))))</f>
        <v/>
      </c>
      <c r="T179" s="62">
        <f>IF(OR($S179="",$S179&lt;&gt;MesCiclo),"",COUNTIF($S$5:$S179,MesCiclo))</f>
        <v/>
      </c>
      <c r="U179" s="62">
        <f>IF($V179="","",IF($V179="Macro",ROW(),IFERROR(LOOKUP(2,1/($V$5:$V179="Macro"),ROW($V$5:$V179)),0)))</f>
        <v/>
      </c>
      <c r="V179" s="62">
        <f>IF(NOT((COUNTA($B179:$D179)+COUNTA($G179:$L179)+COUNTA($Q179))&gt;0),"",IF($B179="Subactividad","Sub","Macro"))</f>
        <v/>
      </c>
      <c r="W179" s="62">
        <f>IF($V179="Macro",COUNTIFS($U$5:$U$1000,ROW(),$V$5:$V$1000,"Sub"),"")</f>
        <v/>
      </c>
      <c r="X179" s="62">
        <f>IF($V179="","",IF(ISNUMBER($G179),1,IFERROR(LOOKUP(2,1/($I179:$L179&lt;&gt;""),$I179:$L179),0)))</f>
        <v/>
      </c>
      <c r="Y179" s="62">
        <f>IF($V179="","",IF(AND(ISNUMBER($G179),$G179&lt;=IF($S179=MesCiclo,InicioCiclo,$S179+MOD(2-WEEKDAY($S179),7))+6),1,IF(ISNUMBER($I179),$I179,0)))</f>
        <v/>
      </c>
      <c r="Z179" s="62">
        <f>IF($V179="","",IF(AND(ISNUMBER($G179),$G179&lt;=IF($S179=MesCiclo,InicioCiclo,$S179+MOD(2-WEEKDAY($S179),7))+13),1,IF(ISNUMBER($J179),$J179,$Y179)))</f>
        <v/>
      </c>
      <c r="AA179" s="62">
        <f>IF($V179="","",IF(AND(ISNUMBER($G179),$G179&lt;=IF($S179=MesCiclo,InicioCiclo,$S179+MOD(2-WEEKDAY($S179),7))+20),1,IF(ISNUMBER($K179),$K179,$Z179)))</f>
        <v/>
      </c>
      <c r="AB179" s="62">
        <f>IF($V179="","",IF(AND(ISNUMBER($G179),$G179&lt;=IF($S179=MesCiclo,InicioCiclo,$S179+MOD(2-WEEKDAY($S179),7))+27),1,IF(ISNUMBER($L179),$L179,$AA179)))</f>
        <v/>
      </c>
      <c r="AC179" s="62">
        <f>IF($V179="","",IF(AND(ISNUMBER($G179),$G179&lt;=IF($S179=MesCiclo,InicioCiclo,$S179+MOD(2-WEEKDAY($S179),7))+6),1,IF(N($W179)&gt;0,AVERAGEIFS($Y$5:$Y$1000,$U$5:$U$1000,ROW(),$V$5:$V$1000,"Sub"),$Y179)))</f>
        <v/>
      </c>
      <c r="AD179" s="62">
        <f>IF($V179="","",IF(AND(ISNUMBER($G179),$G179&lt;=IF($S179=MesCiclo,InicioCiclo,$S179+MOD(2-WEEKDAY($S179),7))+13),1,IF(N($W179)&gt;0,AVERAGEIFS($Z$5:$Z$1000,$U$5:$U$1000,ROW(),$V$5:$V$1000,"Sub"),$Z179)))</f>
        <v/>
      </c>
      <c r="AE179" s="62">
        <f>IF($V179="","",IF(AND(ISNUMBER($G179),$G179&lt;=IF($S179=MesCiclo,InicioCiclo,$S179+MOD(2-WEEKDAY($S179),7))+20),1,IF(N($W179)&gt;0,AVERAGEIFS($AA$5:$AA$1000,$U$5:$U$1000,ROW(),$V$5:$V$1000,"Sub"),$AA179)))</f>
        <v/>
      </c>
      <c r="AF179" s="62">
        <f>IF($V179="","",IF(AND(ISNUMBER($G179),$G179&lt;=IF($S179=MesCiclo,InicioCiclo,$S179+MOD(2-WEEKDAY($S179),7))+27),1,IF(N($W179)&gt;0,AVERAGEIFS($AB$5:$AB$1000,$U$5:$U$1000,ROW(),$V$5:$V$1000,"Sub"),$AB179)))</f>
        <v/>
      </c>
      <c r="AG179" s="62">
        <f>IF($V179&lt;&gt;"Macro","",IF(COUNTIFS($S$5:$S$1000,$S179,$V$5:$V$1000,"Macro",$H$5:$H$1000,"&gt;0")=0,1/COUNTIFS($S$5:$S$1000,$S179,$V$5:$V$1000,"Macro"),IF(AND(ISNUMBER($H179),N($H179)&gt;0),$H179,SUMIFS($H$5:$H$1000,$S$5:$S$1000,$S179,$V$5:$V$1000,"Macro")/COUNTIFS($S$5:$S$1000,$S179,$V$5:$V$1000,"Macro",$H$5:$H$1000,"&gt;0"))/(COUNTIFS($S$5:$S$1000,$S179,$V$5:$V$1000,"Macro")*SUMIFS($H$5:$H$1000,$S$5:$S$1000,$S179,$V$5:$V$1000,"Macro")/COUNTIFS($S$5:$S$1000,$S179,$V$5:$V$1000,"Macro",$H$5:$H$1000,"&gt;0"))))</f>
        <v/>
      </c>
      <c r="AH179" s="62" t="n"/>
      <c r="AI179" s="62" t="n"/>
      <c r="AJ179" s="62" t="n"/>
      <c r="AK179" s="62" t="n"/>
      <c r="AL179" s="62">
        <f>IF(LEFT($C179,11)="[Jefatura] ",IFERROR(MATCH("Asistente Técnico de Riesgo|"&amp;MID($C179,12,500),rDname_ADM,0),0),"")</f>
        <v/>
      </c>
      <c r="AM179" s="62">
        <f>IF(N($AL179)&gt;0,INDEX(rIni_ADM,$AL179),IF(ISNUMBER($E179),$E179,""))</f>
        <v/>
      </c>
      <c r="AN179" s="62">
        <f>IF(N($AL179)&gt;0,INDEX(rLim_ADM,$AL179),IF(ISNUMBER($F179),$F179,""))</f>
        <v/>
      </c>
    </row>
    <row r="180">
      <c r="A180" s="56">
        <f>IF(NOT((COUNTA($B180:$D180)+COUNTA($G180:$L180)+COUNTA($Q180))&gt;0),"",IF($V180="Macro",COUNTIFS($V$5:$V180,"Macro",$S$5:$S180,$S180),IF(N($U180)=0,"?",COUNTIFS(INDEX($V$5:$V$1000,1):INDEX($V$5:$V$1000,$U180-4),"Macro",INDEX($S$5:$S$1000,1):INDEX($S$5:$S$1000,$U180-4),INDEX($S$5:$S$1000,$U180-4))&amp;"."&amp;COUNTIFS($U$5:$U180,$U180,$V$5:$V180,"Sub"))))</f>
        <v/>
      </c>
      <c r="B180" s="57" t="n"/>
      <c r="C180" s="58" t="n"/>
      <c r="D180" s="58" t="n"/>
      <c r="E180" s="59">
        <f>IF(N($AL180)&gt;0,INDEX(rIni_ADM,$AL180),"")</f>
        <v/>
      </c>
      <c r="F180" s="59">
        <f>IF(N($AL180)&gt;0,INDEX(rLim_ADM,$AL180),"")</f>
        <v/>
      </c>
      <c r="G180" s="59" t="n"/>
      <c r="H180" s="60" t="n"/>
      <c r="I180" s="60" t="n"/>
      <c r="J180" s="60" t="n"/>
      <c r="K180" s="60" t="n"/>
      <c r="L180" s="60" t="n"/>
      <c r="M180" s="61">
        <f>IF(NOT((COUNTA($B180:$D180)+COUNTA($G180:$L180)+COUNTA($Q180))&gt;0),"",IF(ISNUMBER($G180),1,IF(N($W180)&gt;0,AVERAGEIFS($X$5:$X$1000,$U$5:$U$1000,ROW(),$V$5:$V$1000,"Sub"),$X180)))</f>
        <v/>
      </c>
      <c r="N180" s="56">
        <f>IF($M180="","",IF($M180&gt;=1,"Completado",IF($M180&gt;0,"En curso","Pendiente")))</f>
        <v/>
      </c>
      <c r="O180" s="56">
        <f>IF(NOT((COUNTA($B180:$D180)+COUNTA($G180:$L180)+COUNTA($Q180))&gt;0),"",IF(ISNUMBER($G180),IF(AND(ISNUMBER($AN180),$G180&gt;$AN180),"Cumplida con "&amp;($G180-$AN180)&amp;IF($G180-$AN180=1," día"," días")&amp;" de retraso","Cumplida"),IF(N($M180)&gt;=1,"Cumplida",IF(NOT(ISNUMBER($AN180)),"Sin fecha límite",IF($AN180&lt;FechaRef,"Vencida hace "&amp;(FechaRef-$AN180)&amp;IF(FechaRef-$AN180=1," día"," días"),IF($AN180=FechaRef,"Vence hoy",IF($AN180-FechaRef&lt;=DiasAlerta,"Vence en "&amp;($AN180-FechaRef)&amp;IF($AN180-FechaRef=1," día"," días"),"En plazo")))))))</f>
        <v/>
      </c>
      <c r="P180" s="62" t="n"/>
      <c r="Q180" s="58" t="n"/>
      <c r="R180" s="63">
        <f>IF(NOT((COUNTA($B180:$D180)+COUNTA($G180:$L180)+COUNTA($Q180))&gt;0),"",IF((IF($C180="","Falta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",""))="","✔ OK","⚠ "&amp;LEFT(IF($C180="","Falta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",""),LEN(IF($C180="","Falta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",""))-3)))</f>
        <v/>
      </c>
      <c r="S180" s="64">
        <f>IF(NOT((COUNTA($B180:$D180)+COUNTA($G180:$L180)+COUNTA($Q180))&gt;0),"",IF(AND($V180="Sub",N($U180)&gt;0),IF(ISNUMBER(INDEX($AM$5:$AM$1000,$U180-4)),DATE(YEAR(INDEX($AM$5:$AM$1000,$U180-4)),MONTH(INDEX($AM$5:$AM$1000,$U180-4)),1),IF(ISNUMBER(INDEX($AN$5:$AN$1000,$U180-4)),DATE(YEAR(INDEX($AN$5:$AN$1000,$U180-4)),MONTH(INDEX($AN$5:$AN$1000,$U180-4)),1),MesCiclo)),IF(ISNUMBER($AM180),DATE(YEAR($AM180),MONTH($AM180),1),IF(ISNUMBER($AN180),DATE(YEAR($AN180),MONTH($AN180),1),MesCiclo))))</f>
        <v/>
      </c>
      <c r="T180" s="62">
        <f>IF(OR($S180="",$S180&lt;&gt;MesCiclo),"",COUNTIF($S$5:$S180,MesCiclo))</f>
        <v/>
      </c>
      <c r="U180" s="62">
        <f>IF($V180="","",IF($V180="Macro",ROW(),IFERROR(LOOKUP(2,1/($V$5:$V180="Macro"),ROW($V$5:$V180)),0)))</f>
        <v/>
      </c>
      <c r="V180" s="62">
        <f>IF(NOT((COUNTA($B180:$D180)+COUNTA($G180:$L180)+COUNTA($Q180))&gt;0),"",IF($B180="Subactividad","Sub","Macro"))</f>
        <v/>
      </c>
      <c r="W180" s="62">
        <f>IF($V180="Macro",COUNTIFS($U$5:$U$1000,ROW(),$V$5:$V$1000,"Sub"),"")</f>
        <v/>
      </c>
      <c r="X180" s="62">
        <f>IF($V180="","",IF(ISNUMBER($G180),1,IFERROR(LOOKUP(2,1/($I180:$L180&lt;&gt;""),$I180:$L180),0)))</f>
        <v/>
      </c>
      <c r="Y180" s="62">
        <f>IF($V180="","",IF(AND(ISNUMBER($G180),$G180&lt;=IF($S180=MesCiclo,InicioCiclo,$S180+MOD(2-WEEKDAY($S180),7))+6),1,IF(ISNUMBER($I180),$I180,0)))</f>
        <v/>
      </c>
      <c r="Z180" s="62">
        <f>IF($V180="","",IF(AND(ISNUMBER($G180),$G180&lt;=IF($S180=MesCiclo,InicioCiclo,$S180+MOD(2-WEEKDAY($S180),7))+13),1,IF(ISNUMBER($J180),$J180,$Y180)))</f>
        <v/>
      </c>
      <c r="AA180" s="62">
        <f>IF($V180="","",IF(AND(ISNUMBER($G180),$G180&lt;=IF($S180=MesCiclo,InicioCiclo,$S180+MOD(2-WEEKDAY($S180),7))+20),1,IF(ISNUMBER($K180),$K180,$Z180)))</f>
        <v/>
      </c>
      <c r="AB180" s="62">
        <f>IF($V180="","",IF(AND(ISNUMBER($G180),$G180&lt;=IF($S180=MesCiclo,InicioCiclo,$S180+MOD(2-WEEKDAY($S180),7))+27),1,IF(ISNUMBER($L180),$L180,$AA180)))</f>
        <v/>
      </c>
      <c r="AC180" s="62">
        <f>IF($V180="","",IF(AND(ISNUMBER($G180),$G180&lt;=IF($S180=MesCiclo,InicioCiclo,$S180+MOD(2-WEEKDAY($S180),7))+6),1,IF(N($W180)&gt;0,AVERAGEIFS($Y$5:$Y$1000,$U$5:$U$1000,ROW(),$V$5:$V$1000,"Sub"),$Y180)))</f>
        <v/>
      </c>
      <c r="AD180" s="62">
        <f>IF($V180="","",IF(AND(ISNUMBER($G180),$G180&lt;=IF($S180=MesCiclo,InicioCiclo,$S180+MOD(2-WEEKDAY($S180),7))+13),1,IF(N($W180)&gt;0,AVERAGEIFS($Z$5:$Z$1000,$U$5:$U$1000,ROW(),$V$5:$V$1000,"Sub"),$Z180)))</f>
        <v/>
      </c>
      <c r="AE180" s="62">
        <f>IF($V180="","",IF(AND(ISNUMBER($G180),$G180&lt;=IF($S180=MesCiclo,InicioCiclo,$S180+MOD(2-WEEKDAY($S180),7))+20),1,IF(N($W180)&gt;0,AVERAGEIFS($AA$5:$AA$1000,$U$5:$U$1000,ROW(),$V$5:$V$1000,"Sub"),$AA180)))</f>
        <v/>
      </c>
      <c r="AF180" s="62">
        <f>IF($V180="","",IF(AND(ISNUMBER($G180),$G180&lt;=IF($S180=MesCiclo,InicioCiclo,$S180+MOD(2-WEEKDAY($S180),7))+27),1,IF(N($W180)&gt;0,AVERAGEIFS($AB$5:$AB$1000,$U$5:$U$1000,ROW(),$V$5:$V$1000,"Sub"),$AB180)))</f>
        <v/>
      </c>
      <c r="AG180" s="62">
        <f>IF($V180&lt;&gt;"Macro","",IF(COUNTIFS($S$5:$S$1000,$S180,$V$5:$V$1000,"Macro",$H$5:$H$1000,"&gt;0")=0,1/COUNTIFS($S$5:$S$1000,$S180,$V$5:$V$1000,"Macro"),IF(AND(ISNUMBER($H180),N($H180)&gt;0),$H180,SUMIFS($H$5:$H$1000,$S$5:$S$1000,$S180,$V$5:$V$1000,"Macro")/COUNTIFS($S$5:$S$1000,$S180,$V$5:$V$1000,"Macro",$H$5:$H$1000,"&gt;0"))/(COUNTIFS($S$5:$S$1000,$S180,$V$5:$V$1000,"Macro")*SUMIFS($H$5:$H$1000,$S$5:$S$1000,$S180,$V$5:$V$1000,"Macro")/COUNTIFS($S$5:$S$1000,$S180,$V$5:$V$1000,"Macro",$H$5:$H$1000,"&gt;0"))))</f>
        <v/>
      </c>
      <c r="AH180" s="62" t="n"/>
      <c r="AI180" s="62" t="n"/>
      <c r="AJ180" s="62" t="n"/>
      <c r="AK180" s="62" t="n"/>
      <c r="AL180" s="62">
        <f>IF(LEFT($C180,11)="[Jefatura] ",IFERROR(MATCH("Asistente Técnico de Riesgo|"&amp;MID($C180,12,500),rDname_ADM,0),0),"")</f>
        <v/>
      </c>
      <c r="AM180" s="62">
        <f>IF(N($AL180)&gt;0,INDEX(rIni_ADM,$AL180),IF(ISNUMBER($E180),$E180,""))</f>
        <v/>
      </c>
      <c r="AN180" s="62">
        <f>IF(N($AL180)&gt;0,INDEX(rLim_ADM,$AL180),IF(ISNUMBER($F180),$F180,""))</f>
        <v/>
      </c>
    </row>
    <row r="181">
      <c r="A181" s="56">
        <f>IF(NOT((COUNTA($B181:$D181)+COUNTA($G181:$L181)+COUNTA($Q181))&gt;0),"",IF($V181="Macro",COUNTIFS($V$5:$V181,"Macro",$S$5:$S181,$S181),IF(N($U181)=0,"?",COUNTIFS(INDEX($V$5:$V$1000,1):INDEX($V$5:$V$1000,$U181-4),"Macro",INDEX($S$5:$S$1000,1):INDEX($S$5:$S$1000,$U181-4),INDEX($S$5:$S$1000,$U181-4))&amp;"."&amp;COUNTIFS($U$5:$U181,$U181,$V$5:$V181,"Sub"))))</f>
        <v/>
      </c>
      <c r="B181" s="57" t="n"/>
      <c r="C181" s="58" t="n"/>
      <c r="D181" s="58" t="n"/>
      <c r="E181" s="59">
        <f>IF(N($AL181)&gt;0,INDEX(rIni_ADM,$AL181),"")</f>
        <v/>
      </c>
      <c r="F181" s="59">
        <f>IF(N($AL181)&gt;0,INDEX(rLim_ADM,$AL181),"")</f>
        <v/>
      </c>
      <c r="G181" s="59" t="n"/>
      <c r="H181" s="60" t="n"/>
      <c r="I181" s="60" t="n"/>
      <c r="J181" s="60" t="n"/>
      <c r="K181" s="60" t="n"/>
      <c r="L181" s="60" t="n"/>
      <c r="M181" s="61">
        <f>IF(NOT((COUNTA($B181:$D181)+COUNTA($G181:$L181)+COUNTA($Q181))&gt;0),"",IF(ISNUMBER($G181),1,IF(N($W181)&gt;0,AVERAGEIFS($X$5:$X$1000,$U$5:$U$1000,ROW(),$V$5:$V$1000,"Sub"),$X181)))</f>
        <v/>
      </c>
      <c r="N181" s="56">
        <f>IF($M181="","",IF($M181&gt;=1,"Completado",IF($M181&gt;0,"En curso","Pendiente")))</f>
        <v/>
      </c>
      <c r="O181" s="56">
        <f>IF(NOT((COUNTA($B181:$D181)+COUNTA($G181:$L181)+COUNTA($Q181))&gt;0),"",IF(ISNUMBER($G181),IF(AND(ISNUMBER($AN181),$G181&gt;$AN181),"Cumplida con "&amp;($G181-$AN181)&amp;IF($G181-$AN181=1," día"," días")&amp;" de retraso","Cumplida"),IF(N($M181)&gt;=1,"Cumplida",IF(NOT(ISNUMBER($AN181)),"Sin fecha límite",IF($AN181&lt;FechaRef,"Vencida hace "&amp;(FechaRef-$AN181)&amp;IF(FechaRef-$AN181=1," día"," días"),IF($AN181=FechaRef,"Vence hoy",IF($AN181-FechaRef&lt;=DiasAlerta,"Vence en "&amp;($AN181-FechaRef)&amp;IF($AN181-FechaRef=1," día"," días"),"En plazo")))))))</f>
        <v/>
      </c>
      <c r="P181" s="62" t="n"/>
      <c r="Q181" s="58" t="n"/>
      <c r="R181" s="63">
        <f>IF(NOT((COUNTA($B181:$D181)+COUNTA($G181:$L181)+COUNTA($Q181))&gt;0),"",IF((IF($C181="","Falta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",""))="","✔ OK","⚠ "&amp;LEFT(IF($C181="","Falta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",""),LEN(IF($C181="","Falta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",""))-3)))</f>
        <v/>
      </c>
      <c r="S181" s="64">
        <f>IF(NOT((COUNTA($B181:$D181)+COUNTA($G181:$L181)+COUNTA($Q181))&gt;0),"",IF(AND($V181="Sub",N($U181)&gt;0),IF(ISNUMBER(INDEX($AM$5:$AM$1000,$U181-4)),DATE(YEAR(INDEX($AM$5:$AM$1000,$U181-4)),MONTH(INDEX($AM$5:$AM$1000,$U181-4)),1),IF(ISNUMBER(INDEX($AN$5:$AN$1000,$U181-4)),DATE(YEAR(INDEX($AN$5:$AN$1000,$U181-4)),MONTH(INDEX($AN$5:$AN$1000,$U181-4)),1),MesCiclo)),IF(ISNUMBER($AM181),DATE(YEAR($AM181),MONTH($AM181),1),IF(ISNUMBER($AN181),DATE(YEAR($AN181),MONTH($AN181),1),MesCiclo))))</f>
        <v/>
      </c>
      <c r="T181" s="62">
        <f>IF(OR($S181="",$S181&lt;&gt;MesCiclo),"",COUNTIF($S$5:$S181,MesCiclo))</f>
        <v/>
      </c>
      <c r="U181" s="62">
        <f>IF($V181="","",IF($V181="Macro",ROW(),IFERROR(LOOKUP(2,1/($V$5:$V181="Macro"),ROW($V$5:$V181)),0)))</f>
        <v/>
      </c>
      <c r="V181" s="62">
        <f>IF(NOT((COUNTA($B181:$D181)+COUNTA($G181:$L181)+COUNTA($Q181))&gt;0),"",IF($B181="Subactividad","Sub","Macro"))</f>
        <v/>
      </c>
      <c r="W181" s="62">
        <f>IF($V181="Macro",COUNTIFS($U$5:$U$1000,ROW(),$V$5:$V$1000,"Sub"),"")</f>
        <v/>
      </c>
      <c r="X181" s="62">
        <f>IF($V181="","",IF(ISNUMBER($G181),1,IFERROR(LOOKUP(2,1/($I181:$L181&lt;&gt;""),$I181:$L181),0)))</f>
        <v/>
      </c>
      <c r="Y181" s="62">
        <f>IF($V181="","",IF(AND(ISNUMBER($G181),$G181&lt;=IF($S181=MesCiclo,InicioCiclo,$S181+MOD(2-WEEKDAY($S181),7))+6),1,IF(ISNUMBER($I181),$I181,0)))</f>
        <v/>
      </c>
      <c r="Z181" s="62">
        <f>IF($V181="","",IF(AND(ISNUMBER($G181),$G181&lt;=IF($S181=MesCiclo,InicioCiclo,$S181+MOD(2-WEEKDAY($S181),7))+13),1,IF(ISNUMBER($J181),$J181,$Y181)))</f>
        <v/>
      </c>
      <c r="AA181" s="62">
        <f>IF($V181="","",IF(AND(ISNUMBER($G181),$G181&lt;=IF($S181=MesCiclo,InicioCiclo,$S181+MOD(2-WEEKDAY($S181),7))+20),1,IF(ISNUMBER($K181),$K181,$Z181)))</f>
        <v/>
      </c>
      <c r="AB181" s="62">
        <f>IF($V181="","",IF(AND(ISNUMBER($G181),$G181&lt;=IF($S181=MesCiclo,InicioCiclo,$S181+MOD(2-WEEKDAY($S181),7))+27),1,IF(ISNUMBER($L181),$L181,$AA181)))</f>
        <v/>
      </c>
      <c r="AC181" s="62">
        <f>IF($V181="","",IF(AND(ISNUMBER($G181),$G181&lt;=IF($S181=MesCiclo,InicioCiclo,$S181+MOD(2-WEEKDAY($S181),7))+6),1,IF(N($W181)&gt;0,AVERAGEIFS($Y$5:$Y$1000,$U$5:$U$1000,ROW(),$V$5:$V$1000,"Sub"),$Y181)))</f>
        <v/>
      </c>
      <c r="AD181" s="62">
        <f>IF($V181="","",IF(AND(ISNUMBER($G181),$G181&lt;=IF($S181=MesCiclo,InicioCiclo,$S181+MOD(2-WEEKDAY($S181),7))+13),1,IF(N($W181)&gt;0,AVERAGEIFS($Z$5:$Z$1000,$U$5:$U$1000,ROW(),$V$5:$V$1000,"Sub"),$Z181)))</f>
        <v/>
      </c>
      <c r="AE181" s="62">
        <f>IF($V181="","",IF(AND(ISNUMBER($G181),$G181&lt;=IF($S181=MesCiclo,InicioCiclo,$S181+MOD(2-WEEKDAY($S181),7))+20),1,IF(N($W181)&gt;0,AVERAGEIFS($AA$5:$AA$1000,$U$5:$U$1000,ROW(),$V$5:$V$1000,"Sub"),$AA181)))</f>
        <v/>
      </c>
      <c r="AF181" s="62">
        <f>IF($V181="","",IF(AND(ISNUMBER($G181),$G181&lt;=IF($S181=MesCiclo,InicioCiclo,$S181+MOD(2-WEEKDAY($S181),7))+27),1,IF(N($W181)&gt;0,AVERAGEIFS($AB$5:$AB$1000,$U$5:$U$1000,ROW(),$V$5:$V$1000,"Sub"),$AB181)))</f>
        <v/>
      </c>
      <c r="AG181" s="62">
        <f>IF($V181&lt;&gt;"Macro","",IF(COUNTIFS($S$5:$S$1000,$S181,$V$5:$V$1000,"Macro",$H$5:$H$1000,"&gt;0")=0,1/COUNTIFS($S$5:$S$1000,$S181,$V$5:$V$1000,"Macro"),IF(AND(ISNUMBER($H181),N($H181)&gt;0),$H181,SUMIFS($H$5:$H$1000,$S$5:$S$1000,$S181,$V$5:$V$1000,"Macro")/COUNTIFS($S$5:$S$1000,$S181,$V$5:$V$1000,"Macro",$H$5:$H$1000,"&gt;0"))/(COUNTIFS($S$5:$S$1000,$S181,$V$5:$V$1000,"Macro")*SUMIFS($H$5:$H$1000,$S$5:$S$1000,$S181,$V$5:$V$1000,"Macro")/COUNTIFS($S$5:$S$1000,$S181,$V$5:$V$1000,"Macro",$H$5:$H$1000,"&gt;0"))))</f>
        <v/>
      </c>
      <c r="AH181" s="62" t="n"/>
      <c r="AI181" s="62" t="n"/>
      <c r="AJ181" s="62" t="n"/>
      <c r="AK181" s="62" t="n"/>
      <c r="AL181" s="62">
        <f>IF(LEFT($C181,11)="[Jefatura] ",IFERROR(MATCH("Asistente Técnico de Riesgo|"&amp;MID($C181,12,500),rDname_ADM,0),0),"")</f>
        <v/>
      </c>
      <c r="AM181" s="62">
        <f>IF(N($AL181)&gt;0,INDEX(rIni_ADM,$AL181),IF(ISNUMBER($E181),$E181,""))</f>
        <v/>
      </c>
      <c r="AN181" s="62">
        <f>IF(N($AL181)&gt;0,INDEX(rLim_ADM,$AL181),IF(ISNUMBER($F181),$F181,""))</f>
        <v/>
      </c>
    </row>
    <row r="182">
      <c r="A182" s="56">
        <f>IF(NOT((COUNTA($B182:$D182)+COUNTA($G182:$L182)+COUNTA($Q182))&gt;0),"",IF($V182="Macro",COUNTIFS($V$5:$V182,"Macro",$S$5:$S182,$S182),IF(N($U182)=0,"?",COUNTIFS(INDEX($V$5:$V$1000,1):INDEX($V$5:$V$1000,$U182-4),"Macro",INDEX($S$5:$S$1000,1):INDEX($S$5:$S$1000,$U182-4),INDEX($S$5:$S$1000,$U182-4))&amp;"."&amp;COUNTIFS($U$5:$U182,$U182,$V$5:$V182,"Sub"))))</f>
        <v/>
      </c>
      <c r="B182" s="57" t="n"/>
      <c r="C182" s="58" t="n"/>
      <c r="D182" s="58" t="n"/>
      <c r="E182" s="59">
        <f>IF(N($AL182)&gt;0,INDEX(rIni_ADM,$AL182),"")</f>
        <v/>
      </c>
      <c r="F182" s="59">
        <f>IF(N($AL182)&gt;0,INDEX(rLim_ADM,$AL182),"")</f>
        <v/>
      </c>
      <c r="G182" s="59" t="n"/>
      <c r="H182" s="60" t="n"/>
      <c r="I182" s="60" t="n"/>
      <c r="J182" s="60" t="n"/>
      <c r="K182" s="60" t="n"/>
      <c r="L182" s="60" t="n"/>
      <c r="M182" s="61">
        <f>IF(NOT((COUNTA($B182:$D182)+COUNTA($G182:$L182)+COUNTA($Q182))&gt;0),"",IF(ISNUMBER($G182),1,IF(N($W182)&gt;0,AVERAGEIFS($X$5:$X$1000,$U$5:$U$1000,ROW(),$V$5:$V$1000,"Sub"),$X182)))</f>
        <v/>
      </c>
      <c r="N182" s="56">
        <f>IF($M182="","",IF($M182&gt;=1,"Completado",IF($M182&gt;0,"En curso","Pendiente")))</f>
        <v/>
      </c>
      <c r="O182" s="56">
        <f>IF(NOT((COUNTA($B182:$D182)+COUNTA($G182:$L182)+COUNTA($Q182))&gt;0),"",IF(ISNUMBER($G182),IF(AND(ISNUMBER($AN182),$G182&gt;$AN182),"Cumplida con "&amp;($G182-$AN182)&amp;IF($G182-$AN182=1," día"," días")&amp;" de retraso","Cumplida"),IF(N($M182)&gt;=1,"Cumplida",IF(NOT(ISNUMBER($AN182)),"Sin fecha límite",IF($AN182&lt;FechaRef,"Vencida hace "&amp;(FechaRef-$AN182)&amp;IF(FechaRef-$AN182=1," día"," días"),IF($AN182=FechaRef,"Vence hoy",IF($AN182-FechaRef&lt;=DiasAlerta,"Vence en "&amp;($AN182-FechaRef)&amp;IF($AN182-FechaRef=1," día"," días"),"En plazo")))))))</f>
        <v/>
      </c>
      <c r="P182" s="62" t="n"/>
      <c r="Q182" s="58" t="n"/>
      <c r="R182" s="63">
        <f>IF(NOT((COUNTA($B182:$D182)+COUNTA($G182:$L182)+COUNTA($Q182))&gt;0),"",IF((IF($C182="","Falta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",""))="","✔ OK","⚠ "&amp;LEFT(IF($C182="","Falta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",""),LEN(IF($C182="","Falta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",""))-3)))</f>
        <v/>
      </c>
      <c r="S182" s="64">
        <f>IF(NOT((COUNTA($B182:$D182)+COUNTA($G182:$L182)+COUNTA($Q182))&gt;0),"",IF(AND($V182="Sub",N($U182)&gt;0),IF(ISNUMBER(INDEX($AM$5:$AM$1000,$U182-4)),DATE(YEAR(INDEX($AM$5:$AM$1000,$U182-4)),MONTH(INDEX($AM$5:$AM$1000,$U182-4)),1),IF(ISNUMBER(INDEX($AN$5:$AN$1000,$U182-4)),DATE(YEAR(INDEX($AN$5:$AN$1000,$U182-4)),MONTH(INDEX($AN$5:$AN$1000,$U182-4)),1),MesCiclo)),IF(ISNUMBER($AM182),DATE(YEAR($AM182),MONTH($AM182),1),IF(ISNUMBER($AN182),DATE(YEAR($AN182),MONTH($AN182),1),MesCiclo))))</f>
        <v/>
      </c>
      <c r="T182" s="62">
        <f>IF(OR($S182="",$S182&lt;&gt;MesCiclo),"",COUNTIF($S$5:$S182,MesCiclo))</f>
        <v/>
      </c>
      <c r="U182" s="62">
        <f>IF($V182="","",IF($V182="Macro",ROW(),IFERROR(LOOKUP(2,1/($V$5:$V182="Macro"),ROW($V$5:$V182)),0)))</f>
        <v/>
      </c>
      <c r="V182" s="62">
        <f>IF(NOT((COUNTA($B182:$D182)+COUNTA($G182:$L182)+COUNTA($Q182))&gt;0),"",IF($B182="Subactividad","Sub","Macro"))</f>
        <v/>
      </c>
      <c r="W182" s="62">
        <f>IF($V182="Macro",COUNTIFS($U$5:$U$1000,ROW(),$V$5:$V$1000,"Sub"),"")</f>
        <v/>
      </c>
      <c r="X182" s="62">
        <f>IF($V182="","",IF(ISNUMBER($G182),1,IFERROR(LOOKUP(2,1/($I182:$L182&lt;&gt;""),$I182:$L182),0)))</f>
        <v/>
      </c>
      <c r="Y182" s="62">
        <f>IF($V182="","",IF(AND(ISNUMBER($G182),$G182&lt;=IF($S182=MesCiclo,InicioCiclo,$S182+MOD(2-WEEKDAY($S182),7))+6),1,IF(ISNUMBER($I182),$I182,0)))</f>
        <v/>
      </c>
      <c r="Z182" s="62">
        <f>IF($V182="","",IF(AND(ISNUMBER($G182),$G182&lt;=IF($S182=MesCiclo,InicioCiclo,$S182+MOD(2-WEEKDAY($S182),7))+13),1,IF(ISNUMBER($J182),$J182,$Y182)))</f>
        <v/>
      </c>
      <c r="AA182" s="62">
        <f>IF($V182="","",IF(AND(ISNUMBER($G182),$G182&lt;=IF($S182=MesCiclo,InicioCiclo,$S182+MOD(2-WEEKDAY($S182),7))+20),1,IF(ISNUMBER($K182),$K182,$Z182)))</f>
        <v/>
      </c>
      <c r="AB182" s="62">
        <f>IF($V182="","",IF(AND(ISNUMBER($G182),$G182&lt;=IF($S182=MesCiclo,InicioCiclo,$S182+MOD(2-WEEKDAY($S182),7))+27),1,IF(ISNUMBER($L182),$L182,$AA182)))</f>
        <v/>
      </c>
      <c r="AC182" s="62">
        <f>IF($V182="","",IF(AND(ISNUMBER($G182),$G182&lt;=IF($S182=MesCiclo,InicioCiclo,$S182+MOD(2-WEEKDAY($S182),7))+6),1,IF(N($W182)&gt;0,AVERAGEIFS($Y$5:$Y$1000,$U$5:$U$1000,ROW(),$V$5:$V$1000,"Sub"),$Y182)))</f>
        <v/>
      </c>
      <c r="AD182" s="62">
        <f>IF($V182="","",IF(AND(ISNUMBER($G182),$G182&lt;=IF($S182=MesCiclo,InicioCiclo,$S182+MOD(2-WEEKDAY($S182),7))+13),1,IF(N($W182)&gt;0,AVERAGEIFS($Z$5:$Z$1000,$U$5:$U$1000,ROW(),$V$5:$V$1000,"Sub"),$Z182)))</f>
        <v/>
      </c>
      <c r="AE182" s="62">
        <f>IF($V182="","",IF(AND(ISNUMBER($G182),$G182&lt;=IF($S182=MesCiclo,InicioCiclo,$S182+MOD(2-WEEKDAY($S182),7))+20),1,IF(N($W182)&gt;0,AVERAGEIFS($AA$5:$AA$1000,$U$5:$U$1000,ROW(),$V$5:$V$1000,"Sub"),$AA182)))</f>
        <v/>
      </c>
      <c r="AF182" s="62">
        <f>IF($V182="","",IF(AND(ISNUMBER($G182),$G182&lt;=IF($S182=MesCiclo,InicioCiclo,$S182+MOD(2-WEEKDAY($S182),7))+27),1,IF(N($W182)&gt;0,AVERAGEIFS($AB$5:$AB$1000,$U$5:$U$1000,ROW(),$V$5:$V$1000,"Sub"),$AB182)))</f>
        <v/>
      </c>
      <c r="AG182" s="62">
        <f>IF($V182&lt;&gt;"Macro","",IF(COUNTIFS($S$5:$S$1000,$S182,$V$5:$V$1000,"Macro",$H$5:$H$1000,"&gt;0")=0,1/COUNTIFS($S$5:$S$1000,$S182,$V$5:$V$1000,"Macro"),IF(AND(ISNUMBER($H182),N($H182)&gt;0),$H182,SUMIFS($H$5:$H$1000,$S$5:$S$1000,$S182,$V$5:$V$1000,"Macro")/COUNTIFS($S$5:$S$1000,$S182,$V$5:$V$1000,"Macro",$H$5:$H$1000,"&gt;0"))/(COUNTIFS($S$5:$S$1000,$S182,$V$5:$V$1000,"Macro")*SUMIFS($H$5:$H$1000,$S$5:$S$1000,$S182,$V$5:$V$1000,"Macro")/COUNTIFS($S$5:$S$1000,$S182,$V$5:$V$1000,"Macro",$H$5:$H$1000,"&gt;0"))))</f>
        <v/>
      </c>
      <c r="AH182" s="62" t="n"/>
      <c r="AI182" s="62" t="n"/>
      <c r="AJ182" s="62" t="n"/>
      <c r="AK182" s="62" t="n"/>
      <c r="AL182" s="62">
        <f>IF(LEFT($C182,11)="[Jefatura] ",IFERROR(MATCH("Asistente Técnico de Riesgo|"&amp;MID($C182,12,500),rDname_ADM,0),0),"")</f>
        <v/>
      </c>
      <c r="AM182" s="62">
        <f>IF(N($AL182)&gt;0,INDEX(rIni_ADM,$AL182),IF(ISNUMBER($E182),$E182,""))</f>
        <v/>
      </c>
      <c r="AN182" s="62">
        <f>IF(N($AL182)&gt;0,INDEX(rLim_ADM,$AL182),IF(ISNUMBER($F182),$F182,""))</f>
        <v/>
      </c>
    </row>
    <row r="183">
      <c r="A183" s="56">
        <f>IF(NOT((COUNTA($B183:$D183)+COUNTA($G183:$L183)+COUNTA($Q183))&gt;0),"",IF($V183="Macro",COUNTIFS($V$5:$V183,"Macro",$S$5:$S183,$S183),IF(N($U183)=0,"?",COUNTIFS(INDEX($V$5:$V$1000,1):INDEX($V$5:$V$1000,$U183-4),"Macro",INDEX($S$5:$S$1000,1):INDEX($S$5:$S$1000,$U183-4),INDEX($S$5:$S$1000,$U183-4))&amp;"."&amp;COUNTIFS($U$5:$U183,$U183,$V$5:$V183,"Sub"))))</f>
        <v/>
      </c>
      <c r="B183" s="57" t="n"/>
      <c r="C183" s="58" t="n"/>
      <c r="D183" s="58" t="n"/>
      <c r="E183" s="59">
        <f>IF(N($AL183)&gt;0,INDEX(rIni_ADM,$AL183),"")</f>
        <v/>
      </c>
      <c r="F183" s="59">
        <f>IF(N($AL183)&gt;0,INDEX(rLim_ADM,$AL183),"")</f>
        <v/>
      </c>
      <c r="G183" s="59" t="n"/>
      <c r="H183" s="60" t="n"/>
      <c r="I183" s="60" t="n"/>
      <c r="J183" s="60" t="n"/>
      <c r="K183" s="60" t="n"/>
      <c r="L183" s="60" t="n"/>
      <c r="M183" s="61">
        <f>IF(NOT((COUNTA($B183:$D183)+COUNTA($G183:$L183)+COUNTA($Q183))&gt;0),"",IF(ISNUMBER($G183),1,IF(N($W183)&gt;0,AVERAGEIFS($X$5:$X$1000,$U$5:$U$1000,ROW(),$V$5:$V$1000,"Sub"),$X183)))</f>
        <v/>
      </c>
      <c r="N183" s="56">
        <f>IF($M183="","",IF($M183&gt;=1,"Completado",IF($M183&gt;0,"En curso","Pendiente")))</f>
        <v/>
      </c>
      <c r="O183" s="56">
        <f>IF(NOT((COUNTA($B183:$D183)+COUNTA($G183:$L183)+COUNTA($Q183))&gt;0),"",IF(ISNUMBER($G183),IF(AND(ISNUMBER($AN183),$G183&gt;$AN183),"Cumplida con "&amp;($G183-$AN183)&amp;IF($G183-$AN183=1," día"," días")&amp;" de retraso","Cumplida"),IF(N($M183)&gt;=1,"Cumplida",IF(NOT(ISNUMBER($AN183)),"Sin fecha límite",IF($AN183&lt;FechaRef,"Vencida hace "&amp;(FechaRef-$AN183)&amp;IF(FechaRef-$AN183=1," día"," días"),IF($AN183=FechaRef,"Vence hoy",IF($AN183-FechaRef&lt;=DiasAlerta,"Vence en "&amp;($AN183-FechaRef)&amp;IF($AN183-FechaRef=1," día"," días"),"En plazo")))))))</f>
        <v/>
      </c>
      <c r="P183" s="62" t="n"/>
      <c r="Q183" s="58" t="n"/>
      <c r="R183" s="63">
        <f>IF(NOT((COUNTA($B183:$D183)+COUNTA($G183:$L183)+COUNTA($Q183))&gt;0),"",IF((IF($C183="","Falta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",""))="","✔ OK","⚠ "&amp;LEFT(IF($C183="","Falta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",""),LEN(IF($C183="","Falta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",""))-3)))</f>
        <v/>
      </c>
      <c r="S183" s="64">
        <f>IF(NOT((COUNTA($B183:$D183)+COUNTA($G183:$L183)+COUNTA($Q183))&gt;0),"",IF(AND($V183="Sub",N($U183)&gt;0),IF(ISNUMBER(INDEX($AM$5:$AM$1000,$U183-4)),DATE(YEAR(INDEX($AM$5:$AM$1000,$U183-4)),MONTH(INDEX($AM$5:$AM$1000,$U183-4)),1),IF(ISNUMBER(INDEX($AN$5:$AN$1000,$U183-4)),DATE(YEAR(INDEX($AN$5:$AN$1000,$U183-4)),MONTH(INDEX($AN$5:$AN$1000,$U183-4)),1),MesCiclo)),IF(ISNUMBER($AM183),DATE(YEAR($AM183),MONTH($AM183),1),IF(ISNUMBER($AN183),DATE(YEAR($AN183),MONTH($AN183),1),MesCiclo))))</f>
        <v/>
      </c>
      <c r="T183" s="62">
        <f>IF(OR($S183="",$S183&lt;&gt;MesCiclo),"",COUNTIF($S$5:$S183,MesCiclo))</f>
        <v/>
      </c>
      <c r="U183" s="62">
        <f>IF($V183="","",IF($V183="Macro",ROW(),IFERROR(LOOKUP(2,1/($V$5:$V183="Macro"),ROW($V$5:$V183)),0)))</f>
        <v/>
      </c>
      <c r="V183" s="62">
        <f>IF(NOT((COUNTA($B183:$D183)+COUNTA($G183:$L183)+COUNTA($Q183))&gt;0),"",IF($B183="Subactividad","Sub","Macro"))</f>
        <v/>
      </c>
      <c r="W183" s="62">
        <f>IF($V183="Macro",COUNTIFS($U$5:$U$1000,ROW(),$V$5:$V$1000,"Sub"),"")</f>
        <v/>
      </c>
      <c r="X183" s="62">
        <f>IF($V183="","",IF(ISNUMBER($G183),1,IFERROR(LOOKUP(2,1/($I183:$L183&lt;&gt;""),$I183:$L183),0)))</f>
        <v/>
      </c>
      <c r="Y183" s="62">
        <f>IF($V183="","",IF(AND(ISNUMBER($G183),$G183&lt;=IF($S183=MesCiclo,InicioCiclo,$S183+MOD(2-WEEKDAY($S183),7))+6),1,IF(ISNUMBER($I183),$I183,0)))</f>
        <v/>
      </c>
      <c r="Z183" s="62">
        <f>IF($V183="","",IF(AND(ISNUMBER($G183),$G183&lt;=IF($S183=MesCiclo,InicioCiclo,$S183+MOD(2-WEEKDAY($S183),7))+13),1,IF(ISNUMBER($J183),$J183,$Y183)))</f>
        <v/>
      </c>
      <c r="AA183" s="62">
        <f>IF($V183="","",IF(AND(ISNUMBER($G183),$G183&lt;=IF($S183=MesCiclo,InicioCiclo,$S183+MOD(2-WEEKDAY($S183),7))+20),1,IF(ISNUMBER($K183),$K183,$Z183)))</f>
        <v/>
      </c>
      <c r="AB183" s="62">
        <f>IF($V183="","",IF(AND(ISNUMBER($G183),$G183&lt;=IF($S183=MesCiclo,InicioCiclo,$S183+MOD(2-WEEKDAY($S183),7))+27),1,IF(ISNUMBER($L183),$L183,$AA183)))</f>
        <v/>
      </c>
      <c r="AC183" s="62">
        <f>IF($V183="","",IF(AND(ISNUMBER($G183),$G183&lt;=IF($S183=MesCiclo,InicioCiclo,$S183+MOD(2-WEEKDAY($S183),7))+6),1,IF(N($W183)&gt;0,AVERAGEIFS($Y$5:$Y$1000,$U$5:$U$1000,ROW(),$V$5:$V$1000,"Sub"),$Y183)))</f>
        <v/>
      </c>
      <c r="AD183" s="62">
        <f>IF($V183="","",IF(AND(ISNUMBER($G183),$G183&lt;=IF($S183=MesCiclo,InicioCiclo,$S183+MOD(2-WEEKDAY($S183),7))+13),1,IF(N($W183)&gt;0,AVERAGEIFS($Z$5:$Z$1000,$U$5:$U$1000,ROW(),$V$5:$V$1000,"Sub"),$Z183)))</f>
        <v/>
      </c>
      <c r="AE183" s="62">
        <f>IF($V183="","",IF(AND(ISNUMBER($G183),$G183&lt;=IF($S183=MesCiclo,InicioCiclo,$S183+MOD(2-WEEKDAY($S183),7))+20),1,IF(N($W183)&gt;0,AVERAGEIFS($AA$5:$AA$1000,$U$5:$U$1000,ROW(),$V$5:$V$1000,"Sub"),$AA183)))</f>
        <v/>
      </c>
      <c r="AF183" s="62">
        <f>IF($V183="","",IF(AND(ISNUMBER($G183),$G183&lt;=IF($S183=MesCiclo,InicioCiclo,$S183+MOD(2-WEEKDAY($S183),7))+27),1,IF(N($W183)&gt;0,AVERAGEIFS($AB$5:$AB$1000,$U$5:$U$1000,ROW(),$V$5:$V$1000,"Sub"),$AB183)))</f>
        <v/>
      </c>
      <c r="AG183" s="62">
        <f>IF($V183&lt;&gt;"Macro","",IF(COUNTIFS($S$5:$S$1000,$S183,$V$5:$V$1000,"Macro",$H$5:$H$1000,"&gt;0")=0,1/COUNTIFS($S$5:$S$1000,$S183,$V$5:$V$1000,"Macro"),IF(AND(ISNUMBER($H183),N($H183)&gt;0),$H183,SUMIFS($H$5:$H$1000,$S$5:$S$1000,$S183,$V$5:$V$1000,"Macro")/COUNTIFS($S$5:$S$1000,$S183,$V$5:$V$1000,"Macro",$H$5:$H$1000,"&gt;0"))/(COUNTIFS($S$5:$S$1000,$S183,$V$5:$V$1000,"Macro")*SUMIFS($H$5:$H$1000,$S$5:$S$1000,$S183,$V$5:$V$1000,"Macro")/COUNTIFS($S$5:$S$1000,$S183,$V$5:$V$1000,"Macro",$H$5:$H$1000,"&gt;0"))))</f>
        <v/>
      </c>
      <c r="AH183" s="62" t="n"/>
      <c r="AI183" s="62" t="n"/>
      <c r="AJ183" s="62" t="n"/>
      <c r="AK183" s="62" t="n"/>
      <c r="AL183" s="62">
        <f>IF(LEFT($C183,11)="[Jefatura] ",IFERROR(MATCH("Asistente Técnico de Riesgo|"&amp;MID($C183,12,500),rDname_ADM,0),0),"")</f>
        <v/>
      </c>
      <c r="AM183" s="62">
        <f>IF(N($AL183)&gt;0,INDEX(rIni_ADM,$AL183),IF(ISNUMBER($E183),$E183,""))</f>
        <v/>
      </c>
      <c r="AN183" s="62">
        <f>IF(N($AL183)&gt;0,INDEX(rLim_ADM,$AL183),IF(ISNUMBER($F183),$F183,""))</f>
        <v/>
      </c>
    </row>
    <row r="184">
      <c r="A184" s="56">
        <f>IF(NOT((COUNTA($B184:$D184)+COUNTA($G184:$L184)+COUNTA($Q184))&gt;0),"",IF($V184="Macro",COUNTIFS($V$5:$V184,"Macro",$S$5:$S184,$S184),IF(N($U184)=0,"?",COUNTIFS(INDEX($V$5:$V$1000,1):INDEX($V$5:$V$1000,$U184-4),"Macro",INDEX($S$5:$S$1000,1):INDEX($S$5:$S$1000,$U184-4),INDEX($S$5:$S$1000,$U184-4))&amp;"."&amp;COUNTIFS($U$5:$U184,$U184,$V$5:$V184,"Sub"))))</f>
        <v/>
      </c>
      <c r="B184" s="57" t="n"/>
      <c r="C184" s="58" t="n"/>
      <c r="D184" s="58" t="n"/>
      <c r="E184" s="59">
        <f>IF(N($AL184)&gt;0,INDEX(rIni_ADM,$AL184),"")</f>
        <v/>
      </c>
      <c r="F184" s="59">
        <f>IF(N($AL184)&gt;0,INDEX(rLim_ADM,$AL184),"")</f>
        <v/>
      </c>
      <c r="G184" s="59" t="n"/>
      <c r="H184" s="60" t="n"/>
      <c r="I184" s="60" t="n"/>
      <c r="J184" s="60" t="n"/>
      <c r="K184" s="60" t="n"/>
      <c r="L184" s="60" t="n"/>
      <c r="M184" s="61">
        <f>IF(NOT((COUNTA($B184:$D184)+COUNTA($G184:$L184)+COUNTA($Q184))&gt;0),"",IF(ISNUMBER($G184),1,IF(N($W184)&gt;0,AVERAGEIFS($X$5:$X$1000,$U$5:$U$1000,ROW(),$V$5:$V$1000,"Sub"),$X184)))</f>
        <v/>
      </c>
      <c r="N184" s="56">
        <f>IF($M184="","",IF($M184&gt;=1,"Completado",IF($M184&gt;0,"En curso","Pendiente")))</f>
        <v/>
      </c>
      <c r="O184" s="56">
        <f>IF(NOT((COUNTA($B184:$D184)+COUNTA($G184:$L184)+COUNTA($Q184))&gt;0),"",IF(ISNUMBER($G184),IF(AND(ISNUMBER($AN184),$G184&gt;$AN184),"Cumplida con "&amp;($G184-$AN184)&amp;IF($G184-$AN184=1," día"," días")&amp;" de retraso","Cumplida"),IF(N($M184)&gt;=1,"Cumplida",IF(NOT(ISNUMBER($AN184)),"Sin fecha límite",IF($AN184&lt;FechaRef,"Vencida hace "&amp;(FechaRef-$AN184)&amp;IF(FechaRef-$AN184=1," día"," días"),IF($AN184=FechaRef,"Vence hoy",IF($AN184-FechaRef&lt;=DiasAlerta,"Vence en "&amp;($AN184-FechaRef)&amp;IF($AN184-FechaRef=1," día"," días"),"En plazo")))))))</f>
        <v/>
      </c>
      <c r="P184" s="62" t="n"/>
      <c r="Q184" s="58" t="n"/>
      <c r="R184" s="63">
        <f>IF(NOT((COUNTA($B184:$D184)+COUNTA($G184:$L184)+COUNTA($Q184))&gt;0),"",IF((IF($C184="","Falta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",""))="","✔ OK","⚠ "&amp;LEFT(IF($C184="","Falta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",""),LEN(IF($C184="","Falta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",""))-3)))</f>
        <v/>
      </c>
      <c r="S184" s="64">
        <f>IF(NOT((COUNTA($B184:$D184)+COUNTA($G184:$L184)+COUNTA($Q184))&gt;0),"",IF(AND($V184="Sub",N($U184)&gt;0),IF(ISNUMBER(INDEX($AM$5:$AM$1000,$U184-4)),DATE(YEAR(INDEX($AM$5:$AM$1000,$U184-4)),MONTH(INDEX($AM$5:$AM$1000,$U184-4)),1),IF(ISNUMBER(INDEX($AN$5:$AN$1000,$U184-4)),DATE(YEAR(INDEX($AN$5:$AN$1000,$U184-4)),MONTH(INDEX($AN$5:$AN$1000,$U184-4)),1),MesCiclo)),IF(ISNUMBER($AM184),DATE(YEAR($AM184),MONTH($AM184),1),IF(ISNUMBER($AN184),DATE(YEAR($AN184),MONTH($AN184),1),MesCiclo))))</f>
        <v/>
      </c>
      <c r="T184" s="62">
        <f>IF(OR($S184="",$S184&lt;&gt;MesCiclo),"",COUNTIF($S$5:$S184,MesCiclo))</f>
        <v/>
      </c>
      <c r="U184" s="62">
        <f>IF($V184="","",IF($V184="Macro",ROW(),IFERROR(LOOKUP(2,1/($V$5:$V184="Macro"),ROW($V$5:$V184)),0)))</f>
        <v/>
      </c>
      <c r="V184" s="62">
        <f>IF(NOT((COUNTA($B184:$D184)+COUNTA($G184:$L184)+COUNTA($Q184))&gt;0),"",IF($B184="Subactividad","Sub","Macro"))</f>
        <v/>
      </c>
      <c r="W184" s="62">
        <f>IF($V184="Macro",COUNTIFS($U$5:$U$1000,ROW(),$V$5:$V$1000,"Sub"),"")</f>
        <v/>
      </c>
      <c r="X184" s="62">
        <f>IF($V184="","",IF(ISNUMBER($G184),1,IFERROR(LOOKUP(2,1/($I184:$L184&lt;&gt;""),$I184:$L184),0)))</f>
        <v/>
      </c>
      <c r="Y184" s="62">
        <f>IF($V184="","",IF(AND(ISNUMBER($G184),$G184&lt;=IF($S184=MesCiclo,InicioCiclo,$S184+MOD(2-WEEKDAY($S184),7))+6),1,IF(ISNUMBER($I184),$I184,0)))</f>
        <v/>
      </c>
      <c r="Z184" s="62">
        <f>IF($V184="","",IF(AND(ISNUMBER($G184),$G184&lt;=IF($S184=MesCiclo,InicioCiclo,$S184+MOD(2-WEEKDAY($S184),7))+13),1,IF(ISNUMBER($J184),$J184,$Y184)))</f>
        <v/>
      </c>
      <c r="AA184" s="62">
        <f>IF($V184="","",IF(AND(ISNUMBER($G184),$G184&lt;=IF($S184=MesCiclo,InicioCiclo,$S184+MOD(2-WEEKDAY($S184),7))+20),1,IF(ISNUMBER($K184),$K184,$Z184)))</f>
        <v/>
      </c>
      <c r="AB184" s="62">
        <f>IF($V184="","",IF(AND(ISNUMBER($G184),$G184&lt;=IF($S184=MesCiclo,InicioCiclo,$S184+MOD(2-WEEKDAY($S184),7))+27),1,IF(ISNUMBER($L184),$L184,$AA184)))</f>
        <v/>
      </c>
      <c r="AC184" s="62">
        <f>IF($V184="","",IF(AND(ISNUMBER($G184),$G184&lt;=IF($S184=MesCiclo,InicioCiclo,$S184+MOD(2-WEEKDAY($S184),7))+6),1,IF(N($W184)&gt;0,AVERAGEIFS($Y$5:$Y$1000,$U$5:$U$1000,ROW(),$V$5:$V$1000,"Sub"),$Y184)))</f>
        <v/>
      </c>
      <c r="AD184" s="62">
        <f>IF($V184="","",IF(AND(ISNUMBER($G184),$G184&lt;=IF($S184=MesCiclo,InicioCiclo,$S184+MOD(2-WEEKDAY($S184),7))+13),1,IF(N($W184)&gt;0,AVERAGEIFS($Z$5:$Z$1000,$U$5:$U$1000,ROW(),$V$5:$V$1000,"Sub"),$Z184)))</f>
        <v/>
      </c>
      <c r="AE184" s="62">
        <f>IF($V184="","",IF(AND(ISNUMBER($G184),$G184&lt;=IF($S184=MesCiclo,InicioCiclo,$S184+MOD(2-WEEKDAY($S184),7))+20),1,IF(N($W184)&gt;0,AVERAGEIFS($AA$5:$AA$1000,$U$5:$U$1000,ROW(),$V$5:$V$1000,"Sub"),$AA184)))</f>
        <v/>
      </c>
      <c r="AF184" s="62">
        <f>IF($V184="","",IF(AND(ISNUMBER($G184),$G184&lt;=IF($S184=MesCiclo,InicioCiclo,$S184+MOD(2-WEEKDAY($S184),7))+27),1,IF(N($W184)&gt;0,AVERAGEIFS($AB$5:$AB$1000,$U$5:$U$1000,ROW(),$V$5:$V$1000,"Sub"),$AB184)))</f>
        <v/>
      </c>
      <c r="AG184" s="62">
        <f>IF($V184&lt;&gt;"Macro","",IF(COUNTIFS($S$5:$S$1000,$S184,$V$5:$V$1000,"Macro",$H$5:$H$1000,"&gt;0")=0,1/COUNTIFS($S$5:$S$1000,$S184,$V$5:$V$1000,"Macro"),IF(AND(ISNUMBER($H184),N($H184)&gt;0),$H184,SUMIFS($H$5:$H$1000,$S$5:$S$1000,$S184,$V$5:$V$1000,"Macro")/COUNTIFS($S$5:$S$1000,$S184,$V$5:$V$1000,"Macro",$H$5:$H$1000,"&gt;0"))/(COUNTIFS($S$5:$S$1000,$S184,$V$5:$V$1000,"Macro")*SUMIFS($H$5:$H$1000,$S$5:$S$1000,$S184,$V$5:$V$1000,"Macro")/COUNTIFS($S$5:$S$1000,$S184,$V$5:$V$1000,"Macro",$H$5:$H$1000,"&gt;0"))))</f>
        <v/>
      </c>
      <c r="AH184" s="62" t="n"/>
      <c r="AI184" s="62" t="n"/>
      <c r="AJ184" s="62" t="n"/>
      <c r="AK184" s="62" t="n"/>
      <c r="AL184" s="62">
        <f>IF(LEFT($C184,11)="[Jefatura] ",IFERROR(MATCH("Asistente Técnico de Riesgo|"&amp;MID($C184,12,500),rDname_ADM,0),0),"")</f>
        <v/>
      </c>
      <c r="AM184" s="62">
        <f>IF(N($AL184)&gt;0,INDEX(rIni_ADM,$AL184),IF(ISNUMBER($E184),$E184,""))</f>
        <v/>
      </c>
      <c r="AN184" s="62">
        <f>IF(N($AL184)&gt;0,INDEX(rLim_ADM,$AL184),IF(ISNUMBER($F184),$F184,""))</f>
        <v/>
      </c>
    </row>
    <row r="185">
      <c r="A185" s="56">
        <f>IF(NOT((COUNTA($B185:$D185)+COUNTA($G185:$L185)+COUNTA($Q185))&gt;0),"",IF($V185="Macro",COUNTIFS($V$5:$V185,"Macro",$S$5:$S185,$S185),IF(N($U185)=0,"?",COUNTIFS(INDEX($V$5:$V$1000,1):INDEX($V$5:$V$1000,$U185-4),"Macro",INDEX($S$5:$S$1000,1):INDEX($S$5:$S$1000,$U185-4),INDEX($S$5:$S$1000,$U185-4))&amp;"."&amp;COUNTIFS($U$5:$U185,$U185,$V$5:$V185,"Sub"))))</f>
        <v/>
      </c>
      <c r="B185" s="57" t="n"/>
      <c r="C185" s="58" t="n"/>
      <c r="D185" s="58" t="n"/>
      <c r="E185" s="59">
        <f>IF(N($AL185)&gt;0,INDEX(rIni_ADM,$AL185),"")</f>
        <v/>
      </c>
      <c r="F185" s="59">
        <f>IF(N($AL185)&gt;0,INDEX(rLim_ADM,$AL185),"")</f>
        <v/>
      </c>
      <c r="G185" s="59" t="n"/>
      <c r="H185" s="60" t="n"/>
      <c r="I185" s="60" t="n"/>
      <c r="J185" s="60" t="n"/>
      <c r="K185" s="60" t="n"/>
      <c r="L185" s="60" t="n"/>
      <c r="M185" s="61">
        <f>IF(NOT((COUNTA($B185:$D185)+COUNTA($G185:$L185)+COUNTA($Q185))&gt;0),"",IF(ISNUMBER($G185),1,IF(N($W185)&gt;0,AVERAGEIFS($X$5:$X$1000,$U$5:$U$1000,ROW(),$V$5:$V$1000,"Sub"),$X185)))</f>
        <v/>
      </c>
      <c r="N185" s="56">
        <f>IF($M185="","",IF($M185&gt;=1,"Completado",IF($M185&gt;0,"En curso","Pendiente")))</f>
        <v/>
      </c>
      <c r="O185" s="56">
        <f>IF(NOT((COUNTA($B185:$D185)+COUNTA($G185:$L185)+COUNTA($Q185))&gt;0),"",IF(ISNUMBER($G185),IF(AND(ISNUMBER($AN185),$G185&gt;$AN185),"Cumplida con "&amp;($G185-$AN185)&amp;IF($G185-$AN185=1," día"," días")&amp;" de retraso","Cumplida"),IF(N($M185)&gt;=1,"Cumplida",IF(NOT(ISNUMBER($AN185)),"Sin fecha límite",IF($AN185&lt;FechaRef,"Vencida hace "&amp;(FechaRef-$AN185)&amp;IF(FechaRef-$AN185=1," día"," días"),IF($AN185=FechaRef,"Vence hoy",IF($AN185-FechaRef&lt;=DiasAlerta,"Vence en "&amp;($AN185-FechaRef)&amp;IF($AN185-FechaRef=1," día"," días"),"En plazo")))))))</f>
        <v/>
      </c>
      <c r="P185" s="62" t="n"/>
      <c r="Q185" s="58" t="n"/>
      <c r="R185" s="63">
        <f>IF(NOT((COUNTA($B185:$D185)+COUNTA($G185:$L185)+COUNTA($Q185))&gt;0),"",IF((IF($C185="","Falta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",""))="","✔ OK","⚠ "&amp;LEFT(IF($C185="","Falta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",""),LEN(IF($C185="","Falta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",""))-3)))</f>
        <v/>
      </c>
      <c r="S185" s="64">
        <f>IF(NOT((COUNTA($B185:$D185)+COUNTA($G185:$L185)+COUNTA($Q185))&gt;0),"",IF(AND($V185="Sub",N($U185)&gt;0),IF(ISNUMBER(INDEX($AM$5:$AM$1000,$U185-4)),DATE(YEAR(INDEX($AM$5:$AM$1000,$U185-4)),MONTH(INDEX($AM$5:$AM$1000,$U185-4)),1),IF(ISNUMBER(INDEX($AN$5:$AN$1000,$U185-4)),DATE(YEAR(INDEX($AN$5:$AN$1000,$U185-4)),MONTH(INDEX($AN$5:$AN$1000,$U185-4)),1),MesCiclo)),IF(ISNUMBER($AM185),DATE(YEAR($AM185),MONTH($AM185),1),IF(ISNUMBER($AN185),DATE(YEAR($AN185),MONTH($AN185),1),MesCiclo))))</f>
        <v/>
      </c>
      <c r="T185" s="62">
        <f>IF(OR($S185="",$S185&lt;&gt;MesCiclo),"",COUNTIF($S$5:$S185,MesCiclo))</f>
        <v/>
      </c>
      <c r="U185" s="62">
        <f>IF($V185="","",IF($V185="Macro",ROW(),IFERROR(LOOKUP(2,1/($V$5:$V185="Macro"),ROW($V$5:$V185)),0)))</f>
        <v/>
      </c>
      <c r="V185" s="62">
        <f>IF(NOT((COUNTA($B185:$D185)+COUNTA($G185:$L185)+COUNTA($Q185))&gt;0),"",IF($B185="Subactividad","Sub","Macro"))</f>
        <v/>
      </c>
      <c r="W185" s="62">
        <f>IF($V185="Macro",COUNTIFS($U$5:$U$1000,ROW(),$V$5:$V$1000,"Sub"),"")</f>
        <v/>
      </c>
      <c r="X185" s="62">
        <f>IF($V185="","",IF(ISNUMBER($G185),1,IFERROR(LOOKUP(2,1/($I185:$L185&lt;&gt;""),$I185:$L185),0)))</f>
        <v/>
      </c>
      <c r="Y185" s="62">
        <f>IF($V185="","",IF(AND(ISNUMBER($G185),$G185&lt;=IF($S185=MesCiclo,InicioCiclo,$S185+MOD(2-WEEKDAY($S185),7))+6),1,IF(ISNUMBER($I185),$I185,0)))</f>
        <v/>
      </c>
      <c r="Z185" s="62">
        <f>IF($V185="","",IF(AND(ISNUMBER($G185),$G185&lt;=IF($S185=MesCiclo,InicioCiclo,$S185+MOD(2-WEEKDAY($S185),7))+13),1,IF(ISNUMBER($J185),$J185,$Y185)))</f>
        <v/>
      </c>
      <c r="AA185" s="62">
        <f>IF($V185="","",IF(AND(ISNUMBER($G185),$G185&lt;=IF($S185=MesCiclo,InicioCiclo,$S185+MOD(2-WEEKDAY($S185),7))+20),1,IF(ISNUMBER($K185),$K185,$Z185)))</f>
        <v/>
      </c>
      <c r="AB185" s="62">
        <f>IF($V185="","",IF(AND(ISNUMBER($G185),$G185&lt;=IF($S185=MesCiclo,InicioCiclo,$S185+MOD(2-WEEKDAY($S185),7))+27),1,IF(ISNUMBER($L185),$L185,$AA185)))</f>
        <v/>
      </c>
      <c r="AC185" s="62">
        <f>IF($V185="","",IF(AND(ISNUMBER($G185),$G185&lt;=IF($S185=MesCiclo,InicioCiclo,$S185+MOD(2-WEEKDAY($S185),7))+6),1,IF(N($W185)&gt;0,AVERAGEIFS($Y$5:$Y$1000,$U$5:$U$1000,ROW(),$V$5:$V$1000,"Sub"),$Y185)))</f>
        <v/>
      </c>
      <c r="AD185" s="62">
        <f>IF($V185="","",IF(AND(ISNUMBER($G185),$G185&lt;=IF($S185=MesCiclo,InicioCiclo,$S185+MOD(2-WEEKDAY($S185),7))+13),1,IF(N($W185)&gt;0,AVERAGEIFS($Z$5:$Z$1000,$U$5:$U$1000,ROW(),$V$5:$V$1000,"Sub"),$Z185)))</f>
        <v/>
      </c>
      <c r="AE185" s="62">
        <f>IF($V185="","",IF(AND(ISNUMBER($G185),$G185&lt;=IF($S185=MesCiclo,InicioCiclo,$S185+MOD(2-WEEKDAY($S185),7))+20),1,IF(N($W185)&gt;0,AVERAGEIFS($AA$5:$AA$1000,$U$5:$U$1000,ROW(),$V$5:$V$1000,"Sub"),$AA185)))</f>
        <v/>
      </c>
      <c r="AF185" s="62">
        <f>IF($V185="","",IF(AND(ISNUMBER($G185),$G185&lt;=IF($S185=MesCiclo,InicioCiclo,$S185+MOD(2-WEEKDAY($S185),7))+27),1,IF(N($W185)&gt;0,AVERAGEIFS($AB$5:$AB$1000,$U$5:$U$1000,ROW(),$V$5:$V$1000,"Sub"),$AB185)))</f>
        <v/>
      </c>
      <c r="AG185" s="62">
        <f>IF($V185&lt;&gt;"Macro","",IF(COUNTIFS($S$5:$S$1000,$S185,$V$5:$V$1000,"Macro",$H$5:$H$1000,"&gt;0")=0,1/COUNTIFS($S$5:$S$1000,$S185,$V$5:$V$1000,"Macro"),IF(AND(ISNUMBER($H185),N($H185)&gt;0),$H185,SUMIFS($H$5:$H$1000,$S$5:$S$1000,$S185,$V$5:$V$1000,"Macro")/COUNTIFS($S$5:$S$1000,$S185,$V$5:$V$1000,"Macro",$H$5:$H$1000,"&gt;0"))/(COUNTIFS($S$5:$S$1000,$S185,$V$5:$V$1000,"Macro")*SUMIFS($H$5:$H$1000,$S$5:$S$1000,$S185,$V$5:$V$1000,"Macro")/COUNTIFS($S$5:$S$1000,$S185,$V$5:$V$1000,"Macro",$H$5:$H$1000,"&gt;0"))))</f>
        <v/>
      </c>
      <c r="AH185" s="62" t="n"/>
      <c r="AI185" s="62" t="n"/>
      <c r="AJ185" s="62" t="n"/>
      <c r="AK185" s="62" t="n"/>
      <c r="AL185" s="62">
        <f>IF(LEFT($C185,11)="[Jefatura] ",IFERROR(MATCH("Asistente Técnico de Riesgo|"&amp;MID($C185,12,500),rDname_ADM,0),0),"")</f>
        <v/>
      </c>
      <c r="AM185" s="62">
        <f>IF(N($AL185)&gt;0,INDEX(rIni_ADM,$AL185),IF(ISNUMBER($E185),$E185,""))</f>
        <v/>
      </c>
      <c r="AN185" s="62">
        <f>IF(N($AL185)&gt;0,INDEX(rLim_ADM,$AL185),IF(ISNUMBER($F185),$F185,""))</f>
        <v/>
      </c>
    </row>
    <row r="186">
      <c r="A186" s="56">
        <f>IF(NOT((COUNTA($B186:$D186)+COUNTA($G186:$L186)+COUNTA($Q186))&gt;0),"",IF($V186="Macro",COUNTIFS($V$5:$V186,"Macro",$S$5:$S186,$S186),IF(N($U186)=0,"?",COUNTIFS(INDEX($V$5:$V$1000,1):INDEX($V$5:$V$1000,$U186-4),"Macro",INDEX($S$5:$S$1000,1):INDEX($S$5:$S$1000,$U186-4),INDEX($S$5:$S$1000,$U186-4))&amp;"."&amp;COUNTIFS($U$5:$U186,$U186,$V$5:$V186,"Sub"))))</f>
        <v/>
      </c>
      <c r="B186" s="57" t="n"/>
      <c r="C186" s="58" t="n"/>
      <c r="D186" s="58" t="n"/>
      <c r="E186" s="59">
        <f>IF(N($AL186)&gt;0,INDEX(rIni_ADM,$AL186),"")</f>
        <v/>
      </c>
      <c r="F186" s="59">
        <f>IF(N($AL186)&gt;0,INDEX(rLim_ADM,$AL186),"")</f>
        <v/>
      </c>
      <c r="G186" s="59" t="n"/>
      <c r="H186" s="60" t="n"/>
      <c r="I186" s="60" t="n"/>
      <c r="J186" s="60" t="n"/>
      <c r="K186" s="60" t="n"/>
      <c r="L186" s="60" t="n"/>
      <c r="M186" s="61">
        <f>IF(NOT((COUNTA($B186:$D186)+COUNTA($G186:$L186)+COUNTA($Q186))&gt;0),"",IF(ISNUMBER($G186),1,IF(N($W186)&gt;0,AVERAGEIFS($X$5:$X$1000,$U$5:$U$1000,ROW(),$V$5:$V$1000,"Sub"),$X186)))</f>
        <v/>
      </c>
      <c r="N186" s="56">
        <f>IF($M186="","",IF($M186&gt;=1,"Completado",IF($M186&gt;0,"En curso","Pendiente")))</f>
        <v/>
      </c>
      <c r="O186" s="56">
        <f>IF(NOT((COUNTA($B186:$D186)+COUNTA($G186:$L186)+COUNTA($Q186))&gt;0),"",IF(ISNUMBER($G186),IF(AND(ISNUMBER($AN186),$G186&gt;$AN186),"Cumplida con "&amp;($G186-$AN186)&amp;IF($G186-$AN186=1," día"," días")&amp;" de retraso","Cumplida"),IF(N($M186)&gt;=1,"Cumplida",IF(NOT(ISNUMBER($AN186)),"Sin fecha límite",IF($AN186&lt;FechaRef,"Vencida hace "&amp;(FechaRef-$AN186)&amp;IF(FechaRef-$AN186=1," día"," días"),IF($AN186=FechaRef,"Vence hoy",IF($AN186-FechaRef&lt;=DiasAlerta,"Vence en "&amp;($AN186-FechaRef)&amp;IF($AN186-FechaRef=1," día"," días"),"En plazo")))))))</f>
        <v/>
      </c>
      <c r="P186" s="62" t="n"/>
      <c r="Q186" s="58" t="n"/>
      <c r="R186" s="63">
        <f>IF(NOT((COUNTA($B186:$D186)+COUNTA($G186:$L186)+COUNTA($Q186))&gt;0),"",IF((IF($C186="","Falta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",""))="","✔ OK","⚠ "&amp;LEFT(IF($C186="","Falta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",""),LEN(IF($C186="","Falta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",""))-3)))</f>
        <v/>
      </c>
      <c r="S186" s="64">
        <f>IF(NOT((COUNTA($B186:$D186)+COUNTA($G186:$L186)+COUNTA($Q186))&gt;0),"",IF(AND($V186="Sub",N($U186)&gt;0),IF(ISNUMBER(INDEX($AM$5:$AM$1000,$U186-4)),DATE(YEAR(INDEX($AM$5:$AM$1000,$U186-4)),MONTH(INDEX($AM$5:$AM$1000,$U186-4)),1),IF(ISNUMBER(INDEX($AN$5:$AN$1000,$U186-4)),DATE(YEAR(INDEX($AN$5:$AN$1000,$U186-4)),MONTH(INDEX($AN$5:$AN$1000,$U186-4)),1),MesCiclo)),IF(ISNUMBER($AM186),DATE(YEAR($AM186),MONTH($AM186),1),IF(ISNUMBER($AN186),DATE(YEAR($AN186),MONTH($AN186),1),MesCiclo))))</f>
        <v/>
      </c>
      <c r="T186" s="62">
        <f>IF(OR($S186="",$S186&lt;&gt;MesCiclo),"",COUNTIF($S$5:$S186,MesCiclo))</f>
        <v/>
      </c>
      <c r="U186" s="62">
        <f>IF($V186="","",IF($V186="Macro",ROW(),IFERROR(LOOKUP(2,1/($V$5:$V186="Macro"),ROW($V$5:$V186)),0)))</f>
        <v/>
      </c>
      <c r="V186" s="62">
        <f>IF(NOT((COUNTA($B186:$D186)+COUNTA($G186:$L186)+COUNTA($Q186))&gt;0),"",IF($B186="Subactividad","Sub","Macro"))</f>
        <v/>
      </c>
      <c r="W186" s="62">
        <f>IF($V186="Macro",COUNTIFS($U$5:$U$1000,ROW(),$V$5:$V$1000,"Sub"),"")</f>
        <v/>
      </c>
      <c r="X186" s="62">
        <f>IF($V186="","",IF(ISNUMBER($G186),1,IFERROR(LOOKUP(2,1/($I186:$L186&lt;&gt;""),$I186:$L186),0)))</f>
        <v/>
      </c>
      <c r="Y186" s="62">
        <f>IF($V186="","",IF(AND(ISNUMBER($G186),$G186&lt;=IF($S186=MesCiclo,InicioCiclo,$S186+MOD(2-WEEKDAY($S186),7))+6),1,IF(ISNUMBER($I186),$I186,0)))</f>
        <v/>
      </c>
      <c r="Z186" s="62">
        <f>IF($V186="","",IF(AND(ISNUMBER($G186),$G186&lt;=IF($S186=MesCiclo,InicioCiclo,$S186+MOD(2-WEEKDAY($S186),7))+13),1,IF(ISNUMBER($J186),$J186,$Y186)))</f>
        <v/>
      </c>
      <c r="AA186" s="62">
        <f>IF($V186="","",IF(AND(ISNUMBER($G186),$G186&lt;=IF($S186=MesCiclo,InicioCiclo,$S186+MOD(2-WEEKDAY($S186),7))+20),1,IF(ISNUMBER($K186),$K186,$Z186)))</f>
        <v/>
      </c>
      <c r="AB186" s="62">
        <f>IF($V186="","",IF(AND(ISNUMBER($G186),$G186&lt;=IF($S186=MesCiclo,InicioCiclo,$S186+MOD(2-WEEKDAY($S186),7))+27),1,IF(ISNUMBER($L186),$L186,$AA186)))</f>
        <v/>
      </c>
      <c r="AC186" s="62">
        <f>IF($V186="","",IF(AND(ISNUMBER($G186),$G186&lt;=IF($S186=MesCiclo,InicioCiclo,$S186+MOD(2-WEEKDAY($S186),7))+6),1,IF(N($W186)&gt;0,AVERAGEIFS($Y$5:$Y$1000,$U$5:$U$1000,ROW(),$V$5:$V$1000,"Sub"),$Y186)))</f>
        <v/>
      </c>
      <c r="AD186" s="62">
        <f>IF($V186="","",IF(AND(ISNUMBER($G186),$G186&lt;=IF($S186=MesCiclo,InicioCiclo,$S186+MOD(2-WEEKDAY($S186),7))+13),1,IF(N($W186)&gt;0,AVERAGEIFS($Z$5:$Z$1000,$U$5:$U$1000,ROW(),$V$5:$V$1000,"Sub"),$Z186)))</f>
        <v/>
      </c>
      <c r="AE186" s="62">
        <f>IF($V186="","",IF(AND(ISNUMBER($G186),$G186&lt;=IF($S186=MesCiclo,InicioCiclo,$S186+MOD(2-WEEKDAY($S186),7))+20),1,IF(N($W186)&gt;0,AVERAGEIFS($AA$5:$AA$1000,$U$5:$U$1000,ROW(),$V$5:$V$1000,"Sub"),$AA186)))</f>
        <v/>
      </c>
      <c r="AF186" s="62">
        <f>IF($V186="","",IF(AND(ISNUMBER($G186),$G186&lt;=IF($S186=MesCiclo,InicioCiclo,$S186+MOD(2-WEEKDAY($S186),7))+27),1,IF(N($W186)&gt;0,AVERAGEIFS($AB$5:$AB$1000,$U$5:$U$1000,ROW(),$V$5:$V$1000,"Sub"),$AB186)))</f>
        <v/>
      </c>
      <c r="AG186" s="62">
        <f>IF($V186&lt;&gt;"Macro","",IF(COUNTIFS($S$5:$S$1000,$S186,$V$5:$V$1000,"Macro",$H$5:$H$1000,"&gt;0")=0,1/COUNTIFS($S$5:$S$1000,$S186,$V$5:$V$1000,"Macro"),IF(AND(ISNUMBER($H186),N($H186)&gt;0),$H186,SUMIFS($H$5:$H$1000,$S$5:$S$1000,$S186,$V$5:$V$1000,"Macro")/COUNTIFS($S$5:$S$1000,$S186,$V$5:$V$1000,"Macro",$H$5:$H$1000,"&gt;0"))/(COUNTIFS($S$5:$S$1000,$S186,$V$5:$V$1000,"Macro")*SUMIFS($H$5:$H$1000,$S$5:$S$1000,$S186,$V$5:$V$1000,"Macro")/COUNTIFS($S$5:$S$1000,$S186,$V$5:$V$1000,"Macro",$H$5:$H$1000,"&gt;0"))))</f>
        <v/>
      </c>
      <c r="AH186" s="62" t="n"/>
      <c r="AI186" s="62" t="n"/>
      <c r="AJ186" s="62" t="n"/>
      <c r="AK186" s="62" t="n"/>
      <c r="AL186" s="62">
        <f>IF(LEFT($C186,11)="[Jefatura] ",IFERROR(MATCH("Asistente Técnico de Riesgo|"&amp;MID($C186,12,500),rDname_ADM,0),0),"")</f>
        <v/>
      </c>
      <c r="AM186" s="62">
        <f>IF(N($AL186)&gt;0,INDEX(rIni_ADM,$AL186),IF(ISNUMBER($E186),$E186,""))</f>
        <v/>
      </c>
      <c r="AN186" s="62">
        <f>IF(N($AL186)&gt;0,INDEX(rLim_ADM,$AL186),IF(ISNUMBER($F186),$F186,""))</f>
        <v/>
      </c>
    </row>
    <row r="187">
      <c r="A187" s="56">
        <f>IF(NOT((COUNTA($B187:$D187)+COUNTA($G187:$L187)+COUNTA($Q187))&gt;0),"",IF($V187="Macro",COUNTIFS($V$5:$V187,"Macro",$S$5:$S187,$S187),IF(N($U187)=0,"?",COUNTIFS(INDEX($V$5:$V$1000,1):INDEX($V$5:$V$1000,$U187-4),"Macro",INDEX($S$5:$S$1000,1):INDEX($S$5:$S$1000,$U187-4),INDEX($S$5:$S$1000,$U187-4))&amp;"."&amp;COUNTIFS($U$5:$U187,$U187,$V$5:$V187,"Sub"))))</f>
        <v/>
      </c>
      <c r="B187" s="57" t="n"/>
      <c r="C187" s="58" t="n"/>
      <c r="D187" s="58" t="n"/>
      <c r="E187" s="59">
        <f>IF(N($AL187)&gt;0,INDEX(rIni_ADM,$AL187),"")</f>
        <v/>
      </c>
      <c r="F187" s="59">
        <f>IF(N($AL187)&gt;0,INDEX(rLim_ADM,$AL187),"")</f>
        <v/>
      </c>
      <c r="G187" s="59" t="n"/>
      <c r="H187" s="60" t="n"/>
      <c r="I187" s="60" t="n"/>
      <c r="J187" s="60" t="n"/>
      <c r="K187" s="60" t="n"/>
      <c r="L187" s="60" t="n"/>
      <c r="M187" s="61">
        <f>IF(NOT((COUNTA($B187:$D187)+COUNTA($G187:$L187)+COUNTA($Q187))&gt;0),"",IF(ISNUMBER($G187),1,IF(N($W187)&gt;0,AVERAGEIFS($X$5:$X$1000,$U$5:$U$1000,ROW(),$V$5:$V$1000,"Sub"),$X187)))</f>
        <v/>
      </c>
      <c r="N187" s="56">
        <f>IF($M187="","",IF($M187&gt;=1,"Completado",IF($M187&gt;0,"En curso","Pendiente")))</f>
        <v/>
      </c>
      <c r="O187" s="56">
        <f>IF(NOT((COUNTA($B187:$D187)+COUNTA($G187:$L187)+COUNTA($Q187))&gt;0),"",IF(ISNUMBER($G187),IF(AND(ISNUMBER($AN187),$G187&gt;$AN187),"Cumplida con "&amp;($G187-$AN187)&amp;IF($G187-$AN187=1," día"," días")&amp;" de retraso","Cumplida"),IF(N($M187)&gt;=1,"Cumplida",IF(NOT(ISNUMBER($AN187)),"Sin fecha límite",IF($AN187&lt;FechaRef,"Vencida hace "&amp;(FechaRef-$AN187)&amp;IF(FechaRef-$AN187=1," día"," días"),IF($AN187=FechaRef,"Vence hoy",IF($AN187-FechaRef&lt;=DiasAlerta,"Vence en "&amp;($AN187-FechaRef)&amp;IF($AN187-FechaRef=1," día"," días"),"En plazo")))))))</f>
        <v/>
      </c>
      <c r="P187" s="62" t="n"/>
      <c r="Q187" s="58" t="n"/>
      <c r="R187" s="63">
        <f>IF(NOT((COUNTA($B187:$D187)+COUNTA($G187:$L187)+COUNTA($Q187))&gt;0),"",IF((IF($C187="","Falta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",""))="","✔ OK","⚠ "&amp;LEFT(IF($C187="","Falta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",""),LEN(IF($C187="","Falta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",""))-3)))</f>
        <v/>
      </c>
      <c r="S187" s="64">
        <f>IF(NOT((COUNTA($B187:$D187)+COUNTA($G187:$L187)+COUNTA($Q187))&gt;0),"",IF(AND($V187="Sub",N($U187)&gt;0),IF(ISNUMBER(INDEX($AM$5:$AM$1000,$U187-4)),DATE(YEAR(INDEX($AM$5:$AM$1000,$U187-4)),MONTH(INDEX($AM$5:$AM$1000,$U187-4)),1),IF(ISNUMBER(INDEX($AN$5:$AN$1000,$U187-4)),DATE(YEAR(INDEX($AN$5:$AN$1000,$U187-4)),MONTH(INDEX($AN$5:$AN$1000,$U187-4)),1),MesCiclo)),IF(ISNUMBER($AM187),DATE(YEAR($AM187),MONTH($AM187),1),IF(ISNUMBER($AN187),DATE(YEAR($AN187),MONTH($AN187),1),MesCiclo))))</f>
        <v/>
      </c>
      <c r="T187" s="62">
        <f>IF(OR($S187="",$S187&lt;&gt;MesCiclo),"",COUNTIF($S$5:$S187,MesCiclo))</f>
        <v/>
      </c>
      <c r="U187" s="62">
        <f>IF($V187="","",IF($V187="Macro",ROW(),IFERROR(LOOKUP(2,1/($V$5:$V187="Macro"),ROW($V$5:$V187)),0)))</f>
        <v/>
      </c>
      <c r="V187" s="62">
        <f>IF(NOT((COUNTA($B187:$D187)+COUNTA($G187:$L187)+COUNTA($Q187))&gt;0),"",IF($B187="Subactividad","Sub","Macro"))</f>
        <v/>
      </c>
      <c r="W187" s="62">
        <f>IF($V187="Macro",COUNTIFS($U$5:$U$1000,ROW(),$V$5:$V$1000,"Sub"),"")</f>
        <v/>
      </c>
      <c r="X187" s="62">
        <f>IF($V187="","",IF(ISNUMBER($G187),1,IFERROR(LOOKUP(2,1/($I187:$L187&lt;&gt;""),$I187:$L187),0)))</f>
        <v/>
      </c>
      <c r="Y187" s="62">
        <f>IF($V187="","",IF(AND(ISNUMBER($G187),$G187&lt;=IF($S187=MesCiclo,InicioCiclo,$S187+MOD(2-WEEKDAY($S187),7))+6),1,IF(ISNUMBER($I187),$I187,0)))</f>
        <v/>
      </c>
      <c r="Z187" s="62">
        <f>IF($V187="","",IF(AND(ISNUMBER($G187),$G187&lt;=IF($S187=MesCiclo,InicioCiclo,$S187+MOD(2-WEEKDAY($S187),7))+13),1,IF(ISNUMBER($J187),$J187,$Y187)))</f>
        <v/>
      </c>
      <c r="AA187" s="62">
        <f>IF($V187="","",IF(AND(ISNUMBER($G187),$G187&lt;=IF($S187=MesCiclo,InicioCiclo,$S187+MOD(2-WEEKDAY($S187),7))+20),1,IF(ISNUMBER($K187),$K187,$Z187)))</f>
        <v/>
      </c>
      <c r="AB187" s="62">
        <f>IF($V187="","",IF(AND(ISNUMBER($G187),$G187&lt;=IF($S187=MesCiclo,InicioCiclo,$S187+MOD(2-WEEKDAY($S187),7))+27),1,IF(ISNUMBER($L187),$L187,$AA187)))</f>
        <v/>
      </c>
      <c r="AC187" s="62">
        <f>IF($V187="","",IF(AND(ISNUMBER($G187),$G187&lt;=IF($S187=MesCiclo,InicioCiclo,$S187+MOD(2-WEEKDAY($S187),7))+6),1,IF(N($W187)&gt;0,AVERAGEIFS($Y$5:$Y$1000,$U$5:$U$1000,ROW(),$V$5:$V$1000,"Sub"),$Y187)))</f>
        <v/>
      </c>
      <c r="AD187" s="62">
        <f>IF($V187="","",IF(AND(ISNUMBER($G187),$G187&lt;=IF($S187=MesCiclo,InicioCiclo,$S187+MOD(2-WEEKDAY($S187),7))+13),1,IF(N($W187)&gt;0,AVERAGEIFS($Z$5:$Z$1000,$U$5:$U$1000,ROW(),$V$5:$V$1000,"Sub"),$Z187)))</f>
        <v/>
      </c>
      <c r="AE187" s="62">
        <f>IF($V187="","",IF(AND(ISNUMBER($G187),$G187&lt;=IF($S187=MesCiclo,InicioCiclo,$S187+MOD(2-WEEKDAY($S187),7))+20),1,IF(N($W187)&gt;0,AVERAGEIFS($AA$5:$AA$1000,$U$5:$U$1000,ROW(),$V$5:$V$1000,"Sub"),$AA187)))</f>
        <v/>
      </c>
      <c r="AF187" s="62">
        <f>IF($V187="","",IF(AND(ISNUMBER($G187),$G187&lt;=IF($S187=MesCiclo,InicioCiclo,$S187+MOD(2-WEEKDAY($S187),7))+27),1,IF(N($W187)&gt;0,AVERAGEIFS($AB$5:$AB$1000,$U$5:$U$1000,ROW(),$V$5:$V$1000,"Sub"),$AB187)))</f>
        <v/>
      </c>
      <c r="AG187" s="62">
        <f>IF($V187&lt;&gt;"Macro","",IF(COUNTIFS($S$5:$S$1000,$S187,$V$5:$V$1000,"Macro",$H$5:$H$1000,"&gt;0")=0,1/COUNTIFS($S$5:$S$1000,$S187,$V$5:$V$1000,"Macro"),IF(AND(ISNUMBER($H187),N($H187)&gt;0),$H187,SUMIFS($H$5:$H$1000,$S$5:$S$1000,$S187,$V$5:$V$1000,"Macro")/COUNTIFS($S$5:$S$1000,$S187,$V$5:$V$1000,"Macro",$H$5:$H$1000,"&gt;0"))/(COUNTIFS($S$5:$S$1000,$S187,$V$5:$V$1000,"Macro")*SUMIFS($H$5:$H$1000,$S$5:$S$1000,$S187,$V$5:$V$1000,"Macro")/COUNTIFS($S$5:$S$1000,$S187,$V$5:$V$1000,"Macro",$H$5:$H$1000,"&gt;0"))))</f>
        <v/>
      </c>
      <c r="AH187" s="62" t="n"/>
      <c r="AI187" s="62" t="n"/>
      <c r="AJ187" s="62" t="n"/>
      <c r="AK187" s="62" t="n"/>
      <c r="AL187" s="62">
        <f>IF(LEFT($C187,11)="[Jefatura] ",IFERROR(MATCH("Asistente Técnico de Riesgo|"&amp;MID($C187,12,500),rDname_ADM,0),0),"")</f>
        <v/>
      </c>
      <c r="AM187" s="62">
        <f>IF(N($AL187)&gt;0,INDEX(rIni_ADM,$AL187),IF(ISNUMBER($E187),$E187,""))</f>
        <v/>
      </c>
      <c r="AN187" s="62">
        <f>IF(N($AL187)&gt;0,INDEX(rLim_ADM,$AL187),IF(ISNUMBER($F187),$F187,""))</f>
        <v/>
      </c>
    </row>
    <row r="188">
      <c r="A188" s="56">
        <f>IF(NOT((COUNTA($B188:$D188)+COUNTA($G188:$L188)+COUNTA($Q188))&gt;0),"",IF($V188="Macro",COUNTIFS($V$5:$V188,"Macro",$S$5:$S188,$S188),IF(N($U188)=0,"?",COUNTIFS(INDEX($V$5:$V$1000,1):INDEX($V$5:$V$1000,$U188-4),"Macro",INDEX($S$5:$S$1000,1):INDEX($S$5:$S$1000,$U188-4),INDEX($S$5:$S$1000,$U188-4))&amp;"."&amp;COUNTIFS($U$5:$U188,$U188,$V$5:$V188,"Sub"))))</f>
        <v/>
      </c>
      <c r="B188" s="57" t="n"/>
      <c r="C188" s="58" t="n"/>
      <c r="D188" s="58" t="n"/>
      <c r="E188" s="59">
        <f>IF(N($AL188)&gt;0,INDEX(rIni_ADM,$AL188),"")</f>
        <v/>
      </c>
      <c r="F188" s="59">
        <f>IF(N($AL188)&gt;0,INDEX(rLim_ADM,$AL188),"")</f>
        <v/>
      </c>
      <c r="G188" s="59" t="n"/>
      <c r="H188" s="60" t="n"/>
      <c r="I188" s="60" t="n"/>
      <c r="J188" s="60" t="n"/>
      <c r="K188" s="60" t="n"/>
      <c r="L188" s="60" t="n"/>
      <c r="M188" s="61">
        <f>IF(NOT((COUNTA($B188:$D188)+COUNTA($G188:$L188)+COUNTA($Q188))&gt;0),"",IF(ISNUMBER($G188),1,IF(N($W188)&gt;0,AVERAGEIFS($X$5:$X$1000,$U$5:$U$1000,ROW(),$V$5:$V$1000,"Sub"),$X188)))</f>
        <v/>
      </c>
      <c r="N188" s="56">
        <f>IF($M188="","",IF($M188&gt;=1,"Completado",IF($M188&gt;0,"En curso","Pendiente")))</f>
        <v/>
      </c>
      <c r="O188" s="56">
        <f>IF(NOT((COUNTA($B188:$D188)+COUNTA($G188:$L188)+COUNTA($Q188))&gt;0),"",IF(ISNUMBER($G188),IF(AND(ISNUMBER($AN188),$G188&gt;$AN188),"Cumplida con "&amp;($G188-$AN188)&amp;IF($G188-$AN188=1," día"," días")&amp;" de retraso","Cumplida"),IF(N($M188)&gt;=1,"Cumplida",IF(NOT(ISNUMBER($AN188)),"Sin fecha límite",IF($AN188&lt;FechaRef,"Vencida hace "&amp;(FechaRef-$AN188)&amp;IF(FechaRef-$AN188=1," día"," días"),IF($AN188=FechaRef,"Vence hoy",IF($AN188-FechaRef&lt;=DiasAlerta,"Vence en "&amp;($AN188-FechaRef)&amp;IF($AN188-FechaRef=1," día"," días"),"En plazo")))))))</f>
        <v/>
      </c>
      <c r="P188" s="62" t="n"/>
      <c r="Q188" s="58" t="n"/>
      <c r="R188" s="63">
        <f>IF(NOT((COUNTA($B188:$D188)+COUNTA($G188:$L188)+COUNTA($Q188))&gt;0),"",IF((IF($C188="","Falta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",""))="","✔ OK","⚠ "&amp;LEFT(IF($C188="","Falta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",""),LEN(IF($C188="","Falta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",""))-3)))</f>
        <v/>
      </c>
      <c r="S188" s="64">
        <f>IF(NOT((COUNTA($B188:$D188)+COUNTA($G188:$L188)+COUNTA($Q188))&gt;0),"",IF(AND($V188="Sub",N($U188)&gt;0),IF(ISNUMBER(INDEX($AM$5:$AM$1000,$U188-4)),DATE(YEAR(INDEX($AM$5:$AM$1000,$U188-4)),MONTH(INDEX($AM$5:$AM$1000,$U188-4)),1),IF(ISNUMBER(INDEX($AN$5:$AN$1000,$U188-4)),DATE(YEAR(INDEX($AN$5:$AN$1000,$U188-4)),MONTH(INDEX($AN$5:$AN$1000,$U188-4)),1),MesCiclo)),IF(ISNUMBER($AM188),DATE(YEAR($AM188),MONTH($AM188),1),IF(ISNUMBER($AN188),DATE(YEAR($AN188),MONTH($AN188),1),MesCiclo))))</f>
        <v/>
      </c>
      <c r="T188" s="62">
        <f>IF(OR($S188="",$S188&lt;&gt;MesCiclo),"",COUNTIF($S$5:$S188,MesCiclo))</f>
        <v/>
      </c>
      <c r="U188" s="62">
        <f>IF($V188="","",IF($V188="Macro",ROW(),IFERROR(LOOKUP(2,1/($V$5:$V188="Macro"),ROW($V$5:$V188)),0)))</f>
        <v/>
      </c>
      <c r="V188" s="62">
        <f>IF(NOT((COUNTA($B188:$D188)+COUNTA($G188:$L188)+COUNTA($Q188))&gt;0),"",IF($B188="Subactividad","Sub","Macro"))</f>
        <v/>
      </c>
      <c r="W188" s="62">
        <f>IF($V188="Macro",COUNTIFS($U$5:$U$1000,ROW(),$V$5:$V$1000,"Sub"),"")</f>
        <v/>
      </c>
      <c r="X188" s="62">
        <f>IF($V188="","",IF(ISNUMBER($G188),1,IFERROR(LOOKUP(2,1/($I188:$L188&lt;&gt;""),$I188:$L188),0)))</f>
        <v/>
      </c>
      <c r="Y188" s="62">
        <f>IF($V188="","",IF(AND(ISNUMBER($G188),$G188&lt;=IF($S188=MesCiclo,InicioCiclo,$S188+MOD(2-WEEKDAY($S188),7))+6),1,IF(ISNUMBER($I188),$I188,0)))</f>
        <v/>
      </c>
      <c r="Z188" s="62">
        <f>IF($V188="","",IF(AND(ISNUMBER($G188),$G188&lt;=IF($S188=MesCiclo,InicioCiclo,$S188+MOD(2-WEEKDAY($S188),7))+13),1,IF(ISNUMBER($J188),$J188,$Y188)))</f>
        <v/>
      </c>
      <c r="AA188" s="62">
        <f>IF($V188="","",IF(AND(ISNUMBER($G188),$G188&lt;=IF($S188=MesCiclo,InicioCiclo,$S188+MOD(2-WEEKDAY($S188),7))+20),1,IF(ISNUMBER($K188),$K188,$Z188)))</f>
        <v/>
      </c>
      <c r="AB188" s="62">
        <f>IF($V188="","",IF(AND(ISNUMBER($G188),$G188&lt;=IF($S188=MesCiclo,InicioCiclo,$S188+MOD(2-WEEKDAY($S188),7))+27),1,IF(ISNUMBER($L188),$L188,$AA188)))</f>
        <v/>
      </c>
      <c r="AC188" s="62">
        <f>IF($V188="","",IF(AND(ISNUMBER($G188),$G188&lt;=IF($S188=MesCiclo,InicioCiclo,$S188+MOD(2-WEEKDAY($S188),7))+6),1,IF(N($W188)&gt;0,AVERAGEIFS($Y$5:$Y$1000,$U$5:$U$1000,ROW(),$V$5:$V$1000,"Sub"),$Y188)))</f>
        <v/>
      </c>
      <c r="AD188" s="62">
        <f>IF($V188="","",IF(AND(ISNUMBER($G188),$G188&lt;=IF($S188=MesCiclo,InicioCiclo,$S188+MOD(2-WEEKDAY($S188),7))+13),1,IF(N($W188)&gt;0,AVERAGEIFS($Z$5:$Z$1000,$U$5:$U$1000,ROW(),$V$5:$V$1000,"Sub"),$Z188)))</f>
        <v/>
      </c>
      <c r="AE188" s="62">
        <f>IF($V188="","",IF(AND(ISNUMBER($G188),$G188&lt;=IF($S188=MesCiclo,InicioCiclo,$S188+MOD(2-WEEKDAY($S188),7))+20),1,IF(N($W188)&gt;0,AVERAGEIFS($AA$5:$AA$1000,$U$5:$U$1000,ROW(),$V$5:$V$1000,"Sub"),$AA188)))</f>
        <v/>
      </c>
      <c r="AF188" s="62">
        <f>IF($V188="","",IF(AND(ISNUMBER($G188),$G188&lt;=IF($S188=MesCiclo,InicioCiclo,$S188+MOD(2-WEEKDAY($S188),7))+27),1,IF(N($W188)&gt;0,AVERAGEIFS($AB$5:$AB$1000,$U$5:$U$1000,ROW(),$V$5:$V$1000,"Sub"),$AB188)))</f>
        <v/>
      </c>
      <c r="AG188" s="62">
        <f>IF($V188&lt;&gt;"Macro","",IF(COUNTIFS($S$5:$S$1000,$S188,$V$5:$V$1000,"Macro",$H$5:$H$1000,"&gt;0")=0,1/COUNTIFS($S$5:$S$1000,$S188,$V$5:$V$1000,"Macro"),IF(AND(ISNUMBER($H188),N($H188)&gt;0),$H188,SUMIFS($H$5:$H$1000,$S$5:$S$1000,$S188,$V$5:$V$1000,"Macro")/COUNTIFS($S$5:$S$1000,$S188,$V$5:$V$1000,"Macro",$H$5:$H$1000,"&gt;0"))/(COUNTIFS($S$5:$S$1000,$S188,$V$5:$V$1000,"Macro")*SUMIFS($H$5:$H$1000,$S$5:$S$1000,$S188,$V$5:$V$1000,"Macro")/COUNTIFS($S$5:$S$1000,$S188,$V$5:$V$1000,"Macro",$H$5:$H$1000,"&gt;0"))))</f>
        <v/>
      </c>
      <c r="AH188" s="62" t="n"/>
      <c r="AI188" s="62" t="n"/>
      <c r="AJ188" s="62" t="n"/>
      <c r="AK188" s="62" t="n"/>
      <c r="AL188" s="62">
        <f>IF(LEFT($C188,11)="[Jefatura] ",IFERROR(MATCH("Asistente Técnico de Riesgo|"&amp;MID($C188,12,500),rDname_ADM,0),0),"")</f>
        <v/>
      </c>
      <c r="AM188" s="62">
        <f>IF(N($AL188)&gt;0,INDEX(rIni_ADM,$AL188),IF(ISNUMBER($E188),$E188,""))</f>
        <v/>
      </c>
      <c r="AN188" s="62">
        <f>IF(N($AL188)&gt;0,INDEX(rLim_ADM,$AL188),IF(ISNUMBER($F188),$F188,""))</f>
        <v/>
      </c>
    </row>
    <row r="189">
      <c r="A189" s="56">
        <f>IF(NOT((COUNTA($B189:$D189)+COUNTA($G189:$L189)+COUNTA($Q189))&gt;0),"",IF($V189="Macro",COUNTIFS($V$5:$V189,"Macro",$S$5:$S189,$S189),IF(N($U189)=0,"?",COUNTIFS(INDEX($V$5:$V$1000,1):INDEX($V$5:$V$1000,$U189-4),"Macro",INDEX($S$5:$S$1000,1):INDEX($S$5:$S$1000,$U189-4),INDEX($S$5:$S$1000,$U189-4))&amp;"."&amp;COUNTIFS($U$5:$U189,$U189,$V$5:$V189,"Sub"))))</f>
        <v/>
      </c>
      <c r="B189" s="57" t="n"/>
      <c r="C189" s="58" t="n"/>
      <c r="D189" s="58" t="n"/>
      <c r="E189" s="59">
        <f>IF(N($AL189)&gt;0,INDEX(rIni_ADM,$AL189),"")</f>
        <v/>
      </c>
      <c r="F189" s="59">
        <f>IF(N($AL189)&gt;0,INDEX(rLim_ADM,$AL189),"")</f>
        <v/>
      </c>
      <c r="G189" s="59" t="n"/>
      <c r="H189" s="60" t="n"/>
      <c r="I189" s="60" t="n"/>
      <c r="J189" s="60" t="n"/>
      <c r="K189" s="60" t="n"/>
      <c r="L189" s="60" t="n"/>
      <c r="M189" s="61">
        <f>IF(NOT((COUNTA($B189:$D189)+COUNTA($G189:$L189)+COUNTA($Q189))&gt;0),"",IF(ISNUMBER($G189),1,IF(N($W189)&gt;0,AVERAGEIFS($X$5:$X$1000,$U$5:$U$1000,ROW(),$V$5:$V$1000,"Sub"),$X189)))</f>
        <v/>
      </c>
      <c r="N189" s="56">
        <f>IF($M189="","",IF($M189&gt;=1,"Completado",IF($M189&gt;0,"En curso","Pendiente")))</f>
        <v/>
      </c>
      <c r="O189" s="56">
        <f>IF(NOT((COUNTA($B189:$D189)+COUNTA($G189:$L189)+COUNTA($Q189))&gt;0),"",IF(ISNUMBER($G189),IF(AND(ISNUMBER($AN189),$G189&gt;$AN189),"Cumplida con "&amp;($G189-$AN189)&amp;IF($G189-$AN189=1," día"," días")&amp;" de retraso","Cumplida"),IF(N($M189)&gt;=1,"Cumplida",IF(NOT(ISNUMBER($AN189)),"Sin fecha límite",IF($AN189&lt;FechaRef,"Vencida hace "&amp;(FechaRef-$AN189)&amp;IF(FechaRef-$AN189=1," día"," días"),IF($AN189=FechaRef,"Vence hoy",IF($AN189-FechaRef&lt;=DiasAlerta,"Vence en "&amp;($AN189-FechaRef)&amp;IF($AN189-FechaRef=1," día"," días"),"En plazo")))))))</f>
        <v/>
      </c>
      <c r="P189" s="62" t="n"/>
      <c r="Q189" s="58" t="n"/>
      <c r="R189" s="63">
        <f>IF(NOT((COUNTA($B189:$D189)+COUNTA($G189:$L189)+COUNTA($Q189))&gt;0),"",IF((IF($C189="","Falta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",""))="","✔ OK","⚠ "&amp;LEFT(IF($C189="","Falta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",""),LEN(IF($C189="","Falta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",""))-3)))</f>
        <v/>
      </c>
      <c r="S189" s="64">
        <f>IF(NOT((COUNTA($B189:$D189)+COUNTA($G189:$L189)+COUNTA($Q189))&gt;0),"",IF(AND($V189="Sub",N($U189)&gt;0),IF(ISNUMBER(INDEX($AM$5:$AM$1000,$U189-4)),DATE(YEAR(INDEX($AM$5:$AM$1000,$U189-4)),MONTH(INDEX($AM$5:$AM$1000,$U189-4)),1),IF(ISNUMBER(INDEX($AN$5:$AN$1000,$U189-4)),DATE(YEAR(INDEX($AN$5:$AN$1000,$U189-4)),MONTH(INDEX($AN$5:$AN$1000,$U189-4)),1),MesCiclo)),IF(ISNUMBER($AM189),DATE(YEAR($AM189),MONTH($AM189),1),IF(ISNUMBER($AN189),DATE(YEAR($AN189),MONTH($AN189),1),MesCiclo))))</f>
        <v/>
      </c>
      <c r="T189" s="62">
        <f>IF(OR($S189="",$S189&lt;&gt;MesCiclo),"",COUNTIF($S$5:$S189,MesCiclo))</f>
        <v/>
      </c>
      <c r="U189" s="62">
        <f>IF($V189="","",IF($V189="Macro",ROW(),IFERROR(LOOKUP(2,1/($V$5:$V189="Macro"),ROW($V$5:$V189)),0)))</f>
        <v/>
      </c>
      <c r="V189" s="62">
        <f>IF(NOT((COUNTA($B189:$D189)+COUNTA($G189:$L189)+COUNTA($Q189))&gt;0),"",IF($B189="Subactividad","Sub","Macro"))</f>
        <v/>
      </c>
      <c r="W189" s="62">
        <f>IF($V189="Macro",COUNTIFS($U$5:$U$1000,ROW(),$V$5:$V$1000,"Sub"),"")</f>
        <v/>
      </c>
      <c r="X189" s="62">
        <f>IF($V189="","",IF(ISNUMBER($G189),1,IFERROR(LOOKUP(2,1/($I189:$L189&lt;&gt;""),$I189:$L189),0)))</f>
        <v/>
      </c>
      <c r="Y189" s="62">
        <f>IF($V189="","",IF(AND(ISNUMBER($G189),$G189&lt;=IF($S189=MesCiclo,InicioCiclo,$S189+MOD(2-WEEKDAY($S189),7))+6),1,IF(ISNUMBER($I189),$I189,0)))</f>
        <v/>
      </c>
      <c r="Z189" s="62">
        <f>IF($V189="","",IF(AND(ISNUMBER($G189),$G189&lt;=IF($S189=MesCiclo,InicioCiclo,$S189+MOD(2-WEEKDAY($S189),7))+13),1,IF(ISNUMBER($J189),$J189,$Y189)))</f>
        <v/>
      </c>
      <c r="AA189" s="62">
        <f>IF($V189="","",IF(AND(ISNUMBER($G189),$G189&lt;=IF($S189=MesCiclo,InicioCiclo,$S189+MOD(2-WEEKDAY($S189),7))+20),1,IF(ISNUMBER($K189),$K189,$Z189)))</f>
        <v/>
      </c>
      <c r="AB189" s="62">
        <f>IF($V189="","",IF(AND(ISNUMBER($G189),$G189&lt;=IF($S189=MesCiclo,InicioCiclo,$S189+MOD(2-WEEKDAY($S189),7))+27),1,IF(ISNUMBER($L189),$L189,$AA189)))</f>
        <v/>
      </c>
      <c r="AC189" s="62">
        <f>IF($V189="","",IF(AND(ISNUMBER($G189),$G189&lt;=IF($S189=MesCiclo,InicioCiclo,$S189+MOD(2-WEEKDAY($S189),7))+6),1,IF(N($W189)&gt;0,AVERAGEIFS($Y$5:$Y$1000,$U$5:$U$1000,ROW(),$V$5:$V$1000,"Sub"),$Y189)))</f>
        <v/>
      </c>
      <c r="AD189" s="62">
        <f>IF($V189="","",IF(AND(ISNUMBER($G189),$G189&lt;=IF($S189=MesCiclo,InicioCiclo,$S189+MOD(2-WEEKDAY($S189),7))+13),1,IF(N($W189)&gt;0,AVERAGEIFS($Z$5:$Z$1000,$U$5:$U$1000,ROW(),$V$5:$V$1000,"Sub"),$Z189)))</f>
        <v/>
      </c>
      <c r="AE189" s="62">
        <f>IF($V189="","",IF(AND(ISNUMBER($G189),$G189&lt;=IF($S189=MesCiclo,InicioCiclo,$S189+MOD(2-WEEKDAY($S189),7))+20),1,IF(N($W189)&gt;0,AVERAGEIFS($AA$5:$AA$1000,$U$5:$U$1000,ROW(),$V$5:$V$1000,"Sub"),$AA189)))</f>
        <v/>
      </c>
      <c r="AF189" s="62">
        <f>IF($V189="","",IF(AND(ISNUMBER($G189),$G189&lt;=IF($S189=MesCiclo,InicioCiclo,$S189+MOD(2-WEEKDAY($S189),7))+27),1,IF(N($W189)&gt;0,AVERAGEIFS($AB$5:$AB$1000,$U$5:$U$1000,ROW(),$V$5:$V$1000,"Sub"),$AB189)))</f>
        <v/>
      </c>
      <c r="AG189" s="62">
        <f>IF($V189&lt;&gt;"Macro","",IF(COUNTIFS($S$5:$S$1000,$S189,$V$5:$V$1000,"Macro",$H$5:$H$1000,"&gt;0")=0,1/COUNTIFS($S$5:$S$1000,$S189,$V$5:$V$1000,"Macro"),IF(AND(ISNUMBER($H189),N($H189)&gt;0),$H189,SUMIFS($H$5:$H$1000,$S$5:$S$1000,$S189,$V$5:$V$1000,"Macro")/COUNTIFS($S$5:$S$1000,$S189,$V$5:$V$1000,"Macro",$H$5:$H$1000,"&gt;0"))/(COUNTIFS($S$5:$S$1000,$S189,$V$5:$V$1000,"Macro")*SUMIFS($H$5:$H$1000,$S$5:$S$1000,$S189,$V$5:$V$1000,"Macro")/COUNTIFS($S$5:$S$1000,$S189,$V$5:$V$1000,"Macro",$H$5:$H$1000,"&gt;0"))))</f>
        <v/>
      </c>
      <c r="AH189" s="62" t="n"/>
      <c r="AI189" s="62" t="n"/>
      <c r="AJ189" s="62" t="n"/>
      <c r="AK189" s="62" t="n"/>
      <c r="AL189" s="62">
        <f>IF(LEFT($C189,11)="[Jefatura] ",IFERROR(MATCH("Asistente Técnico de Riesgo|"&amp;MID($C189,12,500),rDname_ADM,0),0),"")</f>
        <v/>
      </c>
      <c r="AM189" s="62">
        <f>IF(N($AL189)&gt;0,INDEX(rIni_ADM,$AL189),IF(ISNUMBER($E189),$E189,""))</f>
        <v/>
      </c>
      <c r="AN189" s="62">
        <f>IF(N($AL189)&gt;0,INDEX(rLim_ADM,$AL189),IF(ISNUMBER($F189),$F189,""))</f>
        <v/>
      </c>
    </row>
    <row r="190">
      <c r="A190" s="56">
        <f>IF(NOT((COUNTA($B190:$D190)+COUNTA($G190:$L190)+COUNTA($Q190))&gt;0),"",IF($V190="Macro",COUNTIFS($V$5:$V190,"Macro",$S$5:$S190,$S190),IF(N($U190)=0,"?",COUNTIFS(INDEX($V$5:$V$1000,1):INDEX($V$5:$V$1000,$U190-4),"Macro",INDEX($S$5:$S$1000,1):INDEX($S$5:$S$1000,$U190-4),INDEX($S$5:$S$1000,$U190-4))&amp;"."&amp;COUNTIFS($U$5:$U190,$U190,$V$5:$V190,"Sub"))))</f>
        <v/>
      </c>
      <c r="B190" s="57" t="n"/>
      <c r="C190" s="58" t="n"/>
      <c r="D190" s="58" t="n"/>
      <c r="E190" s="59">
        <f>IF(N($AL190)&gt;0,INDEX(rIni_ADM,$AL190),"")</f>
        <v/>
      </c>
      <c r="F190" s="59">
        <f>IF(N($AL190)&gt;0,INDEX(rLim_ADM,$AL190),"")</f>
        <v/>
      </c>
      <c r="G190" s="59" t="n"/>
      <c r="H190" s="60" t="n"/>
      <c r="I190" s="60" t="n"/>
      <c r="J190" s="60" t="n"/>
      <c r="K190" s="60" t="n"/>
      <c r="L190" s="60" t="n"/>
      <c r="M190" s="61">
        <f>IF(NOT((COUNTA($B190:$D190)+COUNTA($G190:$L190)+COUNTA($Q190))&gt;0),"",IF(ISNUMBER($G190),1,IF(N($W190)&gt;0,AVERAGEIFS($X$5:$X$1000,$U$5:$U$1000,ROW(),$V$5:$V$1000,"Sub"),$X190)))</f>
        <v/>
      </c>
      <c r="N190" s="56">
        <f>IF($M190="","",IF($M190&gt;=1,"Completado",IF($M190&gt;0,"En curso","Pendiente")))</f>
        <v/>
      </c>
      <c r="O190" s="56">
        <f>IF(NOT((COUNTA($B190:$D190)+COUNTA($G190:$L190)+COUNTA($Q190))&gt;0),"",IF(ISNUMBER($G190),IF(AND(ISNUMBER($AN190),$G190&gt;$AN190),"Cumplida con "&amp;($G190-$AN190)&amp;IF($G190-$AN190=1," día"," días")&amp;" de retraso","Cumplida"),IF(N($M190)&gt;=1,"Cumplida",IF(NOT(ISNUMBER($AN190)),"Sin fecha límite",IF($AN190&lt;FechaRef,"Vencida hace "&amp;(FechaRef-$AN190)&amp;IF(FechaRef-$AN190=1," día"," días"),IF($AN190=FechaRef,"Vence hoy",IF($AN190-FechaRef&lt;=DiasAlerta,"Vence en "&amp;($AN190-FechaRef)&amp;IF($AN190-FechaRef=1," día"," días"),"En plazo")))))))</f>
        <v/>
      </c>
      <c r="P190" s="62" t="n"/>
      <c r="Q190" s="58" t="n"/>
      <c r="R190" s="63">
        <f>IF(NOT((COUNTA($B190:$D190)+COUNTA($G190:$L190)+COUNTA($Q190))&gt;0),"",IF((IF($C190="","Falta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",""))="","✔ OK","⚠ "&amp;LEFT(IF($C190="","Falta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",""),LEN(IF($C190="","Falta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",""))-3)))</f>
        <v/>
      </c>
      <c r="S190" s="64">
        <f>IF(NOT((COUNTA($B190:$D190)+COUNTA($G190:$L190)+COUNTA($Q190))&gt;0),"",IF(AND($V190="Sub",N($U190)&gt;0),IF(ISNUMBER(INDEX($AM$5:$AM$1000,$U190-4)),DATE(YEAR(INDEX($AM$5:$AM$1000,$U190-4)),MONTH(INDEX($AM$5:$AM$1000,$U190-4)),1),IF(ISNUMBER(INDEX($AN$5:$AN$1000,$U190-4)),DATE(YEAR(INDEX($AN$5:$AN$1000,$U190-4)),MONTH(INDEX($AN$5:$AN$1000,$U190-4)),1),MesCiclo)),IF(ISNUMBER($AM190),DATE(YEAR($AM190),MONTH($AM190),1),IF(ISNUMBER($AN190),DATE(YEAR($AN190),MONTH($AN190),1),MesCiclo))))</f>
        <v/>
      </c>
      <c r="T190" s="62">
        <f>IF(OR($S190="",$S190&lt;&gt;MesCiclo),"",COUNTIF($S$5:$S190,MesCiclo))</f>
        <v/>
      </c>
      <c r="U190" s="62">
        <f>IF($V190="","",IF($V190="Macro",ROW(),IFERROR(LOOKUP(2,1/($V$5:$V190="Macro"),ROW($V$5:$V190)),0)))</f>
        <v/>
      </c>
      <c r="V190" s="62">
        <f>IF(NOT((COUNTA($B190:$D190)+COUNTA($G190:$L190)+COUNTA($Q190))&gt;0),"",IF($B190="Subactividad","Sub","Macro"))</f>
        <v/>
      </c>
      <c r="W190" s="62">
        <f>IF($V190="Macro",COUNTIFS($U$5:$U$1000,ROW(),$V$5:$V$1000,"Sub"),"")</f>
        <v/>
      </c>
      <c r="X190" s="62">
        <f>IF($V190="","",IF(ISNUMBER($G190),1,IFERROR(LOOKUP(2,1/($I190:$L190&lt;&gt;""),$I190:$L190),0)))</f>
        <v/>
      </c>
      <c r="Y190" s="62">
        <f>IF($V190="","",IF(AND(ISNUMBER($G190),$G190&lt;=IF($S190=MesCiclo,InicioCiclo,$S190+MOD(2-WEEKDAY($S190),7))+6),1,IF(ISNUMBER($I190),$I190,0)))</f>
        <v/>
      </c>
      <c r="Z190" s="62">
        <f>IF($V190="","",IF(AND(ISNUMBER($G190),$G190&lt;=IF($S190=MesCiclo,InicioCiclo,$S190+MOD(2-WEEKDAY($S190),7))+13),1,IF(ISNUMBER($J190),$J190,$Y190)))</f>
        <v/>
      </c>
      <c r="AA190" s="62">
        <f>IF($V190="","",IF(AND(ISNUMBER($G190),$G190&lt;=IF($S190=MesCiclo,InicioCiclo,$S190+MOD(2-WEEKDAY($S190),7))+20),1,IF(ISNUMBER($K190),$K190,$Z190)))</f>
        <v/>
      </c>
      <c r="AB190" s="62">
        <f>IF($V190="","",IF(AND(ISNUMBER($G190),$G190&lt;=IF($S190=MesCiclo,InicioCiclo,$S190+MOD(2-WEEKDAY($S190),7))+27),1,IF(ISNUMBER($L190),$L190,$AA190)))</f>
        <v/>
      </c>
      <c r="AC190" s="62">
        <f>IF($V190="","",IF(AND(ISNUMBER($G190),$G190&lt;=IF($S190=MesCiclo,InicioCiclo,$S190+MOD(2-WEEKDAY($S190),7))+6),1,IF(N($W190)&gt;0,AVERAGEIFS($Y$5:$Y$1000,$U$5:$U$1000,ROW(),$V$5:$V$1000,"Sub"),$Y190)))</f>
        <v/>
      </c>
      <c r="AD190" s="62">
        <f>IF($V190="","",IF(AND(ISNUMBER($G190),$G190&lt;=IF($S190=MesCiclo,InicioCiclo,$S190+MOD(2-WEEKDAY($S190),7))+13),1,IF(N($W190)&gt;0,AVERAGEIFS($Z$5:$Z$1000,$U$5:$U$1000,ROW(),$V$5:$V$1000,"Sub"),$Z190)))</f>
        <v/>
      </c>
      <c r="AE190" s="62">
        <f>IF($V190="","",IF(AND(ISNUMBER($G190),$G190&lt;=IF($S190=MesCiclo,InicioCiclo,$S190+MOD(2-WEEKDAY($S190),7))+20),1,IF(N($W190)&gt;0,AVERAGEIFS($AA$5:$AA$1000,$U$5:$U$1000,ROW(),$V$5:$V$1000,"Sub"),$AA190)))</f>
        <v/>
      </c>
      <c r="AF190" s="62">
        <f>IF($V190="","",IF(AND(ISNUMBER($G190),$G190&lt;=IF($S190=MesCiclo,InicioCiclo,$S190+MOD(2-WEEKDAY($S190),7))+27),1,IF(N($W190)&gt;0,AVERAGEIFS($AB$5:$AB$1000,$U$5:$U$1000,ROW(),$V$5:$V$1000,"Sub"),$AB190)))</f>
        <v/>
      </c>
      <c r="AG190" s="62">
        <f>IF($V190&lt;&gt;"Macro","",IF(COUNTIFS($S$5:$S$1000,$S190,$V$5:$V$1000,"Macro",$H$5:$H$1000,"&gt;0")=0,1/COUNTIFS($S$5:$S$1000,$S190,$V$5:$V$1000,"Macro"),IF(AND(ISNUMBER($H190),N($H190)&gt;0),$H190,SUMIFS($H$5:$H$1000,$S$5:$S$1000,$S190,$V$5:$V$1000,"Macro")/COUNTIFS($S$5:$S$1000,$S190,$V$5:$V$1000,"Macro",$H$5:$H$1000,"&gt;0"))/(COUNTIFS($S$5:$S$1000,$S190,$V$5:$V$1000,"Macro")*SUMIFS($H$5:$H$1000,$S$5:$S$1000,$S190,$V$5:$V$1000,"Macro")/COUNTIFS($S$5:$S$1000,$S190,$V$5:$V$1000,"Macro",$H$5:$H$1000,"&gt;0"))))</f>
        <v/>
      </c>
      <c r="AH190" s="62" t="n"/>
      <c r="AI190" s="62" t="n"/>
      <c r="AJ190" s="62" t="n"/>
      <c r="AK190" s="62" t="n"/>
      <c r="AL190" s="62">
        <f>IF(LEFT($C190,11)="[Jefatura] ",IFERROR(MATCH("Asistente Técnico de Riesgo|"&amp;MID($C190,12,500),rDname_ADM,0),0),"")</f>
        <v/>
      </c>
      <c r="AM190" s="62">
        <f>IF(N($AL190)&gt;0,INDEX(rIni_ADM,$AL190),IF(ISNUMBER($E190),$E190,""))</f>
        <v/>
      </c>
      <c r="AN190" s="62">
        <f>IF(N($AL190)&gt;0,INDEX(rLim_ADM,$AL190),IF(ISNUMBER($F190),$F190,""))</f>
        <v/>
      </c>
    </row>
    <row r="191">
      <c r="A191" s="56">
        <f>IF(NOT((COUNTA($B191:$D191)+COUNTA($G191:$L191)+COUNTA($Q191))&gt;0),"",IF($V191="Macro",COUNTIFS($V$5:$V191,"Macro",$S$5:$S191,$S191),IF(N($U191)=0,"?",COUNTIFS(INDEX($V$5:$V$1000,1):INDEX($V$5:$V$1000,$U191-4),"Macro",INDEX($S$5:$S$1000,1):INDEX($S$5:$S$1000,$U191-4),INDEX($S$5:$S$1000,$U191-4))&amp;"."&amp;COUNTIFS($U$5:$U191,$U191,$V$5:$V191,"Sub"))))</f>
        <v/>
      </c>
      <c r="B191" s="57" t="n"/>
      <c r="C191" s="58" t="n"/>
      <c r="D191" s="58" t="n"/>
      <c r="E191" s="59">
        <f>IF(N($AL191)&gt;0,INDEX(rIni_ADM,$AL191),"")</f>
        <v/>
      </c>
      <c r="F191" s="59">
        <f>IF(N($AL191)&gt;0,INDEX(rLim_ADM,$AL191),"")</f>
        <v/>
      </c>
      <c r="G191" s="59" t="n"/>
      <c r="H191" s="60" t="n"/>
      <c r="I191" s="60" t="n"/>
      <c r="J191" s="60" t="n"/>
      <c r="K191" s="60" t="n"/>
      <c r="L191" s="60" t="n"/>
      <c r="M191" s="61">
        <f>IF(NOT((COUNTA($B191:$D191)+COUNTA($G191:$L191)+COUNTA($Q191))&gt;0),"",IF(ISNUMBER($G191),1,IF(N($W191)&gt;0,AVERAGEIFS($X$5:$X$1000,$U$5:$U$1000,ROW(),$V$5:$V$1000,"Sub"),$X191)))</f>
        <v/>
      </c>
      <c r="N191" s="56">
        <f>IF($M191="","",IF($M191&gt;=1,"Completado",IF($M191&gt;0,"En curso","Pendiente")))</f>
        <v/>
      </c>
      <c r="O191" s="56">
        <f>IF(NOT((COUNTA($B191:$D191)+COUNTA($G191:$L191)+COUNTA($Q191))&gt;0),"",IF(ISNUMBER($G191),IF(AND(ISNUMBER($AN191),$G191&gt;$AN191),"Cumplida con "&amp;($G191-$AN191)&amp;IF($G191-$AN191=1," día"," días")&amp;" de retraso","Cumplida"),IF(N($M191)&gt;=1,"Cumplida",IF(NOT(ISNUMBER($AN191)),"Sin fecha límite",IF($AN191&lt;FechaRef,"Vencida hace "&amp;(FechaRef-$AN191)&amp;IF(FechaRef-$AN191=1," día"," días"),IF($AN191=FechaRef,"Vence hoy",IF($AN191-FechaRef&lt;=DiasAlerta,"Vence en "&amp;($AN191-FechaRef)&amp;IF($AN191-FechaRef=1," día"," días"),"En plazo")))))))</f>
        <v/>
      </c>
      <c r="P191" s="62" t="n"/>
      <c r="Q191" s="58" t="n"/>
      <c r="R191" s="63">
        <f>IF(NOT((COUNTA($B191:$D191)+COUNTA($G191:$L191)+COUNTA($Q191))&gt;0),"",IF((IF($C191="","Falta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",""))="","✔ OK","⚠ "&amp;LEFT(IF($C191="","Falta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",""),LEN(IF($C191="","Falta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",""))-3)))</f>
        <v/>
      </c>
      <c r="S191" s="64">
        <f>IF(NOT((COUNTA($B191:$D191)+COUNTA($G191:$L191)+COUNTA($Q191))&gt;0),"",IF(AND($V191="Sub",N($U191)&gt;0),IF(ISNUMBER(INDEX($AM$5:$AM$1000,$U191-4)),DATE(YEAR(INDEX($AM$5:$AM$1000,$U191-4)),MONTH(INDEX($AM$5:$AM$1000,$U191-4)),1),IF(ISNUMBER(INDEX($AN$5:$AN$1000,$U191-4)),DATE(YEAR(INDEX($AN$5:$AN$1000,$U191-4)),MONTH(INDEX($AN$5:$AN$1000,$U191-4)),1),MesCiclo)),IF(ISNUMBER($AM191),DATE(YEAR($AM191),MONTH($AM191),1),IF(ISNUMBER($AN191),DATE(YEAR($AN191),MONTH($AN191),1),MesCiclo))))</f>
        <v/>
      </c>
      <c r="T191" s="62">
        <f>IF(OR($S191="",$S191&lt;&gt;MesCiclo),"",COUNTIF($S$5:$S191,MesCiclo))</f>
        <v/>
      </c>
      <c r="U191" s="62">
        <f>IF($V191="","",IF($V191="Macro",ROW(),IFERROR(LOOKUP(2,1/($V$5:$V191="Macro"),ROW($V$5:$V191)),0)))</f>
        <v/>
      </c>
      <c r="V191" s="62">
        <f>IF(NOT((COUNTA($B191:$D191)+COUNTA($G191:$L191)+COUNTA($Q191))&gt;0),"",IF($B191="Subactividad","Sub","Macro"))</f>
        <v/>
      </c>
      <c r="W191" s="62">
        <f>IF($V191="Macro",COUNTIFS($U$5:$U$1000,ROW(),$V$5:$V$1000,"Sub"),"")</f>
        <v/>
      </c>
      <c r="X191" s="62">
        <f>IF($V191="","",IF(ISNUMBER($G191),1,IFERROR(LOOKUP(2,1/($I191:$L191&lt;&gt;""),$I191:$L191),0)))</f>
        <v/>
      </c>
      <c r="Y191" s="62">
        <f>IF($V191="","",IF(AND(ISNUMBER($G191),$G191&lt;=IF($S191=MesCiclo,InicioCiclo,$S191+MOD(2-WEEKDAY($S191),7))+6),1,IF(ISNUMBER($I191),$I191,0)))</f>
        <v/>
      </c>
      <c r="Z191" s="62">
        <f>IF($V191="","",IF(AND(ISNUMBER($G191),$G191&lt;=IF($S191=MesCiclo,InicioCiclo,$S191+MOD(2-WEEKDAY($S191),7))+13),1,IF(ISNUMBER($J191),$J191,$Y191)))</f>
        <v/>
      </c>
      <c r="AA191" s="62">
        <f>IF($V191="","",IF(AND(ISNUMBER($G191),$G191&lt;=IF($S191=MesCiclo,InicioCiclo,$S191+MOD(2-WEEKDAY($S191),7))+20),1,IF(ISNUMBER($K191),$K191,$Z191)))</f>
        <v/>
      </c>
      <c r="AB191" s="62">
        <f>IF($V191="","",IF(AND(ISNUMBER($G191),$G191&lt;=IF($S191=MesCiclo,InicioCiclo,$S191+MOD(2-WEEKDAY($S191),7))+27),1,IF(ISNUMBER($L191),$L191,$AA191)))</f>
        <v/>
      </c>
      <c r="AC191" s="62">
        <f>IF($V191="","",IF(AND(ISNUMBER($G191),$G191&lt;=IF($S191=MesCiclo,InicioCiclo,$S191+MOD(2-WEEKDAY($S191),7))+6),1,IF(N($W191)&gt;0,AVERAGEIFS($Y$5:$Y$1000,$U$5:$U$1000,ROW(),$V$5:$V$1000,"Sub"),$Y191)))</f>
        <v/>
      </c>
      <c r="AD191" s="62">
        <f>IF($V191="","",IF(AND(ISNUMBER($G191),$G191&lt;=IF($S191=MesCiclo,InicioCiclo,$S191+MOD(2-WEEKDAY($S191),7))+13),1,IF(N($W191)&gt;0,AVERAGEIFS($Z$5:$Z$1000,$U$5:$U$1000,ROW(),$V$5:$V$1000,"Sub"),$Z191)))</f>
        <v/>
      </c>
      <c r="AE191" s="62">
        <f>IF($V191="","",IF(AND(ISNUMBER($G191),$G191&lt;=IF($S191=MesCiclo,InicioCiclo,$S191+MOD(2-WEEKDAY($S191),7))+20),1,IF(N($W191)&gt;0,AVERAGEIFS($AA$5:$AA$1000,$U$5:$U$1000,ROW(),$V$5:$V$1000,"Sub"),$AA191)))</f>
        <v/>
      </c>
      <c r="AF191" s="62">
        <f>IF($V191="","",IF(AND(ISNUMBER($G191),$G191&lt;=IF($S191=MesCiclo,InicioCiclo,$S191+MOD(2-WEEKDAY($S191),7))+27),1,IF(N($W191)&gt;0,AVERAGEIFS($AB$5:$AB$1000,$U$5:$U$1000,ROW(),$V$5:$V$1000,"Sub"),$AB191)))</f>
        <v/>
      </c>
      <c r="AG191" s="62">
        <f>IF($V191&lt;&gt;"Macro","",IF(COUNTIFS($S$5:$S$1000,$S191,$V$5:$V$1000,"Macro",$H$5:$H$1000,"&gt;0")=0,1/COUNTIFS($S$5:$S$1000,$S191,$V$5:$V$1000,"Macro"),IF(AND(ISNUMBER($H191),N($H191)&gt;0),$H191,SUMIFS($H$5:$H$1000,$S$5:$S$1000,$S191,$V$5:$V$1000,"Macro")/COUNTIFS($S$5:$S$1000,$S191,$V$5:$V$1000,"Macro",$H$5:$H$1000,"&gt;0"))/(COUNTIFS($S$5:$S$1000,$S191,$V$5:$V$1000,"Macro")*SUMIFS($H$5:$H$1000,$S$5:$S$1000,$S191,$V$5:$V$1000,"Macro")/COUNTIFS($S$5:$S$1000,$S191,$V$5:$V$1000,"Macro",$H$5:$H$1000,"&gt;0"))))</f>
        <v/>
      </c>
      <c r="AH191" s="62" t="n"/>
      <c r="AI191" s="62" t="n"/>
      <c r="AJ191" s="62" t="n"/>
      <c r="AK191" s="62" t="n"/>
      <c r="AL191" s="62">
        <f>IF(LEFT($C191,11)="[Jefatura] ",IFERROR(MATCH("Asistente Técnico de Riesgo|"&amp;MID($C191,12,500),rDname_ADM,0),0),"")</f>
        <v/>
      </c>
      <c r="AM191" s="62">
        <f>IF(N($AL191)&gt;0,INDEX(rIni_ADM,$AL191),IF(ISNUMBER($E191),$E191,""))</f>
        <v/>
      </c>
      <c r="AN191" s="62">
        <f>IF(N($AL191)&gt;0,INDEX(rLim_ADM,$AL191),IF(ISNUMBER($F191),$F191,""))</f>
        <v/>
      </c>
    </row>
    <row r="192">
      <c r="A192" s="56">
        <f>IF(NOT((COUNTA($B192:$D192)+COUNTA($G192:$L192)+COUNTA($Q192))&gt;0),"",IF($V192="Macro",COUNTIFS($V$5:$V192,"Macro",$S$5:$S192,$S192),IF(N($U192)=0,"?",COUNTIFS(INDEX($V$5:$V$1000,1):INDEX($V$5:$V$1000,$U192-4),"Macro",INDEX($S$5:$S$1000,1):INDEX($S$5:$S$1000,$U192-4),INDEX($S$5:$S$1000,$U192-4))&amp;"."&amp;COUNTIFS($U$5:$U192,$U192,$V$5:$V192,"Sub"))))</f>
        <v/>
      </c>
      <c r="B192" s="57" t="n"/>
      <c r="C192" s="58" t="n"/>
      <c r="D192" s="58" t="n"/>
      <c r="E192" s="59">
        <f>IF(N($AL192)&gt;0,INDEX(rIni_ADM,$AL192),"")</f>
        <v/>
      </c>
      <c r="F192" s="59">
        <f>IF(N($AL192)&gt;0,INDEX(rLim_ADM,$AL192),"")</f>
        <v/>
      </c>
      <c r="G192" s="59" t="n"/>
      <c r="H192" s="60" t="n"/>
      <c r="I192" s="60" t="n"/>
      <c r="J192" s="60" t="n"/>
      <c r="K192" s="60" t="n"/>
      <c r="L192" s="60" t="n"/>
      <c r="M192" s="61">
        <f>IF(NOT((COUNTA($B192:$D192)+COUNTA($G192:$L192)+COUNTA($Q192))&gt;0),"",IF(ISNUMBER($G192),1,IF(N($W192)&gt;0,AVERAGEIFS($X$5:$X$1000,$U$5:$U$1000,ROW(),$V$5:$V$1000,"Sub"),$X192)))</f>
        <v/>
      </c>
      <c r="N192" s="56">
        <f>IF($M192="","",IF($M192&gt;=1,"Completado",IF($M192&gt;0,"En curso","Pendiente")))</f>
        <v/>
      </c>
      <c r="O192" s="56">
        <f>IF(NOT((COUNTA($B192:$D192)+COUNTA($G192:$L192)+COUNTA($Q192))&gt;0),"",IF(ISNUMBER($G192),IF(AND(ISNUMBER($AN192),$G192&gt;$AN192),"Cumplida con "&amp;($G192-$AN192)&amp;IF($G192-$AN192=1," día"," días")&amp;" de retraso","Cumplida"),IF(N($M192)&gt;=1,"Cumplida",IF(NOT(ISNUMBER($AN192)),"Sin fecha límite",IF($AN192&lt;FechaRef,"Vencida hace "&amp;(FechaRef-$AN192)&amp;IF(FechaRef-$AN192=1," día"," días"),IF($AN192=FechaRef,"Vence hoy",IF($AN192-FechaRef&lt;=DiasAlerta,"Vence en "&amp;($AN192-FechaRef)&amp;IF($AN192-FechaRef=1," día"," días"),"En plazo")))))))</f>
        <v/>
      </c>
      <c r="P192" s="62" t="n"/>
      <c r="Q192" s="58" t="n"/>
      <c r="R192" s="63">
        <f>IF(NOT((COUNTA($B192:$D192)+COUNTA($G192:$L192)+COUNTA($Q192))&gt;0),"",IF((IF($C192="","Falta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",""))="","✔ OK","⚠ "&amp;LEFT(IF($C192="","Falta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",""),LEN(IF($C192="","Falta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",""))-3)))</f>
        <v/>
      </c>
      <c r="S192" s="64">
        <f>IF(NOT((COUNTA($B192:$D192)+COUNTA($G192:$L192)+COUNTA($Q192))&gt;0),"",IF(AND($V192="Sub",N($U192)&gt;0),IF(ISNUMBER(INDEX($AM$5:$AM$1000,$U192-4)),DATE(YEAR(INDEX($AM$5:$AM$1000,$U192-4)),MONTH(INDEX($AM$5:$AM$1000,$U192-4)),1),IF(ISNUMBER(INDEX($AN$5:$AN$1000,$U192-4)),DATE(YEAR(INDEX($AN$5:$AN$1000,$U192-4)),MONTH(INDEX($AN$5:$AN$1000,$U192-4)),1),MesCiclo)),IF(ISNUMBER($AM192),DATE(YEAR($AM192),MONTH($AM192),1),IF(ISNUMBER($AN192),DATE(YEAR($AN192),MONTH($AN192),1),MesCiclo))))</f>
        <v/>
      </c>
      <c r="T192" s="62">
        <f>IF(OR($S192="",$S192&lt;&gt;MesCiclo),"",COUNTIF($S$5:$S192,MesCiclo))</f>
        <v/>
      </c>
      <c r="U192" s="62">
        <f>IF($V192="","",IF($V192="Macro",ROW(),IFERROR(LOOKUP(2,1/($V$5:$V192="Macro"),ROW($V$5:$V192)),0)))</f>
        <v/>
      </c>
      <c r="V192" s="62">
        <f>IF(NOT((COUNTA($B192:$D192)+COUNTA($G192:$L192)+COUNTA($Q192))&gt;0),"",IF($B192="Subactividad","Sub","Macro"))</f>
        <v/>
      </c>
      <c r="W192" s="62">
        <f>IF($V192="Macro",COUNTIFS($U$5:$U$1000,ROW(),$V$5:$V$1000,"Sub"),"")</f>
        <v/>
      </c>
      <c r="X192" s="62">
        <f>IF($V192="","",IF(ISNUMBER($G192),1,IFERROR(LOOKUP(2,1/($I192:$L192&lt;&gt;""),$I192:$L192),0)))</f>
        <v/>
      </c>
      <c r="Y192" s="62">
        <f>IF($V192="","",IF(AND(ISNUMBER($G192),$G192&lt;=IF($S192=MesCiclo,InicioCiclo,$S192+MOD(2-WEEKDAY($S192),7))+6),1,IF(ISNUMBER($I192),$I192,0)))</f>
        <v/>
      </c>
      <c r="Z192" s="62">
        <f>IF($V192="","",IF(AND(ISNUMBER($G192),$G192&lt;=IF($S192=MesCiclo,InicioCiclo,$S192+MOD(2-WEEKDAY($S192),7))+13),1,IF(ISNUMBER($J192),$J192,$Y192)))</f>
        <v/>
      </c>
      <c r="AA192" s="62">
        <f>IF($V192="","",IF(AND(ISNUMBER($G192),$G192&lt;=IF($S192=MesCiclo,InicioCiclo,$S192+MOD(2-WEEKDAY($S192),7))+20),1,IF(ISNUMBER($K192),$K192,$Z192)))</f>
        <v/>
      </c>
      <c r="AB192" s="62">
        <f>IF($V192="","",IF(AND(ISNUMBER($G192),$G192&lt;=IF($S192=MesCiclo,InicioCiclo,$S192+MOD(2-WEEKDAY($S192),7))+27),1,IF(ISNUMBER($L192),$L192,$AA192)))</f>
        <v/>
      </c>
      <c r="AC192" s="62">
        <f>IF($V192="","",IF(AND(ISNUMBER($G192),$G192&lt;=IF($S192=MesCiclo,InicioCiclo,$S192+MOD(2-WEEKDAY($S192),7))+6),1,IF(N($W192)&gt;0,AVERAGEIFS($Y$5:$Y$1000,$U$5:$U$1000,ROW(),$V$5:$V$1000,"Sub"),$Y192)))</f>
        <v/>
      </c>
      <c r="AD192" s="62">
        <f>IF($V192="","",IF(AND(ISNUMBER($G192),$G192&lt;=IF($S192=MesCiclo,InicioCiclo,$S192+MOD(2-WEEKDAY($S192),7))+13),1,IF(N($W192)&gt;0,AVERAGEIFS($Z$5:$Z$1000,$U$5:$U$1000,ROW(),$V$5:$V$1000,"Sub"),$Z192)))</f>
        <v/>
      </c>
      <c r="AE192" s="62">
        <f>IF($V192="","",IF(AND(ISNUMBER($G192),$G192&lt;=IF($S192=MesCiclo,InicioCiclo,$S192+MOD(2-WEEKDAY($S192),7))+20),1,IF(N($W192)&gt;0,AVERAGEIFS($AA$5:$AA$1000,$U$5:$U$1000,ROW(),$V$5:$V$1000,"Sub"),$AA192)))</f>
        <v/>
      </c>
      <c r="AF192" s="62">
        <f>IF($V192="","",IF(AND(ISNUMBER($G192),$G192&lt;=IF($S192=MesCiclo,InicioCiclo,$S192+MOD(2-WEEKDAY($S192),7))+27),1,IF(N($W192)&gt;0,AVERAGEIFS($AB$5:$AB$1000,$U$5:$U$1000,ROW(),$V$5:$V$1000,"Sub"),$AB192)))</f>
        <v/>
      </c>
      <c r="AG192" s="62">
        <f>IF($V192&lt;&gt;"Macro","",IF(COUNTIFS($S$5:$S$1000,$S192,$V$5:$V$1000,"Macro",$H$5:$H$1000,"&gt;0")=0,1/COUNTIFS($S$5:$S$1000,$S192,$V$5:$V$1000,"Macro"),IF(AND(ISNUMBER($H192),N($H192)&gt;0),$H192,SUMIFS($H$5:$H$1000,$S$5:$S$1000,$S192,$V$5:$V$1000,"Macro")/COUNTIFS($S$5:$S$1000,$S192,$V$5:$V$1000,"Macro",$H$5:$H$1000,"&gt;0"))/(COUNTIFS($S$5:$S$1000,$S192,$V$5:$V$1000,"Macro")*SUMIFS($H$5:$H$1000,$S$5:$S$1000,$S192,$V$5:$V$1000,"Macro")/COUNTIFS($S$5:$S$1000,$S192,$V$5:$V$1000,"Macro",$H$5:$H$1000,"&gt;0"))))</f>
        <v/>
      </c>
      <c r="AH192" s="62" t="n"/>
      <c r="AI192" s="62" t="n"/>
      <c r="AJ192" s="62" t="n"/>
      <c r="AK192" s="62" t="n"/>
      <c r="AL192" s="62">
        <f>IF(LEFT($C192,11)="[Jefatura] ",IFERROR(MATCH("Asistente Técnico de Riesgo|"&amp;MID($C192,12,500),rDname_ADM,0),0),"")</f>
        <v/>
      </c>
      <c r="AM192" s="62">
        <f>IF(N($AL192)&gt;0,INDEX(rIni_ADM,$AL192),IF(ISNUMBER($E192),$E192,""))</f>
        <v/>
      </c>
      <c r="AN192" s="62">
        <f>IF(N($AL192)&gt;0,INDEX(rLim_ADM,$AL192),IF(ISNUMBER($F192),$F192,""))</f>
        <v/>
      </c>
    </row>
    <row r="193">
      <c r="A193" s="56">
        <f>IF(NOT((COUNTA($B193:$D193)+COUNTA($G193:$L193)+COUNTA($Q193))&gt;0),"",IF($V193="Macro",COUNTIFS($V$5:$V193,"Macro",$S$5:$S193,$S193),IF(N($U193)=0,"?",COUNTIFS(INDEX($V$5:$V$1000,1):INDEX($V$5:$V$1000,$U193-4),"Macro",INDEX($S$5:$S$1000,1):INDEX($S$5:$S$1000,$U193-4),INDEX($S$5:$S$1000,$U193-4))&amp;"."&amp;COUNTIFS($U$5:$U193,$U193,$V$5:$V193,"Sub"))))</f>
        <v/>
      </c>
      <c r="B193" s="57" t="n"/>
      <c r="C193" s="58" t="n"/>
      <c r="D193" s="58" t="n"/>
      <c r="E193" s="59">
        <f>IF(N($AL193)&gt;0,INDEX(rIni_ADM,$AL193),"")</f>
        <v/>
      </c>
      <c r="F193" s="59">
        <f>IF(N($AL193)&gt;0,INDEX(rLim_ADM,$AL193),"")</f>
        <v/>
      </c>
      <c r="G193" s="59" t="n"/>
      <c r="H193" s="60" t="n"/>
      <c r="I193" s="60" t="n"/>
      <c r="J193" s="60" t="n"/>
      <c r="K193" s="60" t="n"/>
      <c r="L193" s="60" t="n"/>
      <c r="M193" s="61">
        <f>IF(NOT((COUNTA($B193:$D193)+COUNTA($G193:$L193)+COUNTA($Q193))&gt;0),"",IF(ISNUMBER($G193),1,IF(N($W193)&gt;0,AVERAGEIFS($X$5:$X$1000,$U$5:$U$1000,ROW(),$V$5:$V$1000,"Sub"),$X193)))</f>
        <v/>
      </c>
      <c r="N193" s="56">
        <f>IF($M193="","",IF($M193&gt;=1,"Completado",IF($M193&gt;0,"En curso","Pendiente")))</f>
        <v/>
      </c>
      <c r="O193" s="56">
        <f>IF(NOT((COUNTA($B193:$D193)+COUNTA($G193:$L193)+COUNTA($Q193))&gt;0),"",IF(ISNUMBER($G193),IF(AND(ISNUMBER($AN193),$G193&gt;$AN193),"Cumplida con "&amp;($G193-$AN193)&amp;IF($G193-$AN193=1," día"," días")&amp;" de retraso","Cumplida"),IF(N($M193)&gt;=1,"Cumplida",IF(NOT(ISNUMBER($AN193)),"Sin fecha límite",IF($AN193&lt;FechaRef,"Vencida hace "&amp;(FechaRef-$AN193)&amp;IF(FechaRef-$AN193=1," día"," días"),IF($AN193=FechaRef,"Vence hoy",IF($AN193-FechaRef&lt;=DiasAlerta,"Vence en "&amp;($AN193-FechaRef)&amp;IF($AN193-FechaRef=1," día"," días"),"En plazo")))))))</f>
        <v/>
      </c>
      <c r="P193" s="62" t="n"/>
      <c r="Q193" s="58" t="n"/>
      <c r="R193" s="63">
        <f>IF(NOT((COUNTA($B193:$D193)+COUNTA($G193:$L193)+COUNTA($Q193))&gt;0),"",IF((IF($C193="","Falta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",""))="","✔ OK","⚠ "&amp;LEFT(IF($C193="","Falta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",""),LEN(IF($C193="","Falta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",""))-3)))</f>
        <v/>
      </c>
      <c r="S193" s="64">
        <f>IF(NOT((COUNTA($B193:$D193)+COUNTA($G193:$L193)+COUNTA($Q193))&gt;0),"",IF(AND($V193="Sub",N($U193)&gt;0),IF(ISNUMBER(INDEX($AM$5:$AM$1000,$U193-4)),DATE(YEAR(INDEX($AM$5:$AM$1000,$U193-4)),MONTH(INDEX($AM$5:$AM$1000,$U193-4)),1),IF(ISNUMBER(INDEX($AN$5:$AN$1000,$U193-4)),DATE(YEAR(INDEX($AN$5:$AN$1000,$U193-4)),MONTH(INDEX($AN$5:$AN$1000,$U193-4)),1),MesCiclo)),IF(ISNUMBER($AM193),DATE(YEAR($AM193),MONTH($AM193),1),IF(ISNUMBER($AN193),DATE(YEAR($AN193),MONTH($AN193),1),MesCiclo))))</f>
        <v/>
      </c>
      <c r="T193" s="62">
        <f>IF(OR($S193="",$S193&lt;&gt;MesCiclo),"",COUNTIF($S$5:$S193,MesCiclo))</f>
        <v/>
      </c>
      <c r="U193" s="62">
        <f>IF($V193="","",IF($V193="Macro",ROW(),IFERROR(LOOKUP(2,1/($V$5:$V193="Macro"),ROW($V$5:$V193)),0)))</f>
        <v/>
      </c>
      <c r="V193" s="62">
        <f>IF(NOT((COUNTA($B193:$D193)+COUNTA($G193:$L193)+COUNTA($Q193))&gt;0),"",IF($B193="Subactividad","Sub","Macro"))</f>
        <v/>
      </c>
      <c r="W193" s="62">
        <f>IF($V193="Macro",COUNTIFS($U$5:$U$1000,ROW(),$V$5:$V$1000,"Sub"),"")</f>
        <v/>
      </c>
      <c r="X193" s="62">
        <f>IF($V193="","",IF(ISNUMBER($G193),1,IFERROR(LOOKUP(2,1/($I193:$L193&lt;&gt;""),$I193:$L193),0)))</f>
        <v/>
      </c>
      <c r="Y193" s="62">
        <f>IF($V193="","",IF(AND(ISNUMBER($G193),$G193&lt;=IF($S193=MesCiclo,InicioCiclo,$S193+MOD(2-WEEKDAY($S193),7))+6),1,IF(ISNUMBER($I193),$I193,0)))</f>
        <v/>
      </c>
      <c r="Z193" s="62">
        <f>IF($V193="","",IF(AND(ISNUMBER($G193),$G193&lt;=IF($S193=MesCiclo,InicioCiclo,$S193+MOD(2-WEEKDAY($S193),7))+13),1,IF(ISNUMBER($J193),$J193,$Y193)))</f>
        <v/>
      </c>
      <c r="AA193" s="62">
        <f>IF($V193="","",IF(AND(ISNUMBER($G193),$G193&lt;=IF($S193=MesCiclo,InicioCiclo,$S193+MOD(2-WEEKDAY($S193),7))+20),1,IF(ISNUMBER($K193),$K193,$Z193)))</f>
        <v/>
      </c>
      <c r="AB193" s="62">
        <f>IF($V193="","",IF(AND(ISNUMBER($G193),$G193&lt;=IF($S193=MesCiclo,InicioCiclo,$S193+MOD(2-WEEKDAY($S193),7))+27),1,IF(ISNUMBER($L193),$L193,$AA193)))</f>
        <v/>
      </c>
      <c r="AC193" s="62">
        <f>IF($V193="","",IF(AND(ISNUMBER($G193),$G193&lt;=IF($S193=MesCiclo,InicioCiclo,$S193+MOD(2-WEEKDAY($S193),7))+6),1,IF(N($W193)&gt;0,AVERAGEIFS($Y$5:$Y$1000,$U$5:$U$1000,ROW(),$V$5:$V$1000,"Sub"),$Y193)))</f>
        <v/>
      </c>
      <c r="AD193" s="62">
        <f>IF($V193="","",IF(AND(ISNUMBER($G193),$G193&lt;=IF($S193=MesCiclo,InicioCiclo,$S193+MOD(2-WEEKDAY($S193),7))+13),1,IF(N($W193)&gt;0,AVERAGEIFS($Z$5:$Z$1000,$U$5:$U$1000,ROW(),$V$5:$V$1000,"Sub"),$Z193)))</f>
        <v/>
      </c>
      <c r="AE193" s="62">
        <f>IF($V193="","",IF(AND(ISNUMBER($G193),$G193&lt;=IF($S193=MesCiclo,InicioCiclo,$S193+MOD(2-WEEKDAY($S193),7))+20),1,IF(N($W193)&gt;0,AVERAGEIFS($AA$5:$AA$1000,$U$5:$U$1000,ROW(),$V$5:$V$1000,"Sub"),$AA193)))</f>
        <v/>
      </c>
      <c r="AF193" s="62">
        <f>IF($V193="","",IF(AND(ISNUMBER($G193),$G193&lt;=IF($S193=MesCiclo,InicioCiclo,$S193+MOD(2-WEEKDAY($S193),7))+27),1,IF(N($W193)&gt;0,AVERAGEIFS($AB$5:$AB$1000,$U$5:$U$1000,ROW(),$V$5:$V$1000,"Sub"),$AB193)))</f>
        <v/>
      </c>
      <c r="AG193" s="62">
        <f>IF($V193&lt;&gt;"Macro","",IF(COUNTIFS($S$5:$S$1000,$S193,$V$5:$V$1000,"Macro",$H$5:$H$1000,"&gt;0")=0,1/COUNTIFS($S$5:$S$1000,$S193,$V$5:$V$1000,"Macro"),IF(AND(ISNUMBER($H193),N($H193)&gt;0),$H193,SUMIFS($H$5:$H$1000,$S$5:$S$1000,$S193,$V$5:$V$1000,"Macro")/COUNTIFS($S$5:$S$1000,$S193,$V$5:$V$1000,"Macro",$H$5:$H$1000,"&gt;0"))/(COUNTIFS($S$5:$S$1000,$S193,$V$5:$V$1000,"Macro")*SUMIFS($H$5:$H$1000,$S$5:$S$1000,$S193,$V$5:$V$1000,"Macro")/COUNTIFS($S$5:$S$1000,$S193,$V$5:$V$1000,"Macro",$H$5:$H$1000,"&gt;0"))))</f>
        <v/>
      </c>
      <c r="AH193" s="62" t="n"/>
      <c r="AI193" s="62" t="n"/>
      <c r="AJ193" s="62" t="n"/>
      <c r="AK193" s="62" t="n"/>
      <c r="AL193" s="62">
        <f>IF(LEFT($C193,11)="[Jefatura] ",IFERROR(MATCH("Asistente Técnico de Riesgo|"&amp;MID($C193,12,500),rDname_ADM,0),0),"")</f>
        <v/>
      </c>
      <c r="AM193" s="62">
        <f>IF(N($AL193)&gt;0,INDEX(rIni_ADM,$AL193),IF(ISNUMBER($E193),$E193,""))</f>
        <v/>
      </c>
      <c r="AN193" s="62">
        <f>IF(N($AL193)&gt;0,INDEX(rLim_ADM,$AL193),IF(ISNUMBER($F193),$F193,""))</f>
        <v/>
      </c>
    </row>
    <row r="194">
      <c r="A194" s="56">
        <f>IF(NOT((COUNTA($B194:$D194)+COUNTA($G194:$L194)+COUNTA($Q194))&gt;0),"",IF($V194="Macro",COUNTIFS($V$5:$V194,"Macro",$S$5:$S194,$S194),IF(N($U194)=0,"?",COUNTIFS(INDEX($V$5:$V$1000,1):INDEX($V$5:$V$1000,$U194-4),"Macro",INDEX($S$5:$S$1000,1):INDEX($S$5:$S$1000,$U194-4),INDEX($S$5:$S$1000,$U194-4))&amp;"."&amp;COUNTIFS($U$5:$U194,$U194,$V$5:$V194,"Sub"))))</f>
        <v/>
      </c>
      <c r="B194" s="57" t="n"/>
      <c r="C194" s="58" t="n"/>
      <c r="D194" s="58" t="n"/>
      <c r="E194" s="59">
        <f>IF(N($AL194)&gt;0,INDEX(rIni_ADM,$AL194),"")</f>
        <v/>
      </c>
      <c r="F194" s="59">
        <f>IF(N($AL194)&gt;0,INDEX(rLim_ADM,$AL194),"")</f>
        <v/>
      </c>
      <c r="G194" s="59" t="n"/>
      <c r="H194" s="60" t="n"/>
      <c r="I194" s="60" t="n"/>
      <c r="J194" s="60" t="n"/>
      <c r="K194" s="60" t="n"/>
      <c r="L194" s="60" t="n"/>
      <c r="M194" s="61">
        <f>IF(NOT((COUNTA($B194:$D194)+COUNTA($G194:$L194)+COUNTA($Q194))&gt;0),"",IF(ISNUMBER($G194),1,IF(N($W194)&gt;0,AVERAGEIFS($X$5:$X$1000,$U$5:$U$1000,ROW(),$V$5:$V$1000,"Sub"),$X194)))</f>
        <v/>
      </c>
      <c r="N194" s="56">
        <f>IF($M194="","",IF($M194&gt;=1,"Completado",IF($M194&gt;0,"En curso","Pendiente")))</f>
        <v/>
      </c>
      <c r="O194" s="56">
        <f>IF(NOT((COUNTA($B194:$D194)+COUNTA($G194:$L194)+COUNTA($Q194))&gt;0),"",IF(ISNUMBER($G194),IF(AND(ISNUMBER($AN194),$G194&gt;$AN194),"Cumplida con "&amp;($G194-$AN194)&amp;IF($G194-$AN194=1," día"," días")&amp;" de retraso","Cumplida"),IF(N($M194)&gt;=1,"Cumplida",IF(NOT(ISNUMBER($AN194)),"Sin fecha límite",IF($AN194&lt;FechaRef,"Vencida hace "&amp;(FechaRef-$AN194)&amp;IF(FechaRef-$AN194=1," día"," días"),IF($AN194=FechaRef,"Vence hoy",IF($AN194-FechaRef&lt;=DiasAlerta,"Vence en "&amp;($AN194-FechaRef)&amp;IF($AN194-FechaRef=1," día"," días"),"En plazo")))))))</f>
        <v/>
      </c>
      <c r="P194" s="62" t="n"/>
      <c r="Q194" s="58" t="n"/>
      <c r="R194" s="63">
        <f>IF(NOT((COUNTA($B194:$D194)+COUNTA($G194:$L194)+COUNTA($Q194))&gt;0),"",IF((IF($C194="","Falta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",""))="","✔ OK","⚠ "&amp;LEFT(IF($C194="","Falta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",""),LEN(IF($C194="","Falta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",""))-3)))</f>
        <v/>
      </c>
      <c r="S194" s="64">
        <f>IF(NOT((COUNTA($B194:$D194)+COUNTA($G194:$L194)+COUNTA($Q194))&gt;0),"",IF(AND($V194="Sub",N($U194)&gt;0),IF(ISNUMBER(INDEX($AM$5:$AM$1000,$U194-4)),DATE(YEAR(INDEX($AM$5:$AM$1000,$U194-4)),MONTH(INDEX($AM$5:$AM$1000,$U194-4)),1),IF(ISNUMBER(INDEX($AN$5:$AN$1000,$U194-4)),DATE(YEAR(INDEX($AN$5:$AN$1000,$U194-4)),MONTH(INDEX($AN$5:$AN$1000,$U194-4)),1),MesCiclo)),IF(ISNUMBER($AM194),DATE(YEAR($AM194),MONTH($AM194),1),IF(ISNUMBER($AN194),DATE(YEAR($AN194),MONTH($AN194),1),MesCiclo))))</f>
        <v/>
      </c>
      <c r="T194" s="62">
        <f>IF(OR($S194="",$S194&lt;&gt;MesCiclo),"",COUNTIF($S$5:$S194,MesCiclo))</f>
        <v/>
      </c>
      <c r="U194" s="62">
        <f>IF($V194="","",IF($V194="Macro",ROW(),IFERROR(LOOKUP(2,1/($V$5:$V194="Macro"),ROW($V$5:$V194)),0)))</f>
        <v/>
      </c>
      <c r="V194" s="62">
        <f>IF(NOT((COUNTA($B194:$D194)+COUNTA($G194:$L194)+COUNTA($Q194))&gt;0),"",IF($B194="Subactividad","Sub","Macro"))</f>
        <v/>
      </c>
      <c r="W194" s="62">
        <f>IF($V194="Macro",COUNTIFS($U$5:$U$1000,ROW(),$V$5:$V$1000,"Sub"),"")</f>
        <v/>
      </c>
      <c r="X194" s="62">
        <f>IF($V194="","",IF(ISNUMBER($G194),1,IFERROR(LOOKUP(2,1/($I194:$L194&lt;&gt;""),$I194:$L194),0)))</f>
        <v/>
      </c>
      <c r="Y194" s="62">
        <f>IF($V194="","",IF(AND(ISNUMBER($G194),$G194&lt;=IF($S194=MesCiclo,InicioCiclo,$S194+MOD(2-WEEKDAY($S194),7))+6),1,IF(ISNUMBER($I194),$I194,0)))</f>
        <v/>
      </c>
      <c r="Z194" s="62">
        <f>IF($V194="","",IF(AND(ISNUMBER($G194),$G194&lt;=IF($S194=MesCiclo,InicioCiclo,$S194+MOD(2-WEEKDAY($S194),7))+13),1,IF(ISNUMBER($J194),$J194,$Y194)))</f>
        <v/>
      </c>
      <c r="AA194" s="62">
        <f>IF($V194="","",IF(AND(ISNUMBER($G194),$G194&lt;=IF($S194=MesCiclo,InicioCiclo,$S194+MOD(2-WEEKDAY($S194),7))+20),1,IF(ISNUMBER($K194),$K194,$Z194)))</f>
        <v/>
      </c>
      <c r="AB194" s="62">
        <f>IF($V194="","",IF(AND(ISNUMBER($G194),$G194&lt;=IF($S194=MesCiclo,InicioCiclo,$S194+MOD(2-WEEKDAY($S194),7))+27),1,IF(ISNUMBER($L194),$L194,$AA194)))</f>
        <v/>
      </c>
      <c r="AC194" s="62">
        <f>IF($V194="","",IF(AND(ISNUMBER($G194),$G194&lt;=IF($S194=MesCiclo,InicioCiclo,$S194+MOD(2-WEEKDAY($S194),7))+6),1,IF(N($W194)&gt;0,AVERAGEIFS($Y$5:$Y$1000,$U$5:$U$1000,ROW(),$V$5:$V$1000,"Sub"),$Y194)))</f>
        <v/>
      </c>
      <c r="AD194" s="62">
        <f>IF($V194="","",IF(AND(ISNUMBER($G194),$G194&lt;=IF($S194=MesCiclo,InicioCiclo,$S194+MOD(2-WEEKDAY($S194),7))+13),1,IF(N($W194)&gt;0,AVERAGEIFS($Z$5:$Z$1000,$U$5:$U$1000,ROW(),$V$5:$V$1000,"Sub"),$Z194)))</f>
        <v/>
      </c>
      <c r="AE194" s="62">
        <f>IF($V194="","",IF(AND(ISNUMBER($G194),$G194&lt;=IF($S194=MesCiclo,InicioCiclo,$S194+MOD(2-WEEKDAY($S194),7))+20),1,IF(N($W194)&gt;0,AVERAGEIFS($AA$5:$AA$1000,$U$5:$U$1000,ROW(),$V$5:$V$1000,"Sub"),$AA194)))</f>
        <v/>
      </c>
      <c r="AF194" s="62">
        <f>IF($V194="","",IF(AND(ISNUMBER($G194),$G194&lt;=IF($S194=MesCiclo,InicioCiclo,$S194+MOD(2-WEEKDAY($S194),7))+27),1,IF(N($W194)&gt;0,AVERAGEIFS($AB$5:$AB$1000,$U$5:$U$1000,ROW(),$V$5:$V$1000,"Sub"),$AB194)))</f>
        <v/>
      </c>
      <c r="AG194" s="62">
        <f>IF($V194&lt;&gt;"Macro","",IF(COUNTIFS($S$5:$S$1000,$S194,$V$5:$V$1000,"Macro",$H$5:$H$1000,"&gt;0")=0,1/COUNTIFS($S$5:$S$1000,$S194,$V$5:$V$1000,"Macro"),IF(AND(ISNUMBER($H194),N($H194)&gt;0),$H194,SUMIFS($H$5:$H$1000,$S$5:$S$1000,$S194,$V$5:$V$1000,"Macro")/COUNTIFS($S$5:$S$1000,$S194,$V$5:$V$1000,"Macro",$H$5:$H$1000,"&gt;0"))/(COUNTIFS($S$5:$S$1000,$S194,$V$5:$V$1000,"Macro")*SUMIFS($H$5:$H$1000,$S$5:$S$1000,$S194,$V$5:$V$1000,"Macro")/COUNTIFS($S$5:$S$1000,$S194,$V$5:$V$1000,"Macro",$H$5:$H$1000,"&gt;0"))))</f>
        <v/>
      </c>
      <c r="AH194" s="62" t="n"/>
      <c r="AI194" s="62" t="n"/>
      <c r="AJ194" s="62" t="n"/>
      <c r="AK194" s="62" t="n"/>
      <c r="AL194" s="62">
        <f>IF(LEFT($C194,11)="[Jefatura] ",IFERROR(MATCH("Asistente Técnico de Riesgo|"&amp;MID($C194,12,500),rDname_ADM,0),0),"")</f>
        <v/>
      </c>
      <c r="AM194" s="62">
        <f>IF(N($AL194)&gt;0,INDEX(rIni_ADM,$AL194),IF(ISNUMBER($E194),$E194,""))</f>
        <v/>
      </c>
      <c r="AN194" s="62">
        <f>IF(N($AL194)&gt;0,INDEX(rLim_ADM,$AL194),IF(ISNUMBER($F194),$F194,""))</f>
        <v/>
      </c>
    </row>
    <row r="195">
      <c r="A195" s="56">
        <f>IF(NOT((COUNTA($B195:$D195)+COUNTA($G195:$L195)+COUNTA($Q195))&gt;0),"",IF($V195="Macro",COUNTIFS($V$5:$V195,"Macro",$S$5:$S195,$S195),IF(N($U195)=0,"?",COUNTIFS(INDEX($V$5:$V$1000,1):INDEX($V$5:$V$1000,$U195-4),"Macro",INDEX($S$5:$S$1000,1):INDEX($S$5:$S$1000,$U195-4),INDEX($S$5:$S$1000,$U195-4))&amp;"."&amp;COUNTIFS($U$5:$U195,$U195,$V$5:$V195,"Sub"))))</f>
        <v/>
      </c>
      <c r="B195" s="57" t="n"/>
      <c r="C195" s="58" t="n"/>
      <c r="D195" s="58" t="n"/>
      <c r="E195" s="59">
        <f>IF(N($AL195)&gt;0,INDEX(rIni_ADM,$AL195),"")</f>
        <v/>
      </c>
      <c r="F195" s="59">
        <f>IF(N($AL195)&gt;0,INDEX(rLim_ADM,$AL195),"")</f>
        <v/>
      </c>
      <c r="G195" s="59" t="n"/>
      <c r="H195" s="60" t="n"/>
      <c r="I195" s="60" t="n"/>
      <c r="J195" s="60" t="n"/>
      <c r="K195" s="60" t="n"/>
      <c r="L195" s="60" t="n"/>
      <c r="M195" s="61">
        <f>IF(NOT((COUNTA($B195:$D195)+COUNTA($G195:$L195)+COUNTA($Q195))&gt;0),"",IF(ISNUMBER($G195),1,IF(N($W195)&gt;0,AVERAGEIFS($X$5:$X$1000,$U$5:$U$1000,ROW(),$V$5:$V$1000,"Sub"),$X195)))</f>
        <v/>
      </c>
      <c r="N195" s="56">
        <f>IF($M195="","",IF($M195&gt;=1,"Completado",IF($M195&gt;0,"En curso","Pendiente")))</f>
        <v/>
      </c>
      <c r="O195" s="56">
        <f>IF(NOT((COUNTA($B195:$D195)+COUNTA($G195:$L195)+COUNTA($Q195))&gt;0),"",IF(ISNUMBER($G195),IF(AND(ISNUMBER($AN195),$G195&gt;$AN195),"Cumplida con "&amp;($G195-$AN195)&amp;IF($G195-$AN195=1," día"," días")&amp;" de retraso","Cumplida"),IF(N($M195)&gt;=1,"Cumplida",IF(NOT(ISNUMBER($AN195)),"Sin fecha límite",IF($AN195&lt;FechaRef,"Vencida hace "&amp;(FechaRef-$AN195)&amp;IF(FechaRef-$AN195=1," día"," días"),IF($AN195=FechaRef,"Vence hoy",IF($AN195-FechaRef&lt;=DiasAlerta,"Vence en "&amp;($AN195-FechaRef)&amp;IF($AN195-FechaRef=1," día"," días"),"En plazo")))))))</f>
        <v/>
      </c>
      <c r="P195" s="62" t="n"/>
      <c r="Q195" s="58" t="n"/>
      <c r="R195" s="63">
        <f>IF(NOT((COUNTA($B195:$D195)+COUNTA($G195:$L195)+COUNTA($Q195))&gt;0),"",IF((IF($C195="","Falta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",""))="","✔ OK","⚠ "&amp;LEFT(IF($C195="","Falta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",""),LEN(IF($C195="","Falta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",""))-3)))</f>
        <v/>
      </c>
      <c r="S195" s="64">
        <f>IF(NOT((COUNTA($B195:$D195)+COUNTA($G195:$L195)+COUNTA($Q195))&gt;0),"",IF(AND($V195="Sub",N($U195)&gt;0),IF(ISNUMBER(INDEX($AM$5:$AM$1000,$U195-4)),DATE(YEAR(INDEX($AM$5:$AM$1000,$U195-4)),MONTH(INDEX($AM$5:$AM$1000,$U195-4)),1),IF(ISNUMBER(INDEX($AN$5:$AN$1000,$U195-4)),DATE(YEAR(INDEX($AN$5:$AN$1000,$U195-4)),MONTH(INDEX($AN$5:$AN$1000,$U195-4)),1),MesCiclo)),IF(ISNUMBER($AM195),DATE(YEAR($AM195),MONTH($AM195),1),IF(ISNUMBER($AN195),DATE(YEAR($AN195),MONTH($AN195),1),MesCiclo))))</f>
        <v/>
      </c>
      <c r="T195" s="62">
        <f>IF(OR($S195="",$S195&lt;&gt;MesCiclo),"",COUNTIF($S$5:$S195,MesCiclo))</f>
        <v/>
      </c>
      <c r="U195" s="62">
        <f>IF($V195="","",IF($V195="Macro",ROW(),IFERROR(LOOKUP(2,1/($V$5:$V195="Macro"),ROW($V$5:$V195)),0)))</f>
        <v/>
      </c>
      <c r="V195" s="62">
        <f>IF(NOT((COUNTA($B195:$D195)+COUNTA($G195:$L195)+COUNTA($Q195))&gt;0),"",IF($B195="Subactividad","Sub","Macro"))</f>
        <v/>
      </c>
      <c r="W195" s="62">
        <f>IF($V195="Macro",COUNTIFS($U$5:$U$1000,ROW(),$V$5:$V$1000,"Sub"),"")</f>
        <v/>
      </c>
      <c r="X195" s="62">
        <f>IF($V195="","",IF(ISNUMBER($G195),1,IFERROR(LOOKUP(2,1/($I195:$L195&lt;&gt;""),$I195:$L195),0)))</f>
        <v/>
      </c>
      <c r="Y195" s="62">
        <f>IF($V195="","",IF(AND(ISNUMBER($G195),$G195&lt;=IF($S195=MesCiclo,InicioCiclo,$S195+MOD(2-WEEKDAY($S195),7))+6),1,IF(ISNUMBER($I195),$I195,0)))</f>
        <v/>
      </c>
      <c r="Z195" s="62">
        <f>IF($V195="","",IF(AND(ISNUMBER($G195),$G195&lt;=IF($S195=MesCiclo,InicioCiclo,$S195+MOD(2-WEEKDAY($S195),7))+13),1,IF(ISNUMBER($J195),$J195,$Y195)))</f>
        <v/>
      </c>
      <c r="AA195" s="62">
        <f>IF($V195="","",IF(AND(ISNUMBER($G195),$G195&lt;=IF($S195=MesCiclo,InicioCiclo,$S195+MOD(2-WEEKDAY($S195),7))+20),1,IF(ISNUMBER($K195),$K195,$Z195)))</f>
        <v/>
      </c>
      <c r="AB195" s="62">
        <f>IF($V195="","",IF(AND(ISNUMBER($G195),$G195&lt;=IF($S195=MesCiclo,InicioCiclo,$S195+MOD(2-WEEKDAY($S195),7))+27),1,IF(ISNUMBER($L195),$L195,$AA195)))</f>
        <v/>
      </c>
      <c r="AC195" s="62">
        <f>IF($V195="","",IF(AND(ISNUMBER($G195),$G195&lt;=IF($S195=MesCiclo,InicioCiclo,$S195+MOD(2-WEEKDAY($S195),7))+6),1,IF(N($W195)&gt;0,AVERAGEIFS($Y$5:$Y$1000,$U$5:$U$1000,ROW(),$V$5:$V$1000,"Sub"),$Y195)))</f>
        <v/>
      </c>
      <c r="AD195" s="62">
        <f>IF($V195="","",IF(AND(ISNUMBER($G195),$G195&lt;=IF($S195=MesCiclo,InicioCiclo,$S195+MOD(2-WEEKDAY($S195),7))+13),1,IF(N($W195)&gt;0,AVERAGEIFS($Z$5:$Z$1000,$U$5:$U$1000,ROW(),$V$5:$V$1000,"Sub"),$Z195)))</f>
        <v/>
      </c>
      <c r="AE195" s="62">
        <f>IF($V195="","",IF(AND(ISNUMBER($G195),$G195&lt;=IF($S195=MesCiclo,InicioCiclo,$S195+MOD(2-WEEKDAY($S195),7))+20),1,IF(N($W195)&gt;0,AVERAGEIFS($AA$5:$AA$1000,$U$5:$U$1000,ROW(),$V$5:$V$1000,"Sub"),$AA195)))</f>
        <v/>
      </c>
      <c r="AF195" s="62">
        <f>IF($V195="","",IF(AND(ISNUMBER($G195),$G195&lt;=IF($S195=MesCiclo,InicioCiclo,$S195+MOD(2-WEEKDAY($S195),7))+27),1,IF(N($W195)&gt;0,AVERAGEIFS($AB$5:$AB$1000,$U$5:$U$1000,ROW(),$V$5:$V$1000,"Sub"),$AB195)))</f>
        <v/>
      </c>
      <c r="AG195" s="62">
        <f>IF($V195&lt;&gt;"Macro","",IF(COUNTIFS($S$5:$S$1000,$S195,$V$5:$V$1000,"Macro",$H$5:$H$1000,"&gt;0")=0,1/COUNTIFS($S$5:$S$1000,$S195,$V$5:$V$1000,"Macro"),IF(AND(ISNUMBER($H195),N($H195)&gt;0),$H195,SUMIFS($H$5:$H$1000,$S$5:$S$1000,$S195,$V$5:$V$1000,"Macro")/COUNTIFS($S$5:$S$1000,$S195,$V$5:$V$1000,"Macro",$H$5:$H$1000,"&gt;0"))/(COUNTIFS($S$5:$S$1000,$S195,$V$5:$V$1000,"Macro")*SUMIFS($H$5:$H$1000,$S$5:$S$1000,$S195,$V$5:$V$1000,"Macro")/COUNTIFS($S$5:$S$1000,$S195,$V$5:$V$1000,"Macro",$H$5:$H$1000,"&gt;0"))))</f>
        <v/>
      </c>
      <c r="AH195" s="62" t="n"/>
      <c r="AI195" s="62" t="n"/>
      <c r="AJ195" s="62" t="n"/>
      <c r="AK195" s="62" t="n"/>
      <c r="AL195" s="62">
        <f>IF(LEFT($C195,11)="[Jefatura] ",IFERROR(MATCH("Asistente Técnico de Riesgo|"&amp;MID($C195,12,500),rDname_ADM,0),0),"")</f>
        <v/>
      </c>
      <c r="AM195" s="62">
        <f>IF(N($AL195)&gt;0,INDEX(rIni_ADM,$AL195),IF(ISNUMBER($E195),$E195,""))</f>
        <v/>
      </c>
      <c r="AN195" s="62">
        <f>IF(N($AL195)&gt;0,INDEX(rLim_ADM,$AL195),IF(ISNUMBER($F195),$F195,""))</f>
        <v/>
      </c>
    </row>
    <row r="196">
      <c r="A196" s="56">
        <f>IF(NOT((COUNTA($B196:$D196)+COUNTA($G196:$L196)+COUNTA($Q196))&gt;0),"",IF($V196="Macro",COUNTIFS($V$5:$V196,"Macro",$S$5:$S196,$S196),IF(N($U196)=0,"?",COUNTIFS(INDEX($V$5:$V$1000,1):INDEX($V$5:$V$1000,$U196-4),"Macro",INDEX($S$5:$S$1000,1):INDEX($S$5:$S$1000,$U196-4),INDEX($S$5:$S$1000,$U196-4))&amp;"."&amp;COUNTIFS($U$5:$U196,$U196,$V$5:$V196,"Sub"))))</f>
        <v/>
      </c>
      <c r="B196" s="57" t="n"/>
      <c r="C196" s="58" t="n"/>
      <c r="D196" s="58" t="n"/>
      <c r="E196" s="59">
        <f>IF(N($AL196)&gt;0,INDEX(rIni_ADM,$AL196),"")</f>
        <v/>
      </c>
      <c r="F196" s="59">
        <f>IF(N($AL196)&gt;0,INDEX(rLim_ADM,$AL196),"")</f>
        <v/>
      </c>
      <c r="G196" s="59" t="n"/>
      <c r="H196" s="60" t="n"/>
      <c r="I196" s="60" t="n"/>
      <c r="J196" s="60" t="n"/>
      <c r="K196" s="60" t="n"/>
      <c r="L196" s="60" t="n"/>
      <c r="M196" s="61">
        <f>IF(NOT((COUNTA($B196:$D196)+COUNTA($G196:$L196)+COUNTA($Q196))&gt;0),"",IF(ISNUMBER($G196),1,IF(N($W196)&gt;0,AVERAGEIFS($X$5:$X$1000,$U$5:$U$1000,ROW(),$V$5:$V$1000,"Sub"),$X196)))</f>
        <v/>
      </c>
      <c r="N196" s="56">
        <f>IF($M196="","",IF($M196&gt;=1,"Completado",IF($M196&gt;0,"En curso","Pendiente")))</f>
        <v/>
      </c>
      <c r="O196" s="56">
        <f>IF(NOT((COUNTA($B196:$D196)+COUNTA($G196:$L196)+COUNTA($Q196))&gt;0),"",IF(ISNUMBER($G196),IF(AND(ISNUMBER($AN196),$G196&gt;$AN196),"Cumplida con "&amp;($G196-$AN196)&amp;IF($G196-$AN196=1," día"," días")&amp;" de retraso","Cumplida"),IF(N($M196)&gt;=1,"Cumplida",IF(NOT(ISNUMBER($AN196)),"Sin fecha límite",IF($AN196&lt;FechaRef,"Vencida hace "&amp;(FechaRef-$AN196)&amp;IF(FechaRef-$AN196=1," día"," días"),IF($AN196=FechaRef,"Vence hoy",IF($AN196-FechaRef&lt;=DiasAlerta,"Vence en "&amp;($AN196-FechaRef)&amp;IF($AN196-FechaRef=1," día"," días"),"En plazo")))))))</f>
        <v/>
      </c>
      <c r="P196" s="62" t="n"/>
      <c r="Q196" s="58" t="n"/>
      <c r="R196" s="63">
        <f>IF(NOT((COUNTA($B196:$D196)+COUNTA($G196:$L196)+COUNTA($Q196))&gt;0),"",IF((IF($C196="","Falta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",""))="","✔ OK","⚠ "&amp;LEFT(IF($C196="","Falta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",""),LEN(IF($C196="","Falta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",""))-3)))</f>
        <v/>
      </c>
      <c r="S196" s="64">
        <f>IF(NOT((COUNTA($B196:$D196)+COUNTA($G196:$L196)+COUNTA($Q196))&gt;0),"",IF(AND($V196="Sub",N($U196)&gt;0),IF(ISNUMBER(INDEX($AM$5:$AM$1000,$U196-4)),DATE(YEAR(INDEX($AM$5:$AM$1000,$U196-4)),MONTH(INDEX($AM$5:$AM$1000,$U196-4)),1),IF(ISNUMBER(INDEX($AN$5:$AN$1000,$U196-4)),DATE(YEAR(INDEX($AN$5:$AN$1000,$U196-4)),MONTH(INDEX($AN$5:$AN$1000,$U196-4)),1),MesCiclo)),IF(ISNUMBER($AM196),DATE(YEAR($AM196),MONTH($AM196),1),IF(ISNUMBER($AN196),DATE(YEAR($AN196),MONTH($AN196),1),MesCiclo))))</f>
        <v/>
      </c>
      <c r="T196" s="62">
        <f>IF(OR($S196="",$S196&lt;&gt;MesCiclo),"",COUNTIF($S$5:$S196,MesCiclo))</f>
        <v/>
      </c>
      <c r="U196" s="62">
        <f>IF($V196="","",IF($V196="Macro",ROW(),IFERROR(LOOKUP(2,1/($V$5:$V196="Macro"),ROW($V$5:$V196)),0)))</f>
        <v/>
      </c>
      <c r="V196" s="62">
        <f>IF(NOT((COUNTA($B196:$D196)+COUNTA($G196:$L196)+COUNTA($Q196))&gt;0),"",IF($B196="Subactividad","Sub","Macro"))</f>
        <v/>
      </c>
      <c r="W196" s="62">
        <f>IF($V196="Macro",COUNTIFS($U$5:$U$1000,ROW(),$V$5:$V$1000,"Sub"),"")</f>
        <v/>
      </c>
      <c r="X196" s="62">
        <f>IF($V196="","",IF(ISNUMBER($G196),1,IFERROR(LOOKUP(2,1/($I196:$L196&lt;&gt;""),$I196:$L196),0)))</f>
        <v/>
      </c>
      <c r="Y196" s="62">
        <f>IF($V196="","",IF(AND(ISNUMBER($G196),$G196&lt;=IF($S196=MesCiclo,InicioCiclo,$S196+MOD(2-WEEKDAY($S196),7))+6),1,IF(ISNUMBER($I196),$I196,0)))</f>
        <v/>
      </c>
      <c r="Z196" s="62">
        <f>IF($V196="","",IF(AND(ISNUMBER($G196),$G196&lt;=IF($S196=MesCiclo,InicioCiclo,$S196+MOD(2-WEEKDAY($S196),7))+13),1,IF(ISNUMBER($J196),$J196,$Y196)))</f>
        <v/>
      </c>
      <c r="AA196" s="62">
        <f>IF($V196="","",IF(AND(ISNUMBER($G196),$G196&lt;=IF($S196=MesCiclo,InicioCiclo,$S196+MOD(2-WEEKDAY($S196),7))+20),1,IF(ISNUMBER($K196),$K196,$Z196)))</f>
        <v/>
      </c>
      <c r="AB196" s="62">
        <f>IF($V196="","",IF(AND(ISNUMBER($G196),$G196&lt;=IF($S196=MesCiclo,InicioCiclo,$S196+MOD(2-WEEKDAY($S196),7))+27),1,IF(ISNUMBER($L196),$L196,$AA196)))</f>
        <v/>
      </c>
      <c r="AC196" s="62">
        <f>IF($V196="","",IF(AND(ISNUMBER($G196),$G196&lt;=IF($S196=MesCiclo,InicioCiclo,$S196+MOD(2-WEEKDAY($S196),7))+6),1,IF(N($W196)&gt;0,AVERAGEIFS($Y$5:$Y$1000,$U$5:$U$1000,ROW(),$V$5:$V$1000,"Sub"),$Y196)))</f>
        <v/>
      </c>
      <c r="AD196" s="62">
        <f>IF($V196="","",IF(AND(ISNUMBER($G196),$G196&lt;=IF($S196=MesCiclo,InicioCiclo,$S196+MOD(2-WEEKDAY($S196),7))+13),1,IF(N($W196)&gt;0,AVERAGEIFS($Z$5:$Z$1000,$U$5:$U$1000,ROW(),$V$5:$V$1000,"Sub"),$Z196)))</f>
        <v/>
      </c>
      <c r="AE196" s="62">
        <f>IF($V196="","",IF(AND(ISNUMBER($G196),$G196&lt;=IF($S196=MesCiclo,InicioCiclo,$S196+MOD(2-WEEKDAY($S196),7))+20),1,IF(N($W196)&gt;0,AVERAGEIFS($AA$5:$AA$1000,$U$5:$U$1000,ROW(),$V$5:$V$1000,"Sub"),$AA196)))</f>
        <v/>
      </c>
      <c r="AF196" s="62">
        <f>IF($V196="","",IF(AND(ISNUMBER($G196),$G196&lt;=IF($S196=MesCiclo,InicioCiclo,$S196+MOD(2-WEEKDAY($S196),7))+27),1,IF(N($W196)&gt;0,AVERAGEIFS($AB$5:$AB$1000,$U$5:$U$1000,ROW(),$V$5:$V$1000,"Sub"),$AB196)))</f>
        <v/>
      </c>
      <c r="AG196" s="62">
        <f>IF($V196&lt;&gt;"Macro","",IF(COUNTIFS($S$5:$S$1000,$S196,$V$5:$V$1000,"Macro",$H$5:$H$1000,"&gt;0")=0,1/COUNTIFS($S$5:$S$1000,$S196,$V$5:$V$1000,"Macro"),IF(AND(ISNUMBER($H196),N($H196)&gt;0),$H196,SUMIFS($H$5:$H$1000,$S$5:$S$1000,$S196,$V$5:$V$1000,"Macro")/COUNTIFS($S$5:$S$1000,$S196,$V$5:$V$1000,"Macro",$H$5:$H$1000,"&gt;0"))/(COUNTIFS($S$5:$S$1000,$S196,$V$5:$V$1000,"Macro")*SUMIFS($H$5:$H$1000,$S$5:$S$1000,$S196,$V$5:$V$1000,"Macro")/COUNTIFS($S$5:$S$1000,$S196,$V$5:$V$1000,"Macro",$H$5:$H$1000,"&gt;0"))))</f>
        <v/>
      </c>
      <c r="AH196" s="62" t="n"/>
      <c r="AI196" s="62" t="n"/>
      <c r="AJ196" s="62" t="n"/>
      <c r="AK196" s="62" t="n"/>
      <c r="AL196" s="62">
        <f>IF(LEFT($C196,11)="[Jefatura] ",IFERROR(MATCH("Asistente Técnico de Riesgo|"&amp;MID($C196,12,500),rDname_ADM,0),0),"")</f>
        <v/>
      </c>
      <c r="AM196" s="62">
        <f>IF(N($AL196)&gt;0,INDEX(rIni_ADM,$AL196),IF(ISNUMBER($E196),$E196,""))</f>
        <v/>
      </c>
      <c r="AN196" s="62">
        <f>IF(N($AL196)&gt;0,INDEX(rLim_ADM,$AL196),IF(ISNUMBER($F196),$F196,""))</f>
        <v/>
      </c>
    </row>
    <row r="197">
      <c r="A197" s="56">
        <f>IF(NOT((COUNTA($B197:$D197)+COUNTA($G197:$L197)+COUNTA($Q197))&gt;0),"",IF($V197="Macro",COUNTIFS($V$5:$V197,"Macro",$S$5:$S197,$S197),IF(N($U197)=0,"?",COUNTIFS(INDEX($V$5:$V$1000,1):INDEX($V$5:$V$1000,$U197-4),"Macro",INDEX($S$5:$S$1000,1):INDEX($S$5:$S$1000,$U197-4),INDEX($S$5:$S$1000,$U197-4))&amp;"."&amp;COUNTIFS($U$5:$U197,$U197,$V$5:$V197,"Sub"))))</f>
        <v/>
      </c>
      <c r="B197" s="57" t="n"/>
      <c r="C197" s="58" t="n"/>
      <c r="D197" s="58" t="n"/>
      <c r="E197" s="59">
        <f>IF(N($AL197)&gt;0,INDEX(rIni_ADM,$AL197),"")</f>
        <v/>
      </c>
      <c r="F197" s="59">
        <f>IF(N($AL197)&gt;0,INDEX(rLim_ADM,$AL197),"")</f>
        <v/>
      </c>
      <c r="G197" s="59" t="n"/>
      <c r="H197" s="60" t="n"/>
      <c r="I197" s="60" t="n"/>
      <c r="J197" s="60" t="n"/>
      <c r="K197" s="60" t="n"/>
      <c r="L197" s="60" t="n"/>
      <c r="M197" s="61">
        <f>IF(NOT((COUNTA($B197:$D197)+COUNTA($G197:$L197)+COUNTA($Q197))&gt;0),"",IF(ISNUMBER($G197),1,IF(N($W197)&gt;0,AVERAGEIFS($X$5:$X$1000,$U$5:$U$1000,ROW(),$V$5:$V$1000,"Sub"),$X197)))</f>
        <v/>
      </c>
      <c r="N197" s="56">
        <f>IF($M197="","",IF($M197&gt;=1,"Completado",IF($M197&gt;0,"En curso","Pendiente")))</f>
        <v/>
      </c>
      <c r="O197" s="56">
        <f>IF(NOT((COUNTA($B197:$D197)+COUNTA($G197:$L197)+COUNTA($Q197))&gt;0),"",IF(ISNUMBER($G197),IF(AND(ISNUMBER($AN197),$G197&gt;$AN197),"Cumplida con "&amp;($G197-$AN197)&amp;IF($G197-$AN197=1," día"," días")&amp;" de retraso","Cumplida"),IF(N($M197)&gt;=1,"Cumplida",IF(NOT(ISNUMBER($AN197)),"Sin fecha límite",IF($AN197&lt;FechaRef,"Vencida hace "&amp;(FechaRef-$AN197)&amp;IF(FechaRef-$AN197=1," día"," días"),IF($AN197=FechaRef,"Vence hoy",IF($AN197-FechaRef&lt;=DiasAlerta,"Vence en "&amp;($AN197-FechaRef)&amp;IF($AN197-FechaRef=1," día"," días"),"En plazo")))))))</f>
        <v/>
      </c>
      <c r="P197" s="62" t="n"/>
      <c r="Q197" s="58" t="n"/>
      <c r="R197" s="63">
        <f>IF(NOT((COUNTA($B197:$D197)+COUNTA($G197:$L197)+COUNTA($Q197))&gt;0),"",IF((IF($C197="","Falta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",""))="","✔ OK","⚠ "&amp;LEFT(IF($C197="","Falta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",""),LEN(IF($C197="","Falta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",""))-3)))</f>
        <v/>
      </c>
      <c r="S197" s="64">
        <f>IF(NOT((COUNTA($B197:$D197)+COUNTA($G197:$L197)+COUNTA($Q197))&gt;0),"",IF(AND($V197="Sub",N($U197)&gt;0),IF(ISNUMBER(INDEX($AM$5:$AM$1000,$U197-4)),DATE(YEAR(INDEX($AM$5:$AM$1000,$U197-4)),MONTH(INDEX($AM$5:$AM$1000,$U197-4)),1),IF(ISNUMBER(INDEX($AN$5:$AN$1000,$U197-4)),DATE(YEAR(INDEX($AN$5:$AN$1000,$U197-4)),MONTH(INDEX($AN$5:$AN$1000,$U197-4)),1),MesCiclo)),IF(ISNUMBER($AM197),DATE(YEAR($AM197),MONTH($AM197),1),IF(ISNUMBER($AN197),DATE(YEAR($AN197),MONTH($AN197),1),MesCiclo))))</f>
        <v/>
      </c>
      <c r="T197" s="62">
        <f>IF(OR($S197="",$S197&lt;&gt;MesCiclo),"",COUNTIF($S$5:$S197,MesCiclo))</f>
        <v/>
      </c>
      <c r="U197" s="62">
        <f>IF($V197="","",IF($V197="Macro",ROW(),IFERROR(LOOKUP(2,1/($V$5:$V197="Macro"),ROW($V$5:$V197)),0)))</f>
        <v/>
      </c>
      <c r="V197" s="62">
        <f>IF(NOT((COUNTA($B197:$D197)+COUNTA($G197:$L197)+COUNTA($Q197))&gt;0),"",IF($B197="Subactividad","Sub","Macro"))</f>
        <v/>
      </c>
      <c r="W197" s="62">
        <f>IF($V197="Macro",COUNTIFS($U$5:$U$1000,ROW(),$V$5:$V$1000,"Sub"),"")</f>
        <v/>
      </c>
      <c r="X197" s="62">
        <f>IF($V197="","",IF(ISNUMBER($G197),1,IFERROR(LOOKUP(2,1/($I197:$L197&lt;&gt;""),$I197:$L197),0)))</f>
        <v/>
      </c>
      <c r="Y197" s="62">
        <f>IF($V197="","",IF(AND(ISNUMBER($G197),$G197&lt;=IF($S197=MesCiclo,InicioCiclo,$S197+MOD(2-WEEKDAY($S197),7))+6),1,IF(ISNUMBER($I197),$I197,0)))</f>
        <v/>
      </c>
      <c r="Z197" s="62">
        <f>IF($V197="","",IF(AND(ISNUMBER($G197),$G197&lt;=IF($S197=MesCiclo,InicioCiclo,$S197+MOD(2-WEEKDAY($S197),7))+13),1,IF(ISNUMBER($J197),$J197,$Y197)))</f>
        <v/>
      </c>
      <c r="AA197" s="62">
        <f>IF($V197="","",IF(AND(ISNUMBER($G197),$G197&lt;=IF($S197=MesCiclo,InicioCiclo,$S197+MOD(2-WEEKDAY($S197),7))+20),1,IF(ISNUMBER($K197),$K197,$Z197)))</f>
        <v/>
      </c>
      <c r="AB197" s="62">
        <f>IF($V197="","",IF(AND(ISNUMBER($G197),$G197&lt;=IF($S197=MesCiclo,InicioCiclo,$S197+MOD(2-WEEKDAY($S197),7))+27),1,IF(ISNUMBER($L197),$L197,$AA197)))</f>
        <v/>
      </c>
      <c r="AC197" s="62">
        <f>IF($V197="","",IF(AND(ISNUMBER($G197),$G197&lt;=IF($S197=MesCiclo,InicioCiclo,$S197+MOD(2-WEEKDAY($S197),7))+6),1,IF(N($W197)&gt;0,AVERAGEIFS($Y$5:$Y$1000,$U$5:$U$1000,ROW(),$V$5:$V$1000,"Sub"),$Y197)))</f>
        <v/>
      </c>
      <c r="AD197" s="62">
        <f>IF($V197="","",IF(AND(ISNUMBER($G197),$G197&lt;=IF($S197=MesCiclo,InicioCiclo,$S197+MOD(2-WEEKDAY($S197),7))+13),1,IF(N($W197)&gt;0,AVERAGEIFS($Z$5:$Z$1000,$U$5:$U$1000,ROW(),$V$5:$V$1000,"Sub"),$Z197)))</f>
        <v/>
      </c>
      <c r="AE197" s="62">
        <f>IF($V197="","",IF(AND(ISNUMBER($G197),$G197&lt;=IF($S197=MesCiclo,InicioCiclo,$S197+MOD(2-WEEKDAY($S197),7))+20),1,IF(N($W197)&gt;0,AVERAGEIFS($AA$5:$AA$1000,$U$5:$U$1000,ROW(),$V$5:$V$1000,"Sub"),$AA197)))</f>
        <v/>
      </c>
      <c r="AF197" s="62">
        <f>IF($V197="","",IF(AND(ISNUMBER($G197),$G197&lt;=IF($S197=MesCiclo,InicioCiclo,$S197+MOD(2-WEEKDAY($S197),7))+27),1,IF(N($W197)&gt;0,AVERAGEIFS($AB$5:$AB$1000,$U$5:$U$1000,ROW(),$V$5:$V$1000,"Sub"),$AB197)))</f>
        <v/>
      </c>
      <c r="AG197" s="62">
        <f>IF($V197&lt;&gt;"Macro","",IF(COUNTIFS($S$5:$S$1000,$S197,$V$5:$V$1000,"Macro",$H$5:$H$1000,"&gt;0")=0,1/COUNTIFS($S$5:$S$1000,$S197,$V$5:$V$1000,"Macro"),IF(AND(ISNUMBER($H197),N($H197)&gt;0),$H197,SUMIFS($H$5:$H$1000,$S$5:$S$1000,$S197,$V$5:$V$1000,"Macro")/COUNTIFS($S$5:$S$1000,$S197,$V$5:$V$1000,"Macro",$H$5:$H$1000,"&gt;0"))/(COUNTIFS($S$5:$S$1000,$S197,$V$5:$V$1000,"Macro")*SUMIFS($H$5:$H$1000,$S$5:$S$1000,$S197,$V$5:$V$1000,"Macro")/COUNTIFS($S$5:$S$1000,$S197,$V$5:$V$1000,"Macro",$H$5:$H$1000,"&gt;0"))))</f>
        <v/>
      </c>
      <c r="AH197" s="62" t="n"/>
      <c r="AI197" s="62" t="n"/>
      <c r="AJ197" s="62" t="n"/>
      <c r="AK197" s="62" t="n"/>
      <c r="AL197" s="62">
        <f>IF(LEFT($C197,11)="[Jefatura] ",IFERROR(MATCH("Asistente Técnico de Riesgo|"&amp;MID($C197,12,500),rDname_ADM,0),0),"")</f>
        <v/>
      </c>
      <c r="AM197" s="62">
        <f>IF(N($AL197)&gt;0,INDEX(rIni_ADM,$AL197),IF(ISNUMBER($E197),$E197,""))</f>
        <v/>
      </c>
      <c r="AN197" s="62">
        <f>IF(N($AL197)&gt;0,INDEX(rLim_ADM,$AL197),IF(ISNUMBER($F197),$F197,""))</f>
        <v/>
      </c>
    </row>
    <row r="198">
      <c r="A198" s="56">
        <f>IF(NOT((COUNTA($B198:$D198)+COUNTA($G198:$L198)+COUNTA($Q198))&gt;0),"",IF($V198="Macro",COUNTIFS($V$5:$V198,"Macro",$S$5:$S198,$S198),IF(N($U198)=0,"?",COUNTIFS(INDEX($V$5:$V$1000,1):INDEX($V$5:$V$1000,$U198-4),"Macro",INDEX($S$5:$S$1000,1):INDEX($S$5:$S$1000,$U198-4),INDEX($S$5:$S$1000,$U198-4))&amp;"."&amp;COUNTIFS($U$5:$U198,$U198,$V$5:$V198,"Sub"))))</f>
        <v/>
      </c>
      <c r="B198" s="57" t="n"/>
      <c r="C198" s="58" t="n"/>
      <c r="D198" s="58" t="n"/>
      <c r="E198" s="59">
        <f>IF(N($AL198)&gt;0,INDEX(rIni_ADM,$AL198),"")</f>
        <v/>
      </c>
      <c r="F198" s="59">
        <f>IF(N($AL198)&gt;0,INDEX(rLim_ADM,$AL198),"")</f>
        <v/>
      </c>
      <c r="G198" s="59" t="n"/>
      <c r="H198" s="60" t="n"/>
      <c r="I198" s="60" t="n"/>
      <c r="J198" s="60" t="n"/>
      <c r="K198" s="60" t="n"/>
      <c r="L198" s="60" t="n"/>
      <c r="M198" s="61">
        <f>IF(NOT((COUNTA($B198:$D198)+COUNTA($G198:$L198)+COUNTA($Q198))&gt;0),"",IF(ISNUMBER($G198),1,IF(N($W198)&gt;0,AVERAGEIFS($X$5:$X$1000,$U$5:$U$1000,ROW(),$V$5:$V$1000,"Sub"),$X198)))</f>
        <v/>
      </c>
      <c r="N198" s="56">
        <f>IF($M198="","",IF($M198&gt;=1,"Completado",IF($M198&gt;0,"En curso","Pendiente")))</f>
        <v/>
      </c>
      <c r="O198" s="56">
        <f>IF(NOT((COUNTA($B198:$D198)+COUNTA($G198:$L198)+COUNTA($Q198))&gt;0),"",IF(ISNUMBER($G198),IF(AND(ISNUMBER($AN198),$G198&gt;$AN198),"Cumplida con "&amp;($G198-$AN198)&amp;IF($G198-$AN198=1," día"," días")&amp;" de retraso","Cumplida"),IF(N($M198)&gt;=1,"Cumplida",IF(NOT(ISNUMBER($AN198)),"Sin fecha límite",IF($AN198&lt;FechaRef,"Vencida hace "&amp;(FechaRef-$AN198)&amp;IF(FechaRef-$AN198=1," día"," días"),IF($AN198=FechaRef,"Vence hoy",IF($AN198-FechaRef&lt;=DiasAlerta,"Vence en "&amp;($AN198-FechaRef)&amp;IF($AN198-FechaRef=1," día"," días"),"En plazo")))))))</f>
        <v/>
      </c>
      <c r="P198" s="62" t="n"/>
      <c r="Q198" s="58" t="n"/>
      <c r="R198" s="63">
        <f>IF(NOT((COUNTA($B198:$D198)+COUNTA($G198:$L198)+COUNTA($Q198))&gt;0),"",IF((IF($C198="","Falta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",""))="","✔ OK","⚠ "&amp;LEFT(IF($C198="","Falta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",""),LEN(IF($C198="","Falta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",""))-3)))</f>
        <v/>
      </c>
      <c r="S198" s="64">
        <f>IF(NOT((COUNTA($B198:$D198)+COUNTA($G198:$L198)+COUNTA($Q198))&gt;0),"",IF(AND($V198="Sub",N($U198)&gt;0),IF(ISNUMBER(INDEX($AM$5:$AM$1000,$U198-4)),DATE(YEAR(INDEX($AM$5:$AM$1000,$U198-4)),MONTH(INDEX($AM$5:$AM$1000,$U198-4)),1),IF(ISNUMBER(INDEX($AN$5:$AN$1000,$U198-4)),DATE(YEAR(INDEX($AN$5:$AN$1000,$U198-4)),MONTH(INDEX($AN$5:$AN$1000,$U198-4)),1),MesCiclo)),IF(ISNUMBER($AM198),DATE(YEAR($AM198),MONTH($AM198),1),IF(ISNUMBER($AN198),DATE(YEAR($AN198),MONTH($AN198),1),MesCiclo))))</f>
        <v/>
      </c>
      <c r="T198" s="62">
        <f>IF(OR($S198="",$S198&lt;&gt;MesCiclo),"",COUNTIF($S$5:$S198,MesCiclo))</f>
        <v/>
      </c>
      <c r="U198" s="62">
        <f>IF($V198="","",IF($V198="Macro",ROW(),IFERROR(LOOKUP(2,1/($V$5:$V198="Macro"),ROW($V$5:$V198)),0)))</f>
        <v/>
      </c>
      <c r="V198" s="62">
        <f>IF(NOT((COUNTA($B198:$D198)+COUNTA($G198:$L198)+COUNTA($Q198))&gt;0),"",IF($B198="Subactividad","Sub","Macro"))</f>
        <v/>
      </c>
      <c r="W198" s="62">
        <f>IF($V198="Macro",COUNTIFS($U$5:$U$1000,ROW(),$V$5:$V$1000,"Sub"),"")</f>
        <v/>
      </c>
      <c r="X198" s="62">
        <f>IF($V198="","",IF(ISNUMBER($G198),1,IFERROR(LOOKUP(2,1/($I198:$L198&lt;&gt;""),$I198:$L198),0)))</f>
        <v/>
      </c>
      <c r="Y198" s="62">
        <f>IF($V198="","",IF(AND(ISNUMBER($G198),$G198&lt;=IF($S198=MesCiclo,InicioCiclo,$S198+MOD(2-WEEKDAY($S198),7))+6),1,IF(ISNUMBER($I198),$I198,0)))</f>
        <v/>
      </c>
      <c r="Z198" s="62">
        <f>IF($V198="","",IF(AND(ISNUMBER($G198),$G198&lt;=IF($S198=MesCiclo,InicioCiclo,$S198+MOD(2-WEEKDAY($S198),7))+13),1,IF(ISNUMBER($J198),$J198,$Y198)))</f>
        <v/>
      </c>
      <c r="AA198" s="62">
        <f>IF($V198="","",IF(AND(ISNUMBER($G198),$G198&lt;=IF($S198=MesCiclo,InicioCiclo,$S198+MOD(2-WEEKDAY($S198),7))+20),1,IF(ISNUMBER($K198),$K198,$Z198)))</f>
        <v/>
      </c>
      <c r="AB198" s="62">
        <f>IF($V198="","",IF(AND(ISNUMBER($G198),$G198&lt;=IF($S198=MesCiclo,InicioCiclo,$S198+MOD(2-WEEKDAY($S198),7))+27),1,IF(ISNUMBER($L198),$L198,$AA198)))</f>
        <v/>
      </c>
      <c r="AC198" s="62">
        <f>IF($V198="","",IF(AND(ISNUMBER($G198),$G198&lt;=IF($S198=MesCiclo,InicioCiclo,$S198+MOD(2-WEEKDAY($S198),7))+6),1,IF(N($W198)&gt;0,AVERAGEIFS($Y$5:$Y$1000,$U$5:$U$1000,ROW(),$V$5:$V$1000,"Sub"),$Y198)))</f>
        <v/>
      </c>
      <c r="AD198" s="62">
        <f>IF($V198="","",IF(AND(ISNUMBER($G198),$G198&lt;=IF($S198=MesCiclo,InicioCiclo,$S198+MOD(2-WEEKDAY($S198),7))+13),1,IF(N($W198)&gt;0,AVERAGEIFS($Z$5:$Z$1000,$U$5:$U$1000,ROW(),$V$5:$V$1000,"Sub"),$Z198)))</f>
        <v/>
      </c>
      <c r="AE198" s="62">
        <f>IF($V198="","",IF(AND(ISNUMBER($G198),$G198&lt;=IF($S198=MesCiclo,InicioCiclo,$S198+MOD(2-WEEKDAY($S198),7))+20),1,IF(N($W198)&gt;0,AVERAGEIFS($AA$5:$AA$1000,$U$5:$U$1000,ROW(),$V$5:$V$1000,"Sub"),$AA198)))</f>
        <v/>
      </c>
      <c r="AF198" s="62">
        <f>IF($V198="","",IF(AND(ISNUMBER($G198),$G198&lt;=IF($S198=MesCiclo,InicioCiclo,$S198+MOD(2-WEEKDAY($S198),7))+27),1,IF(N($W198)&gt;0,AVERAGEIFS($AB$5:$AB$1000,$U$5:$U$1000,ROW(),$V$5:$V$1000,"Sub"),$AB198)))</f>
        <v/>
      </c>
      <c r="AG198" s="62">
        <f>IF($V198&lt;&gt;"Macro","",IF(COUNTIFS($S$5:$S$1000,$S198,$V$5:$V$1000,"Macro",$H$5:$H$1000,"&gt;0")=0,1/COUNTIFS($S$5:$S$1000,$S198,$V$5:$V$1000,"Macro"),IF(AND(ISNUMBER($H198),N($H198)&gt;0),$H198,SUMIFS($H$5:$H$1000,$S$5:$S$1000,$S198,$V$5:$V$1000,"Macro")/COUNTIFS($S$5:$S$1000,$S198,$V$5:$V$1000,"Macro",$H$5:$H$1000,"&gt;0"))/(COUNTIFS($S$5:$S$1000,$S198,$V$5:$V$1000,"Macro")*SUMIFS($H$5:$H$1000,$S$5:$S$1000,$S198,$V$5:$V$1000,"Macro")/COUNTIFS($S$5:$S$1000,$S198,$V$5:$V$1000,"Macro",$H$5:$H$1000,"&gt;0"))))</f>
        <v/>
      </c>
      <c r="AH198" s="62" t="n"/>
      <c r="AI198" s="62" t="n"/>
      <c r="AJ198" s="62" t="n"/>
      <c r="AK198" s="62" t="n"/>
      <c r="AL198" s="62">
        <f>IF(LEFT($C198,11)="[Jefatura] ",IFERROR(MATCH("Asistente Técnico de Riesgo|"&amp;MID($C198,12,500),rDname_ADM,0),0),"")</f>
        <v/>
      </c>
      <c r="AM198" s="62">
        <f>IF(N($AL198)&gt;0,INDEX(rIni_ADM,$AL198),IF(ISNUMBER($E198),$E198,""))</f>
        <v/>
      </c>
      <c r="AN198" s="62">
        <f>IF(N($AL198)&gt;0,INDEX(rLim_ADM,$AL198),IF(ISNUMBER($F198),$F198,""))</f>
        <v/>
      </c>
    </row>
    <row r="199">
      <c r="A199" s="56">
        <f>IF(NOT((COUNTA($B199:$D199)+COUNTA($G199:$L199)+COUNTA($Q199))&gt;0),"",IF($V199="Macro",COUNTIFS($V$5:$V199,"Macro",$S$5:$S199,$S199),IF(N($U199)=0,"?",COUNTIFS(INDEX($V$5:$V$1000,1):INDEX($V$5:$V$1000,$U199-4),"Macro",INDEX($S$5:$S$1000,1):INDEX($S$5:$S$1000,$U199-4),INDEX($S$5:$S$1000,$U199-4))&amp;"."&amp;COUNTIFS($U$5:$U199,$U199,$V$5:$V199,"Sub"))))</f>
        <v/>
      </c>
      <c r="B199" s="57" t="n"/>
      <c r="C199" s="58" t="n"/>
      <c r="D199" s="58" t="n"/>
      <c r="E199" s="59">
        <f>IF(N($AL199)&gt;0,INDEX(rIni_ADM,$AL199),"")</f>
        <v/>
      </c>
      <c r="F199" s="59">
        <f>IF(N($AL199)&gt;0,INDEX(rLim_ADM,$AL199),"")</f>
        <v/>
      </c>
      <c r="G199" s="59" t="n"/>
      <c r="H199" s="60" t="n"/>
      <c r="I199" s="60" t="n"/>
      <c r="J199" s="60" t="n"/>
      <c r="K199" s="60" t="n"/>
      <c r="L199" s="60" t="n"/>
      <c r="M199" s="61">
        <f>IF(NOT((COUNTA($B199:$D199)+COUNTA($G199:$L199)+COUNTA($Q199))&gt;0),"",IF(ISNUMBER($G199),1,IF(N($W199)&gt;0,AVERAGEIFS($X$5:$X$1000,$U$5:$U$1000,ROW(),$V$5:$V$1000,"Sub"),$X199)))</f>
        <v/>
      </c>
      <c r="N199" s="56">
        <f>IF($M199="","",IF($M199&gt;=1,"Completado",IF($M199&gt;0,"En curso","Pendiente")))</f>
        <v/>
      </c>
      <c r="O199" s="56">
        <f>IF(NOT((COUNTA($B199:$D199)+COUNTA($G199:$L199)+COUNTA($Q199))&gt;0),"",IF(ISNUMBER($G199),IF(AND(ISNUMBER($AN199),$G199&gt;$AN199),"Cumplida con "&amp;($G199-$AN199)&amp;IF($G199-$AN199=1," día"," días")&amp;" de retraso","Cumplida"),IF(N($M199)&gt;=1,"Cumplida",IF(NOT(ISNUMBER($AN199)),"Sin fecha límite",IF($AN199&lt;FechaRef,"Vencida hace "&amp;(FechaRef-$AN199)&amp;IF(FechaRef-$AN199=1," día"," días"),IF($AN199=FechaRef,"Vence hoy",IF($AN199-FechaRef&lt;=DiasAlerta,"Vence en "&amp;($AN199-FechaRef)&amp;IF($AN199-FechaRef=1," día"," días"),"En plazo")))))))</f>
        <v/>
      </c>
      <c r="P199" s="62" t="n"/>
      <c r="Q199" s="58" t="n"/>
      <c r="R199" s="63">
        <f>IF(NOT((COUNTA($B199:$D199)+COUNTA($G199:$L199)+COUNTA($Q199))&gt;0),"",IF((IF($C199="","Falta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",""))="","✔ OK","⚠ "&amp;LEFT(IF($C199="","Falta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",""),LEN(IF($C199="","Falta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",""))-3)))</f>
        <v/>
      </c>
      <c r="S199" s="64">
        <f>IF(NOT((COUNTA($B199:$D199)+COUNTA($G199:$L199)+COUNTA($Q199))&gt;0),"",IF(AND($V199="Sub",N($U199)&gt;0),IF(ISNUMBER(INDEX($AM$5:$AM$1000,$U199-4)),DATE(YEAR(INDEX($AM$5:$AM$1000,$U199-4)),MONTH(INDEX($AM$5:$AM$1000,$U199-4)),1),IF(ISNUMBER(INDEX($AN$5:$AN$1000,$U199-4)),DATE(YEAR(INDEX($AN$5:$AN$1000,$U199-4)),MONTH(INDEX($AN$5:$AN$1000,$U199-4)),1),MesCiclo)),IF(ISNUMBER($AM199),DATE(YEAR($AM199),MONTH($AM199),1),IF(ISNUMBER($AN199),DATE(YEAR($AN199),MONTH($AN199),1),MesCiclo))))</f>
        <v/>
      </c>
      <c r="T199" s="62">
        <f>IF(OR($S199="",$S199&lt;&gt;MesCiclo),"",COUNTIF($S$5:$S199,MesCiclo))</f>
        <v/>
      </c>
      <c r="U199" s="62">
        <f>IF($V199="","",IF($V199="Macro",ROW(),IFERROR(LOOKUP(2,1/($V$5:$V199="Macro"),ROW($V$5:$V199)),0)))</f>
        <v/>
      </c>
      <c r="V199" s="62">
        <f>IF(NOT((COUNTA($B199:$D199)+COUNTA($G199:$L199)+COUNTA($Q199))&gt;0),"",IF($B199="Subactividad","Sub","Macro"))</f>
        <v/>
      </c>
      <c r="W199" s="62">
        <f>IF($V199="Macro",COUNTIFS($U$5:$U$1000,ROW(),$V$5:$V$1000,"Sub"),"")</f>
        <v/>
      </c>
      <c r="X199" s="62">
        <f>IF($V199="","",IF(ISNUMBER($G199),1,IFERROR(LOOKUP(2,1/($I199:$L199&lt;&gt;""),$I199:$L199),0)))</f>
        <v/>
      </c>
      <c r="Y199" s="62">
        <f>IF($V199="","",IF(AND(ISNUMBER($G199),$G199&lt;=IF($S199=MesCiclo,InicioCiclo,$S199+MOD(2-WEEKDAY($S199),7))+6),1,IF(ISNUMBER($I199),$I199,0)))</f>
        <v/>
      </c>
      <c r="Z199" s="62">
        <f>IF($V199="","",IF(AND(ISNUMBER($G199),$G199&lt;=IF($S199=MesCiclo,InicioCiclo,$S199+MOD(2-WEEKDAY($S199),7))+13),1,IF(ISNUMBER($J199),$J199,$Y199)))</f>
        <v/>
      </c>
      <c r="AA199" s="62">
        <f>IF($V199="","",IF(AND(ISNUMBER($G199),$G199&lt;=IF($S199=MesCiclo,InicioCiclo,$S199+MOD(2-WEEKDAY($S199),7))+20),1,IF(ISNUMBER($K199),$K199,$Z199)))</f>
        <v/>
      </c>
      <c r="AB199" s="62">
        <f>IF($V199="","",IF(AND(ISNUMBER($G199),$G199&lt;=IF($S199=MesCiclo,InicioCiclo,$S199+MOD(2-WEEKDAY($S199),7))+27),1,IF(ISNUMBER($L199),$L199,$AA199)))</f>
        <v/>
      </c>
      <c r="AC199" s="62">
        <f>IF($V199="","",IF(AND(ISNUMBER($G199),$G199&lt;=IF($S199=MesCiclo,InicioCiclo,$S199+MOD(2-WEEKDAY($S199),7))+6),1,IF(N($W199)&gt;0,AVERAGEIFS($Y$5:$Y$1000,$U$5:$U$1000,ROW(),$V$5:$V$1000,"Sub"),$Y199)))</f>
        <v/>
      </c>
      <c r="AD199" s="62">
        <f>IF($V199="","",IF(AND(ISNUMBER($G199),$G199&lt;=IF($S199=MesCiclo,InicioCiclo,$S199+MOD(2-WEEKDAY($S199),7))+13),1,IF(N($W199)&gt;0,AVERAGEIFS($Z$5:$Z$1000,$U$5:$U$1000,ROW(),$V$5:$V$1000,"Sub"),$Z199)))</f>
        <v/>
      </c>
      <c r="AE199" s="62">
        <f>IF($V199="","",IF(AND(ISNUMBER($G199),$G199&lt;=IF($S199=MesCiclo,InicioCiclo,$S199+MOD(2-WEEKDAY($S199),7))+20),1,IF(N($W199)&gt;0,AVERAGEIFS($AA$5:$AA$1000,$U$5:$U$1000,ROW(),$V$5:$V$1000,"Sub"),$AA199)))</f>
        <v/>
      </c>
      <c r="AF199" s="62">
        <f>IF($V199="","",IF(AND(ISNUMBER($G199),$G199&lt;=IF($S199=MesCiclo,InicioCiclo,$S199+MOD(2-WEEKDAY($S199),7))+27),1,IF(N($W199)&gt;0,AVERAGEIFS($AB$5:$AB$1000,$U$5:$U$1000,ROW(),$V$5:$V$1000,"Sub"),$AB199)))</f>
        <v/>
      </c>
      <c r="AG199" s="62">
        <f>IF($V199&lt;&gt;"Macro","",IF(COUNTIFS($S$5:$S$1000,$S199,$V$5:$V$1000,"Macro",$H$5:$H$1000,"&gt;0")=0,1/COUNTIFS($S$5:$S$1000,$S199,$V$5:$V$1000,"Macro"),IF(AND(ISNUMBER($H199),N($H199)&gt;0),$H199,SUMIFS($H$5:$H$1000,$S$5:$S$1000,$S199,$V$5:$V$1000,"Macro")/COUNTIFS($S$5:$S$1000,$S199,$V$5:$V$1000,"Macro",$H$5:$H$1000,"&gt;0"))/(COUNTIFS($S$5:$S$1000,$S199,$V$5:$V$1000,"Macro")*SUMIFS($H$5:$H$1000,$S$5:$S$1000,$S199,$V$5:$V$1000,"Macro")/COUNTIFS($S$5:$S$1000,$S199,$V$5:$V$1000,"Macro",$H$5:$H$1000,"&gt;0"))))</f>
        <v/>
      </c>
      <c r="AH199" s="62" t="n"/>
      <c r="AI199" s="62" t="n"/>
      <c r="AJ199" s="62" t="n"/>
      <c r="AK199" s="62" t="n"/>
      <c r="AL199" s="62">
        <f>IF(LEFT($C199,11)="[Jefatura] ",IFERROR(MATCH("Asistente Técnico de Riesgo|"&amp;MID($C199,12,500),rDname_ADM,0),0),"")</f>
        <v/>
      </c>
      <c r="AM199" s="62">
        <f>IF(N($AL199)&gt;0,INDEX(rIni_ADM,$AL199),IF(ISNUMBER($E199),$E199,""))</f>
        <v/>
      </c>
      <c r="AN199" s="62">
        <f>IF(N($AL199)&gt;0,INDEX(rLim_ADM,$AL199),IF(ISNUMBER($F199),$F199,""))</f>
        <v/>
      </c>
    </row>
    <row r="200">
      <c r="A200" s="56">
        <f>IF(NOT((COUNTA($B200:$D200)+COUNTA($G200:$L200)+COUNTA($Q200))&gt;0),"",IF($V200="Macro",COUNTIFS($V$5:$V200,"Macro",$S$5:$S200,$S200),IF(N($U200)=0,"?",COUNTIFS(INDEX($V$5:$V$1000,1):INDEX($V$5:$V$1000,$U200-4),"Macro",INDEX($S$5:$S$1000,1):INDEX($S$5:$S$1000,$U200-4),INDEX($S$5:$S$1000,$U200-4))&amp;"."&amp;COUNTIFS($U$5:$U200,$U200,$V$5:$V200,"Sub"))))</f>
        <v/>
      </c>
      <c r="B200" s="57" t="n"/>
      <c r="C200" s="58" t="n"/>
      <c r="D200" s="58" t="n"/>
      <c r="E200" s="59">
        <f>IF(N($AL200)&gt;0,INDEX(rIni_ADM,$AL200),"")</f>
        <v/>
      </c>
      <c r="F200" s="59">
        <f>IF(N($AL200)&gt;0,INDEX(rLim_ADM,$AL200),"")</f>
        <v/>
      </c>
      <c r="G200" s="59" t="n"/>
      <c r="H200" s="60" t="n"/>
      <c r="I200" s="60" t="n"/>
      <c r="J200" s="60" t="n"/>
      <c r="K200" s="60" t="n"/>
      <c r="L200" s="60" t="n"/>
      <c r="M200" s="61">
        <f>IF(NOT((COUNTA($B200:$D200)+COUNTA($G200:$L200)+COUNTA($Q200))&gt;0),"",IF(ISNUMBER($G200),1,IF(N($W200)&gt;0,AVERAGEIFS($X$5:$X$1000,$U$5:$U$1000,ROW(),$V$5:$V$1000,"Sub"),$X200)))</f>
        <v/>
      </c>
      <c r="N200" s="56">
        <f>IF($M200="","",IF($M200&gt;=1,"Completado",IF($M200&gt;0,"En curso","Pendiente")))</f>
        <v/>
      </c>
      <c r="O200" s="56">
        <f>IF(NOT((COUNTA($B200:$D200)+COUNTA($G200:$L200)+COUNTA($Q200))&gt;0),"",IF(ISNUMBER($G200),IF(AND(ISNUMBER($AN200),$G200&gt;$AN200),"Cumplida con "&amp;($G200-$AN200)&amp;IF($G200-$AN200=1," día"," días")&amp;" de retraso","Cumplida"),IF(N($M200)&gt;=1,"Cumplida",IF(NOT(ISNUMBER($AN200)),"Sin fecha límite",IF($AN200&lt;FechaRef,"Vencida hace "&amp;(FechaRef-$AN200)&amp;IF(FechaRef-$AN200=1," día"," días"),IF($AN200=FechaRef,"Vence hoy",IF($AN200-FechaRef&lt;=DiasAlerta,"Vence en "&amp;($AN200-FechaRef)&amp;IF($AN200-FechaRef=1," día"," días"),"En plazo")))))))</f>
        <v/>
      </c>
      <c r="P200" s="62" t="n"/>
      <c r="Q200" s="58" t="n"/>
      <c r="R200" s="63">
        <f>IF(NOT((COUNTA($B200:$D200)+COUNTA($G200:$L200)+COUNTA($Q200))&gt;0),"",IF((IF($C200="","Falta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",""))="","✔ OK","⚠ "&amp;LEFT(IF($C200="","Falta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",""),LEN(IF($C200="","Falta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",""))-3)))</f>
        <v/>
      </c>
      <c r="S200" s="64">
        <f>IF(NOT((COUNTA($B200:$D200)+COUNTA($G200:$L200)+COUNTA($Q200))&gt;0),"",IF(AND($V200="Sub",N($U200)&gt;0),IF(ISNUMBER(INDEX($AM$5:$AM$1000,$U200-4)),DATE(YEAR(INDEX($AM$5:$AM$1000,$U200-4)),MONTH(INDEX($AM$5:$AM$1000,$U200-4)),1),IF(ISNUMBER(INDEX($AN$5:$AN$1000,$U200-4)),DATE(YEAR(INDEX($AN$5:$AN$1000,$U200-4)),MONTH(INDEX($AN$5:$AN$1000,$U200-4)),1),MesCiclo)),IF(ISNUMBER($AM200),DATE(YEAR($AM200),MONTH($AM200),1),IF(ISNUMBER($AN200),DATE(YEAR($AN200),MONTH($AN200),1),MesCiclo))))</f>
        <v/>
      </c>
      <c r="T200" s="62">
        <f>IF(OR($S200="",$S200&lt;&gt;MesCiclo),"",COUNTIF($S$5:$S200,MesCiclo))</f>
        <v/>
      </c>
      <c r="U200" s="62">
        <f>IF($V200="","",IF($V200="Macro",ROW(),IFERROR(LOOKUP(2,1/($V$5:$V200="Macro"),ROW($V$5:$V200)),0)))</f>
        <v/>
      </c>
      <c r="V200" s="62">
        <f>IF(NOT((COUNTA($B200:$D200)+COUNTA($G200:$L200)+COUNTA($Q200))&gt;0),"",IF($B200="Subactividad","Sub","Macro"))</f>
        <v/>
      </c>
      <c r="W200" s="62">
        <f>IF($V200="Macro",COUNTIFS($U$5:$U$1000,ROW(),$V$5:$V$1000,"Sub"),"")</f>
        <v/>
      </c>
      <c r="X200" s="62">
        <f>IF($V200="","",IF(ISNUMBER($G200),1,IFERROR(LOOKUP(2,1/($I200:$L200&lt;&gt;""),$I200:$L200),0)))</f>
        <v/>
      </c>
      <c r="Y200" s="62">
        <f>IF($V200="","",IF(AND(ISNUMBER($G200),$G200&lt;=IF($S200=MesCiclo,InicioCiclo,$S200+MOD(2-WEEKDAY($S200),7))+6),1,IF(ISNUMBER($I200),$I200,0)))</f>
        <v/>
      </c>
      <c r="Z200" s="62">
        <f>IF($V200="","",IF(AND(ISNUMBER($G200),$G200&lt;=IF($S200=MesCiclo,InicioCiclo,$S200+MOD(2-WEEKDAY($S200),7))+13),1,IF(ISNUMBER($J200),$J200,$Y200)))</f>
        <v/>
      </c>
      <c r="AA200" s="62">
        <f>IF($V200="","",IF(AND(ISNUMBER($G200),$G200&lt;=IF($S200=MesCiclo,InicioCiclo,$S200+MOD(2-WEEKDAY($S200),7))+20),1,IF(ISNUMBER($K200),$K200,$Z200)))</f>
        <v/>
      </c>
      <c r="AB200" s="62">
        <f>IF($V200="","",IF(AND(ISNUMBER($G200),$G200&lt;=IF($S200=MesCiclo,InicioCiclo,$S200+MOD(2-WEEKDAY($S200),7))+27),1,IF(ISNUMBER($L200),$L200,$AA200)))</f>
        <v/>
      </c>
      <c r="AC200" s="62">
        <f>IF($V200="","",IF(AND(ISNUMBER($G200),$G200&lt;=IF($S200=MesCiclo,InicioCiclo,$S200+MOD(2-WEEKDAY($S200),7))+6),1,IF(N($W200)&gt;0,AVERAGEIFS($Y$5:$Y$1000,$U$5:$U$1000,ROW(),$V$5:$V$1000,"Sub"),$Y200)))</f>
        <v/>
      </c>
      <c r="AD200" s="62">
        <f>IF($V200="","",IF(AND(ISNUMBER($G200),$G200&lt;=IF($S200=MesCiclo,InicioCiclo,$S200+MOD(2-WEEKDAY($S200),7))+13),1,IF(N($W200)&gt;0,AVERAGEIFS($Z$5:$Z$1000,$U$5:$U$1000,ROW(),$V$5:$V$1000,"Sub"),$Z200)))</f>
        <v/>
      </c>
      <c r="AE200" s="62">
        <f>IF($V200="","",IF(AND(ISNUMBER($G200),$G200&lt;=IF($S200=MesCiclo,InicioCiclo,$S200+MOD(2-WEEKDAY($S200),7))+20),1,IF(N($W200)&gt;0,AVERAGEIFS($AA$5:$AA$1000,$U$5:$U$1000,ROW(),$V$5:$V$1000,"Sub"),$AA200)))</f>
        <v/>
      </c>
      <c r="AF200" s="62">
        <f>IF($V200="","",IF(AND(ISNUMBER($G200),$G200&lt;=IF($S200=MesCiclo,InicioCiclo,$S200+MOD(2-WEEKDAY($S200),7))+27),1,IF(N($W200)&gt;0,AVERAGEIFS($AB$5:$AB$1000,$U$5:$U$1000,ROW(),$V$5:$V$1000,"Sub"),$AB200)))</f>
        <v/>
      </c>
      <c r="AG200" s="62">
        <f>IF($V200&lt;&gt;"Macro","",IF(COUNTIFS($S$5:$S$1000,$S200,$V$5:$V$1000,"Macro",$H$5:$H$1000,"&gt;0")=0,1/COUNTIFS($S$5:$S$1000,$S200,$V$5:$V$1000,"Macro"),IF(AND(ISNUMBER($H200),N($H200)&gt;0),$H200,SUMIFS($H$5:$H$1000,$S$5:$S$1000,$S200,$V$5:$V$1000,"Macro")/COUNTIFS($S$5:$S$1000,$S200,$V$5:$V$1000,"Macro",$H$5:$H$1000,"&gt;0"))/(COUNTIFS($S$5:$S$1000,$S200,$V$5:$V$1000,"Macro")*SUMIFS($H$5:$H$1000,$S$5:$S$1000,$S200,$V$5:$V$1000,"Macro")/COUNTIFS($S$5:$S$1000,$S200,$V$5:$V$1000,"Macro",$H$5:$H$1000,"&gt;0"))))</f>
        <v/>
      </c>
      <c r="AH200" s="62" t="n"/>
      <c r="AI200" s="62" t="n"/>
      <c r="AJ200" s="62" t="n"/>
      <c r="AK200" s="62" t="n"/>
      <c r="AL200" s="62">
        <f>IF(LEFT($C200,11)="[Jefatura] ",IFERROR(MATCH("Asistente Técnico de Riesgo|"&amp;MID($C200,12,500),rDname_ADM,0),0),"")</f>
        <v/>
      </c>
      <c r="AM200" s="62">
        <f>IF(N($AL200)&gt;0,INDEX(rIni_ADM,$AL200),IF(ISNUMBER($E200),$E200,""))</f>
        <v/>
      </c>
      <c r="AN200" s="62">
        <f>IF(N($AL200)&gt;0,INDEX(rLim_ADM,$AL200),IF(ISNUMBER($F200),$F200,""))</f>
        <v/>
      </c>
    </row>
    <row r="201">
      <c r="A201" s="56">
        <f>IF(NOT((COUNTA($B201:$D201)+COUNTA($G201:$L201)+COUNTA($Q201))&gt;0),"",IF($V201="Macro",COUNTIFS($V$5:$V201,"Macro",$S$5:$S201,$S201),IF(N($U201)=0,"?",COUNTIFS(INDEX($V$5:$V$1000,1):INDEX($V$5:$V$1000,$U201-4),"Macro",INDEX($S$5:$S$1000,1):INDEX($S$5:$S$1000,$U201-4),INDEX($S$5:$S$1000,$U201-4))&amp;"."&amp;COUNTIFS($U$5:$U201,$U201,$V$5:$V201,"Sub"))))</f>
        <v/>
      </c>
      <c r="B201" s="57" t="n"/>
      <c r="C201" s="58" t="n"/>
      <c r="D201" s="58" t="n"/>
      <c r="E201" s="59">
        <f>IF(N($AL201)&gt;0,INDEX(rIni_ADM,$AL201),"")</f>
        <v/>
      </c>
      <c r="F201" s="59">
        <f>IF(N($AL201)&gt;0,INDEX(rLim_ADM,$AL201),"")</f>
        <v/>
      </c>
      <c r="G201" s="59" t="n"/>
      <c r="H201" s="60" t="n"/>
      <c r="I201" s="60" t="n"/>
      <c r="J201" s="60" t="n"/>
      <c r="K201" s="60" t="n"/>
      <c r="L201" s="60" t="n"/>
      <c r="M201" s="61">
        <f>IF(NOT((COUNTA($B201:$D201)+COUNTA($G201:$L201)+COUNTA($Q201))&gt;0),"",IF(ISNUMBER($G201),1,IF(N($W201)&gt;0,AVERAGEIFS($X$5:$X$1000,$U$5:$U$1000,ROW(),$V$5:$V$1000,"Sub"),$X201)))</f>
        <v/>
      </c>
      <c r="N201" s="56">
        <f>IF($M201="","",IF($M201&gt;=1,"Completado",IF($M201&gt;0,"En curso","Pendiente")))</f>
        <v/>
      </c>
      <c r="O201" s="56">
        <f>IF(NOT((COUNTA($B201:$D201)+COUNTA($G201:$L201)+COUNTA($Q201))&gt;0),"",IF(ISNUMBER($G201),IF(AND(ISNUMBER($AN201),$G201&gt;$AN201),"Cumplida con "&amp;($G201-$AN201)&amp;IF($G201-$AN201=1," día"," días")&amp;" de retraso","Cumplida"),IF(N($M201)&gt;=1,"Cumplida",IF(NOT(ISNUMBER($AN201)),"Sin fecha límite",IF($AN201&lt;FechaRef,"Vencida hace "&amp;(FechaRef-$AN201)&amp;IF(FechaRef-$AN201=1," día"," días"),IF($AN201=FechaRef,"Vence hoy",IF($AN201-FechaRef&lt;=DiasAlerta,"Vence en "&amp;($AN201-FechaRef)&amp;IF($AN201-FechaRef=1," día"," días"),"En plazo")))))))</f>
        <v/>
      </c>
      <c r="P201" s="62" t="n"/>
      <c r="Q201" s="58" t="n"/>
      <c r="R201" s="63">
        <f>IF(NOT((COUNTA($B201:$D201)+COUNTA($G201:$L201)+COUNTA($Q201))&gt;0),"",IF((IF($C201="","Falta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",""))="","✔ OK","⚠ "&amp;LEFT(IF($C201="","Falta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",""),LEN(IF($C201="","Falta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",""))-3)))</f>
        <v/>
      </c>
      <c r="S201" s="64">
        <f>IF(NOT((COUNTA($B201:$D201)+COUNTA($G201:$L201)+COUNTA($Q201))&gt;0),"",IF(AND($V201="Sub",N($U201)&gt;0),IF(ISNUMBER(INDEX($AM$5:$AM$1000,$U201-4)),DATE(YEAR(INDEX($AM$5:$AM$1000,$U201-4)),MONTH(INDEX($AM$5:$AM$1000,$U201-4)),1),IF(ISNUMBER(INDEX($AN$5:$AN$1000,$U201-4)),DATE(YEAR(INDEX($AN$5:$AN$1000,$U201-4)),MONTH(INDEX($AN$5:$AN$1000,$U201-4)),1),MesCiclo)),IF(ISNUMBER($AM201),DATE(YEAR($AM201),MONTH($AM201),1),IF(ISNUMBER($AN201),DATE(YEAR($AN201),MONTH($AN201),1),MesCiclo))))</f>
        <v/>
      </c>
      <c r="T201" s="62">
        <f>IF(OR($S201="",$S201&lt;&gt;MesCiclo),"",COUNTIF($S$5:$S201,MesCiclo))</f>
        <v/>
      </c>
      <c r="U201" s="62">
        <f>IF($V201="","",IF($V201="Macro",ROW(),IFERROR(LOOKUP(2,1/($V$5:$V201="Macro"),ROW($V$5:$V201)),0)))</f>
        <v/>
      </c>
      <c r="V201" s="62">
        <f>IF(NOT((COUNTA($B201:$D201)+COUNTA($G201:$L201)+COUNTA($Q201))&gt;0),"",IF($B201="Subactividad","Sub","Macro"))</f>
        <v/>
      </c>
      <c r="W201" s="62">
        <f>IF($V201="Macro",COUNTIFS($U$5:$U$1000,ROW(),$V$5:$V$1000,"Sub"),"")</f>
        <v/>
      </c>
      <c r="X201" s="62">
        <f>IF($V201="","",IF(ISNUMBER($G201),1,IFERROR(LOOKUP(2,1/($I201:$L201&lt;&gt;""),$I201:$L201),0)))</f>
        <v/>
      </c>
      <c r="Y201" s="62">
        <f>IF($V201="","",IF(AND(ISNUMBER($G201),$G201&lt;=IF($S201=MesCiclo,InicioCiclo,$S201+MOD(2-WEEKDAY($S201),7))+6),1,IF(ISNUMBER($I201),$I201,0)))</f>
        <v/>
      </c>
      <c r="Z201" s="62">
        <f>IF($V201="","",IF(AND(ISNUMBER($G201),$G201&lt;=IF($S201=MesCiclo,InicioCiclo,$S201+MOD(2-WEEKDAY($S201),7))+13),1,IF(ISNUMBER($J201),$J201,$Y201)))</f>
        <v/>
      </c>
      <c r="AA201" s="62">
        <f>IF($V201="","",IF(AND(ISNUMBER($G201),$G201&lt;=IF($S201=MesCiclo,InicioCiclo,$S201+MOD(2-WEEKDAY($S201),7))+20),1,IF(ISNUMBER($K201),$K201,$Z201)))</f>
        <v/>
      </c>
      <c r="AB201" s="62">
        <f>IF($V201="","",IF(AND(ISNUMBER($G201),$G201&lt;=IF($S201=MesCiclo,InicioCiclo,$S201+MOD(2-WEEKDAY($S201),7))+27),1,IF(ISNUMBER($L201),$L201,$AA201)))</f>
        <v/>
      </c>
      <c r="AC201" s="62">
        <f>IF($V201="","",IF(AND(ISNUMBER($G201),$G201&lt;=IF($S201=MesCiclo,InicioCiclo,$S201+MOD(2-WEEKDAY($S201),7))+6),1,IF(N($W201)&gt;0,AVERAGEIFS($Y$5:$Y$1000,$U$5:$U$1000,ROW(),$V$5:$V$1000,"Sub"),$Y201)))</f>
        <v/>
      </c>
      <c r="AD201" s="62">
        <f>IF($V201="","",IF(AND(ISNUMBER($G201),$G201&lt;=IF($S201=MesCiclo,InicioCiclo,$S201+MOD(2-WEEKDAY($S201),7))+13),1,IF(N($W201)&gt;0,AVERAGEIFS($Z$5:$Z$1000,$U$5:$U$1000,ROW(),$V$5:$V$1000,"Sub"),$Z201)))</f>
        <v/>
      </c>
      <c r="AE201" s="62">
        <f>IF($V201="","",IF(AND(ISNUMBER($G201),$G201&lt;=IF($S201=MesCiclo,InicioCiclo,$S201+MOD(2-WEEKDAY($S201),7))+20),1,IF(N($W201)&gt;0,AVERAGEIFS($AA$5:$AA$1000,$U$5:$U$1000,ROW(),$V$5:$V$1000,"Sub"),$AA201)))</f>
        <v/>
      </c>
      <c r="AF201" s="62">
        <f>IF($V201="","",IF(AND(ISNUMBER($G201),$G201&lt;=IF($S201=MesCiclo,InicioCiclo,$S201+MOD(2-WEEKDAY($S201),7))+27),1,IF(N($W201)&gt;0,AVERAGEIFS($AB$5:$AB$1000,$U$5:$U$1000,ROW(),$V$5:$V$1000,"Sub"),$AB201)))</f>
        <v/>
      </c>
      <c r="AG201" s="62">
        <f>IF($V201&lt;&gt;"Macro","",IF(COUNTIFS($S$5:$S$1000,$S201,$V$5:$V$1000,"Macro",$H$5:$H$1000,"&gt;0")=0,1/COUNTIFS($S$5:$S$1000,$S201,$V$5:$V$1000,"Macro"),IF(AND(ISNUMBER($H201),N($H201)&gt;0),$H201,SUMIFS($H$5:$H$1000,$S$5:$S$1000,$S201,$V$5:$V$1000,"Macro")/COUNTIFS($S$5:$S$1000,$S201,$V$5:$V$1000,"Macro",$H$5:$H$1000,"&gt;0"))/(COUNTIFS($S$5:$S$1000,$S201,$V$5:$V$1000,"Macro")*SUMIFS($H$5:$H$1000,$S$5:$S$1000,$S201,$V$5:$V$1000,"Macro")/COUNTIFS($S$5:$S$1000,$S201,$V$5:$V$1000,"Macro",$H$5:$H$1000,"&gt;0"))))</f>
        <v/>
      </c>
      <c r="AH201" s="62" t="n"/>
      <c r="AI201" s="62" t="n"/>
      <c r="AJ201" s="62" t="n"/>
      <c r="AK201" s="62" t="n"/>
      <c r="AL201" s="62">
        <f>IF(LEFT($C201,11)="[Jefatura] ",IFERROR(MATCH("Asistente Técnico de Riesgo|"&amp;MID($C201,12,500),rDname_ADM,0),0),"")</f>
        <v/>
      </c>
      <c r="AM201" s="62">
        <f>IF(N($AL201)&gt;0,INDEX(rIni_ADM,$AL201),IF(ISNUMBER($E201),$E201,""))</f>
        <v/>
      </c>
      <c r="AN201" s="62">
        <f>IF(N($AL201)&gt;0,INDEX(rLim_ADM,$AL201),IF(ISNUMBER($F201),$F201,""))</f>
        <v/>
      </c>
    </row>
    <row r="202">
      <c r="A202" s="56">
        <f>IF(NOT((COUNTA($B202:$D202)+COUNTA($G202:$L202)+COUNTA($Q202))&gt;0),"",IF($V202="Macro",COUNTIFS($V$5:$V202,"Macro",$S$5:$S202,$S202),IF(N($U202)=0,"?",COUNTIFS(INDEX($V$5:$V$1000,1):INDEX($V$5:$V$1000,$U202-4),"Macro",INDEX($S$5:$S$1000,1):INDEX($S$5:$S$1000,$U202-4),INDEX($S$5:$S$1000,$U202-4))&amp;"."&amp;COUNTIFS($U$5:$U202,$U202,$V$5:$V202,"Sub"))))</f>
        <v/>
      </c>
      <c r="B202" s="57" t="n"/>
      <c r="C202" s="58" t="n"/>
      <c r="D202" s="58" t="n"/>
      <c r="E202" s="59">
        <f>IF(N($AL202)&gt;0,INDEX(rIni_ADM,$AL202),"")</f>
        <v/>
      </c>
      <c r="F202" s="59">
        <f>IF(N($AL202)&gt;0,INDEX(rLim_ADM,$AL202),"")</f>
        <v/>
      </c>
      <c r="G202" s="59" t="n"/>
      <c r="H202" s="60" t="n"/>
      <c r="I202" s="60" t="n"/>
      <c r="J202" s="60" t="n"/>
      <c r="K202" s="60" t="n"/>
      <c r="L202" s="60" t="n"/>
      <c r="M202" s="61">
        <f>IF(NOT((COUNTA($B202:$D202)+COUNTA($G202:$L202)+COUNTA($Q202))&gt;0),"",IF(ISNUMBER($G202),1,IF(N($W202)&gt;0,AVERAGEIFS($X$5:$X$1000,$U$5:$U$1000,ROW(),$V$5:$V$1000,"Sub"),$X202)))</f>
        <v/>
      </c>
      <c r="N202" s="56">
        <f>IF($M202="","",IF($M202&gt;=1,"Completado",IF($M202&gt;0,"En curso","Pendiente")))</f>
        <v/>
      </c>
      <c r="O202" s="56">
        <f>IF(NOT((COUNTA($B202:$D202)+COUNTA($G202:$L202)+COUNTA($Q202))&gt;0),"",IF(ISNUMBER($G202),IF(AND(ISNUMBER($AN202),$G202&gt;$AN202),"Cumplida con "&amp;($G202-$AN202)&amp;IF($G202-$AN202=1," día"," días")&amp;" de retraso","Cumplida"),IF(N($M202)&gt;=1,"Cumplida",IF(NOT(ISNUMBER($AN202)),"Sin fecha límite",IF($AN202&lt;FechaRef,"Vencida hace "&amp;(FechaRef-$AN202)&amp;IF(FechaRef-$AN202=1," día"," días"),IF($AN202=FechaRef,"Vence hoy",IF($AN202-FechaRef&lt;=DiasAlerta,"Vence en "&amp;($AN202-FechaRef)&amp;IF($AN202-FechaRef=1," día"," días"),"En plazo")))))))</f>
        <v/>
      </c>
      <c r="P202" s="62" t="n"/>
      <c r="Q202" s="58" t="n"/>
      <c r="R202" s="63">
        <f>IF(NOT((COUNTA($B202:$D202)+COUNTA($G202:$L202)+COUNTA($Q202))&gt;0),"",IF((IF($C202="","Falta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",""))="","✔ OK","⚠ "&amp;LEFT(IF($C202="","Falta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",""),LEN(IF($C202="","Falta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",""))-3)))</f>
        <v/>
      </c>
      <c r="S202" s="64">
        <f>IF(NOT((COUNTA($B202:$D202)+COUNTA($G202:$L202)+COUNTA($Q202))&gt;0),"",IF(AND($V202="Sub",N($U202)&gt;0),IF(ISNUMBER(INDEX($AM$5:$AM$1000,$U202-4)),DATE(YEAR(INDEX($AM$5:$AM$1000,$U202-4)),MONTH(INDEX($AM$5:$AM$1000,$U202-4)),1),IF(ISNUMBER(INDEX($AN$5:$AN$1000,$U202-4)),DATE(YEAR(INDEX($AN$5:$AN$1000,$U202-4)),MONTH(INDEX($AN$5:$AN$1000,$U202-4)),1),MesCiclo)),IF(ISNUMBER($AM202),DATE(YEAR($AM202),MONTH($AM202),1),IF(ISNUMBER($AN202),DATE(YEAR($AN202),MONTH($AN202),1),MesCiclo))))</f>
        <v/>
      </c>
      <c r="T202" s="62">
        <f>IF(OR($S202="",$S202&lt;&gt;MesCiclo),"",COUNTIF($S$5:$S202,MesCiclo))</f>
        <v/>
      </c>
      <c r="U202" s="62">
        <f>IF($V202="","",IF($V202="Macro",ROW(),IFERROR(LOOKUP(2,1/($V$5:$V202="Macro"),ROW($V$5:$V202)),0)))</f>
        <v/>
      </c>
      <c r="V202" s="62">
        <f>IF(NOT((COUNTA($B202:$D202)+COUNTA($G202:$L202)+COUNTA($Q202))&gt;0),"",IF($B202="Subactividad","Sub","Macro"))</f>
        <v/>
      </c>
      <c r="W202" s="62">
        <f>IF($V202="Macro",COUNTIFS($U$5:$U$1000,ROW(),$V$5:$V$1000,"Sub"),"")</f>
        <v/>
      </c>
      <c r="X202" s="62">
        <f>IF($V202="","",IF(ISNUMBER($G202),1,IFERROR(LOOKUP(2,1/($I202:$L202&lt;&gt;""),$I202:$L202),0)))</f>
        <v/>
      </c>
      <c r="Y202" s="62">
        <f>IF($V202="","",IF(AND(ISNUMBER($G202),$G202&lt;=IF($S202=MesCiclo,InicioCiclo,$S202+MOD(2-WEEKDAY($S202),7))+6),1,IF(ISNUMBER($I202),$I202,0)))</f>
        <v/>
      </c>
      <c r="Z202" s="62">
        <f>IF($V202="","",IF(AND(ISNUMBER($G202),$G202&lt;=IF($S202=MesCiclo,InicioCiclo,$S202+MOD(2-WEEKDAY($S202),7))+13),1,IF(ISNUMBER($J202),$J202,$Y202)))</f>
        <v/>
      </c>
      <c r="AA202" s="62">
        <f>IF($V202="","",IF(AND(ISNUMBER($G202),$G202&lt;=IF($S202=MesCiclo,InicioCiclo,$S202+MOD(2-WEEKDAY($S202),7))+20),1,IF(ISNUMBER($K202),$K202,$Z202)))</f>
        <v/>
      </c>
      <c r="AB202" s="62">
        <f>IF($V202="","",IF(AND(ISNUMBER($G202),$G202&lt;=IF($S202=MesCiclo,InicioCiclo,$S202+MOD(2-WEEKDAY($S202),7))+27),1,IF(ISNUMBER($L202),$L202,$AA202)))</f>
        <v/>
      </c>
      <c r="AC202" s="62">
        <f>IF($V202="","",IF(AND(ISNUMBER($G202),$G202&lt;=IF($S202=MesCiclo,InicioCiclo,$S202+MOD(2-WEEKDAY($S202),7))+6),1,IF(N($W202)&gt;0,AVERAGEIFS($Y$5:$Y$1000,$U$5:$U$1000,ROW(),$V$5:$V$1000,"Sub"),$Y202)))</f>
        <v/>
      </c>
      <c r="AD202" s="62">
        <f>IF($V202="","",IF(AND(ISNUMBER($G202),$G202&lt;=IF($S202=MesCiclo,InicioCiclo,$S202+MOD(2-WEEKDAY($S202),7))+13),1,IF(N($W202)&gt;0,AVERAGEIFS($Z$5:$Z$1000,$U$5:$U$1000,ROW(),$V$5:$V$1000,"Sub"),$Z202)))</f>
        <v/>
      </c>
      <c r="AE202" s="62">
        <f>IF($V202="","",IF(AND(ISNUMBER($G202),$G202&lt;=IF($S202=MesCiclo,InicioCiclo,$S202+MOD(2-WEEKDAY($S202),7))+20),1,IF(N($W202)&gt;0,AVERAGEIFS($AA$5:$AA$1000,$U$5:$U$1000,ROW(),$V$5:$V$1000,"Sub"),$AA202)))</f>
        <v/>
      </c>
      <c r="AF202" s="62">
        <f>IF($V202="","",IF(AND(ISNUMBER($G202),$G202&lt;=IF($S202=MesCiclo,InicioCiclo,$S202+MOD(2-WEEKDAY($S202),7))+27),1,IF(N($W202)&gt;0,AVERAGEIFS($AB$5:$AB$1000,$U$5:$U$1000,ROW(),$V$5:$V$1000,"Sub"),$AB202)))</f>
        <v/>
      </c>
      <c r="AG202" s="62">
        <f>IF($V202&lt;&gt;"Macro","",IF(COUNTIFS($S$5:$S$1000,$S202,$V$5:$V$1000,"Macro",$H$5:$H$1000,"&gt;0")=0,1/COUNTIFS($S$5:$S$1000,$S202,$V$5:$V$1000,"Macro"),IF(AND(ISNUMBER($H202),N($H202)&gt;0),$H202,SUMIFS($H$5:$H$1000,$S$5:$S$1000,$S202,$V$5:$V$1000,"Macro")/COUNTIFS($S$5:$S$1000,$S202,$V$5:$V$1000,"Macro",$H$5:$H$1000,"&gt;0"))/(COUNTIFS($S$5:$S$1000,$S202,$V$5:$V$1000,"Macro")*SUMIFS($H$5:$H$1000,$S$5:$S$1000,$S202,$V$5:$V$1000,"Macro")/COUNTIFS($S$5:$S$1000,$S202,$V$5:$V$1000,"Macro",$H$5:$H$1000,"&gt;0"))))</f>
        <v/>
      </c>
      <c r="AH202" s="62" t="n"/>
      <c r="AI202" s="62" t="n"/>
      <c r="AJ202" s="62" t="n"/>
      <c r="AK202" s="62" t="n"/>
      <c r="AL202" s="62">
        <f>IF(LEFT($C202,11)="[Jefatura] ",IFERROR(MATCH("Asistente Técnico de Riesgo|"&amp;MID($C202,12,500),rDname_ADM,0),0),"")</f>
        <v/>
      </c>
      <c r="AM202" s="62">
        <f>IF(N($AL202)&gt;0,INDEX(rIni_ADM,$AL202),IF(ISNUMBER($E202),$E202,""))</f>
        <v/>
      </c>
      <c r="AN202" s="62">
        <f>IF(N($AL202)&gt;0,INDEX(rLim_ADM,$AL202),IF(ISNUMBER($F202),$F202,""))</f>
        <v/>
      </c>
    </row>
    <row r="203">
      <c r="A203" s="56">
        <f>IF(NOT((COUNTA($B203:$D203)+COUNTA($G203:$L203)+COUNTA($Q203))&gt;0),"",IF($V203="Macro",COUNTIFS($V$5:$V203,"Macro",$S$5:$S203,$S203),IF(N($U203)=0,"?",COUNTIFS(INDEX($V$5:$V$1000,1):INDEX($V$5:$V$1000,$U203-4),"Macro",INDEX($S$5:$S$1000,1):INDEX($S$5:$S$1000,$U203-4),INDEX($S$5:$S$1000,$U203-4))&amp;"."&amp;COUNTIFS($U$5:$U203,$U203,$V$5:$V203,"Sub"))))</f>
        <v/>
      </c>
      <c r="B203" s="57" t="n"/>
      <c r="C203" s="58" t="n"/>
      <c r="D203" s="58" t="n"/>
      <c r="E203" s="59">
        <f>IF(N($AL203)&gt;0,INDEX(rIni_ADM,$AL203),"")</f>
        <v/>
      </c>
      <c r="F203" s="59">
        <f>IF(N($AL203)&gt;0,INDEX(rLim_ADM,$AL203),"")</f>
        <v/>
      </c>
      <c r="G203" s="59" t="n"/>
      <c r="H203" s="60" t="n"/>
      <c r="I203" s="60" t="n"/>
      <c r="J203" s="60" t="n"/>
      <c r="K203" s="60" t="n"/>
      <c r="L203" s="60" t="n"/>
      <c r="M203" s="61">
        <f>IF(NOT((COUNTA($B203:$D203)+COUNTA($G203:$L203)+COUNTA($Q203))&gt;0),"",IF(ISNUMBER($G203),1,IF(N($W203)&gt;0,AVERAGEIFS($X$5:$X$1000,$U$5:$U$1000,ROW(),$V$5:$V$1000,"Sub"),$X203)))</f>
        <v/>
      </c>
      <c r="N203" s="56">
        <f>IF($M203="","",IF($M203&gt;=1,"Completado",IF($M203&gt;0,"En curso","Pendiente")))</f>
        <v/>
      </c>
      <c r="O203" s="56">
        <f>IF(NOT((COUNTA($B203:$D203)+COUNTA($G203:$L203)+COUNTA($Q203))&gt;0),"",IF(ISNUMBER($G203),IF(AND(ISNUMBER($AN203),$G203&gt;$AN203),"Cumplida con "&amp;($G203-$AN203)&amp;IF($G203-$AN203=1," día"," días")&amp;" de retraso","Cumplida"),IF(N($M203)&gt;=1,"Cumplida",IF(NOT(ISNUMBER($AN203)),"Sin fecha límite",IF($AN203&lt;FechaRef,"Vencida hace "&amp;(FechaRef-$AN203)&amp;IF(FechaRef-$AN203=1," día"," días"),IF($AN203=FechaRef,"Vence hoy",IF($AN203-FechaRef&lt;=DiasAlerta,"Vence en "&amp;($AN203-FechaRef)&amp;IF($AN203-FechaRef=1," día"," días"),"En plazo")))))))</f>
        <v/>
      </c>
      <c r="P203" s="62" t="n"/>
      <c r="Q203" s="58" t="n"/>
      <c r="R203" s="63">
        <f>IF(NOT((COUNTA($B203:$D203)+COUNTA($G203:$L203)+COUNTA($Q203))&gt;0),"",IF((IF($C203="","Falta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",""))="","✔ OK","⚠ "&amp;LEFT(IF($C203="","Falta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",""),LEN(IF($C203="","Falta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",""))-3)))</f>
        <v/>
      </c>
      <c r="S203" s="64">
        <f>IF(NOT((COUNTA($B203:$D203)+COUNTA($G203:$L203)+COUNTA($Q203))&gt;0),"",IF(AND($V203="Sub",N($U203)&gt;0),IF(ISNUMBER(INDEX($AM$5:$AM$1000,$U203-4)),DATE(YEAR(INDEX($AM$5:$AM$1000,$U203-4)),MONTH(INDEX($AM$5:$AM$1000,$U203-4)),1),IF(ISNUMBER(INDEX($AN$5:$AN$1000,$U203-4)),DATE(YEAR(INDEX($AN$5:$AN$1000,$U203-4)),MONTH(INDEX($AN$5:$AN$1000,$U203-4)),1),MesCiclo)),IF(ISNUMBER($AM203),DATE(YEAR($AM203),MONTH($AM203),1),IF(ISNUMBER($AN203),DATE(YEAR($AN203),MONTH($AN203),1),MesCiclo))))</f>
        <v/>
      </c>
      <c r="T203" s="62">
        <f>IF(OR($S203="",$S203&lt;&gt;MesCiclo),"",COUNTIF($S$5:$S203,MesCiclo))</f>
        <v/>
      </c>
      <c r="U203" s="62">
        <f>IF($V203="","",IF($V203="Macro",ROW(),IFERROR(LOOKUP(2,1/($V$5:$V203="Macro"),ROW($V$5:$V203)),0)))</f>
        <v/>
      </c>
      <c r="V203" s="62">
        <f>IF(NOT((COUNTA($B203:$D203)+COUNTA($G203:$L203)+COUNTA($Q203))&gt;0),"",IF($B203="Subactividad","Sub","Macro"))</f>
        <v/>
      </c>
      <c r="W203" s="62">
        <f>IF($V203="Macro",COUNTIFS($U$5:$U$1000,ROW(),$V$5:$V$1000,"Sub"),"")</f>
        <v/>
      </c>
      <c r="X203" s="62">
        <f>IF($V203="","",IF(ISNUMBER($G203),1,IFERROR(LOOKUP(2,1/($I203:$L203&lt;&gt;""),$I203:$L203),0)))</f>
        <v/>
      </c>
      <c r="Y203" s="62">
        <f>IF($V203="","",IF(AND(ISNUMBER($G203),$G203&lt;=IF($S203=MesCiclo,InicioCiclo,$S203+MOD(2-WEEKDAY($S203),7))+6),1,IF(ISNUMBER($I203),$I203,0)))</f>
        <v/>
      </c>
      <c r="Z203" s="62">
        <f>IF($V203="","",IF(AND(ISNUMBER($G203),$G203&lt;=IF($S203=MesCiclo,InicioCiclo,$S203+MOD(2-WEEKDAY($S203),7))+13),1,IF(ISNUMBER($J203),$J203,$Y203)))</f>
        <v/>
      </c>
      <c r="AA203" s="62">
        <f>IF($V203="","",IF(AND(ISNUMBER($G203),$G203&lt;=IF($S203=MesCiclo,InicioCiclo,$S203+MOD(2-WEEKDAY($S203),7))+20),1,IF(ISNUMBER($K203),$K203,$Z203)))</f>
        <v/>
      </c>
      <c r="AB203" s="62">
        <f>IF($V203="","",IF(AND(ISNUMBER($G203),$G203&lt;=IF($S203=MesCiclo,InicioCiclo,$S203+MOD(2-WEEKDAY($S203),7))+27),1,IF(ISNUMBER($L203),$L203,$AA203)))</f>
        <v/>
      </c>
      <c r="AC203" s="62">
        <f>IF($V203="","",IF(AND(ISNUMBER($G203),$G203&lt;=IF($S203=MesCiclo,InicioCiclo,$S203+MOD(2-WEEKDAY($S203),7))+6),1,IF(N($W203)&gt;0,AVERAGEIFS($Y$5:$Y$1000,$U$5:$U$1000,ROW(),$V$5:$V$1000,"Sub"),$Y203)))</f>
        <v/>
      </c>
      <c r="AD203" s="62">
        <f>IF($V203="","",IF(AND(ISNUMBER($G203),$G203&lt;=IF($S203=MesCiclo,InicioCiclo,$S203+MOD(2-WEEKDAY($S203),7))+13),1,IF(N($W203)&gt;0,AVERAGEIFS($Z$5:$Z$1000,$U$5:$U$1000,ROW(),$V$5:$V$1000,"Sub"),$Z203)))</f>
        <v/>
      </c>
      <c r="AE203" s="62">
        <f>IF($V203="","",IF(AND(ISNUMBER($G203),$G203&lt;=IF($S203=MesCiclo,InicioCiclo,$S203+MOD(2-WEEKDAY($S203),7))+20),1,IF(N($W203)&gt;0,AVERAGEIFS($AA$5:$AA$1000,$U$5:$U$1000,ROW(),$V$5:$V$1000,"Sub"),$AA203)))</f>
        <v/>
      </c>
      <c r="AF203" s="62">
        <f>IF($V203="","",IF(AND(ISNUMBER($G203),$G203&lt;=IF($S203=MesCiclo,InicioCiclo,$S203+MOD(2-WEEKDAY($S203),7))+27),1,IF(N($W203)&gt;0,AVERAGEIFS($AB$5:$AB$1000,$U$5:$U$1000,ROW(),$V$5:$V$1000,"Sub"),$AB203)))</f>
        <v/>
      </c>
      <c r="AG203" s="62">
        <f>IF($V203&lt;&gt;"Macro","",IF(COUNTIFS($S$5:$S$1000,$S203,$V$5:$V$1000,"Macro",$H$5:$H$1000,"&gt;0")=0,1/COUNTIFS($S$5:$S$1000,$S203,$V$5:$V$1000,"Macro"),IF(AND(ISNUMBER($H203),N($H203)&gt;0),$H203,SUMIFS($H$5:$H$1000,$S$5:$S$1000,$S203,$V$5:$V$1000,"Macro")/COUNTIFS($S$5:$S$1000,$S203,$V$5:$V$1000,"Macro",$H$5:$H$1000,"&gt;0"))/(COUNTIFS($S$5:$S$1000,$S203,$V$5:$V$1000,"Macro")*SUMIFS($H$5:$H$1000,$S$5:$S$1000,$S203,$V$5:$V$1000,"Macro")/COUNTIFS($S$5:$S$1000,$S203,$V$5:$V$1000,"Macro",$H$5:$H$1000,"&gt;0"))))</f>
        <v/>
      </c>
      <c r="AH203" s="62" t="n"/>
      <c r="AI203" s="62" t="n"/>
      <c r="AJ203" s="62" t="n"/>
      <c r="AK203" s="62" t="n"/>
      <c r="AL203" s="62">
        <f>IF(LEFT($C203,11)="[Jefatura] ",IFERROR(MATCH("Asistente Técnico de Riesgo|"&amp;MID($C203,12,500),rDname_ADM,0),0),"")</f>
        <v/>
      </c>
      <c r="AM203" s="62">
        <f>IF(N($AL203)&gt;0,INDEX(rIni_ADM,$AL203),IF(ISNUMBER($E203),$E203,""))</f>
        <v/>
      </c>
      <c r="AN203" s="62">
        <f>IF(N($AL203)&gt;0,INDEX(rLim_ADM,$AL203),IF(ISNUMBER($F203),$F203,""))</f>
        <v/>
      </c>
    </row>
    <row r="204">
      <c r="A204" s="56">
        <f>IF(NOT((COUNTA($B204:$D204)+COUNTA($G204:$L204)+COUNTA($Q204))&gt;0),"",IF($V204="Macro",COUNTIFS($V$5:$V204,"Macro",$S$5:$S204,$S204),IF(N($U204)=0,"?",COUNTIFS(INDEX($V$5:$V$1000,1):INDEX($V$5:$V$1000,$U204-4),"Macro",INDEX($S$5:$S$1000,1):INDEX($S$5:$S$1000,$U204-4),INDEX($S$5:$S$1000,$U204-4))&amp;"."&amp;COUNTIFS($U$5:$U204,$U204,$V$5:$V204,"Sub"))))</f>
        <v/>
      </c>
      <c r="B204" s="57" t="n"/>
      <c r="C204" s="58" t="n"/>
      <c r="D204" s="58" t="n"/>
      <c r="E204" s="59">
        <f>IF(N($AL204)&gt;0,INDEX(rIni_ADM,$AL204),"")</f>
        <v/>
      </c>
      <c r="F204" s="59">
        <f>IF(N($AL204)&gt;0,INDEX(rLim_ADM,$AL204),"")</f>
        <v/>
      </c>
      <c r="G204" s="59" t="n"/>
      <c r="H204" s="60" t="n"/>
      <c r="I204" s="60" t="n"/>
      <c r="J204" s="60" t="n"/>
      <c r="K204" s="60" t="n"/>
      <c r="L204" s="60" t="n"/>
      <c r="M204" s="61">
        <f>IF(NOT((COUNTA($B204:$D204)+COUNTA($G204:$L204)+COUNTA($Q204))&gt;0),"",IF(ISNUMBER($G204),1,IF(N($W204)&gt;0,AVERAGEIFS($X$5:$X$1000,$U$5:$U$1000,ROW(),$V$5:$V$1000,"Sub"),$X204)))</f>
        <v/>
      </c>
      <c r="N204" s="56">
        <f>IF($M204="","",IF($M204&gt;=1,"Completado",IF($M204&gt;0,"En curso","Pendiente")))</f>
        <v/>
      </c>
      <c r="O204" s="56">
        <f>IF(NOT((COUNTA($B204:$D204)+COUNTA($G204:$L204)+COUNTA($Q204))&gt;0),"",IF(ISNUMBER($G204),IF(AND(ISNUMBER($AN204),$G204&gt;$AN204),"Cumplida con "&amp;($G204-$AN204)&amp;IF($G204-$AN204=1," día"," días")&amp;" de retraso","Cumplida"),IF(N($M204)&gt;=1,"Cumplida",IF(NOT(ISNUMBER($AN204)),"Sin fecha límite",IF($AN204&lt;FechaRef,"Vencida hace "&amp;(FechaRef-$AN204)&amp;IF(FechaRef-$AN204=1," día"," días"),IF($AN204=FechaRef,"Vence hoy",IF($AN204-FechaRef&lt;=DiasAlerta,"Vence en "&amp;($AN204-FechaRef)&amp;IF($AN204-FechaRef=1," día"," días"),"En plazo")))))))</f>
        <v/>
      </c>
      <c r="P204" s="62" t="n"/>
      <c r="Q204" s="58" t="n"/>
      <c r="R204" s="63">
        <f>IF(NOT((COUNTA($B204:$D204)+COUNTA($G204:$L204)+COUNTA($Q204))&gt;0),"",IF((IF($C204="","Falta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",""))="","✔ OK","⚠ "&amp;LEFT(IF($C204="","Falta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",""),LEN(IF($C204="","Falta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",""))-3)))</f>
        <v/>
      </c>
      <c r="S204" s="64">
        <f>IF(NOT((COUNTA($B204:$D204)+COUNTA($G204:$L204)+COUNTA($Q204))&gt;0),"",IF(AND($V204="Sub",N($U204)&gt;0),IF(ISNUMBER(INDEX($AM$5:$AM$1000,$U204-4)),DATE(YEAR(INDEX($AM$5:$AM$1000,$U204-4)),MONTH(INDEX($AM$5:$AM$1000,$U204-4)),1),IF(ISNUMBER(INDEX($AN$5:$AN$1000,$U204-4)),DATE(YEAR(INDEX($AN$5:$AN$1000,$U204-4)),MONTH(INDEX($AN$5:$AN$1000,$U204-4)),1),MesCiclo)),IF(ISNUMBER($AM204),DATE(YEAR($AM204),MONTH($AM204),1),IF(ISNUMBER($AN204),DATE(YEAR($AN204),MONTH($AN204),1),MesCiclo))))</f>
        <v/>
      </c>
      <c r="T204" s="62">
        <f>IF(OR($S204="",$S204&lt;&gt;MesCiclo),"",COUNTIF($S$5:$S204,MesCiclo))</f>
        <v/>
      </c>
      <c r="U204" s="62">
        <f>IF($V204="","",IF($V204="Macro",ROW(),IFERROR(LOOKUP(2,1/($V$5:$V204="Macro"),ROW($V$5:$V204)),0)))</f>
        <v/>
      </c>
      <c r="V204" s="62">
        <f>IF(NOT((COUNTA($B204:$D204)+COUNTA($G204:$L204)+COUNTA($Q204))&gt;0),"",IF($B204="Subactividad","Sub","Macro"))</f>
        <v/>
      </c>
      <c r="W204" s="62">
        <f>IF($V204="Macro",COUNTIFS($U$5:$U$1000,ROW(),$V$5:$V$1000,"Sub"),"")</f>
        <v/>
      </c>
      <c r="X204" s="62">
        <f>IF($V204="","",IF(ISNUMBER($G204),1,IFERROR(LOOKUP(2,1/($I204:$L204&lt;&gt;""),$I204:$L204),0)))</f>
        <v/>
      </c>
      <c r="Y204" s="62">
        <f>IF($V204="","",IF(AND(ISNUMBER($G204),$G204&lt;=IF($S204=MesCiclo,InicioCiclo,$S204+MOD(2-WEEKDAY($S204),7))+6),1,IF(ISNUMBER($I204),$I204,0)))</f>
        <v/>
      </c>
      <c r="Z204" s="62">
        <f>IF($V204="","",IF(AND(ISNUMBER($G204),$G204&lt;=IF($S204=MesCiclo,InicioCiclo,$S204+MOD(2-WEEKDAY($S204),7))+13),1,IF(ISNUMBER($J204),$J204,$Y204)))</f>
        <v/>
      </c>
      <c r="AA204" s="62">
        <f>IF($V204="","",IF(AND(ISNUMBER($G204),$G204&lt;=IF($S204=MesCiclo,InicioCiclo,$S204+MOD(2-WEEKDAY($S204),7))+20),1,IF(ISNUMBER($K204),$K204,$Z204)))</f>
        <v/>
      </c>
      <c r="AB204" s="62">
        <f>IF($V204="","",IF(AND(ISNUMBER($G204),$G204&lt;=IF($S204=MesCiclo,InicioCiclo,$S204+MOD(2-WEEKDAY($S204),7))+27),1,IF(ISNUMBER($L204),$L204,$AA204)))</f>
        <v/>
      </c>
      <c r="AC204" s="62">
        <f>IF($V204="","",IF(AND(ISNUMBER($G204),$G204&lt;=IF($S204=MesCiclo,InicioCiclo,$S204+MOD(2-WEEKDAY($S204),7))+6),1,IF(N($W204)&gt;0,AVERAGEIFS($Y$5:$Y$1000,$U$5:$U$1000,ROW(),$V$5:$V$1000,"Sub"),$Y204)))</f>
        <v/>
      </c>
      <c r="AD204" s="62">
        <f>IF($V204="","",IF(AND(ISNUMBER($G204),$G204&lt;=IF($S204=MesCiclo,InicioCiclo,$S204+MOD(2-WEEKDAY($S204),7))+13),1,IF(N($W204)&gt;0,AVERAGEIFS($Z$5:$Z$1000,$U$5:$U$1000,ROW(),$V$5:$V$1000,"Sub"),$Z204)))</f>
        <v/>
      </c>
      <c r="AE204" s="62">
        <f>IF($V204="","",IF(AND(ISNUMBER($G204),$G204&lt;=IF($S204=MesCiclo,InicioCiclo,$S204+MOD(2-WEEKDAY($S204),7))+20),1,IF(N($W204)&gt;0,AVERAGEIFS($AA$5:$AA$1000,$U$5:$U$1000,ROW(),$V$5:$V$1000,"Sub"),$AA204)))</f>
        <v/>
      </c>
      <c r="AF204" s="62">
        <f>IF($V204="","",IF(AND(ISNUMBER($G204),$G204&lt;=IF($S204=MesCiclo,InicioCiclo,$S204+MOD(2-WEEKDAY($S204),7))+27),1,IF(N($W204)&gt;0,AVERAGEIFS($AB$5:$AB$1000,$U$5:$U$1000,ROW(),$V$5:$V$1000,"Sub"),$AB204)))</f>
        <v/>
      </c>
      <c r="AG204" s="62">
        <f>IF($V204&lt;&gt;"Macro","",IF(COUNTIFS($S$5:$S$1000,$S204,$V$5:$V$1000,"Macro",$H$5:$H$1000,"&gt;0")=0,1/COUNTIFS($S$5:$S$1000,$S204,$V$5:$V$1000,"Macro"),IF(AND(ISNUMBER($H204),N($H204)&gt;0),$H204,SUMIFS($H$5:$H$1000,$S$5:$S$1000,$S204,$V$5:$V$1000,"Macro")/COUNTIFS($S$5:$S$1000,$S204,$V$5:$V$1000,"Macro",$H$5:$H$1000,"&gt;0"))/(COUNTIFS($S$5:$S$1000,$S204,$V$5:$V$1000,"Macro")*SUMIFS($H$5:$H$1000,$S$5:$S$1000,$S204,$V$5:$V$1000,"Macro")/COUNTIFS($S$5:$S$1000,$S204,$V$5:$V$1000,"Macro",$H$5:$H$1000,"&gt;0"))))</f>
        <v/>
      </c>
      <c r="AH204" s="62" t="n"/>
      <c r="AI204" s="62" t="n"/>
      <c r="AJ204" s="62" t="n"/>
      <c r="AK204" s="62" t="n"/>
      <c r="AL204" s="62">
        <f>IF(LEFT($C204,11)="[Jefatura] ",IFERROR(MATCH("Asistente Técnico de Riesgo|"&amp;MID($C204,12,500),rDname_ADM,0),0),"")</f>
        <v/>
      </c>
      <c r="AM204" s="62">
        <f>IF(N($AL204)&gt;0,INDEX(rIni_ADM,$AL204),IF(ISNUMBER($E204),$E204,""))</f>
        <v/>
      </c>
      <c r="AN204" s="62">
        <f>IF(N($AL204)&gt;0,INDEX(rLim_ADM,$AL204),IF(ISNUMBER($F204),$F204,""))</f>
        <v/>
      </c>
    </row>
    <row r="205">
      <c r="A205" s="56">
        <f>IF(NOT((COUNTA($B205:$D205)+COUNTA($G205:$L205)+COUNTA($Q205))&gt;0),"",IF($V205="Macro",COUNTIFS($V$5:$V205,"Macro",$S$5:$S205,$S205),IF(N($U205)=0,"?",COUNTIFS(INDEX($V$5:$V$1000,1):INDEX($V$5:$V$1000,$U205-4),"Macro",INDEX($S$5:$S$1000,1):INDEX($S$5:$S$1000,$U205-4),INDEX($S$5:$S$1000,$U205-4))&amp;"."&amp;COUNTIFS($U$5:$U205,$U205,$V$5:$V205,"Sub"))))</f>
        <v/>
      </c>
      <c r="B205" s="57" t="n"/>
      <c r="C205" s="58" t="n"/>
      <c r="D205" s="58" t="n"/>
      <c r="E205" s="59">
        <f>IF(N($AL205)&gt;0,INDEX(rIni_ADM,$AL205),"")</f>
        <v/>
      </c>
      <c r="F205" s="59">
        <f>IF(N($AL205)&gt;0,INDEX(rLim_ADM,$AL205),"")</f>
        <v/>
      </c>
      <c r="G205" s="59" t="n"/>
      <c r="H205" s="60" t="n"/>
      <c r="I205" s="60" t="n"/>
      <c r="J205" s="60" t="n"/>
      <c r="K205" s="60" t="n"/>
      <c r="L205" s="60" t="n"/>
      <c r="M205" s="61">
        <f>IF(NOT((COUNTA($B205:$D205)+COUNTA($G205:$L205)+COUNTA($Q205))&gt;0),"",IF(ISNUMBER($G205),1,IF(N($W205)&gt;0,AVERAGEIFS($X$5:$X$1000,$U$5:$U$1000,ROW(),$V$5:$V$1000,"Sub"),$X205)))</f>
        <v/>
      </c>
      <c r="N205" s="56">
        <f>IF($M205="","",IF($M205&gt;=1,"Completado",IF($M205&gt;0,"En curso","Pendiente")))</f>
        <v/>
      </c>
      <c r="O205" s="56">
        <f>IF(NOT((COUNTA($B205:$D205)+COUNTA($G205:$L205)+COUNTA($Q205))&gt;0),"",IF(ISNUMBER($G205),IF(AND(ISNUMBER($AN205),$G205&gt;$AN205),"Cumplida con "&amp;($G205-$AN205)&amp;IF($G205-$AN205=1," día"," días")&amp;" de retraso","Cumplida"),IF(N($M205)&gt;=1,"Cumplida",IF(NOT(ISNUMBER($AN205)),"Sin fecha límite",IF($AN205&lt;FechaRef,"Vencida hace "&amp;(FechaRef-$AN205)&amp;IF(FechaRef-$AN205=1," día"," días"),IF($AN205=FechaRef,"Vence hoy",IF($AN205-FechaRef&lt;=DiasAlerta,"Vence en "&amp;($AN205-FechaRef)&amp;IF($AN205-FechaRef=1," día"," días"),"En plazo")))))))</f>
        <v/>
      </c>
      <c r="P205" s="62" t="n"/>
      <c r="Q205" s="58" t="n"/>
      <c r="R205" s="63">
        <f>IF(NOT((COUNTA($B205:$D205)+COUNTA($G205:$L205)+COUNTA($Q205))&gt;0),"",IF((IF($C205="","Falta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",""))="","✔ OK","⚠ "&amp;LEFT(IF($C205="","Falta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",""),LEN(IF($C205="","Falta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",""))-3)))</f>
        <v/>
      </c>
      <c r="S205" s="64">
        <f>IF(NOT((COUNTA($B205:$D205)+COUNTA($G205:$L205)+COUNTA($Q205))&gt;0),"",IF(AND($V205="Sub",N($U205)&gt;0),IF(ISNUMBER(INDEX($AM$5:$AM$1000,$U205-4)),DATE(YEAR(INDEX($AM$5:$AM$1000,$U205-4)),MONTH(INDEX($AM$5:$AM$1000,$U205-4)),1),IF(ISNUMBER(INDEX($AN$5:$AN$1000,$U205-4)),DATE(YEAR(INDEX($AN$5:$AN$1000,$U205-4)),MONTH(INDEX($AN$5:$AN$1000,$U205-4)),1),MesCiclo)),IF(ISNUMBER($AM205),DATE(YEAR($AM205),MONTH($AM205),1),IF(ISNUMBER($AN205),DATE(YEAR($AN205),MONTH($AN205),1),MesCiclo))))</f>
        <v/>
      </c>
      <c r="T205" s="62">
        <f>IF(OR($S205="",$S205&lt;&gt;MesCiclo),"",COUNTIF($S$5:$S205,MesCiclo))</f>
        <v/>
      </c>
      <c r="U205" s="62">
        <f>IF($V205="","",IF($V205="Macro",ROW(),IFERROR(LOOKUP(2,1/($V$5:$V205="Macro"),ROW($V$5:$V205)),0)))</f>
        <v/>
      </c>
      <c r="V205" s="62">
        <f>IF(NOT((COUNTA($B205:$D205)+COUNTA($G205:$L205)+COUNTA($Q205))&gt;0),"",IF($B205="Subactividad","Sub","Macro"))</f>
        <v/>
      </c>
      <c r="W205" s="62">
        <f>IF($V205="Macro",COUNTIFS($U$5:$U$1000,ROW(),$V$5:$V$1000,"Sub"),"")</f>
        <v/>
      </c>
      <c r="X205" s="62">
        <f>IF($V205="","",IF(ISNUMBER($G205),1,IFERROR(LOOKUP(2,1/($I205:$L205&lt;&gt;""),$I205:$L205),0)))</f>
        <v/>
      </c>
      <c r="Y205" s="62">
        <f>IF($V205="","",IF(AND(ISNUMBER($G205),$G205&lt;=IF($S205=MesCiclo,InicioCiclo,$S205+MOD(2-WEEKDAY($S205),7))+6),1,IF(ISNUMBER($I205),$I205,0)))</f>
        <v/>
      </c>
      <c r="Z205" s="62">
        <f>IF($V205="","",IF(AND(ISNUMBER($G205),$G205&lt;=IF($S205=MesCiclo,InicioCiclo,$S205+MOD(2-WEEKDAY($S205),7))+13),1,IF(ISNUMBER($J205),$J205,$Y205)))</f>
        <v/>
      </c>
      <c r="AA205" s="62">
        <f>IF($V205="","",IF(AND(ISNUMBER($G205),$G205&lt;=IF($S205=MesCiclo,InicioCiclo,$S205+MOD(2-WEEKDAY($S205),7))+20),1,IF(ISNUMBER($K205),$K205,$Z205)))</f>
        <v/>
      </c>
      <c r="AB205" s="62">
        <f>IF($V205="","",IF(AND(ISNUMBER($G205),$G205&lt;=IF($S205=MesCiclo,InicioCiclo,$S205+MOD(2-WEEKDAY($S205),7))+27),1,IF(ISNUMBER($L205),$L205,$AA205)))</f>
        <v/>
      </c>
      <c r="AC205" s="62">
        <f>IF($V205="","",IF(AND(ISNUMBER($G205),$G205&lt;=IF($S205=MesCiclo,InicioCiclo,$S205+MOD(2-WEEKDAY($S205),7))+6),1,IF(N($W205)&gt;0,AVERAGEIFS($Y$5:$Y$1000,$U$5:$U$1000,ROW(),$V$5:$V$1000,"Sub"),$Y205)))</f>
        <v/>
      </c>
      <c r="AD205" s="62">
        <f>IF($V205="","",IF(AND(ISNUMBER($G205),$G205&lt;=IF($S205=MesCiclo,InicioCiclo,$S205+MOD(2-WEEKDAY($S205),7))+13),1,IF(N($W205)&gt;0,AVERAGEIFS($Z$5:$Z$1000,$U$5:$U$1000,ROW(),$V$5:$V$1000,"Sub"),$Z205)))</f>
        <v/>
      </c>
      <c r="AE205" s="62">
        <f>IF($V205="","",IF(AND(ISNUMBER($G205),$G205&lt;=IF($S205=MesCiclo,InicioCiclo,$S205+MOD(2-WEEKDAY($S205),7))+20),1,IF(N($W205)&gt;0,AVERAGEIFS($AA$5:$AA$1000,$U$5:$U$1000,ROW(),$V$5:$V$1000,"Sub"),$AA205)))</f>
        <v/>
      </c>
      <c r="AF205" s="62">
        <f>IF($V205="","",IF(AND(ISNUMBER($G205),$G205&lt;=IF($S205=MesCiclo,InicioCiclo,$S205+MOD(2-WEEKDAY($S205),7))+27),1,IF(N($W205)&gt;0,AVERAGEIFS($AB$5:$AB$1000,$U$5:$U$1000,ROW(),$V$5:$V$1000,"Sub"),$AB205)))</f>
        <v/>
      </c>
      <c r="AG205" s="62">
        <f>IF($V205&lt;&gt;"Macro","",IF(COUNTIFS($S$5:$S$1000,$S205,$V$5:$V$1000,"Macro",$H$5:$H$1000,"&gt;0")=0,1/COUNTIFS($S$5:$S$1000,$S205,$V$5:$V$1000,"Macro"),IF(AND(ISNUMBER($H205),N($H205)&gt;0),$H205,SUMIFS($H$5:$H$1000,$S$5:$S$1000,$S205,$V$5:$V$1000,"Macro")/COUNTIFS($S$5:$S$1000,$S205,$V$5:$V$1000,"Macro",$H$5:$H$1000,"&gt;0"))/(COUNTIFS($S$5:$S$1000,$S205,$V$5:$V$1000,"Macro")*SUMIFS($H$5:$H$1000,$S$5:$S$1000,$S205,$V$5:$V$1000,"Macro")/COUNTIFS($S$5:$S$1000,$S205,$V$5:$V$1000,"Macro",$H$5:$H$1000,"&gt;0"))))</f>
        <v/>
      </c>
      <c r="AH205" s="62" t="n"/>
      <c r="AI205" s="62" t="n"/>
      <c r="AJ205" s="62" t="n"/>
      <c r="AK205" s="62" t="n"/>
      <c r="AL205" s="62">
        <f>IF(LEFT($C205,11)="[Jefatura] ",IFERROR(MATCH("Asistente Técnico de Riesgo|"&amp;MID($C205,12,500),rDname_ADM,0),0),"")</f>
        <v/>
      </c>
      <c r="AM205" s="62">
        <f>IF(N($AL205)&gt;0,INDEX(rIni_ADM,$AL205),IF(ISNUMBER($E205),$E205,""))</f>
        <v/>
      </c>
      <c r="AN205" s="62">
        <f>IF(N($AL205)&gt;0,INDEX(rLim_ADM,$AL205),IF(ISNUMBER($F205),$F205,""))</f>
        <v/>
      </c>
    </row>
    <row r="206">
      <c r="A206" s="56">
        <f>IF(NOT((COUNTA($B206:$D206)+COUNTA($G206:$L206)+COUNTA($Q206))&gt;0),"",IF($V206="Macro",COUNTIFS($V$5:$V206,"Macro",$S$5:$S206,$S206),IF(N($U206)=0,"?",COUNTIFS(INDEX($V$5:$V$1000,1):INDEX($V$5:$V$1000,$U206-4),"Macro",INDEX($S$5:$S$1000,1):INDEX($S$5:$S$1000,$U206-4),INDEX($S$5:$S$1000,$U206-4))&amp;"."&amp;COUNTIFS($U$5:$U206,$U206,$V$5:$V206,"Sub"))))</f>
        <v/>
      </c>
      <c r="B206" s="57" t="n"/>
      <c r="C206" s="58" t="n"/>
      <c r="D206" s="58" t="n"/>
      <c r="E206" s="59">
        <f>IF(N($AL206)&gt;0,INDEX(rIni_ADM,$AL206),"")</f>
        <v/>
      </c>
      <c r="F206" s="59">
        <f>IF(N($AL206)&gt;0,INDEX(rLim_ADM,$AL206),"")</f>
        <v/>
      </c>
      <c r="G206" s="59" t="n"/>
      <c r="H206" s="60" t="n"/>
      <c r="I206" s="60" t="n"/>
      <c r="J206" s="60" t="n"/>
      <c r="K206" s="60" t="n"/>
      <c r="L206" s="60" t="n"/>
      <c r="M206" s="61">
        <f>IF(NOT((COUNTA($B206:$D206)+COUNTA($G206:$L206)+COUNTA($Q206))&gt;0),"",IF(ISNUMBER($G206),1,IF(N($W206)&gt;0,AVERAGEIFS($X$5:$X$1000,$U$5:$U$1000,ROW(),$V$5:$V$1000,"Sub"),$X206)))</f>
        <v/>
      </c>
      <c r="N206" s="56">
        <f>IF($M206="","",IF($M206&gt;=1,"Completado",IF($M206&gt;0,"En curso","Pendiente")))</f>
        <v/>
      </c>
      <c r="O206" s="56">
        <f>IF(NOT((COUNTA($B206:$D206)+COUNTA($G206:$L206)+COUNTA($Q206))&gt;0),"",IF(ISNUMBER($G206),IF(AND(ISNUMBER($AN206),$G206&gt;$AN206),"Cumplida con "&amp;($G206-$AN206)&amp;IF($G206-$AN206=1," día"," días")&amp;" de retraso","Cumplida"),IF(N($M206)&gt;=1,"Cumplida",IF(NOT(ISNUMBER($AN206)),"Sin fecha límite",IF($AN206&lt;FechaRef,"Vencida hace "&amp;(FechaRef-$AN206)&amp;IF(FechaRef-$AN206=1," día"," días"),IF($AN206=FechaRef,"Vence hoy",IF($AN206-FechaRef&lt;=DiasAlerta,"Vence en "&amp;($AN206-FechaRef)&amp;IF($AN206-FechaRef=1," día"," días"),"En plazo")))))))</f>
        <v/>
      </c>
      <c r="P206" s="62" t="n"/>
      <c r="Q206" s="58" t="n"/>
      <c r="R206" s="63">
        <f>IF(NOT((COUNTA($B206:$D206)+COUNTA($G206:$L206)+COUNTA($Q206))&gt;0),"",IF((IF($C206="","Falta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",""))="","✔ OK","⚠ "&amp;LEFT(IF($C206="","Falta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",""),LEN(IF($C206="","Falta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",""))-3)))</f>
        <v/>
      </c>
      <c r="S206" s="64">
        <f>IF(NOT((COUNTA($B206:$D206)+COUNTA($G206:$L206)+COUNTA($Q206))&gt;0),"",IF(AND($V206="Sub",N($U206)&gt;0),IF(ISNUMBER(INDEX($AM$5:$AM$1000,$U206-4)),DATE(YEAR(INDEX($AM$5:$AM$1000,$U206-4)),MONTH(INDEX($AM$5:$AM$1000,$U206-4)),1),IF(ISNUMBER(INDEX($AN$5:$AN$1000,$U206-4)),DATE(YEAR(INDEX($AN$5:$AN$1000,$U206-4)),MONTH(INDEX($AN$5:$AN$1000,$U206-4)),1),MesCiclo)),IF(ISNUMBER($AM206),DATE(YEAR($AM206),MONTH($AM206),1),IF(ISNUMBER($AN206),DATE(YEAR($AN206),MONTH($AN206),1),MesCiclo))))</f>
        <v/>
      </c>
      <c r="T206" s="62">
        <f>IF(OR($S206="",$S206&lt;&gt;MesCiclo),"",COUNTIF($S$5:$S206,MesCiclo))</f>
        <v/>
      </c>
      <c r="U206" s="62">
        <f>IF($V206="","",IF($V206="Macro",ROW(),IFERROR(LOOKUP(2,1/($V$5:$V206="Macro"),ROW($V$5:$V206)),0)))</f>
        <v/>
      </c>
      <c r="V206" s="62">
        <f>IF(NOT((COUNTA($B206:$D206)+COUNTA($G206:$L206)+COUNTA($Q206))&gt;0),"",IF($B206="Subactividad","Sub","Macro"))</f>
        <v/>
      </c>
      <c r="W206" s="62">
        <f>IF($V206="Macro",COUNTIFS($U$5:$U$1000,ROW(),$V$5:$V$1000,"Sub"),"")</f>
        <v/>
      </c>
      <c r="X206" s="62">
        <f>IF($V206="","",IF(ISNUMBER($G206),1,IFERROR(LOOKUP(2,1/($I206:$L206&lt;&gt;""),$I206:$L206),0)))</f>
        <v/>
      </c>
      <c r="Y206" s="62">
        <f>IF($V206="","",IF(AND(ISNUMBER($G206),$G206&lt;=IF($S206=MesCiclo,InicioCiclo,$S206+MOD(2-WEEKDAY($S206),7))+6),1,IF(ISNUMBER($I206),$I206,0)))</f>
        <v/>
      </c>
      <c r="Z206" s="62">
        <f>IF($V206="","",IF(AND(ISNUMBER($G206),$G206&lt;=IF($S206=MesCiclo,InicioCiclo,$S206+MOD(2-WEEKDAY($S206),7))+13),1,IF(ISNUMBER($J206),$J206,$Y206)))</f>
        <v/>
      </c>
      <c r="AA206" s="62">
        <f>IF($V206="","",IF(AND(ISNUMBER($G206),$G206&lt;=IF($S206=MesCiclo,InicioCiclo,$S206+MOD(2-WEEKDAY($S206),7))+20),1,IF(ISNUMBER($K206),$K206,$Z206)))</f>
        <v/>
      </c>
      <c r="AB206" s="62">
        <f>IF($V206="","",IF(AND(ISNUMBER($G206),$G206&lt;=IF($S206=MesCiclo,InicioCiclo,$S206+MOD(2-WEEKDAY($S206),7))+27),1,IF(ISNUMBER($L206),$L206,$AA206)))</f>
        <v/>
      </c>
      <c r="AC206" s="62">
        <f>IF($V206="","",IF(AND(ISNUMBER($G206),$G206&lt;=IF($S206=MesCiclo,InicioCiclo,$S206+MOD(2-WEEKDAY($S206),7))+6),1,IF(N($W206)&gt;0,AVERAGEIFS($Y$5:$Y$1000,$U$5:$U$1000,ROW(),$V$5:$V$1000,"Sub"),$Y206)))</f>
        <v/>
      </c>
      <c r="AD206" s="62">
        <f>IF($V206="","",IF(AND(ISNUMBER($G206),$G206&lt;=IF($S206=MesCiclo,InicioCiclo,$S206+MOD(2-WEEKDAY($S206),7))+13),1,IF(N($W206)&gt;0,AVERAGEIFS($Z$5:$Z$1000,$U$5:$U$1000,ROW(),$V$5:$V$1000,"Sub"),$Z206)))</f>
        <v/>
      </c>
      <c r="AE206" s="62">
        <f>IF($V206="","",IF(AND(ISNUMBER($G206),$G206&lt;=IF($S206=MesCiclo,InicioCiclo,$S206+MOD(2-WEEKDAY($S206),7))+20),1,IF(N($W206)&gt;0,AVERAGEIFS($AA$5:$AA$1000,$U$5:$U$1000,ROW(),$V$5:$V$1000,"Sub"),$AA206)))</f>
        <v/>
      </c>
      <c r="AF206" s="62">
        <f>IF($V206="","",IF(AND(ISNUMBER($G206),$G206&lt;=IF($S206=MesCiclo,InicioCiclo,$S206+MOD(2-WEEKDAY($S206),7))+27),1,IF(N($W206)&gt;0,AVERAGEIFS($AB$5:$AB$1000,$U$5:$U$1000,ROW(),$V$5:$V$1000,"Sub"),$AB206)))</f>
        <v/>
      </c>
      <c r="AG206" s="62">
        <f>IF($V206&lt;&gt;"Macro","",IF(COUNTIFS($S$5:$S$1000,$S206,$V$5:$V$1000,"Macro",$H$5:$H$1000,"&gt;0")=0,1/COUNTIFS($S$5:$S$1000,$S206,$V$5:$V$1000,"Macro"),IF(AND(ISNUMBER($H206),N($H206)&gt;0),$H206,SUMIFS($H$5:$H$1000,$S$5:$S$1000,$S206,$V$5:$V$1000,"Macro")/COUNTIFS($S$5:$S$1000,$S206,$V$5:$V$1000,"Macro",$H$5:$H$1000,"&gt;0"))/(COUNTIFS($S$5:$S$1000,$S206,$V$5:$V$1000,"Macro")*SUMIFS($H$5:$H$1000,$S$5:$S$1000,$S206,$V$5:$V$1000,"Macro")/COUNTIFS($S$5:$S$1000,$S206,$V$5:$V$1000,"Macro",$H$5:$H$1000,"&gt;0"))))</f>
        <v/>
      </c>
      <c r="AH206" s="62" t="n"/>
      <c r="AI206" s="62" t="n"/>
      <c r="AJ206" s="62" t="n"/>
      <c r="AK206" s="62" t="n"/>
      <c r="AL206" s="62">
        <f>IF(LEFT($C206,11)="[Jefatura] ",IFERROR(MATCH("Asistente Técnico de Riesgo|"&amp;MID($C206,12,500),rDname_ADM,0),0),"")</f>
        <v/>
      </c>
      <c r="AM206" s="62">
        <f>IF(N($AL206)&gt;0,INDEX(rIni_ADM,$AL206),IF(ISNUMBER($E206),$E206,""))</f>
        <v/>
      </c>
      <c r="AN206" s="62">
        <f>IF(N($AL206)&gt;0,INDEX(rLim_ADM,$AL206),IF(ISNUMBER($F206),$F206,""))</f>
        <v/>
      </c>
    </row>
    <row r="207">
      <c r="A207" s="56">
        <f>IF(NOT((COUNTA($B207:$D207)+COUNTA($G207:$L207)+COUNTA($Q207))&gt;0),"",IF($V207="Macro",COUNTIFS($V$5:$V207,"Macro",$S$5:$S207,$S207),IF(N($U207)=0,"?",COUNTIFS(INDEX($V$5:$V$1000,1):INDEX($V$5:$V$1000,$U207-4),"Macro",INDEX($S$5:$S$1000,1):INDEX($S$5:$S$1000,$U207-4),INDEX($S$5:$S$1000,$U207-4))&amp;"."&amp;COUNTIFS($U$5:$U207,$U207,$V$5:$V207,"Sub"))))</f>
        <v/>
      </c>
      <c r="B207" s="57" t="n"/>
      <c r="C207" s="58" t="n"/>
      <c r="D207" s="58" t="n"/>
      <c r="E207" s="59">
        <f>IF(N($AL207)&gt;0,INDEX(rIni_ADM,$AL207),"")</f>
        <v/>
      </c>
      <c r="F207" s="59">
        <f>IF(N($AL207)&gt;0,INDEX(rLim_ADM,$AL207),"")</f>
        <v/>
      </c>
      <c r="G207" s="59" t="n"/>
      <c r="H207" s="60" t="n"/>
      <c r="I207" s="60" t="n"/>
      <c r="J207" s="60" t="n"/>
      <c r="K207" s="60" t="n"/>
      <c r="L207" s="60" t="n"/>
      <c r="M207" s="61">
        <f>IF(NOT((COUNTA($B207:$D207)+COUNTA($G207:$L207)+COUNTA($Q207))&gt;0),"",IF(ISNUMBER($G207),1,IF(N($W207)&gt;0,AVERAGEIFS($X$5:$X$1000,$U$5:$U$1000,ROW(),$V$5:$V$1000,"Sub"),$X207)))</f>
        <v/>
      </c>
      <c r="N207" s="56">
        <f>IF($M207="","",IF($M207&gt;=1,"Completado",IF($M207&gt;0,"En curso","Pendiente")))</f>
        <v/>
      </c>
      <c r="O207" s="56">
        <f>IF(NOT((COUNTA($B207:$D207)+COUNTA($G207:$L207)+COUNTA($Q207))&gt;0),"",IF(ISNUMBER($G207),IF(AND(ISNUMBER($AN207),$G207&gt;$AN207),"Cumplida con "&amp;($G207-$AN207)&amp;IF($G207-$AN207=1," día"," días")&amp;" de retraso","Cumplida"),IF(N($M207)&gt;=1,"Cumplida",IF(NOT(ISNUMBER($AN207)),"Sin fecha límite",IF($AN207&lt;FechaRef,"Vencida hace "&amp;(FechaRef-$AN207)&amp;IF(FechaRef-$AN207=1," día"," días"),IF($AN207=FechaRef,"Vence hoy",IF($AN207-FechaRef&lt;=DiasAlerta,"Vence en "&amp;($AN207-FechaRef)&amp;IF($AN207-FechaRef=1," día"," días"),"En plazo")))))))</f>
        <v/>
      </c>
      <c r="P207" s="62" t="n"/>
      <c r="Q207" s="58" t="n"/>
      <c r="R207" s="63">
        <f>IF(NOT((COUNTA($B207:$D207)+COUNTA($G207:$L207)+COUNTA($Q207))&gt;0),"",IF((IF($C207="","Falta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",""))="","✔ OK","⚠ "&amp;LEFT(IF($C207="","Falta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",""),LEN(IF($C207="","Falta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",""))-3)))</f>
        <v/>
      </c>
      <c r="S207" s="64">
        <f>IF(NOT((COUNTA($B207:$D207)+COUNTA($G207:$L207)+COUNTA($Q207))&gt;0),"",IF(AND($V207="Sub",N($U207)&gt;0),IF(ISNUMBER(INDEX($AM$5:$AM$1000,$U207-4)),DATE(YEAR(INDEX($AM$5:$AM$1000,$U207-4)),MONTH(INDEX($AM$5:$AM$1000,$U207-4)),1),IF(ISNUMBER(INDEX($AN$5:$AN$1000,$U207-4)),DATE(YEAR(INDEX($AN$5:$AN$1000,$U207-4)),MONTH(INDEX($AN$5:$AN$1000,$U207-4)),1),MesCiclo)),IF(ISNUMBER($AM207),DATE(YEAR($AM207),MONTH($AM207),1),IF(ISNUMBER($AN207),DATE(YEAR($AN207),MONTH($AN207),1),MesCiclo))))</f>
        <v/>
      </c>
      <c r="T207" s="62">
        <f>IF(OR($S207="",$S207&lt;&gt;MesCiclo),"",COUNTIF($S$5:$S207,MesCiclo))</f>
        <v/>
      </c>
      <c r="U207" s="62">
        <f>IF($V207="","",IF($V207="Macro",ROW(),IFERROR(LOOKUP(2,1/($V$5:$V207="Macro"),ROW($V$5:$V207)),0)))</f>
        <v/>
      </c>
      <c r="V207" s="62">
        <f>IF(NOT((COUNTA($B207:$D207)+COUNTA($G207:$L207)+COUNTA($Q207))&gt;0),"",IF($B207="Subactividad","Sub","Macro"))</f>
        <v/>
      </c>
      <c r="W207" s="62">
        <f>IF($V207="Macro",COUNTIFS($U$5:$U$1000,ROW(),$V$5:$V$1000,"Sub"),"")</f>
        <v/>
      </c>
      <c r="X207" s="62">
        <f>IF($V207="","",IF(ISNUMBER($G207),1,IFERROR(LOOKUP(2,1/($I207:$L207&lt;&gt;""),$I207:$L207),0)))</f>
        <v/>
      </c>
      <c r="Y207" s="62">
        <f>IF($V207="","",IF(AND(ISNUMBER($G207),$G207&lt;=IF($S207=MesCiclo,InicioCiclo,$S207+MOD(2-WEEKDAY($S207),7))+6),1,IF(ISNUMBER($I207),$I207,0)))</f>
        <v/>
      </c>
      <c r="Z207" s="62">
        <f>IF($V207="","",IF(AND(ISNUMBER($G207),$G207&lt;=IF($S207=MesCiclo,InicioCiclo,$S207+MOD(2-WEEKDAY($S207),7))+13),1,IF(ISNUMBER($J207),$J207,$Y207)))</f>
        <v/>
      </c>
      <c r="AA207" s="62">
        <f>IF($V207="","",IF(AND(ISNUMBER($G207),$G207&lt;=IF($S207=MesCiclo,InicioCiclo,$S207+MOD(2-WEEKDAY($S207),7))+20),1,IF(ISNUMBER($K207),$K207,$Z207)))</f>
        <v/>
      </c>
      <c r="AB207" s="62">
        <f>IF($V207="","",IF(AND(ISNUMBER($G207),$G207&lt;=IF($S207=MesCiclo,InicioCiclo,$S207+MOD(2-WEEKDAY($S207),7))+27),1,IF(ISNUMBER($L207),$L207,$AA207)))</f>
        <v/>
      </c>
      <c r="AC207" s="62">
        <f>IF($V207="","",IF(AND(ISNUMBER($G207),$G207&lt;=IF($S207=MesCiclo,InicioCiclo,$S207+MOD(2-WEEKDAY($S207),7))+6),1,IF(N($W207)&gt;0,AVERAGEIFS($Y$5:$Y$1000,$U$5:$U$1000,ROW(),$V$5:$V$1000,"Sub"),$Y207)))</f>
        <v/>
      </c>
      <c r="AD207" s="62">
        <f>IF($V207="","",IF(AND(ISNUMBER($G207),$G207&lt;=IF($S207=MesCiclo,InicioCiclo,$S207+MOD(2-WEEKDAY($S207),7))+13),1,IF(N($W207)&gt;0,AVERAGEIFS($Z$5:$Z$1000,$U$5:$U$1000,ROW(),$V$5:$V$1000,"Sub"),$Z207)))</f>
        <v/>
      </c>
      <c r="AE207" s="62">
        <f>IF($V207="","",IF(AND(ISNUMBER($G207),$G207&lt;=IF($S207=MesCiclo,InicioCiclo,$S207+MOD(2-WEEKDAY($S207),7))+20),1,IF(N($W207)&gt;0,AVERAGEIFS($AA$5:$AA$1000,$U$5:$U$1000,ROW(),$V$5:$V$1000,"Sub"),$AA207)))</f>
        <v/>
      </c>
      <c r="AF207" s="62">
        <f>IF($V207="","",IF(AND(ISNUMBER($G207),$G207&lt;=IF($S207=MesCiclo,InicioCiclo,$S207+MOD(2-WEEKDAY($S207),7))+27),1,IF(N($W207)&gt;0,AVERAGEIFS($AB$5:$AB$1000,$U$5:$U$1000,ROW(),$V$5:$V$1000,"Sub"),$AB207)))</f>
        <v/>
      </c>
      <c r="AG207" s="62">
        <f>IF($V207&lt;&gt;"Macro","",IF(COUNTIFS($S$5:$S$1000,$S207,$V$5:$V$1000,"Macro",$H$5:$H$1000,"&gt;0")=0,1/COUNTIFS($S$5:$S$1000,$S207,$V$5:$V$1000,"Macro"),IF(AND(ISNUMBER($H207),N($H207)&gt;0),$H207,SUMIFS($H$5:$H$1000,$S$5:$S$1000,$S207,$V$5:$V$1000,"Macro")/COUNTIFS($S$5:$S$1000,$S207,$V$5:$V$1000,"Macro",$H$5:$H$1000,"&gt;0"))/(COUNTIFS($S$5:$S$1000,$S207,$V$5:$V$1000,"Macro")*SUMIFS($H$5:$H$1000,$S$5:$S$1000,$S207,$V$5:$V$1000,"Macro")/COUNTIFS($S$5:$S$1000,$S207,$V$5:$V$1000,"Macro",$H$5:$H$1000,"&gt;0"))))</f>
        <v/>
      </c>
      <c r="AH207" s="62" t="n"/>
      <c r="AI207" s="62" t="n"/>
      <c r="AJ207" s="62" t="n"/>
      <c r="AK207" s="62" t="n"/>
      <c r="AL207" s="62">
        <f>IF(LEFT($C207,11)="[Jefatura] ",IFERROR(MATCH("Asistente Técnico de Riesgo|"&amp;MID($C207,12,500),rDname_ADM,0),0),"")</f>
        <v/>
      </c>
      <c r="AM207" s="62">
        <f>IF(N($AL207)&gt;0,INDEX(rIni_ADM,$AL207),IF(ISNUMBER($E207),$E207,""))</f>
        <v/>
      </c>
      <c r="AN207" s="62">
        <f>IF(N($AL207)&gt;0,INDEX(rLim_ADM,$AL207),IF(ISNUMBER($F207),$F207,""))</f>
        <v/>
      </c>
    </row>
    <row r="208">
      <c r="A208" s="56">
        <f>IF(NOT((COUNTA($B208:$D208)+COUNTA($G208:$L208)+COUNTA($Q208))&gt;0),"",IF($V208="Macro",COUNTIFS($V$5:$V208,"Macro",$S$5:$S208,$S208),IF(N($U208)=0,"?",COUNTIFS(INDEX($V$5:$V$1000,1):INDEX($V$5:$V$1000,$U208-4),"Macro",INDEX($S$5:$S$1000,1):INDEX($S$5:$S$1000,$U208-4),INDEX($S$5:$S$1000,$U208-4))&amp;"."&amp;COUNTIFS($U$5:$U208,$U208,$V$5:$V208,"Sub"))))</f>
        <v/>
      </c>
      <c r="B208" s="57" t="n"/>
      <c r="C208" s="58" t="n"/>
      <c r="D208" s="58" t="n"/>
      <c r="E208" s="59">
        <f>IF(N($AL208)&gt;0,INDEX(rIni_ADM,$AL208),"")</f>
        <v/>
      </c>
      <c r="F208" s="59">
        <f>IF(N($AL208)&gt;0,INDEX(rLim_ADM,$AL208),"")</f>
        <v/>
      </c>
      <c r="G208" s="59" t="n"/>
      <c r="H208" s="60" t="n"/>
      <c r="I208" s="60" t="n"/>
      <c r="J208" s="60" t="n"/>
      <c r="K208" s="60" t="n"/>
      <c r="L208" s="60" t="n"/>
      <c r="M208" s="61">
        <f>IF(NOT((COUNTA($B208:$D208)+COUNTA($G208:$L208)+COUNTA($Q208))&gt;0),"",IF(ISNUMBER($G208),1,IF(N($W208)&gt;0,AVERAGEIFS($X$5:$X$1000,$U$5:$U$1000,ROW(),$V$5:$V$1000,"Sub"),$X208)))</f>
        <v/>
      </c>
      <c r="N208" s="56">
        <f>IF($M208="","",IF($M208&gt;=1,"Completado",IF($M208&gt;0,"En curso","Pendiente")))</f>
        <v/>
      </c>
      <c r="O208" s="56">
        <f>IF(NOT((COUNTA($B208:$D208)+COUNTA($G208:$L208)+COUNTA($Q208))&gt;0),"",IF(ISNUMBER($G208),IF(AND(ISNUMBER($AN208),$G208&gt;$AN208),"Cumplida con "&amp;($G208-$AN208)&amp;IF($G208-$AN208=1," día"," días")&amp;" de retraso","Cumplida"),IF(N($M208)&gt;=1,"Cumplida",IF(NOT(ISNUMBER($AN208)),"Sin fecha límite",IF($AN208&lt;FechaRef,"Vencida hace "&amp;(FechaRef-$AN208)&amp;IF(FechaRef-$AN208=1," día"," días"),IF($AN208=FechaRef,"Vence hoy",IF($AN208-FechaRef&lt;=DiasAlerta,"Vence en "&amp;($AN208-FechaRef)&amp;IF($AN208-FechaRef=1," día"," días"),"En plazo")))))))</f>
        <v/>
      </c>
      <c r="P208" s="62" t="n"/>
      <c r="Q208" s="58" t="n"/>
      <c r="R208" s="63">
        <f>IF(NOT((COUNTA($B208:$D208)+COUNTA($G208:$L208)+COUNTA($Q208))&gt;0),"",IF((IF($C208="","Falta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",""))="","✔ OK","⚠ "&amp;LEFT(IF($C208="","Falta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",""),LEN(IF($C208="","Falta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",""))-3)))</f>
        <v/>
      </c>
      <c r="S208" s="64">
        <f>IF(NOT((COUNTA($B208:$D208)+COUNTA($G208:$L208)+COUNTA($Q208))&gt;0),"",IF(AND($V208="Sub",N($U208)&gt;0),IF(ISNUMBER(INDEX($AM$5:$AM$1000,$U208-4)),DATE(YEAR(INDEX($AM$5:$AM$1000,$U208-4)),MONTH(INDEX($AM$5:$AM$1000,$U208-4)),1),IF(ISNUMBER(INDEX($AN$5:$AN$1000,$U208-4)),DATE(YEAR(INDEX($AN$5:$AN$1000,$U208-4)),MONTH(INDEX($AN$5:$AN$1000,$U208-4)),1),MesCiclo)),IF(ISNUMBER($AM208),DATE(YEAR($AM208),MONTH($AM208),1),IF(ISNUMBER($AN208),DATE(YEAR($AN208),MONTH($AN208),1),MesCiclo))))</f>
        <v/>
      </c>
      <c r="T208" s="62">
        <f>IF(OR($S208="",$S208&lt;&gt;MesCiclo),"",COUNTIF($S$5:$S208,MesCiclo))</f>
        <v/>
      </c>
      <c r="U208" s="62">
        <f>IF($V208="","",IF($V208="Macro",ROW(),IFERROR(LOOKUP(2,1/($V$5:$V208="Macro"),ROW($V$5:$V208)),0)))</f>
        <v/>
      </c>
      <c r="V208" s="62">
        <f>IF(NOT((COUNTA($B208:$D208)+COUNTA($G208:$L208)+COUNTA($Q208))&gt;0),"",IF($B208="Subactividad","Sub","Macro"))</f>
        <v/>
      </c>
      <c r="W208" s="62">
        <f>IF($V208="Macro",COUNTIFS($U$5:$U$1000,ROW(),$V$5:$V$1000,"Sub"),"")</f>
        <v/>
      </c>
      <c r="X208" s="62">
        <f>IF($V208="","",IF(ISNUMBER($G208),1,IFERROR(LOOKUP(2,1/($I208:$L208&lt;&gt;""),$I208:$L208),0)))</f>
        <v/>
      </c>
      <c r="Y208" s="62">
        <f>IF($V208="","",IF(AND(ISNUMBER($G208),$G208&lt;=IF($S208=MesCiclo,InicioCiclo,$S208+MOD(2-WEEKDAY($S208),7))+6),1,IF(ISNUMBER($I208),$I208,0)))</f>
        <v/>
      </c>
      <c r="Z208" s="62">
        <f>IF($V208="","",IF(AND(ISNUMBER($G208),$G208&lt;=IF($S208=MesCiclo,InicioCiclo,$S208+MOD(2-WEEKDAY($S208),7))+13),1,IF(ISNUMBER($J208),$J208,$Y208)))</f>
        <v/>
      </c>
      <c r="AA208" s="62">
        <f>IF($V208="","",IF(AND(ISNUMBER($G208),$G208&lt;=IF($S208=MesCiclo,InicioCiclo,$S208+MOD(2-WEEKDAY($S208),7))+20),1,IF(ISNUMBER($K208),$K208,$Z208)))</f>
        <v/>
      </c>
      <c r="AB208" s="62">
        <f>IF($V208="","",IF(AND(ISNUMBER($G208),$G208&lt;=IF($S208=MesCiclo,InicioCiclo,$S208+MOD(2-WEEKDAY($S208),7))+27),1,IF(ISNUMBER($L208),$L208,$AA208)))</f>
        <v/>
      </c>
      <c r="AC208" s="62">
        <f>IF($V208="","",IF(AND(ISNUMBER($G208),$G208&lt;=IF($S208=MesCiclo,InicioCiclo,$S208+MOD(2-WEEKDAY($S208),7))+6),1,IF(N($W208)&gt;0,AVERAGEIFS($Y$5:$Y$1000,$U$5:$U$1000,ROW(),$V$5:$V$1000,"Sub"),$Y208)))</f>
        <v/>
      </c>
      <c r="AD208" s="62">
        <f>IF($V208="","",IF(AND(ISNUMBER($G208),$G208&lt;=IF($S208=MesCiclo,InicioCiclo,$S208+MOD(2-WEEKDAY($S208),7))+13),1,IF(N($W208)&gt;0,AVERAGEIFS($Z$5:$Z$1000,$U$5:$U$1000,ROW(),$V$5:$V$1000,"Sub"),$Z208)))</f>
        <v/>
      </c>
      <c r="AE208" s="62">
        <f>IF($V208="","",IF(AND(ISNUMBER($G208),$G208&lt;=IF($S208=MesCiclo,InicioCiclo,$S208+MOD(2-WEEKDAY($S208),7))+20),1,IF(N($W208)&gt;0,AVERAGEIFS($AA$5:$AA$1000,$U$5:$U$1000,ROW(),$V$5:$V$1000,"Sub"),$AA208)))</f>
        <v/>
      </c>
      <c r="AF208" s="62">
        <f>IF($V208="","",IF(AND(ISNUMBER($G208),$G208&lt;=IF($S208=MesCiclo,InicioCiclo,$S208+MOD(2-WEEKDAY($S208),7))+27),1,IF(N($W208)&gt;0,AVERAGEIFS($AB$5:$AB$1000,$U$5:$U$1000,ROW(),$V$5:$V$1000,"Sub"),$AB208)))</f>
        <v/>
      </c>
      <c r="AG208" s="62">
        <f>IF($V208&lt;&gt;"Macro","",IF(COUNTIFS($S$5:$S$1000,$S208,$V$5:$V$1000,"Macro",$H$5:$H$1000,"&gt;0")=0,1/COUNTIFS($S$5:$S$1000,$S208,$V$5:$V$1000,"Macro"),IF(AND(ISNUMBER($H208),N($H208)&gt;0),$H208,SUMIFS($H$5:$H$1000,$S$5:$S$1000,$S208,$V$5:$V$1000,"Macro")/COUNTIFS($S$5:$S$1000,$S208,$V$5:$V$1000,"Macro",$H$5:$H$1000,"&gt;0"))/(COUNTIFS($S$5:$S$1000,$S208,$V$5:$V$1000,"Macro")*SUMIFS($H$5:$H$1000,$S$5:$S$1000,$S208,$V$5:$V$1000,"Macro")/COUNTIFS($S$5:$S$1000,$S208,$V$5:$V$1000,"Macro",$H$5:$H$1000,"&gt;0"))))</f>
        <v/>
      </c>
      <c r="AH208" s="62" t="n"/>
      <c r="AI208" s="62" t="n"/>
      <c r="AJ208" s="62" t="n"/>
      <c r="AK208" s="62" t="n"/>
      <c r="AL208" s="62">
        <f>IF(LEFT($C208,11)="[Jefatura] ",IFERROR(MATCH("Asistente Técnico de Riesgo|"&amp;MID($C208,12,500),rDname_ADM,0),0),"")</f>
        <v/>
      </c>
      <c r="AM208" s="62">
        <f>IF(N($AL208)&gt;0,INDEX(rIni_ADM,$AL208),IF(ISNUMBER($E208),$E208,""))</f>
        <v/>
      </c>
      <c r="AN208" s="62">
        <f>IF(N($AL208)&gt;0,INDEX(rLim_ADM,$AL208),IF(ISNUMBER($F208),$F208,""))</f>
        <v/>
      </c>
    </row>
    <row r="209">
      <c r="A209" s="56">
        <f>IF(NOT((COUNTA($B209:$D209)+COUNTA($G209:$L209)+COUNTA($Q209))&gt;0),"",IF($V209="Macro",COUNTIFS($V$5:$V209,"Macro",$S$5:$S209,$S209),IF(N($U209)=0,"?",COUNTIFS(INDEX($V$5:$V$1000,1):INDEX($V$5:$V$1000,$U209-4),"Macro",INDEX($S$5:$S$1000,1):INDEX($S$5:$S$1000,$U209-4),INDEX($S$5:$S$1000,$U209-4))&amp;"."&amp;COUNTIFS($U$5:$U209,$U209,$V$5:$V209,"Sub"))))</f>
        <v/>
      </c>
      <c r="B209" s="57" t="n"/>
      <c r="C209" s="58" t="n"/>
      <c r="D209" s="58" t="n"/>
      <c r="E209" s="59">
        <f>IF(N($AL209)&gt;0,INDEX(rIni_ADM,$AL209),"")</f>
        <v/>
      </c>
      <c r="F209" s="59">
        <f>IF(N($AL209)&gt;0,INDEX(rLim_ADM,$AL209),"")</f>
        <v/>
      </c>
      <c r="G209" s="59" t="n"/>
      <c r="H209" s="60" t="n"/>
      <c r="I209" s="60" t="n"/>
      <c r="J209" s="60" t="n"/>
      <c r="K209" s="60" t="n"/>
      <c r="L209" s="60" t="n"/>
      <c r="M209" s="61">
        <f>IF(NOT((COUNTA($B209:$D209)+COUNTA($G209:$L209)+COUNTA($Q209))&gt;0),"",IF(ISNUMBER($G209),1,IF(N($W209)&gt;0,AVERAGEIFS($X$5:$X$1000,$U$5:$U$1000,ROW(),$V$5:$V$1000,"Sub"),$X209)))</f>
        <v/>
      </c>
      <c r="N209" s="56">
        <f>IF($M209="","",IF($M209&gt;=1,"Completado",IF($M209&gt;0,"En curso","Pendiente")))</f>
        <v/>
      </c>
      <c r="O209" s="56">
        <f>IF(NOT((COUNTA($B209:$D209)+COUNTA($G209:$L209)+COUNTA($Q209))&gt;0),"",IF(ISNUMBER($G209),IF(AND(ISNUMBER($AN209),$G209&gt;$AN209),"Cumplida con "&amp;($G209-$AN209)&amp;IF($G209-$AN209=1," día"," días")&amp;" de retraso","Cumplida"),IF(N($M209)&gt;=1,"Cumplida",IF(NOT(ISNUMBER($AN209)),"Sin fecha límite",IF($AN209&lt;FechaRef,"Vencida hace "&amp;(FechaRef-$AN209)&amp;IF(FechaRef-$AN209=1," día"," días"),IF($AN209=FechaRef,"Vence hoy",IF($AN209-FechaRef&lt;=DiasAlerta,"Vence en "&amp;($AN209-FechaRef)&amp;IF($AN209-FechaRef=1," día"," días"),"En plazo")))))))</f>
        <v/>
      </c>
      <c r="P209" s="62" t="n"/>
      <c r="Q209" s="58" t="n"/>
      <c r="R209" s="63">
        <f>IF(NOT((COUNTA($B209:$D209)+COUNTA($G209:$L209)+COUNTA($Q209))&gt;0),"",IF((IF($C209="","Falta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",""))="","✔ OK","⚠ "&amp;LEFT(IF($C209="","Falta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",""),LEN(IF($C209="","Falta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",""))-3)))</f>
        <v/>
      </c>
      <c r="S209" s="64">
        <f>IF(NOT((COUNTA($B209:$D209)+COUNTA($G209:$L209)+COUNTA($Q209))&gt;0),"",IF(AND($V209="Sub",N($U209)&gt;0),IF(ISNUMBER(INDEX($AM$5:$AM$1000,$U209-4)),DATE(YEAR(INDEX($AM$5:$AM$1000,$U209-4)),MONTH(INDEX($AM$5:$AM$1000,$U209-4)),1),IF(ISNUMBER(INDEX($AN$5:$AN$1000,$U209-4)),DATE(YEAR(INDEX($AN$5:$AN$1000,$U209-4)),MONTH(INDEX($AN$5:$AN$1000,$U209-4)),1),MesCiclo)),IF(ISNUMBER($AM209),DATE(YEAR($AM209),MONTH($AM209),1),IF(ISNUMBER($AN209),DATE(YEAR($AN209),MONTH($AN209),1),MesCiclo))))</f>
        <v/>
      </c>
      <c r="T209" s="62">
        <f>IF(OR($S209="",$S209&lt;&gt;MesCiclo),"",COUNTIF($S$5:$S209,MesCiclo))</f>
        <v/>
      </c>
      <c r="U209" s="62">
        <f>IF($V209="","",IF($V209="Macro",ROW(),IFERROR(LOOKUP(2,1/($V$5:$V209="Macro"),ROW($V$5:$V209)),0)))</f>
        <v/>
      </c>
      <c r="V209" s="62">
        <f>IF(NOT((COUNTA($B209:$D209)+COUNTA($G209:$L209)+COUNTA($Q209))&gt;0),"",IF($B209="Subactividad","Sub","Macro"))</f>
        <v/>
      </c>
      <c r="W209" s="62">
        <f>IF($V209="Macro",COUNTIFS($U$5:$U$1000,ROW(),$V$5:$V$1000,"Sub"),"")</f>
        <v/>
      </c>
      <c r="X209" s="62">
        <f>IF($V209="","",IF(ISNUMBER($G209),1,IFERROR(LOOKUP(2,1/($I209:$L209&lt;&gt;""),$I209:$L209),0)))</f>
        <v/>
      </c>
      <c r="Y209" s="62">
        <f>IF($V209="","",IF(AND(ISNUMBER($G209),$G209&lt;=IF($S209=MesCiclo,InicioCiclo,$S209+MOD(2-WEEKDAY($S209),7))+6),1,IF(ISNUMBER($I209),$I209,0)))</f>
        <v/>
      </c>
      <c r="Z209" s="62">
        <f>IF($V209="","",IF(AND(ISNUMBER($G209),$G209&lt;=IF($S209=MesCiclo,InicioCiclo,$S209+MOD(2-WEEKDAY($S209),7))+13),1,IF(ISNUMBER($J209),$J209,$Y209)))</f>
        <v/>
      </c>
      <c r="AA209" s="62">
        <f>IF($V209="","",IF(AND(ISNUMBER($G209),$G209&lt;=IF($S209=MesCiclo,InicioCiclo,$S209+MOD(2-WEEKDAY($S209),7))+20),1,IF(ISNUMBER($K209),$K209,$Z209)))</f>
        <v/>
      </c>
      <c r="AB209" s="62">
        <f>IF($V209="","",IF(AND(ISNUMBER($G209),$G209&lt;=IF($S209=MesCiclo,InicioCiclo,$S209+MOD(2-WEEKDAY($S209),7))+27),1,IF(ISNUMBER($L209),$L209,$AA209)))</f>
        <v/>
      </c>
      <c r="AC209" s="62">
        <f>IF($V209="","",IF(AND(ISNUMBER($G209),$G209&lt;=IF($S209=MesCiclo,InicioCiclo,$S209+MOD(2-WEEKDAY($S209),7))+6),1,IF(N($W209)&gt;0,AVERAGEIFS($Y$5:$Y$1000,$U$5:$U$1000,ROW(),$V$5:$V$1000,"Sub"),$Y209)))</f>
        <v/>
      </c>
      <c r="AD209" s="62">
        <f>IF($V209="","",IF(AND(ISNUMBER($G209),$G209&lt;=IF($S209=MesCiclo,InicioCiclo,$S209+MOD(2-WEEKDAY($S209),7))+13),1,IF(N($W209)&gt;0,AVERAGEIFS($Z$5:$Z$1000,$U$5:$U$1000,ROW(),$V$5:$V$1000,"Sub"),$Z209)))</f>
        <v/>
      </c>
      <c r="AE209" s="62">
        <f>IF($V209="","",IF(AND(ISNUMBER($G209),$G209&lt;=IF($S209=MesCiclo,InicioCiclo,$S209+MOD(2-WEEKDAY($S209),7))+20),1,IF(N($W209)&gt;0,AVERAGEIFS($AA$5:$AA$1000,$U$5:$U$1000,ROW(),$V$5:$V$1000,"Sub"),$AA209)))</f>
        <v/>
      </c>
      <c r="AF209" s="62">
        <f>IF($V209="","",IF(AND(ISNUMBER($G209),$G209&lt;=IF($S209=MesCiclo,InicioCiclo,$S209+MOD(2-WEEKDAY($S209),7))+27),1,IF(N($W209)&gt;0,AVERAGEIFS($AB$5:$AB$1000,$U$5:$U$1000,ROW(),$V$5:$V$1000,"Sub"),$AB209)))</f>
        <v/>
      </c>
      <c r="AG209" s="62">
        <f>IF($V209&lt;&gt;"Macro","",IF(COUNTIFS($S$5:$S$1000,$S209,$V$5:$V$1000,"Macro",$H$5:$H$1000,"&gt;0")=0,1/COUNTIFS($S$5:$S$1000,$S209,$V$5:$V$1000,"Macro"),IF(AND(ISNUMBER($H209),N($H209)&gt;0),$H209,SUMIFS($H$5:$H$1000,$S$5:$S$1000,$S209,$V$5:$V$1000,"Macro")/COUNTIFS($S$5:$S$1000,$S209,$V$5:$V$1000,"Macro",$H$5:$H$1000,"&gt;0"))/(COUNTIFS($S$5:$S$1000,$S209,$V$5:$V$1000,"Macro")*SUMIFS($H$5:$H$1000,$S$5:$S$1000,$S209,$V$5:$V$1000,"Macro")/COUNTIFS($S$5:$S$1000,$S209,$V$5:$V$1000,"Macro",$H$5:$H$1000,"&gt;0"))))</f>
        <v/>
      </c>
      <c r="AH209" s="62" t="n"/>
      <c r="AI209" s="62" t="n"/>
      <c r="AJ209" s="62" t="n"/>
      <c r="AK209" s="62" t="n"/>
      <c r="AL209" s="62">
        <f>IF(LEFT($C209,11)="[Jefatura] ",IFERROR(MATCH("Asistente Técnico de Riesgo|"&amp;MID($C209,12,500),rDname_ADM,0),0),"")</f>
        <v/>
      </c>
      <c r="AM209" s="62">
        <f>IF(N($AL209)&gt;0,INDEX(rIni_ADM,$AL209),IF(ISNUMBER($E209),$E209,""))</f>
        <v/>
      </c>
      <c r="AN209" s="62">
        <f>IF(N($AL209)&gt;0,INDEX(rLim_ADM,$AL209),IF(ISNUMBER($F209),$F209,""))</f>
        <v/>
      </c>
    </row>
    <row r="210">
      <c r="A210" s="56">
        <f>IF(NOT((COUNTA($B210:$D210)+COUNTA($G210:$L210)+COUNTA($Q210))&gt;0),"",IF($V210="Macro",COUNTIFS($V$5:$V210,"Macro",$S$5:$S210,$S210),IF(N($U210)=0,"?",COUNTIFS(INDEX($V$5:$V$1000,1):INDEX($V$5:$V$1000,$U210-4),"Macro",INDEX($S$5:$S$1000,1):INDEX($S$5:$S$1000,$U210-4),INDEX($S$5:$S$1000,$U210-4))&amp;"."&amp;COUNTIFS($U$5:$U210,$U210,$V$5:$V210,"Sub"))))</f>
        <v/>
      </c>
      <c r="B210" s="57" t="n"/>
      <c r="C210" s="58" t="n"/>
      <c r="D210" s="58" t="n"/>
      <c r="E210" s="59">
        <f>IF(N($AL210)&gt;0,INDEX(rIni_ADM,$AL210),"")</f>
        <v/>
      </c>
      <c r="F210" s="59">
        <f>IF(N($AL210)&gt;0,INDEX(rLim_ADM,$AL210),"")</f>
        <v/>
      </c>
      <c r="G210" s="59" t="n"/>
      <c r="H210" s="60" t="n"/>
      <c r="I210" s="60" t="n"/>
      <c r="J210" s="60" t="n"/>
      <c r="K210" s="60" t="n"/>
      <c r="L210" s="60" t="n"/>
      <c r="M210" s="61">
        <f>IF(NOT((COUNTA($B210:$D210)+COUNTA($G210:$L210)+COUNTA($Q210))&gt;0),"",IF(ISNUMBER($G210),1,IF(N($W210)&gt;0,AVERAGEIFS($X$5:$X$1000,$U$5:$U$1000,ROW(),$V$5:$V$1000,"Sub"),$X210)))</f>
        <v/>
      </c>
      <c r="N210" s="56">
        <f>IF($M210="","",IF($M210&gt;=1,"Completado",IF($M210&gt;0,"En curso","Pendiente")))</f>
        <v/>
      </c>
      <c r="O210" s="56">
        <f>IF(NOT((COUNTA($B210:$D210)+COUNTA($G210:$L210)+COUNTA($Q210))&gt;0),"",IF(ISNUMBER($G210),IF(AND(ISNUMBER($AN210),$G210&gt;$AN210),"Cumplida con "&amp;($G210-$AN210)&amp;IF($G210-$AN210=1," día"," días")&amp;" de retraso","Cumplida"),IF(N($M210)&gt;=1,"Cumplida",IF(NOT(ISNUMBER($AN210)),"Sin fecha límite",IF($AN210&lt;FechaRef,"Vencida hace "&amp;(FechaRef-$AN210)&amp;IF(FechaRef-$AN210=1," día"," días"),IF($AN210=FechaRef,"Vence hoy",IF($AN210-FechaRef&lt;=DiasAlerta,"Vence en "&amp;($AN210-FechaRef)&amp;IF($AN210-FechaRef=1," día"," días"),"En plazo")))))))</f>
        <v/>
      </c>
      <c r="P210" s="62" t="n"/>
      <c r="Q210" s="58" t="n"/>
      <c r="R210" s="63">
        <f>IF(NOT((COUNTA($B210:$D210)+COUNTA($G210:$L210)+COUNTA($Q210))&gt;0),"",IF((IF($C210="","Falta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",""))="","✔ OK","⚠ "&amp;LEFT(IF($C210="","Falta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",""),LEN(IF($C210="","Falta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",""))-3)))</f>
        <v/>
      </c>
      <c r="S210" s="64">
        <f>IF(NOT((COUNTA($B210:$D210)+COUNTA($G210:$L210)+COUNTA($Q210))&gt;0),"",IF(AND($V210="Sub",N($U210)&gt;0),IF(ISNUMBER(INDEX($AM$5:$AM$1000,$U210-4)),DATE(YEAR(INDEX($AM$5:$AM$1000,$U210-4)),MONTH(INDEX($AM$5:$AM$1000,$U210-4)),1),IF(ISNUMBER(INDEX($AN$5:$AN$1000,$U210-4)),DATE(YEAR(INDEX($AN$5:$AN$1000,$U210-4)),MONTH(INDEX($AN$5:$AN$1000,$U210-4)),1),MesCiclo)),IF(ISNUMBER($AM210),DATE(YEAR($AM210),MONTH($AM210),1),IF(ISNUMBER($AN210),DATE(YEAR($AN210),MONTH($AN210),1),MesCiclo))))</f>
        <v/>
      </c>
      <c r="T210" s="62">
        <f>IF(OR($S210="",$S210&lt;&gt;MesCiclo),"",COUNTIF($S$5:$S210,MesCiclo))</f>
        <v/>
      </c>
      <c r="U210" s="62">
        <f>IF($V210="","",IF($V210="Macro",ROW(),IFERROR(LOOKUP(2,1/($V$5:$V210="Macro"),ROW($V$5:$V210)),0)))</f>
        <v/>
      </c>
      <c r="V210" s="62">
        <f>IF(NOT((COUNTA($B210:$D210)+COUNTA($G210:$L210)+COUNTA($Q210))&gt;0),"",IF($B210="Subactividad","Sub","Macro"))</f>
        <v/>
      </c>
      <c r="W210" s="62">
        <f>IF($V210="Macro",COUNTIFS($U$5:$U$1000,ROW(),$V$5:$V$1000,"Sub"),"")</f>
        <v/>
      </c>
      <c r="X210" s="62">
        <f>IF($V210="","",IF(ISNUMBER($G210),1,IFERROR(LOOKUP(2,1/($I210:$L210&lt;&gt;""),$I210:$L210),0)))</f>
        <v/>
      </c>
      <c r="Y210" s="62">
        <f>IF($V210="","",IF(AND(ISNUMBER($G210),$G210&lt;=IF($S210=MesCiclo,InicioCiclo,$S210+MOD(2-WEEKDAY($S210),7))+6),1,IF(ISNUMBER($I210),$I210,0)))</f>
        <v/>
      </c>
      <c r="Z210" s="62">
        <f>IF($V210="","",IF(AND(ISNUMBER($G210),$G210&lt;=IF($S210=MesCiclo,InicioCiclo,$S210+MOD(2-WEEKDAY($S210),7))+13),1,IF(ISNUMBER($J210),$J210,$Y210)))</f>
        <v/>
      </c>
      <c r="AA210" s="62">
        <f>IF($V210="","",IF(AND(ISNUMBER($G210),$G210&lt;=IF($S210=MesCiclo,InicioCiclo,$S210+MOD(2-WEEKDAY($S210),7))+20),1,IF(ISNUMBER($K210),$K210,$Z210)))</f>
        <v/>
      </c>
      <c r="AB210" s="62">
        <f>IF($V210="","",IF(AND(ISNUMBER($G210),$G210&lt;=IF($S210=MesCiclo,InicioCiclo,$S210+MOD(2-WEEKDAY($S210),7))+27),1,IF(ISNUMBER($L210),$L210,$AA210)))</f>
        <v/>
      </c>
      <c r="AC210" s="62">
        <f>IF($V210="","",IF(AND(ISNUMBER($G210),$G210&lt;=IF($S210=MesCiclo,InicioCiclo,$S210+MOD(2-WEEKDAY($S210),7))+6),1,IF(N($W210)&gt;0,AVERAGEIFS($Y$5:$Y$1000,$U$5:$U$1000,ROW(),$V$5:$V$1000,"Sub"),$Y210)))</f>
        <v/>
      </c>
      <c r="AD210" s="62">
        <f>IF($V210="","",IF(AND(ISNUMBER($G210),$G210&lt;=IF($S210=MesCiclo,InicioCiclo,$S210+MOD(2-WEEKDAY($S210),7))+13),1,IF(N($W210)&gt;0,AVERAGEIFS($Z$5:$Z$1000,$U$5:$U$1000,ROW(),$V$5:$V$1000,"Sub"),$Z210)))</f>
        <v/>
      </c>
      <c r="AE210" s="62">
        <f>IF($V210="","",IF(AND(ISNUMBER($G210),$G210&lt;=IF($S210=MesCiclo,InicioCiclo,$S210+MOD(2-WEEKDAY($S210),7))+20),1,IF(N($W210)&gt;0,AVERAGEIFS($AA$5:$AA$1000,$U$5:$U$1000,ROW(),$V$5:$V$1000,"Sub"),$AA210)))</f>
        <v/>
      </c>
      <c r="AF210" s="62">
        <f>IF($V210="","",IF(AND(ISNUMBER($G210),$G210&lt;=IF($S210=MesCiclo,InicioCiclo,$S210+MOD(2-WEEKDAY($S210),7))+27),1,IF(N($W210)&gt;0,AVERAGEIFS($AB$5:$AB$1000,$U$5:$U$1000,ROW(),$V$5:$V$1000,"Sub"),$AB210)))</f>
        <v/>
      </c>
      <c r="AG210" s="62">
        <f>IF($V210&lt;&gt;"Macro","",IF(COUNTIFS($S$5:$S$1000,$S210,$V$5:$V$1000,"Macro",$H$5:$H$1000,"&gt;0")=0,1/COUNTIFS($S$5:$S$1000,$S210,$V$5:$V$1000,"Macro"),IF(AND(ISNUMBER($H210),N($H210)&gt;0),$H210,SUMIFS($H$5:$H$1000,$S$5:$S$1000,$S210,$V$5:$V$1000,"Macro")/COUNTIFS($S$5:$S$1000,$S210,$V$5:$V$1000,"Macro",$H$5:$H$1000,"&gt;0"))/(COUNTIFS($S$5:$S$1000,$S210,$V$5:$V$1000,"Macro")*SUMIFS($H$5:$H$1000,$S$5:$S$1000,$S210,$V$5:$V$1000,"Macro")/COUNTIFS($S$5:$S$1000,$S210,$V$5:$V$1000,"Macro",$H$5:$H$1000,"&gt;0"))))</f>
        <v/>
      </c>
      <c r="AH210" s="62" t="n"/>
      <c r="AI210" s="62" t="n"/>
      <c r="AJ210" s="62" t="n"/>
      <c r="AK210" s="62" t="n"/>
      <c r="AL210" s="62">
        <f>IF(LEFT($C210,11)="[Jefatura] ",IFERROR(MATCH("Asistente Técnico de Riesgo|"&amp;MID($C210,12,500),rDname_ADM,0),0),"")</f>
        <v/>
      </c>
      <c r="AM210" s="62">
        <f>IF(N($AL210)&gt;0,INDEX(rIni_ADM,$AL210),IF(ISNUMBER($E210),$E210,""))</f>
        <v/>
      </c>
      <c r="AN210" s="62">
        <f>IF(N($AL210)&gt;0,INDEX(rLim_ADM,$AL210),IF(ISNUMBER($F210),$F210,""))</f>
        <v/>
      </c>
    </row>
    <row r="211">
      <c r="A211" s="56">
        <f>IF(NOT((COUNTA($B211:$D211)+COUNTA($G211:$L211)+COUNTA($Q211))&gt;0),"",IF($V211="Macro",COUNTIFS($V$5:$V211,"Macro",$S$5:$S211,$S211),IF(N($U211)=0,"?",COUNTIFS(INDEX($V$5:$V$1000,1):INDEX($V$5:$V$1000,$U211-4),"Macro",INDEX($S$5:$S$1000,1):INDEX($S$5:$S$1000,$U211-4),INDEX($S$5:$S$1000,$U211-4))&amp;"."&amp;COUNTIFS($U$5:$U211,$U211,$V$5:$V211,"Sub"))))</f>
        <v/>
      </c>
      <c r="B211" s="57" t="n"/>
      <c r="C211" s="58" t="n"/>
      <c r="D211" s="58" t="n"/>
      <c r="E211" s="59">
        <f>IF(N($AL211)&gt;0,INDEX(rIni_ADM,$AL211),"")</f>
        <v/>
      </c>
      <c r="F211" s="59">
        <f>IF(N($AL211)&gt;0,INDEX(rLim_ADM,$AL211),"")</f>
        <v/>
      </c>
      <c r="G211" s="59" t="n"/>
      <c r="H211" s="60" t="n"/>
      <c r="I211" s="60" t="n"/>
      <c r="J211" s="60" t="n"/>
      <c r="K211" s="60" t="n"/>
      <c r="L211" s="60" t="n"/>
      <c r="M211" s="61">
        <f>IF(NOT((COUNTA($B211:$D211)+COUNTA($G211:$L211)+COUNTA($Q211))&gt;0),"",IF(ISNUMBER($G211),1,IF(N($W211)&gt;0,AVERAGEIFS($X$5:$X$1000,$U$5:$U$1000,ROW(),$V$5:$V$1000,"Sub"),$X211)))</f>
        <v/>
      </c>
      <c r="N211" s="56">
        <f>IF($M211="","",IF($M211&gt;=1,"Completado",IF($M211&gt;0,"En curso","Pendiente")))</f>
        <v/>
      </c>
      <c r="O211" s="56">
        <f>IF(NOT((COUNTA($B211:$D211)+COUNTA($G211:$L211)+COUNTA($Q211))&gt;0),"",IF(ISNUMBER($G211),IF(AND(ISNUMBER($AN211),$G211&gt;$AN211),"Cumplida con "&amp;($G211-$AN211)&amp;IF($G211-$AN211=1," día"," días")&amp;" de retraso","Cumplida"),IF(N($M211)&gt;=1,"Cumplida",IF(NOT(ISNUMBER($AN211)),"Sin fecha límite",IF($AN211&lt;FechaRef,"Vencida hace "&amp;(FechaRef-$AN211)&amp;IF(FechaRef-$AN211=1," día"," días"),IF($AN211=FechaRef,"Vence hoy",IF($AN211-FechaRef&lt;=DiasAlerta,"Vence en "&amp;($AN211-FechaRef)&amp;IF($AN211-FechaRef=1," día"," días"),"En plazo")))))))</f>
        <v/>
      </c>
      <c r="P211" s="62" t="n"/>
      <c r="Q211" s="58" t="n"/>
      <c r="R211" s="63">
        <f>IF(NOT((COUNTA($B211:$D211)+COUNTA($G211:$L211)+COUNTA($Q211))&gt;0),"",IF((IF($C211="","Falta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",""))="","✔ OK","⚠ "&amp;LEFT(IF($C211="","Falta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",""),LEN(IF($C211="","Falta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",""))-3)))</f>
        <v/>
      </c>
      <c r="S211" s="64">
        <f>IF(NOT((COUNTA($B211:$D211)+COUNTA($G211:$L211)+COUNTA($Q211))&gt;0),"",IF(AND($V211="Sub",N($U211)&gt;0),IF(ISNUMBER(INDEX($AM$5:$AM$1000,$U211-4)),DATE(YEAR(INDEX($AM$5:$AM$1000,$U211-4)),MONTH(INDEX($AM$5:$AM$1000,$U211-4)),1),IF(ISNUMBER(INDEX($AN$5:$AN$1000,$U211-4)),DATE(YEAR(INDEX($AN$5:$AN$1000,$U211-4)),MONTH(INDEX($AN$5:$AN$1000,$U211-4)),1),MesCiclo)),IF(ISNUMBER($AM211),DATE(YEAR($AM211),MONTH($AM211),1),IF(ISNUMBER($AN211),DATE(YEAR($AN211),MONTH($AN211),1),MesCiclo))))</f>
        <v/>
      </c>
      <c r="T211" s="62">
        <f>IF(OR($S211="",$S211&lt;&gt;MesCiclo),"",COUNTIF($S$5:$S211,MesCiclo))</f>
        <v/>
      </c>
      <c r="U211" s="62">
        <f>IF($V211="","",IF($V211="Macro",ROW(),IFERROR(LOOKUP(2,1/($V$5:$V211="Macro"),ROW($V$5:$V211)),0)))</f>
        <v/>
      </c>
      <c r="V211" s="62">
        <f>IF(NOT((COUNTA($B211:$D211)+COUNTA($G211:$L211)+COUNTA($Q211))&gt;0),"",IF($B211="Subactividad","Sub","Macro"))</f>
        <v/>
      </c>
      <c r="W211" s="62">
        <f>IF($V211="Macro",COUNTIFS($U$5:$U$1000,ROW(),$V$5:$V$1000,"Sub"),"")</f>
        <v/>
      </c>
      <c r="X211" s="62">
        <f>IF($V211="","",IF(ISNUMBER($G211),1,IFERROR(LOOKUP(2,1/($I211:$L211&lt;&gt;""),$I211:$L211),0)))</f>
        <v/>
      </c>
      <c r="Y211" s="62">
        <f>IF($V211="","",IF(AND(ISNUMBER($G211),$G211&lt;=IF($S211=MesCiclo,InicioCiclo,$S211+MOD(2-WEEKDAY($S211),7))+6),1,IF(ISNUMBER($I211),$I211,0)))</f>
        <v/>
      </c>
      <c r="Z211" s="62">
        <f>IF($V211="","",IF(AND(ISNUMBER($G211),$G211&lt;=IF($S211=MesCiclo,InicioCiclo,$S211+MOD(2-WEEKDAY($S211),7))+13),1,IF(ISNUMBER($J211),$J211,$Y211)))</f>
        <v/>
      </c>
      <c r="AA211" s="62">
        <f>IF($V211="","",IF(AND(ISNUMBER($G211),$G211&lt;=IF($S211=MesCiclo,InicioCiclo,$S211+MOD(2-WEEKDAY($S211),7))+20),1,IF(ISNUMBER($K211),$K211,$Z211)))</f>
        <v/>
      </c>
      <c r="AB211" s="62">
        <f>IF($V211="","",IF(AND(ISNUMBER($G211),$G211&lt;=IF($S211=MesCiclo,InicioCiclo,$S211+MOD(2-WEEKDAY($S211),7))+27),1,IF(ISNUMBER($L211),$L211,$AA211)))</f>
        <v/>
      </c>
      <c r="AC211" s="62">
        <f>IF($V211="","",IF(AND(ISNUMBER($G211),$G211&lt;=IF($S211=MesCiclo,InicioCiclo,$S211+MOD(2-WEEKDAY($S211),7))+6),1,IF(N($W211)&gt;0,AVERAGEIFS($Y$5:$Y$1000,$U$5:$U$1000,ROW(),$V$5:$V$1000,"Sub"),$Y211)))</f>
        <v/>
      </c>
      <c r="AD211" s="62">
        <f>IF($V211="","",IF(AND(ISNUMBER($G211),$G211&lt;=IF($S211=MesCiclo,InicioCiclo,$S211+MOD(2-WEEKDAY($S211),7))+13),1,IF(N($W211)&gt;0,AVERAGEIFS($Z$5:$Z$1000,$U$5:$U$1000,ROW(),$V$5:$V$1000,"Sub"),$Z211)))</f>
        <v/>
      </c>
      <c r="AE211" s="62">
        <f>IF($V211="","",IF(AND(ISNUMBER($G211),$G211&lt;=IF($S211=MesCiclo,InicioCiclo,$S211+MOD(2-WEEKDAY($S211),7))+20),1,IF(N($W211)&gt;0,AVERAGEIFS($AA$5:$AA$1000,$U$5:$U$1000,ROW(),$V$5:$V$1000,"Sub"),$AA211)))</f>
        <v/>
      </c>
      <c r="AF211" s="62">
        <f>IF($V211="","",IF(AND(ISNUMBER($G211),$G211&lt;=IF($S211=MesCiclo,InicioCiclo,$S211+MOD(2-WEEKDAY($S211),7))+27),1,IF(N($W211)&gt;0,AVERAGEIFS($AB$5:$AB$1000,$U$5:$U$1000,ROW(),$V$5:$V$1000,"Sub"),$AB211)))</f>
        <v/>
      </c>
      <c r="AG211" s="62">
        <f>IF($V211&lt;&gt;"Macro","",IF(COUNTIFS($S$5:$S$1000,$S211,$V$5:$V$1000,"Macro",$H$5:$H$1000,"&gt;0")=0,1/COUNTIFS($S$5:$S$1000,$S211,$V$5:$V$1000,"Macro"),IF(AND(ISNUMBER($H211),N($H211)&gt;0),$H211,SUMIFS($H$5:$H$1000,$S$5:$S$1000,$S211,$V$5:$V$1000,"Macro")/COUNTIFS($S$5:$S$1000,$S211,$V$5:$V$1000,"Macro",$H$5:$H$1000,"&gt;0"))/(COUNTIFS($S$5:$S$1000,$S211,$V$5:$V$1000,"Macro")*SUMIFS($H$5:$H$1000,$S$5:$S$1000,$S211,$V$5:$V$1000,"Macro")/COUNTIFS($S$5:$S$1000,$S211,$V$5:$V$1000,"Macro",$H$5:$H$1000,"&gt;0"))))</f>
        <v/>
      </c>
      <c r="AH211" s="62" t="n"/>
      <c r="AI211" s="62" t="n"/>
      <c r="AJ211" s="62" t="n"/>
      <c r="AK211" s="62" t="n"/>
      <c r="AL211" s="62">
        <f>IF(LEFT($C211,11)="[Jefatura] ",IFERROR(MATCH("Asistente Técnico de Riesgo|"&amp;MID($C211,12,500),rDname_ADM,0),0),"")</f>
        <v/>
      </c>
      <c r="AM211" s="62">
        <f>IF(N($AL211)&gt;0,INDEX(rIni_ADM,$AL211),IF(ISNUMBER($E211),$E211,""))</f>
        <v/>
      </c>
      <c r="AN211" s="62">
        <f>IF(N($AL211)&gt;0,INDEX(rLim_ADM,$AL211),IF(ISNUMBER($F211),$F211,""))</f>
        <v/>
      </c>
    </row>
    <row r="212">
      <c r="A212" s="56">
        <f>IF(NOT((COUNTA($B212:$D212)+COUNTA($G212:$L212)+COUNTA($Q212))&gt;0),"",IF($V212="Macro",COUNTIFS($V$5:$V212,"Macro",$S$5:$S212,$S212),IF(N($U212)=0,"?",COUNTIFS(INDEX($V$5:$V$1000,1):INDEX($V$5:$V$1000,$U212-4),"Macro",INDEX($S$5:$S$1000,1):INDEX($S$5:$S$1000,$U212-4),INDEX($S$5:$S$1000,$U212-4))&amp;"."&amp;COUNTIFS($U$5:$U212,$U212,$V$5:$V212,"Sub"))))</f>
        <v/>
      </c>
      <c r="B212" s="57" t="n"/>
      <c r="C212" s="58" t="n"/>
      <c r="D212" s="58" t="n"/>
      <c r="E212" s="59">
        <f>IF(N($AL212)&gt;0,INDEX(rIni_ADM,$AL212),"")</f>
        <v/>
      </c>
      <c r="F212" s="59">
        <f>IF(N($AL212)&gt;0,INDEX(rLim_ADM,$AL212),"")</f>
        <v/>
      </c>
      <c r="G212" s="59" t="n"/>
      <c r="H212" s="60" t="n"/>
      <c r="I212" s="60" t="n"/>
      <c r="J212" s="60" t="n"/>
      <c r="K212" s="60" t="n"/>
      <c r="L212" s="60" t="n"/>
      <c r="M212" s="61">
        <f>IF(NOT((COUNTA($B212:$D212)+COUNTA($G212:$L212)+COUNTA($Q212))&gt;0),"",IF(ISNUMBER($G212),1,IF(N($W212)&gt;0,AVERAGEIFS($X$5:$X$1000,$U$5:$U$1000,ROW(),$V$5:$V$1000,"Sub"),$X212)))</f>
        <v/>
      </c>
      <c r="N212" s="56">
        <f>IF($M212="","",IF($M212&gt;=1,"Completado",IF($M212&gt;0,"En curso","Pendiente")))</f>
        <v/>
      </c>
      <c r="O212" s="56">
        <f>IF(NOT((COUNTA($B212:$D212)+COUNTA($G212:$L212)+COUNTA($Q212))&gt;0),"",IF(ISNUMBER($G212),IF(AND(ISNUMBER($AN212),$G212&gt;$AN212),"Cumplida con "&amp;($G212-$AN212)&amp;IF($G212-$AN212=1," día"," días")&amp;" de retraso","Cumplida"),IF(N($M212)&gt;=1,"Cumplida",IF(NOT(ISNUMBER($AN212)),"Sin fecha límite",IF($AN212&lt;FechaRef,"Vencida hace "&amp;(FechaRef-$AN212)&amp;IF(FechaRef-$AN212=1," día"," días"),IF($AN212=FechaRef,"Vence hoy",IF($AN212-FechaRef&lt;=DiasAlerta,"Vence en "&amp;($AN212-FechaRef)&amp;IF($AN212-FechaRef=1," día"," días"),"En plazo")))))))</f>
        <v/>
      </c>
      <c r="P212" s="62" t="n"/>
      <c r="Q212" s="58" t="n"/>
      <c r="R212" s="63">
        <f>IF(NOT((COUNTA($B212:$D212)+COUNTA($G212:$L212)+COUNTA($Q212))&gt;0),"",IF((IF($C212="","Falta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",""))="","✔ OK","⚠ "&amp;LEFT(IF($C212="","Falta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",""),LEN(IF($C212="","Falta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",""))-3)))</f>
        <v/>
      </c>
      <c r="S212" s="64">
        <f>IF(NOT((COUNTA($B212:$D212)+COUNTA($G212:$L212)+COUNTA($Q212))&gt;0),"",IF(AND($V212="Sub",N($U212)&gt;0),IF(ISNUMBER(INDEX($AM$5:$AM$1000,$U212-4)),DATE(YEAR(INDEX($AM$5:$AM$1000,$U212-4)),MONTH(INDEX($AM$5:$AM$1000,$U212-4)),1),IF(ISNUMBER(INDEX($AN$5:$AN$1000,$U212-4)),DATE(YEAR(INDEX($AN$5:$AN$1000,$U212-4)),MONTH(INDEX($AN$5:$AN$1000,$U212-4)),1),MesCiclo)),IF(ISNUMBER($AM212),DATE(YEAR($AM212),MONTH($AM212),1),IF(ISNUMBER($AN212),DATE(YEAR($AN212),MONTH($AN212),1),MesCiclo))))</f>
        <v/>
      </c>
      <c r="T212" s="62">
        <f>IF(OR($S212="",$S212&lt;&gt;MesCiclo),"",COUNTIF($S$5:$S212,MesCiclo))</f>
        <v/>
      </c>
      <c r="U212" s="62">
        <f>IF($V212="","",IF($V212="Macro",ROW(),IFERROR(LOOKUP(2,1/($V$5:$V212="Macro"),ROW($V$5:$V212)),0)))</f>
        <v/>
      </c>
      <c r="V212" s="62">
        <f>IF(NOT((COUNTA($B212:$D212)+COUNTA($G212:$L212)+COUNTA($Q212))&gt;0),"",IF($B212="Subactividad","Sub","Macro"))</f>
        <v/>
      </c>
      <c r="W212" s="62">
        <f>IF($V212="Macro",COUNTIFS($U$5:$U$1000,ROW(),$V$5:$V$1000,"Sub"),"")</f>
        <v/>
      </c>
      <c r="X212" s="62">
        <f>IF($V212="","",IF(ISNUMBER($G212),1,IFERROR(LOOKUP(2,1/($I212:$L212&lt;&gt;""),$I212:$L212),0)))</f>
        <v/>
      </c>
      <c r="Y212" s="62">
        <f>IF($V212="","",IF(AND(ISNUMBER($G212),$G212&lt;=IF($S212=MesCiclo,InicioCiclo,$S212+MOD(2-WEEKDAY($S212),7))+6),1,IF(ISNUMBER($I212),$I212,0)))</f>
        <v/>
      </c>
      <c r="Z212" s="62">
        <f>IF($V212="","",IF(AND(ISNUMBER($G212),$G212&lt;=IF($S212=MesCiclo,InicioCiclo,$S212+MOD(2-WEEKDAY($S212),7))+13),1,IF(ISNUMBER($J212),$J212,$Y212)))</f>
        <v/>
      </c>
      <c r="AA212" s="62">
        <f>IF($V212="","",IF(AND(ISNUMBER($G212),$G212&lt;=IF($S212=MesCiclo,InicioCiclo,$S212+MOD(2-WEEKDAY($S212),7))+20),1,IF(ISNUMBER($K212),$K212,$Z212)))</f>
        <v/>
      </c>
      <c r="AB212" s="62">
        <f>IF($V212="","",IF(AND(ISNUMBER($G212),$G212&lt;=IF($S212=MesCiclo,InicioCiclo,$S212+MOD(2-WEEKDAY($S212),7))+27),1,IF(ISNUMBER($L212),$L212,$AA212)))</f>
        <v/>
      </c>
      <c r="AC212" s="62">
        <f>IF($V212="","",IF(AND(ISNUMBER($G212),$G212&lt;=IF($S212=MesCiclo,InicioCiclo,$S212+MOD(2-WEEKDAY($S212),7))+6),1,IF(N($W212)&gt;0,AVERAGEIFS($Y$5:$Y$1000,$U$5:$U$1000,ROW(),$V$5:$V$1000,"Sub"),$Y212)))</f>
        <v/>
      </c>
      <c r="AD212" s="62">
        <f>IF($V212="","",IF(AND(ISNUMBER($G212),$G212&lt;=IF($S212=MesCiclo,InicioCiclo,$S212+MOD(2-WEEKDAY($S212),7))+13),1,IF(N($W212)&gt;0,AVERAGEIFS($Z$5:$Z$1000,$U$5:$U$1000,ROW(),$V$5:$V$1000,"Sub"),$Z212)))</f>
        <v/>
      </c>
      <c r="AE212" s="62">
        <f>IF($V212="","",IF(AND(ISNUMBER($G212),$G212&lt;=IF($S212=MesCiclo,InicioCiclo,$S212+MOD(2-WEEKDAY($S212),7))+20),1,IF(N($W212)&gt;0,AVERAGEIFS($AA$5:$AA$1000,$U$5:$U$1000,ROW(),$V$5:$V$1000,"Sub"),$AA212)))</f>
        <v/>
      </c>
      <c r="AF212" s="62">
        <f>IF($V212="","",IF(AND(ISNUMBER($G212),$G212&lt;=IF($S212=MesCiclo,InicioCiclo,$S212+MOD(2-WEEKDAY($S212),7))+27),1,IF(N($W212)&gt;0,AVERAGEIFS($AB$5:$AB$1000,$U$5:$U$1000,ROW(),$V$5:$V$1000,"Sub"),$AB212)))</f>
        <v/>
      </c>
      <c r="AG212" s="62">
        <f>IF($V212&lt;&gt;"Macro","",IF(COUNTIFS($S$5:$S$1000,$S212,$V$5:$V$1000,"Macro",$H$5:$H$1000,"&gt;0")=0,1/COUNTIFS($S$5:$S$1000,$S212,$V$5:$V$1000,"Macro"),IF(AND(ISNUMBER($H212),N($H212)&gt;0),$H212,SUMIFS($H$5:$H$1000,$S$5:$S$1000,$S212,$V$5:$V$1000,"Macro")/COUNTIFS($S$5:$S$1000,$S212,$V$5:$V$1000,"Macro",$H$5:$H$1000,"&gt;0"))/(COUNTIFS($S$5:$S$1000,$S212,$V$5:$V$1000,"Macro")*SUMIFS($H$5:$H$1000,$S$5:$S$1000,$S212,$V$5:$V$1000,"Macro")/COUNTIFS($S$5:$S$1000,$S212,$V$5:$V$1000,"Macro",$H$5:$H$1000,"&gt;0"))))</f>
        <v/>
      </c>
      <c r="AH212" s="62" t="n"/>
      <c r="AI212" s="62" t="n"/>
      <c r="AJ212" s="62" t="n"/>
      <c r="AK212" s="62" t="n"/>
      <c r="AL212" s="62">
        <f>IF(LEFT($C212,11)="[Jefatura] ",IFERROR(MATCH("Asistente Técnico de Riesgo|"&amp;MID($C212,12,500),rDname_ADM,0),0),"")</f>
        <v/>
      </c>
      <c r="AM212" s="62">
        <f>IF(N($AL212)&gt;0,INDEX(rIni_ADM,$AL212),IF(ISNUMBER($E212),$E212,""))</f>
        <v/>
      </c>
      <c r="AN212" s="62">
        <f>IF(N($AL212)&gt;0,INDEX(rLim_ADM,$AL212),IF(ISNUMBER($F212),$F212,""))</f>
        <v/>
      </c>
    </row>
    <row r="213">
      <c r="A213" s="56">
        <f>IF(NOT((COUNTA($B213:$D213)+COUNTA($G213:$L213)+COUNTA($Q213))&gt;0),"",IF($V213="Macro",COUNTIFS($V$5:$V213,"Macro",$S$5:$S213,$S213),IF(N($U213)=0,"?",COUNTIFS(INDEX($V$5:$V$1000,1):INDEX($V$5:$V$1000,$U213-4),"Macro",INDEX($S$5:$S$1000,1):INDEX($S$5:$S$1000,$U213-4),INDEX($S$5:$S$1000,$U213-4))&amp;"."&amp;COUNTIFS($U$5:$U213,$U213,$V$5:$V213,"Sub"))))</f>
        <v/>
      </c>
      <c r="B213" s="57" t="n"/>
      <c r="C213" s="58" t="n"/>
      <c r="D213" s="58" t="n"/>
      <c r="E213" s="59">
        <f>IF(N($AL213)&gt;0,INDEX(rIni_ADM,$AL213),"")</f>
        <v/>
      </c>
      <c r="F213" s="59">
        <f>IF(N($AL213)&gt;0,INDEX(rLim_ADM,$AL213),"")</f>
        <v/>
      </c>
      <c r="G213" s="59" t="n"/>
      <c r="H213" s="60" t="n"/>
      <c r="I213" s="60" t="n"/>
      <c r="J213" s="60" t="n"/>
      <c r="K213" s="60" t="n"/>
      <c r="L213" s="60" t="n"/>
      <c r="M213" s="61">
        <f>IF(NOT((COUNTA($B213:$D213)+COUNTA($G213:$L213)+COUNTA($Q213))&gt;0),"",IF(ISNUMBER($G213),1,IF(N($W213)&gt;0,AVERAGEIFS($X$5:$X$1000,$U$5:$U$1000,ROW(),$V$5:$V$1000,"Sub"),$X213)))</f>
        <v/>
      </c>
      <c r="N213" s="56">
        <f>IF($M213="","",IF($M213&gt;=1,"Completado",IF($M213&gt;0,"En curso","Pendiente")))</f>
        <v/>
      </c>
      <c r="O213" s="56">
        <f>IF(NOT((COUNTA($B213:$D213)+COUNTA($G213:$L213)+COUNTA($Q213))&gt;0),"",IF(ISNUMBER($G213),IF(AND(ISNUMBER($AN213),$G213&gt;$AN213),"Cumplida con "&amp;($G213-$AN213)&amp;IF($G213-$AN213=1," día"," días")&amp;" de retraso","Cumplida"),IF(N($M213)&gt;=1,"Cumplida",IF(NOT(ISNUMBER($AN213)),"Sin fecha límite",IF($AN213&lt;FechaRef,"Vencida hace "&amp;(FechaRef-$AN213)&amp;IF(FechaRef-$AN213=1," día"," días"),IF($AN213=FechaRef,"Vence hoy",IF($AN213-FechaRef&lt;=DiasAlerta,"Vence en "&amp;($AN213-FechaRef)&amp;IF($AN213-FechaRef=1," día"," días"),"En plazo")))))))</f>
        <v/>
      </c>
      <c r="P213" s="62" t="n"/>
      <c r="Q213" s="58" t="n"/>
      <c r="R213" s="63">
        <f>IF(NOT((COUNTA($B213:$D213)+COUNTA($G213:$L213)+COUNTA($Q213))&gt;0),"",IF((IF($C213="","Falta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",""))="","✔ OK","⚠ "&amp;LEFT(IF($C213="","Falta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",""),LEN(IF($C213="","Falta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",""))-3)))</f>
        <v/>
      </c>
      <c r="S213" s="64">
        <f>IF(NOT((COUNTA($B213:$D213)+COUNTA($G213:$L213)+COUNTA($Q213))&gt;0),"",IF(AND($V213="Sub",N($U213)&gt;0),IF(ISNUMBER(INDEX($AM$5:$AM$1000,$U213-4)),DATE(YEAR(INDEX($AM$5:$AM$1000,$U213-4)),MONTH(INDEX($AM$5:$AM$1000,$U213-4)),1),IF(ISNUMBER(INDEX($AN$5:$AN$1000,$U213-4)),DATE(YEAR(INDEX($AN$5:$AN$1000,$U213-4)),MONTH(INDEX($AN$5:$AN$1000,$U213-4)),1),MesCiclo)),IF(ISNUMBER($AM213),DATE(YEAR($AM213),MONTH($AM213),1),IF(ISNUMBER($AN213),DATE(YEAR($AN213),MONTH($AN213),1),MesCiclo))))</f>
        <v/>
      </c>
      <c r="T213" s="62">
        <f>IF(OR($S213="",$S213&lt;&gt;MesCiclo),"",COUNTIF($S$5:$S213,MesCiclo))</f>
        <v/>
      </c>
      <c r="U213" s="62">
        <f>IF($V213="","",IF($V213="Macro",ROW(),IFERROR(LOOKUP(2,1/($V$5:$V213="Macro"),ROW($V$5:$V213)),0)))</f>
        <v/>
      </c>
      <c r="V213" s="62">
        <f>IF(NOT((COUNTA($B213:$D213)+COUNTA($G213:$L213)+COUNTA($Q213))&gt;0),"",IF($B213="Subactividad","Sub","Macro"))</f>
        <v/>
      </c>
      <c r="W213" s="62">
        <f>IF($V213="Macro",COUNTIFS($U$5:$U$1000,ROW(),$V$5:$V$1000,"Sub"),"")</f>
        <v/>
      </c>
      <c r="X213" s="62">
        <f>IF($V213="","",IF(ISNUMBER($G213),1,IFERROR(LOOKUP(2,1/($I213:$L213&lt;&gt;""),$I213:$L213),0)))</f>
        <v/>
      </c>
      <c r="Y213" s="62">
        <f>IF($V213="","",IF(AND(ISNUMBER($G213),$G213&lt;=IF($S213=MesCiclo,InicioCiclo,$S213+MOD(2-WEEKDAY($S213),7))+6),1,IF(ISNUMBER($I213),$I213,0)))</f>
        <v/>
      </c>
      <c r="Z213" s="62">
        <f>IF($V213="","",IF(AND(ISNUMBER($G213),$G213&lt;=IF($S213=MesCiclo,InicioCiclo,$S213+MOD(2-WEEKDAY($S213),7))+13),1,IF(ISNUMBER($J213),$J213,$Y213)))</f>
        <v/>
      </c>
      <c r="AA213" s="62">
        <f>IF($V213="","",IF(AND(ISNUMBER($G213),$G213&lt;=IF($S213=MesCiclo,InicioCiclo,$S213+MOD(2-WEEKDAY($S213),7))+20),1,IF(ISNUMBER($K213),$K213,$Z213)))</f>
        <v/>
      </c>
      <c r="AB213" s="62">
        <f>IF($V213="","",IF(AND(ISNUMBER($G213),$G213&lt;=IF($S213=MesCiclo,InicioCiclo,$S213+MOD(2-WEEKDAY($S213),7))+27),1,IF(ISNUMBER($L213),$L213,$AA213)))</f>
        <v/>
      </c>
      <c r="AC213" s="62">
        <f>IF($V213="","",IF(AND(ISNUMBER($G213),$G213&lt;=IF($S213=MesCiclo,InicioCiclo,$S213+MOD(2-WEEKDAY($S213),7))+6),1,IF(N($W213)&gt;0,AVERAGEIFS($Y$5:$Y$1000,$U$5:$U$1000,ROW(),$V$5:$V$1000,"Sub"),$Y213)))</f>
        <v/>
      </c>
      <c r="AD213" s="62">
        <f>IF($V213="","",IF(AND(ISNUMBER($G213),$G213&lt;=IF($S213=MesCiclo,InicioCiclo,$S213+MOD(2-WEEKDAY($S213),7))+13),1,IF(N($W213)&gt;0,AVERAGEIFS($Z$5:$Z$1000,$U$5:$U$1000,ROW(),$V$5:$V$1000,"Sub"),$Z213)))</f>
        <v/>
      </c>
      <c r="AE213" s="62">
        <f>IF($V213="","",IF(AND(ISNUMBER($G213),$G213&lt;=IF($S213=MesCiclo,InicioCiclo,$S213+MOD(2-WEEKDAY($S213),7))+20),1,IF(N($W213)&gt;0,AVERAGEIFS($AA$5:$AA$1000,$U$5:$U$1000,ROW(),$V$5:$V$1000,"Sub"),$AA213)))</f>
        <v/>
      </c>
      <c r="AF213" s="62">
        <f>IF($V213="","",IF(AND(ISNUMBER($G213),$G213&lt;=IF($S213=MesCiclo,InicioCiclo,$S213+MOD(2-WEEKDAY($S213),7))+27),1,IF(N($W213)&gt;0,AVERAGEIFS($AB$5:$AB$1000,$U$5:$U$1000,ROW(),$V$5:$V$1000,"Sub"),$AB213)))</f>
        <v/>
      </c>
      <c r="AG213" s="62">
        <f>IF($V213&lt;&gt;"Macro","",IF(COUNTIFS($S$5:$S$1000,$S213,$V$5:$V$1000,"Macro",$H$5:$H$1000,"&gt;0")=0,1/COUNTIFS($S$5:$S$1000,$S213,$V$5:$V$1000,"Macro"),IF(AND(ISNUMBER($H213),N($H213)&gt;0),$H213,SUMIFS($H$5:$H$1000,$S$5:$S$1000,$S213,$V$5:$V$1000,"Macro")/COUNTIFS($S$5:$S$1000,$S213,$V$5:$V$1000,"Macro",$H$5:$H$1000,"&gt;0"))/(COUNTIFS($S$5:$S$1000,$S213,$V$5:$V$1000,"Macro")*SUMIFS($H$5:$H$1000,$S$5:$S$1000,$S213,$V$5:$V$1000,"Macro")/COUNTIFS($S$5:$S$1000,$S213,$V$5:$V$1000,"Macro",$H$5:$H$1000,"&gt;0"))))</f>
        <v/>
      </c>
      <c r="AH213" s="62" t="n"/>
      <c r="AI213" s="62" t="n"/>
      <c r="AJ213" s="62" t="n"/>
      <c r="AK213" s="62" t="n"/>
      <c r="AL213" s="62">
        <f>IF(LEFT($C213,11)="[Jefatura] ",IFERROR(MATCH("Asistente Técnico de Riesgo|"&amp;MID($C213,12,500),rDname_ADM,0),0),"")</f>
        <v/>
      </c>
      <c r="AM213" s="62">
        <f>IF(N($AL213)&gt;0,INDEX(rIni_ADM,$AL213),IF(ISNUMBER($E213),$E213,""))</f>
        <v/>
      </c>
      <c r="AN213" s="62">
        <f>IF(N($AL213)&gt;0,INDEX(rLim_ADM,$AL213),IF(ISNUMBER($F213),$F213,""))</f>
        <v/>
      </c>
    </row>
    <row r="214">
      <c r="A214" s="56">
        <f>IF(NOT((COUNTA($B214:$D214)+COUNTA($G214:$L214)+COUNTA($Q214))&gt;0),"",IF($V214="Macro",COUNTIFS($V$5:$V214,"Macro",$S$5:$S214,$S214),IF(N($U214)=0,"?",COUNTIFS(INDEX($V$5:$V$1000,1):INDEX($V$5:$V$1000,$U214-4),"Macro",INDEX($S$5:$S$1000,1):INDEX($S$5:$S$1000,$U214-4),INDEX($S$5:$S$1000,$U214-4))&amp;"."&amp;COUNTIFS($U$5:$U214,$U214,$V$5:$V214,"Sub"))))</f>
        <v/>
      </c>
      <c r="B214" s="57" t="n"/>
      <c r="C214" s="58" t="n"/>
      <c r="D214" s="58" t="n"/>
      <c r="E214" s="59">
        <f>IF(N($AL214)&gt;0,INDEX(rIni_ADM,$AL214),"")</f>
        <v/>
      </c>
      <c r="F214" s="59">
        <f>IF(N($AL214)&gt;0,INDEX(rLim_ADM,$AL214),"")</f>
        <v/>
      </c>
      <c r="G214" s="59" t="n"/>
      <c r="H214" s="60" t="n"/>
      <c r="I214" s="60" t="n"/>
      <c r="J214" s="60" t="n"/>
      <c r="K214" s="60" t="n"/>
      <c r="L214" s="60" t="n"/>
      <c r="M214" s="61">
        <f>IF(NOT((COUNTA($B214:$D214)+COUNTA($G214:$L214)+COUNTA($Q214))&gt;0),"",IF(ISNUMBER($G214),1,IF(N($W214)&gt;0,AVERAGEIFS($X$5:$X$1000,$U$5:$U$1000,ROW(),$V$5:$V$1000,"Sub"),$X214)))</f>
        <v/>
      </c>
      <c r="N214" s="56">
        <f>IF($M214="","",IF($M214&gt;=1,"Completado",IF($M214&gt;0,"En curso","Pendiente")))</f>
        <v/>
      </c>
      <c r="O214" s="56">
        <f>IF(NOT((COUNTA($B214:$D214)+COUNTA($G214:$L214)+COUNTA($Q214))&gt;0),"",IF(ISNUMBER($G214),IF(AND(ISNUMBER($AN214),$G214&gt;$AN214),"Cumplida con "&amp;($G214-$AN214)&amp;IF($G214-$AN214=1," día"," días")&amp;" de retraso","Cumplida"),IF(N($M214)&gt;=1,"Cumplida",IF(NOT(ISNUMBER($AN214)),"Sin fecha límite",IF($AN214&lt;FechaRef,"Vencida hace "&amp;(FechaRef-$AN214)&amp;IF(FechaRef-$AN214=1," día"," días"),IF($AN214=FechaRef,"Vence hoy",IF($AN214-FechaRef&lt;=DiasAlerta,"Vence en "&amp;($AN214-FechaRef)&amp;IF($AN214-FechaRef=1," día"," días"),"En plazo")))))))</f>
        <v/>
      </c>
      <c r="P214" s="62" t="n"/>
      <c r="Q214" s="58" t="n"/>
      <c r="R214" s="63">
        <f>IF(NOT((COUNTA($B214:$D214)+COUNTA($G214:$L214)+COUNTA($Q214))&gt;0),"",IF((IF($C214="","Falta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",""))="","✔ OK","⚠ "&amp;LEFT(IF($C214="","Falta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",""),LEN(IF($C214="","Falta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",""))-3)))</f>
        <v/>
      </c>
      <c r="S214" s="64">
        <f>IF(NOT((COUNTA($B214:$D214)+COUNTA($G214:$L214)+COUNTA($Q214))&gt;0),"",IF(AND($V214="Sub",N($U214)&gt;0),IF(ISNUMBER(INDEX($AM$5:$AM$1000,$U214-4)),DATE(YEAR(INDEX($AM$5:$AM$1000,$U214-4)),MONTH(INDEX($AM$5:$AM$1000,$U214-4)),1),IF(ISNUMBER(INDEX($AN$5:$AN$1000,$U214-4)),DATE(YEAR(INDEX($AN$5:$AN$1000,$U214-4)),MONTH(INDEX($AN$5:$AN$1000,$U214-4)),1),MesCiclo)),IF(ISNUMBER($AM214),DATE(YEAR($AM214),MONTH($AM214),1),IF(ISNUMBER($AN214),DATE(YEAR($AN214),MONTH($AN214),1),MesCiclo))))</f>
        <v/>
      </c>
      <c r="T214" s="62">
        <f>IF(OR($S214="",$S214&lt;&gt;MesCiclo),"",COUNTIF($S$5:$S214,MesCiclo))</f>
        <v/>
      </c>
      <c r="U214" s="62">
        <f>IF($V214="","",IF($V214="Macro",ROW(),IFERROR(LOOKUP(2,1/($V$5:$V214="Macro"),ROW($V$5:$V214)),0)))</f>
        <v/>
      </c>
      <c r="V214" s="62">
        <f>IF(NOT((COUNTA($B214:$D214)+COUNTA($G214:$L214)+COUNTA($Q214))&gt;0),"",IF($B214="Subactividad","Sub","Macro"))</f>
        <v/>
      </c>
      <c r="W214" s="62">
        <f>IF($V214="Macro",COUNTIFS($U$5:$U$1000,ROW(),$V$5:$V$1000,"Sub"),"")</f>
        <v/>
      </c>
      <c r="X214" s="62">
        <f>IF($V214="","",IF(ISNUMBER($G214),1,IFERROR(LOOKUP(2,1/($I214:$L214&lt;&gt;""),$I214:$L214),0)))</f>
        <v/>
      </c>
      <c r="Y214" s="62">
        <f>IF($V214="","",IF(AND(ISNUMBER($G214),$G214&lt;=IF($S214=MesCiclo,InicioCiclo,$S214+MOD(2-WEEKDAY($S214),7))+6),1,IF(ISNUMBER($I214),$I214,0)))</f>
        <v/>
      </c>
      <c r="Z214" s="62">
        <f>IF($V214="","",IF(AND(ISNUMBER($G214),$G214&lt;=IF($S214=MesCiclo,InicioCiclo,$S214+MOD(2-WEEKDAY($S214),7))+13),1,IF(ISNUMBER($J214),$J214,$Y214)))</f>
        <v/>
      </c>
      <c r="AA214" s="62">
        <f>IF($V214="","",IF(AND(ISNUMBER($G214),$G214&lt;=IF($S214=MesCiclo,InicioCiclo,$S214+MOD(2-WEEKDAY($S214),7))+20),1,IF(ISNUMBER($K214),$K214,$Z214)))</f>
        <v/>
      </c>
      <c r="AB214" s="62">
        <f>IF($V214="","",IF(AND(ISNUMBER($G214),$G214&lt;=IF($S214=MesCiclo,InicioCiclo,$S214+MOD(2-WEEKDAY($S214),7))+27),1,IF(ISNUMBER($L214),$L214,$AA214)))</f>
        <v/>
      </c>
      <c r="AC214" s="62">
        <f>IF($V214="","",IF(AND(ISNUMBER($G214),$G214&lt;=IF($S214=MesCiclo,InicioCiclo,$S214+MOD(2-WEEKDAY($S214),7))+6),1,IF(N($W214)&gt;0,AVERAGEIFS($Y$5:$Y$1000,$U$5:$U$1000,ROW(),$V$5:$V$1000,"Sub"),$Y214)))</f>
        <v/>
      </c>
      <c r="AD214" s="62">
        <f>IF($V214="","",IF(AND(ISNUMBER($G214),$G214&lt;=IF($S214=MesCiclo,InicioCiclo,$S214+MOD(2-WEEKDAY($S214),7))+13),1,IF(N($W214)&gt;0,AVERAGEIFS($Z$5:$Z$1000,$U$5:$U$1000,ROW(),$V$5:$V$1000,"Sub"),$Z214)))</f>
        <v/>
      </c>
      <c r="AE214" s="62">
        <f>IF($V214="","",IF(AND(ISNUMBER($G214),$G214&lt;=IF($S214=MesCiclo,InicioCiclo,$S214+MOD(2-WEEKDAY($S214),7))+20),1,IF(N($W214)&gt;0,AVERAGEIFS($AA$5:$AA$1000,$U$5:$U$1000,ROW(),$V$5:$V$1000,"Sub"),$AA214)))</f>
        <v/>
      </c>
      <c r="AF214" s="62">
        <f>IF($V214="","",IF(AND(ISNUMBER($G214),$G214&lt;=IF($S214=MesCiclo,InicioCiclo,$S214+MOD(2-WEEKDAY($S214),7))+27),1,IF(N($W214)&gt;0,AVERAGEIFS($AB$5:$AB$1000,$U$5:$U$1000,ROW(),$V$5:$V$1000,"Sub"),$AB214)))</f>
        <v/>
      </c>
      <c r="AG214" s="62">
        <f>IF($V214&lt;&gt;"Macro","",IF(COUNTIFS($S$5:$S$1000,$S214,$V$5:$V$1000,"Macro",$H$5:$H$1000,"&gt;0")=0,1/COUNTIFS($S$5:$S$1000,$S214,$V$5:$V$1000,"Macro"),IF(AND(ISNUMBER($H214),N($H214)&gt;0),$H214,SUMIFS($H$5:$H$1000,$S$5:$S$1000,$S214,$V$5:$V$1000,"Macro")/COUNTIFS($S$5:$S$1000,$S214,$V$5:$V$1000,"Macro",$H$5:$H$1000,"&gt;0"))/(COUNTIFS($S$5:$S$1000,$S214,$V$5:$V$1000,"Macro")*SUMIFS($H$5:$H$1000,$S$5:$S$1000,$S214,$V$5:$V$1000,"Macro")/COUNTIFS($S$5:$S$1000,$S214,$V$5:$V$1000,"Macro",$H$5:$H$1000,"&gt;0"))))</f>
        <v/>
      </c>
      <c r="AH214" s="62" t="n"/>
      <c r="AI214" s="62" t="n"/>
      <c r="AJ214" s="62" t="n"/>
      <c r="AK214" s="62" t="n"/>
      <c r="AL214" s="62">
        <f>IF(LEFT($C214,11)="[Jefatura] ",IFERROR(MATCH("Asistente Técnico de Riesgo|"&amp;MID($C214,12,500),rDname_ADM,0),0),"")</f>
        <v/>
      </c>
      <c r="AM214" s="62">
        <f>IF(N($AL214)&gt;0,INDEX(rIni_ADM,$AL214),IF(ISNUMBER($E214),$E214,""))</f>
        <v/>
      </c>
      <c r="AN214" s="62">
        <f>IF(N($AL214)&gt;0,INDEX(rLim_ADM,$AL214),IF(ISNUMBER($F214),$F214,""))</f>
        <v/>
      </c>
    </row>
    <row r="215">
      <c r="A215" s="56">
        <f>IF(NOT((COUNTA($B215:$D215)+COUNTA($G215:$L215)+COUNTA($Q215))&gt;0),"",IF($V215="Macro",COUNTIFS($V$5:$V215,"Macro",$S$5:$S215,$S215),IF(N($U215)=0,"?",COUNTIFS(INDEX($V$5:$V$1000,1):INDEX($V$5:$V$1000,$U215-4),"Macro",INDEX($S$5:$S$1000,1):INDEX($S$5:$S$1000,$U215-4),INDEX($S$5:$S$1000,$U215-4))&amp;"."&amp;COUNTIFS($U$5:$U215,$U215,$V$5:$V215,"Sub"))))</f>
        <v/>
      </c>
      <c r="B215" s="57" t="n"/>
      <c r="C215" s="58" t="n"/>
      <c r="D215" s="58" t="n"/>
      <c r="E215" s="59">
        <f>IF(N($AL215)&gt;0,INDEX(rIni_ADM,$AL215),"")</f>
        <v/>
      </c>
      <c r="F215" s="59">
        <f>IF(N($AL215)&gt;0,INDEX(rLim_ADM,$AL215),"")</f>
        <v/>
      </c>
      <c r="G215" s="59" t="n"/>
      <c r="H215" s="60" t="n"/>
      <c r="I215" s="60" t="n"/>
      <c r="J215" s="60" t="n"/>
      <c r="K215" s="60" t="n"/>
      <c r="L215" s="60" t="n"/>
      <c r="M215" s="61">
        <f>IF(NOT((COUNTA($B215:$D215)+COUNTA($G215:$L215)+COUNTA($Q215))&gt;0),"",IF(ISNUMBER($G215),1,IF(N($W215)&gt;0,AVERAGEIFS($X$5:$X$1000,$U$5:$U$1000,ROW(),$V$5:$V$1000,"Sub"),$X215)))</f>
        <v/>
      </c>
      <c r="N215" s="56">
        <f>IF($M215="","",IF($M215&gt;=1,"Completado",IF($M215&gt;0,"En curso","Pendiente")))</f>
        <v/>
      </c>
      <c r="O215" s="56">
        <f>IF(NOT((COUNTA($B215:$D215)+COUNTA($G215:$L215)+COUNTA($Q215))&gt;0),"",IF(ISNUMBER($G215),IF(AND(ISNUMBER($AN215),$G215&gt;$AN215),"Cumplida con "&amp;($G215-$AN215)&amp;IF($G215-$AN215=1," día"," días")&amp;" de retraso","Cumplida"),IF(N($M215)&gt;=1,"Cumplida",IF(NOT(ISNUMBER($AN215)),"Sin fecha límite",IF($AN215&lt;FechaRef,"Vencida hace "&amp;(FechaRef-$AN215)&amp;IF(FechaRef-$AN215=1," día"," días"),IF($AN215=FechaRef,"Vence hoy",IF($AN215-FechaRef&lt;=DiasAlerta,"Vence en "&amp;($AN215-FechaRef)&amp;IF($AN215-FechaRef=1," día"," días"),"En plazo")))))))</f>
        <v/>
      </c>
      <c r="P215" s="62" t="n"/>
      <c r="Q215" s="58" t="n"/>
      <c r="R215" s="63">
        <f>IF(NOT((COUNTA($B215:$D215)+COUNTA($G215:$L215)+COUNTA($Q215))&gt;0),"",IF((IF($C215="","Falta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",""))="","✔ OK","⚠ "&amp;LEFT(IF($C215="","Falta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",""),LEN(IF($C215="","Falta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",""))-3)))</f>
        <v/>
      </c>
      <c r="S215" s="64">
        <f>IF(NOT((COUNTA($B215:$D215)+COUNTA($G215:$L215)+COUNTA($Q215))&gt;0),"",IF(AND($V215="Sub",N($U215)&gt;0),IF(ISNUMBER(INDEX($AM$5:$AM$1000,$U215-4)),DATE(YEAR(INDEX($AM$5:$AM$1000,$U215-4)),MONTH(INDEX($AM$5:$AM$1000,$U215-4)),1),IF(ISNUMBER(INDEX($AN$5:$AN$1000,$U215-4)),DATE(YEAR(INDEX($AN$5:$AN$1000,$U215-4)),MONTH(INDEX($AN$5:$AN$1000,$U215-4)),1),MesCiclo)),IF(ISNUMBER($AM215),DATE(YEAR($AM215),MONTH($AM215),1),IF(ISNUMBER($AN215),DATE(YEAR($AN215),MONTH($AN215),1),MesCiclo))))</f>
        <v/>
      </c>
      <c r="T215" s="62">
        <f>IF(OR($S215="",$S215&lt;&gt;MesCiclo),"",COUNTIF($S$5:$S215,MesCiclo))</f>
        <v/>
      </c>
      <c r="U215" s="62">
        <f>IF($V215="","",IF($V215="Macro",ROW(),IFERROR(LOOKUP(2,1/($V$5:$V215="Macro"),ROW($V$5:$V215)),0)))</f>
        <v/>
      </c>
      <c r="V215" s="62">
        <f>IF(NOT((COUNTA($B215:$D215)+COUNTA($G215:$L215)+COUNTA($Q215))&gt;0),"",IF($B215="Subactividad","Sub","Macro"))</f>
        <v/>
      </c>
      <c r="W215" s="62">
        <f>IF($V215="Macro",COUNTIFS($U$5:$U$1000,ROW(),$V$5:$V$1000,"Sub"),"")</f>
        <v/>
      </c>
      <c r="X215" s="62">
        <f>IF($V215="","",IF(ISNUMBER($G215),1,IFERROR(LOOKUP(2,1/($I215:$L215&lt;&gt;""),$I215:$L215),0)))</f>
        <v/>
      </c>
      <c r="Y215" s="62">
        <f>IF($V215="","",IF(AND(ISNUMBER($G215),$G215&lt;=IF($S215=MesCiclo,InicioCiclo,$S215+MOD(2-WEEKDAY($S215),7))+6),1,IF(ISNUMBER($I215),$I215,0)))</f>
        <v/>
      </c>
      <c r="Z215" s="62">
        <f>IF($V215="","",IF(AND(ISNUMBER($G215),$G215&lt;=IF($S215=MesCiclo,InicioCiclo,$S215+MOD(2-WEEKDAY($S215),7))+13),1,IF(ISNUMBER($J215),$J215,$Y215)))</f>
        <v/>
      </c>
      <c r="AA215" s="62">
        <f>IF($V215="","",IF(AND(ISNUMBER($G215),$G215&lt;=IF($S215=MesCiclo,InicioCiclo,$S215+MOD(2-WEEKDAY($S215),7))+20),1,IF(ISNUMBER($K215),$K215,$Z215)))</f>
        <v/>
      </c>
      <c r="AB215" s="62">
        <f>IF($V215="","",IF(AND(ISNUMBER($G215),$G215&lt;=IF($S215=MesCiclo,InicioCiclo,$S215+MOD(2-WEEKDAY($S215),7))+27),1,IF(ISNUMBER($L215),$L215,$AA215)))</f>
        <v/>
      </c>
      <c r="AC215" s="62">
        <f>IF($V215="","",IF(AND(ISNUMBER($G215),$G215&lt;=IF($S215=MesCiclo,InicioCiclo,$S215+MOD(2-WEEKDAY($S215),7))+6),1,IF(N($W215)&gt;0,AVERAGEIFS($Y$5:$Y$1000,$U$5:$U$1000,ROW(),$V$5:$V$1000,"Sub"),$Y215)))</f>
        <v/>
      </c>
      <c r="AD215" s="62">
        <f>IF($V215="","",IF(AND(ISNUMBER($G215),$G215&lt;=IF($S215=MesCiclo,InicioCiclo,$S215+MOD(2-WEEKDAY($S215),7))+13),1,IF(N($W215)&gt;0,AVERAGEIFS($Z$5:$Z$1000,$U$5:$U$1000,ROW(),$V$5:$V$1000,"Sub"),$Z215)))</f>
        <v/>
      </c>
      <c r="AE215" s="62">
        <f>IF($V215="","",IF(AND(ISNUMBER($G215),$G215&lt;=IF($S215=MesCiclo,InicioCiclo,$S215+MOD(2-WEEKDAY($S215),7))+20),1,IF(N($W215)&gt;0,AVERAGEIFS($AA$5:$AA$1000,$U$5:$U$1000,ROW(),$V$5:$V$1000,"Sub"),$AA215)))</f>
        <v/>
      </c>
      <c r="AF215" s="62">
        <f>IF($V215="","",IF(AND(ISNUMBER($G215),$G215&lt;=IF($S215=MesCiclo,InicioCiclo,$S215+MOD(2-WEEKDAY($S215),7))+27),1,IF(N($W215)&gt;0,AVERAGEIFS($AB$5:$AB$1000,$U$5:$U$1000,ROW(),$V$5:$V$1000,"Sub"),$AB215)))</f>
        <v/>
      </c>
      <c r="AG215" s="62">
        <f>IF($V215&lt;&gt;"Macro","",IF(COUNTIFS($S$5:$S$1000,$S215,$V$5:$V$1000,"Macro",$H$5:$H$1000,"&gt;0")=0,1/COUNTIFS($S$5:$S$1000,$S215,$V$5:$V$1000,"Macro"),IF(AND(ISNUMBER($H215),N($H215)&gt;0),$H215,SUMIFS($H$5:$H$1000,$S$5:$S$1000,$S215,$V$5:$V$1000,"Macro")/COUNTIFS($S$5:$S$1000,$S215,$V$5:$V$1000,"Macro",$H$5:$H$1000,"&gt;0"))/(COUNTIFS($S$5:$S$1000,$S215,$V$5:$V$1000,"Macro")*SUMIFS($H$5:$H$1000,$S$5:$S$1000,$S215,$V$5:$V$1000,"Macro")/COUNTIFS($S$5:$S$1000,$S215,$V$5:$V$1000,"Macro",$H$5:$H$1000,"&gt;0"))))</f>
        <v/>
      </c>
      <c r="AH215" s="62" t="n"/>
      <c r="AI215" s="62" t="n"/>
      <c r="AJ215" s="62" t="n"/>
      <c r="AK215" s="62" t="n"/>
      <c r="AL215" s="62">
        <f>IF(LEFT($C215,11)="[Jefatura] ",IFERROR(MATCH("Asistente Técnico de Riesgo|"&amp;MID($C215,12,500),rDname_ADM,0),0),"")</f>
        <v/>
      </c>
      <c r="AM215" s="62">
        <f>IF(N($AL215)&gt;0,INDEX(rIni_ADM,$AL215),IF(ISNUMBER($E215),$E215,""))</f>
        <v/>
      </c>
      <c r="AN215" s="62">
        <f>IF(N($AL215)&gt;0,INDEX(rLim_ADM,$AL215),IF(ISNUMBER($F215),$F215,""))</f>
        <v/>
      </c>
    </row>
    <row r="216">
      <c r="A216" s="56">
        <f>IF(NOT((COUNTA($B216:$D216)+COUNTA($G216:$L216)+COUNTA($Q216))&gt;0),"",IF($V216="Macro",COUNTIFS($V$5:$V216,"Macro",$S$5:$S216,$S216),IF(N($U216)=0,"?",COUNTIFS(INDEX($V$5:$V$1000,1):INDEX($V$5:$V$1000,$U216-4),"Macro",INDEX($S$5:$S$1000,1):INDEX($S$5:$S$1000,$U216-4),INDEX($S$5:$S$1000,$U216-4))&amp;"."&amp;COUNTIFS($U$5:$U216,$U216,$V$5:$V216,"Sub"))))</f>
        <v/>
      </c>
      <c r="B216" s="57" t="n"/>
      <c r="C216" s="58" t="n"/>
      <c r="D216" s="58" t="n"/>
      <c r="E216" s="59">
        <f>IF(N($AL216)&gt;0,INDEX(rIni_ADM,$AL216),"")</f>
        <v/>
      </c>
      <c r="F216" s="59">
        <f>IF(N($AL216)&gt;0,INDEX(rLim_ADM,$AL216),"")</f>
        <v/>
      </c>
      <c r="G216" s="59" t="n"/>
      <c r="H216" s="60" t="n"/>
      <c r="I216" s="60" t="n"/>
      <c r="J216" s="60" t="n"/>
      <c r="K216" s="60" t="n"/>
      <c r="L216" s="60" t="n"/>
      <c r="M216" s="61">
        <f>IF(NOT((COUNTA($B216:$D216)+COUNTA($G216:$L216)+COUNTA($Q216))&gt;0),"",IF(ISNUMBER($G216),1,IF(N($W216)&gt;0,AVERAGEIFS($X$5:$X$1000,$U$5:$U$1000,ROW(),$V$5:$V$1000,"Sub"),$X216)))</f>
        <v/>
      </c>
      <c r="N216" s="56">
        <f>IF($M216="","",IF($M216&gt;=1,"Completado",IF($M216&gt;0,"En curso","Pendiente")))</f>
        <v/>
      </c>
      <c r="O216" s="56">
        <f>IF(NOT((COUNTA($B216:$D216)+COUNTA($G216:$L216)+COUNTA($Q216))&gt;0),"",IF(ISNUMBER($G216),IF(AND(ISNUMBER($AN216),$G216&gt;$AN216),"Cumplida con "&amp;($G216-$AN216)&amp;IF($G216-$AN216=1," día"," días")&amp;" de retraso","Cumplida"),IF(N($M216)&gt;=1,"Cumplida",IF(NOT(ISNUMBER($AN216)),"Sin fecha límite",IF($AN216&lt;FechaRef,"Vencida hace "&amp;(FechaRef-$AN216)&amp;IF(FechaRef-$AN216=1," día"," días"),IF($AN216=FechaRef,"Vence hoy",IF($AN216-FechaRef&lt;=DiasAlerta,"Vence en "&amp;($AN216-FechaRef)&amp;IF($AN216-FechaRef=1," día"," días"),"En plazo")))))))</f>
        <v/>
      </c>
      <c r="P216" s="62" t="n"/>
      <c r="Q216" s="58" t="n"/>
      <c r="R216" s="63">
        <f>IF(NOT((COUNTA($B216:$D216)+COUNTA($G216:$L216)+COUNTA($Q216))&gt;0),"",IF((IF($C216="","Falta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",""))="","✔ OK","⚠ "&amp;LEFT(IF($C216="","Falta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",""),LEN(IF($C216="","Falta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",""))-3)))</f>
        <v/>
      </c>
      <c r="S216" s="64">
        <f>IF(NOT((COUNTA($B216:$D216)+COUNTA($G216:$L216)+COUNTA($Q216))&gt;0),"",IF(AND($V216="Sub",N($U216)&gt;0),IF(ISNUMBER(INDEX($AM$5:$AM$1000,$U216-4)),DATE(YEAR(INDEX($AM$5:$AM$1000,$U216-4)),MONTH(INDEX($AM$5:$AM$1000,$U216-4)),1),IF(ISNUMBER(INDEX($AN$5:$AN$1000,$U216-4)),DATE(YEAR(INDEX($AN$5:$AN$1000,$U216-4)),MONTH(INDEX($AN$5:$AN$1000,$U216-4)),1),MesCiclo)),IF(ISNUMBER($AM216),DATE(YEAR($AM216),MONTH($AM216),1),IF(ISNUMBER($AN216),DATE(YEAR($AN216),MONTH($AN216),1),MesCiclo))))</f>
        <v/>
      </c>
      <c r="T216" s="62">
        <f>IF(OR($S216="",$S216&lt;&gt;MesCiclo),"",COUNTIF($S$5:$S216,MesCiclo))</f>
        <v/>
      </c>
      <c r="U216" s="62">
        <f>IF($V216="","",IF($V216="Macro",ROW(),IFERROR(LOOKUP(2,1/($V$5:$V216="Macro"),ROW($V$5:$V216)),0)))</f>
        <v/>
      </c>
      <c r="V216" s="62">
        <f>IF(NOT((COUNTA($B216:$D216)+COUNTA($G216:$L216)+COUNTA($Q216))&gt;0),"",IF($B216="Subactividad","Sub","Macro"))</f>
        <v/>
      </c>
      <c r="W216" s="62">
        <f>IF($V216="Macro",COUNTIFS($U$5:$U$1000,ROW(),$V$5:$V$1000,"Sub"),"")</f>
        <v/>
      </c>
      <c r="X216" s="62">
        <f>IF($V216="","",IF(ISNUMBER($G216),1,IFERROR(LOOKUP(2,1/($I216:$L216&lt;&gt;""),$I216:$L216),0)))</f>
        <v/>
      </c>
      <c r="Y216" s="62">
        <f>IF($V216="","",IF(AND(ISNUMBER($G216),$G216&lt;=IF($S216=MesCiclo,InicioCiclo,$S216+MOD(2-WEEKDAY($S216),7))+6),1,IF(ISNUMBER($I216),$I216,0)))</f>
        <v/>
      </c>
      <c r="Z216" s="62">
        <f>IF($V216="","",IF(AND(ISNUMBER($G216),$G216&lt;=IF($S216=MesCiclo,InicioCiclo,$S216+MOD(2-WEEKDAY($S216),7))+13),1,IF(ISNUMBER($J216),$J216,$Y216)))</f>
        <v/>
      </c>
      <c r="AA216" s="62">
        <f>IF($V216="","",IF(AND(ISNUMBER($G216),$G216&lt;=IF($S216=MesCiclo,InicioCiclo,$S216+MOD(2-WEEKDAY($S216),7))+20),1,IF(ISNUMBER($K216),$K216,$Z216)))</f>
        <v/>
      </c>
      <c r="AB216" s="62">
        <f>IF($V216="","",IF(AND(ISNUMBER($G216),$G216&lt;=IF($S216=MesCiclo,InicioCiclo,$S216+MOD(2-WEEKDAY($S216),7))+27),1,IF(ISNUMBER($L216),$L216,$AA216)))</f>
        <v/>
      </c>
      <c r="AC216" s="62">
        <f>IF($V216="","",IF(AND(ISNUMBER($G216),$G216&lt;=IF($S216=MesCiclo,InicioCiclo,$S216+MOD(2-WEEKDAY($S216),7))+6),1,IF(N($W216)&gt;0,AVERAGEIFS($Y$5:$Y$1000,$U$5:$U$1000,ROW(),$V$5:$V$1000,"Sub"),$Y216)))</f>
        <v/>
      </c>
      <c r="AD216" s="62">
        <f>IF($V216="","",IF(AND(ISNUMBER($G216),$G216&lt;=IF($S216=MesCiclo,InicioCiclo,$S216+MOD(2-WEEKDAY($S216),7))+13),1,IF(N($W216)&gt;0,AVERAGEIFS($Z$5:$Z$1000,$U$5:$U$1000,ROW(),$V$5:$V$1000,"Sub"),$Z216)))</f>
        <v/>
      </c>
      <c r="AE216" s="62">
        <f>IF($V216="","",IF(AND(ISNUMBER($G216),$G216&lt;=IF($S216=MesCiclo,InicioCiclo,$S216+MOD(2-WEEKDAY($S216),7))+20),1,IF(N($W216)&gt;0,AVERAGEIFS($AA$5:$AA$1000,$U$5:$U$1000,ROW(),$V$5:$V$1000,"Sub"),$AA216)))</f>
        <v/>
      </c>
      <c r="AF216" s="62">
        <f>IF($V216="","",IF(AND(ISNUMBER($G216),$G216&lt;=IF($S216=MesCiclo,InicioCiclo,$S216+MOD(2-WEEKDAY($S216),7))+27),1,IF(N($W216)&gt;0,AVERAGEIFS($AB$5:$AB$1000,$U$5:$U$1000,ROW(),$V$5:$V$1000,"Sub"),$AB216)))</f>
        <v/>
      </c>
      <c r="AG216" s="62">
        <f>IF($V216&lt;&gt;"Macro","",IF(COUNTIFS($S$5:$S$1000,$S216,$V$5:$V$1000,"Macro",$H$5:$H$1000,"&gt;0")=0,1/COUNTIFS($S$5:$S$1000,$S216,$V$5:$V$1000,"Macro"),IF(AND(ISNUMBER($H216),N($H216)&gt;0),$H216,SUMIFS($H$5:$H$1000,$S$5:$S$1000,$S216,$V$5:$V$1000,"Macro")/COUNTIFS($S$5:$S$1000,$S216,$V$5:$V$1000,"Macro",$H$5:$H$1000,"&gt;0"))/(COUNTIFS($S$5:$S$1000,$S216,$V$5:$V$1000,"Macro")*SUMIFS($H$5:$H$1000,$S$5:$S$1000,$S216,$V$5:$V$1000,"Macro")/COUNTIFS($S$5:$S$1000,$S216,$V$5:$V$1000,"Macro",$H$5:$H$1000,"&gt;0"))))</f>
        <v/>
      </c>
      <c r="AH216" s="62" t="n"/>
      <c r="AI216" s="62" t="n"/>
      <c r="AJ216" s="62" t="n"/>
      <c r="AK216" s="62" t="n"/>
      <c r="AL216" s="62">
        <f>IF(LEFT($C216,11)="[Jefatura] ",IFERROR(MATCH("Asistente Técnico de Riesgo|"&amp;MID($C216,12,500),rDname_ADM,0),0),"")</f>
        <v/>
      </c>
      <c r="AM216" s="62">
        <f>IF(N($AL216)&gt;0,INDEX(rIni_ADM,$AL216),IF(ISNUMBER($E216),$E216,""))</f>
        <v/>
      </c>
      <c r="AN216" s="62">
        <f>IF(N($AL216)&gt;0,INDEX(rLim_ADM,$AL216),IF(ISNUMBER($F216),$F216,""))</f>
        <v/>
      </c>
    </row>
    <row r="217">
      <c r="A217" s="56">
        <f>IF(NOT((COUNTA($B217:$D217)+COUNTA($G217:$L217)+COUNTA($Q217))&gt;0),"",IF($V217="Macro",COUNTIFS($V$5:$V217,"Macro",$S$5:$S217,$S217),IF(N($U217)=0,"?",COUNTIFS(INDEX($V$5:$V$1000,1):INDEX($V$5:$V$1000,$U217-4),"Macro",INDEX($S$5:$S$1000,1):INDEX($S$5:$S$1000,$U217-4),INDEX($S$5:$S$1000,$U217-4))&amp;"."&amp;COUNTIFS($U$5:$U217,$U217,$V$5:$V217,"Sub"))))</f>
        <v/>
      </c>
      <c r="B217" s="57" t="n"/>
      <c r="C217" s="58" t="n"/>
      <c r="D217" s="58" t="n"/>
      <c r="E217" s="59">
        <f>IF(N($AL217)&gt;0,INDEX(rIni_ADM,$AL217),"")</f>
        <v/>
      </c>
      <c r="F217" s="59">
        <f>IF(N($AL217)&gt;0,INDEX(rLim_ADM,$AL217),"")</f>
        <v/>
      </c>
      <c r="G217" s="59" t="n"/>
      <c r="H217" s="60" t="n"/>
      <c r="I217" s="60" t="n"/>
      <c r="J217" s="60" t="n"/>
      <c r="K217" s="60" t="n"/>
      <c r="L217" s="60" t="n"/>
      <c r="M217" s="61">
        <f>IF(NOT((COUNTA($B217:$D217)+COUNTA($G217:$L217)+COUNTA($Q217))&gt;0),"",IF(ISNUMBER($G217),1,IF(N($W217)&gt;0,AVERAGEIFS($X$5:$X$1000,$U$5:$U$1000,ROW(),$V$5:$V$1000,"Sub"),$X217)))</f>
        <v/>
      </c>
      <c r="N217" s="56">
        <f>IF($M217="","",IF($M217&gt;=1,"Completado",IF($M217&gt;0,"En curso","Pendiente")))</f>
        <v/>
      </c>
      <c r="O217" s="56">
        <f>IF(NOT((COUNTA($B217:$D217)+COUNTA($G217:$L217)+COUNTA($Q217))&gt;0),"",IF(ISNUMBER($G217),IF(AND(ISNUMBER($AN217),$G217&gt;$AN217),"Cumplida con "&amp;($G217-$AN217)&amp;IF($G217-$AN217=1," día"," días")&amp;" de retraso","Cumplida"),IF(N($M217)&gt;=1,"Cumplida",IF(NOT(ISNUMBER($AN217)),"Sin fecha límite",IF($AN217&lt;FechaRef,"Vencida hace "&amp;(FechaRef-$AN217)&amp;IF(FechaRef-$AN217=1," día"," días"),IF($AN217=FechaRef,"Vence hoy",IF($AN217-FechaRef&lt;=DiasAlerta,"Vence en "&amp;($AN217-FechaRef)&amp;IF($AN217-FechaRef=1," día"," días"),"En plazo")))))))</f>
        <v/>
      </c>
      <c r="P217" s="62" t="n"/>
      <c r="Q217" s="58" t="n"/>
      <c r="R217" s="63">
        <f>IF(NOT((COUNTA($B217:$D217)+COUNTA($G217:$L217)+COUNTA($Q217))&gt;0),"",IF((IF($C217="","Falta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",""))="","✔ OK","⚠ "&amp;LEFT(IF($C217="","Falta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",""),LEN(IF($C217="","Falta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",""))-3)))</f>
        <v/>
      </c>
      <c r="S217" s="64">
        <f>IF(NOT((COUNTA($B217:$D217)+COUNTA($G217:$L217)+COUNTA($Q217))&gt;0),"",IF(AND($V217="Sub",N($U217)&gt;0),IF(ISNUMBER(INDEX($AM$5:$AM$1000,$U217-4)),DATE(YEAR(INDEX($AM$5:$AM$1000,$U217-4)),MONTH(INDEX($AM$5:$AM$1000,$U217-4)),1),IF(ISNUMBER(INDEX($AN$5:$AN$1000,$U217-4)),DATE(YEAR(INDEX($AN$5:$AN$1000,$U217-4)),MONTH(INDEX($AN$5:$AN$1000,$U217-4)),1),MesCiclo)),IF(ISNUMBER($AM217),DATE(YEAR($AM217),MONTH($AM217),1),IF(ISNUMBER($AN217),DATE(YEAR($AN217),MONTH($AN217),1),MesCiclo))))</f>
        <v/>
      </c>
      <c r="T217" s="62">
        <f>IF(OR($S217="",$S217&lt;&gt;MesCiclo),"",COUNTIF($S$5:$S217,MesCiclo))</f>
        <v/>
      </c>
      <c r="U217" s="62">
        <f>IF($V217="","",IF($V217="Macro",ROW(),IFERROR(LOOKUP(2,1/($V$5:$V217="Macro"),ROW($V$5:$V217)),0)))</f>
        <v/>
      </c>
      <c r="V217" s="62">
        <f>IF(NOT((COUNTA($B217:$D217)+COUNTA($G217:$L217)+COUNTA($Q217))&gt;0),"",IF($B217="Subactividad","Sub","Macro"))</f>
        <v/>
      </c>
      <c r="W217" s="62">
        <f>IF($V217="Macro",COUNTIFS($U$5:$U$1000,ROW(),$V$5:$V$1000,"Sub"),"")</f>
        <v/>
      </c>
      <c r="X217" s="62">
        <f>IF($V217="","",IF(ISNUMBER($G217),1,IFERROR(LOOKUP(2,1/($I217:$L217&lt;&gt;""),$I217:$L217),0)))</f>
        <v/>
      </c>
      <c r="Y217" s="62">
        <f>IF($V217="","",IF(AND(ISNUMBER($G217),$G217&lt;=IF($S217=MesCiclo,InicioCiclo,$S217+MOD(2-WEEKDAY($S217),7))+6),1,IF(ISNUMBER($I217),$I217,0)))</f>
        <v/>
      </c>
      <c r="Z217" s="62">
        <f>IF($V217="","",IF(AND(ISNUMBER($G217),$G217&lt;=IF($S217=MesCiclo,InicioCiclo,$S217+MOD(2-WEEKDAY($S217),7))+13),1,IF(ISNUMBER($J217),$J217,$Y217)))</f>
        <v/>
      </c>
      <c r="AA217" s="62">
        <f>IF($V217="","",IF(AND(ISNUMBER($G217),$G217&lt;=IF($S217=MesCiclo,InicioCiclo,$S217+MOD(2-WEEKDAY($S217),7))+20),1,IF(ISNUMBER($K217),$K217,$Z217)))</f>
        <v/>
      </c>
      <c r="AB217" s="62">
        <f>IF($V217="","",IF(AND(ISNUMBER($G217),$G217&lt;=IF($S217=MesCiclo,InicioCiclo,$S217+MOD(2-WEEKDAY($S217),7))+27),1,IF(ISNUMBER($L217),$L217,$AA217)))</f>
        <v/>
      </c>
      <c r="AC217" s="62">
        <f>IF($V217="","",IF(AND(ISNUMBER($G217),$G217&lt;=IF($S217=MesCiclo,InicioCiclo,$S217+MOD(2-WEEKDAY($S217),7))+6),1,IF(N($W217)&gt;0,AVERAGEIFS($Y$5:$Y$1000,$U$5:$U$1000,ROW(),$V$5:$V$1000,"Sub"),$Y217)))</f>
        <v/>
      </c>
      <c r="AD217" s="62">
        <f>IF($V217="","",IF(AND(ISNUMBER($G217),$G217&lt;=IF($S217=MesCiclo,InicioCiclo,$S217+MOD(2-WEEKDAY($S217),7))+13),1,IF(N($W217)&gt;0,AVERAGEIFS($Z$5:$Z$1000,$U$5:$U$1000,ROW(),$V$5:$V$1000,"Sub"),$Z217)))</f>
        <v/>
      </c>
      <c r="AE217" s="62">
        <f>IF($V217="","",IF(AND(ISNUMBER($G217),$G217&lt;=IF($S217=MesCiclo,InicioCiclo,$S217+MOD(2-WEEKDAY($S217),7))+20),1,IF(N($W217)&gt;0,AVERAGEIFS($AA$5:$AA$1000,$U$5:$U$1000,ROW(),$V$5:$V$1000,"Sub"),$AA217)))</f>
        <v/>
      </c>
      <c r="AF217" s="62">
        <f>IF($V217="","",IF(AND(ISNUMBER($G217),$G217&lt;=IF($S217=MesCiclo,InicioCiclo,$S217+MOD(2-WEEKDAY($S217),7))+27),1,IF(N($W217)&gt;0,AVERAGEIFS($AB$5:$AB$1000,$U$5:$U$1000,ROW(),$V$5:$V$1000,"Sub"),$AB217)))</f>
        <v/>
      </c>
      <c r="AG217" s="62">
        <f>IF($V217&lt;&gt;"Macro","",IF(COUNTIFS($S$5:$S$1000,$S217,$V$5:$V$1000,"Macro",$H$5:$H$1000,"&gt;0")=0,1/COUNTIFS($S$5:$S$1000,$S217,$V$5:$V$1000,"Macro"),IF(AND(ISNUMBER($H217),N($H217)&gt;0),$H217,SUMIFS($H$5:$H$1000,$S$5:$S$1000,$S217,$V$5:$V$1000,"Macro")/COUNTIFS($S$5:$S$1000,$S217,$V$5:$V$1000,"Macro",$H$5:$H$1000,"&gt;0"))/(COUNTIFS($S$5:$S$1000,$S217,$V$5:$V$1000,"Macro")*SUMIFS($H$5:$H$1000,$S$5:$S$1000,$S217,$V$5:$V$1000,"Macro")/COUNTIFS($S$5:$S$1000,$S217,$V$5:$V$1000,"Macro",$H$5:$H$1000,"&gt;0"))))</f>
        <v/>
      </c>
      <c r="AH217" s="62" t="n"/>
      <c r="AI217" s="62" t="n"/>
      <c r="AJ217" s="62" t="n"/>
      <c r="AK217" s="62" t="n"/>
      <c r="AL217" s="62">
        <f>IF(LEFT($C217,11)="[Jefatura] ",IFERROR(MATCH("Asistente Técnico de Riesgo|"&amp;MID($C217,12,500),rDname_ADM,0),0),"")</f>
        <v/>
      </c>
      <c r="AM217" s="62">
        <f>IF(N($AL217)&gt;0,INDEX(rIni_ADM,$AL217),IF(ISNUMBER($E217),$E217,""))</f>
        <v/>
      </c>
      <c r="AN217" s="62">
        <f>IF(N($AL217)&gt;0,INDEX(rLim_ADM,$AL217),IF(ISNUMBER($F217),$F217,""))</f>
        <v/>
      </c>
    </row>
    <row r="218">
      <c r="A218" s="56">
        <f>IF(NOT((COUNTA($B218:$D218)+COUNTA($G218:$L218)+COUNTA($Q218))&gt;0),"",IF($V218="Macro",COUNTIFS($V$5:$V218,"Macro",$S$5:$S218,$S218),IF(N($U218)=0,"?",COUNTIFS(INDEX($V$5:$V$1000,1):INDEX($V$5:$V$1000,$U218-4),"Macro",INDEX($S$5:$S$1000,1):INDEX($S$5:$S$1000,$U218-4),INDEX($S$5:$S$1000,$U218-4))&amp;"."&amp;COUNTIFS($U$5:$U218,$U218,$V$5:$V218,"Sub"))))</f>
        <v/>
      </c>
      <c r="B218" s="57" t="n"/>
      <c r="C218" s="58" t="n"/>
      <c r="D218" s="58" t="n"/>
      <c r="E218" s="59">
        <f>IF(N($AL218)&gt;0,INDEX(rIni_ADM,$AL218),"")</f>
        <v/>
      </c>
      <c r="F218" s="59">
        <f>IF(N($AL218)&gt;0,INDEX(rLim_ADM,$AL218),"")</f>
        <v/>
      </c>
      <c r="G218" s="59" t="n"/>
      <c r="H218" s="60" t="n"/>
      <c r="I218" s="60" t="n"/>
      <c r="J218" s="60" t="n"/>
      <c r="K218" s="60" t="n"/>
      <c r="L218" s="60" t="n"/>
      <c r="M218" s="61">
        <f>IF(NOT((COUNTA($B218:$D218)+COUNTA($G218:$L218)+COUNTA($Q218))&gt;0),"",IF(ISNUMBER($G218),1,IF(N($W218)&gt;0,AVERAGEIFS($X$5:$X$1000,$U$5:$U$1000,ROW(),$V$5:$V$1000,"Sub"),$X218)))</f>
        <v/>
      </c>
      <c r="N218" s="56">
        <f>IF($M218="","",IF($M218&gt;=1,"Completado",IF($M218&gt;0,"En curso","Pendiente")))</f>
        <v/>
      </c>
      <c r="O218" s="56">
        <f>IF(NOT((COUNTA($B218:$D218)+COUNTA($G218:$L218)+COUNTA($Q218))&gt;0),"",IF(ISNUMBER($G218),IF(AND(ISNUMBER($AN218),$G218&gt;$AN218),"Cumplida con "&amp;($G218-$AN218)&amp;IF($G218-$AN218=1," día"," días")&amp;" de retraso","Cumplida"),IF(N($M218)&gt;=1,"Cumplida",IF(NOT(ISNUMBER($AN218)),"Sin fecha límite",IF($AN218&lt;FechaRef,"Vencida hace "&amp;(FechaRef-$AN218)&amp;IF(FechaRef-$AN218=1," día"," días"),IF($AN218=FechaRef,"Vence hoy",IF($AN218-FechaRef&lt;=DiasAlerta,"Vence en "&amp;($AN218-FechaRef)&amp;IF($AN218-FechaRef=1," día"," días"),"En plazo")))))))</f>
        <v/>
      </c>
      <c r="P218" s="62" t="n"/>
      <c r="Q218" s="58" t="n"/>
      <c r="R218" s="63">
        <f>IF(NOT((COUNTA($B218:$D218)+COUNTA($G218:$L218)+COUNTA($Q218))&gt;0),"",IF((IF($C218="","Falta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",""))="","✔ OK","⚠ "&amp;LEFT(IF($C218="","Falta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",""),LEN(IF($C218="","Falta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",""))-3)))</f>
        <v/>
      </c>
      <c r="S218" s="64">
        <f>IF(NOT((COUNTA($B218:$D218)+COUNTA($G218:$L218)+COUNTA($Q218))&gt;0),"",IF(AND($V218="Sub",N($U218)&gt;0),IF(ISNUMBER(INDEX($AM$5:$AM$1000,$U218-4)),DATE(YEAR(INDEX($AM$5:$AM$1000,$U218-4)),MONTH(INDEX($AM$5:$AM$1000,$U218-4)),1),IF(ISNUMBER(INDEX($AN$5:$AN$1000,$U218-4)),DATE(YEAR(INDEX($AN$5:$AN$1000,$U218-4)),MONTH(INDEX($AN$5:$AN$1000,$U218-4)),1),MesCiclo)),IF(ISNUMBER($AM218),DATE(YEAR($AM218),MONTH($AM218),1),IF(ISNUMBER($AN218),DATE(YEAR($AN218),MONTH($AN218),1),MesCiclo))))</f>
        <v/>
      </c>
      <c r="T218" s="62">
        <f>IF(OR($S218="",$S218&lt;&gt;MesCiclo),"",COUNTIF($S$5:$S218,MesCiclo))</f>
        <v/>
      </c>
      <c r="U218" s="62">
        <f>IF($V218="","",IF($V218="Macro",ROW(),IFERROR(LOOKUP(2,1/($V$5:$V218="Macro"),ROW($V$5:$V218)),0)))</f>
        <v/>
      </c>
      <c r="V218" s="62">
        <f>IF(NOT((COUNTA($B218:$D218)+COUNTA($G218:$L218)+COUNTA($Q218))&gt;0),"",IF($B218="Subactividad","Sub","Macro"))</f>
        <v/>
      </c>
      <c r="W218" s="62">
        <f>IF($V218="Macro",COUNTIFS($U$5:$U$1000,ROW(),$V$5:$V$1000,"Sub"),"")</f>
        <v/>
      </c>
      <c r="X218" s="62">
        <f>IF($V218="","",IF(ISNUMBER($G218),1,IFERROR(LOOKUP(2,1/($I218:$L218&lt;&gt;""),$I218:$L218),0)))</f>
        <v/>
      </c>
      <c r="Y218" s="62">
        <f>IF($V218="","",IF(AND(ISNUMBER($G218),$G218&lt;=IF($S218=MesCiclo,InicioCiclo,$S218+MOD(2-WEEKDAY($S218),7))+6),1,IF(ISNUMBER($I218),$I218,0)))</f>
        <v/>
      </c>
      <c r="Z218" s="62">
        <f>IF($V218="","",IF(AND(ISNUMBER($G218),$G218&lt;=IF($S218=MesCiclo,InicioCiclo,$S218+MOD(2-WEEKDAY($S218),7))+13),1,IF(ISNUMBER($J218),$J218,$Y218)))</f>
        <v/>
      </c>
      <c r="AA218" s="62">
        <f>IF($V218="","",IF(AND(ISNUMBER($G218),$G218&lt;=IF($S218=MesCiclo,InicioCiclo,$S218+MOD(2-WEEKDAY($S218),7))+20),1,IF(ISNUMBER($K218),$K218,$Z218)))</f>
        <v/>
      </c>
      <c r="AB218" s="62">
        <f>IF($V218="","",IF(AND(ISNUMBER($G218),$G218&lt;=IF($S218=MesCiclo,InicioCiclo,$S218+MOD(2-WEEKDAY($S218),7))+27),1,IF(ISNUMBER($L218),$L218,$AA218)))</f>
        <v/>
      </c>
      <c r="AC218" s="62">
        <f>IF($V218="","",IF(AND(ISNUMBER($G218),$G218&lt;=IF($S218=MesCiclo,InicioCiclo,$S218+MOD(2-WEEKDAY($S218),7))+6),1,IF(N($W218)&gt;0,AVERAGEIFS($Y$5:$Y$1000,$U$5:$U$1000,ROW(),$V$5:$V$1000,"Sub"),$Y218)))</f>
        <v/>
      </c>
      <c r="AD218" s="62">
        <f>IF($V218="","",IF(AND(ISNUMBER($G218),$G218&lt;=IF($S218=MesCiclo,InicioCiclo,$S218+MOD(2-WEEKDAY($S218),7))+13),1,IF(N($W218)&gt;0,AVERAGEIFS($Z$5:$Z$1000,$U$5:$U$1000,ROW(),$V$5:$V$1000,"Sub"),$Z218)))</f>
        <v/>
      </c>
      <c r="AE218" s="62">
        <f>IF($V218="","",IF(AND(ISNUMBER($G218),$G218&lt;=IF($S218=MesCiclo,InicioCiclo,$S218+MOD(2-WEEKDAY($S218),7))+20),1,IF(N($W218)&gt;0,AVERAGEIFS($AA$5:$AA$1000,$U$5:$U$1000,ROW(),$V$5:$V$1000,"Sub"),$AA218)))</f>
        <v/>
      </c>
      <c r="AF218" s="62">
        <f>IF($V218="","",IF(AND(ISNUMBER($G218),$G218&lt;=IF($S218=MesCiclo,InicioCiclo,$S218+MOD(2-WEEKDAY($S218),7))+27),1,IF(N($W218)&gt;0,AVERAGEIFS($AB$5:$AB$1000,$U$5:$U$1000,ROW(),$V$5:$V$1000,"Sub"),$AB218)))</f>
        <v/>
      </c>
      <c r="AG218" s="62">
        <f>IF($V218&lt;&gt;"Macro","",IF(COUNTIFS($S$5:$S$1000,$S218,$V$5:$V$1000,"Macro",$H$5:$H$1000,"&gt;0")=0,1/COUNTIFS($S$5:$S$1000,$S218,$V$5:$V$1000,"Macro"),IF(AND(ISNUMBER($H218),N($H218)&gt;0),$H218,SUMIFS($H$5:$H$1000,$S$5:$S$1000,$S218,$V$5:$V$1000,"Macro")/COUNTIFS($S$5:$S$1000,$S218,$V$5:$V$1000,"Macro",$H$5:$H$1000,"&gt;0"))/(COUNTIFS($S$5:$S$1000,$S218,$V$5:$V$1000,"Macro")*SUMIFS($H$5:$H$1000,$S$5:$S$1000,$S218,$V$5:$V$1000,"Macro")/COUNTIFS($S$5:$S$1000,$S218,$V$5:$V$1000,"Macro",$H$5:$H$1000,"&gt;0"))))</f>
        <v/>
      </c>
      <c r="AH218" s="62" t="n"/>
      <c r="AI218" s="62" t="n"/>
      <c r="AJ218" s="62" t="n"/>
      <c r="AK218" s="62" t="n"/>
      <c r="AL218" s="62">
        <f>IF(LEFT($C218,11)="[Jefatura] ",IFERROR(MATCH("Asistente Técnico de Riesgo|"&amp;MID($C218,12,500),rDname_ADM,0),0),"")</f>
        <v/>
      </c>
      <c r="AM218" s="62">
        <f>IF(N($AL218)&gt;0,INDEX(rIni_ADM,$AL218),IF(ISNUMBER($E218),$E218,""))</f>
        <v/>
      </c>
      <c r="AN218" s="62">
        <f>IF(N($AL218)&gt;0,INDEX(rLim_ADM,$AL218),IF(ISNUMBER($F218),$F218,""))</f>
        <v/>
      </c>
    </row>
    <row r="219">
      <c r="A219" s="56">
        <f>IF(NOT((COUNTA($B219:$D219)+COUNTA($G219:$L219)+COUNTA($Q219))&gt;0),"",IF($V219="Macro",COUNTIFS($V$5:$V219,"Macro",$S$5:$S219,$S219),IF(N($U219)=0,"?",COUNTIFS(INDEX($V$5:$V$1000,1):INDEX($V$5:$V$1000,$U219-4),"Macro",INDEX($S$5:$S$1000,1):INDEX($S$5:$S$1000,$U219-4),INDEX($S$5:$S$1000,$U219-4))&amp;"."&amp;COUNTIFS($U$5:$U219,$U219,$V$5:$V219,"Sub"))))</f>
        <v/>
      </c>
      <c r="B219" s="57" t="n"/>
      <c r="C219" s="58" t="n"/>
      <c r="D219" s="58" t="n"/>
      <c r="E219" s="59">
        <f>IF(N($AL219)&gt;0,INDEX(rIni_ADM,$AL219),"")</f>
        <v/>
      </c>
      <c r="F219" s="59">
        <f>IF(N($AL219)&gt;0,INDEX(rLim_ADM,$AL219),"")</f>
        <v/>
      </c>
      <c r="G219" s="59" t="n"/>
      <c r="H219" s="60" t="n"/>
      <c r="I219" s="60" t="n"/>
      <c r="J219" s="60" t="n"/>
      <c r="K219" s="60" t="n"/>
      <c r="L219" s="60" t="n"/>
      <c r="M219" s="61">
        <f>IF(NOT((COUNTA($B219:$D219)+COUNTA($G219:$L219)+COUNTA($Q219))&gt;0),"",IF(ISNUMBER($G219),1,IF(N($W219)&gt;0,AVERAGEIFS($X$5:$X$1000,$U$5:$U$1000,ROW(),$V$5:$V$1000,"Sub"),$X219)))</f>
        <v/>
      </c>
      <c r="N219" s="56">
        <f>IF($M219="","",IF($M219&gt;=1,"Completado",IF($M219&gt;0,"En curso","Pendiente")))</f>
        <v/>
      </c>
      <c r="O219" s="56">
        <f>IF(NOT((COUNTA($B219:$D219)+COUNTA($G219:$L219)+COUNTA($Q219))&gt;0),"",IF(ISNUMBER($G219),IF(AND(ISNUMBER($AN219),$G219&gt;$AN219),"Cumplida con "&amp;($G219-$AN219)&amp;IF($G219-$AN219=1," día"," días")&amp;" de retraso","Cumplida"),IF(N($M219)&gt;=1,"Cumplida",IF(NOT(ISNUMBER($AN219)),"Sin fecha límite",IF($AN219&lt;FechaRef,"Vencida hace "&amp;(FechaRef-$AN219)&amp;IF(FechaRef-$AN219=1," día"," días"),IF($AN219=FechaRef,"Vence hoy",IF($AN219-FechaRef&lt;=DiasAlerta,"Vence en "&amp;($AN219-FechaRef)&amp;IF($AN219-FechaRef=1," día"," días"),"En plazo")))))))</f>
        <v/>
      </c>
      <c r="P219" s="62" t="n"/>
      <c r="Q219" s="58" t="n"/>
      <c r="R219" s="63">
        <f>IF(NOT((COUNTA($B219:$D219)+COUNTA($G219:$L219)+COUNTA($Q219))&gt;0),"",IF((IF($C219="","Falta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",""))="","✔ OK","⚠ "&amp;LEFT(IF($C219="","Falta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",""),LEN(IF($C219="","Falta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",""))-3)))</f>
        <v/>
      </c>
      <c r="S219" s="64">
        <f>IF(NOT((COUNTA($B219:$D219)+COUNTA($G219:$L219)+COUNTA($Q219))&gt;0),"",IF(AND($V219="Sub",N($U219)&gt;0),IF(ISNUMBER(INDEX($AM$5:$AM$1000,$U219-4)),DATE(YEAR(INDEX($AM$5:$AM$1000,$U219-4)),MONTH(INDEX($AM$5:$AM$1000,$U219-4)),1),IF(ISNUMBER(INDEX($AN$5:$AN$1000,$U219-4)),DATE(YEAR(INDEX($AN$5:$AN$1000,$U219-4)),MONTH(INDEX($AN$5:$AN$1000,$U219-4)),1),MesCiclo)),IF(ISNUMBER($AM219),DATE(YEAR($AM219),MONTH($AM219),1),IF(ISNUMBER($AN219),DATE(YEAR($AN219),MONTH($AN219),1),MesCiclo))))</f>
        <v/>
      </c>
      <c r="T219" s="62">
        <f>IF(OR($S219="",$S219&lt;&gt;MesCiclo),"",COUNTIF($S$5:$S219,MesCiclo))</f>
        <v/>
      </c>
      <c r="U219" s="62">
        <f>IF($V219="","",IF($V219="Macro",ROW(),IFERROR(LOOKUP(2,1/($V$5:$V219="Macro"),ROW($V$5:$V219)),0)))</f>
        <v/>
      </c>
      <c r="V219" s="62">
        <f>IF(NOT((COUNTA($B219:$D219)+COUNTA($G219:$L219)+COUNTA($Q219))&gt;0),"",IF($B219="Subactividad","Sub","Macro"))</f>
        <v/>
      </c>
      <c r="W219" s="62">
        <f>IF($V219="Macro",COUNTIFS($U$5:$U$1000,ROW(),$V$5:$V$1000,"Sub"),"")</f>
        <v/>
      </c>
      <c r="X219" s="62">
        <f>IF($V219="","",IF(ISNUMBER($G219),1,IFERROR(LOOKUP(2,1/($I219:$L219&lt;&gt;""),$I219:$L219),0)))</f>
        <v/>
      </c>
      <c r="Y219" s="62">
        <f>IF($V219="","",IF(AND(ISNUMBER($G219),$G219&lt;=IF($S219=MesCiclo,InicioCiclo,$S219+MOD(2-WEEKDAY($S219),7))+6),1,IF(ISNUMBER($I219),$I219,0)))</f>
        <v/>
      </c>
      <c r="Z219" s="62">
        <f>IF($V219="","",IF(AND(ISNUMBER($G219),$G219&lt;=IF($S219=MesCiclo,InicioCiclo,$S219+MOD(2-WEEKDAY($S219),7))+13),1,IF(ISNUMBER($J219),$J219,$Y219)))</f>
        <v/>
      </c>
      <c r="AA219" s="62">
        <f>IF($V219="","",IF(AND(ISNUMBER($G219),$G219&lt;=IF($S219=MesCiclo,InicioCiclo,$S219+MOD(2-WEEKDAY($S219),7))+20),1,IF(ISNUMBER($K219),$K219,$Z219)))</f>
        <v/>
      </c>
      <c r="AB219" s="62">
        <f>IF($V219="","",IF(AND(ISNUMBER($G219),$G219&lt;=IF($S219=MesCiclo,InicioCiclo,$S219+MOD(2-WEEKDAY($S219),7))+27),1,IF(ISNUMBER($L219),$L219,$AA219)))</f>
        <v/>
      </c>
      <c r="AC219" s="62">
        <f>IF($V219="","",IF(AND(ISNUMBER($G219),$G219&lt;=IF($S219=MesCiclo,InicioCiclo,$S219+MOD(2-WEEKDAY($S219),7))+6),1,IF(N($W219)&gt;0,AVERAGEIFS($Y$5:$Y$1000,$U$5:$U$1000,ROW(),$V$5:$V$1000,"Sub"),$Y219)))</f>
        <v/>
      </c>
      <c r="AD219" s="62">
        <f>IF($V219="","",IF(AND(ISNUMBER($G219),$G219&lt;=IF($S219=MesCiclo,InicioCiclo,$S219+MOD(2-WEEKDAY($S219),7))+13),1,IF(N($W219)&gt;0,AVERAGEIFS($Z$5:$Z$1000,$U$5:$U$1000,ROW(),$V$5:$V$1000,"Sub"),$Z219)))</f>
        <v/>
      </c>
      <c r="AE219" s="62">
        <f>IF($V219="","",IF(AND(ISNUMBER($G219),$G219&lt;=IF($S219=MesCiclo,InicioCiclo,$S219+MOD(2-WEEKDAY($S219),7))+20),1,IF(N($W219)&gt;0,AVERAGEIFS($AA$5:$AA$1000,$U$5:$U$1000,ROW(),$V$5:$V$1000,"Sub"),$AA219)))</f>
        <v/>
      </c>
      <c r="AF219" s="62">
        <f>IF($V219="","",IF(AND(ISNUMBER($G219),$G219&lt;=IF($S219=MesCiclo,InicioCiclo,$S219+MOD(2-WEEKDAY($S219),7))+27),1,IF(N($W219)&gt;0,AVERAGEIFS($AB$5:$AB$1000,$U$5:$U$1000,ROW(),$V$5:$V$1000,"Sub"),$AB219)))</f>
        <v/>
      </c>
      <c r="AG219" s="62">
        <f>IF($V219&lt;&gt;"Macro","",IF(COUNTIFS($S$5:$S$1000,$S219,$V$5:$V$1000,"Macro",$H$5:$H$1000,"&gt;0")=0,1/COUNTIFS($S$5:$S$1000,$S219,$V$5:$V$1000,"Macro"),IF(AND(ISNUMBER($H219),N($H219)&gt;0),$H219,SUMIFS($H$5:$H$1000,$S$5:$S$1000,$S219,$V$5:$V$1000,"Macro")/COUNTIFS($S$5:$S$1000,$S219,$V$5:$V$1000,"Macro",$H$5:$H$1000,"&gt;0"))/(COUNTIFS($S$5:$S$1000,$S219,$V$5:$V$1000,"Macro")*SUMIFS($H$5:$H$1000,$S$5:$S$1000,$S219,$V$5:$V$1000,"Macro")/COUNTIFS($S$5:$S$1000,$S219,$V$5:$V$1000,"Macro",$H$5:$H$1000,"&gt;0"))))</f>
        <v/>
      </c>
      <c r="AH219" s="62" t="n"/>
      <c r="AI219" s="62" t="n"/>
      <c r="AJ219" s="62" t="n"/>
      <c r="AK219" s="62" t="n"/>
      <c r="AL219" s="62">
        <f>IF(LEFT($C219,11)="[Jefatura] ",IFERROR(MATCH("Asistente Técnico de Riesgo|"&amp;MID($C219,12,500),rDname_ADM,0),0),"")</f>
        <v/>
      </c>
      <c r="AM219" s="62">
        <f>IF(N($AL219)&gt;0,INDEX(rIni_ADM,$AL219),IF(ISNUMBER($E219),$E219,""))</f>
        <v/>
      </c>
      <c r="AN219" s="62">
        <f>IF(N($AL219)&gt;0,INDEX(rLim_ADM,$AL219),IF(ISNUMBER($F219),$F219,""))</f>
        <v/>
      </c>
    </row>
    <row r="220">
      <c r="A220" s="56">
        <f>IF(NOT((COUNTA($B220:$D220)+COUNTA($G220:$L220)+COUNTA($Q220))&gt;0),"",IF($V220="Macro",COUNTIFS($V$5:$V220,"Macro",$S$5:$S220,$S220),IF(N($U220)=0,"?",COUNTIFS(INDEX($V$5:$V$1000,1):INDEX($V$5:$V$1000,$U220-4),"Macro",INDEX($S$5:$S$1000,1):INDEX($S$5:$S$1000,$U220-4),INDEX($S$5:$S$1000,$U220-4))&amp;"."&amp;COUNTIFS($U$5:$U220,$U220,$V$5:$V220,"Sub"))))</f>
        <v/>
      </c>
      <c r="B220" s="57" t="n"/>
      <c r="C220" s="58" t="n"/>
      <c r="D220" s="58" t="n"/>
      <c r="E220" s="59">
        <f>IF(N($AL220)&gt;0,INDEX(rIni_ADM,$AL220),"")</f>
        <v/>
      </c>
      <c r="F220" s="59">
        <f>IF(N($AL220)&gt;0,INDEX(rLim_ADM,$AL220),"")</f>
        <v/>
      </c>
      <c r="G220" s="59" t="n"/>
      <c r="H220" s="60" t="n"/>
      <c r="I220" s="60" t="n"/>
      <c r="J220" s="60" t="n"/>
      <c r="K220" s="60" t="n"/>
      <c r="L220" s="60" t="n"/>
      <c r="M220" s="61">
        <f>IF(NOT((COUNTA($B220:$D220)+COUNTA($G220:$L220)+COUNTA($Q220))&gt;0),"",IF(ISNUMBER($G220),1,IF(N($W220)&gt;0,AVERAGEIFS($X$5:$X$1000,$U$5:$U$1000,ROW(),$V$5:$V$1000,"Sub"),$X220)))</f>
        <v/>
      </c>
      <c r="N220" s="56">
        <f>IF($M220="","",IF($M220&gt;=1,"Completado",IF($M220&gt;0,"En curso","Pendiente")))</f>
        <v/>
      </c>
      <c r="O220" s="56">
        <f>IF(NOT((COUNTA($B220:$D220)+COUNTA($G220:$L220)+COUNTA($Q220))&gt;0),"",IF(ISNUMBER($G220),IF(AND(ISNUMBER($AN220),$G220&gt;$AN220),"Cumplida con "&amp;($G220-$AN220)&amp;IF($G220-$AN220=1," día"," días")&amp;" de retraso","Cumplida"),IF(N($M220)&gt;=1,"Cumplida",IF(NOT(ISNUMBER($AN220)),"Sin fecha límite",IF($AN220&lt;FechaRef,"Vencida hace "&amp;(FechaRef-$AN220)&amp;IF(FechaRef-$AN220=1," día"," días"),IF($AN220=FechaRef,"Vence hoy",IF($AN220-FechaRef&lt;=DiasAlerta,"Vence en "&amp;($AN220-FechaRef)&amp;IF($AN220-FechaRef=1," día"," días"),"En plazo")))))))</f>
        <v/>
      </c>
      <c r="P220" s="62" t="n"/>
      <c r="Q220" s="58" t="n"/>
      <c r="R220" s="63">
        <f>IF(NOT((COUNTA($B220:$D220)+COUNTA($G220:$L220)+COUNTA($Q220))&gt;0),"",IF((IF($C220="","Falta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",""))="","✔ OK","⚠ "&amp;LEFT(IF($C220="","Falta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",""),LEN(IF($C220="","Falta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",""))-3)))</f>
        <v/>
      </c>
      <c r="S220" s="64">
        <f>IF(NOT((COUNTA($B220:$D220)+COUNTA($G220:$L220)+COUNTA($Q220))&gt;0),"",IF(AND($V220="Sub",N($U220)&gt;0),IF(ISNUMBER(INDEX($AM$5:$AM$1000,$U220-4)),DATE(YEAR(INDEX($AM$5:$AM$1000,$U220-4)),MONTH(INDEX($AM$5:$AM$1000,$U220-4)),1),IF(ISNUMBER(INDEX($AN$5:$AN$1000,$U220-4)),DATE(YEAR(INDEX($AN$5:$AN$1000,$U220-4)),MONTH(INDEX($AN$5:$AN$1000,$U220-4)),1),MesCiclo)),IF(ISNUMBER($AM220),DATE(YEAR($AM220),MONTH($AM220),1),IF(ISNUMBER($AN220),DATE(YEAR($AN220),MONTH($AN220),1),MesCiclo))))</f>
        <v/>
      </c>
      <c r="T220" s="62">
        <f>IF(OR($S220="",$S220&lt;&gt;MesCiclo),"",COUNTIF($S$5:$S220,MesCiclo))</f>
        <v/>
      </c>
      <c r="U220" s="62">
        <f>IF($V220="","",IF($V220="Macro",ROW(),IFERROR(LOOKUP(2,1/($V$5:$V220="Macro"),ROW($V$5:$V220)),0)))</f>
        <v/>
      </c>
      <c r="V220" s="62">
        <f>IF(NOT((COUNTA($B220:$D220)+COUNTA($G220:$L220)+COUNTA($Q220))&gt;0),"",IF($B220="Subactividad","Sub","Macro"))</f>
        <v/>
      </c>
      <c r="W220" s="62">
        <f>IF($V220="Macro",COUNTIFS($U$5:$U$1000,ROW(),$V$5:$V$1000,"Sub"),"")</f>
        <v/>
      </c>
      <c r="X220" s="62">
        <f>IF($V220="","",IF(ISNUMBER($G220),1,IFERROR(LOOKUP(2,1/($I220:$L220&lt;&gt;""),$I220:$L220),0)))</f>
        <v/>
      </c>
      <c r="Y220" s="62">
        <f>IF($V220="","",IF(AND(ISNUMBER($G220),$G220&lt;=IF($S220=MesCiclo,InicioCiclo,$S220+MOD(2-WEEKDAY($S220),7))+6),1,IF(ISNUMBER($I220),$I220,0)))</f>
        <v/>
      </c>
      <c r="Z220" s="62">
        <f>IF($V220="","",IF(AND(ISNUMBER($G220),$G220&lt;=IF($S220=MesCiclo,InicioCiclo,$S220+MOD(2-WEEKDAY($S220),7))+13),1,IF(ISNUMBER($J220),$J220,$Y220)))</f>
        <v/>
      </c>
      <c r="AA220" s="62">
        <f>IF($V220="","",IF(AND(ISNUMBER($G220),$G220&lt;=IF($S220=MesCiclo,InicioCiclo,$S220+MOD(2-WEEKDAY($S220),7))+20),1,IF(ISNUMBER($K220),$K220,$Z220)))</f>
        <v/>
      </c>
      <c r="AB220" s="62">
        <f>IF($V220="","",IF(AND(ISNUMBER($G220),$G220&lt;=IF($S220=MesCiclo,InicioCiclo,$S220+MOD(2-WEEKDAY($S220),7))+27),1,IF(ISNUMBER($L220),$L220,$AA220)))</f>
        <v/>
      </c>
      <c r="AC220" s="62">
        <f>IF($V220="","",IF(AND(ISNUMBER($G220),$G220&lt;=IF($S220=MesCiclo,InicioCiclo,$S220+MOD(2-WEEKDAY($S220),7))+6),1,IF(N($W220)&gt;0,AVERAGEIFS($Y$5:$Y$1000,$U$5:$U$1000,ROW(),$V$5:$V$1000,"Sub"),$Y220)))</f>
        <v/>
      </c>
      <c r="AD220" s="62">
        <f>IF($V220="","",IF(AND(ISNUMBER($G220),$G220&lt;=IF($S220=MesCiclo,InicioCiclo,$S220+MOD(2-WEEKDAY($S220),7))+13),1,IF(N($W220)&gt;0,AVERAGEIFS($Z$5:$Z$1000,$U$5:$U$1000,ROW(),$V$5:$V$1000,"Sub"),$Z220)))</f>
        <v/>
      </c>
      <c r="AE220" s="62">
        <f>IF($V220="","",IF(AND(ISNUMBER($G220),$G220&lt;=IF($S220=MesCiclo,InicioCiclo,$S220+MOD(2-WEEKDAY($S220),7))+20),1,IF(N($W220)&gt;0,AVERAGEIFS($AA$5:$AA$1000,$U$5:$U$1000,ROW(),$V$5:$V$1000,"Sub"),$AA220)))</f>
        <v/>
      </c>
      <c r="AF220" s="62">
        <f>IF($V220="","",IF(AND(ISNUMBER($G220),$G220&lt;=IF($S220=MesCiclo,InicioCiclo,$S220+MOD(2-WEEKDAY($S220),7))+27),1,IF(N($W220)&gt;0,AVERAGEIFS($AB$5:$AB$1000,$U$5:$U$1000,ROW(),$V$5:$V$1000,"Sub"),$AB220)))</f>
        <v/>
      </c>
      <c r="AG220" s="62">
        <f>IF($V220&lt;&gt;"Macro","",IF(COUNTIFS($S$5:$S$1000,$S220,$V$5:$V$1000,"Macro",$H$5:$H$1000,"&gt;0")=0,1/COUNTIFS($S$5:$S$1000,$S220,$V$5:$V$1000,"Macro"),IF(AND(ISNUMBER($H220),N($H220)&gt;0),$H220,SUMIFS($H$5:$H$1000,$S$5:$S$1000,$S220,$V$5:$V$1000,"Macro")/COUNTIFS($S$5:$S$1000,$S220,$V$5:$V$1000,"Macro",$H$5:$H$1000,"&gt;0"))/(COUNTIFS($S$5:$S$1000,$S220,$V$5:$V$1000,"Macro")*SUMIFS($H$5:$H$1000,$S$5:$S$1000,$S220,$V$5:$V$1000,"Macro")/COUNTIFS($S$5:$S$1000,$S220,$V$5:$V$1000,"Macro",$H$5:$H$1000,"&gt;0"))))</f>
        <v/>
      </c>
      <c r="AH220" s="62" t="n"/>
      <c r="AI220" s="62" t="n"/>
      <c r="AJ220" s="62" t="n"/>
      <c r="AK220" s="62" t="n"/>
      <c r="AL220" s="62">
        <f>IF(LEFT($C220,11)="[Jefatura] ",IFERROR(MATCH("Asistente Técnico de Riesgo|"&amp;MID($C220,12,500),rDname_ADM,0),0),"")</f>
        <v/>
      </c>
      <c r="AM220" s="62">
        <f>IF(N($AL220)&gt;0,INDEX(rIni_ADM,$AL220),IF(ISNUMBER($E220),$E220,""))</f>
        <v/>
      </c>
      <c r="AN220" s="62">
        <f>IF(N($AL220)&gt;0,INDEX(rLim_ADM,$AL220),IF(ISNUMBER($F220),$F220,""))</f>
        <v/>
      </c>
    </row>
    <row r="221">
      <c r="A221" s="56">
        <f>IF(NOT((COUNTA($B221:$D221)+COUNTA($G221:$L221)+COUNTA($Q221))&gt;0),"",IF($V221="Macro",COUNTIFS($V$5:$V221,"Macro",$S$5:$S221,$S221),IF(N($U221)=0,"?",COUNTIFS(INDEX($V$5:$V$1000,1):INDEX($V$5:$V$1000,$U221-4),"Macro",INDEX($S$5:$S$1000,1):INDEX($S$5:$S$1000,$U221-4),INDEX($S$5:$S$1000,$U221-4))&amp;"."&amp;COUNTIFS($U$5:$U221,$U221,$V$5:$V221,"Sub"))))</f>
        <v/>
      </c>
      <c r="B221" s="57" t="n"/>
      <c r="C221" s="58" t="n"/>
      <c r="D221" s="58" t="n"/>
      <c r="E221" s="59">
        <f>IF(N($AL221)&gt;0,INDEX(rIni_ADM,$AL221),"")</f>
        <v/>
      </c>
      <c r="F221" s="59">
        <f>IF(N($AL221)&gt;0,INDEX(rLim_ADM,$AL221),"")</f>
        <v/>
      </c>
      <c r="G221" s="59" t="n"/>
      <c r="H221" s="60" t="n"/>
      <c r="I221" s="60" t="n"/>
      <c r="J221" s="60" t="n"/>
      <c r="K221" s="60" t="n"/>
      <c r="L221" s="60" t="n"/>
      <c r="M221" s="61">
        <f>IF(NOT((COUNTA($B221:$D221)+COUNTA($G221:$L221)+COUNTA($Q221))&gt;0),"",IF(ISNUMBER($G221),1,IF(N($W221)&gt;0,AVERAGEIFS($X$5:$X$1000,$U$5:$U$1000,ROW(),$V$5:$V$1000,"Sub"),$X221)))</f>
        <v/>
      </c>
      <c r="N221" s="56">
        <f>IF($M221="","",IF($M221&gt;=1,"Completado",IF($M221&gt;0,"En curso","Pendiente")))</f>
        <v/>
      </c>
      <c r="O221" s="56">
        <f>IF(NOT((COUNTA($B221:$D221)+COUNTA($G221:$L221)+COUNTA($Q221))&gt;0),"",IF(ISNUMBER($G221),IF(AND(ISNUMBER($AN221),$G221&gt;$AN221),"Cumplida con "&amp;($G221-$AN221)&amp;IF($G221-$AN221=1," día"," días")&amp;" de retraso","Cumplida"),IF(N($M221)&gt;=1,"Cumplida",IF(NOT(ISNUMBER($AN221)),"Sin fecha límite",IF($AN221&lt;FechaRef,"Vencida hace "&amp;(FechaRef-$AN221)&amp;IF(FechaRef-$AN221=1," día"," días"),IF($AN221=FechaRef,"Vence hoy",IF($AN221-FechaRef&lt;=DiasAlerta,"Vence en "&amp;($AN221-FechaRef)&amp;IF($AN221-FechaRef=1," día"," días"),"En plazo")))))))</f>
        <v/>
      </c>
      <c r="P221" s="62" t="n"/>
      <c r="Q221" s="58" t="n"/>
      <c r="R221" s="63">
        <f>IF(NOT((COUNTA($B221:$D221)+COUNTA($G221:$L221)+COUNTA($Q221))&gt;0),"",IF((IF($C221="","Falta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",""))="","✔ OK","⚠ "&amp;LEFT(IF($C221="","Falta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",""),LEN(IF($C221="","Falta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",""))-3)))</f>
        <v/>
      </c>
      <c r="S221" s="64">
        <f>IF(NOT((COUNTA($B221:$D221)+COUNTA($G221:$L221)+COUNTA($Q221))&gt;0),"",IF(AND($V221="Sub",N($U221)&gt;0),IF(ISNUMBER(INDEX($AM$5:$AM$1000,$U221-4)),DATE(YEAR(INDEX($AM$5:$AM$1000,$U221-4)),MONTH(INDEX($AM$5:$AM$1000,$U221-4)),1),IF(ISNUMBER(INDEX($AN$5:$AN$1000,$U221-4)),DATE(YEAR(INDEX($AN$5:$AN$1000,$U221-4)),MONTH(INDEX($AN$5:$AN$1000,$U221-4)),1),MesCiclo)),IF(ISNUMBER($AM221),DATE(YEAR($AM221),MONTH($AM221),1),IF(ISNUMBER($AN221),DATE(YEAR($AN221),MONTH($AN221),1),MesCiclo))))</f>
        <v/>
      </c>
      <c r="T221" s="62">
        <f>IF(OR($S221="",$S221&lt;&gt;MesCiclo),"",COUNTIF($S$5:$S221,MesCiclo))</f>
        <v/>
      </c>
      <c r="U221" s="62">
        <f>IF($V221="","",IF($V221="Macro",ROW(),IFERROR(LOOKUP(2,1/($V$5:$V221="Macro"),ROW($V$5:$V221)),0)))</f>
        <v/>
      </c>
      <c r="V221" s="62">
        <f>IF(NOT((COUNTA($B221:$D221)+COUNTA($G221:$L221)+COUNTA($Q221))&gt;0),"",IF($B221="Subactividad","Sub","Macro"))</f>
        <v/>
      </c>
      <c r="W221" s="62">
        <f>IF($V221="Macro",COUNTIFS($U$5:$U$1000,ROW(),$V$5:$V$1000,"Sub"),"")</f>
        <v/>
      </c>
      <c r="X221" s="62">
        <f>IF($V221="","",IF(ISNUMBER($G221),1,IFERROR(LOOKUP(2,1/($I221:$L221&lt;&gt;""),$I221:$L221),0)))</f>
        <v/>
      </c>
      <c r="Y221" s="62">
        <f>IF($V221="","",IF(AND(ISNUMBER($G221),$G221&lt;=IF($S221=MesCiclo,InicioCiclo,$S221+MOD(2-WEEKDAY($S221),7))+6),1,IF(ISNUMBER($I221),$I221,0)))</f>
        <v/>
      </c>
      <c r="Z221" s="62">
        <f>IF($V221="","",IF(AND(ISNUMBER($G221),$G221&lt;=IF($S221=MesCiclo,InicioCiclo,$S221+MOD(2-WEEKDAY($S221),7))+13),1,IF(ISNUMBER($J221),$J221,$Y221)))</f>
        <v/>
      </c>
      <c r="AA221" s="62">
        <f>IF($V221="","",IF(AND(ISNUMBER($G221),$G221&lt;=IF($S221=MesCiclo,InicioCiclo,$S221+MOD(2-WEEKDAY($S221),7))+20),1,IF(ISNUMBER($K221),$K221,$Z221)))</f>
        <v/>
      </c>
      <c r="AB221" s="62">
        <f>IF($V221="","",IF(AND(ISNUMBER($G221),$G221&lt;=IF($S221=MesCiclo,InicioCiclo,$S221+MOD(2-WEEKDAY($S221),7))+27),1,IF(ISNUMBER($L221),$L221,$AA221)))</f>
        <v/>
      </c>
      <c r="AC221" s="62">
        <f>IF($V221="","",IF(AND(ISNUMBER($G221),$G221&lt;=IF($S221=MesCiclo,InicioCiclo,$S221+MOD(2-WEEKDAY($S221),7))+6),1,IF(N($W221)&gt;0,AVERAGEIFS($Y$5:$Y$1000,$U$5:$U$1000,ROW(),$V$5:$V$1000,"Sub"),$Y221)))</f>
        <v/>
      </c>
      <c r="AD221" s="62">
        <f>IF($V221="","",IF(AND(ISNUMBER($G221),$G221&lt;=IF($S221=MesCiclo,InicioCiclo,$S221+MOD(2-WEEKDAY($S221),7))+13),1,IF(N($W221)&gt;0,AVERAGEIFS($Z$5:$Z$1000,$U$5:$U$1000,ROW(),$V$5:$V$1000,"Sub"),$Z221)))</f>
        <v/>
      </c>
      <c r="AE221" s="62">
        <f>IF($V221="","",IF(AND(ISNUMBER($G221),$G221&lt;=IF($S221=MesCiclo,InicioCiclo,$S221+MOD(2-WEEKDAY($S221),7))+20),1,IF(N($W221)&gt;0,AVERAGEIFS($AA$5:$AA$1000,$U$5:$U$1000,ROW(),$V$5:$V$1000,"Sub"),$AA221)))</f>
        <v/>
      </c>
      <c r="AF221" s="62">
        <f>IF($V221="","",IF(AND(ISNUMBER($G221),$G221&lt;=IF($S221=MesCiclo,InicioCiclo,$S221+MOD(2-WEEKDAY($S221),7))+27),1,IF(N($W221)&gt;0,AVERAGEIFS($AB$5:$AB$1000,$U$5:$U$1000,ROW(),$V$5:$V$1000,"Sub"),$AB221)))</f>
        <v/>
      </c>
      <c r="AG221" s="62">
        <f>IF($V221&lt;&gt;"Macro","",IF(COUNTIFS($S$5:$S$1000,$S221,$V$5:$V$1000,"Macro",$H$5:$H$1000,"&gt;0")=0,1/COUNTIFS($S$5:$S$1000,$S221,$V$5:$V$1000,"Macro"),IF(AND(ISNUMBER($H221),N($H221)&gt;0),$H221,SUMIFS($H$5:$H$1000,$S$5:$S$1000,$S221,$V$5:$V$1000,"Macro")/COUNTIFS($S$5:$S$1000,$S221,$V$5:$V$1000,"Macro",$H$5:$H$1000,"&gt;0"))/(COUNTIFS($S$5:$S$1000,$S221,$V$5:$V$1000,"Macro")*SUMIFS($H$5:$H$1000,$S$5:$S$1000,$S221,$V$5:$V$1000,"Macro")/COUNTIFS($S$5:$S$1000,$S221,$V$5:$V$1000,"Macro",$H$5:$H$1000,"&gt;0"))))</f>
        <v/>
      </c>
      <c r="AH221" s="62" t="n"/>
      <c r="AI221" s="62" t="n"/>
      <c r="AJ221" s="62" t="n"/>
      <c r="AK221" s="62" t="n"/>
      <c r="AL221" s="62">
        <f>IF(LEFT($C221,11)="[Jefatura] ",IFERROR(MATCH("Asistente Técnico de Riesgo|"&amp;MID($C221,12,500),rDname_ADM,0),0),"")</f>
        <v/>
      </c>
      <c r="AM221" s="62">
        <f>IF(N($AL221)&gt;0,INDEX(rIni_ADM,$AL221),IF(ISNUMBER($E221),$E221,""))</f>
        <v/>
      </c>
      <c r="AN221" s="62">
        <f>IF(N($AL221)&gt;0,INDEX(rLim_ADM,$AL221),IF(ISNUMBER($F221),$F221,""))</f>
        <v/>
      </c>
    </row>
    <row r="222">
      <c r="A222" s="56">
        <f>IF(NOT((COUNTA($B222:$D222)+COUNTA($G222:$L222)+COUNTA($Q222))&gt;0),"",IF($V222="Macro",COUNTIFS($V$5:$V222,"Macro",$S$5:$S222,$S222),IF(N($U222)=0,"?",COUNTIFS(INDEX($V$5:$V$1000,1):INDEX($V$5:$V$1000,$U222-4),"Macro",INDEX($S$5:$S$1000,1):INDEX($S$5:$S$1000,$U222-4),INDEX($S$5:$S$1000,$U222-4))&amp;"."&amp;COUNTIFS($U$5:$U222,$U222,$V$5:$V222,"Sub"))))</f>
        <v/>
      </c>
      <c r="B222" s="57" t="n"/>
      <c r="C222" s="58" t="n"/>
      <c r="D222" s="58" t="n"/>
      <c r="E222" s="59">
        <f>IF(N($AL222)&gt;0,INDEX(rIni_ADM,$AL222),"")</f>
        <v/>
      </c>
      <c r="F222" s="59">
        <f>IF(N($AL222)&gt;0,INDEX(rLim_ADM,$AL222),"")</f>
        <v/>
      </c>
      <c r="G222" s="59" t="n"/>
      <c r="H222" s="60" t="n"/>
      <c r="I222" s="60" t="n"/>
      <c r="J222" s="60" t="n"/>
      <c r="K222" s="60" t="n"/>
      <c r="L222" s="60" t="n"/>
      <c r="M222" s="61">
        <f>IF(NOT((COUNTA($B222:$D222)+COUNTA($G222:$L222)+COUNTA($Q222))&gt;0),"",IF(ISNUMBER($G222),1,IF(N($W222)&gt;0,AVERAGEIFS($X$5:$X$1000,$U$5:$U$1000,ROW(),$V$5:$V$1000,"Sub"),$X222)))</f>
        <v/>
      </c>
      <c r="N222" s="56">
        <f>IF($M222="","",IF($M222&gt;=1,"Completado",IF($M222&gt;0,"En curso","Pendiente")))</f>
        <v/>
      </c>
      <c r="O222" s="56">
        <f>IF(NOT((COUNTA($B222:$D222)+COUNTA($G222:$L222)+COUNTA($Q222))&gt;0),"",IF(ISNUMBER($G222),IF(AND(ISNUMBER($AN222),$G222&gt;$AN222),"Cumplida con "&amp;($G222-$AN222)&amp;IF($G222-$AN222=1," día"," días")&amp;" de retraso","Cumplida"),IF(N($M222)&gt;=1,"Cumplida",IF(NOT(ISNUMBER($AN222)),"Sin fecha límite",IF($AN222&lt;FechaRef,"Vencida hace "&amp;(FechaRef-$AN222)&amp;IF(FechaRef-$AN222=1," día"," días"),IF($AN222=FechaRef,"Vence hoy",IF($AN222-FechaRef&lt;=DiasAlerta,"Vence en "&amp;($AN222-FechaRef)&amp;IF($AN222-FechaRef=1," día"," días"),"En plazo")))))))</f>
        <v/>
      </c>
      <c r="P222" s="62" t="n"/>
      <c r="Q222" s="58" t="n"/>
      <c r="R222" s="63">
        <f>IF(NOT((COUNTA($B222:$D222)+COUNTA($G222:$L222)+COUNTA($Q222))&gt;0),"",IF((IF($C222="","Falta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",""))="","✔ OK","⚠ "&amp;LEFT(IF($C222="","Falta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",""),LEN(IF($C222="","Falta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",""))-3)))</f>
        <v/>
      </c>
      <c r="S222" s="64">
        <f>IF(NOT((COUNTA($B222:$D222)+COUNTA($G222:$L222)+COUNTA($Q222))&gt;0),"",IF(AND($V222="Sub",N($U222)&gt;0),IF(ISNUMBER(INDEX($AM$5:$AM$1000,$U222-4)),DATE(YEAR(INDEX($AM$5:$AM$1000,$U222-4)),MONTH(INDEX($AM$5:$AM$1000,$U222-4)),1),IF(ISNUMBER(INDEX($AN$5:$AN$1000,$U222-4)),DATE(YEAR(INDEX($AN$5:$AN$1000,$U222-4)),MONTH(INDEX($AN$5:$AN$1000,$U222-4)),1),MesCiclo)),IF(ISNUMBER($AM222),DATE(YEAR($AM222),MONTH($AM222),1),IF(ISNUMBER($AN222),DATE(YEAR($AN222),MONTH($AN222),1),MesCiclo))))</f>
        <v/>
      </c>
      <c r="T222" s="62">
        <f>IF(OR($S222="",$S222&lt;&gt;MesCiclo),"",COUNTIF($S$5:$S222,MesCiclo))</f>
        <v/>
      </c>
      <c r="U222" s="62">
        <f>IF($V222="","",IF($V222="Macro",ROW(),IFERROR(LOOKUP(2,1/($V$5:$V222="Macro"),ROW($V$5:$V222)),0)))</f>
        <v/>
      </c>
      <c r="V222" s="62">
        <f>IF(NOT((COUNTA($B222:$D222)+COUNTA($G222:$L222)+COUNTA($Q222))&gt;0),"",IF($B222="Subactividad","Sub","Macro"))</f>
        <v/>
      </c>
      <c r="W222" s="62">
        <f>IF($V222="Macro",COUNTIFS($U$5:$U$1000,ROW(),$V$5:$V$1000,"Sub"),"")</f>
        <v/>
      </c>
      <c r="X222" s="62">
        <f>IF($V222="","",IF(ISNUMBER($G222),1,IFERROR(LOOKUP(2,1/($I222:$L222&lt;&gt;""),$I222:$L222),0)))</f>
        <v/>
      </c>
      <c r="Y222" s="62">
        <f>IF($V222="","",IF(AND(ISNUMBER($G222),$G222&lt;=IF($S222=MesCiclo,InicioCiclo,$S222+MOD(2-WEEKDAY($S222),7))+6),1,IF(ISNUMBER($I222),$I222,0)))</f>
        <v/>
      </c>
      <c r="Z222" s="62">
        <f>IF($V222="","",IF(AND(ISNUMBER($G222),$G222&lt;=IF($S222=MesCiclo,InicioCiclo,$S222+MOD(2-WEEKDAY($S222),7))+13),1,IF(ISNUMBER($J222),$J222,$Y222)))</f>
        <v/>
      </c>
      <c r="AA222" s="62">
        <f>IF($V222="","",IF(AND(ISNUMBER($G222),$G222&lt;=IF($S222=MesCiclo,InicioCiclo,$S222+MOD(2-WEEKDAY($S222),7))+20),1,IF(ISNUMBER($K222),$K222,$Z222)))</f>
        <v/>
      </c>
      <c r="AB222" s="62">
        <f>IF($V222="","",IF(AND(ISNUMBER($G222),$G222&lt;=IF($S222=MesCiclo,InicioCiclo,$S222+MOD(2-WEEKDAY($S222),7))+27),1,IF(ISNUMBER($L222),$L222,$AA222)))</f>
        <v/>
      </c>
      <c r="AC222" s="62">
        <f>IF($V222="","",IF(AND(ISNUMBER($G222),$G222&lt;=IF($S222=MesCiclo,InicioCiclo,$S222+MOD(2-WEEKDAY($S222),7))+6),1,IF(N($W222)&gt;0,AVERAGEIFS($Y$5:$Y$1000,$U$5:$U$1000,ROW(),$V$5:$V$1000,"Sub"),$Y222)))</f>
        <v/>
      </c>
      <c r="AD222" s="62">
        <f>IF($V222="","",IF(AND(ISNUMBER($G222),$G222&lt;=IF($S222=MesCiclo,InicioCiclo,$S222+MOD(2-WEEKDAY($S222),7))+13),1,IF(N($W222)&gt;0,AVERAGEIFS($Z$5:$Z$1000,$U$5:$U$1000,ROW(),$V$5:$V$1000,"Sub"),$Z222)))</f>
        <v/>
      </c>
      <c r="AE222" s="62">
        <f>IF($V222="","",IF(AND(ISNUMBER($G222),$G222&lt;=IF($S222=MesCiclo,InicioCiclo,$S222+MOD(2-WEEKDAY($S222),7))+20),1,IF(N($W222)&gt;0,AVERAGEIFS($AA$5:$AA$1000,$U$5:$U$1000,ROW(),$V$5:$V$1000,"Sub"),$AA222)))</f>
        <v/>
      </c>
      <c r="AF222" s="62">
        <f>IF($V222="","",IF(AND(ISNUMBER($G222),$G222&lt;=IF($S222=MesCiclo,InicioCiclo,$S222+MOD(2-WEEKDAY($S222),7))+27),1,IF(N($W222)&gt;0,AVERAGEIFS($AB$5:$AB$1000,$U$5:$U$1000,ROW(),$V$5:$V$1000,"Sub"),$AB222)))</f>
        <v/>
      </c>
      <c r="AG222" s="62">
        <f>IF($V222&lt;&gt;"Macro","",IF(COUNTIFS($S$5:$S$1000,$S222,$V$5:$V$1000,"Macro",$H$5:$H$1000,"&gt;0")=0,1/COUNTIFS($S$5:$S$1000,$S222,$V$5:$V$1000,"Macro"),IF(AND(ISNUMBER($H222),N($H222)&gt;0),$H222,SUMIFS($H$5:$H$1000,$S$5:$S$1000,$S222,$V$5:$V$1000,"Macro")/COUNTIFS($S$5:$S$1000,$S222,$V$5:$V$1000,"Macro",$H$5:$H$1000,"&gt;0"))/(COUNTIFS($S$5:$S$1000,$S222,$V$5:$V$1000,"Macro")*SUMIFS($H$5:$H$1000,$S$5:$S$1000,$S222,$V$5:$V$1000,"Macro")/COUNTIFS($S$5:$S$1000,$S222,$V$5:$V$1000,"Macro",$H$5:$H$1000,"&gt;0"))))</f>
        <v/>
      </c>
      <c r="AH222" s="62" t="n"/>
      <c r="AI222" s="62" t="n"/>
      <c r="AJ222" s="62" t="n"/>
      <c r="AK222" s="62" t="n"/>
      <c r="AL222" s="62">
        <f>IF(LEFT($C222,11)="[Jefatura] ",IFERROR(MATCH("Asistente Técnico de Riesgo|"&amp;MID($C222,12,500),rDname_ADM,0),0),"")</f>
        <v/>
      </c>
      <c r="AM222" s="62">
        <f>IF(N($AL222)&gt;0,INDEX(rIni_ADM,$AL222),IF(ISNUMBER($E222),$E222,""))</f>
        <v/>
      </c>
      <c r="AN222" s="62">
        <f>IF(N($AL222)&gt;0,INDEX(rLim_ADM,$AL222),IF(ISNUMBER($F222),$F222,""))</f>
        <v/>
      </c>
    </row>
    <row r="223">
      <c r="A223" s="56">
        <f>IF(NOT((COUNTA($B223:$D223)+COUNTA($G223:$L223)+COUNTA($Q223))&gt;0),"",IF($V223="Macro",COUNTIFS($V$5:$V223,"Macro",$S$5:$S223,$S223),IF(N($U223)=0,"?",COUNTIFS(INDEX($V$5:$V$1000,1):INDEX($V$5:$V$1000,$U223-4),"Macro",INDEX($S$5:$S$1000,1):INDEX($S$5:$S$1000,$U223-4),INDEX($S$5:$S$1000,$U223-4))&amp;"."&amp;COUNTIFS($U$5:$U223,$U223,$V$5:$V223,"Sub"))))</f>
        <v/>
      </c>
      <c r="B223" s="57" t="n"/>
      <c r="C223" s="58" t="n"/>
      <c r="D223" s="58" t="n"/>
      <c r="E223" s="59">
        <f>IF(N($AL223)&gt;0,INDEX(rIni_ADM,$AL223),"")</f>
        <v/>
      </c>
      <c r="F223" s="59">
        <f>IF(N($AL223)&gt;0,INDEX(rLim_ADM,$AL223),"")</f>
        <v/>
      </c>
      <c r="G223" s="59" t="n"/>
      <c r="H223" s="60" t="n"/>
      <c r="I223" s="60" t="n"/>
      <c r="J223" s="60" t="n"/>
      <c r="K223" s="60" t="n"/>
      <c r="L223" s="60" t="n"/>
      <c r="M223" s="61">
        <f>IF(NOT((COUNTA($B223:$D223)+COUNTA($G223:$L223)+COUNTA($Q223))&gt;0),"",IF(ISNUMBER($G223),1,IF(N($W223)&gt;0,AVERAGEIFS($X$5:$X$1000,$U$5:$U$1000,ROW(),$V$5:$V$1000,"Sub"),$X223)))</f>
        <v/>
      </c>
      <c r="N223" s="56">
        <f>IF($M223="","",IF($M223&gt;=1,"Completado",IF($M223&gt;0,"En curso","Pendiente")))</f>
        <v/>
      </c>
      <c r="O223" s="56">
        <f>IF(NOT((COUNTA($B223:$D223)+COUNTA($G223:$L223)+COUNTA($Q223))&gt;0),"",IF(ISNUMBER($G223),IF(AND(ISNUMBER($AN223),$G223&gt;$AN223),"Cumplida con "&amp;($G223-$AN223)&amp;IF($G223-$AN223=1," día"," días")&amp;" de retraso","Cumplida"),IF(N($M223)&gt;=1,"Cumplida",IF(NOT(ISNUMBER($AN223)),"Sin fecha límite",IF($AN223&lt;FechaRef,"Vencida hace "&amp;(FechaRef-$AN223)&amp;IF(FechaRef-$AN223=1," día"," días"),IF($AN223=FechaRef,"Vence hoy",IF($AN223-FechaRef&lt;=DiasAlerta,"Vence en "&amp;($AN223-FechaRef)&amp;IF($AN223-FechaRef=1," día"," días"),"En plazo")))))))</f>
        <v/>
      </c>
      <c r="P223" s="62" t="n"/>
      <c r="Q223" s="58" t="n"/>
      <c r="R223" s="63">
        <f>IF(NOT((COUNTA($B223:$D223)+COUNTA($G223:$L223)+COUNTA($Q223))&gt;0),"",IF((IF($C223="","Falta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",""))="","✔ OK","⚠ "&amp;LEFT(IF($C223="","Falta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",""),LEN(IF($C223="","Falta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",""))-3)))</f>
        <v/>
      </c>
      <c r="S223" s="64">
        <f>IF(NOT((COUNTA($B223:$D223)+COUNTA($G223:$L223)+COUNTA($Q223))&gt;0),"",IF(AND($V223="Sub",N($U223)&gt;0),IF(ISNUMBER(INDEX($AM$5:$AM$1000,$U223-4)),DATE(YEAR(INDEX($AM$5:$AM$1000,$U223-4)),MONTH(INDEX($AM$5:$AM$1000,$U223-4)),1),IF(ISNUMBER(INDEX($AN$5:$AN$1000,$U223-4)),DATE(YEAR(INDEX($AN$5:$AN$1000,$U223-4)),MONTH(INDEX($AN$5:$AN$1000,$U223-4)),1),MesCiclo)),IF(ISNUMBER($AM223),DATE(YEAR($AM223),MONTH($AM223),1),IF(ISNUMBER($AN223),DATE(YEAR($AN223),MONTH($AN223),1),MesCiclo))))</f>
        <v/>
      </c>
      <c r="T223" s="62">
        <f>IF(OR($S223="",$S223&lt;&gt;MesCiclo),"",COUNTIF($S$5:$S223,MesCiclo))</f>
        <v/>
      </c>
      <c r="U223" s="62">
        <f>IF($V223="","",IF($V223="Macro",ROW(),IFERROR(LOOKUP(2,1/($V$5:$V223="Macro"),ROW($V$5:$V223)),0)))</f>
        <v/>
      </c>
      <c r="V223" s="62">
        <f>IF(NOT((COUNTA($B223:$D223)+COUNTA($G223:$L223)+COUNTA($Q223))&gt;0),"",IF($B223="Subactividad","Sub","Macro"))</f>
        <v/>
      </c>
      <c r="W223" s="62">
        <f>IF($V223="Macro",COUNTIFS($U$5:$U$1000,ROW(),$V$5:$V$1000,"Sub"),"")</f>
        <v/>
      </c>
      <c r="X223" s="62">
        <f>IF($V223="","",IF(ISNUMBER($G223),1,IFERROR(LOOKUP(2,1/($I223:$L223&lt;&gt;""),$I223:$L223),0)))</f>
        <v/>
      </c>
      <c r="Y223" s="62">
        <f>IF($V223="","",IF(AND(ISNUMBER($G223),$G223&lt;=IF($S223=MesCiclo,InicioCiclo,$S223+MOD(2-WEEKDAY($S223),7))+6),1,IF(ISNUMBER($I223),$I223,0)))</f>
        <v/>
      </c>
      <c r="Z223" s="62">
        <f>IF($V223="","",IF(AND(ISNUMBER($G223),$G223&lt;=IF($S223=MesCiclo,InicioCiclo,$S223+MOD(2-WEEKDAY($S223),7))+13),1,IF(ISNUMBER($J223),$J223,$Y223)))</f>
        <v/>
      </c>
      <c r="AA223" s="62">
        <f>IF($V223="","",IF(AND(ISNUMBER($G223),$G223&lt;=IF($S223=MesCiclo,InicioCiclo,$S223+MOD(2-WEEKDAY($S223),7))+20),1,IF(ISNUMBER($K223),$K223,$Z223)))</f>
        <v/>
      </c>
      <c r="AB223" s="62">
        <f>IF($V223="","",IF(AND(ISNUMBER($G223),$G223&lt;=IF($S223=MesCiclo,InicioCiclo,$S223+MOD(2-WEEKDAY($S223),7))+27),1,IF(ISNUMBER($L223),$L223,$AA223)))</f>
        <v/>
      </c>
      <c r="AC223" s="62">
        <f>IF($V223="","",IF(AND(ISNUMBER($G223),$G223&lt;=IF($S223=MesCiclo,InicioCiclo,$S223+MOD(2-WEEKDAY($S223),7))+6),1,IF(N($W223)&gt;0,AVERAGEIFS($Y$5:$Y$1000,$U$5:$U$1000,ROW(),$V$5:$V$1000,"Sub"),$Y223)))</f>
        <v/>
      </c>
      <c r="AD223" s="62">
        <f>IF($V223="","",IF(AND(ISNUMBER($G223),$G223&lt;=IF($S223=MesCiclo,InicioCiclo,$S223+MOD(2-WEEKDAY($S223),7))+13),1,IF(N($W223)&gt;0,AVERAGEIFS($Z$5:$Z$1000,$U$5:$U$1000,ROW(),$V$5:$V$1000,"Sub"),$Z223)))</f>
        <v/>
      </c>
      <c r="AE223" s="62">
        <f>IF($V223="","",IF(AND(ISNUMBER($G223),$G223&lt;=IF($S223=MesCiclo,InicioCiclo,$S223+MOD(2-WEEKDAY($S223),7))+20),1,IF(N($W223)&gt;0,AVERAGEIFS($AA$5:$AA$1000,$U$5:$U$1000,ROW(),$V$5:$V$1000,"Sub"),$AA223)))</f>
        <v/>
      </c>
      <c r="AF223" s="62">
        <f>IF($V223="","",IF(AND(ISNUMBER($G223),$G223&lt;=IF($S223=MesCiclo,InicioCiclo,$S223+MOD(2-WEEKDAY($S223),7))+27),1,IF(N($W223)&gt;0,AVERAGEIFS($AB$5:$AB$1000,$U$5:$U$1000,ROW(),$V$5:$V$1000,"Sub"),$AB223)))</f>
        <v/>
      </c>
      <c r="AG223" s="62">
        <f>IF($V223&lt;&gt;"Macro","",IF(COUNTIFS($S$5:$S$1000,$S223,$V$5:$V$1000,"Macro",$H$5:$H$1000,"&gt;0")=0,1/COUNTIFS($S$5:$S$1000,$S223,$V$5:$V$1000,"Macro"),IF(AND(ISNUMBER($H223),N($H223)&gt;0),$H223,SUMIFS($H$5:$H$1000,$S$5:$S$1000,$S223,$V$5:$V$1000,"Macro")/COUNTIFS($S$5:$S$1000,$S223,$V$5:$V$1000,"Macro",$H$5:$H$1000,"&gt;0"))/(COUNTIFS($S$5:$S$1000,$S223,$V$5:$V$1000,"Macro")*SUMIFS($H$5:$H$1000,$S$5:$S$1000,$S223,$V$5:$V$1000,"Macro")/COUNTIFS($S$5:$S$1000,$S223,$V$5:$V$1000,"Macro",$H$5:$H$1000,"&gt;0"))))</f>
        <v/>
      </c>
      <c r="AH223" s="62" t="n"/>
      <c r="AI223" s="62" t="n"/>
      <c r="AJ223" s="62" t="n"/>
      <c r="AK223" s="62" t="n"/>
      <c r="AL223" s="62">
        <f>IF(LEFT($C223,11)="[Jefatura] ",IFERROR(MATCH("Asistente Técnico de Riesgo|"&amp;MID($C223,12,500),rDname_ADM,0),0),"")</f>
        <v/>
      </c>
      <c r="AM223" s="62">
        <f>IF(N($AL223)&gt;0,INDEX(rIni_ADM,$AL223),IF(ISNUMBER($E223),$E223,""))</f>
        <v/>
      </c>
      <c r="AN223" s="62">
        <f>IF(N($AL223)&gt;0,INDEX(rLim_ADM,$AL223),IF(ISNUMBER($F223),$F223,""))</f>
        <v/>
      </c>
    </row>
    <row r="224">
      <c r="A224" s="56">
        <f>IF(NOT((COUNTA($B224:$D224)+COUNTA($G224:$L224)+COUNTA($Q224))&gt;0),"",IF($V224="Macro",COUNTIFS($V$5:$V224,"Macro",$S$5:$S224,$S224),IF(N($U224)=0,"?",COUNTIFS(INDEX($V$5:$V$1000,1):INDEX($V$5:$V$1000,$U224-4),"Macro",INDEX($S$5:$S$1000,1):INDEX($S$5:$S$1000,$U224-4),INDEX($S$5:$S$1000,$U224-4))&amp;"."&amp;COUNTIFS($U$5:$U224,$U224,$V$5:$V224,"Sub"))))</f>
        <v/>
      </c>
      <c r="B224" s="57" t="n"/>
      <c r="C224" s="58" t="n"/>
      <c r="D224" s="58" t="n"/>
      <c r="E224" s="59">
        <f>IF(N($AL224)&gt;0,INDEX(rIni_ADM,$AL224),"")</f>
        <v/>
      </c>
      <c r="F224" s="59">
        <f>IF(N($AL224)&gt;0,INDEX(rLim_ADM,$AL224),"")</f>
        <v/>
      </c>
      <c r="G224" s="59" t="n"/>
      <c r="H224" s="60" t="n"/>
      <c r="I224" s="60" t="n"/>
      <c r="J224" s="60" t="n"/>
      <c r="K224" s="60" t="n"/>
      <c r="L224" s="60" t="n"/>
      <c r="M224" s="61">
        <f>IF(NOT((COUNTA($B224:$D224)+COUNTA($G224:$L224)+COUNTA($Q224))&gt;0),"",IF(ISNUMBER($G224),1,IF(N($W224)&gt;0,AVERAGEIFS($X$5:$X$1000,$U$5:$U$1000,ROW(),$V$5:$V$1000,"Sub"),$X224)))</f>
        <v/>
      </c>
      <c r="N224" s="56">
        <f>IF($M224="","",IF($M224&gt;=1,"Completado",IF($M224&gt;0,"En curso","Pendiente")))</f>
        <v/>
      </c>
      <c r="O224" s="56">
        <f>IF(NOT((COUNTA($B224:$D224)+COUNTA($G224:$L224)+COUNTA($Q224))&gt;0),"",IF(ISNUMBER($G224),IF(AND(ISNUMBER($AN224),$G224&gt;$AN224),"Cumplida con "&amp;($G224-$AN224)&amp;IF($G224-$AN224=1," día"," días")&amp;" de retraso","Cumplida"),IF(N($M224)&gt;=1,"Cumplida",IF(NOT(ISNUMBER($AN224)),"Sin fecha límite",IF($AN224&lt;FechaRef,"Vencida hace "&amp;(FechaRef-$AN224)&amp;IF(FechaRef-$AN224=1," día"," días"),IF($AN224=FechaRef,"Vence hoy",IF($AN224-FechaRef&lt;=DiasAlerta,"Vence en "&amp;($AN224-FechaRef)&amp;IF($AN224-FechaRef=1," día"," días"),"En plazo")))))))</f>
        <v/>
      </c>
      <c r="P224" s="62" t="n"/>
      <c r="Q224" s="58" t="n"/>
      <c r="R224" s="63">
        <f>IF(NOT((COUNTA($B224:$D224)+COUNTA($G224:$L224)+COUNTA($Q224))&gt;0),"",IF((IF($C224="","Falta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",""))="","✔ OK","⚠ "&amp;LEFT(IF($C224="","Falta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",""),LEN(IF($C224="","Falta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",""))-3)))</f>
        <v/>
      </c>
      <c r="S224" s="64">
        <f>IF(NOT((COUNTA($B224:$D224)+COUNTA($G224:$L224)+COUNTA($Q224))&gt;0),"",IF(AND($V224="Sub",N($U224)&gt;0),IF(ISNUMBER(INDEX($AM$5:$AM$1000,$U224-4)),DATE(YEAR(INDEX($AM$5:$AM$1000,$U224-4)),MONTH(INDEX($AM$5:$AM$1000,$U224-4)),1),IF(ISNUMBER(INDEX($AN$5:$AN$1000,$U224-4)),DATE(YEAR(INDEX($AN$5:$AN$1000,$U224-4)),MONTH(INDEX($AN$5:$AN$1000,$U224-4)),1),MesCiclo)),IF(ISNUMBER($AM224),DATE(YEAR($AM224),MONTH($AM224),1),IF(ISNUMBER($AN224),DATE(YEAR($AN224),MONTH($AN224),1),MesCiclo))))</f>
        <v/>
      </c>
      <c r="T224" s="62">
        <f>IF(OR($S224="",$S224&lt;&gt;MesCiclo),"",COUNTIF($S$5:$S224,MesCiclo))</f>
        <v/>
      </c>
      <c r="U224" s="62">
        <f>IF($V224="","",IF($V224="Macro",ROW(),IFERROR(LOOKUP(2,1/($V$5:$V224="Macro"),ROW($V$5:$V224)),0)))</f>
        <v/>
      </c>
      <c r="V224" s="62">
        <f>IF(NOT((COUNTA($B224:$D224)+COUNTA($G224:$L224)+COUNTA($Q224))&gt;0),"",IF($B224="Subactividad","Sub","Macro"))</f>
        <v/>
      </c>
      <c r="W224" s="62">
        <f>IF($V224="Macro",COUNTIFS($U$5:$U$1000,ROW(),$V$5:$V$1000,"Sub"),"")</f>
        <v/>
      </c>
      <c r="X224" s="62">
        <f>IF($V224="","",IF(ISNUMBER($G224),1,IFERROR(LOOKUP(2,1/($I224:$L224&lt;&gt;""),$I224:$L224),0)))</f>
        <v/>
      </c>
      <c r="Y224" s="62">
        <f>IF($V224="","",IF(AND(ISNUMBER($G224),$G224&lt;=IF($S224=MesCiclo,InicioCiclo,$S224+MOD(2-WEEKDAY($S224),7))+6),1,IF(ISNUMBER($I224),$I224,0)))</f>
        <v/>
      </c>
      <c r="Z224" s="62">
        <f>IF($V224="","",IF(AND(ISNUMBER($G224),$G224&lt;=IF($S224=MesCiclo,InicioCiclo,$S224+MOD(2-WEEKDAY($S224),7))+13),1,IF(ISNUMBER($J224),$J224,$Y224)))</f>
        <v/>
      </c>
      <c r="AA224" s="62">
        <f>IF($V224="","",IF(AND(ISNUMBER($G224),$G224&lt;=IF($S224=MesCiclo,InicioCiclo,$S224+MOD(2-WEEKDAY($S224),7))+20),1,IF(ISNUMBER($K224),$K224,$Z224)))</f>
        <v/>
      </c>
      <c r="AB224" s="62">
        <f>IF($V224="","",IF(AND(ISNUMBER($G224),$G224&lt;=IF($S224=MesCiclo,InicioCiclo,$S224+MOD(2-WEEKDAY($S224),7))+27),1,IF(ISNUMBER($L224),$L224,$AA224)))</f>
        <v/>
      </c>
      <c r="AC224" s="62">
        <f>IF($V224="","",IF(AND(ISNUMBER($G224),$G224&lt;=IF($S224=MesCiclo,InicioCiclo,$S224+MOD(2-WEEKDAY($S224),7))+6),1,IF(N($W224)&gt;0,AVERAGEIFS($Y$5:$Y$1000,$U$5:$U$1000,ROW(),$V$5:$V$1000,"Sub"),$Y224)))</f>
        <v/>
      </c>
      <c r="AD224" s="62">
        <f>IF($V224="","",IF(AND(ISNUMBER($G224),$G224&lt;=IF($S224=MesCiclo,InicioCiclo,$S224+MOD(2-WEEKDAY($S224),7))+13),1,IF(N($W224)&gt;0,AVERAGEIFS($Z$5:$Z$1000,$U$5:$U$1000,ROW(),$V$5:$V$1000,"Sub"),$Z224)))</f>
        <v/>
      </c>
      <c r="AE224" s="62">
        <f>IF($V224="","",IF(AND(ISNUMBER($G224),$G224&lt;=IF($S224=MesCiclo,InicioCiclo,$S224+MOD(2-WEEKDAY($S224),7))+20),1,IF(N($W224)&gt;0,AVERAGEIFS($AA$5:$AA$1000,$U$5:$U$1000,ROW(),$V$5:$V$1000,"Sub"),$AA224)))</f>
        <v/>
      </c>
      <c r="AF224" s="62">
        <f>IF($V224="","",IF(AND(ISNUMBER($G224),$G224&lt;=IF($S224=MesCiclo,InicioCiclo,$S224+MOD(2-WEEKDAY($S224),7))+27),1,IF(N($W224)&gt;0,AVERAGEIFS($AB$5:$AB$1000,$U$5:$U$1000,ROW(),$V$5:$V$1000,"Sub"),$AB224)))</f>
        <v/>
      </c>
      <c r="AG224" s="62">
        <f>IF($V224&lt;&gt;"Macro","",IF(COUNTIFS($S$5:$S$1000,$S224,$V$5:$V$1000,"Macro",$H$5:$H$1000,"&gt;0")=0,1/COUNTIFS($S$5:$S$1000,$S224,$V$5:$V$1000,"Macro"),IF(AND(ISNUMBER($H224),N($H224)&gt;0),$H224,SUMIFS($H$5:$H$1000,$S$5:$S$1000,$S224,$V$5:$V$1000,"Macro")/COUNTIFS($S$5:$S$1000,$S224,$V$5:$V$1000,"Macro",$H$5:$H$1000,"&gt;0"))/(COUNTIFS($S$5:$S$1000,$S224,$V$5:$V$1000,"Macro")*SUMIFS($H$5:$H$1000,$S$5:$S$1000,$S224,$V$5:$V$1000,"Macro")/COUNTIFS($S$5:$S$1000,$S224,$V$5:$V$1000,"Macro",$H$5:$H$1000,"&gt;0"))))</f>
        <v/>
      </c>
      <c r="AH224" s="62" t="n"/>
      <c r="AI224" s="62" t="n"/>
      <c r="AJ224" s="62" t="n"/>
      <c r="AK224" s="62" t="n"/>
      <c r="AL224" s="62">
        <f>IF(LEFT($C224,11)="[Jefatura] ",IFERROR(MATCH("Asistente Técnico de Riesgo|"&amp;MID($C224,12,500),rDname_ADM,0),0),"")</f>
        <v/>
      </c>
      <c r="AM224" s="62">
        <f>IF(N($AL224)&gt;0,INDEX(rIni_ADM,$AL224),IF(ISNUMBER($E224),$E224,""))</f>
        <v/>
      </c>
      <c r="AN224" s="62">
        <f>IF(N($AL224)&gt;0,INDEX(rLim_ADM,$AL224),IF(ISNUMBER($F224),$F224,""))</f>
        <v/>
      </c>
    </row>
    <row r="225">
      <c r="A225" s="56">
        <f>IF(NOT((COUNTA($B225:$D225)+COUNTA($G225:$L225)+COUNTA($Q225))&gt;0),"",IF($V225="Macro",COUNTIFS($V$5:$V225,"Macro",$S$5:$S225,$S225),IF(N($U225)=0,"?",COUNTIFS(INDEX($V$5:$V$1000,1):INDEX($V$5:$V$1000,$U225-4),"Macro",INDEX($S$5:$S$1000,1):INDEX($S$5:$S$1000,$U225-4),INDEX($S$5:$S$1000,$U225-4))&amp;"."&amp;COUNTIFS($U$5:$U225,$U225,$V$5:$V225,"Sub"))))</f>
        <v/>
      </c>
      <c r="B225" s="57" t="n"/>
      <c r="C225" s="58" t="n"/>
      <c r="D225" s="58" t="n"/>
      <c r="E225" s="59">
        <f>IF(N($AL225)&gt;0,INDEX(rIni_ADM,$AL225),"")</f>
        <v/>
      </c>
      <c r="F225" s="59">
        <f>IF(N($AL225)&gt;0,INDEX(rLim_ADM,$AL225),"")</f>
        <v/>
      </c>
      <c r="G225" s="59" t="n"/>
      <c r="H225" s="60" t="n"/>
      <c r="I225" s="60" t="n"/>
      <c r="J225" s="60" t="n"/>
      <c r="K225" s="60" t="n"/>
      <c r="L225" s="60" t="n"/>
      <c r="M225" s="61">
        <f>IF(NOT((COUNTA($B225:$D225)+COUNTA($G225:$L225)+COUNTA($Q225))&gt;0),"",IF(ISNUMBER($G225),1,IF(N($W225)&gt;0,AVERAGEIFS($X$5:$X$1000,$U$5:$U$1000,ROW(),$V$5:$V$1000,"Sub"),$X225)))</f>
        <v/>
      </c>
      <c r="N225" s="56">
        <f>IF($M225="","",IF($M225&gt;=1,"Completado",IF($M225&gt;0,"En curso","Pendiente")))</f>
        <v/>
      </c>
      <c r="O225" s="56">
        <f>IF(NOT((COUNTA($B225:$D225)+COUNTA($G225:$L225)+COUNTA($Q225))&gt;0),"",IF(ISNUMBER($G225),IF(AND(ISNUMBER($AN225),$G225&gt;$AN225),"Cumplida con "&amp;($G225-$AN225)&amp;IF($G225-$AN225=1," día"," días")&amp;" de retraso","Cumplida"),IF(N($M225)&gt;=1,"Cumplida",IF(NOT(ISNUMBER($AN225)),"Sin fecha límite",IF($AN225&lt;FechaRef,"Vencida hace "&amp;(FechaRef-$AN225)&amp;IF(FechaRef-$AN225=1," día"," días"),IF($AN225=FechaRef,"Vence hoy",IF($AN225-FechaRef&lt;=DiasAlerta,"Vence en "&amp;($AN225-FechaRef)&amp;IF($AN225-FechaRef=1," día"," días"),"En plazo")))))))</f>
        <v/>
      </c>
      <c r="P225" s="62" t="n"/>
      <c r="Q225" s="58" t="n"/>
      <c r="R225" s="63">
        <f>IF(NOT((COUNTA($B225:$D225)+COUNTA($G225:$L225)+COUNTA($Q225))&gt;0),"",IF((IF($C225="","Falta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",""))="","✔ OK","⚠ "&amp;LEFT(IF($C225="","Falta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",""),LEN(IF($C225="","Falta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",""))-3)))</f>
        <v/>
      </c>
      <c r="S225" s="64">
        <f>IF(NOT((COUNTA($B225:$D225)+COUNTA($G225:$L225)+COUNTA($Q225))&gt;0),"",IF(AND($V225="Sub",N($U225)&gt;0),IF(ISNUMBER(INDEX($AM$5:$AM$1000,$U225-4)),DATE(YEAR(INDEX($AM$5:$AM$1000,$U225-4)),MONTH(INDEX($AM$5:$AM$1000,$U225-4)),1),IF(ISNUMBER(INDEX($AN$5:$AN$1000,$U225-4)),DATE(YEAR(INDEX($AN$5:$AN$1000,$U225-4)),MONTH(INDEX($AN$5:$AN$1000,$U225-4)),1),MesCiclo)),IF(ISNUMBER($AM225),DATE(YEAR($AM225),MONTH($AM225),1),IF(ISNUMBER($AN225),DATE(YEAR($AN225),MONTH($AN225),1),MesCiclo))))</f>
        <v/>
      </c>
      <c r="T225" s="62">
        <f>IF(OR($S225="",$S225&lt;&gt;MesCiclo),"",COUNTIF($S$5:$S225,MesCiclo))</f>
        <v/>
      </c>
      <c r="U225" s="62">
        <f>IF($V225="","",IF($V225="Macro",ROW(),IFERROR(LOOKUP(2,1/($V$5:$V225="Macro"),ROW($V$5:$V225)),0)))</f>
        <v/>
      </c>
      <c r="V225" s="62">
        <f>IF(NOT((COUNTA($B225:$D225)+COUNTA($G225:$L225)+COUNTA($Q225))&gt;0),"",IF($B225="Subactividad","Sub","Macro"))</f>
        <v/>
      </c>
      <c r="W225" s="62">
        <f>IF($V225="Macro",COUNTIFS($U$5:$U$1000,ROW(),$V$5:$V$1000,"Sub"),"")</f>
        <v/>
      </c>
      <c r="X225" s="62">
        <f>IF($V225="","",IF(ISNUMBER($G225),1,IFERROR(LOOKUP(2,1/($I225:$L225&lt;&gt;""),$I225:$L225),0)))</f>
        <v/>
      </c>
      <c r="Y225" s="62">
        <f>IF($V225="","",IF(AND(ISNUMBER($G225),$G225&lt;=IF($S225=MesCiclo,InicioCiclo,$S225+MOD(2-WEEKDAY($S225),7))+6),1,IF(ISNUMBER($I225),$I225,0)))</f>
        <v/>
      </c>
      <c r="Z225" s="62">
        <f>IF($V225="","",IF(AND(ISNUMBER($G225),$G225&lt;=IF($S225=MesCiclo,InicioCiclo,$S225+MOD(2-WEEKDAY($S225),7))+13),1,IF(ISNUMBER($J225),$J225,$Y225)))</f>
        <v/>
      </c>
      <c r="AA225" s="62">
        <f>IF($V225="","",IF(AND(ISNUMBER($G225),$G225&lt;=IF($S225=MesCiclo,InicioCiclo,$S225+MOD(2-WEEKDAY($S225),7))+20),1,IF(ISNUMBER($K225),$K225,$Z225)))</f>
        <v/>
      </c>
      <c r="AB225" s="62">
        <f>IF($V225="","",IF(AND(ISNUMBER($G225),$G225&lt;=IF($S225=MesCiclo,InicioCiclo,$S225+MOD(2-WEEKDAY($S225),7))+27),1,IF(ISNUMBER($L225),$L225,$AA225)))</f>
        <v/>
      </c>
      <c r="AC225" s="62">
        <f>IF($V225="","",IF(AND(ISNUMBER($G225),$G225&lt;=IF($S225=MesCiclo,InicioCiclo,$S225+MOD(2-WEEKDAY($S225),7))+6),1,IF(N($W225)&gt;0,AVERAGEIFS($Y$5:$Y$1000,$U$5:$U$1000,ROW(),$V$5:$V$1000,"Sub"),$Y225)))</f>
        <v/>
      </c>
      <c r="AD225" s="62">
        <f>IF($V225="","",IF(AND(ISNUMBER($G225),$G225&lt;=IF($S225=MesCiclo,InicioCiclo,$S225+MOD(2-WEEKDAY($S225),7))+13),1,IF(N($W225)&gt;0,AVERAGEIFS($Z$5:$Z$1000,$U$5:$U$1000,ROW(),$V$5:$V$1000,"Sub"),$Z225)))</f>
        <v/>
      </c>
      <c r="AE225" s="62">
        <f>IF($V225="","",IF(AND(ISNUMBER($G225),$G225&lt;=IF($S225=MesCiclo,InicioCiclo,$S225+MOD(2-WEEKDAY($S225),7))+20),1,IF(N($W225)&gt;0,AVERAGEIFS($AA$5:$AA$1000,$U$5:$U$1000,ROW(),$V$5:$V$1000,"Sub"),$AA225)))</f>
        <v/>
      </c>
      <c r="AF225" s="62">
        <f>IF($V225="","",IF(AND(ISNUMBER($G225),$G225&lt;=IF($S225=MesCiclo,InicioCiclo,$S225+MOD(2-WEEKDAY($S225),7))+27),1,IF(N($W225)&gt;0,AVERAGEIFS($AB$5:$AB$1000,$U$5:$U$1000,ROW(),$V$5:$V$1000,"Sub"),$AB225)))</f>
        <v/>
      </c>
      <c r="AG225" s="62">
        <f>IF($V225&lt;&gt;"Macro","",IF(COUNTIFS($S$5:$S$1000,$S225,$V$5:$V$1000,"Macro",$H$5:$H$1000,"&gt;0")=0,1/COUNTIFS($S$5:$S$1000,$S225,$V$5:$V$1000,"Macro"),IF(AND(ISNUMBER($H225),N($H225)&gt;0),$H225,SUMIFS($H$5:$H$1000,$S$5:$S$1000,$S225,$V$5:$V$1000,"Macro")/COUNTIFS($S$5:$S$1000,$S225,$V$5:$V$1000,"Macro",$H$5:$H$1000,"&gt;0"))/(COUNTIFS($S$5:$S$1000,$S225,$V$5:$V$1000,"Macro")*SUMIFS($H$5:$H$1000,$S$5:$S$1000,$S225,$V$5:$V$1000,"Macro")/COUNTIFS($S$5:$S$1000,$S225,$V$5:$V$1000,"Macro",$H$5:$H$1000,"&gt;0"))))</f>
        <v/>
      </c>
      <c r="AH225" s="62" t="n"/>
      <c r="AI225" s="62" t="n"/>
      <c r="AJ225" s="62" t="n"/>
      <c r="AK225" s="62" t="n"/>
      <c r="AL225" s="62">
        <f>IF(LEFT($C225,11)="[Jefatura] ",IFERROR(MATCH("Asistente Técnico de Riesgo|"&amp;MID($C225,12,500),rDname_ADM,0),0),"")</f>
        <v/>
      </c>
      <c r="AM225" s="62">
        <f>IF(N($AL225)&gt;0,INDEX(rIni_ADM,$AL225),IF(ISNUMBER($E225),$E225,""))</f>
        <v/>
      </c>
      <c r="AN225" s="62">
        <f>IF(N($AL225)&gt;0,INDEX(rLim_ADM,$AL225),IF(ISNUMBER($F225),$F225,""))</f>
        <v/>
      </c>
    </row>
    <row r="226">
      <c r="A226" s="56">
        <f>IF(NOT((COUNTA($B226:$D226)+COUNTA($G226:$L226)+COUNTA($Q226))&gt;0),"",IF($V226="Macro",COUNTIFS($V$5:$V226,"Macro",$S$5:$S226,$S226),IF(N($U226)=0,"?",COUNTIFS(INDEX($V$5:$V$1000,1):INDEX($V$5:$V$1000,$U226-4),"Macro",INDEX($S$5:$S$1000,1):INDEX($S$5:$S$1000,$U226-4),INDEX($S$5:$S$1000,$U226-4))&amp;"."&amp;COUNTIFS($U$5:$U226,$U226,$V$5:$V226,"Sub"))))</f>
        <v/>
      </c>
      <c r="B226" s="57" t="n"/>
      <c r="C226" s="58" t="n"/>
      <c r="D226" s="58" t="n"/>
      <c r="E226" s="59">
        <f>IF(N($AL226)&gt;0,INDEX(rIni_ADM,$AL226),"")</f>
        <v/>
      </c>
      <c r="F226" s="59">
        <f>IF(N($AL226)&gt;0,INDEX(rLim_ADM,$AL226),"")</f>
        <v/>
      </c>
      <c r="G226" s="59" t="n"/>
      <c r="H226" s="60" t="n"/>
      <c r="I226" s="60" t="n"/>
      <c r="J226" s="60" t="n"/>
      <c r="K226" s="60" t="n"/>
      <c r="L226" s="60" t="n"/>
      <c r="M226" s="61">
        <f>IF(NOT((COUNTA($B226:$D226)+COUNTA($G226:$L226)+COUNTA($Q226))&gt;0),"",IF(ISNUMBER($G226),1,IF(N($W226)&gt;0,AVERAGEIFS($X$5:$X$1000,$U$5:$U$1000,ROW(),$V$5:$V$1000,"Sub"),$X226)))</f>
        <v/>
      </c>
      <c r="N226" s="56">
        <f>IF($M226="","",IF($M226&gt;=1,"Completado",IF($M226&gt;0,"En curso","Pendiente")))</f>
        <v/>
      </c>
      <c r="O226" s="56">
        <f>IF(NOT((COUNTA($B226:$D226)+COUNTA($G226:$L226)+COUNTA($Q226))&gt;0),"",IF(ISNUMBER($G226),IF(AND(ISNUMBER($AN226),$G226&gt;$AN226),"Cumplida con "&amp;($G226-$AN226)&amp;IF($G226-$AN226=1," día"," días")&amp;" de retraso","Cumplida"),IF(N($M226)&gt;=1,"Cumplida",IF(NOT(ISNUMBER($AN226)),"Sin fecha límite",IF($AN226&lt;FechaRef,"Vencida hace "&amp;(FechaRef-$AN226)&amp;IF(FechaRef-$AN226=1," día"," días"),IF($AN226=FechaRef,"Vence hoy",IF($AN226-FechaRef&lt;=DiasAlerta,"Vence en "&amp;($AN226-FechaRef)&amp;IF($AN226-FechaRef=1," día"," días"),"En plazo")))))))</f>
        <v/>
      </c>
      <c r="P226" s="62" t="n"/>
      <c r="Q226" s="58" t="n"/>
      <c r="R226" s="63">
        <f>IF(NOT((COUNTA($B226:$D226)+COUNTA($G226:$L226)+COUNTA($Q226))&gt;0),"",IF((IF($C226="","Falta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",""))="","✔ OK","⚠ "&amp;LEFT(IF($C226="","Falta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",""),LEN(IF($C226="","Falta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",""))-3)))</f>
        <v/>
      </c>
      <c r="S226" s="64">
        <f>IF(NOT((COUNTA($B226:$D226)+COUNTA($G226:$L226)+COUNTA($Q226))&gt;0),"",IF(AND($V226="Sub",N($U226)&gt;0),IF(ISNUMBER(INDEX($AM$5:$AM$1000,$U226-4)),DATE(YEAR(INDEX($AM$5:$AM$1000,$U226-4)),MONTH(INDEX($AM$5:$AM$1000,$U226-4)),1),IF(ISNUMBER(INDEX($AN$5:$AN$1000,$U226-4)),DATE(YEAR(INDEX($AN$5:$AN$1000,$U226-4)),MONTH(INDEX($AN$5:$AN$1000,$U226-4)),1),MesCiclo)),IF(ISNUMBER($AM226),DATE(YEAR($AM226),MONTH($AM226),1),IF(ISNUMBER($AN226),DATE(YEAR($AN226),MONTH($AN226),1),MesCiclo))))</f>
        <v/>
      </c>
      <c r="T226" s="62">
        <f>IF(OR($S226="",$S226&lt;&gt;MesCiclo),"",COUNTIF($S$5:$S226,MesCiclo))</f>
        <v/>
      </c>
      <c r="U226" s="62">
        <f>IF($V226="","",IF($V226="Macro",ROW(),IFERROR(LOOKUP(2,1/($V$5:$V226="Macro"),ROW($V$5:$V226)),0)))</f>
        <v/>
      </c>
      <c r="V226" s="62">
        <f>IF(NOT((COUNTA($B226:$D226)+COUNTA($G226:$L226)+COUNTA($Q226))&gt;0),"",IF($B226="Subactividad","Sub","Macro"))</f>
        <v/>
      </c>
      <c r="W226" s="62">
        <f>IF($V226="Macro",COUNTIFS($U$5:$U$1000,ROW(),$V$5:$V$1000,"Sub"),"")</f>
        <v/>
      </c>
      <c r="X226" s="62">
        <f>IF($V226="","",IF(ISNUMBER($G226),1,IFERROR(LOOKUP(2,1/($I226:$L226&lt;&gt;""),$I226:$L226),0)))</f>
        <v/>
      </c>
      <c r="Y226" s="62">
        <f>IF($V226="","",IF(AND(ISNUMBER($G226),$G226&lt;=IF($S226=MesCiclo,InicioCiclo,$S226+MOD(2-WEEKDAY($S226),7))+6),1,IF(ISNUMBER($I226),$I226,0)))</f>
        <v/>
      </c>
      <c r="Z226" s="62">
        <f>IF($V226="","",IF(AND(ISNUMBER($G226),$G226&lt;=IF($S226=MesCiclo,InicioCiclo,$S226+MOD(2-WEEKDAY($S226),7))+13),1,IF(ISNUMBER($J226),$J226,$Y226)))</f>
        <v/>
      </c>
      <c r="AA226" s="62">
        <f>IF($V226="","",IF(AND(ISNUMBER($G226),$G226&lt;=IF($S226=MesCiclo,InicioCiclo,$S226+MOD(2-WEEKDAY($S226),7))+20),1,IF(ISNUMBER($K226),$K226,$Z226)))</f>
        <v/>
      </c>
      <c r="AB226" s="62">
        <f>IF($V226="","",IF(AND(ISNUMBER($G226),$G226&lt;=IF($S226=MesCiclo,InicioCiclo,$S226+MOD(2-WEEKDAY($S226),7))+27),1,IF(ISNUMBER($L226),$L226,$AA226)))</f>
        <v/>
      </c>
      <c r="AC226" s="62">
        <f>IF($V226="","",IF(AND(ISNUMBER($G226),$G226&lt;=IF($S226=MesCiclo,InicioCiclo,$S226+MOD(2-WEEKDAY($S226),7))+6),1,IF(N($W226)&gt;0,AVERAGEIFS($Y$5:$Y$1000,$U$5:$U$1000,ROW(),$V$5:$V$1000,"Sub"),$Y226)))</f>
        <v/>
      </c>
      <c r="AD226" s="62">
        <f>IF($V226="","",IF(AND(ISNUMBER($G226),$G226&lt;=IF($S226=MesCiclo,InicioCiclo,$S226+MOD(2-WEEKDAY($S226),7))+13),1,IF(N($W226)&gt;0,AVERAGEIFS($Z$5:$Z$1000,$U$5:$U$1000,ROW(),$V$5:$V$1000,"Sub"),$Z226)))</f>
        <v/>
      </c>
      <c r="AE226" s="62">
        <f>IF($V226="","",IF(AND(ISNUMBER($G226),$G226&lt;=IF($S226=MesCiclo,InicioCiclo,$S226+MOD(2-WEEKDAY($S226),7))+20),1,IF(N($W226)&gt;0,AVERAGEIFS($AA$5:$AA$1000,$U$5:$U$1000,ROW(),$V$5:$V$1000,"Sub"),$AA226)))</f>
        <v/>
      </c>
      <c r="AF226" s="62">
        <f>IF($V226="","",IF(AND(ISNUMBER($G226),$G226&lt;=IF($S226=MesCiclo,InicioCiclo,$S226+MOD(2-WEEKDAY($S226),7))+27),1,IF(N($W226)&gt;0,AVERAGEIFS($AB$5:$AB$1000,$U$5:$U$1000,ROW(),$V$5:$V$1000,"Sub"),$AB226)))</f>
        <v/>
      </c>
      <c r="AG226" s="62">
        <f>IF($V226&lt;&gt;"Macro","",IF(COUNTIFS($S$5:$S$1000,$S226,$V$5:$V$1000,"Macro",$H$5:$H$1000,"&gt;0")=0,1/COUNTIFS($S$5:$S$1000,$S226,$V$5:$V$1000,"Macro"),IF(AND(ISNUMBER($H226),N($H226)&gt;0),$H226,SUMIFS($H$5:$H$1000,$S$5:$S$1000,$S226,$V$5:$V$1000,"Macro")/COUNTIFS($S$5:$S$1000,$S226,$V$5:$V$1000,"Macro",$H$5:$H$1000,"&gt;0"))/(COUNTIFS($S$5:$S$1000,$S226,$V$5:$V$1000,"Macro")*SUMIFS($H$5:$H$1000,$S$5:$S$1000,$S226,$V$5:$V$1000,"Macro")/COUNTIFS($S$5:$S$1000,$S226,$V$5:$V$1000,"Macro",$H$5:$H$1000,"&gt;0"))))</f>
        <v/>
      </c>
      <c r="AH226" s="62" t="n"/>
      <c r="AI226" s="62" t="n"/>
      <c r="AJ226" s="62" t="n"/>
      <c r="AK226" s="62" t="n"/>
      <c r="AL226" s="62">
        <f>IF(LEFT($C226,11)="[Jefatura] ",IFERROR(MATCH("Asistente Técnico de Riesgo|"&amp;MID($C226,12,500),rDname_ADM,0),0),"")</f>
        <v/>
      </c>
      <c r="AM226" s="62">
        <f>IF(N($AL226)&gt;0,INDEX(rIni_ADM,$AL226),IF(ISNUMBER($E226),$E226,""))</f>
        <v/>
      </c>
      <c r="AN226" s="62">
        <f>IF(N($AL226)&gt;0,INDEX(rLim_ADM,$AL226),IF(ISNUMBER($F226),$F226,""))</f>
        <v/>
      </c>
    </row>
    <row r="227">
      <c r="A227" s="56">
        <f>IF(NOT((COUNTA($B227:$D227)+COUNTA($G227:$L227)+COUNTA($Q227))&gt;0),"",IF($V227="Macro",COUNTIFS($V$5:$V227,"Macro",$S$5:$S227,$S227),IF(N($U227)=0,"?",COUNTIFS(INDEX($V$5:$V$1000,1):INDEX($V$5:$V$1000,$U227-4),"Macro",INDEX($S$5:$S$1000,1):INDEX($S$5:$S$1000,$U227-4),INDEX($S$5:$S$1000,$U227-4))&amp;"."&amp;COUNTIFS($U$5:$U227,$U227,$V$5:$V227,"Sub"))))</f>
        <v/>
      </c>
      <c r="B227" s="57" t="n"/>
      <c r="C227" s="58" t="n"/>
      <c r="D227" s="58" t="n"/>
      <c r="E227" s="59">
        <f>IF(N($AL227)&gt;0,INDEX(rIni_ADM,$AL227),"")</f>
        <v/>
      </c>
      <c r="F227" s="59">
        <f>IF(N($AL227)&gt;0,INDEX(rLim_ADM,$AL227),"")</f>
        <v/>
      </c>
      <c r="G227" s="59" t="n"/>
      <c r="H227" s="60" t="n"/>
      <c r="I227" s="60" t="n"/>
      <c r="J227" s="60" t="n"/>
      <c r="K227" s="60" t="n"/>
      <c r="L227" s="60" t="n"/>
      <c r="M227" s="61">
        <f>IF(NOT((COUNTA($B227:$D227)+COUNTA($G227:$L227)+COUNTA($Q227))&gt;0),"",IF(ISNUMBER($G227),1,IF(N($W227)&gt;0,AVERAGEIFS($X$5:$X$1000,$U$5:$U$1000,ROW(),$V$5:$V$1000,"Sub"),$X227)))</f>
        <v/>
      </c>
      <c r="N227" s="56">
        <f>IF($M227="","",IF($M227&gt;=1,"Completado",IF($M227&gt;0,"En curso","Pendiente")))</f>
        <v/>
      </c>
      <c r="O227" s="56">
        <f>IF(NOT((COUNTA($B227:$D227)+COUNTA($G227:$L227)+COUNTA($Q227))&gt;0),"",IF(ISNUMBER($G227),IF(AND(ISNUMBER($AN227),$G227&gt;$AN227),"Cumplida con "&amp;($G227-$AN227)&amp;IF($G227-$AN227=1," día"," días")&amp;" de retraso","Cumplida"),IF(N($M227)&gt;=1,"Cumplida",IF(NOT(ISNUMBER($AN227)),"Sin fecha límite",IF($AN227&lt;FechaRef,"Vencida hace "&amp;(FechaRef-$AN227)&amp;IF(FechaRef-$AN227=1," día"," días"),IF($AN227=FechaRef,"Vence hoy",IF($AN227-FechaRef&lt;=DiasAlerta,"Vence en "&amp;($AN227-FechaRef)&amp;IF($AN227-FechaRef=1," día"," días"),"En plazo")))))))</f>
        <v/>
      </c>
      <c r="P227" s="62" t="n"/>
      <c r="Q227" s="58" t="n"/>
      <c r="R227" s="63">
        <f>IF(NOT((COUNTA($B227:$D227)+COUNTA($G227:$L227)+COUNTA($Q227))&gt;0),"",IF((IF($C227="","Falta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",""))="","✔ OK","⚠ "&amp;LEFT(IF($C227="","Falta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",""),LEN(IF($C227="","Falta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",""))-3)))</f>
        <v/>
      </c>
      <c r="S227" s="64">
        <f>IF(NOT((COUNTA($B227:$D227)+COUNTA($G227:$L227)+COUNTA($Q227))&gt;0),"",IF(AND($V227="Sub",N($U227)&gt;0),IF(ISNUMBER(INDEX($AM$5:$AM$1000,$U227-4)),DATE(YEAR(INDEX($AM$5:$AM$1000,$U227-4)),MONTH(INDEX($AM$5:$AM$1000,$U227-4)),1),IF(ISNUMBER(INDEX($AN$5:$AN$1000,$U227-4)),DATE(YEAR(INDEX($AN$5:$AN$1000,$U227-4)),MONTH(INDEX($AN$5:$AN$1000,$U227-4)),1),MesCiclo)),IF(ISNUMBER($AM227),DATE(YEAR($AM227),MONTH($AM227),1),IF(ISNUMBER($AN227),DATE(YEAR($AN227),MONTH($AN227),1),MesCiclo))))</f>
        <v/>
      </c>
      <c r="T227" s="62">
        <f>IF(OR($S227="",$S227&lt;&gt;MesCiclo),"",COUNTIF($S$5:$S227,MesCiclo))</f>
        <v/>
      </c>
      <c r="U227" s="62">
        <f>IF($V227="","",IF($V227="Macro",ROW(),IFERROR(LOOKUP(2,1/($V$5:$V227="Macro"),ROW($V$5:$V227)),0)))</f>
        <v/>
      </c>
      <c r="V227" s="62">
        <f>IF(NOT((COUNTA($B227:$D227)+COUNTA($G227:$L227)+COUNTA($Q227))&gt;0),"",IF($B227="Subactividad","Sub","Macro"))</f>
        <v/>
      </c>
      <c r="W227" s="62">
        <f>IF($V227="Macro",COUNTIFS($U$5:$U$1000,ROW(),$V$5:$V$1000,"Sub"),"")</f>
        <v/>
      </c>
      <c r="X227" s="62">
        <f>IF($V227="","",IF(ISNUMBER($G227),1,IFERROR(LOOKUP(2,1/($I227:$L227&lt;&gt;""),$I227:$L227),0)))</f>
        <v/>
      </c>
      <c r="Y227" s="62">
        <f>IF($V227="","",IF(AND(ISNUMBER($G227),$G227&lt;=IF($S227=MesCiclo,InicioCiclo,$S227+MOD(2-WEEKDAY($S227),7))+6),1,IF(ISNUMBER($I227),$I227,0)))</f>
        <v/>
      </c>
      <c r="Z227" s="62">
        <f>IF($V227="","",IF(AND(ISNUMBER($G227),$G227&lt;=IF($S227=MesCiclo,InicioCiclo,$S227+MOD(2-WEEKDAY($S227),7))+13),1,IF(ISNUMBER($J227),$J227,$Y227)))</f>
        <v/>
      </c>
      <c r="AA227" s="62">
        <f>IF($V227="","",IF(AND(ISNUMBER($G227),$G227&lt;=IF($S227=MesCiclo,InicioCiclo,$S227+MOD(2-WEEKDAY($S227),7))+20),1,IF(ISNUMBER($K227),$K227,$Z227)))</f>
        <v/>
      </c>
      <c r="AB227" s="62">
        <f>IF($V227="","",IF(AND(ISNUMBER($G227),$G227&lt;=IF($S227=MesCiclo,InicioCiclo,$S227+MOD(2-WEEKDAY($S227),7))+27),1,IF(ISNUMBER($L227),$L227,$AA227)))</f>
        <v/>
      </c>
      <c r="AC227" s="62">
        <f>IF($V227="","",IF(AND(ISNUMBER($G227),$G227&lt;=IF($S227=MesCiclo,InicioCiclo,$S227+MOD(2-WEEKDAY($S227),7))+6),1,IF(N($W227)&gt;0,AVERAGEIFS($Y$5:$Y$1000,$U$5:$U$1000,ROW(),$V$5:$V$1000,"Sub"),$Y227)))</f>
        <v/>
      </c>
      <c r="AD227" s="62">
        <f>IF($V227="","",IF(AND(ISNUMBER($G227),$G227&lt;=IF($S227=MesCiclo,InicioCiclo,$S227+MOD(2-WEEKDAY($S227),7))+13),1,IF(N($W227)&gt;0,AVERAGEIFS($Z$5:$Z$1000,$U$5:$U$1000,ROW(),$V$5:$V$1000,"Sub"),$Z227)))</f>
        <v/>
      </c>
      <c r="AE227" s="62">
        <f>IF($V227="","",IF(AND(ISNUMBER($G227),$G227&lt;=IF($S227=MesCiclo,InicioCiclo,$S227+MOD(2-WEEKDAY($S227),7))+20),1,IF(N($W227)&gt;0,AVERAGEIFS($AA$5:$AA$1000,$U$5:$U$1000,ROW(),$V$5:$V$1000,"Sub"),$AA227)))</f>
        <v/>
      </c>
      <c r="AF227" s="62">
        <f>IF($V227="","",IF(AND(ISNUMBER($G227),$G227&lt;=IF($S227=MesCiclo,InicioCiclo,$S227+MOD(2-WEEKDAY($S227),7))+27),1,IF(N($W227)&gt;0,AVERAGEIFS($AB$5:$AB$1000,$U$5:$U$1000,ROW(),$V$5:$V$1000,"Sub"),$AB227)))</f>
        <v/>
      </c>
      <c r="AG227" s="62">
        <f>IF($V227&lt;&gt;"Macro","",IF(COUNTIFS($S$5:$S$1000,$S227,$V$5:$V$1000,"Macro",$H$5:$H$1000,"&gt;0")=0,1/COUNTIFS($S$5:$S$1000,$S227,$V$5:$V$1000,"Macro"),IF(AND(ISNUMBER($H227),N($H227)&gt;0),$H227,SUMIFS($H$5:$H$1000,$S$5:$S$1000,$S227,$V$5:$V$1000,"Macro")/COUNTIFS($S$5:$S$1000,$S227,$V$5:$V$1000,"Macro",$H$5:$H$1000,"&gt;0"))/(COUNTIFS($S$5:$S$1000,$S227,$V$5:$V$1000,"Macro")*SUMIFS($H$5:$H$1000,$S$5:$S$1000,$S227,$V$5:$V$1000,"Macro")/COUNTIFS($S$5:$S$1000,$S227,$V$5:$V$1000,"Macro",$H$5:$H$1000,"&gt;0"))))</f>
        <v/>
      </c>
      <c r="AH227" s="62" t="n"/>
      <c r="AI227" s="62" t="n"/>
      <c r="AJ227" s="62" t="n"/>
      <c r="AK227" s="62" t="n"/>
      <c r="AL227" s="62">
        <f>IF(LEFT($C227,11)="[Jefatura] ",IFERROR(MATCH("Asistente Técnico de Riesgo|"&amp;MID($C227,12,500),rDname_ADM,0),0),"")</f>
        <v/>
      </c>
      <c r="AM227" s="62">
        <f>IF(N($AL227)&gt;0,INDEX(rIni_ADM,$AL227),IF(ISNUMBER($E227),$E227,""))</f>
        <v/>
      </c>
      <c r="AN227" s="62">
        <f>IF(N($AL227)&gt;0,INDEX(rLim_ADM,$AL227),IF(ISNUMBER($F227),$F227,""))</f>
        <v/>
      </c>
    </row>
    <row r="228">
      <c r="A228" s="56">
        <f>IF(NOT((COUNTA($B228:$D228)+COUNTA($G228:$L228)+COUNTA($Q228))&gt;0),"",IF($V228="Macro",COUNTIFS($V$5:$V228,"Macro",$S$5:$S228,$S228),IF(N($U228)=0,"?",COUNTIFS(INDEX($V$5:$V$1000,1):INDEX($V$5:$V$1000,$U228-4),"Macro",INDEX($S$5:$S$1000,1):INDEX($S$5:$S$1000,$U228-4),INDEX($S$5:$S$1000,$U228-4))&amp;"."&amp;COUNTIFS($U$5:$U228,$U228,$V$5:$V228,"Sub"))))</f>
        <v/>
      </c>
      <c r="B228" s="57" t="n"/>
      <c r="C228" s="58" t="n"/>
      <c r="D228" s="58" t="n"/>
      <c r="E228" s="59">
        <f>IF(N($AL228)&gt;0,INDEX(rIni_ADM,$AL228),"")</f>
        <v/>
      </c>
      <c r="F228" s="59">
        <f>IF(N($AL228)&gt;0,INDEX(rLim_ADM,$AL228),"")</f>
        <v/>
      </c>
      <c r="G228" s="59" t="n"/>
      <c r="H228" s="60" t="n"/>
      <c r="I228" s="60" t="n"/>
      <c r="J228" s="60" t="n"/>
      <c r="K228" s="60" t="n"/>
      <c r="L228" s="60" t="n"/>
      <c r="M228" s="61">
        <f>IF(NOT((COUNTA($B228:$D228)+COUNTA($G228:$L228)+COUNTA($Q228))&gt;0),"",IF(ISNUMBER($G228),1,IF(N($W228)&gt;0,AVERAGEIFS($X$5:$X$1000,$U$5:$U$1000,ROW(),$V$5:$V$1000,"Sub"),$X228)))</f>
        <v/>
      </c>
      <c r="N228" s="56">
        <f>IF($M228="","",IF($M228&gt;=1,"Completado",IF($M228&gt;0,"En curso","Pendiente")))</f>
        <v/>
      </c>
      <c r="O228" s="56">
        <f>IF(NOT((COUNTA($B228:$D228)+COUNTA($G228:$L228)+COUNTA($Q228))&gt;0),"",IF(ISNUMBER($G228),IF(AND(ISNUMBER($AN228),$G228&gt;$AN228),"Cumplida con "&amp;($G228-$AN228)&amp;IF($G228-$AN228=1," día"," días")&amp;" de retraso","Cumplida"),IF(N($M228)&gt;=1,"Cumplida",IF(NOT(ISNUMBER($AN228)),"Sin fecha límite",IF($AN228&lt;FechaRef,"Vencida hace "&amp;(FechaRef-$AN228)&amp;IF(FechaRef-$AN228=1," día"," días"),IF($AN228=FechaRef,"Vence hoy",IF($AN228-FechaRef&lt;=DiasAlerta,"Vence en "&amp;($AN228-FechaRef)&amp;IF($AN228-FechaRef=1," día"," días"),"En plazo")))))))</f>
        <v/>
      </c>
      <c r="P228" s="62" t="n"/>
      <c r="Q228" s="58" t="n"/>
      <c r="R228" s="63">
        <f>IF(NOT((COUNTA($B228:$D228)+COUNTA($G228:$L228)+COUNTA($Q228))&gt;0),"",IF((IF($C228="","Falta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",""))="","✔ OK","⚠ "&amp;LEFT(IF($C228="","Falta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",""),LEN(IF($C228="","Falta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",""))-3)))</f>
        <v/>
      </c>
      <c r="S228" s="64">
        <f>IF(NOT((COUNTA($B228:$D228)+COUNTA($G228:$L228)+COUNTA($Q228))&gt;0),"",IF(AND($V228="Sub",N($U228)&gt;0),IF(ISNUMBER(INDEX($AM$5:$AM$1000,$U228-4)),DATE(YEAR(INDEX($AM$5:$AM$1000,$U228-4)),MONTH(INDEX($AM$5:$AM$1000,$U228-4)),1),IF(ISNUMBER(INDEX($AN$5:$AN$1000,$U228-4)),DATE(YEAR(INDEX($AN$5:$AN$1000,$U228-4)),MONTH(INDEX($AN$5:$AN$1000,$U228-4)),1),MesCiclo)),IF(ISNUMBER($AM228),DATE(YEAR($AM228),MONTH($AM228),1),IF(ISNUMBER($AN228),DATE(YEAR($AN228),MONTH($AN228),1),MesCiclo))))</f>
        <v/>
      </c>
      <c r="T228" s="62">
        <f>IF(OR($S228="",$S228&lt;&gt;MesCiclo),"",COUNTIF($S$5:$S228,MesCiclo))</f>
        <v/>
      </c>
      <c r="U228" s="62">
        <f>IF($V228="","",IF($V228="Macro",ROW(),IFERROR(LOOKUP(2,1/($V$5:$V228="Macro"),ROW($V$5:$V228)),0)))</f>
        <v/>
      </c>
      <c r="V228" s="62">
        <f>IF(NOT((COUNTA($B228:$D228)+COUNTA($G228:$L228)+COUNTA($Q228))&gt;0),"",IF($B228="Subactividad","Sub","Macro"))</f>
        <v/>
      </c>
      <c r="W228" s="62">
        <f>IF($V228="Macro",COUNTIFS($U$5:$U$1000,ROW(),$V$5:$V$1000,"Sub"),"")</f>
        <v/>
      </c>
      <c r="X228" s="62">
        <f>IF($V228="","",IF(ISNUMBER($G228),1,IFERROR(LOOKUP(2,1/($I228:$L228&lt;&gt;""),$I228:$L228),0)))</f>
        <v/>
      </c>
      <c r="Y228" s="62">
        <f>IF($V228="","",IF(AND(ISNUMBER($G228),$G228&lt;=IF($S228=MesCiclo,InicioCiclo,$S228+MOD(2-WEEKDAY($S228),7))+6),1,IF(ISNUMBER($I228),$I228,0)))</f>
        <v/>
      </c>
      <c r="Z228" s="62">
        <f>IF($V228="","",IF(AND(ISNUMBER($G228),$G228&lt;=IF($S228=MesCiclo,InicioCiclo,$S228+MOD(2-WEEKDAY($S228),7))+13),1,IF(ISNUMBER($J228),$J228,$Y228)))</f>
        <v/>
      </c>
      <c r="AA228" s="62">
        <f>IF($V228="","",IF(AND(ISNUMBER($G228),$G228&lt;=IF($S228=MesCiclo,InicioCiclo,$S228+MOD(2-WEEKDAY($S228),7))+20),1,IF(ISNUMBER($K228),$K228,$Z228)))</f>
        <v/>
      </c>
      <c r="AB228" s="62">
        <f>IF($V228="","",IF(AND(ISNUMBER($G228),$G228&lt;=IF($S228=MesCiclo,InicioCiclo,$S228+MOD(2-WEEKDAY($S228),7))+27),1,IF(ISNUMBER($L228),$L228,$AA228)))</f>
        <v/>
      </c>
      <c r="AC228" s="62">
        <f>IF($V228="","",IF(AND(ISNUMBER($G228),$G228&lt;=IF($S228=MesCiclo,InicioCiclo,$S228+MOD(2-WEEKDAY($S228),7))+6),1,IF(N($W228)&gt;0,AVERAGEIFS($Y$5:$Y$1000,$U$5:$U$1000,ROW(),$V$5:$V$1000,"Sub"),$Y228)))</f>
        <v/>
      </c>
      <c r="AD228" s="62">
        <f>IF($V228="","",IF(AND(ISNUMBER($G228),$G228&lt;=IF($S228=MesCiclo,InicioCiclo,$S228+MOD(2-WEEKDAY($S228),7))+13),1,IF(N($W228)&gt;0,AVERAGEIFS($Z$5:$Z$1000,$U$5:$U$1000,ROW(),$V$5:$V$1000,"Sub"),$Z228)))</f>
        <v/>
      </c>
      <c r="AE228" s="62">
        <f>IF($V228="","",IF(AND(ISNUMBER($G228),$G228&lt;=IF($S228=MesCiclo,InicioCiclo,$S228+MOD(2-WEEKDAY($S228),7))+20),1,IF(N($W228)&gt;0,AVERAGEIFS($AA$5:$AA$1000,$U$5:$U$1000,ROW(),$V$5:$V$1000,"Sub"),$AA228)))</f>
        <v/>
      </c>
      <c r="AF228" s="62">
        <f>IF($V228="","",IF(AND(ISNUMBER($G228),$G228&lt;=IF($S228=MesCiclo,InicioCiclo,$S228+MOD(2-WEEKDAY($S228),7))+27),1,IF(N($W228)&gt;0,AVERAGEIFS($AB$5:$AB$1000,$U$5:$U$1000,ROW(),$V$5:$V$1000,"Sub"),$AB228)))</f>
        <v/>
      </c>
      <c r="AG228" s="62">
        <f>IF($V228&lt;&gt;"Macro","",IF(COUNTIFS($S$5:$S$1000,$S228,$V$5:$V$1000,"Macro",$H$5:$H$1000,"&gt;0")=0,1/COUNTIFS($S$5:$S$1000,$S228,$V$5:$V$1000,"Macro"),IF(AND(ISNUMBER($H228),N($H228)&gt;0),$H228,SUMIFS($H$5:$H$1000,$S$5:$S$1000,$S228,$V$5:$V$1000,"Macro")/COUNTIFS($S$5:$S$1000,$S228,$V$5:$V$1000,"Macro",$H$5:$H$1000,"&gt;0"))/(COUNTIFS($S$5:$S$1000,$S228,$V$5:$V$1000,"Macro")*SUMIFS($H$5:$H$1000,$S$5:$S$1000,$S228,$V$5:$V$1000,"Macro")/COUNTIFS($S$5:$S$1000,$S228,$V$5:$V$1000,"Macro",$H$5:$H$1000,"&gt;0"))))</f>
        <v/>
      </c>
      <c r="AH228" s="62" t="n"/>
      <c r="AI228" s="62" t="n"/>
      <c r="AJ228" s="62" t="n"/>
      <c r="AK228" s="62" t="n"/>
      <c r="AL228" s="62">
        <f>IF(LEFT($C228,11)="[Jefatura] ",IFERROR(MATCH("Asistente Técnico de Riesgo|"&amp;MID($C228,12,500),rDname_ADM,0),0),"")</f>
        <v/>
      </c>
      <c r="AM228" s="62">
        <f>IF(N($AL228)&gt;0,INDEX(rIni_ADM,$AL228),IF(ISNUMBER($E228),$E228,""))</f>
        <v/>
      </c>
      <c r="AN228" s="62">
        <f>IF(N($AL228)&gt;0,INDEX(rLim_ADM,$AL228),IF(ISNUMBER($F228),$F228,""))</f>
        <v/>
      </c>
    </row>
    <row r="229">
      <c r="A229" s="56">
        <f>IF(NOT((COUNTA($B229:$D229)+COUNTA($G229:$L229)+COUNTA($Q229))&gt;0),"",IF($V229="Macro",COUNTIFS($V$5:$V229,"Macro",$S$5:$S229,$S229),IF(N($U229)=0,"?",COUNTIFS(INDEX($V$5:$V$1000,1):INDEX($V$5:$V$1000,$U229-4),"Macro",INDEX($S$5:$S$1000,1):INDEX($S$5:$S$1000,$U229-4),INDEX($S$5:$S$1000,$U229-4))&amp;"."&amp;COUNTIFS($U$5:$U229,$U229,$V$5:$V229,"Sub"))))</f>
        <v/>
      </c>
      <c r="B229" s="57" t="n"/>
      <c r="C229" s="58" t="n"/>
      <c r="D229" s="58" t="n"/>
      <c r="E229" s="59">
        <f>IF(N($AL229)&gt;0,INDEX(rIni_ADM,$AL229),"")</f>
        <v/>
      </c>
      <c r="F229" s="59">
        <f>IF(N($AL229)&gt;0,INDEX(rLim_ADM,$AL229),"")</f>
        <v/>
      </c>
      <c r="G229" s="59" t="n"/>
      <c r="H229" s="60" t="n"/>
      <c r="I229" s="60" t="n"/>
      <c r="J229" s="60" t="n"/>
      <c r="K229" s="60" t="n"/>
      <c r="L229" s="60" t="n"/>
      <c r="M229" s="61">
        <f>IF(NOT((COUNTA($B229:$D229)+COUNTA($G229:$L229)+COUNTA($Q229))&gt;0),"",IF(ISNUMBER($G229),1,IF(N($W229)&gt;0,AVERAGEIFS($X$5:$X$1000,$U$5:$U$1000,ROW(),$V$5:$V$1000,"Sub"),$X229)))</f>
        <v/>
      </c>
      <c r="N229" s="56">
        <f>IF($M229="","",IF($M229&gt;=1,"Completado",IF($M229&gt;0,"En curso","Pendiente")))</f>
        <v/>
      </c>
      <c r="O229" s="56">
        <f>IF(NOT((COUNTA($B229:$D229)+COUNTA($G229:$L229)+COUNTA($Q229))&gt;0),"",IF(ISNUMBER($G229),IF(AND(ISNUMBER($AN229),$G229&gt;$AN229),"Cumplida con "&amp;($G229-$AN229)&amp;IF($G229-$AN229=1," día"," días")&amp;" de retraso","Cumplida"),IF(N($M229)&gt;=1,"Cumplida",IF(NOT(ISNUMBER($AN229)),"Sin fecha límite",IF($AN229&lt;FechaRef,"Vencida hace "&amp;(FechaRef-$AN229)&amp;IF(FechaRef-$AN229=1," día"," días"),IF($AN229=FechaRef,"Vence hoy",IF($AN229-FechaRef&lt;=DiasAlerta,"Vence en "&amp;($AN229-FechaRef)&amp;IF($AN229-FechaRef=1," día"," días"),"En plazo")))))))</f>
        <v/>
      </c>
      <c r="P229" s="62" t="n"/>
      <c r="Q229" s="58" t="n"/>
      <c r="R229" s="63">
        <f>IF(NOT((COUNTA($B229:$D229)+COUNTA($G229:$L229)+COUNTA($Q229))&gt;0),"",IF((IF($C229="","Falta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",""))="","✔ OK","⚠ "&amp;LEFT(IF($C229="","Falta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",""),LEN(IF($C229="","Falta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",""))-3)))</f>
        <v/>
      </c>
      <c r="S229" s="64">
        <f>IF(NOT((COUNTA($B229:$D229)+COUNTA($G229:$L229)+COUNTA($Q229))&gt;0),"",IF(AND($V229="Sub",N($U229)&gt;0),IF(ISNUMBER(INDEX($AM$5:$AM$1000,$U229-4)),DATE(YEAR(INDEX($AM$5:$AM$1000,$U229-4)),MONTH(INDEX($AM$5:$AM$1000,$U229-4)),1),IF(ISNUMBER(INDEX($AN$5:$AN$1000,$U229-4)),DATE(YEAR(INDEX($AN$5:$AN$1000,$U229-4)),MONTH(INDEX($AN$5:$AN$1000,$U229-4)),1),MesCiclo)),IF(ISNUMBER($AM229),DATE(YEAR($AM229),MONTH($AM229),1),IF(ISNUMBER($AN229),DATE(YEAR($AN229),MONTH($AN229),1),MesCiclo))))</f>
        <v/>
      </c>
      <c r="T229" s="62">
        <f>IF(OR($S229="",$S229&lt;&gt;MesCiclo),"",COUNTIF($S$5:$S229,MesCiclo))</f>
        <v/>
      </c>
      <c r="U229" s="62">
        <f>IF($V229="","",IF($V229="Macro",ROW(),IFERROR(LOOKUP(2,1/($V$5:$V229="Macro"),ROW($V$5:$V229)),0)))</f>
        <v/>
      </c>
      <c r="V229" s="62">
        <f>IF(NOT((COUNTA($B229:$D229)+COUNTA($G229:$L229)+COUNTA($Q229))&gt;0),"",IF($B229="Subactividad","Sub","Macro"))</f>
        <v/>
      </c>
      <c r="W229" s="62">
        <f>IF($V229="Macro",COUNTIFS($U$5:$U$1000,ROW(),$V$5:$V$1000,"Sub"),"")</f>
        <v/>
      </c>
      <c r="X229" s="62">
        <f>IF($V229="","",IF(ISNUMBER($G229),1,IFERROR(LOOKUP(2,1/($I229:$L229&lt;&gt;""),$I229:$L229),0)))</f>
        <v/>
      </c>
      <c r="Y229" s="62">
        <f>IF($V229="","",IF(AND(ISNUMBER($G229),$G229&lt;=IF($S229=MesCiclo,InicioCiclo,$S229+MOD(2-WEEKDAY($S229),7))+6),1,IF(ISNUMBER($I229),$I229,0)))</f>
        <v/>
      </c>
      <c r="Z229" s="62">
        <f>IF($V229="","",IF(AND(ISNUMBER($G229),$G229&lt;=IF($S229=MesCiclo,InicioCiclo,$S229+MOD(2-WEEKDAY($S229),7))+13),1,IF(ISNUMBER($J229),$J229,$Y229)))</f>
        <v/>
      </c>
      <c r="AA229" s="62">
        <f>IF($V229="","",IF(AND(ISNUMBER($G229),$G229&lt;=IF($S229=MesCiclo,InicioCiclo,$S229+MOD(2-WEEKDAY($S229),7))+20),1,IF(ISNUMBER($K229),$K229,$Z229)))</f>
        <v/>
      </c>
      <c r="AB229" s="62">
        <f>IF($V229="","",IF(AND(ISNUMBER($G229),$G229&lt;=IF($S229=MesCiclo,InicioCiclo,$S229+MOD(2-WEEKDAY($S229),7))+27),1,IF(ISNUMBER($L229),$L229,$AA229)))</f>
        <v/>
      </c>
      <c r="AC229" s="62">
        <f>IF($V229="","",IF(AND(ISNUMBER($G229),$G229&lt;=IF($S229=MesCiclo,InicioCiclo,$S229+MOD(2-WEEKDAY($S229),7))+6),1,IF(N($W229)&gt;0,AVERAGEIFS($Y$5:$Y$1000,$U$5:$U$1000,ROW(),$V$5:$V$1000,"Sub"),$Y229)))</f>
        <v/>
      </c>
      <c r="AD229" s="62">
        <f>IF($V229="","",IF(AND(ISNUMBER($G229),$G229&lt;=IF($S229=MesCiclo,InicioCiclo,$S229+MOD(2-WEEKDAY($S229),7))+13),1,IF(N($W229)&gt;0,AVERAGEIFS($Z$5:$Z$1000,$U$5:$U$1000,ROW(),$V$5:$V$1000,"Sub"),$Z229)))</f>
        <v/>
      </c>
      <c r="AE229" s="62">
        <f>IF($V229="","",IF(AND(ISNUMBER($G229),$G229&lt;=IF($S229=MesCiclo,InicioCiclo,$S229+MOD(2-WEEKDAY($S229),7))+20),1,IF(N($W229)&gt;0,AVERAGEIFS($AA$5:$AA$1000,$U$5:$U$1000,ROW(),$V$5:$V$1000,"Sub"),$AA229)))</f>
        <v/>
      </c>
      <c r="AF229" s="62">
        <f>IF($V229="","",IF(AND(ISNUMBER($G229),$G229&lt;=IF($S229=MesCiclo,InicioCiclo,$S229+MOD(2-WEEKDAY($S229),7))+27),1,IF(N($W229)&gt;0,AVERAGEIFS($AB$5:$AB$1000,$U$5:$U$1000,ROW(),$V$5:$V$1000,"Sub"),$AB229)))</f>
        <v/>
      </c>
      <c r="AG229" s="62">
        <f>IF($V229&lt;&gt;"Macro","",IF(COUNTIFS($S$5:$S$1000,$S229,$V$5:$V$1000,"Macro",$H$5:$H$1000,"&gt;0")=0,1/COUNTIFS($S$5:$S$1000,$S229,$V$5:$V$1000,"Macro"),IF(AND(ISNUMBER($H229),N($H229)&gt;0),$H229,SUMIFS($H$5:$H$1000,$S$5:$S$1000,$S229,$V$5:$V$1000,"Macro")/COUNTIFS($S$5:$S$1000,$S229,$V$5:$V$1000,"Macro",$H$5:$H$1000,"&gt;0"))/(COUNTIFS($S$5:$S$1000,$S229,$V$5:$V$1000,"Macro")*SUMIFS($H$5:$H$1000,$S$5:$S$1000,$S229,$V$5:$V$1000,"Macro")/COUNTIFS($S$5:$S$1000,$S229,$V$5:$V$1000,"Macro",$H$5:$H$1000,"&gt;0"))))</f>
        <v/>
      </c>
      <c r="AH229" s="62" t="n"/>
      <c r="AI229" s="62" t="n"/>
      <c r="AJ229" s="62" t="n"/>
      <c r="AK229" s="62" t="n"/>
      <c r="AL229" s="62">
        <f>IF(LEFT($C229,11)="[Jefatura] ",IFERROR(MATCH("Asistente Técnico de Riesgo|"&amp;MID($C229,12,500),rDname_ADM,0),0),"")</f>
        <v/>
      </c>
      <c r="AM229" s="62">
        <f>IF(N($AL229)&gt;0,INDEX(rIni_ADM,$AL229),IF(ISNUMBER($E229),$E229,""))</f>
        <v/>
      </c>
      <c r="AN229" s="62">
        <f>IF(N($AL229)&gt;0,INDEX(rLim_ADM,$AL229),IF(ISNUMBER($F229),$F229,""))</f>
        <v/>
      </c>
    </row>
    <row r="230">
      <c r="A230" s="56">
        <f>IF(NOT((COUNTA($B230:$D230)+COUNTA($G230:$L230)+COUNTA($Q230))&gt;0),"",IF($V230="Macro",COUNTIFS($V$5:$V230,"Macro",$S$5:$S230,$S230),IF(N($U230)=0,"?",COUNTIFS(INDEX($V$5:$V$1000,1):INDEX($V$5:$V$1000,$U230-4),"Macro",INDEX($S$5:$S$1000,1):INDEX($S$5:$S$1000,$U230-4),INDEX($S$5:$S$1000,$U230-4))&amp;"."&amp;COUNTIFS($U$5:$U230,$U230,$V$5:$V230,"Sub"))))</f>
        <v/>
      </c>
      <c r="B230" s="57" t="n"/>
      <c r="C230" s="58" t="n"/>
      <c r="D230" s="58" t="n"/>
      <c r="E230" s="59">
        <f>IF(N($AL230)&gt;0,INDEX(rIni_ADM,$AL230),"")</f>
        <v/>
      </c>
      <c r="F230" s="59">
        <f>IF(N($AL230)&gt;0,INDEX(rLim_ADM,$AL230),"")</f>
        <v/>
      </c>
      <c r="G230" s="59" t="n"/>
      <c r="H230" s="60" t="n"/>
      <c r="I230" s="60" t="n"/>
      <c r="J230" s="60" t="n"/>
      <c r="K230" s="60" t="n"/>
      <c r="L230" s="60" t="n"/>
      <c r="M230" s="61">
        <f>IF(NOT((COUNTA($B230:$D230)+COUNTA($G230:$L230)+COUNTA($Q230))&gt;0),"",IF(ISNUMBER($G230),1,IF(N($W230)&gt;0,AVERAGEIFS($X$5:$X$1000,$U$5:$U$1000,ROW(),$V$5:$V$1000,"Sub"),$X230)))</f>
        <v/>
      </c>
      <c r="N230" s="56">
        <f>IF($M230="","",IF($M230&gt;=1,"Completado",IF($M230&gt;0,"En curso","Pendiente")))</f>
        <v/>
      </c>
      <c r="O230" s="56">
        <f>IF(NOT((COUNTA($B230:$D230)+COUNTA($G230:$L230)+COUNTA($Q230))&gt;0),"",IF(ISNUMBER($G230),IF(AND(ISNUMBER($AN230),$G230&gt;$AN230),"Cumplida con "&amp;($G230-$AN230)&amp;IF($G230-$AN230=1," día"," días")&amp;" de retraso","Cumplida"),IF(N($M230)&gt;=1,"Cumplida",IF(NOT(ISNUMBER($AN230)),"Sin fecha límite",IF($AN230&lt;FechaRef,"Vencida hace "&amp;(FechaRef-$AN230)&amp;IF(FechaRef-$AN230=1," día"," días"),IF($AN230=FechaRef,"Vence hoy",IF($AN230-FechaRef&lt;=DiasAlerta,"Vence en "&amp;($AN230-FechaRef)&amp;IF($AN230-FechaRef=1," día"," días"),"En plazo")))))))</f>
        <v/>
      </c>
      <c r="P230" s="62" t="n"/>
      <c r="Q230" s="58" t="n"/>
      <c r="R230" s="63">
        <f>IF(NOT((COUNTA($B230:$D230)+COUNTA($G230:$L230)+COUNTA($Q230))&gt;0),"",IF((IF($C230="","Falta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",""))="","✔ OK","⚠ "&amp;LEFT(IF($C230="","Falta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",""),LEN(IF($C230="","Falta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",""))-3)))</f>
        <v/>
      </c>
      <c r="S230" s="64">
        <f>IF(NOT((COUNTA($B230:$D230)+COUNTA($G230:$L230)+COUNTA($Q230))&gt;0),"",IF(AND($V230="Sub",N($U230)&gt;0),IF(ISNUMBER(INDEX($AM$5:$AM$1000,$U230-4)),DATE(YEAR(INDEX($AM$5:$AM$1000,$U230-4)),MONTH(INDEX($AM$5:$AM$1000,$U230-4)),1),IF(ISNUMBER(INDEX($AN$5:$AN$1000,$U230-4)),DATE(YEAR(INDEX($AN$5:$AN$1000,$U230-4)),MONTH(INDEX($AN$5:$AN$1000,$U230-4)),1),MesCiclo)),IF(ISNUMBER($AM230),DATE(YEAR($AM230),MONTH($AM230),1),IF(ISNUMBER($AN230),DATE(YEAR($AN230),MONTH($AN230),1),MesCiclo))))</f>
        <v/>
      </c>
      <c r="T230" s="62">
        <f>IF(OR($S230="",$S230&lt;&gt;MesCiclo),"",COUNTIF($S$5:$S230,MesCiclo))</f>
        <v/>
      </c>
      <c r="U230" s="62">
        <f>IF($V230="","",IF($V230="Macro",ROW(),IFERROR(LOOKUP(2,1/($V$5:$V230="Macro"),ROW($V$5:$V230)),0)))</f>
        <v/>
      </c>
      <c r="V230" s="62">
        <f>IF(NOT((COUNTA($B230:$D230)+COUNTA($G230:$L230)+COUNTA($Q230))&gt;0),"",IF($B230="Subactividad","Sub","Macro"))</f>
        <v/>
      </c>
      <c r="W230" s="62">
        <f>IF($V230="Macro",COUNTIFS($U$5:$U$1000,ROW(),$V$5:$V$1000,"Sub"),"")</f>
        <v/>
      </c>
      <c r="X230" s="62">
        <f>IF($V230="","",IF(ISNUMBER($G230),1,IFERROR(LOOKUP(2,1/($I230:$L230&lt;&gt;""),$I230:$L230),0)))</f>
        <v/>
      </c>
      <c r="Y230" s="62">
        <f>IF($V230="","",IF(AND(ISNUMBER($G230),$G230&lt;=IF($S230=MesCiclo,InicioCiclo,$S230+MOD(2-WEEKDAY($S230),7))+6),1,IF(ISNUMBER($I230),$I230,0)))</f>
        <v/>
      </c>
      <c r="Z230" s="62">
        <f>IF($V230="","",IF(AND(ISNUMBER($G230),$G230&lt;=IF($S230=MesCiclo,InicioCiclo,$S230+MOD(2-WEEKDAY($S230),7))+13),1,IF(ISNUMBER($J230),$J230,$Y230)))</f>
        <v/>
      </c>
      <c r="AA230" s="62">
        <f>IF($V230="","",IF(AND(ISNUMBER($G230),$G230&lt;=IF($S230=MesCiclo,InicioCiclo,$S230+MOD(2-WEEKDAY($S230),7))+20),1,IF(ISNUMBER($K230),$K230,$Z230)))</f>
        <v/>
      </c>
      <c r="AB230" s="62">
        <f>IF($V230="","",IF(AND(ISNUMBER($G230),$G230&lt;=IF($S230=MesCiclo,InicioCiclo,$S230+MOD(2-WEEKDAY($S230),7))+27),1,IF(ISNUMBER($L230),$L230,$AA230)))</f>
        <v/>
      </c>
      <c r="AC230" s="62">
        <f>IF($V230="","",IF(AND(ISNUMBER($G230),$G230&lt;=IF($S230=MesCiclo,InicioCiclo,$S230+MOD(2-WEEKDAY($S230),7))+6),1,IF(N($W230)&gt;0,AVERAGEIFS($Y$5:$Y$1000,$U$5:$U$1000,ROW(),$V$5:$V$1000,"Sub"),$Y230)))</f>
        <v/>
      </c>
      <c r="AD230" s="62">
        <f>IF($V230="","",IF(AND(ISNUMBER($G230),$G230&lt;=IF($S230=MesCiclo,InicioCiclo,$S230+MOD(2-WEEKDAY($S230),7))+13),1,IF(N($W230)&gt;0,AVERAGEIFS($Z$5:$Z$1000,$U$5:$U$1000,ROW(),$V$5:$V$1000,"Sub"),$Z230)))</f>
        <v/>
      </c>
      <c r="AE230" s="62">
        <f>IF($V230="","",IF(AND(ISNUMBER($G230),$G230&lt;=IF($S230=MesCiclo,InicioCiclo,$S230+MOD(2-WEEKDAY($S230),7))+20),1,IF(N($W230)&gt;0,AVERAGEIFS($AA$5:$AA$1000,$U$5:$U$1000,ROW(),$V$5:$V$1000,"Sub"),$AA230)))</f>
        <v/>
      </c>
      <c r="AF230" s="62">
        <f>IF($V230="","",IF(AND(ISNUMBER($G230),$G230&lt;=IF($S230=MesCiclo,InicioCiclo,$S230+MOD(2-WEEKDAY($S230),7))+27),1,IF(N($W230)&gt;0,AVERAGEIFS($AB$5:$AB$1000,$U$5:$U$1000,ROW(),$V$5:$V$1000,"Sub"),$AB230)))</f>
        <v/>
      </c>
      <c r="AG230" s="62">
        <f>IF($V230&lt;&gt;"Macro","",IF(COUNTIFS($S$5:$S$1000,$S230,$V$5:$V$1000,"Macro",$H$5:$H$1000,"&gt;0")=0,1/COUNTIFS($S$5:$S$1000,$S230,$V$5:$V$1000,"Macro"),IF(AND(ISNUMBER($H230),N($H230)&gt;0),$H230,SUMIFS($H$5:$H$1000,$S$5:$S$1000,$S230,$V$5:$V$1000,"Macro")/COUNTIFS($S$5:$S$1000,$S230,$V$5:$V$1000,"Macro",$H$5:$H$1000,"&gt;0"))/(COUNTIFS($S$5:$S$1000,$S230,$V$5:$V$1000,"Macro")*SUMIFS($H$5:$H$1000,$S$5:$S$1000,$S230,$V$5:$V$1000,"Macro")/COUNTIFS($S$5:$S$1000,$S230,$V$5:$V$1000,"Macro",$H$5:$H$1000,"&gt;0"))))</f>
        <v/>
      </c>
      <c r="AH230" s="62" t="n"/>
      <c r="AI230" s="62" t="n"/>
      <c r="AJ230" s="62" t="n"/>
      <c r="AK230" s="62" t="n"/>
      <c r="AL230" s="62">
        <f>IF(LEFT($C230,11)="[Jefatura] ",IFERROR(MATCH("Asistente Técnico de Riesgo|"&amp;MID($C230,12,500),rDname_ADM,0),0),"")</f>
        <v/>
      </c>
      <c r="AM230" s="62">
        <f>IF(N($AL230)&gt;0,INDEX(rIni_ADM,$AL230),IF(ISNUMBER($E230),$E230,""))</f>
        <v/>
      </c>
      <c r="AN230" s="62">
        <f>IF(N($AL230)&gt;0,INDEX(rLim_ADM,$AL230),IF(ISNUMBER($F230),$F230,""))</f>
        <v/>
      </c>
    </row>
    <row r="231">
      <c r="A231" s="56">
        <f>IF(NOT((COUNTA($B231:$D231)+COUNTA($G231:$L231)+COUNTA($Q231))&gt;0),"",IF($V231="Macro",COUNTIFS($V$5:$V231,"Macro",$S$5:$S231,$S231),IF(N($U231)=0,"?",COUNTIFS(INDEX($V$5:$V$1000,1):INDEX($V$5:$V$1000,$U231-4),"Macro",INDEX($S$5:$S$1000,1):INDEX($S$5:$S$1000,$U231-4),INDEX($S$5:$S$1000,$U231-4))&amp;"."&amp;COUNTIFS($U$5:$U231,$U231,$V$5:$V231,"Sub"))))</f>
        <v/>
      </c>
      <c r="B231" s="57" t="n"/>
      <c r="C231" s="58" t="n"/>
      <c r="D231" s="58" t="n"/>
      <c r="E231" s="59">
        <f>IF(N($AL231)&gt;0,INDEX(rIni_ADM,$AL231),"")</f>
        <v/>
      </c>
      <c r="F231" s="59">
        <f>IF(N($AL231)&gt;0,INDEX(rLim_ADM,$AL231),"")</f>
        <v/>
      </c>
      <c r="G231" s="59" t="n"/>
      <c r="H231" s="60" t="n"/>
      <c r="I231" s="60" t="n"/>
      <c r="J231" s="60" t="n"/>
      <c r="K231" s="60" t="n"/>
      <c r="L231" s="60" t="n"/>
      <c r="M231" s="61">
        <f>IF(NOT((COUNTA($B231:$D231)+COUNTA($G231:$L231)+COUNTA($Q231))&gt;0),"",IF(ISNUMBER($G231),1,IF(N($W231)&gt;0,AVERAGEIFS($X$5:$X$1000,$U$5:$U$1000,ROW(),$V$5:$V$1000,"Sub"),$X231)))</f>
        <v/>
      </c>
      <c r="N231" s="56">
        <f>IF($M231="","",IF($M231&gt;=1,"Completado",IF($M231&gt;0,"En curso","Pendiente")))</f>
        <v/>
      </c>
      <c r="O231" s="56">
        <f>IF(NOT((COUNTA($B231:$D231)+COUNTA($G231:$L231)+COUNTA($Q231))&gt;0),"",IF(ISNUMBER($G231),IF(AND(ISNUMBER($AN231),$G231&gt;$AN231),"Cumplida con "&amp;($G231-$AN231)&amp;IF($G231-$AN231=1," día"," días")&amp;" de retraso","Cumplida"),IF(N($M231)&gt;=1,"Cumplida",IF(NOT(ISNUMBER($AN231)),"Sin fecha límite",IF($AN231&lt;FechaRef,"Vencida hace "&amp;(FechaRef-$AN231)&amp;IF(FechaRef-$AN231=1," día"," días"),IF($AN231=FechaRef,"Vence hoy",IF($AN231-FechaRef&lt;=DiasAlerta,"Vence en "&amp;($AN231-FechaRef)&amp;IF($AN231-FechaRef=1," día"," días"),"En plazo")))))))</f>
        <v/>
      </c>
      <c r="P231" s="62" t="n"/>
      <c r="Q231" s="58" t="n"/>
      <c r="R231" s="63">
        <f>IF(NOT((COUNTA($B231:$D231)+COUNTA($G231:$L231)+COUNTA($Q231))&gt;0),"",IF((IF($C231="","Falta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",""))="","✔ OK","⚠ "&amp;LEFT(IF($C231="","Falta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",""),LEN(IF($C231="","Falta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",""))-3)))</f>
        <v/>
      </c>
      <c r="S231" s="64">
        <f>IF(NOT((COUNTA($B231:$D231)+COUNTA($G231:$L231)+COUNTA($Q231))&gt;0),"",IF(AND($V231="Sub",N($U231)&gt;0),IF(ISNUMBER(INDEX($AM$5:$AM$1000,$U231-4)),DATE(YEAR(INDEX($AM$5:$AM$1000,$U231-4)),MONTH(INDEX($AM$5:$AM$1000,$U231-4)),1),IF(ISNUMBER(INDEX($AN$5:$AN$1000,$U231-4)),DATE(YEAR(INDEX($AN$5:$AN$1000,$U231-4)),MONTH(INDEX($AN$5:$AN$1000,$U231-4)),1),MesCiclo)),IF(ISNUMBER($AM231),DATE(YEAR($AM231),MONTH($AM231),1),IF(ISNUMBER($AN231),DATE(YEAR($AN231),MONTH($AN231),1),MesCiclo))))</f>
        <v/>
      </c>
      <c r="T231" s="62">
        <f>IF(OR($S231="",$S231&lt;&gt;MesCiclo),"",COUNTIF($S$5:$S231,MesCiclo))</f>
        <v/>
      </c>
      <c r="U231" s="62">
        <f>IF($V231="","",IF($V231="Macro",ROW(),IFERROR(LOOKUP(2,1/($V$5:$V231="Macro"),ROW($V$5:$V231)),0)))</f>
        <v/>
      </c>
      <c r="V231" s="62">
        <f>IF(NOT((COUNTA($B231:$D231)+COUNTA($G231:$L231)+COUNTA($Q231))&gt;0),"",IF($B231="Subactividad","Sub","Macro"))</f>
        <v/>
      </c>
      <c r="W231" s="62">
        <f>IF($V231="Macro",COUNTIFS($U$5:$U$1000,ROW(),$V$5:$V$1000,"Sub"),"")</f>
        <v/>
      </c>
      <c r="X231" s="62">
        <f>IF($V231="","",IF(ISNUMBER($G231),1,IFERROR(LOOKUP(2,1/($I231:$L231&lt;&gt;""),$I231:$L231),0)))</f>
        <v/>
      </c>
      <c r="Y231" s="62">
        <f>IF($V231="","",IF(AND(ISNUMBER($G231),$G231&lt;=IF($S231=MesCiclo,InicioCiclo,$S231+MOD(2-WEEKDAY($S231),7))+6),1,IF(ISNUMBER($I231),$I231,0)))</f>
        <v/>
      </c>
      <c r="Z231" s="62">
        <f>IF($V231="","",IF(AND(ISNUMBER($G231),$G231&lt;=IF($S231=MesCiclo,InicioCiclo,$S231+MOD(2-WEEKDAY($S231),7))+13),1,IF(ISNUMBER($J231),$J231,$Y231)))</f>
        <v/>
      </c>
      <c r="AA231" s="62">
        <f>IF($V231="","",IF(AND(ISNUMBER($G231),$G231&lt;=IF($S231=MesCiclo,InicioCiclo,$S231+MOD(2-WEEKDAY($S231),7))+20),1,IF(ISNUMBER($K231),$K231,$Z231)))</f>
        <v/>
      </c>
      <c r="AB231" s="62">
        <f>IF($V231="","",IF(AND(ISNUMBER($G231),$G231&lt;=IF($S231=MesCiclo,InicioCiclo,$S231+MOD(2-WEEKDAY($S231),7))+27),1,IF(ISNUMBER($L231),$L231,$AA231)))</f>
        <v/>
      </c>
      <c r="AC231" s="62">
        <f>IF($V231="","",IF(AND(ISNUMBER($G231),$G231&lt;=IF($S231=MesCiclo,InicioCiclo,$S231+MOD(2-WEEKDAY($S231),7))+6),1,IF(N($W231)&gt;0,AVERAGEIFS($Y$5:$Y$1000,$U$5:$U$1000,ROW(),$V$5:$V$1000,"Sub"),$Y231)))</f>
        <v/>
      </c>
      <c r="AD231" s="62">
        <f>IF($V231="","",IF(AND(ISNUMBER($G231),$G231&lt;=IF($S231=MesCiclo,InicioCiclo,$S231+MOD(2-WEEKDAY($S231),7))+13),1,IF(N($W231)&gt;0,AVERAGEIFS($Z$5:$Z$1000,$U$5:$U$1000,ROW(),$V$5:$V$1000,"Sub"),$Z231)))</f>
        <v/>
      </c>
      <c r="AE231" s="62">
        <f>IF($V231="","",IF(AND(ISNUMBER($G231),$G231&lt;=IF($S231=MesCiclo,InicioCiclo,$S231+MOD(2-WEEKDAY($S231),7))+20),1,IF(N($W231)&gt;0,AVERAGEIFS($AA$5:$AA$1000,$U$5:$U$1000,ROW(),$V$5:$V$1000,"Sub"),$AA231)))</f>
        <v/>
      </c>
      <c r="AF231" s="62">
        <f>IF($V231="","",IF(AND(ISNUMBER($G231),$G231&lt;=IF($S231=MesCiclo,InicioCiclo,$S231+MOD(2-WEEKDAY($S231),7))+27),1,IF(N($W231)&gt;0,AVERAGEIFS($AB$5:$AB$1000,$U$5:$U$1000,ROW(),$V$5:$V$1000,"Sub"),$AB231)))</f>
        <v/>
      </c>
      <c r="AG231" s="62">
        <f>IF($V231&lt;&gt;"Macro","",IF(COUNTIFS($S$5:$S$1000,$S231,$V$5:$V$1000,"Macro",$H$5:$H$1000,"&gt;0")=0,1/COUNTIFS($S$5:$S$1000,$S231,$V$5:$V$1000,"Macro"),IF(AND(ISNUMBER($H231),N($H231)&gt;0),$H231,SUMIFS($H$5:$H$1000,$S$5:$S$1000,$S231,$V$5:$V$1000,"Macro")/COUNTIFS($S$5:$S$1000,$S231,$V$5:$V$1000,"Macro",$H$5:$H$1000,"&gt;0"))/(COUNTIFS($S$5:$S$1000,$S231,$V$5:$V$1000,"Macro")*SUMIFS($H$5:$H$1000,$S$5:$S$1000,$S231,$V$5:$V$1000,"Macro")/COUNTIFS($S$5:$S$1000,$S231,$V$5:$V$1000,"Macro",$H$5:$H$1000,"&gt;0"))))</f>
        <v/>
      </c>
      <c r="AH231" s="62" t="n"/>
      <c r="AI231" s="62" t="n"/>
      <c r="AJ231" s="62" t="n"/>
      <c r="AK231" s="62" t="n"/>
      <c r="AL231" s="62">
        <f>IF(LEFT($C231,11)="[Jefatura] ",IFERROR(MATCH("Asistente Técnico de Riesgo|"&amp;MID($C231,12,500),rDname_ADM,0),0),"")</f>
        <v/>
      </c>
      <c r="AM231" s="62">
        <f>IF(N($AL231)&gt;0,INDEX(rIni_ADM,$AL231),IF(ISNUMBER($E231),$E231,""))</f>
        <v/>
      </c>
      <c r="AN231" s="62">
        <f>IF(N($AL231)&gt;0,INDEX(rLim_ADM,$AL231),IF(ISNUMBER($F231),$F231,""))</f>
        <v/>
      </c>
    </row>
    <row r="232">
      <c r="A232" s="56">
        <f>IF(NOT((COUNTA($B232:$D232)+COUNTA($G232:$L232)+COUNTA($Q232))&gt;0),"",IF($V232="Macro",COUNTIFS($V$5:$V232,"Macro",$S$5:$S232,$S232),IF(N($U232)=0,"?",COUNTIFS(INDEX($V$5:$V$1000,1):INDEX($V$5:$V$1000,$U232-4),"Macro",INDEX($S$5:$S$1000,1):INDEX($S$5:$S$1000,$U232-4),INDEX($S$5:$S$1000,$U232-4))&amp;"."&amp;COUNTIFS($U$5:$U232,$U232,$V$5:$V232,"Sub"))))</f>
        <v/>
      </c>
      <c r="B232" s="57" t="n"/>
      <c r="C232" s="58" t="n"/>
      <c r="D232" s="58" t="n"/>
      <c r="E232" s="59">
        <f>IF(N($AL232)&gt;0,INDEX(rIni_ADM,$AL232),"")</f>
        <v/>
      </c>
      <c r="F232" s="59">
        <f>IF(N($AL232)&gt;0,INDEX(rLim_ADM,$AL232),"")</f>
        <v/>
      </c>
      <c r="G232" s="59" t="n"/>
      <c r="H232" s="60" t="n"/>
      <c r="I232" s="60" t="n"/>
      <c r="J232" s="60" t="n"/>
      <c r="K232" s="60" t="n"/>
      <c r="L232" s="60" t="n"/>
      <c r="M232" s="61">
        <f>IF(NOT((COUNTA($B232:$D232)+COUNTA($G232:$L232)+COUNTA($Q232))&gt;0),"",IF(ISNUMBER($G232),1,IF(N($W232)&gt;0,AVERAGEIFS($X$5:$X$1000,$U$5:$U$1000,ROW(),$V$5:$V$1000,"Sub"),$X232)))</f>
        <v/>
      </c>
      <c r="N232" s="56">
        <f>IF($M232="","",IF($M232&gt;=1,"Completado",IF($M232&gt;0,"En curso","Pendiente")))</f>
        <v/>
      </c>
      <c r="O232" s="56">
        <f>IF(NOT((COUNTA($B232:$D232)+COUNTA($G232:$L232)+COUNTA($Q232))&gt;0),"",IF(ISNUMBER($G232),IF(AND(ISNUMBER($AN232),$G232&gt;$AN232),"Cumplida con "&amp;($G232-$AN232)&amp;IF($G232-$AN232=1," día"," días")&amp;" de retraso","Cumplida"),IF(N($M232)&gt;=1,"Cumplida",IF(NOT(ISNUMBER($AN232)),"Sin fecha límite",IF($AN232&lt;FechaRef,"Vencida hace "&amp;(FechaRef-$AN232)&amp;IF(FechaRef-$AN232=1," día"," días"),IF($AN232=FechaRef,"Vence hoy",IF($AN232-FechaRef&lt;=DiasAlerta,"Vence en "&amp;($AN232-FechaRef)&amp;IF($AN232-FechaRef=1," día"," días"),"En plazo")))))))</f>
        <v/>
      </c>
      <c r="P232" s="62" t="n"/>
      <c r="Q232" s="58" t="n"/>
      <c r="R232" s="63">
        <f>IF(NOT((COUNTA($B232:$D232)+COUNTA($G232:$L232)+COUNTA($Q232))&gt;0),"",IF((IF($C232="","Falta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",""))="","✔ OK","⚠ "&amp;LEFT(IF($C232="","Falta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",""),LEN(IF($C232="","Falta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",""))-3)))</f>
        <v/>
      </c>
      <c r="S232" s="64">
        <f>IF(NOT((COUNTA($B232:$D232)+COUNTA($G232:$L232)+COUNTA($Q232))&gt;0),"",IF(AND($V232="Sub",N($U232)&gt;0),IF(ISNUMBER(INDEX($AM$5:$AM$1000,$U232-4)),DATE(YEAR(INDEX($AM$5:$AM$1000,$U232-4)),MONTH(INDEX($AM$5:$AM$1000,$U232-4)),1),IF(ISNUMBER(INDEX($AN$5:$AN$1000,$U232-4)),DATE(YEAR(INDEX($AN$5:$AN$1000,$U232-4)),MONTH(INDEX($AN$5:$AN$1000,$U232-4)),1),MesCiclo)),IF(ISNUMBER($AM232),DATE(YEAR($AM232),MONTH($AM232),1),IF(ISNUMBER($AN232),DATE(YEAR($AN232),MONTH($AN232),1),MesCiclo))))</f>
        <v/>
      </c>
      <c r="T232" s="62">
        <f>IF(OR($S232="",$S232&lt;&gt;MesCiclo),"",COUNTIF($S$5:$S232,MesCiclo))</f>
        <v/>
      </c>
      <c r="U232" s="62">
        <f>IF($V232="","",IF($V232="Macro",ROW(),IFERROR(LOOKUP(2,1/($V$5:$V232="Macro"),ROW($V$5:$V232)),0)))</f>
        <v/>
      </c>
      <c r="V232" s="62">
        <f>IF(NOT((COUNTA($B232:$D232)+COUNTA($G232:$L232)+COUNTA($Q232))&gt;0),"",IF($B232="Subactividad","Sub","Macro"))</f>
        <v/>
      </c>
      <c r="W232" s="62">
        <f>IF($V232="Macro",COUNTIFS($U$5:$U$1000,ROW(),$V$5:$V$1000,"Sub"),"")</f>
        <v/>
      </c>
      <c r="X232" s="62">
        <f>IF($V232="","",IF(ISNUMBER($G232),1,IFERROR(LOOKUP(2,1/($I232:$L232&lt;&gt;""),$I232:$L232),0)))</f>
        <v/>
      </c>
      <c r="Y232" s="62">
        <f>IF($V232="","",IF(AND(ISNUMBER($G232),$G232&lt;=IF($S232=MesCiclo,InicioCiclo,$S232+MOD(2-WEEKDAY($S232),7))+6),1,IF(ISNUMBER($I232),$I232,0)))</f>
        <v/>
      </c>
      <c r="Z232" s="62">
        <f>IF($V232="","",IF(AND(ISNUMBER($G232),$G232&lt;=IF($S232=MesCiclo,InicioCiclo,$S232+MOD(2-WEEKDAY($S232),7))+13),1,IF(ISNUMBER($J232),$J232,$Y232)))</f>
        <v/>
      </c>
      <c r="AA232" s="62">
        <f>IF($V232="","",IF(AND(ISNUMBER($G232),$G232&lt;=IF($S232=MesCiclo,InicioCiclo,$S232+MOD(2-WEEKDAY($S232),7))+20),1,IF(ISNUMBER($K232),$K232,$Z232)))</f>
        <v/>
      </c>
      <c r="AB232" s="62">
        <f>IF($V232="","",IF(AND(ISNUMBER($G232),$G232&lt;=IF($S232=MesCiclo,InicioCiclo,$S232+MOD(2-WEEKDAY($S232),7))+27),1,IF(ISNUMBER($L232),$L232,$AA232)))</f>
        <v/>
      </c>
      <c r="AC232" s="62">
        <f>IF($V232="","",IF(AND(ISNUMBER($G232),$G232&lt;=IF($S232=MesCiclo,InicioCiclo,$S232+MOD(2-WEEKDAY($S232),7))+6),1,IF(N($W232)&gt;0,AVERAGEIFS($Y$5:$Y$1000,$U$5:$U$1000,ROW(),$V$5:$V$1000,"Sub"),$Y232)))</f>
        <v/>
      </c>
      <c r="AD232" s="62">
        <f>IF($V232="","",IF(AND(ISNUMBER($G232),$G232&lt;=IF($S232=MesCiclo,InicioCiclo,$S232+MOD(2-WEEKDAY($S232),7))+13),1,IF(N($W232)&gt;0,AVERAGEIFS($Z$5:$Z$1000,$U$5:$U$1000,ROW(),$V$5:$V$1000,"Sub"),$Z232)))</f>
        <v/>
      </c>
      <c r="AE232" s="62">
        <f>IF($V232="","",IF(AND(ISNUMBER($G232),$G232&lt;=IF($S232=MesCiclo,InicioCiclo,$S232+MOD(2-WEEKDAY($S232),7))+20),1,IF(N($W232)&gt;0,AVERAGEIFS($AA$5:$AA$1000,$U$5:$U$1000,ROW(),$V$5:$V$1000,"Sub"),$AA232)))</f>
        <v/>
      </c>
      <c r="AF232" s="62">
        <f>IF($V232="","",IF(AND(ISNUMBER($G232),$G232&lt;=IF($S232=MesCiclo,InicioCiclo,$S232+MOD(2-WEEKDAY($S232),7))+27),1,IF(N($W232)&gt;0,AVERAGEIFS($AB$5:$AB$1000,$U$5:$U$1000,ROW(),$V$5:$V$1000,"Sub"),$AB232)))</f>
        <v/>
      </c>
      <c r="AG232" s="62">
        <f>IF($V232&lt;&gt;"Macro","",IF(COUNTIFS($S$5:$S$1000,$S232,$V$5:$V$1000,"Macro",$H$5:$H$1000,"&gt;0")=0,1/COUNTIFS($S$5:$S$1000,$S232,$V$5:$V$1000,"Macro"),IF(AND(ISNUMBER($H232),N($H232)&gt;0),$H232,SUMIFS($H$5:$H$1000,$S$5:$S$1000,$S232,$V$5:$V$1000,"Macro")/COUNTIFS($S$5:$S$1000,$S232,$V$5:$V$1000,"Macro",$H$5:$H$1000,"&gt;0"))/(COUNTIFS($S$5:$S$1000,$S232,$V$5:$V$1000,"Macro")*SUMIFS($H$5:$H$1000,$S$5:$S$1000,$S232,$V$5:$V$1000,"Macro")/COUNTIFS($S$5:$S$1000,$S232,$V$5:$V$1000,"Macro",$H$5:$H$1000,"&gt;0"))))</f>
        <v/>
      </c>
      <c r="AH232" s="62" t="n"/>
      <c r="AI232" s="62" t="n"/>
      <c r="AJ232" s="62" t="n"/>
      <c r="AK232" s="62" t="n"/>
      <c r="AL232" s="62">
        <f>IF(LEFT($C232,11)="[Jefatura] ",IFERROR(MATCH("Asistente Técnico de Riesgo|"&amp;MID($C232,12,500),rDname_ADM,0),0),"")</f>
        <v/>
      </c>
      <c r="AM232" s="62">
        <f>IF(N($AL232)&gt;0,INDEX(rIni_ADM,$AL232),IF(ISNUMBER($E232),$E232,""))</f>
        <v/>
      </c>
      <c r="AN232" s="62">
        <f>IF(N($AL232)&gt;0,INDEX(rLim_ADM,$AL232),IF(ISNUMBER($F232),$F232,""))</f>
        <v/>
      </c>
    </row>
    <row r="233">
      <c r="A233" s="56">
        <f>IF(NOT((COUNTA($B233:$D233)+COUNTA($G233:$L233)+COUNTA($Q233))&gt;0),"",IF($V233="Macro",COUNTIFS($V$5:$V233,"Macro",$S$5:$S233,$S233),IF(N($U233)=0,"?",COUNTIFS(INDEX($V$5:$V$1000,1):INDEX($V$5:$V$1000,$U233-4),"Macro",INDEX($S$5:$S$1000,1):INDEX($S$5:$S$1000,$U233-4),INDEX($S$5:$S$1000,$U233-4))&amp;"."&amp;COUNTIFS($U$5:$U233,$U233,$V$5:$V233,"Sub"))))</f>
        <v/>
      </c>
      <c r="B233" s="57" t="n"/>
      <c r="C233" s="58" t="n"/>
      <c r="D233" s="58" t="n"/>
      <c r="E233" s="59">
        <f>IF(N($AL233)&gt;0,INDEX(rIni_ADM,$AL233),"")</f>
        <v/>
      </c>
      <c r="F233" s="59">
        <f>IF(N($AL233)&gt;0,INDEX(rLim_ADM,$AL233),"")</f>
        <v/>
      </c>
      <c r="G233" s="59" t="n"/>
      <c r="H233" s="60" t="n"/>
      <c r="I233" s="60" t="n"/>
      <c r="J233" s="60" t="n"/>
      <c r="K233" s="60" t="n"/>
      <c r="L233" s="60" t="n"/>
      <c r="M233" s="61">
        <f>IF(NOT((COUNTA($B233:$D233)+COUNTA($G233:$L233)+COUNTA($Q233))&gt;0),"",IF(ISNUMBER($G233),1,IF(N($W233)&gt;0,AVERAGEIFS($X$5:$X$1000,$U$5:$U$1000,ROW(),$V$5:$V$1000,"Sub"),$X233)))</f>
        <v/>
      </c>
      <c r="N233" s="56">
        <f>IF($M233="","",IF($M233&gt;=1,"Completado",IF($M233&gt;0,"En curso","Pendiente")))</f>
        <v/>
      </c>
      <c r="O233" s="56">
        <f>IF(NOT((COUNTA($B233:$D233)+COUNTA($G233:$L233)+COUNTA($Q233))&gt;0),"",IF(ISNUMBER($G233),IF(AND(ISNUMBER($AN233),$G233&gt;$AN233),"Cumplida con "&amp;($G233-$AN233)&amp;IF($G233-$AN233=1," día"," días")&amp;" de retraso","Cumplida"),IF(N($M233)&gt;=1,"Cumplida",IF(NOT(ISNUMBER($AN233)),"Sin fecha límite",IF($AN233&lt;FechaRef,"Vencida hace "&amp;(FechaRef-$AN233)&amp;IF(FechaRef-$AN233=1," día"," días"),IF($AN233=FechaRef,"Vence hoy",IF($AN233-FechaRef&lt;=DiasAlerta,"Vence en "&amp;($AN233-FechaRef)&amp;IF($AN233-FechaRef=1," día"," días"),"En plazo")))))))</f>
        <v/>
      </c>
      <c r="P233" s="62" t="n"/>
      <c r="Q233" s="58" t="n"/>
      <c r="R233" s="63">
        <f>IF(NOT((COUNTA($B233:$D233)+COUNTA($G233:$L233)+COUNTA($Q233))&gt;0),"",IF((IF($C233="","Falta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",""))="","✔ OK","⚠ "&amp;LEFT(IF($C233="","Falta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",""),LEN(IF($C233="","Falta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",""))-3)))</f>
        <v/>
      </c>
      <c r="S233" s="64">
        <f>IF(NOT((COUNTA($B233:$D233)+COUNTA($G233:$L233)+COUNTA($Q233))&gt;0),"",IF(AND($V233="Sub",N($U233)&gt;0),IF(ISNUMBER(INDEX($AM$5:$AM$1000,$U233-4)),DATE(YEAR(INDEX($AM$5:$AM$1000,$U233-4)),MONTH(INDEX($AM$5:$AM$1000,$U233-4)),1),IF(ISNUMBER(INDEX($AN$5:$AN$1000,$U233-4)),DATE(YEAR(INDEX($AN$5:$AN$1000,$U233-4)),MONTH(INDEX($AN$5:$AN$1000,$U233-4)),1),MesCiclo)),IF(ISNUMBER($AM233),DATE(YEAR($AM233),MONTH($AM233),1),IF(ISNUMBER($AN233),DATE(YEAR($AN233),MONTH($AN233),1),MesCiclo))))</f>
        <v/>
      </c>
      <c r="T233" s="62">
        <f>IF(OR($S233="",$S233&lt;&gt;MesCiclo),"",COUNTIF($S$5:$S233,MesCiclo))</f>
        <v/>
      </c>
      <c r="U233" s="62">
        <f>IF($V233="","",IF($V233="Macro",ROW(),IFERROR(LOOKUP(2,1/($V$5:$V233="Macro"),ROW($V$5:$V233)),0)))</f>
        <v/>
      </c>
      <c r="V233" s="62">
        <f>IF(NOT((COUNTA($B233:$D233)+COUNTA($G233:$L233)+COUNTA($Q233))&gt;0),"",IF($B233="Subactividad","Sub","Macro"))</f>
        <v/>
      </c>
      <c r="W233" s="62">
        <f>IF($V233="Macro",COUNTIFS($U$5:$U$1000,ROW(),$V$5:$V$1000,"Sub"),"")</f>
        <v/>
      </c>
      <c r="X233" s="62">
        <f>IF($V233="","",IF(ISNUMBER($G233),1,IFERROR(LOOKUP(2,1/($I233:$L233&lt;&gt;""),$I233:$L233),0)))</f>
        <v/>
      </c>
      <c r="Y233" s="62">
        <f>IF($V233="","",IF(AND(ISNUMBER($G233),$G233&lt;=IF($S233=MesCiclo,InicioCiclo,$S233+MOD(2-WEEKDAY($S233),7))+6),1,IF(ISNUMBER($I233),$I233,0)))</f>
        <v/>
      </c>
      <c r="Z233" s="62">
        <f>IF($V233="","",IF(AND(ISNUMBER($G233),$G233&lt;=IF($S233=MesCiclo,InicioCiclo,$S233+MOD(2-WEEKDAY($S233),7))+13),1,IF(ISNUMBER($J233),$J233,$Y233)))</f>
        <v/>
      </c>
      <c r="AA233" s="62">
        <f>IF($V233="","",IF(AND(ISNUMBER($G233),$G233&lt;=IF($S233=MesCiclo,InicioCiclo,$S233+MOD(2-WEEKDAY($S233),7))+20),1,IF(ISNUMBER($K233),$K233,$Z233)))</f>
        <v/>
      </c>
      <c r="AB233" s="62">
        <f>IF($V233="","",IF(AND(ISNUMBER($G233),$G233&lt;=IF($S233=MesCiclo,InicioCiclo,$S233+MOD(2-WEEKDAY($S233),7))+27),1,IF(ISNUMBER($L233),$L233,$AA233)))</f>
        <v/>
      </c>
      <c r="AC233" s="62">
        <f>IF($V233="","",IF(AND(ISNUMBER($G233),$G233&lt;=IF($S233=MesCiclo,InicioCiclo,$S233+MOD(2-WEEKDAY($S233),7))+6),1,IF(N($W233)&gt;0,AVERAGEIFS($Y$5:$Y$1000,$U$5:$U$1000,ROW(),$V$5:$V$1000,"Sub"),$Y233)))</f>
        <v/>
      </c>
      <c r="AD233" s="62">
        <f>IF($V233="","",IF(AND(ISNUMBER($G233),$G233&lt;=IF($S233=MesCiclo,InicioCiclo,$S233+MOD(2-WEEKDAY($S233),7))+13),1,IF(N($W233)&gt;0,AVERAGEIFS($Z$5:$Z$1000,$U$5:$U$1000,ROW(),$V$5:$V$1000,"Sub"),$Z233)))</f>
        <v/>
      </c>
      <c r="AE233" s="62">
        <f>IF($V233="","",IF(AND(ISNUMBER($G233),$G233&lt;=IF($S233=MesCiclo,InicioCiclo,$S233+MOD(2-WEEKDAY($S233),7))+20),1,IF(N($W233)&gt;0,AVERAGEIFS($AA$5:$AA$1000,$U$5:$U$1000,ROW(),$V$5:$V$1000,"Sub"),$AA233)))</f>
        <v/>
      </c>
      <c r="AF233" s="62">
        <f>IF($V233="","",IF(AND(ISNUMBER($G233),$G233&lt;=IF($S233=MesCiclo,InicioCiclo,$S233+MOD(2-WEEKDAY($S233),7))+27),1,IF(N($W233)&gt;0,AVERAGEIFS($AB$5:$AB$1000,$U$5:$U$1000,ROW(),$V$5:$V$1000,"Sub"),$AB233)))</f>
        <v/>
      </c>
      <c r="AG233" s="62">
        <f>IF($V233&lt;&gt;"Macro","",IF(COUNTIFS($S$5:$S$1000,$S233,$V$5:$V$1000,"Macro",$H$5:$H$1000,"&gt;0")=0,1/COUNTIFS($S$5:$S$1000,$S233,$V$5:$V$1000,"Macro"),IF(AND(ISNUMBER($H233),N($H233)&gt;0),$H233,SUMIFS($H$5:$H$1000,$S$5:$S$1000,$S233,$V$5:$V$1000,"Macro")/COUNTIFS($S$5:$S$1000,$S233,$V$5:$V$1000,"Macro",$H$5:$H$1000,"&gt;0"))/(COUNTIFS($S$5:$S$1000,$S233,$V$5:$V$1000,"Macro")*SUMIFS($H$5:$H$1000,$S$5:$S$1000,$S233,$V$5:$V$1000,"Macro")/COUNTIFS($S$5:$S$1000,$S233,$V$5:$V$1000,"Macro",$H$5:$H$1000,"&gt;0"))))</f>
        <v/>
      </c>
      <c r="AH233" s="62" t="n"/>
      <c r="AI233" s="62" t="n"/>
      <c r="AJ233" s="62" t="n"/>
      <c r="AK233" s="62" t="n"/>
      <c r="AL233" s="62">
        <f>IF(LEFT($C233,11)="[Jefatura] ",IFERROR(MATCH("Asistente Técnico de Riesgo|"&amp;MID($C233,12,500),rDname_ADM,0),0),"")</f>
        <v/>
      </c>
      <c r="AM233" s="62">
        <f>IF(N($AL233)&gt;0,INDEX(rIni_ADM,$AL233),IF(ISNUMBER($E233),$E233,""))</f>
        <v/>
      </c>
      <c r="AN233" s="62">
        <f>IF(N($AL233)&gt;0,INDEX(rLim_ADM,$AL233),IF(ISNUMBER($F233),$F233,""))</f>
        <v/>
      </c>
    </row>
    <row r="234">
      <c r="A234" s="56">
        <f>IF(NOT((COUNTA($B234:$D234)+COUNTA($G234:$L234)+COUNTA($Q234))&gt;0),"",IF($V234="Macro",COUNTIFS($V$5:$V234,"Macro",$S$5:$S234,$S234),IF(N($U234)=0,"?",COUNTIFS(INDEX($V$5:$V$1000,1):INDEX($V$5:$V$1000,$U234-4),"Macro",INDEX($S$5:$S$1000,1):INDEX($S$5:$S$1000,$U234-4),INDEX($S$5:$S$1000,$U234-4))&amp;"."&amp;COUNTIFS($U$5:$U234,$U234,$V$5:$V234,"Sub"))))</f>
        <v/>
      </c>
      <c r="B234" s="57" t="n"/>
      <c r="C234" s="58" t="n"/>
      <c r="D234" s="58" t="n"/>
      <c r="E234" s="59">
        <f>IF(N($AL234)&gt;0,INDEX(rIni_ADM,$AL234),"")</f>
        <v/>
      </c>
      <c r="F234" s="59">
        <f>IF(N($AL234)&gt;0,INDEX(rLim_ADM,$AL234),"")</f>
        <v/>
      </c>
      <c r="G234" s="59" t="n"/>
      <c r="H234" s="60" t="n"/>
      <c r="I234" s="60" t="n"/>
      <c r="J234" s="60" t="n"/>
      <c r="K234" s="60" t="n"/>
      <c r="L234" s="60" t="n"/>
      <c r="M234" s="61">
        <f>IF(NOT((COUNTA($B234:$D234)+COUNTA($G234:$L234)+COUNTA($Q234))&gt;0),"",IF(ISNUMBER($G234),1,IF(N($W234)&gt;0,AVERAGEIFS($X$5:$X$1000,$U$5:$U$1000,ROW(),$V$5:$V$1000,"Sub"),$X234)))</f>
        <v/>
      </c>
      <c r="N234" s="56">
        <f>IF($M234="","",IF($M234&gt;=1,"Completado",IF($M234&gt;0,"En curso","Pendiente")))</f>
        <v/>
      </c>
      <c r="O234" s="56">
        <f>IF(NOT((COUNTA($B234:$D234)+COUNTA($G234:$L234)+COUNTA($Q234))&gt;0),"",IF(ISNUMBER($G234),IF(AND(ISNUMBER($AN234),$G234&gt;$AN234),"Cumplida con "&amp;($G234-$AN234)&amp;IF($G234-$AN234=1," día"," días")&amp;" de retraso","Cumplida"),IF(N($M234)&gt;=1,"Cumplida",IF(NOT(ISNUMBER($AN234)),"Sin fecha límite",IF($AN234&lt;FechaRef,"Vencida hace "&amp;(FechaRef-$AN234)&amp;IF(FechaRef-$AN234=1," día"," días"),IF($AN234=FechaRef,"Vence hoy",IF($AN234-FechaRef&lt;=DiasAlerta,"Vence en "&amp;($AN234-FechaRef)&amp;IF($AN234-FechaRef=1," día"," días"),"En plazo")))))))</f>
        <v/>
      </c>
      <c r="P234" s="62" t="n"/>
      <c r="Q234" s="58" t="n"/>
      <c r="R234" s="63">
        <f>IF(NOT((COUNTA($B234:$D234)+COUNTA($G234:$L234)+COUNTA($Q234))&gt;0),"",IF((IF($C234="","Falta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",""))="","✔ OK","⚠ "&amp;LEFT(IF($C234="","Falta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",""),LEN(IF($C234="","Falta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",""))-3)))</f>
        <v/>
      </c>
      <c r="S234" s="64">
        <f>IF(NOT((COUNTA($B234:$D234)+COUNTA($G234:$L234)+COUNTA($Q234))&gt;0),"",IF(AND($V234="Sub",N($U234)&gt;0),IF(ISNUMBER(INDEX($AM$5:$AM$1000,$U234-4)),DATE(YEAR(INDEX($AM$5:$AM$1000,$U234-4)),MONTH(INDEX($AM$5:$AM$1000,$U234-4)),1),IF(ISNUMBER(INDEX($AN$5:$AN$1000,$U234-4)),DATE(YEAR(INDEX($AN$5:$AN$1000,$U234-4)),MONTH(INDEX($AN$5:$AN$1000,$U234-4)),1),MesCiclo)),IF(ISNUMBER($AM234),DATE(YEAR($AM234),MONTH($AM234),1),IF(ISNUMBER($AN234),DATE(YEAR($AN234),MONTH($AN234),1),MesCiclo))))</f>
        <v/>
      </c>
      <c r="T234" s="62">
        <f>IF(OR($S234="",$S234&lt;&gt;MesCiclo),"",COUNTIF($S$5:$S234,MesCiclo))</f>
        <v/>
      </c>
      <c r="U234" s="62">
        <f>IF($V234="","",IF($V234="Macro",ROW(),IFERROR(LOOKUP(2,1/($V$5:$V234="Macro"),ROW($V$5:$V234)),0)))</f>
        <v/>
      </c>
      <c r="V234" s="62">
        <f>IF(NOT((COUNTA($B234:$D234)+COUNTA($G234:$L234)+COUNTA($Q234))&gt;0),"",IF($B234="Subactividad","Sub","Macro"))</f>
        <v/>
      </c>
      <c r="W234" s="62">
        <f>IF($V234="Macro",COUNTIFS($U$5:$U$1000,ROW(),$V$5:$V$1000,"Sub"),"")</f>
        <v/>
      </c>
      <c r="X234" s="62">
        <f>IF($V234="","",IF(ISNUMBER($G234),1,IFERROR(LOOKUP(2,1/($I234:$L234&lt;&gt;""),$I234:$L234),0)))</f>
        <v/>
      </c>
      <c r="Y234" s="62">
        <f>IF($V234="","",IF(AND(ISNUMBER($G234),$G234&lt;=IF($S234=MesCiclo,InicioCiclo,$S234+MOD(2-WEEKDAY($S234),7))+6),1,IF(ISNUMBER($I234),$I234,0)))</f>
        <v/>
      </c>
      <c r="Z234" s="62">
        <f>IF($V234="","",IF(AND(ISNUMBER($G234),$G234&lt;=IF($S234=MesCiclo,InicioCiclo,$S234+MOD(2-WEEKDAY($S234),7))+13),1,IF(ISNUMBER($J234),$J234,$Y234)))</f>
        <v/>
      </c>
      <c r="AA234" s="62">
        <f>IF($V234="","",IF(AND(ISNUMBER($G234),$G234&lt;=IF($S234=MesCiclo,InicioCiclo,$S234+MOD(2-WEEKDAY($S234),7))+20),1,IF(ISNUMBER($K234),$K234,$Z234)))</f>
        <v/>
      </c>
      <c r="AB234" s="62">
        <f>IF($V234="","",IF(AND(ISNUMBER($G234),$G234&lt;=IF($S234=MesCiclo,InicioCiclo,$S234+MOD(2-WEEKDAY($S234),7))+27),1,IF(ISNUMBER($L234),$L234,$AA234)))</f>
        <v/>
      </c>
      <c r="AC234" s="62">
        <f>IF($V234="","",IF(AND(ISNUMBER($G234),$G234&lt;=IF($S234=MesCiclo,InicioCiclo,$S234+MOD(2-WEEKDAY($S234),7))+6),1,IF(N($W234)&gt;0,AVERAGEIFS($Y$5:$Y$1000,$U$5:$U$1000,ROW(),$V$5:$V$1000,"Sub"),$Y234)))</f>
        <v/>
      </c>
      <c r="AD234" s="62">
        <f>IF($V234="","",IF(AND(ISNUMBER($G234),$G234&lt;=IF($S234=MesCiclo,InicioCiclo,$S234+MOD(2-WEEKDAY($S234),7))+13),1,IF(N($W234)&gt;0,AVERAGEIFS($Z$5:$Z$1000,$U$5:$U$1000,ROW(),$V$5:$V$1000,"Sub"),$Z234)))</f>
        <v/>
      </c>
      <c r="AE234" s="62">
        <f>IF($V234="","",IF(AND(ISNUMBER($G234),$G234&lt;=IF($S234=MesCiclo,InicioCiclo,$S234+MOD(2-WEEKDAY($S234),7))+20),1,IF(N($W234)&gt;0,AVERAGEIFS($AA$5:$AA$1000,$U$5:$U$1000,ROW(),$V$5:$V$1000,"Sub"),$AA234)))</f>
        <v/>
      </c>
      <c r="AF234" s="62">
        <f>IF($V234="","",IF(AND(ISNUMBER($G234),$G234&lt;=IF($S234=MesCiclo,InicioCiclo,$S234+MOD(2-WEEKDAY($S234),7))+27),1,IF(N($W234)&gt;0,AVERAGEIFS($AB$5:$AB$1000,$U$5:$U$1000,ROW(),$V$5:$V$1000,"Sub"),$AB234)))</f>
        <v/>
      </c>
      <c r="AG234" s="62">
        <f>IF($V234&lt;&gt;"Macro","",IF(COUNTIFS($S$5:$S$1000,$S234,$V$5:$V$1000,"Macro",$H$5:$H$1000,"&gt;0")=0,1/COUNTIFS($S$5:$S$1000,$S234,$V$5:$V$1000,"Macro"),IF(AND(ISNUMBER($H234),N($H234)&gt;0),$H234,SUMIFS($H$5:$H$1000,$S$5:$S$1000,$S234,$V$5:$V$1000,"Macro")/COUNTIFS($S$5:$S$1000,$S234,$V$5:$V$1000,"Macro",$H$5:$H$1000,"&gt;0"))/(COUNTIFS($S$5:$S$1000,$S234,$V$5:$V$1000,"Macro")*SUMIFS($H$5:$H$1000,$S$5:$S$1000,$S234,$V$5:$V$1000,"Macro")/COUNTIFS($S$5:$S$1000,$S234,$V$5:$V$1000,"Macro",$H$5:$H$1000,"&gt;0"))))</f>
        <v/>
      </c>
      <c r="AH234" s="62" t="n"/>
      <c r="AI234" s="62" t="n"/>
      <c r="AJ234" s="62" t="n"/>
      <c r="AK234" s="62" t="n"/>
      <c r="AL234" s="62">
        <f>IF(LEFT($C234,11)="[Jefatura] ",IFERROR(MATCH("Asistente Técnico de Riesgo|"&amp;MID($C234,12,500),rDname_ADM,0),0),"")</f>
        <v/>
      </c>
      <c r="AM234" s="62">
        <f>IF(N($AL234)&gt;0,INDEX(rIni_ADM,$AL234),IF(ISNUMBER($E234),$E234,""))</f>
        <v/>
      </c>
      <c r="AN234" s="62">
        <f>IF(N($AL234)&gt;0,INDEX(rLim_ADM,$AL234),IF(ISNUMBER($F234),$F234,""))</f>
        <v/>
      </c>
    </row>
    <row r="235">
      <c r="A235" s="56">
        <f>IF(NOT((COUNTA($B235:$D235)+COUNTA($G235:$L235)+COUNTA($Q235))&gt;0),"",IF($V235="Macro",COUNTIFS($V$5:$V235,"Macro",$S$5:$S235,$S235),IF(N($U235)=0,"?",COUNTIFS(INDEX($V$5:$V$1000,1):INDEX($V$5:$V$1000,$U235-4),"Macro",INDEX($S$5:$S$1000,1):INDEX($S$5:$S$1000,$U235-4),INDEX($S$5:$S$1000,$U235-4))&amp;"."&amp;COUNTIFS($U$5:$U235,$U235,$V$5:$V235,"Sub"))))</f>
        <v/>
      </c>
      <c r="B235" s="57" t="n"/>
      <c r="C235" s="58" t="n"/>
      <c r="D235" s="58" t="n"/>
      <c r="E235" s="59">
        <f>IF(N($AL235)&gt;0,INDEX(rIni_ADM,$AL235),"")</f>
        <v/>
      </c>
      <c r="F235" s="59">
        <f>IF(N($AL235)&gt;0,INDEX(rLim_ADM,$AL235),"")</f>
        <v/>
      </c>
      <c r="G235" s="59" t="n"/>
      <c r="H235" s="60" t="n"/>
      <c r="I235" s="60" t="n"/>
      <c r="J235" s="60" t="n"/>
      <c r="K235" s="60" t="n"/>
      <c r="L235" s="60" t="n"/>
      <c r="M235" s="61">
        <f>IF(NOT((COUNTA($B235:$D235)+COUNTA($G235:$L235)+COUNTA($Q235))&gt;0),"",IF(ISNUMBER($G235),1,IF(N($W235)&gt;0,AVERAGEIFS($X$5:$X$1000,$U$5:$U$1000,ROW(),$V$5:$V$1000,"Sub"),$X235)))</f>
        <v/>
      </c>
      <c r="N235" s="56">
        <f>IF($M235="","",IF($M235&gt;=1,"Completado",IF($M235&gt;0,"En curso","Pendiente")))</f>
        <v/>
      </c>
      <c r="O235" s="56">
        <f>IF(NOT((COUNTA($B235:$D235)+COUNTA($G235:$L235)+COUNTA($Q235))&gt;0),"",IF(ISNUMBER($G235),IF(AND(ISNUMBER($AN235),$G235&gt;$AN235),"Cumplida con "&amp;($G235-$AN235)&amp;IF($G235-$AN235=1," día"," días")&amp;" de retraso","Cumplida"),IF(N($M235)&gt;=1,"Cumplida",IF(NOT(ISNUMBER($AN235)),"Sin fecha límite",IF($AN235&lt;FechaRef,"Vencida hace "&amp;(FechaRef-$AN235)&amp;IF(FechaRef-$AN235=1," día"," días"),IF($AN235=FechaRef,"Vence hoy",IF($AN235-FechaRef&lt;=DiasAlerta,"Vence en "&amp;($AN235-FechaRef)&amp;IF($AN235-FechaRef=1," día"," días"),"En plazo")))))))</f>
        <v/>
      </c>
      <c r="P235" s="62" t="n"/>
      <c r="Q235" s="58" t="n"/>
      <c r="R235" s="63">
        <f>IF(NOT((COUNTA($B235:$D235)+COUNTA($G235:$L235)+COUNTA($Q235))&gt;0),"",IF((IF($C235="","Falta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",""))="","✔ OK","⚠ "&amp;LEFT(IF($C235="","Falta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",""),LEN(IF($C235="","Falta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",""))-3)))</f>
        <v/>
      </c>
      <c r="S235" s="64">
        <f>IF(NOT((COUNTA($B235:$D235)+COUNTA($G235:$L235)+COUNTA($Q235))&gt;0),"",IF(AND($V235="Sub",N($U235)&gt;0),IF(ISNUMBER(INDEX($AM$5:$AM$1000,$U235-4)),DATE(YEAR(INDEX($AM$5:$AM$1000,$U235-4)),MONTH(INDEX($AM$5:$AM$1000,$U235-4)),1),IF(ISNUMBER(INDEX($AN$5:$AN$1000,$U235-4)),DATE(YEAR(INDEX($AN$5:$AN$1000,$U235-4)),MONTH(INDEX($AN$5:$AN$1000,$U235-4)),1),MesCiclo)),IF(ISNUMBER($AM235),DATE(YEAR($AM235),MONTH($AM235),1),IF(ISNUMBER($AN235),DATE(YEAR($AN235),MONTH($AN235),1),MesCiclo))))</f>
        <v/>
      </c>
      <c r="T235" s="62">
        <f>IF(OR($S235="",$S235&lt;&gt;MesCiclo),"",COUNTIF($S$5:$S235,MesCiclo))</f>
        <v/>
      </c>
      <c r="U235" s="62">
        <f>IF($V235="","",IF($V235="Macro",ROW(),IFERROR(LOOKUP(2,1/($V$5:$V235="Macro"),ROW($V$5:$V235)),0)))</f>
        <v/>
      </c>
      <c r="V235" s="62">
        <f>IF(NOT((COUNTA($B235:$D235)+COUNTA($G235:$L235)+COUNTA($Q235))&gt;0),"",IF($B235="Subactividad","Sub","Macro"))</f>
        <v/>
      </c>
      <c r="W235" s="62">
        <f>IF($V235="Macro",COUNTIFS($U$5:$U$1000,ROW(),$V$5:$V$1000,"Sub"),"")</f>
        <v/>
      </c>
      <c r="X235" s="62">
        <f>IF($V235="","",IF(ISNUMBER($G235),1,IFERROR(LOOKUP(2,1/($I235:$L235&lt;&gt;""),$I235:$L235),0)))</f>
        <v/>
      </c>
      <c r="Y235" s="62">
        <f>IF($V235="","",IF(AND(ISNUMBER($G235),$G235&lt;=IF($S235=MesCiclo,InicioCiclo,$S235+MOD(2-WEEKDAY($S235),7))+6),1,IF(ISNUMBER($I235),$I235,0)))</f>
        <v/>
      </c>
      <c r="Z235" s="62">
        <f>IF($V235="","",IF(AND(ISNUMBER($G235),$G235&lt;=IF($S235=MesCiclo,InicioCiclo,$S235+MOD(2-WEEKDAY($S235),7))+13),1,IF(ISNUMBER($J235),$J235,$Y235)))</f>
        <v/>
      </c>
      <c r="AA235" s="62">
        <f>IF($V235="","",IF(AND(ISNUMBER($G235),$G235&lt;=IF($S235=MesCiclo,InicioCiclo,$S235+MOD(2-WEEKDAY($S235),7))+20),1,IF(ISNUMBER($K235),$K235,$Z235)))</f>
        <v/>
      </c>
      <c r="AB235" s="62">
        <f>IF($V235="","",IF(AND(ISNUMBER($G235),$G235&lt;=IF($S235=MesCiclo,InicioCiclo,$S235+MOD(2-WEEKDAY($S235),7))+27),1,IF(ISNUMBER($L235),$L235,$AA235)))</f>
        <v/>
      </c>
      <c r="AC235" s="62">
        <f>IF($V235="","",IF(AND(ISNUMBER($G235),$G235&lt;=IF($S235=MesCiclo,InicioCiclo,$S235+MOD(2-WEEKDAY($S235),7))+6),1,IF(N($W235)&gt;0,AVERAGEIFS($Y$5:$Y$1000,$U$5:$U$1000,ROW(),$V$5:$V$1000,"Sub"),$Y235)))</f>
        <v/>
      </c>
      <c r="AD235" s="62">
        <f>IF($V235="","",IF(AND(ISNUMBER($G235),$G235&lt;=IF($S235=MesCiclo,InicioCiclo,$S235+MOD(2-WEEKDAY($S235),7))+13),1,IF(N($W235)&gt;0,AVERAGEIFS($Z$5:$Z$1000,$U$5:$U$1000,ROW(),$V$5:$V$1000,"Sub"),$Z235)))</f>
        <v/>
      </c>
      <c r="AE235" s="62">
        <f>IF($V235="","",IF(AND(ISNUMBER($G235),$G235&lt;=IF($S235=MesCiclo,InicioCiclo,$S235+MOD(2-WEEKDAY($S235),7))+20),1,IF(N($W235)&gt;0,AVERAGEIFS($AA$5:$AA$1000,$U$5:$U$1000,ROW(),$V$5:$V$1000,"Sub"),$AA235)))</f>
        <v/>
      </c>
      <c r="AF235" s="62">
        <f>IF($V235="","",IF(AND(ISNUMBER($G235),$G235&lt;=IF($S235=MesCiclo,InicioCiclo,$S235+MOD(2-WEEKDAY($S235),7))+27),1,IF(N($W235)&gt;0,AVERAGEIFS($AB$5:$AB$1000,$U$5:$U$1000,ROW(),$V$5:$V$1000,"Sub"),$AB235)))</f>
        <v/>
      </c>
      <c r="AG235" s="62">
        <f>IF($V235&lt;&gt;"Macro","",IF(COUNTIFS($S$5:$S$1000,$S235,$V$5:$V$1000,"Macro",$H$5:$H$1000,"&gt;0")=0,1/COUNTIFS($S$5:$S$1000,$S235,$V$5:$V$1000,"Macro"),IF(AND(ISNUMBER($H235),N($H235)&gt;0),$H235,SUMIFS($H$5:$H$1000,$S$5:$S$1000,$S235,$V$5:$V$1000,"Macro")/COUNTIFS($S$5:$S$1000,$S235,$V$5:$V$1000,"Macro",$H$5:$H$1000,"&gt;0"))/(COUNTIFS($S$5:$S$1000,$S235,$V$5:$V$1000,"Macro")*SUMIFS($H$5:$H$1000,$S$5:$S$1000,$S235,$V$5:$V$1000,"Macro")/COUNTIFS($S$5:$S$1000,$S235,$V$5:$V$1000,"Macro",$H$5:$H$1000,"&gt;0"))))</f>
        <v/>
      </c>
      <c r="AH235" s="62" t="n"/>
      <c r="AI235" s="62" t="n"/>
      <c r="AJ235" s="62" t="n"/>
      <c r="AK235" s="62" t="n"/>
      <c r="AL235" s="62">
        <f>IF(LEFT($C235,11)="[Jefatura] ",IFERROR(MATCH("Asistente Técnico de Riesgo|"&amp;MID($C235,12,500),rDname_ADM,0),0),"")</f>
        <v/>
      </c>
      <c r="AM235" s="62">
        <f>IF(N($AL235)&gt;0,INDEX(rIni_ADM,$AL235),IF(ISNUMBER($E235),$E235,""))</f>
        <v/>
      </c>
      <c r="AN235" s="62">
        <f>IF(N($AL235)&gt;0,INDEX(rLim_ADM,$AL235),IF(ISNUMBER($F235),$F235,""))</f>
        <v/>
      </c>
    </row>
    <row r="236">
      <c r="A236" s="56">
        <f>IF(NOT((COUNTA($B236:$D236)+COUNTA($G236:$L236)+COUNTA($Q236))&gt;0),"",IF($V236="Macro",COUNTIFS($V$5:$V236,"Macro",$S$5:$S236,$S236),IF(N($U236)=0,"?",COUNTIFS(INDEX($V$5:$V$1000,1):INDEX($V$5:$V$1000,$U236-4),"Macro",INDEX($S$5:$S$1000,1):INDEX($S$5:$S$1000,$U236-4),INDEX($S$5:$S$1000,$U236-4))&amp;"."&amp;COUNTIFS($U$5:$U236,$U236,$V$5:$V236,"Sub"))))</f>
        <v/>
      </c>
      <c r="B236" s="57" t="n"/>
      <c r="C236" s="58" t="n"/>
      <c r="D236" s="58" t="n"/>
      <c r="E236" s="59">
        <f>IF(N($AL236)&gt;0,INDEX(rIni_ADM,$AL236),"")</f>
        <v/>
      </c>
      <c r="F236" s="59">
        <f>IF(N($AL236)&gt;0,INDEX(rLim_ADM,$AL236),"")</f>
        <v/>
      </c>
      <c r="G236" s="59" t="n"/>
      <c r="H236" s="60" t="n"/>
      <c r="I236" s="60" t="n"/>
      <c r="J236" s="60" t="n"/>
      <c r="K236" s="60" t="n"/>
      <c r="L236" s="60" t="n"/>
      <c r="M236" s="61">
        <f>IF(NOT((COUNTA($B236:$D236)+COUNTA($G236:$L236)+COUNTA($Q236))&gt;0),"",IF(ISNUMBER($G236),1,IF(N($W236)&gt;0,AVERAGEIFS($X$5:$X$1000,$U$5:$U$1000,ROW(),$V$5:$V$1000,"Sub"),$X236)))</f>
        <v/>
      </c>
      <c r="N236" s="56">
        <f>IF($M236="","",IF($M236&gt;=1,"Completado",IF($M236&gt;0,"En curso","Pendiente")))</f>
        <v/>
      </c>
      <c r="O236" s="56">
        <f>IF(NOT((COUNTA($B236:$D236)+COUNTA($G236:$L236)+COUNTA($Q236))&gt;0),"",IF(ISNUMBER($G236),IF(AND(ISNUMBER($AN236),$G236&gt;$AN236),"Cumplida con "&amp;($G236-$AN236)&amp;IF($G236-$AN236=1," día"," días")&amp;" de retraso","Cumplida"),IF(N($M236)&gt;=1,"Cumplida",IF(NOT(ISNUMBER($AN236)),"Sin fecha límite",IF($AN236&lt;FechaRef,"Vencida hace "&amp;(FechaRef-$AN236)&amp;IF(FechaRef-$AN236=1," día"," días"),IF($AN236=FechaRef,"Vence hoy",IF($AN236-FechaRef&lt;=DiasAlerta,"Vence en "&amp;($AN236-FechaRef)&amp;IF($AN236-FechaRef=1," día"," días"),"En plazo")))))))</f>
        <v/>
      </c>
      <c r="P236" s="62" t="n"/>
      <c r="Q236" s="58" t="n"/>
      <c r="R236" s="63">
        <f>IF(NOT((COUNTA($B236:$D236)+COUNTA($G236:$L236)+COUNTA($Q236))&gt;0),"",IF((IF($C236="","Falta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",""))="","✔ OK","⚠ "&amp;LEFT(IF($C236="","Falta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",""),LEN(IF($C236="","Falta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",""))-3)))</f>
        <v/>
      </c>
      <c r="S236" s="64">
        <f>IF(NOT((COUNTA($B236:$D236)+COUNTA($G236:$L236)+COUNTA($Q236))&gt;0),"",IF(AND($V236="Sub",N($U236)&gt;0),IF(ISNUMBER(INDEX($AM$5:$AM$1000,$U236-4)),DATE(YEAR(INDEX($AM$5:$AM$1000,$U236-4)),MONTH(INDEX($AM$5:$AM$1000,$U236-4)),1),IF(ISNUMBER(INDEX($AN$5:$AN$1000,$U236-4)),DATE(YEAR(INDEX($AN$5:$AN$1000,$U236-4)),MONTH(INDEX($AN$5:$AN$1000,$U236-4)),1),MesCiclo)),IF(ISNUMBER($AM236),DATE(YEAR($AM236),MONTH($AM236),1),IF(ISNUMBER($AN236),DATE(YEAR($AN236),MONTH($AN236),1),MesCiclo))))</f>
        <v/>
      </c>
      <c r="T236" s="62">
        <f>IF(OR($S236="",$S236&lt;&gt;MesCiclo),"",COUNTIF($S$5:$S236,MesCiclo))</f>
        <v/>
      </c>
      <c r="U236" s="62">
        <f>IF($V236="","",IF($V236="Macro",ROW(),IFERROR(LOOKUP(2,1/($V$5:$V236="Macro"),ROW($V$5:$V236)),0)))</f>
        <v/>
      </c>
      <c r="V236" s="62">
        <f>IF(NOT((COUNTA($B236:$D236)+COUNTA($G236:$L236)+COUNTA($Q236))&gt;0),"",IF($B236="Subactividad","Sub","Macro"))</f>
        <v/>
      </c>
      <c r="W236" s="62">
        <f>IF($V236="Macro",COUNTIFS($U$5:$U$1000,ROW(),$V$5:$V$1000,"Sub"),"")</f>
        <v/>
      </c>
      <c r="X236" s="62">
        <f>IF($V236="","",IF(ISNUMBER($G236),1,IFERROR(LOOKUP(2,1/($I236:$L236&lt;&gt;""),$I236:$L236),0)))</f>
        <v/>
      </c>
      <c r="Y236" s="62">
        <f>IF($V236="","",IF(AND(ISNUMBER($G236),$G236&lt;=IF($S236=MesCiclo,InicioCiclo,$S236+MOD(2-WEEKDAY($S236),7))+6),1,IF(ISNUMBER($I236),$I236,0)))</f>
        <v/>
      </c>
      <c r="Z236" s="62">
        <f>IF($V236="","",IF(AND(ISNUMBER($G236),$G236&lt;=IF($S236=MesCiclo,InicioCiclo,$S236+MOD(2-WEEKDAY($S236),7))+13),1,IF(ISNUMBER($J236),$J236,$Y236)))</f>
        <v/>
      </c>
      <c r="AA236" s="62">
        <f>IF($V236="","",IF(AND(ISNUMBER($G236),$G236&lt;=IF($S236=MesCiclo,InicioCiclo,$S236+MOD(2-WEEKDAY($S236),7))+20),1,IF(ISNUMBER($K236),$K236,$Z236)))</f>
        <v/>
      </c>
      <c r="AB236" s="62">
        <f>IF($V236="","",IF(AND(ISNUMBER($G236),$G236&lt;=IF($S236=MesCiclo,InicioCiclo,$S236+MOD(2-WEEKDAY($S236),7))+27),1,IF(ISNUMBER($L236),$L236,$AA236)))</f>
        <v/>
      </c>
      <c r="AC236" s="62">
        <f>IF($V236="","",IF(AND(ISNUMBER($G236),$G236&lt;=IF($S236=MesCiclo,InicioCiclo,$S236+MOD(2-WEEKDAY($S236),7))+6),1,IF(N($W236)&gt;0,AVERAGEIFS($Y$5:$Y$1000,$U$5:$U$1000,ROW(),$V$5:$V$1000,"Sub"),$Y236)))</f>
        <v/>
      </c>
      <c r="AD236" s="62">
        <f>IF($V236="","",IF(AND(ISNUMBER($G236),$G236&lt;=IF($S236=MesCiclo,InicioCiclo,$S236+MOD(2-WEEKDAY($S236),7))+13),1,IF(N($W236)&gt;0,AVERAGEIFS($Z$5:$Z$1000,$U$5:$U$1000,ROW(),$V$5:$V$1000,"Sub"),$Z236)))</f>
        <v/>
      </c>
      <c r="AE236" s="62">
        <f>IF($V236="","",IF(AND(ISNUMBER($G236),$G236&lt;=IF($S236=MesCiclo,InicioCiclo,$S236+MOD(2-WEEKDAY($S236),7))+20),1,IF(N($W236)&gt;0,AVERAGEIFS($AA$5:$AA$1000,$U$5:$U$1000,ROW(),$V$5:$V$1000,"Sub"),$AA236)))</f>
        <v/>
      </c>
      <c r="AF236" s="62">
        <f>IF($V236="","",IF(AND(ISNUMBER($G236),$G236&lt;=IF($S236=MesCiclo,InicioCiclo,$S236+MOD(2-WEEKDAY($S236),7))+27),1,IF(N($W236)&gt;0,AVERAGEIFS($AB$5:$AB$1000,$U$5:$U$1000,ROW(),$V$5:$V$1000,"Sub"),$AB236)))</f>
        <v/>
      </c>
      <c r="AG236" s="62">
        <f>IF($V236&lt;&gt;"Macro","",IF(COUNTIFS($S$5:$S$1000,$S236,$V$5:$V$1000,"Macro",$H$5:$H$1000,"&gt;0")=0,1/COUNTIFS($S$5:$S$1000,$S236,$V$5:$V$1000,"Macro"),IF(AND(ISNUMBER($H236),N($H236)&gt;0),$H236,SUMIFS($H$5:$H$1000,$S$5:$S$1000,$S236,$V$5:$V$1000,"Macro")/COUNTIFS($S$5:$S$1000,$S236,$V$5:$V$1000,"Macro",$H$5:$H$1000,"&gt;0"))/(COUNTIFS($S$5:$S$1000,$S236,$V$5:$V$1000,"Macro")*SUMIFS($H$5:$H$1000,$S$5:$S$1000,$S236,$V$5:$V$1000,"Macro")/COUNTIFS($S$5:$S$1000,$S236,$V$5:$V$1000,"Macro",$H$5:$H$1000,"&gt;0"))))</f>
        <v/>
      </c>
      <c r="AH236" s="62" t="n"/>
      <c r="AI236" s="62" t="n"/>
      <c r="AJ236" s="62" t="n"/>
      <c r="AK236" s="62" t="n"/>
      <c r="AL236" s="62">
        <f>IF(LEFT($C236,11)="[Jefatura] ",IFERROR(MATCH("Asistente Técnico de Riesgo|"&amp;MID($C236,12,500),rDname_ADM,0),0),"")</f>
        <v/>
      </c>
      <c r="AM236" s="62">
        <f>IF(N($AL236)&gt;0,INDEX(rIni_ADM,$AL236),IF(ISNUMBER($E236),$E236,""))</f>
        <v/>
      </c>
      <c r="AN236" s="62">
        <f>IF(N($AL236)&gt;0,INDEX(rLim_ADM,$AL236),IF(ISNUMBER($F236),$F236,""))</f>
        <v/>
      </c>
    </row>
    <row r="237">
      <c r="A237" s="56">
        <f>IF(NOT((COUNTA($B237:$D237)+COUNTA($G237:$L237)+COUNTA($Q237))&gt;0),"",IF($V237="Macro",COUNTIFS($V$5:$V237,"Macro",$S$5:$S237,$S237),IF(N($U237)=0,"?",COUNTIFS(INDEX($V$5:$V$1000,1):INDEX($V$5:$V$1000,$U237-4),"Macro",INDEX($S$5:$S$1000,1):INDEX($S$5:$S$1000,$U237-4),INDEX($S$5:$S$1000,$U237-4))&amp;"."&amp;COUNTIFS($U$5:$U237,$U237,$V$5:$V237,"Sub"))))</f>
        <v/>
      </c>
      <c r="B237" s="57" t="n"/>
      <c r="C237" s="58" t="n"/>
      <c r="D237" s="58" t="n"/>
      <c r="E237" s="59">
        <f>IF(N($AL237)&gt;0,INDEX(rIni_ADM,$AL237),"")</f>
        <v/>
      </c>
      <c r="F237" s="59">
        <f>IF(N($AL237)&gt;0,INDEX(rLim_ADM,$AL237),"")</f>
        <v/>
      </c>
      <c r="G237" s="59" t="n"/>
      <c r="H237" s="60" t="n"/>
      <c r="I237" s="60" t="n"/>
      <c r="J237" s="60" t="n"/>
      <c r="K237" s="60" t="n"/>
      <c r="L237" s="60" t="n"/>
      <c r="M237" s="61">
        <f>IF(NOT((COUNTA($B237:$D237)+COUNTA($G237:$L237)+COUNTA($Q237))&gt;0),"",IF(ISNUMBER($G237),1,IF(N($W237)&gt;0,AVERAGEIFS($X$5:$X$1000,$U$5:$U$1000,ROW(),$V$5:$V$1000,"Sub"),$X237)))</f>
        <v/>
      </c>
      <c r="N237" s="56">
        <f>IF($M237="","",IF($M237&gt;=1,"Completado",IF($M237&gt;0,"En curso","Pendiente")))</f>
        <v/>
      </c>
      <c r="O237" s="56">
        <f>IF(NOT((COUNTA($B237:$D237)+COUNTA($G237:$L237)+COUNTA($Q237))&gt;0),"",IF(ISNUMBER($G237),IF(AND(ISNUMBER($AN237),$G237&gt;$AN237),"Cumplida con "&amp;($G237-$AN237)&amp;IF($G237-$AN237=1," día"," días")&amp;" de retraso","Cumplida"),IF(N($M237)&gt;=1,"Cumplida",IF(NOT(ISNUMBER($AN237)),"Sin fecha límite",IF($AN237&lt;FechaRef,"Vencida hace "&amp;(FechaRef-$AN237)&amp;IF(FechaRef-$AN237=1," día"," días"),IF($AN237=FechaRef,"Vence hoy",IF($AN237-FechaRef&lt;=DiasAlerta,"Vence en "&amp;($AN237-FechaRef)&amp;IF($AN237-FechaRef=1," día"," días"),"En plazo")))))))</f>
        <v/>
      </c>
      <c r="P237" s="62" t="n"/>
      <c r="Q237" s="58" t="n"/>
      <c r="R237" s="63">
        <f>IF(NOT((COUNTA($B237:$D237)+COUNTA($G237:$L237)+COUNTA($Q237))&gt;0),"",IF((IF($C237="","Falta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",""))="","✔ OK","⚠ "&amp;LEFT(IF($C237="","Falta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",""),LEN(IF($C237="","Falta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",""))-3)))</f>
        <v/>
      </c>
      <c r="S237" s="64">
        <f>IF(NOT((COUNTA($B237:$D237)+COUNTA($G237:$L237)+COUNTA($Q237))&gt;0),"",IF(AND($V237="Sub",N($U237)&gt;0),IF(ISNUMBER(INDEX($AM$5:$AM$1000,$U237-4)),DATE(YEAR(INDEX($AM$5:$AM$1000,$U237-4)),MONTH(INDEX($AM$5:$AM$1000,$U237-4)),1),IF(ISNUMBER(INDEX($AN$5:$AN$1000,$U237-4)),DATE(YEAR(INDEX($AN$5:$AN$1000,$U237-4)),MONTH(INDEX($AN$5:$AN$1000,$U237-4)),1),MesCiclo)),IF(ISNUMBER($AM237),DATE(YEAR($AM237),MONTH($AM237),1),IF(ISNUMBER($AN237),DATE(YEAR($AN237),MONTH($AN237),1),MesCiclo))))</f>
        <v/>
      </c>
      <c r="T237" s="62">
        <f>IF(OR($S237="",$S237&lt;&gt;MesCiclo),"",COUNTIF($S$5:$S237,MesCiclo))</f>
        <v/>
      </c>
      <c r="U237" s="62">
        <f>IF($V237="","",IF($V237="Macro",ROW(),IFERROR(LOOKUP(2,1/($V$5:$V237="Macro"),ROW($V$5:$V237)),0)))</f>
        <v/>
      </c>
      <c r="V237" s="62">
        <f>IF(NOT((COUNTA($B237:$D237)+COUNTA($G237:$L237)+COUNTA($Q237))&gt;0),"",IF($B237="Subactividad","Sub","Macro"))</f>
        <v/>
      </c>
      <c r="W237" s="62">
        <f>IF($V237="Macro",COUNTIFS($U$5:$U$1000,ROW(),$V$5:$V$1000,"Sub"),"")</f>
        <v/>
      </c>
      <c r="X237" s="62">
        <f>IF($V237="","",IF(ISNUMBER($G237),1,IFERROR(LOOKUP(2,1/($I237:$L237&lt;&gt;""),$I237:$L237),0)))</f>
        <v/>
      </c>
      <c r="Y237" s="62">
        <f>IF($V237="","",IF(AND(ISNUMBER($G237),$G237&lt;=IF($S237=MesCiclo,InicioCiclo,$S237+MOD(2-WEEKDAY($S237),7))+6),1,IF(ISNUMBER($I237),$I237,0)))</f>
        <v/>
      </c>
      <c r="Z237" s="62">
        <f>IF($V237="","",IF(AND(ISNUMBER($G237),$G237&lt;=IF($S237=MesCiclo,InicioCiclo,$S237+MOD(2-WEEKDAY($S237),7))+13),1,IF(ISNUMBER($J237),$J237,$Y237)))</f>
        <v/>
      </c>
      <c r="AA237" s="62">
        <f>IF($V237="","",IF(AND(ISNUMBER($G237),$G237&lt;=IF($S237=MesCiclo,InicioCiclo,$S237+MOD(2-WEEKDAY($S237),7))+20),1,IF(ISNUMBER($K237),$K237,$Z237)))</f>
        <v/>
      </c>
      <c r="AB237" s="62">
        <f>IF($V237="","",IF(AND(ISNUMBER($G237),$G237&lt;=IF($S237=MesCiclo,InicioCiclo,$S237+MOD(2-WEEKDAY($S237),7))+27),1,IF(ISNUMBER($L237),$L237,$AA237)))</f>
        <v/>
      </c>
      <c r="AC237" s="62">
        <f>IF($V237="","",IF(AND(ISNUMBER($G237),$G237&lt;=IF($S237=MesCiclo,InicioCiclo,$S237+MOD(2-WEEKDAY($S237),7))+6),1,IF(N($W237)&gt;0,AVERAGEIFS($Y$5:$Y$1000,$U$5:$U$1000,ROW(),$V$5:$V$1000,"Sub"),$Y237)))</f>
        <v/>
      </c>
      <c r="AD237" s="62">
        <f>IF($V237="","",IF(AND(ISNUMBER($G237),$G237&lt;=IF($S237=MesCiclo,InicioCiclo,$S237+MOD(2-WEEKDAY($S237),7))+13),1,IF(N($W237)&gt;0,AVERAGEIFS($Z$5:$Z$1000,$U$5:$U$1000,ROW(),$V$5:$V$1000,"Sub"),$Z237)))</f>
        <v/>
      </c>
      <c r="AE237" s="62">
        <f>IF($V237="","",IF(AND(ISNUMBER($G237),$G237&lt;=IF($S237=MesCiclo,InicioCiclo,$S237+MOD(2-WEEKDAY($S237),7))+20),1,IF(N($W237)&gt;0,AVERAGEIFS($AA$5:$AA$1000,$U$5:$U$1000,ROW(),$V$5:$V$1000,"Sub"),$AA237)))</f>
        <v/>
      </c>
      <c r="AF237" s="62">
        <f>IF($V237="","",IF(AND(ISNUMBER($G237),$G237&lt;=IF($S237=MesCiclo,InicioCiclo,$S237+MOD(2-WEEKDAY($S237),7))+27),1,IF(N($W237)&gt;0,AVERAGEIFS($AB$5:$AB$1000,$U$5:$U$1000,ROW(),$V$5:$V$1000,"Sub"),$AB237)))</f>
        <v/>
      </c>
      <c r="AG237" s="62">
        <f>IF($V237&lt;&gt;"Macro","",IF(COUNTIFS($S$5:$S$1000,$S237,$V$5:$V$1000,"Macro",$H$5:$H$1000,"&gt;0")=0,1/COUNTIFS($S$5:$S$1000,$S237,$V$5:$V$1000,"Macro"),IF(AND(ISNUMBER($H237),N($H237)&gt;0),$H237,SUMIFS($H$5:$H$1000,$S$5:$S$1000,$S237,$V$5:$V$1000,"Macro")/COUNTIFS($S$5:$S$1000,$S237,$V$5:$V$1000,"Macro",$H$5:$H$1000,"&gt;0"))/(COUNTIFS($S$5:$S$1000,$S237,$V$5:$V$1000,"Macro")*SUMIFS($H$5:$H$1000,$S$5:$S$1000,$S237,$V$5:$V$1000,"Macro")/COUNTIFS($S$5:$S$1000,$S237,$V$5:$V$1000,"Macro",$H$5:$H$1000,"&gt;0"))))</f>
        <v/>
      </c>
      <c r="AH237" s="62" t="n"/>
      <c r="AI237" s="62" t="n"/>
      <c r="AJ237" s="62" t="n"/>
      <c r="AK237" s="62" t="n"/>
      <c r="AL237" s="62">
        <f>IF(LEFT($C237,11)="[Jefatura] ",IFERROR(MATCH("Asistente Técnico de Riesgo|"&amp;MID($C237,12,500),rDname_ADM,0),0),"")</f>
        <v/>
      </c>
      <c r="AM237" s="62">
        <f>IF(N($AL237)&gt;0,INDEX(rIni_ADM,$AL237),IF(ISNUMBER($E237),$E237,""))</f>
        <v/>
      </c>
      <c r="AN237" s="62">
        <f>IF(N($AL237)&gt;0,INDEX(rLim_ADM,$AL237),IF(ISNUMBER($F237),$F237,""))</f>
        <v/>
      </c>
    </row>
    <row r="238">
      <c r="A238" s="56">
        <f>IF(NOT((COUNTA($B238:$D238)+COUNTA($G238:$L238)+COUNTA($Q238))&gt;0),"",IF($V238="Macro",COUNTIFS($V$5:$V238,"Macro",$S$5:$S238,$S238),IF(N($U238)=0,"?",COUNTIFS(INDEX($V$5:$V$1000,1):INDEX($V$5:$V$1000,$U238-4),"Macro",INDEX($S$5:$S$1000,1):INDEX($S$5:$S$1000,$U238-4),INDEX($S$5:$S$1000,$U238-4))&amp;"."&amp;COUNTIFS($U$5:$U238,$U238,$V$5:$V238,"Sub"))))</f>
        <v/>
      </c>
      <c r="B238" s="57" t="n"/>
      <c r="C238" s="58" t="n"/>
      <c r="D238" s="58" t="n"/>
      <c r="E238" s="59">
        <f>IF(N($AL238)&gt;0,INDEX(rIni_ADM,$AL238),"")</f>
        <v/>
      </c>
      <c r="F238" s="59">
        <f>IF(N($AL238)&gt;0,INDEX(rLim_ADM,$AL238),"")</f>
        <v/>
      </c>
      <c r="G238" s="59" t="n"/>
      <c r="H238" s="60" t="n"/>
      <c r="I238" s="60" t="n"/>
      <c r="J238" s="60" t="n"/>
      <c r="K238" s="60" t="n"/>
      <c r="L238" s="60" t="n"/>
      <c r="M238" s="61">
        <f>IF(NOT((COUNTA($B238:$D238)+COUNTA($G238:$L238)+COUNTA($Q238))&gt;0),"",IF(ISNUMBER($G238),1,IF(N($W238)&gt;0,AVERAGEIFS($X$5:$X$1000,$U$5:$U$1000,ROW(),$V$5:$V$1000,"Sub"),$X238)))</f>
        <v/>
      </c>
      <c r="N238" s="56">
        <f>IF($M238="","",IF($M238&gt;=1,"Completado",IF($M238&gt;0,"En curso","Pendiente")))</f>
        <v/>
      </c>
      <c r="O238" s="56">
        <f>IF(NOT((COUNTA($B238:$D238)+COUNTA($G238:$L238)+COUNTA($Q238))&gt;0),"",IF(ISNUMBER($G238),IF(AND(ISNUMBER($AN238),$G238&gt;$AN238),"Cumplida con "&amp;($G238-$AN238)&amp;IF($G238-$AN238=1," día"," días")&amp;" de retraso","Cumplida"),IF(N($M238)&gt;=1,"Cumplida",IF(NOT(ISNUMBER($AN238)),"Sin fecha límite",IF($AN238&lt;FechaRef,"Vencida hace "&amp;(FechaRef-$AN238)&amp;IF(FechaRef-$AN238=1," día"," días"),IF($AN238=FechaRef,"Vence hoy",IF($AN238-FechaRef&lt;=DiasAlerta,"Vence en "&amp;($AN238-FechaRef)&amp;IF($AN238-FechaRef=1," día"," días"),"En plazo")))))))</f>
        <v/>
      </c>
      <c r="P238" s="62" t="n"/>
      <c r="Q238" s="58" t="n"/>
      <c r="R238" s="63">
        <f>IF(NOT((COUNTA($B238:$D238)+COUNTA($G238:$L238)+COUNTA($Q238))&gt;0),"",IF((IF($C238="","Falta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",""))="","✔ OK","⚠ "&amp;LEFT(IF($C238="","Falta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",""),LEN(IF($C238="","Falta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",""))-3)))</f>
        <v/>
      </c>
      <c r="S238" s="64">
        <f>IF(NOT((COUNTA($B238:$D238)+COUNTA($G238:$L238)+COUNTA($Q238))&gt;0),"",IF(AND($V238="Sub",N($U238)&gt;0),IF(ISNUMBER(INDEX($AM$5:$AM$1000,$U238-4)),DATE(YEAR(INDEX($AM$5:$AM$1000,$U238-4)),MONTH(INDEX($AM$5:$AM$1000,$U238-4)),1),IF(ISNUMBER(INDEX($AN$5:$AN$1000,$U238-4)),DATE(YEAR(INDEX($AN$5:$AN$1000,$U238-4)),MONTH(INDEX($AN$5:$AN$1000,$U238-4)),1),MesCiclo)),IF(ISNUMBER($AM238),DATE(YEAR($AM238),MONTH($AM238),1),IF(ISNUMBER($AN238),DATE(YEAR($AN238),MONTH($AN238),1),MesCiclo))))</f>
        <v/>
      </c>
      <c r="T238" s="62">
        <f>IF(OR($S238="",$S238&lt;&gt;MesCiclo),"",COUNTIF($S$5:$S238,MesCiclo))</f>
        <v/>
      </c>
      <c r="U238" s="62">
        <f>IF($V238="","",IF($V238="Macro",ROW(),IFERROR(LOOKUP(2,1/($V$5:$V238="Macro"),ROW($V$5:$V238)),0)))</f>
        <v/>
      </c>
      <c r="V238" s="62">
        <f>IF(NOT((COUNTA($B238:$D238)+COUNTA($G238:$L238)+COUNTA($Q238))&gt;0),"",IF($B238="Subactividad","Sub","Macro"))</f>
        <v/>
      </c>
      <c r="W238" s="62">
        <f>IF($V238="Macro",COUNTIFS($U$5:$U$1000,ROW(),$V$5:$V$1000,"Sub"),"")</f>
        <v/>
      </c>
      <c r="X238" s="62">
        <f>IF($V238="","",IF(ISNUMBER($G238),1,IFERROR(LOOKUP(2,1/($I238:$L238&lt;&gt;""),$I238:$L238),0)))</f>
        <v/>
      </c>
      <c r="Y238" s="62">
        <f>IF($V238="","",IF(AND(ISNUMBER($G238),$G238&lt;=IF($S238=MesCiclo,InicioCiclo,$S238+MOD(2-WEEKDAY($S238),7))+6),1,IF(ISNUMBER($I238),$I238,0)))</f>
        <v/>
      </c>
      <c r="Z238" s="62">
        <f>IF($V238="","",IF(AND(ISNUMBER($G238),$G238&lt;=IF($S238=MesCiclo,InicioCiclo,$S238+MOD(2-WEEKDAY($S238),7))+13),1,IF(ISNUMBER($J238),$J238,$Y238)))</f>
        <v/>
      </c>
      <c r="AA238" s="62">
        <f>IF($V238="","",IF(AND(ISNUMBER($G238),$G238&lt;=IF($S238=MesCiclo,InicioCiclo,$S238+MOD(2-WEEKDAY($S238),7))+20),1,IF(ISNUMBER($K238),$K238,$Z238)))</f>
        <v/>
      </c>
      <c r="AB238" s="62">
        <f>IF($V238="","",IF(AND(ISNUMBER($G238),$G238&lt;=IF($S238=MesCiclo,InicioCiclo,$S238+MOD(2-WEEKDAY($S238),7))+27),1,IF(ISNUMBER($L238),$L238,$AA238)))</f>
        <v/>
      </c>
      <c r="AC238" s="62">
        <f>IF($V238="","",IF(AND(ISNUMBER($G238),$G238&lt;=IF($S238=MesCiclo,InicioCiclo,$S238+MOD(2-WEEKDAY($S238),7))+6),1,IF(N($W238)&gt;0,AVERAGEIFS($Y$5:$Y$1000,$U$5:$U$1000,ROW(),$V$5:$V$1000,"Sub"),$Y238)))</f>
        <v/>
      </c>
      <c r="AD238" s="62">
        <f>IF($V238="","",IF(AND(ISNUMBER($G238),$G238&lt;=IF($S238=MesCiclo,InicioCiclo,$S238+MOD(2-WEEKDAY($S238),7))+13),1,IF(N($W238)&gt;0,AVERAGEIFS($Z$5:$Z$1000,$U$5:$U$1000,ROW(),$V$5:$V$1000,"Sub"),$Z238)))</f>
        <v/>
      </c>
      <c r="AE238" s="62">
        <f>IF($V238="","",IF(AND(ISNUMBER($G238),$G238&lt;=IF($S238=MesCiclo,InicioCiclo,$S238+MOD(2-WEEKDAY($S238),7))+20),1,IF(N($W238)&gt;0,AVERAGEIFS($AA$5:$AA$1000,$U$5:$U$1000,ROW(),$V$5:$V$1000,"Sub"),$AA238)))</f>
        <v/>
      </c>
      <c r="AF238" s="62">
        <f>IF($V238="","",IF(AND(ISNUMBER($G238),$G238&lt;=IF($S238=MesCiclo,InicioCiclo,$S238+MOD(2-WEEKDAY($S238),7))+27),1,IF(N($W238)&gt;0,AVERAGEIFS($AB$5:$AB$1000,$U$5:$U$1000,ROW(),$V$5:$V$1000,"Sub"),$AB238)))</f>
        <v/>
      </c>
      <c r="AG238" s="62">
        <f>IF($V238&lt;&gt;"Macro","",IF(COUNTIFS($S$5:$S$1000,$S238,$V$5:$V$1000,"Macro",$H$5:$H$1000,"&gt;0")=0,1/COUNTIFS($S$5:$S$1000,$S238,$V$5:$V$1000,"Macro"),IF(AND(ISNUMBER($H238),N($H238)&gt;0),$H238,SUMIFS($H$5:$H$1000,$S$5:$S$1000,$S238,$V$5:$V$1000,"Macro")/COUNTIFS($S$5:$S$1000,$S238,$V$5:$V$1000,"Macro",$H$5:$H$1000,"&gt;0"))/(COUNTIFS($S$5:$S$1000,$S238,$V$5:$V$1000,"Macro")*SUMIFS($H$5:$H$1000,$S$5:$S$1000,$S238,$V$5:$V$1000,"Macro")/COUNTIFS($S$5:$S$1000,$S238,$V$5:$V$1000,"Macro",$H$5:$H$1000,"&gt;0"))))</f>
        <v/>
      </c>
      <c r="AH238" s="62" t="n"/>
      <c r="AI238" s="62" t="n"/>
      <c r="AJ238" s="62" t="n"/>
      <c r="AK238" s="62" t="n"/>
      <c r="AL238" s="62">
        <f>IF(LEFT($C238,11)="[Jefatura] ",IFERROR(MATCH("Asistente Técnico de Riesgo|"&amp;MID($C238,12,500),rDname_ADM,0),0),"")</f>
        <v/>
      </c>
      <c r="AM238" s="62">
        <f>IF(N($AL238)&gt;0,INDEX(rIni_ADM,$AL238),IF(ISNUMBER($E238),$E238,""))</f>
        <v/>
      </c>
      <c r="AN238" s="62">
        <f>IF(N($AL238)&gt;0,INDEX(rLim_ADM,$AL238),IF(ISNUMBER($F238),$F238,""))</f>
        <v/>
      </c>
    </row>
    <row r="239">
      <c r="A239" s="56">
        <f>IF(NOT((COUNTA($B239:$D239)+COUNTA($G239:$L239)+COUNTA($Q239))&gt;0),"",IF($V239="Macro",COUNTIFS($V$5:$V239,"Macro",$S$5:$S239,$S239),IF(N($U239)=0,"?",COUNTIFS(INDEX($V$5:$V$1000,1):INDEX($V$5:$V$1000,$U239-4),"Macro",INDEX($S$5:$S$1000,1):INDEX($S$5:$S$1000,$U239-4),INDEX($S$5:$S$1000,$U239-4))&amp;"."&amp;COUNTIFS($U$5:$U239,$U239,$V$5:$V239,"Sub"))))</f>
        <v/>
      </c>
      <c r="B239" s="57" t="n"/>
      <c r="C239" s="58" t="n"/>
      <c r="D239" s="58" t="n"/>
      <c r="E239" s="59">
        <f>IF(N($AL239)&gt;0,INDEX(rIni_ADM,$AL239),"")</f>
        <v/>
      </c>
      <c r="F239" s="59">
        <f>IF(N($AL239)&gt;0,INDEX(rLim_ADM,$AL239),"")</f>
        <v/>
      </c>
      <c r="G239" s="59" t="n"/>
      <c r="H239" s="60" t="n"/>
      <c r="I239" s="60" t="n"/>
      <c r="J239" s="60" t="n"/>
      <c r="K239" s="60" t="n"/>
      <c r="L239" s="60" t="n"/>
      <c r="M239" s="61">
        <f>IF(NOT((COUNTA($B239:$D239)+COUNTA($G239:$L239)+COUNTA($Q239))&gt;0),"",IF(ISNUMBER($G239),1,IF(N($W239)&gt;0,AVERAGEIFS($X$5:$X$1000,$U$5:$U$1000,ROW(),$V$5:$V$1000,"Sub"),$X239)))</f>
        <v/>
      </c>
      <c r="N239" s="56">
        <f>IF($M239="","",IF($M239&gt;=1,"Completado",IF($M239&gt;0,"En curso","Pendiente")))</f>
        <v/>
      </c>
      <c r="O239" s="56">
        <f>IF(NOT((COUNTA($B239:$D239)+COUNTA($G239:$L239)+COUNTA($Q239))&gt;0),"",IF(ISNUMBER($G239),IF(AND(ISNUMBER($AN239),$G239&gt;$AN239),"Cumplida con "&amp;($G239-$AN239)&amp;IF($G239-$AN239=1," día"," días")&amp;" de retraso","Cumplida"),IF(N($M239)&gt;=1,"Cumplida",IF(NOT(ISNUMBER($AN239)),"Sin fecha límite",IF($AN239&lt;FechaRef,"Vencida hace "&amp;(FechaRef-$AN239)&amp;IF(FechaRef-$AN239=1," día"," días"),IF($AN239=FechaRef,"Vence hoy",IF($AN239-FechaRef&lt;=DiasAlerta,"Vence en "&amp;($AN239-FechaRef)&amp;IF($AN239-FechaRef=1," día"," días"),"En plazo")))))))</f>
        <v/>
      </c>
      <c r="P239" s="62" t="n"/>
      <c r="Q239" s="58" t="n"/>
      <c r="R239" s="63">
        <f>IF(NOT((COUNTA($B239:$D239)+COUNTA($G239:$L239)+COUNTA($Q239))&gt;0),"",IF((IF($C239="","Falta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",""))="","✔ OK","⚠ "&amp;LEFT(IF($C239="","Falta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",""),LEN(IF($C239="","Falta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",""))-3)))</f>
        <v/>
      </c>
      <c r="S239" s="64">
        <f>IF(NOT((COUNTA($B239:$D239)+COUNTA($G239:$L239)+COUNTA($Q239))&gt;0),"",IF(AND($V239="Sub",N($U239)&gt;0),IF(ISNUMBER(INDEX($AM$5:$AM$1000,$U239-4)),DATE(YEAR(INDEX($AM$5:$AM$1000,$U239-4)),MONTH(INDEX($AM$5:$AM$1000,$U239-4)),1),IF(ISNUMBER(INDEX($AN$5:$AN$1000,$U239-4)),DATE(YEAR(INDEX($AN$5:$AN$1000,$U239-4)),MONTH(INDEX($AN$5:$AN$1000,$U239-4)),1),MesCiclo)),IF(ISNUMBER($AM239),DATE(YEAR($AM239),MONTH($AM239),1),IF(ISNUMBER($AN239),DATE(YEAR($AN239),MONTH($AN239),1),MesCiclo))))</f>
        <v/>
      </c>
      <c r="T239" s="62">
        <f>IF(OR($S239="",$S239&lt;&gt;MesCiclo),"",COUNTIF($S$5:$S239,MesCiclo))</f>
        <v/>
      </c>
      <c r="U239" s="62">
        <f>IF($V239="","",IF($V239="Macro",ROW(),IFERROR(LOOKUP(2,1/($V$5:$V239="Macro"),ROW($V$5:$V239)),0)))</f>
        <v/>
      </c>
      <c r="V239" s="62">
        <f>IF(NOT((COUNTA($B239:$D239)+COUNTA($G239:$L239)+COUNTA($Q239))&gt;0),"",IF($B239="Subactividad","Sub","Macro"))</f>
        <v/>
      </c>
      <c r="W239" s="62">
        <f>IF($V239="Macro",COUNTIFS($U$5:$U$1000,ROW(),$V$5:$V$1000,"Sub"),"")</f>
        <v/>
      </c>
      <c r="X239" s="62">
        <f>IF($V239="","",IF(ISNUMBER($G239),1,IFERROR(LOOKUP(2,1/($I239:$L239&lt;&gt;""),$I239:$L239),0)))</f>
        <v/>
      </c>
      <c r="Y239" s="62">
        <f>IF($V239="","",IF(AND(ISNUMBER($G239),$G239&lt;=IF($S239=MesCiclo,InicioCiclo,$S239+MOD(2-WEEKDAY($S239),7))+6),1,IF(ISNUMBER($I239),$I239,0)))</f>
        <v/>
      </c>
      <c r="Z239" s="62">
        <f>IF($V239="","",IF(AND(ISNUMBER($G239),$G239&lt;=IF($S239=MesCiclo,InicioCiclo,$S239+MOD(2-WEEKDAY($S239),7))+13),1,IF(ISNUMBER($J239),$J239,$Y239)))</f>
        <v/>
      </c>
      <c r="AA239" s="62">
        <f>IF($V239="","",IF(AND(ISNUMBER($G239),$G239&lt;=IF($S239=MesCiclo,InicioCiclo,$S239+MOD(2-WEEKDAY($S239),7))+20),1,IF(ISNUMBER($K239),$K239,$Z239)))</f>
        <v/>
      </c>
      <c r="AB239" s="62">
        <f>IF($V239="","",IF(AND(ISNUMBER($G239),$G239&lt;=IF($S239=MesCiclo,InicioCiclo,$S239+MOD(2-WEEKDAY($S239),7))+27),1,IF(ISNUMBER($L239),$L239,$AA239)))</f>
        <v/>
      </c>
      <c r="AC239" s="62">
        <f>IF($V239="","",IF(AND(ISNUMBER($G239),$G239&lt;=IF($S239=MesCiclo,InicioCiclo,$S239+MOD(2-WEEKDAY($S239),7))+6),1,IF(N($W239)&gt;0,AVERAGEIFS($Y$5:$Y$1000,$U$5:$U$1000,ROW(),$V$5:$V$1000,"Sub"),$Y239)))</f>
        <v/>
      </c>
      <c r="AD239" s="62">
        <f>IF($V239="","",IF(AND(ISNUMBER($G239),$G239&lt;=IF($S239=MesCiclo,InicioCiclo,$S239+MOD(2-WEEKDAY($S239),7))+13),1,IF(N($W239)&gt;0,AVERAGEIFS($Z$5:$Z$1000,$U$5:$U$1000,ROW(),$V$5:$V$1000,"Sub"),$Z239)))</f>
        <v/>
      </c>
      <c r="AE239" s="62">
        <f>IF($V239="","",IF(AND(ISNUMBER($G239),$G239&lt;=IF($S239=MesCiclo,InicioCiclo,$S239+MOD(2-WEEKDAY($S239),7))+20),1,IF(N($W239)&gt;0,AVERAGEIFS($AA$5:$AA$1000,$U$5:$U$1000,ROW(),$V$5:$V$1000,"Sub"),$AA239)))</f>
        <v/>
      </c>
      <c r="AF239" s="62">
        <f>IF($V239="","",IF(AND(ISNUMBER($G239),$G239&lt;=IF($S239=MesCiclo,InicioCiclo,$S239+MOD(2-WEEKDAY($S239),7))+27),1,IF(N($W239)&gt;0,AVERAGEIFS($AB$5:$AB$1000,$U$5:$U$1000,ROW(),$V$5:$V$1000,"Sub"),$AB239)))</f>
        <v/>
      </c>
      <c r="AG239" s="62">
        <f>IF($V239&lt;&gt;"Macro","",IF(COUNTIFS($S$5:$S$1000,$S239,$V$5:$V$1000,"Macro",$H$5:$H$1000,"&gt;0")=0,1/COUNTIFS($S$5:$S$1000,$S239,$V$5:$V$1000,"Macro"),IF(AND(ISNUMBER($H239),N($H239)&gt;0),$H239,SUMIFS($H$5:$H$1000,$S$5:$S$1000,$S239,$V$5:$V$1000,"Macro")/COUNTIFS($S$5:$S$1000,$S239,$V$5:$V$1000,"Macro",$H$5:$H$1000,"&gt;0"))/(COUNTIFS($S$5:$S$1000,$S239,$V$5:$V$1000,"Macro")*SUMIFS($H$5:$H$1000,$S$5:$S$1000,$S239,$V$5:$V$1000,"Macro")/COUNTIFS($S$5:$S$1000,$S239,$V$5:$V$1000,"Macro",$H$5:$H$1000,"&gt;0"))))</f>
        <v/>
      </c>
      <c r="AH239" s="62" t="n"/>
      <c r="AI239" s="62" t="n"/>
      <c r="AJ239" s="62" t="n"/>
      <c r="AK239" s="62" t="n"/>
      <c r="AL239" s="62">
        <f>IF(LEFT($C239,11)="[Jefatura] ",IFERROR(MATCH("Asistente Técnico de Riesgo|"&amp;MID($C239,12,500),rDname_ADM,0),0),"")</f>
        <v/>
      </c>
      <c r="AM239" s="62">
        <f>IF(N($AL239)&gt;0,INDEX(rIni_ADM,$AL239),IF(ISNUMBER($E239),$E239,""))</f>
        <v/>
      </c>
      <c r="AN239" s="62">
        <f>IF(N($AL239)&gt;0,INDEX(rLim_ADM,$AL239),IF(ISNUMBER($F239),$F239,""))</f>
        <v/>
      </c>
    </row>
    <row r="240">
      <c r="A240" s="56">
        <f>IF(NOT((COUNTA($B240:$D240)+COUNTA($G240:$L240)+COUNTA($Q240))&gt;0),"",IF($V240="Macro",COUNTIFS($V$5:$V240,"Macro",$S$5:$S240,$S240),IF(N($U240)=0,"?",COUNTIFS(INDEX($V$5:$V$1000,1):INDEX($V$5:$V$1000,$U240-4),"Macro",INDEX($S$5:$S$1000,1):INDEX($S$5:$S$1000,$U240-4),INDEX($S$5:$S$1000,$U240-4))&amp;"."&amp;COUNTIFS($U$5:$U240,$U240,$V$5:$V240,"Sub"))))</f>
        <v/>
      </c>
      <c r="B240" s="57" t="n"/>
      <c r="C240" s="58" t="n"/>
      <c r="D240" s="58" t="n"/>
      <c r="E240" s="59">
        <f>IF(N($AL240)&gt;0,INDEX(rIni_ADM,$AL240),"")</f>
        <v/>
      </c>
      <c r="F240" s="59">
        <f>IF(N($AL240)&gt;0,INDEX(rLim_ADM,$AL240),"")</f>
        <v/>
      </c>
      <c r="G240" s="59" t="n"/>
      <c r="H240" s="60" t="n"/>
      <c r="I240" s="60" t="n"/>
      <c r="J240" s="60" t="n"/>
      <c r="K240" s="60" t="n"/>
      <c r="L240" s="60" t="n"/>
      <c r="M240" s="61">
        <f>IF(NOT((COUNTA($B240:$D240)+COUNTA($G240:$L240)+COUNTA($Q240))&gt;0),"",IF(ISNUMBER($G240),1,IF(N($W240)&gt;0,AVERAGEIFS($X$5:$X$1000,$U$5:$U$1000,ROW(),$V$5:$V$1000,"Sub"),$X240)))</f>
        <v/>
      </c>
      <c r="N240" s="56">
        <f>IF($M240="","",IF($M240&gt;=1,"Completado",IF($M240&gt;0,"En curso","Pendiente")))</f>
        <v/>
      </c>
      <c r="O240" s="56">
        <f>IF(NOT((COUNTA($B240:$D240)+COUNTA($G240:$L240)+COUNTA($Q240))&gt;0),"",IF(ISNUMBER($G240),IF(AND(ISNUMBER($AN240),$G240&gt;$AN240),"Cumplida con "&amp;($G240-$AN240)&amp;IF($G240-$AN240=1," día"," días")&amp;" de retraso","Cumplida"),IF(N($M240)&gt;=1,"Cumplida",IF(NOT(ISNUMBER($AN240)),"Sin fecha límite",IF($AN240&lt;FechaRef,"Vencida hace "&amp;(FechaRef-$AN240)&amp;IF(FechaRef-$AN240=1," día"," días"),IF($AN240=FechaRef,"Vence hoy",IF($AN240-FechaRef&lt;=DiasAlerta,"Vence en "&amp;($AN240-FechaRef)&amp;IF($AN240-FechaRef=1," día"," días"),"En plazo")))))))</f>
        <v/>
      </c>
      <c r="P240" s="62" t="n"/>
      <c r="Q240" s="58" t="n"/>
      <c r="R240" s="63">
        <f>IF(NOT((COUNTA($B240:$D240)+COUNTA($G240:$L240)+COUNTA($Q240))&gt;0),"",IF((IF($C240="","Falta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",""))="","✔ OK","⚠ "&amp;LEFT(IF($C240="","Falta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",""),LEN(IF($C240="","Falta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",""))-3)))</f>
        <v/>
      </c>
      <c r="S240" s="64">
        <f>IF(NOT((COUNTA($B240:$D240)+COUNTA($G240:$L240)+COUNTA($Q240))&gt;0),"",IF(AND($V240="Sub",N($U240)&gt;0),IF(ISNUMBER(INDEX($AM$5:$AM$1000,$U240-4)),DATE(YEAR(INDEX($AM$5:$AM$1000,$U240-4)),MONTH(INDEX($AM$5:$AM$1000,$U240-4)),1),IF(ISNUMBER(INDEX($AN$5:$AN$1000,$U240-4)),DATE(YEAR(INDEX($AN$5:$AN$1000,$U240-4)),MONTH(INDEX($AN$5:$AN$1000,$U240-4)),1),MesCiclo)),IF(ISNUMBER($AM240),DATE(YEAR($AM240),MONTH($AM240),1),IF(ISNUMBER($AN240),DATE(YEAR($AN240),MONTH($AN240),1),MesCiclo))))</f>
        <v/>
      </c>
      <c r="T240" s="62">
        <f>IF(OR($S240="",$S240&lt;&gt;MesCiclo),"",COUNTIF($S$5:$S240,MesCiclo))</f>
        <v/>
      </c>
      <c r="U240" s="62">
        <f>IF($V240="","",IF($V240="Macro",ROW(),IFERROR(LOOKUP(2,1/($V$5:$V240="Macro"),ROW($V$5:$V240)),0)))</f>
        <v/>
      </c>
      <c r="V240" s="62">
        <f>IF(NOT((COUNTA($B240:$D240)+COUNTA($G240:$L240)+COUNTA($Q240))&gt;0),"",IF($B240="Subactividad","Sub","Macro"))</f>
        <v/>
      </c>
      <c r="W240" s="62">
        <f>IF($V240="Macro",COUNTIFS($U$5:$U$1000,ROW(),$V$5:$V$1000,"Sub"),"")</f>
        <v/>
      </c>
      <c r="X240" s="62">
        <f>IF($V240="","",IF(ISNUMBER($G240),1,IFERROR(LOOKUP(2,1/($I240:$L240&lt;&gt;""),$I240:$L240),0)))</f>
        <v/>
      </c>
      <c r="Y240" s="62">
        <f>IF($V240="","",IF(AND(ISNUMBER($G240),$G240&lt;=IF($S240=MesCiclo,InicioCiclo,$S240+MOD(2-WEEKDAY($S240),7))+6),1,IF(ISNUMBER($I240),$I240,0)))</f>
        <v/>
      </c>
      <c r="Z240" s="62">
        <f>IF($V240="","",IF(AND(ISNUMBER($G240),$G240&lt;=IF($S240=MesCiclo,InicioCiclo,$S240+MOD(2-WEEKDAY($S240),7))+13),1,IF(ISNUMBER($J240),$J240,$Y240)))</f>
        <v/>
      </c>
      <c r="AA240" s="62">
        <f>IF($V240="","",IF(AND(ISNUMBER($G240),$G240&lt;=IF($S240=MesCiclo,InicioCiclo,$S240+MOD(2-WEEKDAY($S240),7))+20),1,IF(ISNUMBER($K240),$K240,$Z240)))</f>
        <v/>
      </c>
      <c r="AB240" s="62">
        <f>IF($V240="","",IF(AND(ISNUMBER($G240),$G240&lt;=IF($S240=MesCiclo,InicioCiclo,$S240+MOD(2-WEEKDAY($S240),7))+27),1,IF(ISNUMBER($L240),$L240,$AA240)))</f>
        <v/>
      </c>
      <c r="AC240" s="62">
        <f>IF($V240="","",IF(AND(ISNUMBER($G240),$G240&lt;=IF($S240=MesCiclo,InicioCiclo,$S240+MOD(2-WEEKDAY($S240),7))+6),1,IF(N($W240)&gt;0,AVERAGEIFS($Y$5:$Y$1000,$U$5:$U$1000,ROW(),$V$5:$V$1000,"Sub"),$Y240)))</f>
        <v/>
      </c>
      <c r="AD240" s="62">
        <f>IF($V240="","",IF(AND(ISNUMBER($G240),$G240&lt;=IF($S240=MesCiclo,InicioCiclo,$S240+MOD(2-WEEKDAY($S240),7))+13),1,IF(N($W240)&gt;0,AVERAGEIFS($Z$5:$Z$1000,$U$5:$U$1000,ROW(),$V$5:$V$1000,"Sub"),$Z240)))</f>
        <v/>
      </c>
      <c r="AE240" s="62">
        <f>IF($V240="","",IF(AND(ISNUMBER($G240),$G240&lt;=IF($S240=MesCiclo,InicioCiclo,$S240+MOD(2-WEEKDAY($S240),7))+20),1,IF(N($W240)&gt;0,AVERAGEIFS($AA$5:$AA$1000,$U$5:$U$1000,ROW(),$V$5:$V$1000,"Sub"),$AA240)))</f>
        <v/>
      </c>
      <c r="AF240" s="62">
        <f>IF($V240="","",IF(AND(ISNUMBER($G240),$G240&lt;=IF($S240=MesCiclo,InicioCiclo,$S240+MOD(2-WEEKDAY($S240),7))+27),1,IF(N($W240)&gt;0,AVERAGEIFS($AB$5:$AB$1000,$U$5:$U$1000,ROW(),$V$5:$V$1000,"Sub"),$AB240)))</f>
        <v/>
      </c>
      <c r="AG240" s="62">
        <f>IF($V240&lt;&gt;"Macro","",IF(COUNTIFS($S$5:$S$1000,$S240,$V$5:$V$1000,"Macro",$H$5:$H$1000,"&gt;0")=0,1/COUNTIFS($S$5:$S$1000,$S240,$V$5:$V$1000,"Macro"),IF(AND(ISNUMBER($H240),N($H240)&gt;0),$H240,SUMIFS($H$5:$H$1000,$S$5:$S$1000,$S240,$V$5:$V$1000,"Macro")/COUNTIFS($S$5:$S$1000,$S240,$V$5:$V$1000,"Macro",$H$5:$H$1000,"&gt;0"))/(COUNTIFS($S$5:$S$1000,$S240,$V$5:$V$1000,"Macro")*SUMIFS($H$5:$H$1000,$S$5:$S$1000,$S240,$V$5:$V$1000,"Macro")/COUNTIFS($S$5:$S$1000,$S240,$V$5:$V$1000,"Macro",$H$5:$H$1000,"&gt;0"))))</f>
        <v/>
      </c>
      <c r="AH240" s="62" t="n"/>
      <c r="AI240" s="62" t="n"/>
      <c r="AJ240" s="62" t="n"/>
      <c r="AK240" s="62" t="n"/>
      <c r="AL240" s="62">
        <f>IF(LEFT($C240,11)="[Jefatura] ",IFERROR(MATCH("Asistente Técnico de Riesgo|"&amp;MID($C240,12,500),rDname_ADM,0),0),"")</f>
        <v/>
      </c>
      <c r="AM240" s="62">
        <f>IF(N($AL240)&gt;0,INDEX(rIni_ADM,$AL240),IF(ISNUMBER($E240),$E240,""))</f>
        <v/>
      </c>
      <c r="AN240" s="62">
        <f>IF(N($AL240)&gt;0,INDEX(rLim_ADM,$AL240),IF(ISNUMBER($F240),$F240,""))</f>
        <v/>
      </c>
    </row>
    <row r="241">
      <c r="A241" s="56">
        <f>IF(NOT((COUNTA($B241:$D241)+COUNTA($G241:$L241)+COUNTA($Q241))&gt;0),"",IF($V241="Macro",COUNTIFS($V$5:$V241,"Macro",$S$5:$S241,$S241),IF(N($U241)=0,"?",COUNTIFS(INDEX($V$5:$V$1000,1):INDEX($V$5:$V$1000,$U241-4),"Macro",INDEX($S$5:$S$1000,1):INDEX($S$5:$S$1000,$U241-4),INDEX($S$5:$S$1000,$U241-4))&amp;"."&amp;COUNTIFS($U$5:$U241,$U241,$V$5:$V241,"Sub"))))</f>
        <v/>
      </c>
      <c r="B241" s="57" t="n"/>
      <c r="C241" s="58" t="n"/>
      <c r="D241" s="58" t="n"/>
      <c r="E241" s="59">
        <f>IF(N($AL241)&gt;0,INDEX(rIni_ADM,$AL241),"")</f>
        <v/>
      </c>
      <c r="F241" s="59">
        <f>IF(N($AL241)&gt;0,INDEX(rLim_ADM,$AL241),"")</f>
        <v/>
      </c>
      <c r="G241" s="59" t="n"/>
      <c r="H241" s="60" t="n"/>
      <c r="I241" s="60" t="n"/>
      <c r="J241" s="60" t="n"/>
      <c r="K241" s="60" t="n"/>
      <c r="L241" s="60" t="n"/>
      <c r="M241" s="61">
        <f>IF(NOT((COUNTA($B241:$D241)+COUNTA($G241:$L241)+COUNTA($Q241))&gt;0),"",IF(ISNUMBER($G241),1,IF(N($W241)&gt;0,AVERAGEIFS($X$5:$X$1000,$U$5:$U$1000,ROW(),$V$5:$V$1000,"Sub"),$X241)))</f>
        <v/>
      </c>
      <c r="N241" s="56">
        <f>IF($M241="","",IF($M241&gt;=1,"Completado",IF($M241&gt;0,"En curso","Pendiente")))</f>
        <v/>
      </c>
      <c r="O241" s="56">
        <f>IF(NOT((COUNTA($B241:$D241)+COUNTA($G241:$L241)+COUNTA($Q241))&gt;0),"",IF(ISNUMBER($G241),IF(AND(ISNUMBER($AN241),$G241&gt;$AN241),"Cumplida con "&amp;($G241-$AN241)&amp;IF($G241-$AN241=1," día"," días")&amp;" de retraso","Cumplida"),IF(N($M241)&gt;=1,"Cumplida",IF(NOT(ISNUMBER($AN241)),"Sin fecha límite",IF($AN241&lt;FechaRef,"Vencida hace "&amp;(FechaRef-$AN241)&amp;IF(FechaRef-$AN241=1," día"," días"),IF($AN241=FechaRef,"Vence hoy",IF($AN241-FechaRef&lt;=DiasAlerta,"Vence en "&amp;($AN241-FechaRef)&amp;IF($AN241-FechaRef=1," día"," días"),"En plazo")))))))</f>
        <v/>
      </c>
      <c r="P241" s="62" t="n"/>
      <c r="Q241" s="58" t="n"/>
      <c r="R241" s="63">
        <f>IF(NOT((COUNTA($B241:$D241)+COUNTA($G241:$L241)+COUNTA($Q241))&gt;0),"",IF((IF($C241="","Falta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",""))="","✔ OK","⚠ "&amp;LEFT(IF($C241="","Falta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",""),LEN(IF($C241="","Falta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",""))-3)))</f>
        <v/>
      </c>
      <c r="S241" s="64">
        <f>IF(NOT((COUNTA($B241:$D241)+COUNTA($G241:$L241)+COUNTA($Q241))&gt;0),"",IF(AND($V241="Sub",N($U241)&gt;0),IF(ISNUMBER(INDEX($AM$5:$AM$1000,$U241-4)),DATE(YEAR(INDEX($AM$5:$AM$1000,$U241-4)),MONTH(INDEX($AM$5:$AM$1000,$U241-4)),1),IF(ISNUMBER(INDEX($AN$5:$AN$1000,$U241-4)),DATE(YEAR(INDEX($AN$5:$AN$1000,$U241-4)),MONTH(INDEX($AN$5:$AN$1000,$U241-4)),1),MesCiclo)),IF(ISNUMBER($AM241),DATE(YEAR($AM241),MONTH($AM241),1),IF(ISNUMBER($AN241),DATE(YEAR($AN241),MONTH($AN241),1),MesCiclo))))</f>
        <v/>
      </c>
      <c r="T241" s="62">
        <f>IF(OR($S241="",$S241&lt;&gt;MesCiclo),"",COUNTIF($S$5:$S241,MesCiclo))</f>
        <v/>
      </c>
      <c r="U241" s="62">
        <f>IF($V241="","",IF($V241="Macro",ROW(),IFERROR(LOOKUP(2,1/($V$5:$V241="Macro"),ROW($V$5:$V241)),0)))</f>
        <v/>
      </c>
      <c r="V241" s="62">
        <f>IF(NOT((COUNTA($B241:$D241)+COUNTA($G241:$L241)+COUNTA($Q241))&gt;0),"",IF($B241="Subactividad","Sub","Macro"))</f>
        <v/>
      </c>
      <c r="W241" s="62">
        <f>IF($V241="Macro",COUNTIFS($U$5:$U$1000,ROW(),$V$5:$V$1000,"Sub"),"")</f>
        <v/>
      </c>
      <c r="X241" s="62">
        <f>IF($V241="","",IF(ISNUMBER($G241),1,IFERROR(LOOKUP(2,1/($I241:$L241&lt;&gt;""),$I241:$L241),0)))</f>
        <v/>
      </c>
      <c r="Y241" s="62">
        <f>IF($V241="","",IF(AND(ISNUMBER($G241),$G241&lt;=IF($S241=MesCiclo,InicioCiclo,$S241+MOD(2-WEEKDAY($S241),7))+6),1,IF(ISNUMBER($I241),$I241,0)))</f>
        <v/>
      </c>
      <c r="Z241" s="62">
        <f>IF($V241="","",IF(AND(ISNUMBER($G241),$G241&lt;=IF($S241=MesCiclo,InicioCiclo,$S241+MOD(2-WEEKDAY($S241),7))+13),1,IF(ISNUMBER($J241),$J241,$Y241)))</f>
        <v/>
      </c>
      <c r="AA241" s="62">
        <f>IF($V241="","",IF(AND(ISNUMBER($G241),$G241&lt;=IF($S241=MesCiclo,InicioCiclo,$S241+MOD(2-WEEKDAY($S241),7))+20),1,IF(ISNUMBER($K241),$K241,$Z241)))</f>
        <v/>
      </c>
      <c r="AB241" s="62">
        <f>IF($V241="","",IF(AND(ISNUMBER($G241),$G241&lt;=IF($S241=MesCiclo,InicioCiclo,$S241+MOD(2-WEEKDAY($S241),7))+27),1,IF(ISNUMBER($L241),$L241,$AA241)))</f>
        <v/>
      </c>
      <c r="AC241" s="62">
        <f>IF($V241="","",IF(AND(ISNUMBER($G241),$G241&lt;=IF($S241=MesCiclo,InicioCiclo,$S241+MOD(2-WEEKDAY($S241),7))+6),1,IF(N($W241)&gt;0,AVERAGEIFS($Y$5:$Y$1000,$U$5:$U$1000,ROW(),$V$5:$V$1000,"Sub"),$Y241)))</f>
        <v/>
      </c>
      <c r="AD241" s="62">
        <f>IF($V241="","",IF(AND(ISNUMBER($G241),$G241&lt;=IF($S241=MesCiclo,InicioCiclo,$S241+MOD(2-WEEKDAY($S241),7))+13),1,IF(N($W241)&gt;0,AVERAGEIFS($Z$5:$Z$1000,$U$5:$U$1000,ROW(),$V$5:$V$1000,"Sub"),$Z241)))</f>
        <v/>
      </c>
      <c r="AE241" s="62">
        <f>IF($V241="","",IF(AND(ISNUMBER($G241),$G241&lt;=IF($S241=MesCiclo,InicioCiclo,$S241+MOD(2-WEEKDAY($S241),7))+20),1,IF(N($W241)&gt;0,AVERAGEIFS($AA$5:$AA$1000,$U$5:$U$1000,ROW(),$V$5:$V$1000,"Sub"),$AA241)))</f>
        <v/>
      </c>
      <c r="AF241" s="62">
        <f>IF($V241="","",IF(AND(ISNUMBER($G241),$G241&lt;=IF($S241=MesCiclo,InicioCiclo,$S241+MOD(2-WEEKDAY($S241),7))+27),1,IF(N($W241)&gt;0,AVERAGEIFS($AB$5:$AB$1000,$U$5:$U$1000,ROW(),$V$5:$V$1000,"Sub"),$AB241)))</f>
        <v/>
      </c>
      <c r="AG241" s="62">
        <f>IF($V241&lt;&gt;"Macro","",IF(COUNTIFS($S$5:$S$1000,$S241,$V$5:$V$1000,"Macro",$H$5:$H$1000,"&gt;0")=0,1/COUNTIFS($S$5:$S$1000,$S241,$V$5:$V$1000,"Macro"),IF(AND(ISNUMBER($H241),N($H241)&gt;0),$H241,SUMIFS($H$5:$H$1000,$S$5:$S$1000,$S241,$V$5:$V$1000,"Macro")/COUNTIFS($S$5:$S$1000,$S241,$V$5:$V$1000,"Macro",$H$5:$H$1000,"&gt;0"))/(COUNTIFS($S$5:$S$1000,$S241,$V$5:$V$1000,"Macro")*SUMIFS($H$5:$H$1000,$S$5:$S$1000,$S241,$V$5:$V$1000,"Macro")/COUNTIFS($S$5:$S$1000,$S241,$V$5:$V$1000,"Macro",$H$5:$H$1000,"&gt;0"))))</f>
        <v/>
      </c>
      <c r="AH241" s="62" t="n"/>
      <c r="AI241" s="62" t="n"/>
      <c r="AJ241" s="62" t="n"/>
      <c r="AK241" s="62" t="n"/>
      <c r="AL241" s="62">
        <f>IF(LEFT($C241,11)="[Jefatura] ",IFERROR(MATCH("Asistente Técnico de Riesgo|"&amp;MID($C241,12,500),rDname_ADM,0),0),"")</f>
        <v/>
      </c>
      <c r="AM241" s="62">
        <f>IF(N($AL241)&gt;0,INDEX(rIni_ADM,$AL241),IF(ISNUMBER($E241),$E241,""))</f>
        <v/>
      </c>
      <c r="AN241" s="62">
        <f>IF(N($AL241)&gt;0,INDEX(rLim_ADM,$AL241),IF(ISNUMBER($F241),$F241,""))</f>
        <v/>
      </c>
    </row>
    <row r="242">
      <c r="A242" s="56">
        <f>IF(NOT((COUNTA($B242:$D242)+COUNTA($G242:$L242)+COUNTA($Q242))&gt;0),"",IF($V242="Macro",COUNTIFS($V$5:$V242,"Macro",$S$5:$S242,$S242),IF(N($U242)=0,"?",COUNTIFS(INDEX($V$5:$V$1000,1):INDEX($V$5:$V$1000,$U242-4),"Macro",INDEX($S$5:$S$1000,1):INDEX($S$5:$S$1000,$U242-4),INDEX($S$5:$S$1000,$U242-4))&amp;"."&amp;COUNTIFS($U$5:$U242,$U242,$V$5:$V242,"Sub"))))</f>
        <v/>
      </c>
      <c r="B242" s="57" t="n"/>
      <c r="C242" s="58" t="n"/>
      <c r="D242" s="58" t="n"/>
      <c r="E242" s="59">
        <f>IF(N($AL242)&gt;0,INDEX(rIni_ADM,$AL242),"")</f>
        <v/>
      </c>
      <c r="F242" s="59">
        <f>IF(N($AL242)&gt;0,INDEX(rLim_ADM,$AL242),"")</f>
        <v/>
      </c>
      <c r="G242" s="59" t="n"/>
      <c r="H242" s="60" t="n"/>
      <c r="I242" s="60" t="n"/>
      <c r="J242" s="60" t="n"/>
      <c r="K242" s="60" t="n"/>
      <c r="L242" s="60" t="n"/>
      <c r="M242" s="61">
        <f>IF(NOT((COUNTA($B242:$D242)+COUNTA($G242:$L242)+COUNTA($Q242))&gt;0),"",IF(ISNUMBER($G242),1,IF(N($W242)&gt;0,AVERAGEIFS($X$5:$X$1000,$U$5:$U$1000,ROW(),$V$5:$V$1000,"Sub"),$X242)))</f>
        <v/>
      </c>
      <c r="N242" s="56">
        <f>IF($M242="","",IF($M242&gt;=1,"Completado",IF($M242&gt;0,"En curso","Pendiente")))</f>
        <v/>
      </c>
      <c r="O242" s="56">
        <f>IF(NOT((COUNTA($B242:$D242)+COUNTA($G242:$L242)+COUNTA($Q242))&gt;0),"",IF(ISNUMBER($G242),IF(AND(ISNUMBER($AN242),$G242&gt;$AN242),"Cumplida con "&amp;($G242-$AN242)&amp;IF($G242-$AN242=1," día"," días")&amp;" de retraso","Cumplida"),IF(N($M242)&gt;=1,"Cumplida",IF(NOT(ISNUMBER($AN242)),"Sin fecha límite",IF($AN242&lt;FechaRef,"Vencida hace "&amp;(FechaRef-$AN242)&amp;IF(FechaRef-$AN242=1," día"," días"),IF($AN242=FechaRef,"Vence hoy",IF($AN242-FechaRef&lt;=DiasAlerta,"Vence en "&amp;($AN242-FechaRef)&amp;IF($AN242-FechaRef=1," día"," días"),"En plazo")))))))</f>
        <v/>
      </c>
      <c r="P242" s="62" t="n"/>
      <c r="Q242" s="58" t="n"/>
      <c r="R242" s="63">
        <f>IF(NOT((COUNTA($B242:$D242)+COUNTA($G242:$L242)+COUNTA($Q242))&gt;0),"",IF((IF($C242="","Falta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",""))="","✔ OK","⚠ "&amp;LEFT(IF($C242="","Falta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",""),LEN(IF($C242="","Falta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",""))-3)))</f>
        <v/>
      </c>
      <c r="S242" s="64">
        <f>IF(NOT((COUNTA($B242:$D242)+COUNTA($G242:$L242)+COUNTA($Q242))&gt;0),"",IF(AND($V242="Sub",N($U242)&gt;0),IF(ISNUMBER(INDEX($AM$5:$AM$1000,$U242-4)),DATE(YEAR(INDEX($AM$5:$AM$1000,$U242-4)),MONTH(INDEX($AM$5:$AM$1000,$U242-4)),1),IF(ISNUMBER(INDEX($AN$5:$AN$1000,$U242-4)),DATE(YEAR(INDEX($AN$5:$AN$1000,$U242-4)),MONTH(INDEX($AN$5:$AN$1000,$U242-4)),1),MesCiclo)),IF(ISNUMBER($AM242),DATE(YEAR($AM242),MONTH($AM242),1),IF(ISNUMBER($AN242),DATE(YEAR($AN242),MONTH($AN242),1),MesCiclo))))</f>
        <v/>
      </c>
      <c r="T242" s="62">
        <f>IF(OR($S242="",$S242&lt;&gt;MesCiclo),"",COUNTIF($S$5:$S242,MesCiclo))</f>
        <v/>
      </c>
      <c r="U242" s="62">
        <f>IF($V242="","",IF($V242="Macro",ROW(),IFERROR(LOOKUP(2,1/($V$5:$V242="Macro"),ROW($V$5:$V242)),0)))</f>
        <v/>
      </c>
      <c r="V242" s="62">
        <f>IF(NOT((COUNTA($B242:$D242)+COUNTA($G242:$L242)+COUNTA($Q242))&gt;0),"",IF($B242="Subactividad","Sub","Macro"))</f>
        <v/>
      </c>
      <c r="W242" s="62">
        <f>IF($V242="Macro",COUNTIFS($U$5:$U$1000,ROW(),$V$5:$V$1000,"Sub"),"")</f>
        <v/>
      </c>
      <c r="X242" s="62">
        <f>IF($V242="","",IF(ISNUMBER($G242),1,IFERROR(LOOKUP(2,1/($I242:$L242&lt;&gt;""),$I242:$L242),0)))</f>
        <v/>
      </c>
      <c r="Y242" s="62">
        <f>IF($V242="","",IF(AND(ISNUMBER($G242),$G242&lt;=IF($S242=MesCiclo,InicioCiclo,$S242+MOD(2-WEEKDAY($S242),7))+6),1,IF(ISNUMBER($I242),$I242,0)))</f>
        <v/>
      </c>
      <c r="Z242" s="62">
        <f>IF($V242="","",IF(AND(ISNUMBER($G242),$G242&lt;=IF($S242=MesCiclo,InicioCiclo,$S242+MOD(2-WEEKDAY($S242),7))+13),1,IF(ISNUMBER($J242),$J242,$Y242)))</f>
        <v/>
      </c>
      <c r="AA242" s="62">
        <f>IF($V242="","",IF(AND(ISNUMBER($G242),$G242&lt;=IF($S242=MesCiclo,InicioCiclo,$S242+MOD(2-WEEKDAY($S242),7))+20),1,IF(ISNUMBER($K242),$K242,$Z242)))</f>
        <v/>
      </c>
      <c r="AB242" s="62">
        <f>IF($V242="","",IF(AND(ISNUMBER($G242),$G242&lt;=IF($S242=MesCiclo,InicioCiclo,$S242+MOD(2-WEEKDAY($S242),7))+27),1,IF(ISNUMBER($L242),$L242,$AA242)))</f>
        <v/>
      </c>
      <c r="AC242" s="62">
        <f>IF($V242="","",IF(AND(ISNUMBER($G242),$G242&lt;=IF($S242=MesCiclo,InicioCiclo,$S242+MOD(2-WEEKDAY($S242),7))+6),1,IF(N($W242)&gt;0,AVERAGEIFS($Y$5:$Y$1000,$U$5:$U$1000,ROW(),$V$5:$V$1000,"Sub"),$Y242)))</f>
        <v/>
      </c>
      <c r="AD242" s="62">
        <f>IF($V242="","",IF(AND(ISNUMBER($G242),$G242&lt;=IF($S242=MesCiclo,InicioCiclo,$S242+MOD(2-WEEKDAY($S242),7))+13),1,IF(N($W242)&gt;0,AVERAGEIFS($Z$5:$Z$1000,$U$5:$U$1000,ROW(),$V$5:$V$1000,"Sub"),$Z242)))</f>
        <v/>
      </c>
      <c r="AE242" s="62">
        <f>IF($V242="","",IF(AND(ISNUMBER($G242),$G242&lt;=IF($S242=MesCiclo,InicioCiclo,$S242+MOD(2-WEEKDAY($S242),7))+20),1,IF(N($W242)&gt;0,AVERAGEIFS($AA$5:$AA$1000,$U$5:$U$1000,ROW(),$V$5:$V$1000,"Sub"),$AA242)))</f>
        <v/>
      </c>
      <c r="AF242" s="62">
        <f>IF($V242="","",IF(AND(ISNUMBER($G242),$G242&lt;=IF($S242=MesCiclo,InicioCiclo,$S242+MOD(2-WEEKDAY($S242),7))+27),1,IF(N($W242)&gt;0,AVERAGEIFS($AB$5:$AB$1000,$U$5:$U$1000,ROW(),$V$5:$V$1000,"Sub"),$AB242)))</f>
        <v/>
      </c>
      <c r="AG242" s="62">
        <f>IF($V242&lt;&gt;"Macro","",IF(COUNTIFS($S$5:$S$1000,$S242,$V$5:$V$1000,"Macro",$H$5:$H$1000,"&gt;0")=0,1/COUNTIFS($S$5:$S$1000,$S242,$V$5:$V$1000,"Macro"),IF(AND(ISNUMBER($H242),N($H242)&gt;0),$H242,SUMIFS($H$5:$H$1000,$S$5:$S$1000,$S242,$V$5:$V$1000,"Macro")/COUNTIFS($S$5:$S$1000,$S242,$V$5:$V$1000,"Macro",$H$5:$H$1000,"&gt;0"))/(COUNTIFS($S$5:$S$1000,$S242,$V$5:$V$1000,"Macro")*SUMIFS($H$5:$H$1000,$S$5:$S$1000,$S242,$V$5:$V$1000,"Macro")/COUNTIFS($S$5:$S$1000,$S242,$V$5:$V$1000,"Macro",$H$5:$H$1000,"&gt;0"))))</f>
        <v/>
      </c>
      <c r="AH242" s="62" t="n"/>
      <c r="AI242" s="62" t="n"/>
      <c r="AJ242" s="62" t="n"/>
      <c r="AK242" s="62" t="n"/>
      <c r="AL242" s="62">
        <f>IF(LEFT($C242,11)="[Jefatura] ",IFERROR(MATCH("Asistente Técnico de Riesgo|"&amp;MID($C242,12,500),rDname_ADM,0),0),"")</f>
        <v/>
      </c>
      <c r="AM242" s="62">
        <f>IF(N($AL242)&gt;0,INDEX(rIni_ADM,$AL242),IF(ISNUMBER($E242),$E242,""))</f>
        <v/>
      </c>
      <c r="AN242" s="62">
        <f>IF(N($AL242)&gt;0,INDEX(rLim_ADM,$AL242),IF(ISNUMBER($F242),$F242,""))</f>
        <v/>
      </c>
    </row>
    <row r="243">
      <c r="A243" s="56">
        <f>IF(NOT((COUNTA($B243:$D243)+COUNTA($G243:$L243)+COUNTA($Q243))&gt;0),"",IF($V243="Macro",COUNTIFS($V$5:$V243,"Macro",$S$5:$S243,$S243),IF(N($U243)=0,"?",COUNTIFS(INDEX($V$5:$V$1000,1):INDEX($V$5:$V$1000,$U243-4),"Macro",INDEX($S$5:$S$1000,1):INDEX($S$5:$S$1000,$U243-4),INDEX($S$5:$S$1000,$U243-4))&amp;"."&amp;COUNTIFS($U$5:$U243,$U243,$V$5:$V243,"Sub"))))</f>
        <v/>
      </c>
      <c r="B243" s="57" t="n"/>
      <c r="C243" s="58" t="n"/>
      <c r="D243" s="58" t="n"/>
      <c r="E243" s="59">
        <f>IF(N($AL243)&gt;0,INDEX(rIni_ADM,$AL243),"")</f>
        <v/>
      </c>
      <c r="F243" s="59">
        <f>IF(N($AL243)&gt;0,INDEX(rLim_ADM,$AL243),"")</f>
        <v/>
      </c>
      <c r="G243" s="59" t="n"/>
      <c r="H243" s="60" t="n"/>
      <c r="I243" s="60" t="n"/>
      <c r="J243" s="60" t="n"/>
      <c r="K243" s="60" t="n"/>
      <c r="L243" s="60" t="n"/>
      <c r="M243" s="61">
        <f>IF(NOT((COUNTA($B243:$D243)+COUNTA($G243:$L243)+COUNTA($Q243))&gt;0),"",IF(ISNUMBER($G243),1,IF(N($W243)&gt;0,AVERAGEIFS($X$5:$X$1000,$U$5:$U$1000,ROW(),$V$5:$V$1000,"Sub"),$X243)))</f>
        <v/>
      </c>
      <c r="N243" s="56">
        <f>IF($M243="","",IF($M243&gt;=1,"Completado",IF($M243&gt;0,"En curso","Pendiente")))</f>
        <v/>
      </c>
      <c r="O243" s="56">
        <f>IF(NOT((COUNTA($B243:$D243)+COUNTA($G243:$L243)+COUNTA($Q243))&gt;0),"",IF(ISNUMBER($G243),IF(AND(ISNUMBER($AN243),$G243&gt;$AN243),"Cumplida con "&amp;($G243-$AN243)&amp;IF($G243-$AN243=1," día"," días")&amp;" de retraso","Cumplida"),IF(N($M243)&gt;=1,"Cumplida",IF(NOT(ISNUMBER($AN243)),"Sin fecha límite",IF($AN243&lt;FechaRef,"Vencida hace "&amp;(FechaRef-$AN243)&amp;IF(FechaRef-$AN243=1," día"," días"),IF($AN243=FechaRef,"Vence hoy",IF($AN243-FechaRef&lt;=DiasAlerta,"Vence en "&amp;($AN243-FechaRef)&amp;IF($AN243-FechaRef=1," día"," días"),"En plazo")))))))</f>
        <v/>
      </c>
      <c r="P243" s="62" t="n"/>
      <c r="Q243" s="58" t="n"/>
      <c r="R243" s="63">
        <f>IF(NOT((COUNTA($B243:$D243)+COUNTA($G243:$L243)+COUNTA($Q243))&gt;0),"",IF((IF($C243="","Falta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",""))="","✔ OK","⚠ "&amp;LEFT(IF($C243="","Falta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",""),LEN(IF($C243="","Falta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",""))-3)))</f>
        <v/>
      </c>
      <c r="S243" s="64">
        <f>IF(NOT((COUNTA($B243:$D243)+COUNTA($G243:$L243)+COUNTA($Q243))&gt;0),"",IF(AND($V243="Sub",N($U243)&gt;0),IF(ISNUMBER(INDEX($AM$5:$AM$1000,$U243-4)),DATE(YEAR(INDEX($AM$5:$AM$1000,$U243-4)),MONTH(INDEX($AM$5:$AM$1000,$U243-4)),1),IF(ISNUMBER(INDEX($AN$5:$AN$1000,$U243-4)),DATE(YEAR(INDEX($AN$5:$AN$1000,$U243-4)),MONTH(INDEX($AN$5:$AN$1000,$U243-4)),1),MesCiclo)),IF(ISNUMBER($AM243),DATE(YEAR($AM243),MONTH($AM243),1),IF(ISNUMBER($AN243),DATE(YEAR($AN243),MONTH($AN243),1),MesCiclo))))</f>
        <v/>
      </c>
      <c r="T243" s="62">
        <f>IF(OR($S243="",$S243&lt;&gt;MesCiclo),"",COUNTIF($S$5:$S243,MesCiclo))</f>
        <v/>
      </c>
      <c r="U243" s="62">
        <f>IF($V243="","",IF($V243="Macro",ROW(),IFERROR(LOOKUP(2,1/($V$5:$V243="Macro"),ROW($V$5:$V243)),0)))</f>
        <v/>
      </c>
      <c r="V243" s="62">
        <f>IF(NOT((COUNTA($B243:$D243)+COUNTA($G243:$L243)+COUNTA($Q243))&gt;0),"",IF($B243="Subactividad","Sub","Macro"))</f>
        <v/>
      </c>
      <c r="W243" s="62">
        <f>IF($V243="Macro",COUNTIFS($U$5:$U$1000,ROW(),$V$5:$V$1000,"Sub"),"")</f>
        <v/>
      </c>
      <c r="X243" s="62">
        <f>IF($V243="","",IF(ISNUMBER($G243),1,IFERROR(LOOKUP(2,1/($I243:$L243&lt;&gt;""),$I243:$L243),0)))</f>
        <v/>
      </c>
      <c r="Y243" s="62">
        <f>IF($V243="","",IF(AND(ISNUMBER($G243),$G243&lt;=IF($S243=MesCiclo,InicioCiclo,$S243+MOD(2-WEEKDAY($S243),7))+6),1,IF(ISNUMBER($I243),$I243,0)))</f>
        <v/>
      </c>
      <c r="Z243" s="62">
        <f>IF($V243="","",IF(AND(ISNUMBER($G243),$G243&lt;=IF($S243=MesCiclo,InicioCiclo,$S243+MOD(2-WEEKDAY($S243),7))+13),1,IF(ISNUMBER($J243),$J243,$Y243)))</f>
        <v/>
      </c>
      <c r="AA243" s="62">
        <f>IF($V243="","",IF(AND(ISNUMBER($G243),$G243&lt;=IF($S243=MesCiclo,InicioCiclo,$S243+MOD(2-WEEKDAY($S243),7))+20),1,IF(ISNUMBER($K243),$K243,$Z243)))</f>
        <v/>
      </c>
      <c r="AB243" s="62">
        <f>IF($V243="","",IF(AND(ISNUMBER($G243),$G243&lt;=IF($S243=MesCiclo,InicioCiclo,$S243+MOD(2-WEEKDAY($S243),7))+27),1,IF(ISNUMBER($L243),$L243,$AA243)))</f>
        <v/>
      </c>
      <c r="AC243" s="62">
        <f>IF($V243="","",IF(AND(ISNUMBER($G243),$G243&lt;=IF($S243=MesCiclo,InicioCiclo,$S243+MOD(2-WEEKDAY($S243),7))+6),1,IF(N($W243)&gt;0,AVERAGEIFS($Y$5:$Y$1000,$U$5:$U$1000,ROW(),$V$5:$V$1000,"Sub"),$Y243)))</f>
        <v/>
      </c>
      <c r="AD243" s="62">
        <f>IF($V243="","",IF(AND(ISNUMBER($G243),$G243&lt;=IF($S243=MesCiclo,InicioCiclo,$S243+MOD(2-WEEKDAY($S243),7))+13),1,IF(N($W243)&gt;0,AVERAGEIFS($Z$5:$Z$1000,$U$5:$U$1000,ROW(),$V$5:$V$1000,"Sub"),$Z243)))</f>
        <v/>
      </c>
      <c r="AE243" s="62">
        <f>IF($V243="","",IF(AND(ISNUMBER($G243),$G243&lt;=IF($S243=MesCiclo,InicioCiclo,$S243+MOD(2-WEEKDAY($S243),7))+20),1,IF(N($W243)&gt;0,AVERAGEIFS($AA$5:$AA$1000,$U$5:$U$1000,ROW(),$V$5:$V$1000,"Sub"),$AA243)))</f>
        <v/>
      </c>
      <c r="AF243" s="62">
        <f>IF($V243="","",IF(AND(ISNUMBER($G243),$G243&lt;=IF($S243=MesCiclo,InicioCiclo,$S243+MOD(2-WEEKDAY($S243),7))+27),1,IF(N($W243)&gt;0,AVERAGEIFS($AB$5:$AB$1000,$U$5:$U$1000,ROW(),$V$5:$V$1000,"Sub"),$AB243)))</f>
        <v/>
      </c>
      <c r="AG243" s="62">
        <f>IF($V243&lt;&gt;"Macro","",IF(COUNTIFS($S$5:$S$1000,$S243,$V$5:$V$1000,"Macro",$H$5:$H$1000,"&gt;0")=0,1/COUNTIFS($S$5:$S$1000,$S243,$V$5:$V$1000,"Macro"),IF(AND(ISNUMBER($H243),N($H243)&gt;0),$H243,SUMIFS($H$5:$H$1000,$S$5:$S$1000,$S243,$V$5:$V$1000,"Macro")/COUNTIFS($S$5:$S$1000,$S243,$V$5:$V$1000,"Macro",$H$5:$H$1000,"&gt;0"))/(COUNTIFS($S$5:$S$1000,$S243,$V$5:$V$1000,"Macro")*SUMIFS($H$5:$H$1000,$S$5:$S$1000,$S243,$V$5:$V$1000,"Macro")/COUNTIFS($S$5:$S$1000,$S243,$V$5:$V$1000,"Macro",$H$5:$H$1000,"&gt;0"))))</f>
        <v/>
      </c>
      <c r="AH243" s="62" t="n"/>
      <c r="AI243" s="62" t="n"/>
      <c r="AJ243" s="62" t="n"/>
      <c r="AK243" s="62" t="n"/>
      <c r="AL243" s="62">
        <f>IF(LEFT($C243,11)="[Jefatura] ",IFERROR(MATCH("Asistente Técnico de Riesgo|"&amp;MID($C243,12,500),rDname_ADM,0),0),"")</f>
        <v/>
      </c>
      <c r="AM243" s="62">
        <f>IF(N($AL243)&gt;0,INDEX(rIni_ADM,$AL243),IF(ISNUMBER($E243),$E243,""))</f>
        <v/>
      </c>
      <c r="AN243" s="62">
        <f>IF(N($AL243)&gt;0,INDEX(rLim_ADM,$AL243),IF(ISNUMBER($F243),$F243,""))</f>
        <v/>
      </c>
    </row>
    <row r="244">
      <c r="A244" s="56">
        <f>IF(NOT((COUNTA($B244:$D244)+COUNTA($G244:$L244)+COUNTA($Q244))&gt;0),"",IF($V244="Macro",COUNTIFS($V$5:$V244,"Macro",$S$5:$S244,$S244),IF(N($U244)=0,"?",COUNTIFS(INDEX($V$5:$V$1000,1):INDEX($V$5:$V$1000,$U244-4),"Macro",INDEX($S$5:$S$1000,1):INDEX($S$5:$S$1000,$U244-4),INDEX($S$5:$S$1000,$U244-4))&amp;"."&amp;COUNTIFS($U$5:$U244,$U244,$V$5:$V244,"Sub"))))</f>
        <v/>
      </c>
      <c r="B244" s="57" t="n"/>
      <c r="C244" s="58" t="n"/>
      <c r="D244" s="58" t="n"/>
      <c r="E244" s="59">
        <f>IF(N($AL244)&gt;0,INDEX(rIni_ADM,$AL244),"")</f>
        <v/>
      </c>
      <c r="F244" s="59">
        <f>IF(N($AL244)&gt;0,INDEX(rLim_ADM,$AL244),"")</f>
        <v/>
      </c>
      <c r="G244" s="59" t="n"/>
      <c r="H244" s="60" t="n"/>
      <c r="I244" s="60" t="n"/>
      <c r="J244" s="60" t="n"/>
      <c r="K244" s="60" t="n"/>
      <c r="L244" s="60" t="n"/>
      <c r="M244" s="61">
        <f>IF(NOT((COUNTA($B244:$D244)+COUNTA($G244:$L244)+COUNTA($Q244))&gt;0),"",IF(ISNUMBER($G244),1,IF(N($W244)&gt;0,AVERAGEIFS($X$5:$X$1000,$U$5:$U$1000,ROW(),$V$5:$V$1000,"Sub"),$X244)))</f>
        <v/>
      </c>
      <c r="N244" s="56">
        <f>IF($M244="","",IF($M244&gt;=1,"Completado",IF($M244&gt;0,"En curso","Pendiente")))</f>
        <v/>
      </c>
      <c r="O244" s="56">
        <f>IF(NOT((COUNTA($B244:$D244)+COUNTA($G244:$L244)+COUNTA($Q244))&gt;0),"",IF(ISNUMBER($G244),IF(AND(ISNUMBER($AN244),$G244&gt;$AN244),"Cumplida con "&amp;($G244-$AN244)&amp;IF($G244-$AN244=1," día"," días")&amp;" de retraso","Cumplida"),IF(N($M244)&gt;=1,"Cumplida",IF(NOT(ISNUMBER($AN244)),"Sin fecha límite",IF($AN244&lt;FechaRef,"Vencida hace "&amp;(FechaRef-$AN244)&amp;IF(FechaRef-$AN244=1," día"," días"),IF($AN244=FechaRef,"Vence hoy",IF($AN244-FechaRef&lt;=DiasAlerta,"Vence en "&amp;($AN244-FechaRef)&amp;IF($AN244-FechaRef=1," día"," días"),"En plazo")))))))</f>
        <v/>
      </c>
      <c r="P244" s="62" t="n"/>
      <c r="Q244" s="58" t="n"/>
      <c r="R244" s="63">
        <f>IF(NOT((COUNTA($B244:$D244)+COUNTA($G244:$L244)+COUNTA($Q244))&gt;0),"",IF((IF($C244="","Falta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",""))="","✔ OK","⚠ "&amp;LEFT(IF($C244="","Falta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",""),LEN(IF($C244="","Falta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",""))-3)))</f>
        <v/>
      </c>
      <c r="S244" s="64">
        <f>IF(NOT((COUNTA($B244:$D244)+COUNTA($G244:$L244)+COUNTA($Q244))&gt;0),"",IF(AND($V244="Sub",N($U244)&gt;0),IF(ISNUMBER(INDEX($AM$5:$AM$1000,$U244-4)),DATE(YEAR(INDEX($AM$5:$AM$1000,$U244-4)),MONTH(INDEX($AM$5:$AM$1000,$U244-4)),1),IF(ISNUMBER(INDEX($AN$5:$AN$1000,$U244-4)),DATE(YEAR(INDEX($AN$5:$AN$1000,$U244-4)),MONTH(INDEX($AN$5:$AN$1000,$U244-4)),1),MesCiclo)),IF(ISNUMBER($AM244),DATE(YEAR($AM244),MONTH($AM244),1),IF(ISNUMBER($AN244),DATE(YEAR($AN244),MONTH($AN244),1),MesCiclo))))</f>
        <v/>
      </c>
      <c r="T244" s="62">
        <f>IF(OR($S244="",$S244&lt;&gt;MesCiclo),"",COUNTIF($S$5:$S244,MesCiclo))</f>
        <v/>
      </c>
      <c r="U244" s="62">
        <f>IF($V244="","",IF($V244="Macro",ROW(),IFERROR(LOOKUP(2,1/($V$5:$V244="Macro"),ROW($V$5:$V244)),0)))</f>
        <v/>
      </c>
      <c r="V244" s="62">
        <f>IF(NOT((COUNTA($B244:$D244)+COUNTA($G244:$L244)+COUNTA($Q244))&gt;0),"",IF($B244="Subactividad","Sub","Macro"))</f>
        <v/>
      </c>
      <c r="W244" s="62">
        <f>IF($V244="Macro",COUNTIFS($U$5:$U$1000,ROW(),$V$5:$V$1000,"Sub"),"")</f>
        <v/>
      </c>
      <c r="X244" s="62">
        <f>IF($V244="","",IF(ISNUMBER($G244),1,IFERROR(LOOKUP(2,1/($I244:$L244&lt;&gt;""),$I244:$L244),0)))</f>
        <v/>
      </c>
      <c r="Y244" s="62">
        <f>IF($V244="","",IF(AND(ISNUMBER($G244),$G244&lt;=IF($S244=MesCiclo,InicioCiclo,$S244+MOD(2-WEEKDAY($S244),7))+6),1,IF(ISNUMBER($I244),$I244,0)))</f>
        <v/>
      </c>
      <c r="Z244" s="62">
        <f>IF($V244="","",IF(AND(ISNUMBER($G244),$G244&lt;=IF($S244=MesCiclo,InicioCiclo,$S244+MOD(2-WEEKDAY($S244),7))+13),1,IF(ISNUMBER($J244),$J244,$Y244)))</f>
        <v/>
      </c>
      <c r="AA244" s="62">
        <f>IF($V244="","",IF(AND(ISNUMBER($G244),$G244&lt;=IF($S244=MesCiclo,InicioCiclo,$S244+MOD(2-WEEKDAY($S244),7))+20),1,IF(ISNUMBER($K244),$K244,$Z244)))</f>
        <v/>
      </c>
      <c r="AB244" s="62">
        <f>IF($V244="","",IF(AND(ISNUMBER($G244),$G244&lt;=IF($S244=MesCiclo,InicioCiclo,$S244+MOD(2-WEEKDAY($S244),7))+27),1,IF(ISNUMBER($L244),$L244,$AA244)))</f>
        <v/>
      </c>
      <c r="AC244" s="62">
        <f>IF($V244="","",IF(AND(ISNUMBER($G244),$G244&lt;=IF($S244=MesCiclo,InicioCiclo,$S244+MOD(2-WEEKDAY($S244),7))+6),1,IF(N($W244)&gt;0,AVERAGEIFS($Y$5:$Y$1000,$U$5:$U$1000,ROW(),$V$5:$V$1000,"Sub"),$Y244)))</f>
        <v/>
      </c>
      <c r="AD244" s="62">
        <f>IF($V244="","",IF(AND(ISNUMBER($G244),$G244&lt;=IF($S244=MesCiclo,InicioCiclo,$S244+MOD(2-WEEKDAY($S244),7))+13),1,IF(N($W244)&gt;0,AVERAGEIFS($Z$5:$Z$1000,$U$5:$U$1000,ROW(),$V$5:$V$1000,"Sub"),$Z244)))</f>
        <v/>
      </c>
      <c r="AE244" s="62">
        <f>IF($V244="","",IF(AND(ISNUMBER($G244),$G244&lt;=IF($S244=MesCiclo,InicioCiclo,$S244+MOD(2-WEEKDAY($S244),7))+20),1,IF(N($W244)&gt;0,AVERAGEIFS($AA$5:$AA$1000,$U$5:$U$1000,ROW(),$V$5:$V$1000,"Sub"),$AA244)))</f>
        <v/>
      </c>
      <c r="AF244" s="62">
        <f>IF($V244="","",IF(AND(ISNUMBER($G244),$G244&lt;=IF($S244=MesCiclo,InicioCiclo,$S244+MOD(2-WEEKDAY($S244),7))+27),1,IF(N($W244)&gt;0,AVERAGEIFS($AB$5:$AB$1000,$U$5:$U$1000,ROW(),$V$5:$V$1000,"Sub"),$AB244)))</f>
        <v/>
      </c>
      <c r="AG244" s="62">
        <f>IF($V244&lt;&gt;"Macro","",IF(COUNTIFS($S$5:$S$1000,$S244,$V$5:$V$1000,"Macro",$H$5:$H$1000,"&gt;0")=0,1/COUNTIFS($S$5:$S$1000,$S244,$V$5:$V$1000,"Macro"),IF(AND(ISNUMBER($H244),N($H244)&gt;0),$H244,SUMIFS($H$5:$H$1000,$S$5:$S$1000,$S244,$V$5:$V$1000,"Macro")/COUNTIFS($S$5:$S$1000,$S244,$V$5:$V$1000,"Macro",$H$5:$H$1000,"&gt;0"))/(COUNTIFS($S$5:$S$1000,$S244,$V$5:$V$1000,"Macro")*SUMIFS($H$5:$H$1000,$S$5:$S$1000,$S244,$V$5:$V$1000,"Macro")/COUNTIFS($S$5:$S$1000,$S244,$V$5:$V$1000,"Macro",$H$5:$H$1000,"&gt;0"))))</f>
        <v/>
      </c>
      <c r="AH244" s="62" t="n"/>
      <c r="AI244" s="62" t="n"/>
      <c r="AJ244" s="62" t="n"/>
      <c r="AK244" s="62" t="n"/>
      <c r="AL244" s="62">
        <f>IF(LEFT($C244,11)="[Jefatura] ",IFERROR(MATCH("Asistente Técnico de Riesgo|"&amp;MID($C244,12,500),rDname_ADM,0),0),"")</f>
        <v/>
      </c>
      <c r="AM244" s="62">
        <f>IF(N($AL244)&gt;0,INDEX(rIni_ADM,$AL244),IF(ISNUMBER($E244),$E244,""))</f>
        <v/>
      </c>
      <c r="AN244" s="62">
        <f>IF(N($AL244)&gt;0,INDEX(rLim_ADM,$AL244),IF(ISNUMBER($F244),$F244,""))</f>
        <v/>
      </c>
    </row>
    <row r="245">
      <c r="A245" s="56">
        <f>IF(NOT((COUNTA($B245:$D245)+COUNTA($G245:$L245)+COUNTA($Q245))&gt;0),"",IF($V245="Macro",COUNTIFS($V$5:$V245,"Macro",$S$5:$S245,$S245),IF(N($U245)=0,"?",COUNTIFS(INDEX($V$5:$V$1000,1):INDEX($V$5:$V$1000,$U245-4),"Macro",INDEX($S$5:$S$1000,1):INDEX($S$5:$S$1000,$U245-4),INDEX($S$5:$S$1000,$U245-4))&amp;"."&amp;COUNTIFS($U$5:$U245,$U245,$V$5:$V245,"Sub"))))</f>
        <v/>
      </c>
      <c r="B245" s="57" t="n"/>
      <c r="C245" s="58" t="n"/>
      <c r="D245" s="58" t="n"/>
      <c r="E245" s="59">
        <f>IF(N($AL245)&gt;0,INDEX(rIni_ADM,$AL245),"")</f>
        <v/>
      </c>
      <c r="F245" s="59">
        <f>IF(N($AL245)&gt;0,INDEX(rLim_ADM,$AL245),"")</f>
        <v/>
      </c>
      <c r="G245" s="59" t="n"/>
      <c r="H245" s="60" t="n"/>
      <c r="I245" s="60" t="n"/>
      <c r="J245" s="60" t="n"/>
      <c r="K245" s="60" t="n"/>
      <c r="L245" s="60" t="n"/>
      <c r="M245" s="61">
        <f>IF(NOT((COUNTA($B245:$D245)+COUNTA($G245:$L245)+COUNTA($Q245))&gt;0),"",IF(ISNUMBER($G245),1,IF(N($W245)&gt;0,AVERAGEIFS($X$5:$X$1000,$U$5:$U$1000,ROW(),$V$5:$V$1000,"Sub"),$X245)))</f>
        <v/>
      </c>
      <c r="N245" s="56">
        <f>IF($M245="","",IF($M245&gt;=1,"Completado",IF($M245&gt;0,"En curso","Pendiente")))</f>
        <v/>
      </c>
      <c r="O245" s="56">
        <f>IF(NOT((COUNTA($B245:$D245)+COUNTA($G245:$L245)+COUNTA($Q245))&gt;0),"",IF(ISNUMBER($G245),IF(AND(ISNUMBER($AN245),$G245&gt;$AN245),"Cumplida con "&amp;($G245-$AN245)&amp;IF($G245-$AN245=1," día"," días")&amp;" de retraso","Cumplida"),IF(N($M245)&gt;=1,"Cumplida",IF(NOT(ISNUMBER($AN245)),"Sin fecha límite",IF($AN245&lt;FechaRef,"Vencida hace "&amp;(FechaRef-$AN245)&amp;IF(FechaRef-$AN245=1," día"," días"),IF($AN245=FechaRef,"Vence hoy",IF($AN245-FechaRef&lt;=DiasAlerta,"Vence en "&amp;($AN245-FechaRef)&amp;IF($AN245-FechaRef=1," día"," días"),"En plazo")))))))</f>
        <v/>
      </c>
      <c r="P245" s="62" t="n"/>
      <c r="Q245" s="58" t="n"/>
      <c r="R245" s="63">
        <f>IF(NOT((COUNTA($B245:$D245)+COUNTA($G245:$L245)+COUNTA($Q245))&gt;0),"",IF((IF($C245="","Falta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",""))="","✔ OK","⚠ "&amp;LEFT(IF($C245="","Falta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",""),LEN(IF($C245="","Falta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",""))-3)))</f>
        <v/>
      </c>
      <c r="S245" s="64">
        <f>IF(NOT((COUNTA($B245:$D245)+COUNTA($G245:$L245)+COUNTA($Q245))&gt;0),"",IF(AND($V245="Sub",N($U245)&gt;0),IF(ISNUMBER(INDEX($AM$5:$AM$1000,$U245-4)),DATE(YEAR(INDEX($AM$5:$AM$1000,$U245-4)),MONTH(INDEX($AM$5:$AM$1000,$U245-4)),1),IF(ISNUMBER(INDEX($AN$5:$AN$1000,$U245-4)),DATE(YEAR(INDEX($AN$5:$AN$1000,$U245-4)),MONTH(INDEX($AN$5:$AN$1000,$U245-4)),1),MesCiclo)),IF(ISNUMBER($AM245),DATE(YEAR($AM245),MONTH($AM245),1),IF(ISNUMBER($AN245),DATE(YEAR($AN245),MONTH($AN245),1),MesCiclo))))</f>
        <v/>
      </c>
      <c r="T245" s="62">
        <f>IF(OR($S245="",$S245&lt;&gt;MesCiclo),"",COUNTIF($S$5:$S245,MesCiclo))</f>
        <v/>
      </c>
      <c r="U245" s="62">
        <f>IF($V245="","",IF($V245="Macro",ROW(),IFERROR(LOOKUP(2,1/($V$5:$V245="Macro"),ROW($V$5:$V245)),0)))</f>
        <v/>
      </c>
      <c r="V245" s="62">
        <f>IF(NOT((COUNTA($B245:$D245)+COUNTA($G245:$L245)+COUNTA($Q245))&gt;0),"",IF($B245="Subactividad","Sub","Macro"))</f>
        <v/>
      </c>
      <c r="W245" s="62">
        <f>IF($V245="Macro",COUNTIFS($U$5:$U$1000,ROW(),$V$5:$V$1000,"Sub"),"")</f>
        <v/>
      </c>
      <c r="X245" s="62">
        <f>IF($V245="","",IF(ISNUMBER($G245),1,IFERROR(LOOKUP(2,1/($I245:$L245&lt;&gt;""),$I245:$L245),0)))</f>
        <v/>
      </c>
      <c r="Y245" s="62">
        <f>IF($V245="","",IF(AND(ISNUMBER($G245),$G245&lt;=IF($S245=MesCiclo,InicioCiclo,$S245+MOD(2-WEEKDAY($S245),7))+6),1,IF(ISNUMBER($I245),$I245,0)))</f>
        <v/>
      </c>
      <c r="Z245" s="62">
        <f>IF($V245="","",IF(AND(ISNUMBER($G245),$G245&lt;=IF($S245=MesCiclo,InicioCiclo,$S245+MOD(2-WEEKDAY($S245),7))+13),1,IF(ISNUMBER($J245),$J245,$Y245)))</f>
        <v/>
      </c>
      <c r="AA245" s="62">
        <f>IF($V245="","",IF(AND(ISNUMBER($G245),$G245&lt;=IF($S245=MesCiclo,InicioCiclo,$S245+MOD(2-WEEKDAY($S245),7))+20),1,IF(ISNUMBER($K245),$K245,$Z245)))</f>
        <v/>
      </c>
      <c r="AB245" s="62">
        <f>IF($V245="","",IF(AND(ISNUMBER($G245),$G245&lt;=IF($S245=MesCiclo,InicioCiclo,$S245+MOD(2-WEEKDAY($S245),7))+27),1,IF(ISNUMBER($L245),$L245,$AA245)))</f>
        <v/>
      </c>
      <c r="AC245" s="62">
        <f>IF($V245="","",IF(AND(ISNUMBER($G245),$G245&lt;=IF($S245=MesCiclo,InicioCiclo,$S245+MOD(2-WEEKDAY($S245),7))+6),1,IF(N($W245)&gt;0,AVERAGEIFS($Y$5:$Y$1000,$U$5:$U$1000,ROW(),$V$5:$V$1000,"Sub"),$Y245)))</f>
        <v/>
      </c>
      <c r="AD245" s="62">
        <f>IF($V245="","",IF(AND(ISNUMBER($G245),$G245&lt;=IF($S245=MesCiclo,InicioCiclo,$S245+MOD(2-WEEKDAY($S245),7))+13),1,IF(N($W245)&gt;0,AVERAGEIFS($Z$5:$Z$1000,$U$5:$U$1000,ROW(),$V$5:$V$1000,"Sub"),$Z245)))</f>
        <v/>
      </c>
      <c r="AE245" s="62">
        <f>IF($V245="","",IF(AND(ISNUMBER($G245),$G245&lt;=IF($S245=MesCiclo,InicioCiclo,$S245+MOD(2-WEEKDAY($S245),7))+20),1,IF(N($W245)&gt;0,AVERAGEIFS($AA$5:$AA$1000,$U$5:$U$1000,ROW(),$V$5:$V$1000,"Sub"),$AA245)))</f>
        <v/>
      </c>
      <c r="AF245" s="62">
        <f>IF($V245="","",IF(AND(ISNUMBER($G245),$G245&lt;=IF($S245=MesCiclo,InicioCiclo,$S245+MOD(2-WEEKDAY($S245),7))+27),1,IF(N($W245)&gt;0,AVERAGEIFS($AB$5:$AB$1000,$U$5:$U$1000,ROW(),$V$5:$V$1000,"Sub"),$AB245)))</f>
        <v/>
      </c>
      <c r="AG245" s="62">
        <f>IF($V245&lt;&gt;"Macro","",IF(COUNTIFS($S$5:$S$1000,$S245,$V$5:$V$1000,"Macro",$H$5:$H$1000,"&gt;0")=0,1/COUNTIFS($S$5:$S$1000,$S245,$V$5:$V$1000,"Macro"),IF(AND(ISNUMBER($H245),N($H245)&gt;0),$H245,SUMIFS($H$5:$H$1000,$S$5:$S$1000,$S245,$V$5:$V$1000,"Macro")/COUNTIFS($S$5:$S$1000,$S245,$V$5:$V$1000,"Macro",$H$5:$H$1000,"&gt;0"))/(COUNTIFS($S$5:$S$1000,$S245,$V$5:$V$1000,"Macro")*SUMIFS($H$5:$H$1000,$S$5:$S$1000,$S245,$V$5:$V$1000,"Macro")/COUNTIFS($S$5:$S$1000,$S245,$V$5:$V$1000,"Macro",$H$5:$H$1000,"&gt;0"))))</f>
        <v/>
      </c>
      <c r="AH245" s="62" t="n"/>
      <c r="AI245" s="62" t="n"/>
      <c r="AJ245" s="62" t="n"/>
      <c r="AK245" s="62" t="n"/>
      <c r="AL245" s="62">
        <f>IF(LEFT($C245,11)="[Jefatura] ",IFERROR(MATCH("Asistente Técnico de Riesgo|"&amp;MID($C245,12,500),rDname_ADM,0),0),"")</f>
        <v/>
      </c>
      <c r="AM245" s="62">
        <f>IF(N($AL245)&gt;0,INDEX(rIni_ADM,$AL245),IF(ISNUMBER($E245),$E245,""))</f>
        <v/>
      </c>
      <c r="AN245" s="62">
        <f>IF(N($AL245)&gt;0,INDEX(rLim_ADM,$AL245),IF(ISNUMBER($F245),$F245,""))</f>
        <v/>
      </c>
    </row>
    <row r="246">
      <c r="A246" s="56">
        <f>IF(NOT((COUNTA($B246:$D246)+COUNTA($G246:$L246)+COUNTA($Q246))&gt;0),"",IF($V246="Macro",COUNTIFS($V$5:$V246,"Macro",$S$5:$S246,$S246),IF(N($U246)=0,"?",COUNTIFS(INDEX($V$5:$V$1000,1):INDEX($V$5:$V$1000,$U246-4),"Macro",INDEX($S$5:$S$1000,1):INDEX($S$5:$S$1000,$U246-4),INDEX($S$5:$S$1000,$U246-4))&amp;"."&amp;COUNTIFS($U$5:$U246,$U246,$V$5:$V246,"Sub"))))</f>
        <v/>
      </c>
      <c r="B246" s="57" t="n"/>
      <c r="C246" s="58" t="n"/>
      <c r="D246" s="58" t="n"/>
      <c r="E246" s="59">
        <f>IF(N($AL246)&gt;0,INDEX(rIni_ADM,$AL246),"")</f>
        <v/>
      </c>
      <c r="F246" s="59">
        <f>IF(N($AL246)&gt;0,INDEX(rLim_ADM,$AL246),"")</f>
        <v/>
      </c>
      <c r="G246" s="59" t="n"/>
      <c r="H246" s="60" t="n"/>
      <c r="I246" s="60" t="n"/>
      <c r="J246" s="60" t="n"/>
      <c r="K246" s="60" t="n"/>
      <c r="L246" s="60" t="n"/>
      <c r="M246" s="61">
        <f>IF(NOT((COUNTA($B246:$D246)+COUNTA($G246:$L246)+COUNTA($Q246))&gt;0),"",IF(ISNUMBER($G246),1,IF(N($W246)&gt;0,AVERAGEIFS($X$5:$X$1000,$U$5:$U$1000,ROW(),$V$5:$V$1000,"Sub"),$X246)))</f>
        <v/>
      </c>
      <c r="N246" s="56">
        <f>IF($M246="","",IF($M246&gt;=1,"Completado",IF($M246&gt;0,"En curso","Pendiente")))</f>
        <v/>
      </c>
      <c r="O246" s="56">
        <f>IF(NOT((COUNTA($B246:$D246)+COUNTA($G246:$L246)+COUNTA($Q246))&gt;0),"",IF(ISNUMBER($G246),IF(AND(ISNUMBER($AN246),$G246&gt;$AN246),"Cumplida con "&amp;($G246-$AN246)&amp;IF($G246-$AN246=1," día"," días")&amp;" de retraso","Cumplida"),IF(N($M246)&gt;=1,"Cumplida",IF(NOT(ISNUMBER($AN246)),"Sin fecha límite",IF($AN246&lt;FechaRef,"Vencida hace "&amp;(FechaRef-$AN246)&amp;IF(FechaRef-$AN246=1," día"," días"),IF($AN246=FechaRef,"Vence hoy",IF($AN246-FechaRef&lt;=DiasAlerta,"Vence en "&amp;($AN246-FechaRef)&amp;IF($AN246-FechaRef=1," día"," días"),"En plazo")))))))</f>
        <v/>
      </c>
      <c r="P246" s="62" t="n"/>
      <c r="Q246" s="58" t="n"/>
      <c r="R246" s="63">
        <f>IF(NOT((COUNTA($B246:$D246)+COUNTA($G246:$L246)+COUNTA($Q246))&gt;0),"",IF((IF($C246="","Falta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",""))="","✔ OK","⚠ "&amp;LEFT(IF($C246="","Falta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",""),LEN(IF($C246="","Falta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",""))-3)))</f>
        <v/>
      </c>
      <c r="S246" s="64">
        <f>IF(NOT((COUNTA($B246:$D246)+COUNTA($G246:$L246)+COUNTA($Q246))&gt;0),"",IF(AND($V246="Sub",N($U246)&gt;0),IF(ISNUMBER(INDEX($AM$5:$AM$1000,$U246-4)),DATE(YEAR(INDEX($AM$5:$AM$1000,$U246-4)),MONTH(INDEX($AM$5:$AM$1000,$U246-4)),1),IF(ISNUMBER(INDEX($AN$5:$AN$1000,$U246-4)),DATE(YEAR(INDEX($AN$5:$AN$1000,$U246-4)),MONTH(INDEX($AN$5:$AN$1000,$U246-4)),1),MesCiclo)),IF(ISNUMBER($AM246),DATE(YEAR($AM246),MONTH($AM246),1),IF(ISNUMBER($AN246),DATE(YEAR($AN246),MONTH($AN246),1),MesCiclo))))</f>
        <v/>
      </c>
      <c r="T246" s="62">
        <f>IF(OR($S246="",$S246&lt;&gt;MesCiclo),"",COUNTIF($S$5:$S246,MesCiclo))</f>
        <v/>
      </c>
      <c r="U246" s="62">
        <f>IF($V246="","",IF($V246="Macro",ROW(),IFERROR(LOOKUP(2,1/($V$5:$V246="Macro"),ROW($V$5:$V246)),0)))</f>
        <v/>
      </c>
      <c r="V246" s="62">
        <f>IF(NOT((COUNTA($B246:$D246)+COUNTA($G246:$L246)+COUNTA($Q246))&gt;0),"",IF($B246="Subactividad","Sub","Macro"))</f>
        <v/>
      </c>
      <c r="W246" s="62">
        <f>IF($V246="Macro",COUNTIFS($U$5:$U$1000,ROW(),$V$5:$V$1000,"Sub"),"")</f>
        <v/>
      </c>
      <c r="X246" s="62">
        <f>IF($V246="","",IF(ISNUMBER($G246),1,IFERROR(LOOKUP(2,1/($I246:$L246&lt;&gt;""),$I246:$L246),0)))</f>
        <v/>
      </c>
      <c r="Y246" s="62">
        <f>IF($V246="","",IF(AND(ISNUMBER($G246),$G246&lt;=IF($S246=MesCiclo,InicioCiclo,$S246+MOD(2-WEEKDAY($S246),7))+6),1,IF(ISNUMBER($I246),$I246,0)))</f>
        <v/>
      </c>
      <c r="Z246" s="62">
        <f>IF($V246="","",IF(AND(ISNUMBER($G246),$G246&lt;=IF($S246=MesCiclo,InicioCiclo,$S246+MOD(2-WEEKDAY($S246),7))+13),1,IF(ISNUMBER($J246),$J246,$Y246)))</f>
        <v/>
      </c>
      <c r="AA246" s="62">
        <f>IF($V246="","",IF(AND(ISNUMBER($G246),$G246&lt;=IF($S246=MesCiclo,InicioCiclo,$S246+MOD(2-WEEKDAY($S246),7))+20),1,IF(ISNUMBER($K246),$K246,$Z246)))</f>
        <v/>
      </c>
      <c r="AB246" s="62">
        <f>IF($V246="","",IF(AND(ISNUMBER($G246),$G246&lt;=IF($S246=MesCiclo,InicioCiclo,$S246+MOD(2-WEEKDAY($S246),7))+27),1,IF(ISNUMBER($L246),$L246,$AA246)))</f>
        <v/>
      </c>
      <c r="AC246" s="62">
        <f>IF($V246="","",IF(AND(ISNUMBER($G246),$G246&lt;=IF($S246=MesCiclo,InicioCiclo,$S246+MOD(2-WEEKDAY($S246),7))+6),1,IF(N($W246)&gt;0,AVERAGEIFS($Y$5:$Y$1000,$U$5:$U$1000,ROW(),$V$5:$V$1000,"Sub"),$Y246)))</f>
        <v/>
      </c>
      <c r="AD246" s="62">
        <f>IF($V246="","",IF(AND(ISNUMBER($G246),$G246&lt;=IF($S246=MesCiclo,InicioCiclo,$S246+MOD(2-WEEKDAY($S246),7))+13),1,IF(N($W246)&gt;0,AVERAGEIFS($Z$5:$Z$1000,$U$5:$U$1000,ROW(),$V$5:$V$1000,"Sub"),$Z246)))</f>
        <v/>
      </c>
      <c r="AE246" s="62">
        <f>IF($V246="","",IF(AND(ISNUMBER($G246),$G246&lt;=IF($S246=MesCiclo,InicioCiclo,$S246+MOD(2-WEEKDAY($S246),7))+20),1,IF(N($W246)&gt;0,AVERAGEIFS($AA$5:$AA$1000,$U$5:$U$1000,ROW(),$V$5:$V$1000,"Sub"),$AA246)))</f>
        <v/>
      </c>
      <c r="AF246" s="62">
        <f>IF($V246="","",IF(AND(ISNUMBER($G246),$G246&lt;=IF($S246=MesCiclo,InicioCiclo,$S246+MOD(2-WEEKDAY($S246),7))+27),1,IF(N($W246)&gt;0,AVERAGEIFS($AB$5:$AB$1000,$U$5:$U$1000,ROW(),$V$5:$V$1000,"Sub"),$AB246)))</f>
        <v/>
      </c>
      <c r="AG246" s="62">
        <f>IF($V246&lt;&gt;"Macro","",IF(COUNTIFS($S$5:$S$1000,$S246,$V$5:$V$1000,"Macro",$H$5:$H$1000,"&gt;0")=0,1/COUNTIFS($S$5:$S$1000,$S246,$V$5:$V$1000,"Macro"),IF(AND(ISNUMBER($H246),N($H246)&gt;0),$H246,SUMIFS($H$5:$H$1000,$S$5:$S$1000,$S246,$V$5:$V$1000,"Macro")/COUNTIFS($S$5:$S$1000,$S246,$V$5:$V$1000,"Macro",$H$5:$H$1000,"&gt;0"))/(COUNTIFS($S$5:$S$1000,$S246,$V$5:$V$1000,"Macro")*SUMIFS($H$5:$H$1000,$S$5:$S$1000,$S246,$V$5:$V$1000,"Macro")/COUNTIFS($S$5:$S$1000,$S246,$V$5:$V$1000,"Macro",$H$5:$H$1000,"&gt;0"))))</f>
        <v/>
      </c>
      <c r="AH246" s="62" t="n"/>
      <c r="AI246" s="62" t="n"/>
      <c r="AJ246" s="62" t="n"/>
      <c r="AK246" s="62" t="n"/>
      <c r="AL246" s="62">
        <f>IF(LEFT($C246,11)="[Jefatura] ",IFERROR(MATCH("Asistente Técnico de Riesgo|"&amp;MID($C246,12,500),rDname_ADM,0),0),"")</f>
        <v/>
      </c>
      <c r="AM246" s="62">
        <f>IF(N($AL246)&gt;0,INDEX(rIni_ADM,$AL246),IF(ISNUMBER($E246),$E246,""))</f>
        <v/>
      </c>
      <c r="AN246" s="62">
        <f>IF(N($AL246)&gt;0,INDEX(rLim_ADM,$AL246),IF(ISNUMBER($F246),$F246,""))</f>
        <v/>
      </c>
    </row>
    <row r="247">
      <c r="A247" s="56">
        <f>IF(NOT((COUNTA($B247:$D247)+COUNTA($G247:$L247)+COUNTA($Q247))&gt;0),"",IF($V247="Macro",COUNTIFS($V$5:$V247,"Macro",$S$5:$S247,$S247),IF(N($U247)=0,"?",COUNTIFS(INDEX($V$5:$V$1000,1):INDEX($V$5:$V$1000,$U247-4),"Macro",INDEX($S$5:$S$1000,1):INDEX($S$5:$S$1000,$U247-4),INDEX($S$5:$S$1000,$U247-4))&amp;"."&amp;COUNTIFS($U$5:$U247,$U247,$V$5:$V247,"Sub"))))</f>
        <v/>
      </c>
      <c r="B247" s="57" t="n"/>
      <c r="C247" s="58" t="n"/>
      <c r="D247" s="58" t="n"/>
      <c r="E247" s="59">
        <f>IF(N($AL247)&gt;0,INDEX(rIni_ADM,$AL247),"")</f>
        <v/>
      </c>
      <c r="F247" s="59">
        <f>IF(N($AL247)&gt;0,INDEX(rLim_ADM,$AL247),"")</f>
        <v/>
      </c>
      <c r="G247" s="59" t="n"/>
      <c r="H247" s="60" t="n"/>
      <c r="I247" s="60" t="n"/>
      <c r="J247" s="60" t="n"/>
      <c r="K247" s="60" t="n"/>
      <c r="L247" s="60" t="n"/>
      <c r="M247" s="61">
        <f>IF(NOT((COUNTA($B247:$D247)+COUNTA($G247:$L247)+COUNTA($Q247))&gt;0),"",IF(ISNUMBER($G247),1,IF(N($W247)&gt;0,AVERAGEIFS($X$5:$X$1000,$U$5:$U$1000,ROW(),$V$5:$V$1000,"Sub"),$X247)))</f>
        <v/>
      </c>
      <c r="N247" s="56">
        <f>IF($M247="","",IF($M247&gt;=1,"Completado",IF($M247&gt;0,"En curso","Pendiente")))</f>
        <v/>
      </c>
      <c r="O247" s="56">
        <f>IF(NOT((COUNTA($B247:$D247)+COUNTA($G247:$L247)+COUNTA($Q247))&gt;0),"",IF(ISNUMBER($G247),IF(AND(ISNUMBER($AN247),$G247&gt;$AN247),"Cumplida con "&amp;($G247-$AN247)&amp;IF($G247-$AN247=1," día"," días")&amp;" de retraso","Cumplida"),IF(N($M247)&gt;=1,"Cumplida",IF(NOT(ISNUMBER($AN247)),"Sin fecha límite",IF($AN247&lt;FechaRef,"Vencida hace "&amp;(FechaRef-$AN247)&amp;IF(FechaRef-$AN247=1," día"," días"),IF($AN247=FechaRef,"Vence hoy",IF($AN247-FechaRef&lt;=DiasAlerta,"Vence en "&amp;($AN247-FechaRef)&amp;IF($AN247-FechaRef=1," día"," días"),"En plazo")))))))</f>
        <v/>
      </c>
      <c r="P247" s="62" t="n"/>
      <c r="Q247" s="58" t="n"/>
      <c r="R247" s="63">
        <f>IF(NOT((COUNTA($B247:$D247)+COUNTA($G247:$L247)+COUNTA($Q247))&gt;0),"",IF((IF($C247="","Falta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",""))="","✔ OK","⚠ "&amp;LEFT(IF($C247="","Falta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",""),LEN(IF($C247="","Falta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",""))-3)))</f>
        <v/>
      </c>
      <c r="S247" s="64">
        <f>IF(NOT((COUNTA($B247:$D247)+COUNTA($G247:$L247)+COUNTA($Q247))&gt;0),"",IF(AND($V247="Sub",N($U247)&gt;0),IF(ISNUMBER(INDEX($AM$5:$AM$1000,$U247-4)),DATE(YEAR(INDEX($AM$5:$AM$1000,$U247-4)),MONTH(INDEX($AM$5:$AM$1000,$U247-4)),1),IF(ISNUMBER(INDEX($AN$5:$AN$1000,$U247-4)),DATE(YEAR(INDEX($AN$5:$AN$1000,$U247-4)),MONTH(INDEX($AN$5:$AN$1000,$U247-4)),1),MesCiclo)),IF(ISNUMBER($AM247),DATE(YEAR($AM247),MONTH($AM247),1),IF(ISNUMBER($AN247),DATE(YEAR($AN247),MONTH($AN247),1),MesCiclo))))</f>
        <v/>
      </c>
      <c r="T247" s="62">
        <f>IF(OR($S247="",$S247&lt;&gt;MesCiclo),"",COUNTIF($S$5:$S247,MesCiclo))</f>
        <v/>
      </c>
      <c r="U247" s="62">
        <f>IF($V247="","",IF($V247="Macro",ROW(),IFERROR(LOOKUP(2,1/($V$5:$V247="Macro"),ROW($V$5:$V247)),0)))</f>
        <v/>
      </c>
      <c r="V247" s="62">
        <f>IF(NOT((COUNTA($B247:$D247)+COUNTA($G247:$L247)+COUNTA($Q247))&gt;0),"",IF($B247="Subactividad","Sub","Macro"))</f>
        <v/>
      </c>
      <c r="W247" s="62">
        <f>IF($V247="Macro",COUNTIFS($U$5:$U$1000,ROW(),$V$5:$V$1000,"Sub"),"")</f>
        <v/>
      </c>
      <c r="X247" s="62">
        <f>IF($V247="","",IF(ISNUMBER($G247),1,IFERROR(LOOKUP(2,1/($I247:$L247&lt;&gt;""),$I247:$L247),0)))</f>
        <v/>
      </c>
      <c r="Y247" s="62">
        <f>IF($V247="","",IF(AND(ISNUMBER($G247),$G247&lt;=IF($S247=MesCiclo,InicioCiclo,$S247+MOD(2-WEEKDAY($S247),7))+6),1,IF(ISNUMBER($I247),$I247,0)))</f>
        <v/>
      </c>
      <c r="Z247" s="62">
        <f>IF($V247="","",IF(AND(ISNUMBER($G247),$G247&lt;=IF($S247=MesCiclo,InicioCiclo,$S247+MOD(2-WEEKDAY($S247),7))+13),1,IF(ISNUMBER($J247),$J247,$Y247)))</f>
        <v/>
      </c>
      <c r="AA247" s="62">
        <f>IF($V247="","",IF(AND(ISNUMBER($G247),$G247&lt;=IF($S247=MesCiclo,InicioCiclo,$S247+MOD(2-WEEKDAY($S247),7))+20),1,IF(ISNUMBER($K247),$K247,$Z247)))</f>
        <v/>
      </c>
      <c r="AB247" s="62">
        <f>IF($V247="","",IF(AND(ISNUMBER($G247),$G247&lt;=IF($S247=MesCiclo,InicioCiclo,$S247+MOD(2-WEEKDAY($S247),7))+27),1,IF(ISNUMBER($L247),$L247,$AA247)))</f>
        <v/>
      </c>
      <c r="AC247" s="62">
        <f>IF($V247="","",IF(AND(ISNUMBER($G247),$G247&lt;=IF($S247=MesCiclo,InicioCiclo,$S247+MOD(2-WEEKDAY($S247),7))+6),1,IF(N($W247)&gt;0,AVERAGEIFS($Y$5:$Y$1000,$U$5:$U$1000,ROW(),$V$5:$V$1000,"Sub"),$Y247)))</f>
        <v/>
      </c>
      <c r="AD247" s="62">
        <f>IF($V247="","",IF(AND(ISNUMBER($G247),$G247&lt;=IF($S247=MesCiclo,InicioCiclo,$S247+MOD(2-WEEKDAY($S247),7))+13),1,IF(N($W247)&gt;0,AVERAGEIFS($Z$5:$Z$1000,$U$5:$U$1000,ROW(),$V$5:$V$1000,"Sub"),$Z247)))</f>
        <v/>
      </c>
      <c r="AE247" s="62">
        <f>IF($V247="","",IF(AND(ISNUMBER($G247),$G247&lt;=IF($S247=MesCiclo,InicioCiclo,$S247+MOD(2-WEEKDAY($S247),7))+20),1,IF(N($W247)&gt;0,AVERAGEIFS($AA$5:$AA$1000,$U$5:$U$1000,ROW(),$V$5:$V$1000,"Sub"),$AA247)))</f>
        <v/>
      </c>
      <c r="AF247" s="62">
        <f>IF($V247="","",IF(AND(ISNUMBER($G247),$G247&lt;=IF($S247=MesCiclo,InicioCiclo,$S247+MOD(2-WEEKDAY($S247),7))+27),1,IF(N($W247)&gt;0,AVERAGEIFS($AB$5:$AB$1000,$U$5:$U$1000,ROW(),$V$5:$V$1000,"Sub"),$AB247)))</f>
        <v/>
      </c>
      <c r="AG247" s="62">
        <f>IF($V247&lt;&gt;"Macro","",IF(COUNTIFS($S$5:$S$1000,$S247,$V$5:$V$1000,"Macro",$H$5:$H$1000,"&gt;0")=0,1/COUNTIFS($S$5:$S$1000,$S247,$V$5:$V$1000,"Macro"),IF(AND(ISNUMBER($H247),N($H247)&gt;0),$H247,SUMIFS($H$5:$H$1000,$S$5:$S$1000,$S247,$V$5:$V$1000,"Macro")/COUNTIFS($S$5:$S$1000,$S247,$V$5:$V$1000,"Macro",$H$5:$H$1000,"&gt;0"))/(COUNTIFS($S$5:$S$1000,$S247,$V$5:$V$1000,"Macro")*SUMIFS($H$5:$H$1000,$S$5:$S$1000,$S247,$V$5:$V$1000,"Macro")/COUNTIFS($S$5:$S$1000,$S247,$V$5:$V$1000,"Macro",$H$5:$H$1000,"&gt;0"))))</f>
        <v/>
      </c>
      <c r="AH247" s="62" t="n"/>
      <c r="AI247" s="62" t="n"/>
      <c r="AJ247" s="62" t="n"/>
      <c r="AK247" s="62" t="n"/>
      <c r="AL247" s="62">
        <f>IF(LEFT($C247,11)="[Jefatura] ",IFERROR(MATCH("Asistente Técnico de Riesgo|"&amp;MID($C247,12,500),rDname_ADM,0),0),"")</f>
        <v/>
      </c>
      <c r="AM247" s="62">
        <f>IF(N($AL247)&gt;0,INDEX(rIni_ADM,$AL247),IF(ISNUMBER($E247),$E247,""))</f>
        <v/>
      </c>
      <c r="AN247" s="62">
        <f>IF(N($AL247)&gt;0,INDEX(rLim_ADM,$AL247),IF(ISNUMBER($F247),$F247,""))</f>
        <v/>
      </c>
    </row>
    <row r="248">
      <c r="A248" s="56">
        <f>IF(NOT((COUNTA($B248:$D248)+COUNTA($G248:$L248)+COUNTA($Q248))&gt;0),"",IF($V248="Macro",COUNTIFS($V$5:$V248,"Macro",$S$5:$S248,$S248),IF(N($U248)=0,"?",COUNTIFS(INDEX($V$5:$V$1000,1):INDEX($V$5:$V$1000,$U248-4),"Macro",INDEX($S$5:$S$1000,1):INDEX($S$5:$S$1000,$U248-4),INDEX($S$5:$S$1000,$U248-4))&amp;"."&amp;COUNTIFS($U$5:$U248,$U248,$V$5:$V248,"Sub"))))</f>
        <v/>
      </c>
      <c r="B248" s="57" t="n"/>
      <c r="C248" s="58" t="n"/>
      <c r="D248" s="58" t="n"/>
      <c r="E248" s="59">
        <f>IF(N($AL248)&gt;0,INDEX(rIni_ADM,$AL248),"")</f>
        <v/>
      </c>
      <c r="F248" s="59">
        <f>IF(N($AL248)&gt;0,INDEX(rLim_ADM,$AL248),"")</f>
        <v/>
      </c>
      <c r="G248" s="59" t="n"/>
      <c r="H248" s="60" t="n"/>
      <c r="I248" s="60" t="n"/>
      <c r="J248" s="60" t="n"/>
      <c r="K248" s="60" t="n"/>
      <c r="L248" s="60" t="n"/>
      <c r="M248" s="61">
        <f>IF(NOT((COUNTA($B248:$D248)+COUNTA($G248:$L248)+COUNTA($Q248))&gt;0),"",IF(ISNUMBER($G248),1,IF(N($W248)&gt;0,AVERAGEIFS($X$5:$X$1000,$U$5:$U$1000,ROW(),$V$5:$V$1000,"Sub"),$X248)))</f>
        <v/>
      </c>
      <c r="N248" s="56">
        <f>IF($M248="","",IF($M248&gt;=1,"Completado",IF($M248&gt;0,"En curso","Pendiente")))</f>
        <v/>
      </c>
      <c r="O248" s="56">
        <f>IF(NOT((COUNTA($B248:$D248)+COUNTA($G248:$L248)+COUNTA($Q248))&gt;0),"",IF(ISNUMBER($G248),IF(AND(ISNUMBER($AN248),$G248&gt;$AN248),"Cumplida con "&amp;($G248-$AN248)&amp;IF($G248-$AN248=1," día"," días")&amp;" de retraso","Cumplida"),IF(N($M248)&gt;=1,"Cumplida",IF(NOT(ISNUMBER($AN248)),"Sin fecha límite",IF($AN248&lt;FechaRef,"Vencida hace "&amp;(FechaRef-$AN248)&amp;IF(FechaRef-$AN248=1," día"," días"),IF($AN248=FechaRef,"Vence hoy",IF($AN248-FechaRef&lt;=DiasAlerta,"Vence en "&amp;($AN248-FechaRef)&amp;IF($AN248-FechaRef=1," día"," días"),"En plazo")))))))</f>
        <v/>
      </c>
      <c r="P248" s="62" t="n"/>
      <c r="Q248" s="58" t="n"/>
      <c r="R248" s="63">
        <f>IF(NOT((COUNTA($B248:$D248)+COUNTA($G248:$L248)+COUNTA($Q248))&gt;0),"",IF((IF($C248="","Falta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",""))="","✔ OK","⚠ "&amp;LEFT(IF($C248="","Falta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",""),LEN(IF($C248="","Falta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",""))-3)))</f>
        <v/>
      </c>
      <c r="S248" s="64">
        <f>IF(NOT((COUNTA($B248:$D248)+COUNTA($G248:$L248)+COUNTA($Q248))&gt;0),"",IF(AND($V248="Sub",N($U248)&gt;0),IF(ISNUMBER(INDEX($AM$5:$AM$1000,$U248-4)),DATE(YEAR(INDEX($AM$5:$AM$1000,$U248-4)),MONTH(INDEX($AM$5:$AM$1000,$U248-4)),1),IF(ISNUMBER(INDEX($AN$5:$AN$1000,$U248-4)),DATE(YEAR(INDEX($AN$5:$AN$1000,$U248-4)),MONTH(INDEX($AN$5:$AN$1000,$U248-4)),1),MesCiclo)),IF(ISNUMBER($AM248),DATE(YEAR($AM248),MONTH($AM248),1),IF(ISNUMBER($AN248),DATE(YEAR($AN248),MONTH($AN248),1),MesCiclo))))</f>
        <v/>
      </c>
      <c r="T248" s="62">
        <f>IF(OR($S248="",$S248&lt;&gt;MesCiclo),"",COUNTIF($S$5:$S248,MesCiclo))</f>
        <v/>
      </c>
      <c r="U248" s="62">
        <f>IF($V248="","",IF($V248="Macro",ROW(),IFERROR(LOOKUP(2,1/($V$5:$V248="Macro"),ROW($V$5:$V248)),0)))</f>
        <v/>
      </c>
      <c r="V248" s="62">
        <f>IF(NOT((COUNTA($B248:$D248)+COUNTA($G248:$L248)+COUNTA($Q248))&gt;0),"",IF($B248="Subactividad","Sub","Macro"))</f>
        <v/>
      </c>
      <c r="W248" s="62">
        <f>IF($V248="Macro",COUNTIFS($U$5:$U$1000,ROW(),$V$5:$V$1000,"Sub"),"")</f>
        <v/>
      </c>
      <c r="X248" s="62">
        <f>IF($V248="","",IF(ISNUMBER($G248),1,IFERROR(LOOKUP(2,1/($I248:$L248&lt;&gt;""),$I248:$L248),0)))</f>
        <v/>
      </c>
      <c r="Y248" s="62">
        <f>IF($V248="","",IF(AND(ISNUMBER($G248),$G248&lt;=IF($S248=MesCiclo,InicioCiclo,$S248+MOD(2-WEEKDAY($S248),7))+6),1,IF(ISNUMBER($I248),$I248,0)))</f>
        <v/>
      </c>
      <c r="Z248" s="62">
        <f>IF($V248="","",IF(AND(ISNUMBER($G248),$G248&lt;=IF($S248=MesCiclo,InicioCiclo,$S248+MOD(2-WEEKDAY($S248),7))+13),1,IF(ISNUMBER($J248),$J248,$Y248)))</f>
        <v/>
      </c>
      <c r="AA248" s="62">
        <f>IF($V248="","",IF(AND(ISNUMBER($G248),$G248&lt;=IF($S248=MesCiclo,InicioCiclo,$S248+MOD(2-WEEKDAY($S248),7))+20),1,IF(ISNUMBER($K248),$K248,$Z248)))</f>
        <v/>
      </c>
      <c r="AB248" s="62">
        <f>IF($V248="","",IF(AND(ISNUMBER($G248),$G248&lt;=IF($S248=MesCiclo,InicioCiclo,$S248+MOD(2-WEEKDAY($S248),7))+27),1,IF(ISNUMBER($L248),$L248,$AA248)))</f>
        <v/>
      </c>
      <c r="AC248" s="62">
        <f>IF($V248="","",IF(AND(ISNUMBER($G248),$G248&lt;=IF($S248=MesCiclo,InicioCiclo,$S248+MOD(2-WEEKDAY($S248),7))+6),1,IF(N($W248)&gt;0,AVERAGEIFS($Y$5:$Y$1000,$U$5:$U$1000,ROW(),$V$5:$V$1000,"Sub"),$Y248)))</f>
        <v/>
      </c>
      <c r="AD248" s="62">
        <f>IF($V248="","",IF(AND(ISNUMBER($G248),$G248&lt;=IF($S248=MesCiclo,InicioCiclo,$S248+MOD(2-WEEKDAY($S248),7))+13),1,IF(N($W248)&gt;0,AVERAGEIFS($Z$5:$Z$1000,$U$5:$U$1000,ROW(),$V$5:$V$1000,"Sub"),$Z248)))</f>
        <v/>
      </c>
      <c r="AE248" s="62">
        <f>IF($V248="","",IF(AND(ISNUMBER($G248),$G248&lt;=IF($S248=MesCiclo,InicioCiclo,$S248+MOD(2-WEEKDAY($S248),7))+20),1,IF(N($W248)&gt;0,AVERAGEIFS($AA$5:$AA$1000,$U$5:$U$1000,ROW(),$V$5:$V$1000,"Sub"),$AA248)))</f>
        <v/>
      </c>
      <c r="AF248" s="62">
        <f>IF($V248="","",IF(AND(ISNUMBER($G248),$G248&lt;=IF($S248=MesCiclo,InicioCiclo,$S248+MOD(2-WEEKDAY($S248),7))+27),1,IF(N($W248)&gt;0,AVERAGEIFS($AB$5:$AB$1000,$U$5:$U$1000,ROW(),$V$5:$V$1000,"Sub"),$AB248)))</f>
        <v/>
      </c>
      <c r="AG248" s="62">
        <f>IF($V248&lt;&gt;"Macro","",IF(COUNTIFS($S$5:$S$1000,$S248,$V$5:$V$1000,"Macro",$H$5:$H$1000,"&gt;0")=0,1/COUNTIFS($S$5:$S$1000,$S248,$V$5:$V$1000,"Macro"),IF(AND(ISNUMBER($H248),N($H248)&gt;0),$H248,SUMIFS($H$5:$H$1000,$S$5:$S$1000,$S248,$V$5:$V$1000,"Macro")/COUNTIFS($S$5:$S$1000,$S248,$V$5:$V$1000,"Macro",$H$5:$H$1000,"&gt;0"))/(COUNTIFS($S$5:$S$1000,$S248,$V$5:$V$1000,"Macro")*SUMIFS($H$5:$H$1000,$S$5:$S$1000,$S248,$V$5:$V$1000,"Macro")/COUNTIFS($S$5:$S$1000,$S248,$V$5:$V$1000,"Macro",$H$5:$H$1000,"&gt;0"))))</f>
        <v/>
      </c>
      <c r="AH248" s="62" t="n"/>
      <c r="AI248" s="62" t="n"/>
      <c r="AJ248" s="62" t="n"/>
      <c r="AK248" s="62" t="n"/>
      <c r="AL248" s="62">
        <f>IF(LEFT($C248,11)="[Jefatura] ",IFERROR(MATCH("Asistente Técnico de Riesgo|"&amp;MID($C248,12,500),rDname_ADM,0),0),"")</f>
        <v/>
      </c>
      <c r="AM248" s="62">
        <f>IF(N($AL248)&gt;0,INDEX(rIni_ADM,$AL248),IF(ISNUMBER($E248),$E248,""))</f>
        <v/>
      </c>
      <c r="AN248" s="62">
        <f>IF(N($AL248)&gt;0,INDEX(rLim_ADM,$AL248),IF(ISNUMBER($F248),$F248,""))</f>
        <v/>
      </c>
    </row>
    <row r="249">
      <c r="A249" s="56">
        <f>IF(NOT((COUNTA($B249:$D249)+COUNTA($G249:$L249)+COUNTA($Q249))&gt;0),"",IF($V249="Macro",COUNTIFS($V$5:$V249,"Macro",$S$5:$S249,$S249),IF(N($U249)=0,"?",COUNTIFS(INDEX($V$5:$V$1000,1):INDEX($V$5:$V$1000,$U249-4),"Macro",INDEX($S$5:$S$1000,1):INDEX($S$5:$S$1000,$U249-4),INDEX($S$5:$S$1000,$U249-4))&amp;"."&amp;COUNTIFS($U$5:$U249,$U249,$V$5:$V249,"Sub"))))</f>
        <v/>
      </c>
      <c r="B249" s="57" t="n"/>
      <c r="C249" s="58" t="n"/>
      <c r="D249" s="58" t="n"/>
      <c r="E249" s="59">
        <f>IF(N($AL249)&gt;0,INDEX(rIni_ADM,$AL249),"")</f>
        <v/>
      </c>
      <c r="F249" s="59">
        <f>IF(N($AL249)&gt;0,INDEX(rLim_ADM,$AL249),"")</f>
        <v/>
      </c>
      <c r="G249" s="59" t="n"/>
      <c r="H249" s="60" t="n"/>
      <c r="I249" s="60" t="n"/>
      <c r="J249" s="60" t="n"/>
      <c r="K249" s="60" t="n"/>
      <c r="L249" s="60" t="n"/>
      <c r="M249" s="61">
        <f>IF(NOT((COUNTA($B249:$D249)+COUNTA($G249:$L249)+COUNTA($Q249))&gt;0),"",IF(ISNUMBER($G249),1,IF(N($W249)&gt;0,AVERAGEIFS($X$5:$X$1000,$U$5:$U$1000,ROW(),$V$5:$V$1000,"Sub"),$X249)))</f>
        <v/>
      </c>
      <c r="N249" s="56">
        <f>IF($M249="","",IF($M249&gt;=1,"Completado",IF($M249&gt;0,"En curso","Pendiente")))</f>
        <v/>
      </c>
      <c r="O249" s="56">
        <f>IF(NOT((COUNTA($B249:$D249)+COUNTA($G249:$L249)+COUNTA($Q249))&gt;0),"",IF(ISNUMBER($G249),IF(AND(ISNUMBER($AN249),$G249&gt;$AN249),"Cumplida con "&amp;($G249-$AN249)&amp;IF($G249-$AN249=1," día"," días")&amp;" de retraso","Cumplida"),IF(N($M249)&gt;=1,"Cumplida",IF(NOT(ISNUMBER($AN249)),"Sin fecha límite",IF($AN249&lt;FechaRef,"Vencida hace "&amp;(FechaRef-$AN249)&amp;IF(FechaRef-$AN249=1," día"," días"),IF($AN249=FechaRef,"Vence hoy",IF($AN249-FechaRef&lt;=DiasAlerta,"Vence en "&amp;($AN249-FechaRef)&amp;IF($AN249-FechaRef=1," día"," días"),"En plazo")))))))</f>
        <v/>
      </c>
      <c r="P249" s="62" t="n"/>
      <c r="Q249" s="58" t="n"/>
      <c r="R249" s="63">
        <f>IF(NOT((COUNTA($B249:$D249)+COUNTA($G249:$L249)+COUNTA($Q249))&gt;0),"",IF((IF($C249="","Falta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",""))="","✔ OK","⚠ "&amp;LEFT(IF($C249="","Falta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",""),LEN(IF($C249="","Falta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",""))-3)))</f>
        <v/>
      </c>
      <c r="S249" s="64">
        <f>IF(NOT((COUNTA($B249:$D249)+COUNTA($G249:$L249)+COUNTA($Q249))&gt;0),"",IF(AND($V249="Sub",N($U249)&gt;0),IF(ISNUMBER(INDEX($AM$5:$AM$1000,$U249-4)),DATE(YEAR(INDEX($AM$5:$AM$1000,$U249-4)),MONTH(INDEX($AM$5:$AM$1000,$U249-4)),1),IF(ISNUMBER(INDEX($AN$5:$AN$1000,$U249-4)),DATE(YEAR(INDEX($AN$5:$AN$1000,$U249-4)),MONTH(INDEX($AN$5:$AN$1000,$U249-4)),1),MesCiclo)),IF(ISNUMBER($AM249),DATE(YEAR($AM249),MONTH($AM249),1),IF(ISNUMBER($AN249),DATE(YEAR($AN249),MONTH($AN249),1),MesCiclo))))</f>
        <v/>
      </c>
      <c r="T249" s="62">
        <f>IF(OR($S249="",$S249&lt;&gt;MesCiclo),"",COUNTIF($S$5:$S249,MesCiclo))</f>
        <v/>
      </c>
      <c r="U249" s="62">
        <f>IF($V249="","",IF($V249="Macro",ROW(),IFERROR(LOOKUP(2,1/($V$5:$V249="Macro"),ROW($V$5:$V249)),0)))</f>
        <v/>
      </c>
      <c r="V249" s="62">
        <f>IF(NOT((COUNTA($B249:$D249)+COUNTA($G249:$L249)+COUNTA($Q249))&gt;0),"",IF($B249="Subactividad","Sub","Macro"))</f>
        <v/>
      </c>
      <c r="W249" s="62">
        <f>IF($V249="Macro",COUNTIFS($U$5:$U$1000,ROW(),$V$5:$V$1000,"Sub"),"")</f>
        <v/>
      </c>
      <c r="X249" s="62">
        <f>IF($V249="","",IF(ISNUMBER($G249),1,IFERROR(LOOKUP(2,1/($I249:$L249&lt;&gt;""),$I249:$L249),0)))</f>
        <v/>
      </c>
      <c r="Y249" s="62">
        <f>IF($V249="","",IF(AND(ISNUMBER($G249),$G249&lt;=IF($S249=MesCiclo,InicioCiclo,$S249+MOD(2-WEEKDAY($S249),7))+6),1,IF(ISNUMBER($I249),$I249,0)))</f>
        <v/>
      </c>
      <c r="Z249" s="62">
        <f>IF($V249="","",IF(AND(ISNUMBER($G249),$G249&lt;=IF($S249=MesCiclo,InicioCiclo,$S249+MOD(2-WEEKDAY($S249),7))+13),1,IF(ISNUMBER($J249),$J249,$Y249)))</f>
        <v/>
      </c>
      <c r="AA249" s="62">
        <f>IF($V249="","",IF(AND(ISNUMBER($G249),$G249&lt;=IF($S249=MesCiclo,InicioCiclo,$S249+MOD(2-WEEKDAY($S249),7))+20),1,IF(ISNUMBER($K249),$K249,$Z249)))</f>
        <v/>
      </c>
      <c r="AB249" s="62">
        <f>IF($V249="","",IF(AND(ISNUMBER($G249),$G249&lt;=IF($S249=MesCiclo,InicioCiclo,$S249+MOD(2-WEEKDAY($S249),7))+27),1,IF(ISNUMBER($L249),$L249,$AA249)))</f>
        <v/>
      </c>
      <c r="AC249" s="62">
        <f>IF($V249="","",IF(AND(ISNUMBER($G249),$G249&lt;=IF($S249=MesCiclo,InicioCiclo,$S249+MOD(2-WEEKDAY($S249),7))+6),1,IF(N($W249)&gt;0,AVERAGEIFS($Y$5:$Y$1000,$U$5:$U$1000,ROW(),$V$5:$V$1000,"Sub"),$Y249)))</f>
        <v/>
      </c>
      <c r="AD249" s="62">
        <f>IF($V249="","",IF(AND(ISNUMBER($G249),$G249&lt;=IF($S249=MesCiclo,InicioCiclo,$S249+MOD(2-WEEKDAY($S249),7))+13),1,IF(N($W249)&gt;0,AVERAGEIFS($Z$5:$Z$1000,$U$5:$U$1000,ROW(),$V$5:$V$1000,"Sub"),$Z249)))</f>
        <v/>
      </c>
      <c r="AE249" s="62">
        <f>IF($V249="","",IF(AND(ISNUMBER($G249),$G249&lt;=IF($S249=MesCiclo,InicioCiclo,$S249+MOD(2-WEEKDAY($S249),7))+20),1,IF(N($W249)&gt;0,AVERAGEIFS($AA$5:$AA$1000,$U$5:$U$1000,ROW(),$V$5:$V$1000,"Sub"),$AA249)))</f>
        <v/>
      </c>
      <c r="AF249" s="62">
        <f>IF($V249="","",IF(AND(ISNUMBER($G249),$G249&lt;=IF($S249=MesCiclo,InicioCiclo,$S249+MOD(2-WEEKDAY($S249),7))+27),1,IF(N($W249)&gt;0,AVERAGEIFS($AB$5:$AB$1000,$U$5:$U$1000,ROW(),$V$5:$V$1000,"Sub"),$AB249)))</f>
        <v/>
      </c>
      <c r="AG249" s="62">
        <f>IF($V249&lt;&gt;"Macro","",IF(COUNTIFS($S$5:$S$1000,$S249,$V$5:$V$1000,"Macro",$H$5:$H$1000,"&gt;0")=0,1/COUNTIFS($S$5:$S$1000,$S249,$V$5:$V$1000,"Macro"),IF(AND(ISNUMBER($H249),N($H249)&gt;0),$H249,SUMIFS($H$5:$H$1000,$S$5:$S$1000,$S249,$V$5:$V$1000,"Macro")/COUNTIFS($S$5:$S$1000,$S249,$V$5:$V$1000,"Macro",$H$5:$H$1000,"&gt;0"))/(COUNTIFS($S$5:$S$1000,$S249,$V$5:$V$1000,"Macro")*SUMIFS($H$5:$H$1000,$S$5:$S$1000,$S249,$V$5:$V$1000,"Macro")/COUNTIFS($S$5:$S$1000,$S249,$V$5:$V$1000,"Macro",$H$5:$H$1000,"&gt;0"))))</f>
        <v/>
      </c>
      <c r="AH249" s="62" t="n"/>
      <c r="AI249" s="62" t="n"/>
      <c r="AJ249" s="62" t="n"/>
      <c r="AK249" s="62" t="n"/>
      <c r="AL249" s="62">
        <f>IF(LEFT($C249,11)="[Jefatura] ",IFERROR(MATCH("Asistente Técnico de Riesgo|"&amp;MID($C249,12,500),rDname_ADM,0),0),"")</f>
        <v/>
      </c>
      <c r="AM249" s="62">
        <f>IF(N($AL249)&gt;0,INDEX(rIni_ADM,$AL249),IF(ISNUMBER($E249),$E249,""))</f>
        <v/>
      </c>
      <c r="AN249" s="62">
        <f>IF(N($AL249)&gt;0,INDEX(rLim_ADM,$AL249),IF(ISNUMBER($F249),$F249,""))</f>
        <v/>
      </c>
    </row>
    <row r="250">
      <c r="A250" s="56">
        <f>IF(NOT((COUNTA($B250:$D250)+COUNTA($G250:$L250)+COUNTA($Q250))&gt;0),"",IF($V250="Macro",COUNTIFS($V$5:$V250,"Macro",$S$5:$S250,$S250),IF(N($U250)=0,"?",COUNTIFS(INDEX($V$5:$V$1000,1):INDEX($V$5:$V$1000,$U250-4),"Macro",INDEX($S$5:$S$1000,1):INDEX($S$5:$S$1000,$U250-4),INDEX($S$5:$S$1000,$U250-4))&amp;"."&amp;COUNTIFS($U$5:$U250,$U250,$V$5:$V250,"Sub"))))</f>
        <v/>
      </c>
      <c r="B250" s="57" t="n"/>
      <c r="C250" s="58" t="n"/>
      <c r="D250" s="58" t="n"/>
      <c r="E250" s="59">
        <f>IF(N($AL250)&gt;0,INDEX(rIni_ADM,$AL250),"")</f>
        <v/>
      </c>
      <c r="F250" s="59">
        <f>IF(N($AL250)&gt;0,INDEX(rLim_ADM,$AL250),"")</f>
        <v/>
      </c>
      <c r="G250" s="59" t="n"/>
      <c r="H250" s="60" t="n"/>
      <c r="I250" s="60" t="n"/>
      <c r="J250" s="60" t="n"/>
      <c r="K250" s="60" t="n"/>
      <c r="L250" s="60" t="n"/>
      <c r="M250" s="61">
        <f>IF(NOT((COUNTA($B250:$D250)+COUNTA($G250:$L250)+COUNTA($Q250))&gt;0),"",IF(ISNUMBER($G250),1,IF(N($W250)&gt;0,AVERAGEIFS($X$5:$X$1000,$U$5:$U$1000,ROW(),$V$5:$V$1000,"Sub"),$X250)))</f>
        <v/>
      </c>
      <c r="N250" s="56">
        <f>IF($M250="","",IF($M250&gt;=1,"Completado",IF($M250&gt;0,"En curso","Pendiente")))</f>
        <v/>
      </c>
      <c r="O250" s="56">
        <f>IF(NOT((COUNTA($B250:$D250)+COUNTA($G250:$L250)+COUNTA($Q250))&gt;0),"",IF(ISNUMBER($G250),IF(AND(ISNUMBER($AN250),$G250&gt;$AN250),"Cumplida con "&amp;($G250-$AN250)&amp;IF($G250-$AN250=1," día"," días")&amp;" de retraso","Cumplida"),IF(N($M250)&gt;=1,"Cumplida",IF(NOT(ISNUMBER($AN250)),"Sin fecha límite",IF($AN250&lt;FechaRef,"Vencida hace "&amp;(FechaRef-$AN250)&amp;IF(FechaRef-$AN250=1," día"," días"),IF($AN250=FechaRef,"Vence hoy",IF($AN250-FechaRef&lt;=DiasAlerta,"Vence en "&amp;($AN250-FechaRef)&amp;IF($AN250-FechaRef=1," día"," días"),"En plazo")))))))</f>
        <v/>
      </c>
      <c r="P250" s="62" t="n"/>
      <c r="Q250" s="58" t="n"/>
      <c r="R250" s="63">
        <f>IF(NOT((COUNTA($B250:$D250)+COUNTA($G250:$L250)+COUNTA($Q250))&gt;0),"",IF((IF($C250="","Falta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",""))="","✔ OK","⚠ "&amp;LEFT(IF($C250="","Falta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",""),LEN(IF($C250="","Falta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",""))-3)))</f>
        <v/>
      </c>
      <c r="S250" s="64">
        <f>IF(NOT((COUNTA($B250:$D250)+COUNTA($G250:$L250)+COUNTA($Q250))&gt;0),"",IF(AND($V250="Sub",N($U250)&gt;0),IF(ISNUMBER(INDEX($AM$5:$AM$1000,$U250-4)),DATE(YEAR(INDEX($AM$5:$AM$1000,$U250-4)),MONTH(INDEX($AM$5:$AM$1000,$U250-4)),1),IF(ISNUMBER(INDEX($AN$5:$AN$1000,$U250-4)),DATE(YEAR(INDEX($AN$5:$AN$1000,$U250-4)),MONTH(INDEX($AN$5:$AN$1000,$U250-4)),1),MesCiclo)),IF(ISNUMBER($AM250),DATE(YEAR($AM250),MONTH($AM250),1),IF(ISNUMBER($AN250),DATE(YEAR($AN250),MONTH($AN250),1),MesCiclo))))</f>
        <v/>
      </c>
      <c r="T250" s="62">
        <f>IF(OR($S250="",$S250&lt;&gt;MesCiclo),"",COUNTIF($S$5:$S250,MesCiclo))</f>
        <v/>
      </c>
      <c r="U250" s="62">
        <f>IF($V250="","",IF($V250="Macro",ROW(),IFERROR(LOOKUP(2,1/($V$5:$V250="Macro"),ROW($V$5:$V250)),0)))</f>
        <v/>
      </c>
      <c r="V250" s="62">
        <f>IF(NOT((COUNTA($B250:$D250)+COUNTA($G250:$L250)+COUNTA($Q250))&gt;0),"",IF($B250="Subactividad","Sub","Macro"))</f>
        <v/>
      </c>
      <c r="W250" s="62">
        <f>IF($V250="Macro",COUNTIFS($U$5:$U$1000,ROW(),$V$5:$V$1000,"Sub"),"")</f>
        <v/>
      </c>
      <c r="X250" s="62">
        <f>IF($V250="","",IF(ISNUMBER($G250),1,IFERROR(LOOKUP(2,1/($I250:$L250&lt;&gt;""),$I250:$L250),0)))</f>
        <v/>
      </c>
      <c r="Y250" s="62">
        <f>IF($V250="","",IF(AND(ISNUMBER($G250),$G250&lt;=IF($S250=MesCiclo,InicioCiclo,$S250+MOD(2-WEEKDAY($S250),7))+6),1,IF(ISNUMBER($I250),$I250,0)))</f>
        <v/>
      </c>
      <c r="Z250" s="62">
        <f>IF($V250="","",IF(AND(ISNUMBER($G250),$G250&lt;=IF($S250=MesCiclo,InicioCiclo,$S250+MOD(2-WEEKDAY($S250),7))+13),1,IF(ISNUMBER($J250),$J250,$Y250)))</f>
        <v/>
      </c>
      <c r="AA250" s="62">
        <f>IF($V250="","",IF(AND(ISNUMBER($G250),$G250&lt;=IF($S250=MesCiclo,InicioCiclo,$S250+MOD(2-WEEKDAY($S250),7))+20),1,IF(ISNUMBER($K250),$K250,$Z250)))</f>
        <v/>
      </c>
      <c r="AB250" s="62">
        <f>IF($V250="","",IF(AND(ISNUMBER($G250),$G250&lt;=IF($S250=MesCiclo,InicioCiclo,$S250+MOD(2-WEEKDAY($S250),7))+27),1,IF(ISNUMBER($L250),$L250,$AA250)))</f>
        <v/>
      </c>
      <c r="AC250" s="62">
        <f>IF($V250="","",IF(AND(ISNUMBER($G250),$G250&lt;=IF($S250=MesCiclo,InicioCiclo,$S250+MOD(2-WEEKDAY($S250),7))+6),1,IF(N($W250)&gt;0,AVERAGEIFS($Y$5:$Y$1000,$U$5:$U$1000,ROW(),$V$5:$V$1000,"Sub"),$Y250)))</f>
        <v/>
      </c>
      <c r="AD250" s="62">
        <f>IF($V250="","",IF(AND(ISNUMBER($G250),$G250&lt;=IF($S250=MesCiclo,InicioCiclo,$S250+MOD(2-WEEKDAY($S250),7))+13),1,IF(N($W250)&gt;0,AVERAGEIFS($Z$5:$Z$1000,$U$5:$U$1000,ROW(),$V$5:$V$1000,"Sub"),$Z250)))</f>
        <v/>
      </c>
      <c r="AE250" s="62">
        <f>IF($V250="","",IF(AND(ISNUMBER($G250),$G250&lt;=IF($S250=MesCiclo,InicioCiclo,$S250+MOD(2-WEEKDAY($S250),7))+20),1,IF(N($W250)&gt;0,AVERAGEIFS($AA$5:$AA$1000,$U$5:$U$1000,ROW(),$V$5:$V$1000,"Sub"),$AA250)))</f>
        <v/>
      </c>
      <c r="AF250" s="62">
        <f>IF($V250="","",IF(AND(ISNUMBER($G250),$G250&lt;=IF($S250=MesCiclo,InicioCiclo,$S250+MOD(2-WEEKDAY($S250),7))+27),1,IF(N($W250)&gt;0,AVERAGEIFS($AB$5:$AB$1000,$U$5:$U$1000,ROW(),$V$5:$V$1000,"Sub"),$AB250)))</f>
        <v/>
      </c>
      <c r="AG250" s="62">
        <f>IF($V250&lt;&gt;"Macro","",IF(COUNTIFS($S$5:$S$1000,$S250,$V$5:$V$1000,"Macro",$H$5:$H$1000,"&gt;0")=0,1/COUNTIFS($S$5:$S$1000,$S250,$V$5:$V$1000,"Macro"),IF(AND(ISNUMBER($H250),N($H250)&gt;0),$H250,SUMIFS($H$5:$H$1000,$S$5:$S$1000,$S250,$V$5:$V$1000,"Macro")/COUNTIFS($S$5:$S$1000,$S250,$V$5:$V$1000,"Macro",$H$5:$H$1000,"&gt;0"))/(COUNTIFS($S$5:$S$1000,$S250,$V$5:$V$1000,"Macro")*SUMIFS($H$5:$H$1000,$S$5:$S$1000,$S250,$V$5:$V$1000,"Macro")/COUNTIFS($S$5:$S$1000,$S250,$V$5:$V$1000,"Macro",$H$5:$H$1000,"&gt;0"))))</f>
        <v/>
      </c>
      <c r="AH250" s="62" t="n"/>
      <c r="AI250" s="62" t="n"/>
      <c r="AJ250" s="62" t="n"/>
      <c r="AK250" s="62" t="n"/>
      <c r="AL250" s="62">
        <f>IF(LEFT($C250,11)="[Jefatura] ",IFERROR(MATCH("Asistente Técnico de Riesgo|"&amp;MID($C250,12,500),rDname_ADM,0),0),"")</f>
        <v/>
      </c>
      <c r="AM250" s="62">
        <f>IF(N($AL250)&gt;0,INDEX(rIni_ADM,$AL250),IF(ISNUMBER($E250),$E250,""))</f>
        <v/>
      </c>
      <c r="AN250" s="62">
        <f>IF(N($AL250)&gt;0,INDEX(rLim_ADM,$AL250),IF(ISNUMBER($F250),$F250,""))</f>
        <v/>
      </c>
    </row>
    <row r="251">
      <c r="A251" s="56">
        <f>IF(NOT((COUNTA($B251:$D251)+COUNTA($G251:$L251)+COUNTA($Q251))&gt;0),"",IF($V251="Macro",COUNTIFS($V$5:$V251,"Macro",$S$5:$S251,$S251),IF(N($U251)=0,"?",COUNTIFS(INDEX($V$5:$V$1000,1):INDEX($V$5:$V$1000,$U251-4),"Macro",INDEX($S$5:$S$1000,1):INDEX($S$5:$S$1000,$U251-4),INDEX($S$5:$S$1000,$U251-4))&amp;"."&amp;COUNTIFS($U$5:$U251,$U251,$V$5:$V251,"Sub"))))</f>
        <v/>
      </c>
      <c r="B251" s="57" t="n"/>
      <c r="C251" s="58" t="n"/>
      <c r="D251" s="58" t="n"/>
      <c r="E251" s="59">
        <f>IF(N($AL251)&gt;0,INDEX(rIni_ADM,$AL251),"")</f>
        <v/>
      </c>
      <c r="F251" s="59">
        <f>IF(N($AL251)&gt;0,INDEX(rLim_ADM,$AL251),"")</f>
        <v/>
      </c>
      <c r="G251" s="59" t="n"/>
      <c r="H251" s="60" t="n"/>
      <c r="I251" s="60" t="n"/>
      <c r="J251" s="60" t="n"/>
      <c r="K251" s="60" t="n"/>
      <c r="L251" s="60" t="n"/>
      <c r="M251" s="61">
        <f>IF(NOT((COUNTA($B251:$D251)+COUNTA($G251:$L251)+COUNTA($Q251))&gt;0),"",IF(ISNUMBER($G251),1,IF(N($W251)&gt;0,AVERAGEIFS($X$5:$X$1000,$U$5:$U$1000,ROW(),$V$5:$V$1000,"Sub"),$X251)))</f>
        <v/>
      </c>
      <c r="N251" s="56">
        <f>IF($M251="","",IF($M251&gt;=1,"Completado",IF($M251&gt;0,"En curso","Pendiente")))</f>
        <v/>
      </c>
      <c r="O251" s="56">
        <f>IF(NOT((COUNTA($B251:$D251)+COUNTA($G251:$L251)+COUNTA($Q251))&gt;0),"",IF(ISNUMBER($G251),IF(AND(ISNUMBER($AN251),$G251&gt;$AN251),"Cumplida con "&amp;($G251-$AN251)&amp;IF($G251-$AN251=1," día"," días")&amp;" de retraso","Cumplida"),IF(N($M251)&gt;=1,"Cumplida",IF(NOT(ISNUMBER($AN251)),"Sin fecha límite",IF($AN251&lt;FechaRef,"Vencida hace "&amp;(FechaRef-$AN251)&amp;IF(FechaRef-$AN251=1," día"," días"),IF($AN251=FechaRef,"Vence hoy",IF($AN251-FechaRef&lt;=DiasAlerta,"Vence en "&amp;($AN251-FechaRef)&amp;IF($AN251-FechaRef=1," día"," días"),"En plazo")))))))</f>
        <v/>
      </c>
      <c r="P251" s="62" t="n"/>
      <c r="Q251" s="58" t="n"/>
      <c r="R251" s="63">
        <f>IF(NOT((COUNTA($B251:$D251)+COUNTA($G251:$L251)+COUNTA($Q251))&gt;0),"",IF((IF($C251="","Falta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",""))="","✔ OK","⚠ "&amp;LEFT(IF($C251="","Falta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",""),LEN(IF($C251="","Falta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",""))-3)))</f>
        <v/>
      </c>
      <c r="S251" s="64">
        <f>IF(NOT((COUNTA($B251:$D251)+COUNTA($G251:$L251)+COUNTA($Q251))&gt;0),"",IF(AND($V251="Sub",N($U251)&gt;0),IF(ISNUMBER(INDEX($AM$5:$AM$1000,$U251-4)),DATE(YEAR(INDEX($AM$5:$AM$1000,$U251-4)),MONTH(INDEX($AM$5:$AM$1000,$U251-4)),1),IF(ISNUMBER(INDEX($AN$5:$AN$1000,$U251-4)),DATE(YEAR(INDEX($AN$5:$AN$1000,$U251-4)),MONTH(INDEX($AN$5:$AN$1000,$U251-4)),1),MesCiclo)),IF(ISNUMBER($AM251),DATE(YEAR($AM251),MONTH($AM251),1),IF(ISNUMBER($AN251),DATE(YEAR($AN251),MONTH($AN251),1),MesCiclo))))</f>
        <v/>
      </c>
      <c r="T251" s="62">
        <f>IF(OR($S251="",$S251&lt;&gt;MesCiclo),"",COUNTIF($S$5:$S251,MesCiclo))</f>
        <v/>
      </c>
      <c r="U251" s="62">
        <f>IF($V251="","",IF($V251="Macro",ROW(),IFERROR(LOOKUP(2,1/($V$5:$V251="Macro"),ROW($V$5:$V251)),0)))</f>
        <v/>
      </c>
      <c r="V251" s="62">
        <f>IF(NOT((COUNTA($B251:$D251)+COUNTA($G251:$L251)+COUNTA($Q251))&gt;0),"",IF($B251="Subactividad","Sub","Macro"))</f>
        <v/>
      </c>
      <c r="W251" s="62">
        <f>IF($V251="Macro",COUNTIFS($U$5:$U$1000,ROW(),$V$5:$V$1000,"Sub"),"")</f>
        <v/>
      </c>
      <c r="X251" s="62">
        <f>IF($V251="","",IF(ISNUMBER($G251),1,IFERROR(LOOKUP(2,1/($I251:$L251&lt;&gt;""),$I251:$L251),0)))</f>
        <v/>
      </c>
      <c r="Y251" s="62">
        <f>IF($V251="","",IF(AND(ISNUMBER($G251),$G251&lt;=IF($S251=MesCiclo,InicioCiclo,$S251+MOD(2-WEEKDAY($S251),7))+6),1,IF(ISNUMBER($I251),$I251,0)))</f>
        <v/>
      </c>
      <c r="Z251" s="62">
        <f>IF($V251="","",IF(AND(ISNUMBER($G251),$G251&lt;=IF($S251=MesCiclo,InicioCiclo,$S251+MOD(2-WEEKDAY($S251),7))+13),1,IF(ISNUMBER($J251),$J251,$Y251)))</f>
        <v/>
      </c>
      <c r="AA251" s="62">
        <f>IF($V251="","",IF(AND(ISNUMBER($G251),$G251&lt;=IF($S251=MesCiclo,InicioCiclo,$S251+MOD(2-WEEKDAY($S251),7))+20),1,IF(ISNUMBER($K251),$K251,$Z251)))</f>
        <v/>
      </c>
      <c r="AB251" s="62">
        <f>IF($V251="","",IF(AND(ISNUMBER($G251),$G251&lt;=IF($S251=MesCiclo,InicioCiclo,$S251+MOD(2-WEEKDAY($S251),7))+27),1,IF(ISNUMBER($L251),$L251,$AA251)))</f>
        <v/>
      </c>
      <c r="AC251" s="62">
        <f>IF($V251="","",IF(AND(ISNUMBER($G251),$G251&lt;=IF($S251=MesCiclo,InicioCiclo,$S251+MOD(2-WEEKDAY($S251),7))+6),1,IF(N($W251)&gt;0,AVERAGEIFS($Y$5:$Y$1000,$U$5:$U$1000,ROW(),$V$5:$V$1000,"Sub"),$Y251)))</f>
        <v/>
      </c>
      <c r="AD251" s="62">
        <f>IF($V251="","",IF(AND(ISNUMBER($G251),$G251&lt;=IF($S251=MesCiclo,InicioCiclo,$S251+MOD(2-WEEKDAY($S251),7))+13),1,IF(N($W251)&gt;0,AVERAGEIFS($Z$5:$Z$1000,$U$5:$U$1000,ROW(),$V$5:$V$1000,"Sub"),$Z251)))</f>
        <v/>
      </c>
      <c r="AE251" s="62">
        <f>IF($V251="","",IF(AND(ISNUMBER($G251),$G251&lt;=IF($S251=MesCiclo,InicioCiclo,$S251+MOD(2-WEEKDAY($S251),7))+20),1,IF(N($W251)&gt;0,AVERAGEIFS($AA$5:$AA$1000,$U$5:$U$1000,ROW(),$V$5:$V$1000,"Sub"),$AA251)))</f>
        <v/>
      </c>
      <c r="AF251" s="62">
        <f>IF($V251="","",IF(AND(ISNUMBER($G251),$G251&lt;=IF($S251=MesCiclo,InicioCiclo,$S251+MOD(2-WEEKDAY($S251),7))+27),1,IF(N($W251)&gt;0,AVERAGEIFS($AB$5:$AB$1000,$U$5:$U$1000,ROW(),$V$5:$V$1000,"Sub"),$AB251)))</f>
        <v/>
      </c>
      <c r="AG251" s="62">
        <f>IF($V251&lt;&gt;"Macro","",IF(COUNTIFS($S$5:$S$1000,$S251,$V$5:$V$1000,"Macro",$H$5:$H$1000,"&gt;0")=0,1/COUNTIFS($S$5:$S$1000,$S251,$V$5:$V$1000,"Macro"),IF(AND(ISNUMBER($H251),N($H251)&gt;0),$H251,SUMIFS($H$5:$H$1000,$S$5:$S$1000,$S251,$V$5:$V$1000,"Macro")/COUNTIFS($S$5:$S$1000,$S251,$V$5:$V$1000,"Macro",$H$5:$H$1000,"&gt;0"))/(COUNTIFS($S$5:$S$1000,$S251,$V$5:$V$1000,"Macro")*SUMIFS($H$5:$H$1000,$S$5:$S$1000,$S251,$V$5:$V$1000,"Macro")/COUNTIFS($S$5:$S$1000,$S251,$V$5:$V$1000,"Macro",$H$5:$H$1000,"&gt;0"))))</f>
        <v/>
      </c>
      <c r="AH251" s="62" t="n"/>
      <c r="AI251" s="62" t="n"/>
      <c r="AJ251" s="62" t="n"/>
      <c r="AK251" s="62" t="n"/>
      <c r="AL251" s="62">
        <f>IF(LEFT($C251,11)="[Jefatura] ",IFERROR(MATCH("Asistente Técnico de Riesgo|"&amp;MID($C251,12,500),rDname_ADM,0),0),"")</f>
        <v/>
      </c>
      <c r="AM251" s="62">
        <f>IF(N($AL251)&gt;0,INDEX(rIni_ADM,$AL251),IF(ISNUMBER($E251),$E251,""))</f>
        <v/>
      </c>
      <c r="AN251" s="62">
        <f>IF(N($AL251)&gt;0,INDEX(rLim_ADM,$AL251),IF(ISNUMBER($F251),$F251,""))</f>
        <v/>
      </c>
    </row>
    <row r="252">
      <c r="A252" s="56">
        <f>IF(NOT((COUNTA($B252:$D252)+COUNTA($G252:$L252)+COUNTA($Q252))&gt;0),"",IF($V252="Macro",COUNTIFS($V$5:$V252,"Macro",$S$5:$S252,$S252),IF(N($U252)=0,"?",COUNTIFS(INDEX($V$5:$V$1000,1):INDEX($V$5:$V$1000,$U252-4),"Macro",INDEX($S$5:$S$1000,1):INDEX($S$5:$S$1000,$U252-4),INDEX($S$5:$S$1000,$U252-4))&amp;"."&amp;COUNTIFS($U$5:$U252,$U252,$V$5:$V252,"Sub"))))</f>
        <v/>
      </c>
      <c r="B252" s="57" t="n"/>
      <c r="C252" s="58" t="n"/>
      <c r="D252" s="58" t="n"/>
      <c r="E252" s="59">
        <f>IF(N($AL252)&gt;0,INDEX(rIni_ADM,$AL252),"")</f>
        <v/>
      </c>
      <c r="F252" s="59">
        <f>IF(N($AL252)&gt;0,INDEX(rLim_ADM,$AL252),"")</f>
        <v/>
      </c>
      <c r="G252" s="59" t="n"/>
      <c r="H252" s="60" t="n"/>
      <c r="I252" s="60" t="n"/>
      <c r="J252" s="60" t="n"/>
      <c r="K252" s="60" t="n"/>
      <c r="L252" s="60" t="n"/>
      <c r="M252" s="61">
        <f>IF(NOT((COUNTA($B252:$D252)+COUNTA($G252:$L252)+COUNTA($Q252))&gt;0),"",IF(ISNUMBER($G252),1,IF(N($W252)&gt;0,AVERAGEIFS($X$5:$X$1000,$U$5:$U$1000,ROW(),$V$5:$V$1000,"Sub"),$X252)))</f>
        <v/>
      </c>
      <c r="N252" s="56">
        <f>IF($M252="","",IF($M252&gt;=1,"Completado",IF($M252&gt;0,"En curso","Pendiente")))</f>
        <v/>
      </c>
      <c r="O252" s="56">
        <f>IF(NOT((COUNTA($B252:$D252)+COUNTA($G252:$L252)+COUNTA($Q252))&gt;0),"",IF(ISNUMBER($G252),IF(AND(ISNUMBER($AN252),$G252&gt;$AN252),"Cumplida con "&amp;($G252-$AN252)&amp;IF($G252-$AN252=1," día"," días")&amp;" de retraso","Cumplida"),IF(N($M252)&gt;=1,"Cumplida",IF(NOT(ISNUMBER($AN252)),"Sin fecha límite",IF($AN252&lt;FechaRef,"Vencida hace "&amp;(FechaRef-$AN252)&amp;IF(FechaRef-$AN252=1," día"," días"),IF($AN252=FechaRef,"Vence hoy",IF($AN252-FechaRef&lt;=DiasAlerta,"Vence en "&amp;($AN252-FechaRef)&amp;IF($AN252-FechaRef=1," día"," días"),"En plazo")))))))</f>
        <v/>
      </c>
      <c r="P252" s="62" t="n"/>
      <c r="Q252" s="58" t="n"/>
      <c r="R252" s="63">
        <f>IF(NOT((COUNTA($B252:$D252)+COUNTA($G252:$L252)+COUNTA($Q252))&gt;0),"",IF((IF($C252="","Falta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",""))="","✔ OK","⚠ "&amp;LEFT(IF($C252="","Falta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",""),LEN(IF($C252="","Falta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",""))-3)))</f>
        <v/>
      </c>
      <c r="S252" s="64">
        <f>IF(NOT((COUNTA($B252:$D252)+COUNTA($G252:$L252)+COUNTA($Q252))&gt;0),"",IF(AND($V252="Sub",N($U252)&gt;0),IF(ISNUMBER(INDEX($AM$5:$AM$1000,$U252-4)),DATE(YEAR(INDEX($AM$5:$AM$1000,$U252-4)),MONTH(INDEX($AM$5:$AM$1000,$U252-4)),1),IF(ISNUMBER(INDEX($AN$5:$AN$1000,$U252-4)),DATE(YEAR(INDEX($AN$5:$AN$1000,$U252-4)),MONTH(INDEX($AN$5:$AN$1000,$U252-4)),1),MesCiclo)),IF(ISNUMBER($AM252),DATE(YEAR($AM252),MONTH($AM252),1),IF(ISNUMBER($AN252),DATE(YEAR($AN252),MONTH($AN252),1),MesCiclo))))</f>
        <v/>
      </c>
      <c r="T252" s="62">
        <f>IF(OR($S252="",$S252&lt;&gt;MesCiclo),"",COUNTIF($S$5:$S252,MesCiclo))</f>
        <v/>
      </c>
      <c r="U252" s="62">
        <f>IF($V252="","",IF($V252="Macro",ROW(),IFERROR(LOOKUP(2,1/($V$5:$V252="Macro"),ROW($V$5:$V252)),0)))</f>
        <v/>
      </c>
      <c r="V252" s="62">
        <f>IF(NOT((COUNTA($B252:$D252)+COUNTA($G252:$L252)+COUNTA($Q252))&gt;0),"",IF($B252="Subactividad","Sub","Macro"))</f>
        <v/>
      </c>
      <c r="W252" s="62">
        <f>IF($V252="Macro",COUNTIFS($U$5:$U$1000,ROW(),$V$5:$V$1000,"Sub"),"")</f>
        <v/>
      </c>
      <c r="X252" s="62">
        <f>IF($V252="","",IF(ISNUMBER($G252),1,IFERROR(LOOKUP(2,1/($I252:$L252&lt;&gt;""),$I252:$L252),0)))</f>
        <v/>
      </c>
      <c r="Y252" s="62">
        <f>IF($V252="","",IF(AND(ISNUMBER($G252),$G252&lt;=IF($S252=MesCiclo,InicioCiclo,$S252+MOD(2-WEEKDAY($S252),7))+6),1,IF(ISNUMBER($I252),$I252,0)))</f>
        <v/>
      </c>
      <c r="Z252" s="62">
        <f>IF($V252="","",IF(AND(ISNUMBER($G252),$G252&lt;=IF($S252=MesCiclo,InicioCiclo,$S252+MOD(2-WEEKDAY($S252),7))+13),1,IF(ISNUMBER($J252),$J252,$Y252)))</f>
        <v/>
      </c>
      <c r="AA252" s="62">
        <f>IF($V252="","",IF(AND(ISNUMBER($G252),$G252&lt;=IF($S252=MesCiclo,InicioCiclo,$S252+MOD(2-WEEKDAY($S252),7))+20),1,IF(ISNUMBER($K252),$K252,$Z252)))</f>
        <v/>
      </c>
      <c r="AB252" s="62">
        <f>IF($V252="","",IF(AND(ISNUMBER($G252),$G252&lt;=IF($S252=MesCiclo,InicioCiclo,$S252+MOD(2-WEEKDAY($S252),7))+27),1,IF(ISNUMBER($L252),$L252,$AA252)))</f>
        <v/>
      </c>
      <c r="AC252" s="62">
        <f>IF($V252="","",IF(AND(ISNUMBER($G252),$G252&lt;=IF($S252=MesCiclo,InicioCiclo,$S252+MOD(2-WEEKDAY($S252),7))+6),1,IF(N($W252)&gt;0,AVERAGEIFS($Y$5:$Y$1000,$U$5:$U$1000,ROW(),$V$5:$V$1000,"Sub"),$Y252)))</f>
        <v/>
      </c>
      <c r="AD252" s="62">
        <f>IF($V252="","",IF(AND(ISNUMBER($G252),$G252&lt;=IF($S252=MesCiclo,InicioCiclo,$S252+MOD(2-WEEKDAY($S252),7))+13),1,IF(N($W252)&gt;0,AVERAGEIFS($Z$5:$Z$1000,$U$5:$U$1000,ROW(),$V$5:$V$1000,"Sub"),$Z252)))</f>
        <v/>
      </c>
      <c r="AE252" s="62">
        <f>IF($V252="","",IF(AND(ISNUMBER($G252),$G252&lt;=IF($S252=MesCiclo,InicioCiclo,$S252+MOD(2-WEEKDAY($S252),7))+20),1,IF(N($W252)&gt;0,AVERAGEIFS($AA$5:$AA$1000,$U$5:$U$1000,ROW(),$V$5:$V$1000,"Sub"),$AA252)))</f>
        <v/>
      </c>
      <c r="AF252" s="62">
        <f>IF($V252="","",IF(AND(ISNUMBER($G252),$G252&lt;=IF($S252=MesCiclo,InicioCiclo,$S252+MOD(2-WEEKDAY($S252),7))+27),1,IF(N($W252)&gt;0,AVERAGEIFS($AB$5:$AB$1000,$U$5:$U$1000,ROW(),$V$5:$V$1000,"Sub"),$AB252)))</f>
        <v/>
      </c>
      <c r="AG252" s="62">
        <f>IF($V252&lt;&gt;"Macro","",IF(COUNTIFS($S$5:$S$1000,$S252,$V$5:$V$1000,"Macro",$H$5:$H$1000,"&gt;0")=0,1/COUNTIFS($S$5:$S$1000,$S252,$V$5:$V$1000,"Macro"),IF(AND(ISNUMBER($H252),N($H252)&gt;0),$H252,SUMIFS($H$5:$H$1000,$S$5:$S$1000,$S252,$V$5:$V$1000,"Macro")/COUNTIFS($S$5:$S$1000,$S252,$V$5:$V$1000,"Macro",$H$5:$H$1000,"&gt;0"))/(COUNTIFS($S$5:$S$1000,$S252,$V$5:$V$1000,"Macro")*SUMIFS($H$5:$H$1000,$S$5:$S$1000,$S252,$V$5:$V$1000,"Macro")/COUNTIFS($S$5:$S$1000,$S252,$V$5:$V$1000,"Macro",$H$5:$H$1000,"&gt;0"))))</f>
        <v/>
      </c>
      <c r="AH252" s="62" t="n"/>
      <c r="AI252" s="62" t="n"/>
      <c r="AJ252" s="62" t="n"/>
      <c r="AK252" s="62" t="n"/>
      <c r="AL252" s="62">
        <f>IF(LEFT($C252,11)="[Jefatura] ",IFERROR(MATCH("Asistente Técnico de Riesgo|"&amp;MID($C252,12,500),rDname_ADM,0),0),"")</f>
        <v/>
      </c>
      <c r="AM252" s="62">
        <f>IF(N($AL252)&gt;0,INDEX(rIni_ADM,$AL252),IF(ISNUMBER($E252),$E252,""))</f>
        <v/>
      </c>
      <c r="AN252" s="62">
        <f>IF(N($AL252)&gt;0,INDEX(rLim_ADM,$AL252),IF(ISNUMBER($F252),$F252,""))</f>
        <v/>
      </c>
    </row>
    <row r="253">
      <c r="A253" s="56">
        <f>IF(NOT((COUNTA($B253:$D253)+COUNTA($G253:$L253)+COUNTA($Q253))&gt;0),"",IF($V253="Macro",COUNTIFS($V$5:$V253,"Macro",$S$5:$S253,$S253),IF(N($U253)=0,"?",COUNTIFS(INDEX($V$5:$V$1000,1):INDEX($V$5:$V$1000,$U253-4),"Macro",INDEX($S$5:$S$1000,1):INDEX($S$5:$S$1000,$U253-4),INDEX($S$5:$S$1000,$U253-4))&amp;"."&amp;COUNTIFS($U$5:$U253,$U253,$V$5:$V253,"Sub"))))</f>
        <v/>
      </c>
      <c r="B253" s="57" t="n"/>
      <c r="C253" s="58" t="n"/>
      <c r="D253" s="58" t="n"/>
      <c r="E253" s="59">
        <f>IF(N($AL253)&gt;0,INDEX(rIni_ADM,$AL253),"")</f>
        <v/>
      </c>
      <c r="F253" s="59">
        <f>IF(N($AL253)&gt;0,INDEX(rLim_ADM,$AL253),"")</f>
        <v/>
      </c>
      <c r="G253" s="59" t="n"/>
      <c r="H253" s="60" t="n"/>
      <c r="I253" s="60" t="n"/>
      <c r="J253" s="60" t="n"/>
      <c r="K253" s="60" t="n"/>
      <c r="L253" s="60" t="n"/>
      <c r="M253" s="61">
        <f>IF(NOT((COUNTA($B253:$D253)+COUNTA($G253:$L253)+COUNTA($Q253))&gt;0),"",IF(ISNUMBER($G253),1,IF(N($W253)&gt;0,AVERAGEIFS($X$5:$X$1000,$U$5:$U$1000,ROW(),$V$5:$V$1000,"Sub"),$X253)))</f>
        <v/>
      </c>
      <c r="N253" s="56">
        <f>IF($M253="","",IF($M253&gt;=1,"Completado",IF($M253&gt;0,"En curso","Pendiente")))</f>
        <v/>
      </c>
      <c r="O253" s="56">
        <f>IF(NOT((COUNTA($B253:$D253)+COUNTA($G253:$L253)+COUNTA($Q253))&gt;0),"",IF(ISNUMBER($G253),IF(AND(ISNUMBER($AN253),$G253&gt;$AN253),"Cumplida con "&amp;($G253-$AN253)&amp;IF($G253-$AN253=1," día"," días")&amp;" de retraso","Cumplida"),IF(N($M253)&gt;=1,"Cumplida",IF(NOT(ISNUMBER($AN253)),"Sin fecha límite",IF($AN253&lt;FechaRef,"Vencida hace "&amp;(FechaRef-$AN253)&amp;IF(FechaRef-$AN253=1," día"," días"),IF($AN253=FechaRef,"Vence hoy",IF($AN253-FechaRef&lt;=DiasAlerta,"Vence en "&amp;($AN253-FechaRef)&amp;IF($AN253-FechaRef=1," día"," días"),"En plazo")))))))</f>
        <v/>
      </c>
      <c r="P253" s="62" t="n"/>
      <c r="Q253" s="58" t="n"/>
      <c r="R253" s="63">
        <f>IF(NOT((COUNTA($B253:$D253)+COUNTA($G253:$L253)+COUNTA($Q253))&gt;0),"",IF((IF($C253="","Falta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",""))="","✔ OK","⚠ "&amp;LEFT(IF($C253="","Falta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",""),LEN(IF($C253="","Falta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",""))-3)))</f>
        <v/>
      </c>
      <c r="S253" s="64">
        <f>IF(NOT((COUNTA($B253:$D253)+COUNTA($G253:$L253)+COUNTA($Q253))&gt;0),"",IF(AND($V253="Sub",N($U253)&gt;0),IF(ISNUMBER(INDEX($AM$5:$AM$1000,$U253-4)),DATE(YEAR(INDEX($AM$5:$AM$1000,$U253-4)),MONTH(INDEX($AM$5:$AM$1000,$U253-4)),1),IF(ISNUMBER(INDEX($AN$5:$AN$1000,$U253-4)),DATE(YEAR(INDEX($AN$5:$AN$1000,$U253-4)),MONTH(INDEX($AN$5:$AN$1000,$U253-4)),1),MesCiclo)),IF(ISNUMBER($AM253),DATE(YEAR($AM253),MONTH($AM253),1),IF(ISNUMBER($AN253),DATE(YEAR($AN253),MONTH($AN253),1),MesCiclo))))</f>
        <v/>
      </c>
      <c r="T253" s="62">
        <f>IF(OR($S253="",$S253&lt;&gt;MesCiclo),"",COUNTIF($S$5:$S253,MesCiclo))</f>
        <v/>
      </c>
      <c r="U253" s="62">
        <f>IF($V253="","",IF($V253="Macro",ROW(),IFERROR(LOOKUP(2,1/($V$5:$V253="Macro"),ROW($V$5:$V253)),0)))</f>
        <v/>
      </c>
      <c r="V253" s="62">
        <f>IF(NOT((COUNTA($B253:$D253)+COUNTA($G253:$L253)+COUNTA($Q253))&gt;0),"",IF($B253="Subactividad","Sub","Macro"))</f>
        <v/>
      </c>
      <c r="W253" s="62">
        <f>IF($V253="Macro",COUNTIFS($U$5:$U$1000,ROW(),$V$5:$V$1000,"Sub"),"")</f>
        <v/>
      </c>
      <c r="X253" s="62">
        <f>IF($V253="","",IF(ISNUMBER($G253),1,IFERROR(LOOKUP(2,1/($I253:$L253&lt;&gt;""),$I253:$L253),0)))</f>
        <v/>
      </c>
      <c r="Y253" s="62">
        <f>IF($V253="","",IF(AND(ISNUMBER($G253),$G253&lt;=IF($S253=MesCiclo,InicioCiclo,$S253+MOD(2-WEEKDAY($S253),7))+6),1,IF(ISNUMBER($I253),$I253,0)))</f>
        <v/>
      </c>
      <c r="Z253" s="62">
        <f>IF($V253="","",IF(AND(ISNUMBER($G253),$G253&lt;=IF($S253=MesCiclo,InicioCiclo,$S253+MOD(2-WEEKDAY($S253),7))+13),1,IF(ISNUMBER($J253),$J253,$Y253)))</f>
        <v/>
      </c>
      <c r="AA253" s="62">
        <f>IF($V253="","",IF(AND(ISNUMBER($G253),$G253&lt;=IF($S253=MesCiclo,InicioCiclo,$S253+MOD(2-WEEKDAY($S253),7))+20),1,IF(ISNUMBER($K253),$K253,$Z253)))</f>
        <v/>
      </c>
      <c r="AB253" s="62">
        <f>IF($V253="","",IF(AND(ISNUMBER($G253),$G253&lt;=IF($S253=MesCiclo,InicioCiclo,$S253+MOD(2-WEEKDAY($S253),7))+27),1,IF(ISNUMBER($L253),$L253,$AA253)))</f>
        <v/>
      </c>
      <c r="AC253" s="62">
        <f>IF($V253="","",IF(AND(ISNUMBER($G253),$G253&lt;=IF($S253=MesCiclo,InicioCiclo,$S253+MOD(2-WEEKDAY($S253),7))+6),1,IF(N($W253)&gt;0,AVERAGEIFS($Y$5:$Y$1000,$U$5:$U$1000,ROW(),$V$5:$V$1000,"Sub"),$Y253)))</f>
        <v/>
      </c>
      <c r="AD253" s="62">
        <f>IF($V253="","",IF(AND(ISNUMBER($G253),$G253&lt;=IF($S253=MesCiclo,InicioCiclo,$S253+MOD(2-WEEKDAY($S253),7))+13),1,IF(N($W253)&gt;0,AVERAGEIFS($Z$5:$Z$1000,$U$5:$U$1000,ROW(),$V$5:$V$1000,"Sub"),$Z253)))</f>
        <v/>
      </c>
      <c r="AE253" s="62">
        <f>IF($V253="","",IF(AND(ISNUMBER($G253),$G253&lt;=IF($S253=MesCiclo,InicioCiclo,$S253+MOD(2-WEEKDAY($S253),7))+20),1,IF(N($W253)&gt;0,AVERAGEIFS($AA$5:$AA$1000,$U$5:$U$1000,ROW(),$V$5:$V$1000,"Sub"),$AA253)))</f>
        <v/>
      </c>
      <c r="AF253" s="62">
        <f>IF($V253="","",IF(AND(ISNUMBER($G253),$G253&lt;=IF($S253=MesCiclo,InicioCiclo,$S253+MOD(2-WEEKDAY($S253),7))+27),1,IF(N($W253)&gt;0,AVERAGEIFS($AB$5:$AB$1000,$U$5:$U$1000,ROW(),$V$5:$V$1000,"Sub"),$AB253)))</f>
        <v/>
      </c>
      <c r="AG253" s="62">
        <f>IF($V253&lt;&gt;"Macro","",IF(COUNTIFS($S$5:$S$1000,$S253,$V$5:$V$1000,"Macro",$H$5:$H$1000,"&gt;0")=0,1/COUNTIFS($S$5:$S$1000,$S253,$V$5:$V$1000,"Macro"),IF(AND(ISNUMBER($H253),N($H253)&gt;0),$H253,SUMIFS($H$5:$H$1000,$S$5:$S$1000,$S253,$V$5:$V$1000,"Macro")/COUNTIFS($S$5:$S$1000,$S253,$V$5:$V$1000,"Macro",$H$5:$H$1000,"&gt;0"))/(COUNTIFS($S$5:$S$1000,$S253,$V$5:$V$1000,"Macro")*SUMIFS($H$5:$H$1000,$S$5:$S$1000,$S253,$V$5:$V$1000,"Macro")/COUNTIFS($S$5:$S$1000,$S253,$V$5:$V$1000,"Macro",$H$5:$H$1000,"&gt;0"))))</f>
        <v/>
      </c>
      <c r="AH253" s="62" t="n"/>
      <c r="AI253" s="62" t="n"/>
      <c r="AJ253" s="62" t="n"/>
      <c r="AK253" s="62" t="n"/>
      <c r="AL253" s="62">
        <f>IF(LEFT($C253,11)="[Jefatura] ",IFERROR(MATCH("Asistente Técnico de Riesgo|"&amp;MID($C253,12,500),rDname_ADM,0),0),"")</f>
        <v/>
      </c>
      <c r="AM253" s="62">
        <f>IF(N($AL253)&gt;0,INDEX(rIni_ADM,$AL253),IF(ISNUMBER($E253),$E253,""))</f>
        <v/>
      </c>
      <c r="AN253" s="62">
        <f>IF(N($AL253)&gt;0,INDEX(rLim_ADM,$AL253),IF(ISNUMBER($F253),$F253,""))</f>
        <v/>
      </c>
    </row>
    <row r="254">
      <c r="A254" s="56">
        <f>IF(NOT((COUNTA($B254:$D254)+COUNTA($G254:$L254)+COUNTA($Q254))&gt;0),"",IF($V254="Macro",COUNTIFS($V$5:$V254,"Macro",$S$5:$S254,$S254),IF(N($U254)=0,"?",COUNTIFS(INDEX($V$5:$V$1000,1):INDEX($V$5:$V$1000,$U254-4),"Macro",INDEX($S$5:$S$1000,1):INDEX($S$5:$S$1000,$U254-4),INDEX($S$5:$S$1000,$U254-4))&amp;"."&amp;COUNTIFS($U$5:$U254,$U254,$V$5:$V254,"Sub"))))</f>
        <v/>
      </c>
      <c r="B254" s="57" t="n"/>
      <c r="C254" s="58" t="n"/>
      <c r="D254" s="58" t="n"/>
      <c r="E254" s="59">
        <f>IF(N($AL254)&gt;0,INDEX(rIni_ADM,$AL254),"")</f>
        <v/>
      </c>
      <c r="F254" s="59">
        <f>IF(N($AL254)&gt;0,INDEX(rLim_ADM,$AL254),"")</f>
        <v/>
      </c>
      <c r="G254" s="59" t="n"/>
      <c r="H254" s="60" t="n"/>
      <c r="I254" s="60" t="n"/>
      <c r="J254" s="60" t="n"/>
      <c r="K254" s="60" t="n"/>
      <c r="L254" s="60" t="n"/>
      <c r="M254" s="61">
        <f>IF(NOT((COUNTA($B254:$D254)+COUNTA($G254:$L254)+COUNTA($Q254))&gt;0),"",IF(ISNUMBER($G254),1,IF(N($W254)&gt;0,AVERAGEIFS($X$5:$X$1000,$U$5:$U$1000,ROW(),$V$5:$V$1000,"Sub"),$X254)))</f>
        <v/>
      </c>
      <c r="N254" s="56">
        <f>IF($M254="","",IF($M254&gt;=1,"Completado",IF($M254&gt;0,"En curso","Pendiente")))</f>
        <v/>
      </c>
      <c r="O254" s="56">
        <f>IF(NOT((COUNTA($B254:$D254)+COUNTA($G254:$L254)+COUNTA($Q254))&gt;0),"",IF(ISNUMBER($G254),IF(AND(ISNUMBER($AN254),$G254&gt;$AN254),"Cumplida con "&amp;($G254-$AN254)&amp;IF($G254-$AN254=1," día"," días")&amp;" de retraso","Cumplida"),IF(N($M254)&gt;=1,"Cumplida",IF(NOT(ISNUMBER($AN254)),"Sin fecha límite",IF($AN254&lt;FechaRef,"Vencida hace "&amp;(FechaRef-$AN254)&amp;IF(FechaRef-$AN254=1," día"," días"),IF($AN254=FechaRef,"Vence hoy",IF($AN254-FechaRef&lt;=DiasAlerta,"Vence en "&amp;($AN254-FechaRef)&amp;IF($AN254-FechaRef=1," día"," días"),"En plazo")))))))</f>
        <v/>
      </c>
      <c r="P254" s="62" t="n"/>
      <c r="Q254" s="58" t="n"/>
      <c r="R254" s="63">
        <f>IF(NOT((COUNTA($B254:$D254)+COUNTA($G254:$L254)+COUNTA($Q254))&gt;0),"",IF((IF($C254="","Falta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",""))="","✔ OK","⚠ "&amp;LEFT(IF($C254="","Falta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",""),LEN(IF($C254="","Falta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",""))-3)))</f>
        <v/>
      </c>
      <c r="S254" s="64">
        <f>IF(NOT((COUNTA($B254:$D254)+COUNTA($G254:$L254)+COUNTA($Q254))&gt;0),"",IF(AND($V254="Sub",N($U254)&gt;0),IF(ISNUMBER(INDEX($AM$5:$AM$1000,$U254-4)),DATE(YEAR(INDEX($AM$5:$AM$1000,$U254-4)),MONTH(INDEX($AM$5:$AM$1000,$U254-4)),1),IF(ISNUMBER(INDEX($AN$5:$AN$1000,$U254-4)),DATE(YEAR(INDEX($AN$5:$AN$1000,$U254-4)),MONTH(INDEX($AN$5:$AN$1000,$U254-4)),1),MesCiclo)),IF(ISNUMBER($AM254),DATE(YEAR($AM254),MONTH($AM254),1),IF(ISNUMBER($AN254),DATE(YEAR($AN254),MONTH($AN254),1),MesCiclo))))</f>
        <v/>
      </c>
      <c r="T254" s="62">
        <f>IF(OR($S254="",$S254&lt;&gt;MesCiclo),"",COUNTIF($S$5:$S254,MesCiclo))</f>
        <v/>
      </c>
      <c r="U254" s="62">
        <f>IF($V254="","",IF($V254="Macro",ROW(),IFERROR(LOOKUP(2,1/($V$5:$V254="Macro"),ROW($V$5:$V254)),0)))</f>
        <v/>
      </c>
      <c r="V254" s="62">
        <f>IF(NOT((COUNTA($B254:$D254)+COUNTA($G254:$L254)+COUNTA($Q254))&gt;0),"",IF($B254="Subactividad","Sub","Macro"))</f>
        <v/>
      </c>
      <c r="W254" s="62">
        <f>IF($V254="Macro",COUNTIFS($U$5:$U$1000,ROW(),$V$5:$V$1000,"Sub"),"")</f>
        <v/>
      </c>
      <c r="X254" s="62">
        <f>IF($V254="","",IF(ISNUMBER($G254),1,IFERROR(LOOKUP(2,1/($I254:$L254&lt;&gt;""),$I254:$L254),0)))</f>
        <v/>
      </c>
      <c r="Y254" s="62">
        <f>IF($V254="","",IF(AND(ISNUMBER($G254),$G254&lt;=IF($S254=MesCiclo,InicioCiclo,$S254+MOD(2-WEEKDAY($S254),7))+6),1,IF(ISNUMBER($I254),$I254,0)))</f>
        <v/>
      </c>
      <c r="Z254" s="62">
        <f>IF($V254="","",IF(AND(ISNUMBER($G254),$G254&lt;=IF($S254=MesCiclo,InicioCiclo,$S254+MOD(2-WEEKDAY($S254),7))+13),1,IF(ISNUMBER($J254),$J254,$Y254)))</f>
        <v/>
      </c>
      <c r="AA254" s="62">
        <f>IF($V254="","",IF(AND(ISNUMBER($G254),$G254&lt;=IF($S254=MesCiclo,InicioCiclo,$S254+MOD(2-WEEKDAY($S254),7))+20),1,IF(ISNUMBER($K254),$K254,$Z254)))</f>
        <v/>
      </c>
      <c r="AB254" s="62">
        <f>IF($V254="","",IF(AND(ISNUMBER($G254),$G254&lt;=IF($S254=MesCiclo,InicioCiclo,$S254+MOD(2-WEEKDAY($S254),7))+27),1,IF(ISNUMBER($L254),$L254,$AA254)))</f>
        <v/>
      </c>
      <c r="AC254" s="62">
        <f>IF($V254="","",IF(AND(ISNUMBER($G254),$G254&lt;=IF($S254=MesCiclo,InicioCiclo,$S254+MOD(2-WEEKDAY($S254),7))+6),1,IF(N($W254)&gt;0,AVERAGEIFS($Y$5:$Y$1000,$U$5:$U$1000,ROW(),$V$5:$V$1000,"Sub"),$Y254)))</f>
        <v/>
      </c>
      <c r="AD254" s="62">
        <f>IF($V254="","",IF(AND(ISNUMBER($G254),$G254&lt;=IF($S254=MesCiclo,InicioCiclo,$S254+MOD(2-WEEKDAY($S254),7))+13),1,IF(N($W254)&gt;0,AVERAGEIFS($Z$5:$Z$1000,$U$5:$U$1000,ROW(),$V$5:$V$1000,"Sub"),$Z254)))</f>
        <v/>
      </c>
      <c r="AE254" s="62">
        <f>IF($V254="","",IF(AND(ISNUMBER($G254),$G254&lt;=IF($S254=MesCiclo,InicioCiclo,$S254+MOD(2-WEEKDAY($S254),7))+20),1,IF(N($W254)&gt;0,AVERAGEIFS($AA$5:$AA$1000,$U$5:$U$1000,ROW(),$V$5:$V$1000,"Sub"),$AA254)))</f>
        <v/>
      </c>
      <c r="AF254" s="62">
        <f>IF($V254="","",IF(AND(ISNUMBER($G254),$G254&lt;=IF($S254=MesCiclo,InicioCiclo,$S254+MOD(2-WEEKDAY($S254),7))+27),1,IF(N($W254)&gt;0,AVERAGEIFS($AB$5:$AB$1000,$U$5:$U$1000,ROW(),$V$5:$V$1000,"Sub"),$AB254)))</f>
        <v/>
      </c>
      <c r="AG254" s="62">
        <f>IF($V254&lt;&gt;"Macro","",IF(COUNTIFS($S$5:$S$1000,$S254,$V$5:$V$1000,"Macro",$H$5:$H$1000,"&gt;0")=0,1/COUNTIFS($S$5:$S$1000,$S254,$V$5:$V$1000,"Macro"),IF(AND(ISNUMBER($H254),N($H254)&gt;0),$H254,SUMIFS($H$5:$H$1000,$S$5:$S$1000,$S254,$V$5:$V$1000,"Macro")/COUNTIFS($S$5:$S$1000,$S254,$V$5:$V$1000,"Macro",$H$5:$H$1000,"&gt;0"))/(COUNTIFS($S$5:$S$1000,$S254,$V$5:$V$1000,"Macro")*SUMIFS($H$5:$H$1000,$S$5:$S$1000,$S254,$V$5:$V$1000,"Macro")/COUNTIFS($S$5:$S$1000,$S254,$V$5:$V$1000,"Macro",$H$5:$H$1000,"&gt;0"))))</f>
        <v/>
      </c>
      <c r="AH254" s="62" t="n"/>
      <c r="AI254" s="62" t="n"/>
      <c r="AJ254" s="62" t="n"/>
      <c r="AK254" s="62" t="n"/>
      <c r="AL254" s="62">
        <f>IF(LEFT($C254,11)="[Jefatura] ",IFERROR(MATCH("Asistente Técnico de Riesgo|"&amp;MID($C254,12,500),rDname_ADM,0),0),"")</f>
        <v/>
      </c>
      <c r="AM254" s="62">
        <f>IF(N($AL254)&gt;0,INDEX(rIni_ADM,$AL254),IF(ISNUMBER($E254),$E254,""))</f>
        <v/>
      </c>
      <c r="AN254" s="62">
        <f>IF(N($AL254)&gt;0,INDEX(rLim_ADM,$AL254),IF(ISNUMBER($F254),$F254,""))</f>
        <v/>
      </c>
    </row>
    <row r="255">
      <c r="A255" s="56">
        <f>IF(NOT((COUNTA($B255:$D255)+COUNTA($G255:$L255)+COUNTA($Q255))&gt;0),"",IF($V255="Macro",COUNTIFS($V$5:$V255,"Macro",$S$5:$S255,$S255),IF(N($U255)=0,"?",COUNTIFS(INDEX($V$5:$V$1000,1):INDEX($V$5:$V$1000,$U255-4),"Macro",INDEX($S$5:$S$1000,1):INDEX($S$5:$S$1000,$U255-4),INDEX($S$5:$S$1000,$U255-4))&amp;"."&amp;COUNTIFS($U$5:$U255,$U255,$V$5:$V255,"Sub"))))</f>
        <v/>
      </c>
      <c r="B255" s="57" t="n"/>
      <c r="C255" s="58" t="n"/>
      <c r="D255" s="58" t="n"/>
      <c r="E255" s="59">
        <f>IF(N($AL255)&gt;0,INDEX(rIni_ADM,$AL255),"")</f>
        <v/>
      </c>
      <c r="F255" s="59">
        <f>IF(N($AL255)&gt;0,INDEX(rLim_ADM,$AL255),"")</f>
        <v/>
      </c>
      <c r="G255" s="59" t="n"/>
      <c r="H255" s="60" t="n"/>
      <c r="I255" s="60" t="n"/>
      <c r="J255" s="60" t="n"/>
      <c r="K255" s="60" t="n"/>
      <c r="L255" s="60" t="n"/>
      <c r="M255" s="61">
        <f>IF(NOT((COUNTA($B255:$D255)+COUNTA($G255:$L255)+COUNTA($Q255))&gt;0),"",IF(ISNUMBER($G255),1,IF(N($W255)&gt;0,AVERAGEIFS($X$5:$X$1000,$U$5:$U$1000,ROW(),$V$5:$V$1000,"Sub"),$X255)))</f>
        <v/>
      </c>
      <c r="N255" s="56">
        <f>IF($M255="","",IF($M255&gt;=1,"Completado",IF($M255&gt;0,"En curso","Pendiente")))</f>
        <v/>
      </c>
      <c r="O255" s="56">
        <f>IF(NOT((COUNTA($B255:$D255)+COUNTA($G255:$L255)+COUNTA($Q255))&gt;0),"",IF(ISNUMBER($G255),IF(AND(ISNUMBER($AN255),$G255&gt;$AN255),"Cumplida con "&amp;($G255-$AN255)&amp;IF($G255-$AN255=1," día"," días")&amp;" de retraso","Cumplida"),IF(N($M255)&gt;=1,"Cumplida",IF(NOT(ISNUMBER($AN255)),"Sin fecha límite",IF($AN255&lt;FechaRef,"Vencida hace "&amp;(FechaRef-$AN255)&amp;IF(FechaRef-$AN255=1," día"," días"),IF($AN255=FechaRef,"Vence hoy",IF($AN255-FechaRef&lt;=DiasAlerta,"Vence en "&amp;($AN255-FechaRef)&amp;IF($AN255-FechaRef=1," día"," días"),"En plazo")))))))</f>
        <v/>
      </c>
      <c r="P255" s="62" t="n"/>
      <c r="Q255" s="58" t="n"/>
      <c r="R255" s="63">
        <f>IF(NOT((COUNTA($B255:$D255)+COUNTA($G255:$L255)+COUNTA($Q255))&gt;0),"",IF((IF($C255="","Falta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",""))="","✔ OK","⚠ "&amp;LEFT(IF($C255="","Falta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",""),LEN(IF($C255="","Falta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",""))-3)))</f>
        <v/>
      </c>
      <c r="S255" s="64">
        <f>IF(NOT((COUNTA($B255:$D255)+COUNTA($G255:$L255)+COUNTA($Q255))&gt;0),"",IF(AND($V255="Sub",N($U255)&gt;0),IF(ISNUMBER(INDEX($AM$5:$AM$1000,$U255-4)),DATE(YEAR(INDEX($AM$5:$AM$1000,$U255-4)),MONTH(INDEX($AM$5:$AM$1000,$U255-4)),1),IF(ISNUMBER(INDEX($AN$5:$AN$1000,$U255-4)),DATE(YEAR(INDEX($AN$5:$AN$1000,$U255-4)),MONTH(INDEX($AN$5:$AN$1000,$U255-4)),1),MesCiclo)),IF(ISNUMBER($AM255),DATE(YEAR($AM255),MONTH($AM255),1),IF(ISNUMBER($AN255),DATE(YEAR($AN255),MONTH($AN255),1),MesCiclo))))</f>
        <v/>
      </c>
      <c r="T255" s="62">
        <f>IF(OR($S255="",$S255&lt;&gt;MesCiclo),"",COUNTIF($S$5:$S255,MesCiclo))</f>
        <v/>
      </c>
      <c r="U255" s="62">
        <f>IF($V255="","",IF($V255="Macro",ROW(),IFERROR(LOOKUP(2,1/($V$5:$V255="Macro"),ROW($V$5:$V255)),0)))</f>
        <v/>
      </c>
      <c r="V255" s="62">
        <f>IF(NOT((COUNTA($B255:$D255)+COUNTA($G255:$L255)+COUNTA($Q255))&gt;0),"",IF($B255="Subactividad","Sub","Macro"))</f>
        <v/>
      </c>
      <c r="W255" s="62">
        <f>IF($V255="Macro",COUNTIFS($U$5:$U$1000,ROW(),$V$5:$V$1000,"Sub"),"")</f>
        <v/>
      </c>
      <c r="X255" s="62">
        <f>IF($V255="","",IF(ISNUMBER($G255),1,IFERROR(LOOKUP(2,1/($I255:$L255&lt;&gt;""),$I255:$L255),0)))</f>
        <v/>
      </c>
      <c r="Y255" s="62">
        <f>IF($V255="","",IF(AND(ISNUMBER($G255),$G255&lt;=IF($S255=MesCiclo,InicioCiclo,$S255+MOD(2-WEEKDAY($S255),7))+6),1,IF(ISNUMBER($I255),$I255,0)))</f>
        <v/>
      </c>
      <c r="Z255" s="62">
        <f>IF($V255="","",IF(AND(ISNUMBER($G255),$G255&lt;=IF($S255=MesCiclo,InicioCiclo,$S255+MOD(2-WEEKDAY($S255),7))+13),1,IF(ISNUMBER($J255),$J255,$Y255)))</f>
        <v/>
      </c>
      <c r="AA255" s="62">
        <f>IF($V255="","",IF(AND(ISNUMBER($G255),$G255&lt;=IF($S255=MesCiclo,InicioCiclo,$S255+MOD(2-WEEKDAY($S255),7))+20),1,IF(ISNUMBER($K255),$K255,$Z255)))</f>
        <v/>
      </c>
      <c r="AB255" s="62">
        <f>IF($V255="","",IF(AND(ISNUMBER($G255),$G255&lt;=IF($S255=MesCiclo,InicioCiclo,$S255+MOD(2-WEEKDAY($S255),7))+27),1,IF(ISNUMBER($L255),$L255,$AA255)))</f>
        <v/>
      </c>
      <c r="AC255" s="62">
        <f>IF($V255="","",IF(AND(ISNUMBER($G255),$G255&lt;=IF($S255=MesCiclo,InicioCiclo,$S255+MOD(2-WEEKDAY($S255),7))+6),1,IF(N($W255)&gt;0,AVERAGEIFS($Y$5:$Y$1000,$U$5:$U$1000,ROW(),$V$5:$V$1000,"Sub"),$Y255)))</f>
        <v/>
      </c>
      <c r="AD255" s="62">
        <f>IF($V255="","",IF(AND(ISNUMBER($G255),$G255&lt;=IF($S255=MesCiclo,InicioCiclo,$S255+MOD(2-WEEKDAY($S255),7))+13),1,IF(N($W255)&gt;0,AVERAGEIFS($Z$5:$Z$1000,$U$5:$U$1000,ROW(),$V$5:$V$1000,"Sub"),$Z255)))</f>
        <v/>
      </c>
      <c r="AE255" s="62">
        <f>IF($V255="","",IF(AND(ISNUMBER($G255),$G255&lt;=IF($S255=MesCiclo,InicioCiclo,$S255+MOD(2-WEEKDAY($S255),7))+20),1,IF(N($W255)&gt;0,AVERAGEIFS($AA$5:$AA$1000,$U$5:$U$1000,ROW(),$V$5:$V$1000,"Sub"),$AA255)))</f>
        <v/>
      </c>
      <c r="AF255" s="62">
        <f>IF($V255="","",IF(AND(ISNUMBER($G255),$G255&lt;=IF($S255=MesCiclo,InicioCiclo,$S255+MOD(2-WEEKDAY($S255),7))+27),1,IF(N($W255)&gt;0,AVERAGEIFS($AB$5:$AB$1000,$U$5:$U$1000,ROW(),$V$5:$V$1000,"Sub"),$AB255)))</f>
        <v/>
      </c>
      <c r="AG255" s="62">
        <f>IF($V255&lt;&gt;"Macro","",IF(COUNTIFS($S$5:$S$1000,$S255,$V$5:$V$1000,"Macro",$H$5:$H$1000,"&gt;0")=0,1/COUNTIFS($S$5:$S$1000,$S255,$V$5:$V$1000,"Macro"),IF(AND(ISNUMBER($H255),N($H255)&gt;0),$H255,SUMIFS($H$5:$H$1000,$S$5:$S$1000,$S255,$V$5:$V$1000,"Macro")/COUNTIFS($S$5:$S$1000,$S255,$V$5:$V$1000,"Macro",$H$5:$H$1000,"&gt;0"))/(COUNTIFS($S$5:$S$1000,$S255,$V$5:$V$1000,"Macro")*SUMIFS($H$5:$H$1000,$S$5:$S$1000,$S255,$V$5:$V$1000,"Macro")/COUNTIFS($S$5:$S$1000,$S255,$V$5:$V$1000,"Macro",$H$5:$H$1000,"&gt;0"))))</f>
        <v/>
      </c>
      <c r="AH255" s="62" t="n"/>
      <c r="AI255" s="62" t="n"/>
      <c r="AJ255" s="62" t="n"/>
      <c r="AK255" s="62" t="n"/>
      <c r="AL255" s="62">
        <f>IF(LEFT($C255,11)="[Jefatura] ",IFERROR(MATCH("Asistente Técnico de Riesgo|"&amp;MID($C255,12,500),rDname_ADM,0),0),"")</f>
        <v/>
      </c>
      <c r="AM255" s="62">
        <f>IF(N($AL255)&gt;0,INDEX(rIni_ADM,$AL255),IF(ISNUMBER($E255),$E255,""))</f>
        <v/>
      </c>
      <c r="AN255" s="62">
        <f>IF(N($AL255)&gt;0,INDEX(rLim_ADM,$AL255),IF(ISNUMBER($F255),$F255,""))</f>
        <v/>
      </c>
    </row>
    <row r="256">
      <c r="A256" s="56">
        <f>IF(NOT((COUNTA($B256:$D256)+COUNTA($G256:$L256)+COUNTA($Q256))&gt;0),"",IF($V256="Macro",COUNTIFS($V$5:$V256,"Macro",$S$5:$S256,$S256),IF(N($U256)=0,"?",COUNTIFS(INDEX($V$5:$V$1000,1):INDEX($V$5:$V$1000,$U256-4),"Macro",INDEX($S$5:$S$1000,1):INDEX($S$5:$S$1000,$U256-4),INDEX($S$5:$S$1000,$U256-4))&amp;"."&amp;COUNTIFS($U$5:$U256,$U256,$V$5:$V256,"Sub"))))</f>
        <v/>
      </c>
      <c r="B256" s="57" t="n"/>
      <c r="C256" s="58" t="n"/>
      <c r="D256" s="58" t="n"/>
      <c r="E256" s="59">
        <f>IF(N($AL256)&gt;0,INDEX(rIni_ADM,$AL256),"")</f>
        <v/>
      </c>
      <c r="F256" s="59">
        <f>IF(N($AL256)&gt;0,INDEX(rLim_ADM,$AL256),"")</f>
        <v/>
      </c>
      <c r="G256" s="59" t="n"/>
      <c r="H256" s="60" t="n"/>
      <c r="I256" s="60" t="n"/>
      <c r="J256" s="60" t="n"/>
      <c r="K256" s="60" t="n"/>
      <c r="L256" s="60" t="n"/>
      <c r="M256" s="61">
        <f>IF(NOT((COUNTA($B256:$D256)+COUNTA($G256:$L256)+COUNTA($Q256))&gt;0),"",IF(ISNUMBER($G256),1,IF(N($W256)&gt;0,AVERAGEIFS($X$5:$X$1000,$U$5:$U$1000,ROW(),$V$5:$V$1000,"Sub"),$X256)))</f>
        <v/>
      </c>
      <c r="N256" s="56">
        <f>IF($M256="","",IF($M256&gt;=1,"Completado",IF($M256&gt;0,"En curso","Pendiente")))</f>
        <v/>
      </c>
      <c r="O256" s="56">
        <f>IF(NOT((COUNTA($B256:$D256)+COUNTA($G256:$L256)+COUNTA($Q256))&gt;0),"",IF(ISNUMBER($G256),IF(AND(ISNUMBER($AN256),$G256&gt;$AN256),"Cumplida con "&amp;($G256-$AN256)&amp;IF($G256-$AN256=1," día"," días")&amp;" de retraso","Cumplida"),IF(N($M256)&gt;=1,"Cumplida",IF(NOT(ISNUMBER($AN256)),"Sin fecha límite",IF($AN256&lt;FechaRef,"Vencida hace "&amp;(FechaRef-$AN256)&amp;IF(FechaRef-$AN256=1," día"," días"),IF($AN256=FechaRef,"Vence hoy",IF($AN256-FechaRef&lt;=DiasAlerta,"Vence en "&amp;($AN256-FechaRef)&amp;IF($AN256-FechaRef=1," día"," días"),"En plazo")))))))</f>
        <v/>
      </c>
      <c r="P256" s="62" t="n"/>
      <c r="Q256" s="58" t="n"/>
      <c r="R256" s="63">
        <f>IF(NOT((COUNTA($B256:$D256)+COUNTA($G256:$L256)+COUNTA($Q256))&gt;0),"",IF((IF($C256="","Falta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",""))="","✔ OK","⚠ "&amp;LEFT(IF($C256="","Falta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",""),LEN(IF($C256="","Falta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",""))-3)))</f>
        <v/>
      </c>
      <c r="S256" s="64">
        <f>IF(NOT((COUNTA($B256:$D256)+COUNTA($G256:$L256)+COUNTA($Q256))&gt;0),"",IF(AND($V256="Sub",N($U256)&gt;0),IF(ISNUMBER(INDEX($AM$5:$AM$1000,$U256-4)),DATE(YEAR(INDEX($AM$5:$AM$1000,$U256-4)),MONTH(INDEX($AM$5:$AM$1000,$U256-4)),1),IF(ISNUMBER(INDEX($AN$5:$AN$1000,$U256-4)),DATE(YEAR(INDEX($AN$5:$AN$1000,$U256-4)),MONTH(INDEX($AN$5:$AN$1000,$U256-4)),1),MesCiclo)),IF(ISNUMBER($AM256),DATE(YEAR($AM256),MONTH($AM256),1),IF(ISNUMBER($AN256),DATE(YEAR($AN256),MONTH($AN256),1),MesCiclo))))</f>
        <v/>
      </c>
      <c r="T256" s="62">
        <f>IF(OR($S256="",$S256&lt;&gt;MesCiclo),"",COUNTIF($S$5:$S256,MesCiclo))</f>
        <v/>
      </c>
      <c r="U256" s="62">
        <f>IF($V256="","",IF($V256="Macro",ROW(),IFERROR(LOOKUP(2,1/($V$5:$V256="Macro"),ROW($V$5:$V256)),0)))</f>
        <v/>
      </c>
      <c r="V256" s="62">
        <f>IF(NOT((COUNTA($B256:$D256)+COUNTA($G256:$L256)+COUNTA($Q256))&gt;0),"",IF($B256="Subactividad","Sub","Macro"))</f>
        <v/>
      </c>
      <c r="W256" s="62">
        <f>IF($V256="Macro",COUNTIFS($U$5:$U$1000,ROW(),$V$5:$V$1000,"Sub"),"")</f>
        <v/>
      </c>
      <c r="X256" s="62">
        <f>IF($V256="","",IF(ISNUMBER($G256),1,IFERROR(LOOKUP(2,1/($I256:$L256&lt;&gt;""),$I256:$L256),0)))</f>
        <v/>
      </c>
      <c r="Y256" s="62">
        <f>IF($V256="","",IF(AND(ISNUMBER($G256),$G256&lt;=IF($S256=MesCiclo,InicioCiclo,$S256+MOD(2-WEEKDAY($S256),7))+6),1,IF(ISNUMBER($I256),$I256,0)))</f>
        <v/>
      </c>
      <c r="Z256" s="62">
        <f>IF($V256="","",IF(AND(ISNUMBER($G256),$G256&lt;=IF($S256=MesCiclo,InicioCiclo,$S256+MOD(2-WEEKDAY($S256),7))+13),1,IF(ISNUMBER($J256),$J256,$Y256)))</f>
        <v/>
      </c>
      <c r="AA256" s="62">
        <f>IF($V256="","",IF(AND(ISNUMBER($G256),$G256&lt;=IF($S256=MesCiclo,InicioCiclo,$S256+MOD(2-WEEKDAY($S256),7))+20),1,IF(ISNUMBER($K256),$K256,$Z256)))</f>
        <v/>
      </c>
      <c r="AB256" s="62">
        <f>IF($V256="","",IF(AND(ISNUMBER($G256),$G256&lt;=IF($S256=MesCiclo,InicioCiclo,$S256+MOD(2-WEEKDAY($S256),7))+27),1,IF(ISNUMBER($L256),$L256,$AA256)))</f>
        <v/>
      </c>
      <c r="AC256" s="62">
        <f>IF($V256="","",IF(AND(ISNUMBER($G256),$G256&lt;=IF($S256=MesCiclo,InicioCiclo,$S256+MOD(2-WEEKDAY($S256),7))+6),1,IF(N($W256)&gt;0,AVERAGEIFS($Y$5:$Y$1000,$U$5:$U$1000,ROW(),$V$5:$V$1000,"Sub"),$Y256)))</f>
        <v/>
      </c>
      <c r="AD256" s="62">
        <f>IF($V256="","",IF(AND(ISNUMBER($G256),$G256&lt;=IF($S256=MesCiclo,InicioCiclo,$S256+MOD(2-WEEKDAY($S256),7))+13),1,IF(N($W256)&gt;0,AVERAGEIFS($Z$5:$Z$1000,$U$5:$U$1000,ROW(),$V$5:$V$1000,"Sub"),$Z256)))</f>
        <v/>
      </c>
      <c r="AE256" s="62">
        <f>IF($V256="","",IF(AND(ISNUMBER($G256),$G256&lt;=IF($S256=MesCiclo,InicioCiclo,$S256+MOD(2-WEEKDAY($S256),7))+20),1,IF(N($W256)&gt;0,AVERAGEIFS($AA$5:$AA$1000,$U$5:$U$1000,ROW(),$V$5:$V$1000,"Sub"),$AA256)))</f>
        <v/>
      </c>
      <c r="AF256" s="62">
        <f>IF($V256="","",IF(AND(ISNUMBER($G256),$G256&lt;=IF($S256=MesCiclo,InicioCiclo,$S256+MOD(2-WEEKDAY($S256),7))+27),1,IF(N($W256)&gt;0,AVERAGEIFS($AB$5:$AB$1000,$U$5:$U$1000,ROW(),$V$5:$V$1000,"Sub"),$AB256)))</f>
        <v/>
      </c>
      <c r="AG256" s="62">
        <f>IF($V256&lt;&gt;"Macro","",IF(COUNTIFS($S$5:$S$1000,$S256,$V$5:$V$1000,"Macro",$H$5:$H$1000,"&gt;0")=0,1/COUNTIFS($S$5:$S$1000,$S256,$V$5:$V$1000,"Macro"),IF(AND(ISNUMBER($H256),N($H256)&gt;0),$H256,SUMIFS($H$5:$H$1000,$S$5:$S$1000,$S256,$V$5:$V$1000,"Macro")/COUNTIFS($S$5:$S$1000,$S256,$V$5:$V$1000,"Macro",$H$5:$H$1000,"&gt;0"))/(COUNTIFS($S$5:$S$1000,$S256,$V$5:$V$1000,"Macro")*SUMIFS($H$5:$H$1000,$S$5:$S$1000,$S256,$V$5:$V$1000,"Macro")/COUNTIFS($S$5:$S$1000,$S256,$V$5:$V$1000,"Macro",$H$5:$H$1000,"&gt;0"))))</f>
        <v/>
      </c>
      <c r="AH256" s="62" t="n"/>
      <c r="AI256" s="62" t="n"/>
      <c r="AJ256" s="62" t="n"/>
      <c r="AK256" s="62" t="n"/>
      <c r="AL256" s="62">
        <f>IF(LEFT($C256,11)="[Jefatura] ",IFERROR(MATCH("Asistente Técnico de Riesgo|"&amp;MID($C256,12,500),rDname_ADM,0),0),"")</f>
        <v/>
      </c>
      <c r="AM256" s="62">
        <f>IF(N($AL256)&gt;0,INDEX(rIni_ADM,$AL256),IF(ISNUMBER($E256),$E256,""))</f>
        <v/>
      </c>
      <c r="AN256" s="62">
        <f>IF(N($AL256)&gt;0,INDEX(rLim_ADM,$AL256),IF(ISNUMBER($F256),$F256,""))</f>
        <v/>
      </c>
    </row>
    <row r="257">
      <c r="A257" s="56">
        <f>IF(NOT((COUNTA($B257:$D257)+COUNTA($G257:$L257)+COUNTA($Q257))&gt;0),"",IF($V257="Macro",COUNTIFS($V$5:$V257,"Macro",$S$5:$S257,$S257),IF(N($U257)=0,"?",COUNTIFS(INDEX($V$5:$V$1000,1):INDEX($V$5:$V$1000,$U257-4),"Macro",INDEX($S$5:$S$1000,1):INDEX($S$5:$S$1000,$U257-4),INDEX($S$5:$S$1000,$U257-4))&amp;"."&amp;COUNTIFS($U$5:$U257,$U257,$V$5:$V257,"Sub"))))</f>
        <v/>
      </c>
      <c r="B257" s="57" t="n"/>
      <c r="C257" s="58" t="n"/>
      <c r="D257" s="58" t="n"/>
      <c r="E257" s="59">
        <f>IF(N($AL257)&gt;0,INDEX(rIni_ADM,$AL257),"")</f>
        <v/>
      </c>
      <c r="F257" s="59">
        <f>IF(N($AL257)&gt;0,INDEX(rLim_ADM,$AL257),"")</f>
        <v/>
      </c>
      <c r="G257" s="59" t="n"/>
      <c r="H257" s="60" t="n"/>
      <c r="I257" s="60" t="n"/>
      <c r="J257" s="60" t="n"/>
      <c r="K257" s="60" t="n"/>
      <c r="L257" s="60" t="n"/>
      <c r="M257" s="61">
        <f>IF(NOT((COUNTA($B257:$D257)+COUNTA($G257:$L257)+COUNTA($Q257))&gt;0),"",IF(ISNUMBER($G257),1,IF(N($W257)&gt;0,AVERAGEIFS($X$5:$X$1000,$U$5:$U$1000,ROW(),$V$5:$V$1000,"Sub"),$X257)))</f>
        <v/>
      </c>
      <c r="N257" s="56">
        <f>IF($M257="","",IF($M257&gt;=1,"Completado",IF($M257&gt;0,"En curso","Pendiente")))</f>
        <v/>
      </c>
      <c r="O257" s="56">
        <f>IF(NOT((COUNTA($B257:$D257)+COUNTA($G257:$L257)+COUNTA($Q257))&gt;0),"",IF(ISNUMBER($G257),IF(AND(ISNUMBER($AN257),$G257&gt;$AN257),"Cumplida con "&amp;($G257-$AN257)&amp;IF($G257-$AN257=1," día"," días")&amp;" de retraso","Cumplida"),IF(N($M257)&gt;=1,"Cumplida",IF(NOT(ISNUMBER($AN257)),"Sin fecha límite",IF($AN257&lt;FechaRef,"Vencida hace "&amp;(FechaRef-$AN257)&amp;IF(FechaRef-$AN257=1," día"," días"),IF($AN257=FechaRef,"Vence hoy",IF($AN257-FechaRef&lt;=DiasAlerta,"Vence en "&amp;($AN257-FechaRef)&amp;IF($AN257-FechaRef=1," día"," días"),"En plazo")))))))</f>
        <v/>
      </c>
      <c r="P257" s="62" t="n"/>
      <c r="Q257" s="58" t="n"/>
      <c r="R257" s="63">
        <f>IF(NOT((COUNTA($B257:$D257)+COUNTA($G257:$L257)+COUNTA($Q257))&gt;0),"",IF((IF($C257="","Falta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",""))="","✔ OK","⚠ "&amp;LEFT(IF($C257="","Falta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",""),LEN(IF($C257="","Falta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",""))-3)))</f>
        <v/>
      </c>
      <c r="S257" s="64">
        <f>IF(NOT((COUNTA($B257:$D257)+COUNTA($G257:$L257)+COUNTA($Q257))&gt;0),"",IF(AND($V257="Sub",N($U257)&gt;0),IF(ISNUMBER(INDEX($AM$5:$AM$1000,$U257-4)),DATE(YEAR(INDEX($AM$5:$AM$1000,$U257-4)),MONTH(INDEX($AM$5:$AM$1000,$U257-4)),1),IF(ISNUMBER(INDEX($AN$5:$AN$1000,$U257-4)),DATE(YEAR(INDEX($AN$5:$AN$1000,$U257-4)),MONTH(INDEX($AN$5:$AN$1000,$U257-4)),1),MesCiclo)),IF(ISNUMBER($AM257),DATE(YEAR($AM257),MONTH($AM257),1),IF(ISNUMBER($AN257),DATE(YEAR($AN257),MONTH($AN257),1),MesCiclo))))</f>
        <v/>
      </c>
      <c r="T257" s="62">
        <f>IF(OR($S257="",$S257&lt;&gt;MesCiclo),"",COUNTIF($S$5:$S257,MesCiclo))</f>
        <v/>
      </c>
      <c r="U257" s="62">
        <f>IF($V257="","",IF($V257="Macro",ROW(),IFERROR(LOOKUP(2,1/($V$5:$V257="Macro"),ROW($V$5:$V257)),0)))</f>
        <v/>
      </c>
      <c r="V257" s="62">
        <f>IF(NOT((COUNTA($B257:$D257)+COUNTA($G257:$L257)+COUNTA($Q257))&gt;0),"",IF($B257="Subactividad","Sub","Macro"))</f>
        <v/>
      </c>
      <c r="W257" s="62">
        <f>IF($V257="Macro",COUNTIFS($U$5:$U$1000,ROW(),$V$5:$V$1000,"Sub"),"")</f>
        <v/>
      </c>
      <c r="X257" s="62">
        <f>IF($V257="","",IF(ISNUMBER($G257),1,IFERROR(LOOKUP(2,1/($I257:$L257&lt;&gt;""),$I257:$L257),0)))</f>
        <v/>
      </c>
      <c r="Y257" s="62">
        <f>IF($V257="","",IF(AND(ISNUMBER($G257),$G257&lt;=IF($S257=MesCiclo,InicioCiclo,$S257+MOD(2-WEEKDAY($S257),7))+6),1,IF(ISNUMBER($I257),$I257,0)))</f>
        <v/>
      </c>
      <c r="Z257" s="62">
        <f>IF($V257="","",IF(AND(ISNUMBER($G257),$G257&lt;=IF($S257=MesCiclo,InicioCiclo,$S257+MOD(2-WEEKDAY($S257),7))+13),1,IF(ISNUMBER($J257),$J257,$Y257)))</f>
        <v/>
      </c>
      <c r="AA257" s="62">
        <f>IF($V257="","",IF(AND(ISNUMBER($G257),$G257&lt;=IF($S257=MesCiclo,InicioCiclo,$S257+MOD(2-WEEKDAY($S257),7))+20),1,IF(ISNUMBER($K257),$K257,$Z257)))</f>
        <v/>
      </c>
      <c r="AB257" s="62">
        <f>IF($V257="","",IF(AND(ISNUMBER($G257),$G257&lt;=IF($S257=MesCiclo,InicioCiclo,$S257+MOD(2-WEEKDAY($S257),7))+27),1,IF(ISNUMBER($L257),$L257,$AA257)))</f>
        <v/>
      </c>
      <c r="AC257" s="62">
        <f>IF($V257="","",IF(AND(ISNUMBER($G257),$G257&lt;=IF($S257=MesCiclo,InicioCiclo,$S257+MOD(2-WEEKDAY($S257),7))+6),1,IF(N($W257)&gt;0,AVERAGEIFS($Y$5:$Y$1000,$U$5:$U$1000,ROW(),$V$5:$V$1000,"Sub"),$Y257)))</f>
        <v/>
      </c>
      <c r="AD257" s="62">
        <f>IF($V257="","",IF(AND(ISNUMBER($G257),$G257&lt;=IF($S257=MesCiclo,InicioCiclo,$S257+MOD(2-WEEKDAY($S257),7))+13),1,IF(N($W257)&gt;0,AVERAGEIFS($Z$5:$Z$1000,$U$5:$U$1000,ROW(),$V$5:$V$1000,"Sub"),$Z257)))</f>
        <v/>
      </c>
      <c r="AE257" s="62">
        <f>IF($V257="","",IF(AND(ISNUMBER($G257),$G257&lt;=IF($S257=MesCiclo,InicioCiclo,$S257+MOD(2-WEEKDAY($S257),7))+20),1,IF(N($W257)&gt;0,AVERAGEIFS($AA$5:$AA$1000,$U$5:$U$1000,ROW(),$V$5:$V$1000,"Sub"),$AA257)))</f>
        <v/>
      </c>
      <c r="AF257" s="62">
        <f>IF($V257="","",IF(AND(ISNUMBER($G257),$G257&lt;=IF($S257=MesCiclo,InicioCiclo,$S257+MOD(2-WEEKDAY($S257),7))+27),1,IF(N($W257)&gt;0,AVERAGEIFS($AB$5:$AB$1000,$U$5:$U$1000,ROW(),$V$5:$V$1000,"Sub"),$AB257)))</f>
        <v/>
      </c>
      <c r="AG257" s="62">
        <f>IF($V257&lt;&gt;"Macro","",IF(COUNTIFS($S$5:$S$1000,$S257,$V$5:$V$1000,"Macro",$H$5:$H$1000,"&gt;0")=0,1/COUNTIFS($S$5:$S$1000,$S257,$V$5:$V$1000,"Macro"),IF(AND(ISNUMBER($H257),N($H257)&gt;0),$H257,SUMIFS($H$5:$H$1000,$S$5:$S$1000,$S257,$V$5:$V$1000,"Macro")/COUNTIFS($S$5:$S$1000,$S257,$V$5:$V$1000,"Macro",$H$5:$H$1000,"&gt;0"))/(COUNTIFS($S$5:$S$1000,$S257,$V$5:$V$1000,"Macro")*SUMIFS($H$5:$H$1000,$S$5:$S$1000,$S257,$V$5:$V$1000,"Macro")/COUNTIFS($S$5:$S$1000,$S257,$V$5:$V$1000,"Macro",$H$5:$H$1000,"&gt;0"))))</f>
        <v/>
      </c>
      <c r="AH257" s="62" t="n"/>
      <c r="AI257" s="62" t="n"/>
      <c r="AJ257" s="62" t="n"/>
      <c r="AK257" s="62" t="n"/>
      <c r="AL257" s="62">
        <f>IF(LEFT($C257,11)="[Jefatura] ",IFERROR(MATCH("Asistente Técnico de Riesgo|"&amp;MID($C257,12,500),rDname_ADM,0),0),"")</f>
        <v/>
      </c>
      <c r="AM257" s="62">
        <f>IF(N($AL257)&gt;0,INDEX(rIni_ADM,$AL257),IF(ISNUMBER($E257),$E257,""))</f>
        <v/>
      </c>
      <c r="AN257" s="62">
        <f>IF(N($AL257)&gt;0,INDEX(rLim_ADM,$AL257),IF(ISNUMBER($F257),$F257,""))</f>
        <v/>
      </c>
    </row>
    <row r="258">
      <c r="A258" s="56">
        <f>IF(NOT((COUNTA($B258:$D258)+COUNTA($G258:$L258)+COUNTA($Q258))&gt;0),"",IF($V258="Macro",COUNTIFS($V$5:$V258,"Macro",$S$5:$S258,$S258),IF(N($U258)=0,"?",COUNTIFS(INDEX($V$5:$V$1000,1):INDEX($V$5:$V$1000,$U258-4),"Macro",INDEX($S$5:$S$1000,1):INDEX($S$5:$S$1000,$U258-4),INDEX($S$5:$S$1000,$U258-4))&amp;"."&amp;COUNTIFS($U$5:$U258,$U258,$V$5:$V258,"Sub"))))</f>
        <v/>
      </c>
      <c r="B258" s="57" t="n"/>
      <c r="C258" s="58" t="n"/>
      <c r="D258" s="58" t="n"/>
      <c r="E258" s="59">
        <f>IF(N($AL258)&gt;0,INDEX(rIni_ADM,$AL258),"")</f>
        <v/>
      </c>
      <c r="F258" s="59">
        <f>IF(N($AL258)&gt;0,INDEX(rLim_ADM,$AL258),"")</f>
        <v/>
      </c>
      <c r="G258" s="59" t="n"/>
      <c r="H258" s="60" t="n"/>
      <c r="I258" s="60" t="n"/>
      <c r="J258" s="60" t="n"/>
      <c r="K258" s="60" t="n"/>
      <c r="L258" s="60" t="n"/>
      <c r="M258" s="61">
        <f>IF(NOT((COUNTA($B258:$D258)+COUNTA($G258:$L258)+COUNTA($Q258))&gt;0),"",IF(ISNUMBER($G258),1,IF(N($W258)&gt;0,AVERAGEIFS($X$5:$X$1000,$U$5:$U$1000,ROW(),$V$5:$V$1000,"Sub"),$X258)))</f>
        <v/>
      </c>
      <c r="N258" s="56">
        <f>IF($M258="","",IF($M258&gt;=1,"Completado",IF($M258&gt;0,"En curso","Pendiente")))</f>
        <v/>
      </c>
      <c r="O258" s="56">
        <f>IF(NOT((COUNTA($B258:$D258)+COUNTA($G258:$L258)+COUNTA($Q258))&gt;0),"",IF(ISNUMBER($G258),IF(AND(ISNUMBER($AN258),$G258&gt;$AN258),"Cumplida con "&amp;($G258-$AN258)&amp;IF($G258-$AN258=1," día"," días")&amp;" de retraso","Cumplida"),IF(N($M258)&gt;=1,"Cumplida",IF(NOT(ISNUMBER($AN258)),"Sin fecha límite",IF($AN258&lt;FechaRef,"Vencida hace "&amp;(FechaRef-$AN258)&amp;IF(FechaRef-$AN258=1," día"," días"),IF($AN258=FechaRef,"Vence hoy",IF($AN258-FechaRef&lt;=DiasAlerta,"Vence en "&amp;($AN258-FechaRef)&amp;IF($AN258-FechaRef=1," día"," días"),"En plazo")))))))</f>
        <v/>
      </c>
      <c r="P258" s="62" t="n"/>
      <c r="Q258" s="58" t="n"/>
      <c r="R258" s="63">
        <f>IF(NOT((COUNTA($B258:$D258)+COUNTA($G258:$L258)+COUNTA($Q258))&gt;0),"",IF((IF($C258="","Falta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",""))="","✔ OK","⚠ "&amp;LEFT(IF($C258="","Falta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",""),LEN(IF($C258="","Falta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",""))-3)))</f>
        <v/>
      </c>
      <c r="S258" s="64">
        <f>IF(NOT((COUNTA($B258:$D258)+COUNTA($G258:$L258)+COUNTA($Q258))&gt;0),"",IF(AND($V258="Sub",N($U258)&gt;0),IF(ISNUMBER(INDEX($AM$5:$AM$1000,$U258-4)),DATE(YEAR(INDEX($AM$5:$AM$1000,$U258-4)),MONTH(INDEX($AM$5:$AM$1000,$U258-4)),1),IF(ISNUMBER(INDEX($AN$5:$AN$1000,$U258-4)),DATE(YEAR(INDEX($AN$5:$AN$1000,$U258-4)),MONTH(INDEX($AN$5:$AN$1000,$U258-4)),1),MesCiclo)),IF(ISNUMBER($AM258),DATE(YEAR($AM258),MONTH($AM258),1),IF(ISNUMBER($AN258),DATE(YEAR($AN258),MONTH($AN258),1),MesCiclo))))</f>
        <v/>
      </c>
      <c r="T258" s="62">
        <f>IF(OR($S258="",$S258&lt;&gt;MesCiclo),"",COUNTIF($S$5:$S258,MesCiclo))</f>
        <v/>
      </c>
      <c r="U258" s="62">
        <f>IF($V258="","",IF($V258="Macro",ROW(),IFERROR(LOOKUP(2,1/($V$5:$V258="Macro"),ROW($V$5:$V258)),0)))</f>
        <v/>
      </c>
      <c r="V258" s="62">
        <f>IF(NOT((COUNTA($B258:$D258)+COUNTA($G258:$L258)+COUNTA($Q258))&gt;0),"",IF($B258="Subactividad","Sub","Macro"))</f>
        <v/>
      </c>
      <c r="W258" s="62">
        <f>IF($V258="Macro",COUNTIFS($U$5:$U$1000,ROW(),$V$5:$V$1000,"Sub"),"")</f>
        <v/>
      </c>
      <c r="X258" s="62">
        <f>IF($V258="","",IF(ISNUMBER($G258),1,IFERROR(LOOKUP(2,1/($I258:$L258&lt;&gt;""),$I258:$L258),0)))</f>
        <v/>
      </c>
      <c r="Y258" s="62">
        <f>IF($V258="","",IF(AND(ISNUMBER($G258),$G258&lt;=IF($S258=MesCiclo,InicioCiclo,$S258+MOD(2-WEEKDAY($S258),7))+6),1,IF(ISNUMBER($I258),$I258,0)))</f>
        <v/>
      </c>
      <c r="Z258" s="62">
        <f>IF($V258="","",IF(AND(ISNUMBER($G258),$G258&lt;=IF($S258=MesCiclo,InicioCiclo,$S258+MOD(2-WEEKDAY($S258),7))+13),1,IF(ISNUMBER($J258),$J258,$Y258)))</f>
        <v/>
      </c>
      <c r="AA258" s="62">
        <f>IF($V258="","",IF(AND(ISNUMBER($G258),$G258&lt;=IF($S258=MesCiclo,InicioCiclo,$S258+MOD(2-WEEKDAY($S258),7))+20),1,IF(ISNUMBER($K258),$K258,$Z258)))</f>
        <v/>
      </c>
      <c r="AB258" s="62">
        <f>IF($V258="","",IF(AND(ISNUMBER($G258),$G258&lt;=IF($S258=MesCiclo,InicioCiclo,$S258+MOD(2-WEEKDAY($S258),7))+27),1,IF(ISNUMBER($L258),$L258,$AA258)))</f>
        <v/>
      </c>
      <c r="AC258" s="62">
        <f>IF($V258="","",IF(AND(ISNUMBER($G258),$G258&lt;=IF($S258=MesCiclo,InicioCiclo,$S258+MOD(2-WEEKDAY($S258),7))+6),1,IF(N($W258)&gt;0,AVERAGEIFS($Y$5:$Y$1000,$U$5:$U$1000,ROW(),$V$5:$V$1000,"Sub"),$Y258)))</f>
        <v/>
      </c>
      <c r="AD258" s="62">
        <f>IF($V258="","",IF(AND(ISNUMBER($G258),$G258&lt;=IF($S258=MesCiclo,InicioCiclo,$S258+MOD(2-WEEKDAY($S258),7))+13),1,IF(N($W258)&gt;0,AVERAGEIFS($Z$5:$Z$1000,$U$5:$U$1000,ROW(),$V$5:$V$1000,"Sub"),$Z258)))</f>
        <v/>
      </c>
      <c r="AE258" s="62">
        <f>IF($V258="","",IF(AND(ISNUMBER($G258),$G258&lt;=IF($S258=MesCiclo,InicioCiclo,$S258+MOD(2-WEEKDAY($S258),7))+20),1,IF(N($W258)&gt;0,AVERAGEIFS($AA$5:$AA$1000,$U$5:$U$1000,ROW(),$V$5:$V$1000,"Sub"),$AA258)))</f>
        <v/>
      </c>
      <c r="AF258" s="62">
        <f>IF($V258="","",IF(AND(ISNUMBER($G258),$G258&lt;=IF($S258=MesCiclo,InicioCiclo,$S258+MOD(2-WEEKDAY($S258),7))+27),1,IF(N($W258)&gt;0,AVERAGEIFS($AB$5:$AB$1000,$U$5:$U$1000,ROW(),$V$5:$V$1000,"Sub"),$AB258)))</f>
        <v/>
      </c>
      <c r="AG258" s="62">
        <f>IF($V258&lt;&gt;"Macro","",IF(COUNTIFS($S$5:$S$1000,$S258,$V$5:$V$1000,"Macro",$H$5:$H$1000,"&gt;0")=0,1/COUNTIFS($S$5:$S$1000,$S258,$V$5:$V$1000,"Macro"),IF(AND(ISNUMBER($H258),N($H258)&gt;0),$H258,SUMIFS($H$5:$H$1000,$S$5:$S$1000,$S258,$V$5:$V$1000,"Macro")/COUNTIFS($S$5:$S$1000,$S258,$V$5:$V$1000,"Macro",$H$5:$H$1000,"&gt;0"))/(COUNTIFS($S$5:$S$1000,$S258,$V$5:$V$1000,"Macro")*SUMIFS($H$5:$H$1000,$S$5:$S$1000,$S258,$V$5:$V$1000,"Macro")/COUNTIFS($S$5:$S$1000,$S258,$V$5:$V$1000,"Macro",$H$5:$H$1000,"&gt;0"))))</f>
        <v/>
      </c>
      <c r="AH258" s="62" t="n"/>
      <c r="AI258" s="62" t="n"/>
      <c r="AJ258" s="62" t="n"/>
      <c r="AK258" s="62" t="n"/>
      <c r="AL258" s="62">
        <f>IF(LEFT($C258,11)="[Jefatura] ",IFERROR(MATCH("Asistente Técnico de Riesgo|"&amp;MID($C258,12,500),rDname_ADM,0),0),"")</f>
        <v/>
      </c>
      <c r="AM258" s="62">
        <f>IF(N($AL258)&gt;0,INDEX(rIni_ADM,$AL258),IF(ISNUMBER($E258),$E258,""))</f>
        <v/>
      </c>
      <c r="AN258" s="62">
        <f>IF(N($AL258)&gt;0,INDEX(rLim_ADM,$AL258),IF(ISNUMBER($F258),$F258,""))</f>
        <v/>
      </c>
    </row>
    <row r="259">
      <c r="A259" s="56">
        <f>IF(NOT((COUNTA($B259:$D259)+COUNTA($G259:$L259)+COUNTA($Q259))&gt;0),"",IF($V259="Macro",COUNTIFS($V$5:$V259,"Macro",$S$5:$S259,$S259),IF(N($U259)=0,"?",COUNTIFS(INDEX($V$5:$V$1000,1):INDEX($V$5:$V$1000,$U259-4),"Macro",INDEX($S$5:$S$1000,1):INDEX($S$5:$S$1000,$U259-4),INDEX($S$5:$S$1000,$U259-4))&amp;"."&amp;COUNTIFS($U$5:$U259,$U259,$V$5:$V259,"Sub"))))</f>
        <v/>
      </c>
      <c r="B259" s="57" t="n"/>
      <c r="C259" s="58" t="n"/>
      <c r="D259" s="58" t="n"/>
      <c r="E259" s="59">
        <f>IF(N($AL259)&gt;0,INDEX(rIni_ADM,$AL259),"")</f>
        <v/>
      </c>
      <c r="F259" s="59">
        <f>IF(N($AL259)&gt;0,INDEX(rLim_ADM,$AL259),"")</f>
        <v/>
      </c>
      <c r="G259" s="59" t="n"/>
      <c r="H259" s="60" t="n"/>
      <c r="I259" s="60" t="n"/>
      <c r="J259" s="60" t="n"/>
      <c r="K259" s="60" t="n"/>
      <c r="L259" s="60" t="n"/>
      <c r="M259" s="61">
        <f>IF(NOT((COUNTA($B259:$D259)+COUNTA($G259:$L259)+COUNTA($Q259))&gt;0),"",IF(ISNUMBER($G259),1,IF(N($W259)&gt;0,AVERAGEIFS($X$5:$X$1000,$U$5:$U$1000,ROW(),$V$5:$V$1000,"Sub"),$X259)))</f>
        <v/>
      </c>
      <c r="N259" s="56">
        <f>IF($M259="","",IF($M259&gt;=1,"Completado",IF($M259&gt;0,"En curso","Pendiente")))</f>
        <v/>
      </c>
      <c r="O259" s="56">
        <f>IF(NOT((COUNTA($B259:$D259)+COUNTA($G259:$L259)+COUNTA($Q259))&gt;0),"",IF(ISNUMBER($G259),IF(AND(ISNUMBER($AN259),$G259&gt;$AN259),"Cumplida con "&amp;($G259-$AN259)&amp;IF($G259-$AN259=1," día"," días")&amp;" de retraso","Cumplida"),IF(N($M259)&gt;=1,"Cumplida",IF(NOT(ISNUMBER($AN259)),"Sin fecha límite",IF($AN259&lt;FechaRef,"Vencida hace "&amp;(FechaRef-$AN259)&amp;IF(FechaRef-$AN259=1," día"," días"),IF($AN259=FechaRef,"Vence hoy",IF($AN259-FechaRef&lt;=DiasAlerta,"Vence en "&amp;($AN259-FechaRef)&amp;IF($AN259-FechaRef=1," día"," días"),"En plazo")))))))</f>
        <v/>
      </c>
      <c r="P259" s="62" t="n"/>
      <c r="Q259" s="58" t="n"/>
      <c r="R259" s="63">
        <f>IF(NOT((COUNTA($B259:$D259)+COUNTA($G259:$L259)+COUNTA($Q259))&gt;0),"",IF((IF($C259="","Falta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",""))="","✔ OK","⚠ "&amp;LEFT(IF($C259="","Falta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",""),LEN(IF($C259="","Falta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",""))-3)))</f>
        <v/>
      </c>
      <c r="S259" s="64">
        <f>IF(NOT((COUNTA($B259:$D259)+COUNTA($G259:$L259)+COUNTA($Q259))&gt;0),"",IF(AND($V259="Sub",N($U259)&gt;0),IF(ISNUMBER(INDEX($AM$5:$AM$1000,$U259-4)),DATE(YEAR(INDEX($AM$5:$AM$1000,$U259-4)),MONTH(INDEX($AM$5:$AM$1000,$U259-4)),1),IF(ISNUMBER(INDEX($AN$5:$AN$1000,$U259-4)),DATE(YEAR(INDEX($AN$5:$AN$1000,$U259-4)),MONTH(INDEX($AN$5:$AN$1000,$U259-4)),1),MesCiclo)),IF(ISNUMBER($AM259),DATE(YEAR($AM259),MONTH($AM259),1),IF(ISNUMBER($AN259),DATE(YEAR($AN259),MONTH($AN259),1),MesCiclo))))</f>
        <v/>
      </c>
      <c r="T259" s="62">
        <f>IF(OR($S259="",$S259&lt;&gt;MesCiclo),"",COUNTIF($S$5:$S259,MesCiclo))</f>
        <v/>
      </c>
      <c r="U259" s="62">
        <f>IF($V259="","",IF($V259="Macro",ROW(),IFERROR(LOOKUP(2,1/($V$5:$V259="Macro"),ROW($V$5:$V259)),0)))</f>
        <v/>
      </c>
      <c r="V259" s="62">
        <f>IF(NOT((COUNTA($B259:$D259)+COUNTA($G259:$L259)+COUNTA($Q259))&gt;0),"",IF($B259="Subactividad","Sub","Macro"))</f>
        <v/>
      </c>
      <c r="W259" s="62">
        <f>IF($V259="Macro",COUNTIFS($U$5:$U$1000,ROW(),$V$5:$V$1000,"Sub"),"")</f>
        <v/>
      </c>
      <c r="X259" s="62">
        <f>IF($V259="","",IF(ISNUMBER($G259),1,IFERROR(LOOKUP(2,1/($I259:$L259&lt;&gt;""),$I259:$L259),0)))</f>
        <v/>
      </c>
      <c r="Y259" s="62">
        <f>IF($V259="","",IF(AND(ISNUMBER($G259),$G259&lt;=IF($S259=MesCiclo,InicioCiclo,$S259+MOD(2-WEEKDAY($S259),7))+6),1,IF(ISNUMBER($I259),$I259,0)))</f>
        <v/>
      </c>
      <c r="Z259" s="62">
        <f>IF($V259="","",IF(AND(ISNUMBER($G259),$G259&lt;=IF($S259=MesCiclo,InicioCiclo,$S259+MOD(2-WEEKDAY($S259),7))+13),1,IF(ISNUMBER($J259),$J259,$Y259)))</f>
        <v/>
      </c>
      <c r="AA259" s="62">
        <f>IF($V259="","",IF(AND(ISNUMBER($G259),$G259&lt;=IF($S259=MesCiclo,InicioCiclo,$S259+MOD(2-WEEKDAY($S259),7))+20),1,IF(ISNUMBER($K259),$K259,$Z259)))</f>
        <v/>
      </c>
      <c r="AB259" s="62">
        <f>IF($V259="","",IF(AND(ISNUMBER($G259),$G259&lt;=IF($S259=MesCiclo,InicioCiclo,$S259+MOD(2-WEEKDAY($S259),7))+27),1,IF(ISNUMBER($L259),$L259,$AA259)))</f>
        <v/>
      </c>
      <c r="AC259" s="62">
        <f>IF($V259="","",IF(AND(ISNUMBER($G259),$G259&lt;=IF($S259=MesCiclo,InicioCiclo,$S259+MOD(2-WEEKDAY($S259),7))+6),1,IF(N($W259)&gt;0,AVERAGEIFS($Y$5:$Y$1000,$U$5:$U$1000,ROW(),$V$5:$V$1000,"Sub"),$Y259)))</f>
        <v/>
      </c>
      <c r="AD259" s="62">
        <f>IF($V259="","",IF(AND(ISNUMBER($G259),$G259&lt;=IF($S259=MesCiclo,InicioCiclo,$S259+MOD(2-WEEKDAY($S259),7))+13),1,IF(N($W259)&gt;0,AVERAGEIFS($Z$5:$Z$1000,$U$5:$U$1000,ROW(),$V$5:$V$1000,"Sub"),$Z259)))</f>
        <v/>
      </c>
      <c r="AE259" s="62">
        <f>IF($V259="","",IF(AND(ISNUMBER($G259),$G259&lt;=IF($S259=MesCiclo,InicioCiclo,$S259+MOD(2-WEEKDAY($S259),7))+20),1,IF(N($W259)&gt;0,AVERAGEIFS($AA$5:$AA$1000,$U$5:$U$1000,ROW(),$V$5:$V$1000,"Sub"),$AA259)))</f>
        <v/>
      </c>
      <c r="AF259" s="62">
        <f>IF($V259="","",IF(AND(ISNUMBER($G259),$G259&lt;=IF($S259=MesCiclo,InicioCiclo,$S259+MOD(2-WEEKDAY($S259),7))+27),1,IF(N($W259)&gt;0,AVERAGEIFS($AB$5:$AB$1000,$U$5:$U$1000,ROW(),$V$5:$V$1000,"Sub"),$AB259)))</f>
        <v/>
      </c>
      <c r="AG259" s="62">
        <f>IF($V259&lt;&gt;"Macro","",IF(COUNTIFS($S$5:$S$1000,$S259,$V$5:$V$1000,"Macro",$H$5:$H$1000,"&gt;0")=0,1/COUNTIFS($S$5:$S$1000,$S259,$V$5:$V$1000,"Macro"),IF(AND(ISNUMBER($H259),N($H259)&gt;0),$H259,SUMIFS($H$5:$H$1000,$S$5:$S$1000,$S259,$V$5:$V$1000,"Macro")/COUNTIFS($S$5:$S$1000,$S259,$V$5:$V$1000,"Macro",$H$5:$H$1000,"&gt;0"))/(COUNTIFS($S$5:$S$1000,$S259,$V$5:$V$1000,"Macro")*SUMIFS($H$5:$H$1000,$S$5:$S$1000,$S259,$V$5:$V$1000,"Macro")/COUNTIFS($S$5:$S$1000,$S259,$V$5:$V$1000,"Macro",$H$5:$H$1000,"&gt;0"))))</f>
        <v/>
      </c>
      <c r="AH259" s="62" t="n"/>
      <c r="AI259" s="62" t="n"/>
      <c r="AJ259" s="62" t="n"/>
      <c r="AK259" s="62" t="n"/>
      <c r="AL259" s="62">
        <f>IF(LEFT($C259,11)="[Jefatura] ",IFERROR(MATCH("Asistente Técnico de Riesgo|"&amp;MID($C259,12,500),rDname_ADM,0),0),"")</f>
        <v/>
      </c>
      <c r="AM259" s="62">
        <f>IF(N($AL259)&gt;0,INDEX(rIni_ADM,$AL259),IF(ISNUMBER($E259),$E259,""))</f>
        <v/>
      </c>
      <c r="AN259" s="62">
        <f>IF(N($AL259)&gt;0,INDEX(rLim_ADM,$AL259),IF(ISNUMBER($F259),$F259,""))</f>
        <v/>
      </c>
    </row>
    <row r="260">
      <c r="A260" s="56">
        <f>IF(NOT((COUNTA($B260:$D260)+COUNTA($G260:$L260)+COUNTA($Q260))&gt;0),"",IF($V260="Macro",COUNTIFS($V$5:$V260,"Macro",$S$5:$S260,$S260),IF(N($U260)=0,"?",COUNTIFS(INDEX($V$5:$V$1000,1):INDEX($V$5:$V$1000,$U260-4),"Macro",INDEX($S$5:$S$1000,1):INDEX($S$5:$S$1000,$U260-4),INDEX($S$5:$S$1000,$U260-4))&amp;"."&amp;COUNTIFS($U$5:$U260,$U260,$V$5:$V260,"Sub"))))</f>
        <v/>
      </c>
      <c r="B260" s="57" t="n"/>
      <c r="C260" s="58" t="n"/>
      <c r="D260" s="58" t="n"/>
      <c r="E260" s="59">
        <f>IF(N($AL260)&gt;0,INDEX(rIni_ADM,$AL260),"")</f>
        <v/>
      </c>
      <c r="F260" s="59">
        <f>IF(N($AL260)&gt;0,INDEX(rLim_ADM,$AL260),"")</f>
        <v/>
      </c>
      <c r="G260" s="59" t="n"/>
      <c r="H260" s="60" t="n"/>
      <c r="I260" s="60" t="n"/>
      <c r="J260" s="60" t="n"/>
      <c r="K260" s="60" t="n"/>
      <c r="L260" s="60" t="n"/>
      <c r="M260" s="61">
        <f>IF(NOT((COUNTA($B260:$D260)+COUNTA($G260:$L260)+COUNTA($Q260))&gt;0),"",IF(ISNUMBER($G260),1,IF(N($W260)&gt;0,AVERAGEIFS($X$5:$X$1000,$U$5:$U$1000,ROW(),$V$5:$V$1000,"Sub"),$X260)))</f>
        <v/>
      </c>
      <c r="N260" s="56">
        <f>IF($M260="","",IF($M260&gt;=1,"Completado",IF($M260&gt;0,"En curso","Pendiente")))</f>
        <v/>
      </c>
      <c r="O260" s="56">
        <f>IF(NOT((COUNTA($B260:$D260)+COUNTA($G260:$L260)+COUNTA($Q260))&gt;0),"",IF(ISNUMBER($G260),IF(AND(ISNUMBER($AN260),$G260&gt;$AN260),"Cumplida con "&amp;($G260-$AN260)&amp;IF($G260-$AN260=1," día"," días")&amp;" de retraso","Cumplida"),IF(N($M260)&gt;=1,"Cumplida",IF(NOT(ISNUMBER($AN260)),"Sin fecha límite",IF($AN260&lt;FechaRef,"Vencida hace "&amp;(FechaRef-$AN260)&amp;IF(FechaRef-$AN260=1," día"," días"),IF($AN260=FechaRef,"Vence hoy",IF($AN260-FechaRef&lt;=DiasAlerta,"Vence en "&amp;($AN260-FechaRef)&amp;IF($AN260-FechaRef=1," día"," días"),"En plazo")))))))</f>
        <v/>
      </c>
      <c r="P260" s="62" t="n"/>
      <c r="Q260" s="58" t="n"/>
      <c r="R260" s="63">
        <f>IF(NOT((COUNTA($B260:$D260)+COUNTA($G260:$L260)+COUNTA($Q260))&gt;0),"",IF((IF($C260="","Falta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",""))="","✔ OK","⚠ "&amp;LEFT(IF($C260="","Falta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",""),LEN(IF($C260="","Falta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",""))-3)))</f>
        <v/>
      </c>
      <c r="S260" s="64">
        <f>IF(NOT((COUNTA($B260:$D260)+COUNTA($G260:$L260)+COUNTA($Q260))&gt;0),"",IF(AND($V260="Sub",N($U260)&gt;0),IF(ISNUMBER(INDEX($AM$5:$AM$1000,$U260-4)),DATE(YEAR(INDEX($AM$5:$AM$1000,$U260-4)),MONTH(INDEX($AM$5:$AM$1000,$U260-4)),1),IF(ISNUMBER(INDEX($AN$5:$AN$1000,$U260-4)),DATE(YEAR(INDEX($AN$5:$AN$1000,$U260-4)),MONTH(INDEX($AN$5:$AN$1000,$U260-4)),1),MesCiclo)),IF(ISNUMBER($AM260),DATE(YEAR($AM260),MONTH($AM260),1),IF(ISNUMBER($AN260),DATE(YEAR($AN260),MONTH($AN260),1),MesCiclo))))</f>
        <v/>
      </c>
      <c r="T260" s="62">
        <f>IF(OR($S260="",$S260&lt;&gt;MesCiclo),"",COUNTIF($S$5:$S260,MesCiclo))</f>
        <v/>
      </c>
      <c r="U260" s="62">
        <f>IF($V260="","",IF($V260="Macro",ROW(),IFERROR(LOOKUP(2,1/($V$5:$V260="Macro"),ROW($V$5:$V260)),0)))</f>
        <v/>
      </c>
      <c r="V260" s="62">
        <f>IF(NOT((COUNTA($B260:$D260)+COUNTA($G260:$L260)+COUNTA($Q260))&gt;0),"",IF($B260="Subactividad","Sub","Macro"))</f>
        <v/>
      </c>
      <c r="W260" s="62">
        <f>IF($V260="Macro",COUNTIFS($U$5:$U$1000,ROW(),$V$5:$V$1000,"Sub"),"")</f>
        <v/>
      </c>
      <c r="X260" s="62">
        <f>IF($V260="","",IF(ISNUMBER($G260),1,IFERROR(LOOKUP(2,1/($I260:$L260&lt;&gt;""),$I260:$L260),0)))</f>
        <v/>
      </c>
      <c r="Y260" s="62">
        <f>IF($V260="","",IF(AND(ISNUMBER($G260),$G260&lt;=IF($S260=MesCiclo,InicioCiclo,$S260+MOD(2-WEEKDAY($S260),7))+6),1,IF(ISNUMBER($I260),$I260,0)))</f>
        <v/>
      </c>
      <c r="Z260" s="62">
        <f>IF($V260="","",IF(AND(ISNUMBER($G260),$G260&lt;=IF($S260=MesCiclo,InicioCiclo,$S260+MOD(2-WEEKDAY($S260),7))+13),1,IF(ISNUMBER($J260),$J260,$Y260)))</f>
        <v/>
      </c>
      <c r="AA260" s="62">
        <f>IF($V260="","",IF(AND(ISNUMBER($G260),$G260&lt;=IF($S260=MesCiclo,InicioCiclo,$S260+MOD(2-WEEKDAY($S260),7))+20),1,IF(ISNUMBER($K260),$K260,$Z260)))</f>
        <v/>
      </c>
      <c r="AB260" s="62">
        <f>IF($V260="","",IF(AND(ISNUMBER($G260),$G260&lt;=IF($S260=MesCiclo,InicioCiclo,$S260+MOD(2-WEEKDAY($S260),7))+27),1,IF(ISNUMBER($L260),$L260,$AA260)))</f>
        <v/>
      </c>
      <c r="AC260" s="62">
        <f>IF($V260="","",IF(AND(ISNUMBER($G260),$G260&lt;=IF($S260=MesCiclo,InicioCiclo,$S260+MOD(2-WEEKDAY($S260),7))+6),1,IF(N($W260)&gt;0,AVERAGEIFS($Y$5:$Y$1000,$U$5:$U$1000,ROW(),$V$5:$V$1000,"Sub"),$Y260)))</f>
        <v/>
      </c>
      <c r="AD260" s="62">
        <f>IF($V260="","",IF(AND(ISNUMBER($G260),$G260&lt;=IF($S260=MesCiclo,InicioCiclo,$S260+MOD(2-WEEKDAY($S260),7))+13),1,IF(N($W260)&gt;0,AVERAGEIFS($Z$5:$Z$1000,$U$5:$U$1000,ROW(),$V$5:$V$1000,"Sub"),$Z260)))</f>
        <v/>
      </c>
      <c r="AE260" s="62">
        <f>IF($V260="","",IF(AND(ISNUMBER($G260),$G260&lt;=IF($S260=MesCiclo,InicioCiclo,$S260+MOD(2-WEEKDAY($S260),7))+20),1,IF(N($W260)&gt;0,AVERAGEIFS($AA$5:$AA$1000,$U$5:$U$1000,ROW(),$V$5:$V$1000,"Sub"),$AA260)))</f>
        <v/>
      </c>
      <c r="AF260" s="62">
        <f>IF($V260="","",IF(AND(ISNUMBER($G260),$G260&lt;=IF($S260=MesCiclo,InicioCiclo,$S260+MOD(2-WEEKDAY($S260),7))+27),1,IF(N($W260)&gt;0,AVERAGEIFS($AB$5:$AB$1000,$U$5:$U$1000,ROW(),$V$5:$V$1000,"Sub"),$AB260)))</f>
        <v/>
      </c>
      <c r="AG260" s="62">
        <f>IF($V260&lt;&gt;"Macro","",IF(COUNTIFS($S$5:$S$1000,$S260,$V$5:$V$1000,"Macro",$H$5:$H$1000,"&gt;0")=0,1/COUNTIFS($S$5:$S$1000,$S260,$V$5:$V$1000,"Macro"),IF(AND(ISNUMBER($H260),N($H260)&gt;0),$H260,SUMIFS($H$5:$H$1000,$S$5:$S$1000,$S260,$V$5:$V$1000,"Macro")/COUNTIFS($S$5:$S$1000,$S260,$V$5:$V$1000,"Macro",$H$5:$H$1000,"&gt;0"))/(COUNTIFS($S$5:$S$1000,$S260,$V$5:$V$1000,"Macro")*SUMIFS($H$5:$H$1000,$S$5:$S$1000,$S260,$V$5:$V$1000,"Macro")/COUNTIFS($S$5:$S$1000,$S260,$V$5:$V$1000,"Macro",$H$5:$H$1000,"&gt;0"))))</f>
        <v/>
      </c>
      <c r="AH260" s="62" t="n"/>
      <c r="AI260" s="62" t="n"/>
      <c r="AJ260" s="62" t="n"/>
      <c r="AK260" s="62" t="n"/>
      <c r="AL260" s="62">
        <f>IF(LEFT($C260,11)="[Jefatura] ",IFERROR(MATCH("Asistente Técnico de Riesgo|"&amp;MID($C260,12,500),rDname_ADM,0),0),"")</f>
        <v/>
      </c>
      <c r="AM260" s="62">
        <f>IF(N($AL260)&gt;0,INDEX(rIni_ADM,$AL260),IF(ISNUMBER($E260),$E260,""))</f>
        <v/>
      </c>
      <c r="AN260" s="62">
        <f>IF(N($AL260)&gt;0,INDEX(rLim_ADM,$AL260),IF(ISNUMBER($F260),$F260,""))</f>
        <v/>
      </c>
    </row>
    <row r="261">
      <c r="A261" s="56">
        <f>IF(NOT((COUNTA($B261:$D261)+COUNTA($G261:$L261)+COUNTA($Q261))&gt;0),"",IF($V261="Macro",COUNTIFS($V$5:$V261,"Macro",$S$5:$S261,$S261),IF(N($U261)=0,"?",COUNTIFS(INDEX($V$5:$V$1000,1):INDEX($V$5:$V$1000,$U261-4),"Macro",INDEX($S$5:$S$1000,1):INDEX($S$5:$S$1000,$U261-4),INDEX($S$5:$S$1000,$U261-4))&amp;"."&amp;COUNTIFS($U$5:$U261,$U261,$V$5:$V261,"Sub"))))</f>
        <v/>
      </c>
      <c r="B261" s="57" t="n"/>
      <c r="C261" s="58" t="n"/>
      <c r="D261" s="58" t="n"/>
      <c r="E261" s="59">
        <f>IF(N($AL261)&gt;0,INDEX(rIni_ADM,$AL261),"")</f>
        <v/>
      </c>
      <c r="F261" s="59">
        <f>IF(N($AL261)&gt;0,INDEX(rLim_ADM,$AL261),"")</f>
        <v/>
      </c>
      <c r="G261" s="59" t="n"/>
      <c r="H261" s="60" t="n"/>
      <c r="I261" s="60" t="n"/>
      <c r="J261" s="60" t="n"/>
      <c r="K261" s="60" t="n"/>
      <c r="L261" s="60" t="n"/>
      <c r="M261" s="61">
        <f>IF(NOT((COUNTA($B261:$D261)+COUNTA($G261:$L261)+COUNTA($Q261))&gt;0),"",IF(ISNUMBER($G261),1,IF(N($W261)&gt;0,AVERAGEIFS($X$5:$X$1000,$U$5:$U$1000,ROW(),$V$5:$V$1000,"Sub"),$X261)))</f>
        <v/>
      </c>
      <c r="N261" s="56">
        <f>IF($M261="","",IF($M261&gt;=1,"Completado",IF($M261&gt;0,"En curso","Pendiente")))</f>
        <v/>
      </c>
      <c r="O261" s="56">
        <f>IF(NOT((COUNTA($B261:$D261)+COUNTA($G261:$L261)+COUNTA($Q261))&gt;0),"",IF(ISNUMBER($G261),IF(AND(ISNUMBER($AN261),$G261&gt;$AN261),"Cumplida con "&amp;($G261-$AN261)&amp;IF($G261-$AN261=1," día"," días")&amp;" de retraso","Cumplida"),IF(N($M261)&gt;=1,"Cumplida",IF(NOT(ISNUMBER($AN261)),"Sin fecha límite",IF($AN261&lt;FechaRef,"Vencida hace "&amp;(FechaRef-$AN261)&amp;IF(FechaRef-$AN261=1," día"," días"),IF($AN261=FechaRef,"Vence hoy",IF($AN261-FechaRef&lt;=DiasAlerta,"Vence en "&amp;($AN261-FechaRef)&amp;IF($AN261-FechaRef=1," día"," días"),"En plazo")))))))</f>
        <v/>
      </c>
      <c r="P261" s="62" t="n"/>
      <c r="Q261" s="58" t="n"/>
      <c r="R261" s="63">
        <f>IF(NOT((COUNTA($B261:$D261)+COUNTA($G261:$L261)+COUNTA($Q261))&gt;0),"",IF((IF($C261="","Falta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",""))="","✔ OK","⚠ "&amp;LEFT(IF($C261="","Falta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",""),LEN(IF($C261="","Falta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",""))-3)))</f>
        <v/>
      </c>
      <c r="S261" s="64">
        <f>IF(NOT((COUNTA($B261:$D261)+COUNTA($G261:$L261)+COUNTA($Q261))&gt;0),"",IF(AND($V261="Sub",N($U261)&gt;0),IF(ISNUMBER(INDEX($AM$5:$AM$1000,$U261-4)),DATE(YEAR(INDEX($AM$5:$AM$1000,$U261-4)),MONTH(INDEX($AM$5:$AM$1000,$U261-4)),1),IF(ISNUMBER(INDEX($AN$5:$AN$1000,$U261-4)),DATE(YEAR(INDEX($AN$5:$AN$1000,$U261-4)),MONTH(INDEX($AN$5:$AN$1000,$U261-4)),1),MesCiclo)),IF(ISNUMBER($AM261),DATE(YEAR($AM261),MONTH($AM261),1),IF(ISNUMBER($AN261),DATE(YEAR($AN261),MONTH($AN261),1),MesCiclo))))</f>
        <v/>
      </c>
      <c r="T261" s="62">
        <f>IF(OR($S261="",$S261&lt;&gt;MesCiclo),"",COUNTIF($S$5:$S261,MesCiclo))</f>
        <v/>
      </c>
      <c r="U261" s="62">
        <f>IF($V261="","",IF($V261="Macro",ROW(),IFERROR(LOOKUP(2,1/($V$5:$V261="Macro"),ROW($V$5:$V261)),0)))</f>
        <v/>
      </c>
      <c r="V261" s="62">
        <f>IF(NOT((COUNTA($B261:$D261)+COUNTA($G261:$L261)+COUNTA($Q261))&gt;0),"",IF($B261="Subactividad","Sub","Macro"))</f>
        <v/>
      </c>
      <c r="W261" s="62">
        <f>IF($V261="Macro",COUNTIFS($U$5:$U$1000,ROW(),$V$5:$V$1000,"Sub"),"")</f>
        <v/>
      </c>
      <c r="X261" s="62">
        <f>IF($V261="","",IF(ISNUMBER($G261),1,IFERROR(LOOKUP(2,1/($I261:$L261&lt;&gt;""),$I261:$L261),0)))</f>
        <v/>
      </c>
      <c r="Y261" s="62">
        <f>IF($V261="","",IF(AND(ISNUMBER($G261),$G261&lt;=IF($S261=MesCiclo,InicioCiclo,$S261+MOD(2-WEEKDAY($S261),7))+6),1,IF(ISNUMBER($I261),$I261,0)))</f>
        <v/>
      </c>
      <c r="Z261" s="62">
        <f>IF($V261="","",IF(AND(ISNUMBER($G261),$G261&lt;=IF($S261=MesCiclo,InicioCiclo,$S261+MOD(2-WEEKDAY($S261),7))+13),1,IF(ISNUMBER($J261),$J261,$Y261)))</f>
        <v/>
      </c>
      <c r="AA261" s="62">
        <f>IF($V261="","",IF(AND(ISNUMBER($G261),$G261&lt;=IF($S261=MesCiclo,InicioCiclo,$S261+MOD(2-WEEKDAY($S261),7))+20),1,IF(ISNUMBER($K261),$K261,$Z261)))</f>
        <v/>
      </c>
      <c r="AB261" s="62">
        <f>IF($V261="","",IF(AND(ISNUMBER($G261),$G261&lt;=IF($S261=MesCiclo,InicioCiclo,$S261+MOD(2-WEEKDAY($S261),7))+27),1,IF(ISNUMBER($L261),$L261,$AA261)))</f>
        <v/>
      </c>
      <c r="AC261" s="62">
        <f>IF($V261="","",IF(AND(ISNUMBER($G261),$G261&lt;=IF($S261=MesCiclo,InicioCiclo,$S261+MOD(2-WEEKDAY($S261),7))+6),1,IF(N($W261)&gt;0,AVERAGEIFS($Y$5:$Y$1000,$U$5:$U$1000,ROW(),$V$5:$V$1000,"Sub"),$Y261)))</f>
        <v/>
      </c>
      <c r="AD261" s="62">
        <f>IF($V261="","",IF(AND(ISNUMBER($G261),$G261&lt;=IF($S261=MesCiclo,InicioCiclo,$S261+MOD(2-WEEKDAY($S261),7))+13),1,IF(N($W261)&gt;0,AVERAGEIFS($Z$5:$Z$1000,$U$5:$U$1000,ROW(),$V$5:$V$1000,"Sub"),$Z261)))</f>
        <v/>
      </c>
      <c r="AE261" s="62">
        <f>IF($V261="","",IF(AND(ISNUMBER($G261),$G261&lt;=IF($S261=MesCiclo,InicioCiclo,$S261+MOD(2-WEEKDAY($S261),7))+20),1,IF(N($W261)&gt;0,AVERAGEIFS($AA$5:$AA$1000,$U$5:$U$1000,ROW(),$V$5:$V$1000,"Sub"),$AA261)))</f>
        <v/>
      </c>
      <c r="AF261" s="62">
        <f>IF($V261="","",IF(AND(ISNUMBER($G261),$G261&lt;=IF($S261=MesCiclo,InicioCiclo,$S261+MOD(2-WEEKDAY($S261),7))+27),1,IF(N($W261)&gt;0,AVERAGEIFS($AB$5:$AB$1000,$U$5:$U$1000,ROW(),$V$5:$V$1000,"Sub"),$AB261)))</f>
        <v/>
      </c>
      <c r="AG261" s="62">
        <f>IF($V261&lt;&gt;"Macro","",IF(COUNTIFS($S$5:$S$1000,$S261,$V$5:$V$1000,"Macro",$H$5:$H$1000,"&gt;0")=0,1/COUNTIFS($S$5:$S$1000,$S261,$V$5:$V$1000,"Macro"),IF(AND(ISNUMBER($H261),N($H261)&gt;0),$H261,SUMIFS($H$5:$H$1000,$S$5:$S$1000,$S261,$V$5:$V$1000,"Macro")/COUNTIFS($S$5:$S$1000,$S261,$V$5:$V$1000,"Macro",$H$5:$H$1000,"&gt;0"))/(COUNTIFS($S$5:$S$1000,$S261,$V$5:$V$1000,"Macro")*SUMIFS($H$5:$H$1000,$S$5:$S$1000,$S261,$V$5:$V$1000,"Macro")/COUNTIFS($S$5:$S$1000,$S261,$V$5:$V$1000,"Macro",$H$5:$H$1000,"&gt;0"))))</f>
        <v/>
      </c>
      <c r="AH261" s="62" t="n"/>
      <c r="AI261" s="62" t="n"/>
      <c r="AJ261" s="62" t="n"/>
      <c r="AK261" s="62" t="n"/>
      <c r="AL261" s="62">
        <f>IF(LEFT($C261,11)="[Jefatura] ",IFERROR(MATCH("Asistente Técnico de Riesgo|"&amp;MID($C261,12,500),rDname_ADM,0),0),"")</f>
        <v/>
      </c>
      <c r="AM261" s="62">
        <f>IF(N($AL261)&gt;0,INDEX(rIni_ADM,$AL261),IF(ISNUMBER($E261),$E261,""))</f>
        <v/>
      </c>
      <c r="AN261" s="62">
        <f>IF(N($AL261)&gt;0,INDEX(rLim_ADM,$AL261),IF(ISNUMBER($F261),$F261,""))</f>
        <v/>
      </c>
    </row>
    <row r="262">
      <c r="A262" s="56">
        <f>IF(NOT((COUNTA($B262:$D262)+COUNTA($G262:$L262)+COUNTA($Q262))&gt;0),"",IF($V262="Macro",COUNTIFS($V$5:$V262,"Macro",$S$5:$S262,$S262),IF(N($U262)=0,"?",COUNTIFS(INDEX($V$5:$V$1000,1):INDEX($V$5:$V$1000,$U262-4),"Macro",INDEX($S$5:$S$1000,1):INDEX($S$5:$S$1000,$U262-4),INDEX($S$5:$S$1000,$U262-4))&amp;"."&amp;COUNTIFS($U$5:$U262,$U262,$V$5:$V262,"Sub"))))</f>
        <v/>
      </c>
      <c r="B262" s="57" t="n"/>
      <c r="C262" s="58" t="n"/>
      <c r="D262" s="58" t="n"/>
      <c r="E262" s="59">
        <f>IF(N($AL262)&gt;0,INDEX(rIni_ADM,$AL262),"")</f>
        <v/>
      </c>
      <c r="F262" s="59">
        <f>IF(N($AL262)&gt;0,INDEX(rLim_ADM,$AL262),"")</f>
        <v/>
      </c>
      <c r="G262" s="59" t="n"/>
      <c r="H262" s="60" t="n"/>
      <c r="I262" s="60" t="n"/>
      <c r="J262" s="60" t="n"/>
      <c r="K262" s="60" t="n"/>
      <c r="L262" s="60" t="n"/>
      <c r="M262" s="61">
        <f>IF(NOT((COUNTA($B262:$D262)+COUNTA($G262:$L262)+COUNTA($Q262))&gt;0),"",IF(ISNUMBER($G262),1,IF(N($W262)&gt;0,AVERAGEIFS($X$5:$X$1000,$U$5:$U$1000,ROW(),$V$5:$V$1000,"Sub"),$X262)))</f>
        <v/>
      </c>
      <c r="N262" s="56">
        <f>IF($M262="","",IF($M262&gt;=1,"Completado",IF($M262&gt;0,"En curso","Pendiente")))</f>
        <v/>
      </c>
      <c r="O262" s="56">
        <f>IF(NOT((COUNTA($B262:$D262)+COUNTA($G262:$L262)+COUNTA($Q262))&gt;0),"",IF(ISNUMBER($G262),IF(AND(ISNUMBER($AN262),$G262&gt;$AN262),"Cumplida con "&amp;($G262-$AN262)&amp;IF($G262-$AN262=1," día"," días")&amp;" de retraso","Cumplida"),IF(N($M262)&gt;=1,"Cumplida",IF(NOT(ISNUMBER($AN262)),"Sin fecha límite",IF($AN262&lt;FechaRef,"Vencida hace "&amp;(FechaRef-$AN262)&amp;IF(FechaRef-$AN262=1," día"," días"),IF($AN262=FechaRef,"Vence hoy",IF($AN262-FechaRef&lt;=DiasAlerta,"Vence en "&amp;($AN262-FechaRef)&amp;IF($AN262-FechaRef=1," día"," días"),"En plazo")))))))</f>
        <v/>
      </c>
      <c r="P262" s="62" t="n"/>
      <c r="Q262" s="58" t="n"/>
      <c r="R262" s="63">
        <f>IF(NOT((COUNTA($B262:$D262)+COUNTA($G262:$L262)+COUNTA($Q262))&gt;0),"",IF((IF($C262="","Falta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",""))="","✔ OK","⚠ "&amp;LEFT(IF($C262="","Falta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",""),LEN(IF($C262="","Falta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",""))-3)))</f>
        <v/>
      </c>
      <c r="S262" s="64">
        <f>IF(NOT((COUNTA($B262:$D262)+COUNTA($G262:$L262)+COUNTA($Q262))&gt;0),"",IF(AND($V262="Sub",N($U262)&gt;0),IF(ISNUMBER(INDEX($AM$5:$AM$1000,$U262-4)),DATE(YEAR(INDEX($AM$5:$AM$1000,$U262-4)),MONTH(INDEX($AM$5:$AM$1000,$U262-4)),1),IF(ISNUMBER(INDEX($AN$5:$AN$1000,$U262-4)),DATE(YEAR(INDEX($AN$5:$AN$1000,$U262-4)),MONTH(INDEX($AN$5:$AN$1000,$U262-4)),1),MesCiclo)),IF(ISNUMBER($AM262),DATE(YEAR($AM262),MONTH($AM262),1),IF(ISNUMBER($AN262),DATE(YEAR($AN262),MONTH($AN262),1),MesCiclo))))</f>
        <v/>
      </c>
      <c r="T262" s="62">
        <f>IF(OR($S262="",$S262&lt;&gt;MesCiclo),"",COUNTIF($S$5:$S262,MesCiclo))</f>
        <v/>
      </c>
      <c r="U262" s="62">
        <f>IF($V262="","",IF($V262="Macro",ROW(),IFERROR(LOOKUP(2,1/($V$5:$V262="Macro"),ROW($V$5:$V262)),0)))</f>
        <v/>
      </c>
      <c r="V262" s="62">
        <f>IF(NOT((COUNTA($B262:$D262)+COUNTA($G262:$L262)+COUNTA($Q262))&gt;0),"",IF($B262="Subactividad","Sub","Macro"))</f>
        <v/>
      </c>
      <c r="W262" s="62">
        <f>IF($V262="Macro",COUNTIFS($U$5:$U$1000,ROW(),$V$5:$V$1000,"Sub"),"")</f>
        <v/>
      </c>
      <c r="X262" s="62">
        <f>IF($V262="","",IF(ISNUMBER($G262),1,IFERROR(LOOKUP(2,1/($I262:$L262&lt;&gt;""),$I262:$L262),0)))</f>
        <v/>
      </c>
      <c r="Y262" s="62">
        <f>IF($V262="","",IF(AND(ISNUMBER($G262),$G262&lt;=IF($S262=MesCiclo,InicioCiclo,$S262+MOD(2-WEEKDAY($S262),7))+6),1,IF(ISNUMBER($I262),$I262,0)))</f>
        <v/>
      </c>
      <c r="Z262" s="62">
        <f>IF($V262="","",IF(AND(ISNUMBER($G262),$G262&lt;=IF($S262=MesCiclo,InicioCiclo,$S262+MOD(2-WEEKDAY($S262),7))+13),1,IF(ISNUMBER($J262),$J262,$Y262)))</f>
        <v/>
      </c>
      <c r="AA262" s="62">
        <f>IF($V262="","",IF(AND(ISNUMBER($G262),$G262&lt;=IF($S262=MesCiclo,InicioCiclo,$S262+MOD(2-WEEKDAY($S262),7))+20),1,IF(ISNUMBER($K262),$K262,$Z262)))</f>
        <v/>
      </c>
      <c r="AB262" s="62">
        <f>IF($V262="","",IF(AND(ISNUMBER($G262),$G262&lt;=IF($S262=MesCiclo,InicioCiclo,$S262+MOD(2-WEEKDAY($S262),7))+27),1,IF(ISNUMBER($L262),$L262,$AA262)))</f>
        <v/>
      </c>
      <c r="AC262" s="62">
        <f>IF($V262="","",IF(AND(ISNUMBER($G262),$G262&lt;=IF($S262=MesCiclo,InicioCiclo,$S262+MOD(2-WEEKDAY($S262),7))+6),1,IF(N($W262)&gt;0,AVERAGEIFS($Y$5:$Y$1000,$U$5:$U$1000,ROW(),$V$5:$V$1000,"Sub"),$Y262)))</f>
        <v/>
      </c>
      <c r="AD262" s="62">
        <f>IF($V262="","",IF(AND(ISNUMBER($G262),$G262&lt;=IF($S262=MesCiclo,InicioCiclo,$S262+MOD(2-WEEKDAY($S262),7))+13),1,IF(N($W262)&gt;0,AVERAGEIFS($Z$5:$Z$1000,$U$5:$U$1000,ROW(),$V$5:$V$1000,"Sub"),$Z262)))</f>
        <v/>
      </c>
      <c r="AE262" s="62">
        <f>IF($V262="","",IF(AND(ISNUMBER($G262),$G262&lt;=IF($S262=MesCiclo,InicioCiclo,$S262+MOD(2-WEEKDAY($S262),7))+20),1,IF(N($W262)&gt;0,AVERAGEIFS($AA$5:$AA$1000,$U$5:$U$1000,ROW(),$V$5:$V$1000,"Sub"),$AA262)))</f>
        <v/>
      </c>
      <c r="AF262" s="62">
        <f>IF($V262="","",IF(AND(ISNUMBER($G262),$G262&lt;=IF($S262=MesCiclo,InicioCiclo,$S262+MOD(2-WEEKDAY($S262),7))+27),1,IF(N($W262)&gt;0,AVERAGEIFS($AB$5:$AB$1000,$U$5:$U$1000,ROW(),$V$5:$V$1000,"Sub"),$AB262)))</f>
        <v/>
      </c>
      <c r="AG262" s="62">
        <f>IF($V262&lt;&gt;"Macro","",IF(COUNTIFS($S$5:$S$1000,$S262,$V$5:$V$1000,"Macro",$H$5:$H$1000,"&gt;0")=0,1/COUNTIFS($S$5:$S$1000,$S262,$V$5:$V$1000,"Macro"),IF(AND(ISNUMBER($H262),N($H262)&gt;0),$H262,SUMIFS($H$5:$H$1000,$S$5:$S$1000,$S262,$V$5:$V$1000,"Macro")/COUNTIFS($S$5:$S$1000,$S262,$V$5:$V$1000,"Macro",$H$5:$H$1000,"&gt;0"))/(COUNTIFS($S$5:$S$1000,$S262,$V$5:$V$1000,"Macro")*SUMIFS($H$5:$H$1000,$S$5:$S$1000,$S262,$V$5:$V$1000,"Macro")/COUNTIFS($S$5:$S$1000,$S262,$V$5:$V$1000,"Macro",$H$5:$H$1000,"&gt;0"))))</f>
        <v/>
      </c>
      <c r="AH262" s="62" t="n"/>
      <c r="AI262" s="62" t="n"/>
      <c r="AJ262" s="62" t="n"/>
      <c r="AK262" s="62" t="n"/>
      <c r="AL262" s="62">
        <f>IF(LEFT($C262,11)="[Jefatura] ",IFERROR(MATCH("Asistente Técnico de Riesgo|"&amp;MID($C262,12,500),rDname_ADM,0),0),"")</f>
        <v/>
      </c>
      <c r="AM262" s="62">
        <f>IF(N($AL262)&gt;0,INDEX(rIni_ADM,$AL262),IF(ISNUMBER($E262),$E262,""))</f>
        <v/>
      </c>
      <c r="AN262" s="62">
        <f>IF(N($AL262)&gt;0,INDEX(rLim_ADM,$AL262),IF(ISNUMBER($F262),$F262,""))</f>
        <v/>
      </c>
    </row>
    <row r="263">
      <c r="A263" s="56">
        <f>IF(NOT((COUNTA($B263:$D263)+COUNTA($G263:$L263)+COUNTA($Q263))&gt;0),"",IF($V263="Macro",COUNTIFS($V$5:$V263,"Macro",$S$5:$S263,$S263),IF(N($U263)=0,"?",COUNTIFS(INDEX($V$5:$V$1000,1):INDEX($V$5:$V$1000,$U263-4),"Macro",INDEX($S$5:$S$1000,1):INDEX($S$5:$S$1000,$U263-4),INDEX($S$5:$S$1000,$U263-4))&amp;"."&amp;COUNTIFS($U$5:$U263,$U263,$V$5:$V263,"Sub"))))</f>
        <v/>
      </c>
      <c r="B263" s="57" t="n"/>
      <c r="C263" s="58" t="n"/>
      <c r="D263" s="58" t="n"/>
      <c r="E263" s="59">
        <f>IF(N($AL263)&gt;0,INDEX(rIni_ADM,$AL263),"")</f>
        <v/>
      </c>
      <c r="F263" s="59">
        <f>IF(N($AL263)&gt;0,INDEX(rLim_ADM,$AL263),"")</f>
        <v/>
      </c>
      <c r="G263" s="59" t="n"/>
      <c r="H263" s="60" t="n"/>
      <c r="I263" s="60" t="n"/>
      <c r="J263" s="60" t="n"/>
      <c r="K263" s="60" t="n"/>
      <c r="L263" s="60" t="n"/>
      <c r="M263" s="61">
        <f>IF(NOT((COUNTA($B263:$D263)+COUNTA($G263:$L263)+COUNTA($Q263))&gt;0),"",IF(ISNUMBER($G263),1,IF(N($W263)&gt;0,AVERAGEIFS($X$5:$X$1000,$U$5:$U$1000,ROW(),$V$5:$V$1000,"Sub"),$X263)))</f>
        <v/>
      </c>
      <c r="N263" s="56">
        <f>IF($M263="","",IF($M263&gt;=1,"Completado",IF($M263&gt;0,"En curso","Pendiente")))</f>
        <v/>
      </c>
      <c r="O263" s="56">
        <f>IF(NOT((COUNTA($B263:$D263)+COUNTA($G263:$L263)+COUNTA($Q263))&gt;0),"",IF(ISNUMBER($G263),IF(AND(ISNUMBER($AN263),$G263&gt;$AN263),"Cumplida con "&amp;($G263-$AN263)&amp;IF($G263-$AN263=1," día"," días")&amp;" de retraso","Cumplida"),IF(N($M263)&gt;=1,"Cumplida",IF(NOT(ISNUMBER($AN263)),"Sin fecha límite",IF($AN263&lt;FechaRef,"Vencida hace "&amp;(FechaRef-$AN263)&amp;IF(FechaRef-$AN263=1," día"," días"),IF($AN263=FechaRef,"Vence hoy",IF($AN263-FechaRef&lt;=DiasAlerta,"Vence en "&amp;($AN263-FechaRef)&amp;IF($AN263-FechaRef=1," día"," días"),"En plazo")))))))</f>
        <v/>
      </c>
      <c r="P263" s="62" t="n"/>
      <c r="Q263" s="58" t="n"/>
      <c r="R263" s="63">
        <f>IF(NOT((COUNTA($B263:$D263)+COUNTA($G263:$L263)+COUNTA($Q263))&gt;0),"",IF((IF($C263="","Falta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",""))="","✔ OK","⚠ "&amp;LEFT(IF($C263="","Falta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",""),LEN(IF($C263="","Falta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",""))-3)))</f>
        <v/>
      </c>
      <c r="S263" s="64">
        <f>IF(NOT((COUNTA($B263:$D263)+COUNTA($G263:$L263)+COUNTA($Q263))&gt;0),"",IF(AND($V263="Sub",N($U263)&gt;0),IF(ISNUMBER(INDEX($AM$5:$AM$1000,$U263-4)),DATE(YEAR(INDEX($AM$5:$AM$1000,$U263-4)),MONTH(INDEX($AM$5:$AM$1000,$U263-4)),1),IF(ISNUMBER(INDEX($AN$5:$AN$1000,$U263-4)),DATE(YEAR(INDEX($AN$5:$AN$1000,$U263-4)),MONTH(INDEX($AN$5:$AN$1000,$U263-4)),1),MesCiclo)),IF(ISNUMBER($AM263),DATE(YEAR($AM263),MONTH($AM263),1),IF(ISNUMBER($AN263),DATE(YEAR($AN263),MONTH($AN263),1),MesCiclo))))</f>
        <v/>
      </c>
      <c r="T263" s="62">
        <f>IF(OR($S263="",$S263&lt;&gt;MesCiclo),"",COUNTIF($S$5:$S263,MesCiclo))</f>
        <v/>
      </c>
      <c r="U263" s="62">
        <f>IF($V263="","",IF($V263="Macro",ROW(),IFERROR(LOOKUP(2,1/($V$5:$V263="Macro"),ROW($V$5:$V263)),0)))</f>
        <v/>
      </c>
      <c r="V263" s="62">
        <f>IF(NOT((COUNTA($B263:$D263)+COUNTA($G263:$L263)+COUNTA($Q263))&gt;0),"",IF($B263="Subactividad","Sub","Macro"))</f>
        <v/>
      </c>
      <c r="W263" s="62">
        <f>IF($V263="Macro",COUNTIFS($U$5:$U$1000,ROW(),$V$5:$V$1000,"Sub"),"")</f>
        <v/>
      </c>
      <c r="X263" s="62">
        <f>IF($V263="","",IF(ISNUMBER($G263),1,IFERROR(LOOKUP(2,1/($I263:$L263&lt;&gt;""),$I263:$L263),0)))</f>
        <v/>
      </c>
      <c r="Y263" s="62">
        <f>IF($V263="","",IF(AND(ISNUMBER($G263),$G263&lt;=IF($S263=MesCiclo,InicioCiclo,$S263+MOD(2-WEEKDAY($S263),7))+6),1,IF(ISNUMBER($I263),$I263,0)))</f>
        <v/>
      </c>
      <c r="Z263" s="62">
        <f>IF($V263="","",IF(AND(ISNUMBER($G263),$G263&lt;=IF($S263=MesCiclo,InicioCiclo,$S263+MOD(2-WEEKDAY($S263),7))+13),1,IF(ISNUMBER($J263),$J263,$Y263)))</f>
        <v/>
      </c>
      <c r="AA263" s="62">
        <f>IF($V263="","",IF(AND(ISNUMBER($G263),$G263&lt;=IF($S263=MesCiclo,InicioCiclo,$S263+MOD(2-WEEKDAY($S263),7))+20),1,IF(ISNUMBER($K263),$K263,$Z263)))</f>
        <v/>
      </c>
      <c r="AB263" s="62">
        <f>IF($V263="","",IF(AND(ISNUMBER($G263),$G263&lt;=IF($S263=MesCiclo,InicioCiclo,$S263+MOD(2-WEEKDAY($S263),7))+27),1,IF(ISNUMBER($L263),$L263,$AA263)))</f>
        <v/>
      </c>
      <c r="AC263" s="62">
        <f>IF($V263="","",IF(AND(ISNUMBER($G263),$G263&lt;=IF($S263=MesCiclo,InicioCiclo,$S263+MOD(2-WEEKDAY($S263),7))+6),1,IF(N($W263)&gt;0,AVERAGEIFS($Y$5:$Y$1000,$U$5:$U$1000,ROW(),$V$5:$V$1000,"Sub"),$Y263)))</f>
        <v/>
      </c>
      <c r="AD263" s="62">
        <f>IF($V263="","",IF(AND(ISNUMBER($G263),$G263&lt;=IF($S263=MesCiclo,InicioCiclo,$S263+MOD(2-WEEKDAY($S263),7))+13),1,IF(N($W263)&gt;0,AVERAGEIFS($Z$5:$Z$1000,$U$5:$U$1000,ROW(),$V$5:$V$1000,"Sub"),$Z263)))</f>
        <v/>
      </c>
      <c r="AE263" s="62">
        <f>IF($V263="","",IF(AND(ISNUMBER($G263),$G263&lt;=IF($S263=MesCiclo,InicioCiclo,$S263+MOD(2-WEEKDAY($S263),7))+20),1,IF(N($W263)&gt;0,AVERAGEIFS($AA$5:$AA$1000,$U$5:$U$1000,ROW(),$V$5:$V$1000,"Sub"),$AA263)))</f>
        <v/>
      </c>
      <c r="AF263" s="62">
        <f>IF($V263="","",IF(AND(ISNUMBER($G263),$G263&lt;=IF($S263=MesCiclo,InicioCiclo,$S263+MOD(2-WEEKDAY($S263),7))+27),1,IF(N($W263)&gt;0,AVERAGEIFS($AB$5:$AB$1000,$U$5:$U$1000,ROW(),$V$5:$V$1000,"Sub"),$AB263)))</f>
        <v/>
      </c>
      <c r="AG263" s="62">
        <f>IF($V263&lt;&gt;"Macro","",IF(COUNTIFS($S$5:$S$1000,$S263,$V$5:$V$1000,"Macro",$H$5:$H$1000,"&gt;0")=0,1/COUNTIFS($S$5:$S$1000,$S263,$V$5:$V$1000,"Macro"),IF(AND(ISNUMBER($H263),N($H263)&gt;0),$H263,SUMIFS($H$5:$H$1000,$S$5:$S$1000,$S263,$V$5:$V$1000,"Macro")/COUNTIFS($S$5:$S$1000,$S263,$V$5:$V$1000,"Macro",$H$5:$H$1000,"&gt;0"))/(COUNTIFS($S$5:$S$1000,$S263,$V$5:$V$1000,"Macro")*SUMIFS($H$5:$H$1000,$S$5:$S$1000,$S263,$V$5:$V$1000,"Macro")/COUNTIFS($S$5:$S$1000,$S263,$V$5:$V$1000,"Macro",$H$5:$H$1000,"&gt;0"))))</f>
        <v/>
      </c>
      <c r="AH263" s="62" t="n"/>
      <c r="AI263" s="62" t="n"/>
      <c r="AJ263" s="62" t="n"/>
      <c r="AK263" s="62" t="n"/>
      <c r="AL263" s="62">
        <f>IF(LEFT($C263,11)="[Jefatura] ",IFERROR(MATCH("Asistente Técnico de Riesgo|"&amp;MID($C263,12,500),rDname_ADM,0),0),"")</f>
        <v/>
      </c>
      <c r="AM263" s="62">
        <f>IF(N($AL263)&gt;0,INDEX(rIni_ADM,$AL263),IF(ISNUMBER($E263),$E263,""))</f>
        <v/>
      </c>
      <c r="AN263" s="62">
        <f>IF(N($AL263)&gt;0,INDEX(rLim_ADM,$AL263),IF(ISNUMBER($F263),$F263,""))</f>
        <v/>
      </c>
    </row>
    <row r="264">
      <c r="A264" s="56">
        <f>IF(NOT((COUNTA($B264:$D264)+COUNTA($G264:$L264)+COUNTA($Q264))&gt;0),"",IF($V264="Macro",COUNTIFS($V$5:$V264,"Macro",$S$5:$S264,$S264),IF(N($U264)=0,"?",COUNTIFS(INDEX($V$5:$V$1000,1):INDEX($V$5:$V$1000,$U264-4),"Macro",INDEX($S$5:$S$1000,1):INDEX($S$5:$S$1000,$U264-4),INDEX($S$5:$S$1000,$U264-4))&amp;"."&amp;COUNTIFS($U$5:$U264,$U264,$V$5:$V264,"Sub"))))</f>
        <v/>
      </c>
      <c r="B264" s="57" t="n"/>
      <c r="C264" s="58" t="n"/>
      <c r="D264" s="58" t="n"/>
      <c r="E264" s="59">
        <f>IF(N($AL264)&gt;0,INDEX(rIni_ADM,$AL264),"")</f>
        <v/>
      </c>
      <c r="F264" s="59">
        <f>IF(N($AL264)&gt;0,INDEX(rLim_ADM,$AL264),"")</f>
        <v/>
      </c>
      <c r="G264" s="59" t="n"/>
      <c r="H264" s="60" t="n"/>
      <c r="I264" s="60" t="n"/>
      <c r="J264" s="60" t="n"/>
      <c r="K264" s="60" t="n"/>
      <c r="L264" s="60" t="n"/>
      <c r="M264" s="61">
        <f>IF(NOT((COUNTA($B264:$D264)+COUNTA($G264:$L264)+COUNTA($Q264))&gt;0),"",IF(ISNUMBER($G264),1,IF(N($W264)&gt;0,AVERAGEIFS($X$5:$X$1000,$U$5:$U$1000,ROW(),$V$5:$V$1000,"Sub"),$X264)))</f>
        <v/>
      </c>
      <c r="N264" s="56">
        <f>IF($M264="","",IF($M264&gt;=1,"Completado",IF($M264&gt;0,"En curso","Pendiente")))</f>
        <v/>
      </c>
      <c r="O264" s="56">
        <f>IF(NOT((COUNTA($B264:$D264)+COUNTA($G264:$L264)+COUNTA($Q264))&gt;0),"",IF(ISNUMBER($G264),IF(AND(ISNUMBER($AN264),$G264&gt;$AN264),"Cumplida con "&amp;($G264-$AN264)&amp;IF($G264-$AN264=1," día"," días")&amp;" de retraso","Cumplida"),IF(N($M264)&gt;=1,"Cumplida",IF(NOT(ISNUMBER($AN264)),"Sin fecha límite",IF($AN264&lt;FechaRef,"Vencida hace "&amp;(FechaRef-$AN264)&amp;IF(FechaRef-$AN264=1," día"," días"),IF($AN264=FechaRef,"Vence hoy",IF($AN264-FechaRef&lt;=DiasAlerta,"Vence en "&amp;($AN264-FechaRef)&amp;IF($AN264-FechaRef=1," día"," días"),"En plazo")))))))</f>
        <v/>
      </c>
      <c r="P264" s="62" t="n"/>
      <c r="Q264" s="58" t="n"/>
      <c r="R264" s="63">
        <f>IF(NOT((COUNTA($B264:$D264)+COUNTA($G264:$L264)+COUNTA($Q264))&gt;0),"",IF((IF($C264="","Falta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",""))="","✔ OK","⚠ "&amp;LEFT(IF($C264="","Falta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",""),LEN(IF($C264="","Falta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",""))-3)))</f>
        <v/>
      </c>
      <c r="S264" s="64">
        <f>IF(NOT((COUNTA($B264:$D264)+COUNTA($G264:$L264)+COUNTA($Q264))&gt;0),"",IF(AND($V264="Sub",N($U264)&gt;0),IF(ISNUMBER(INDEX($AM$5:$AM$1000,$U264-4)),DATE(YEAR(INDEX($AM$5:$AM$1000,$U264-4)),MONTH(INDEX($AM$5:$AM$1000,$U264-4)),1),IF(ISNUMBER(INDEX($AN$5:$AN$1000,$U264-4)),DATE(YEAR(INDEX($AN$5:$AN$1000,$U264-4)),MONTH(INDEX($AN$5:$AN$1000,$U264-4)),1),MesCiclo)),IF(ISNUMBER($AM264),DATE(YEAR($AM264),MONTH($AM264),1),IF(ISNUMBER($AN264),DATE(YEAR($AN264),MONTH($AN264),1),MesCiclo))))</f>
        <v/>
      </c>
      <c r="T264" s="62">
        <f>IF(OR($S264="",$S264&lt;&gt;MesCiclo),"",COUNTIF($S$5:$S264,MesCiclo))</f>
        <v/>
      </c>
      <c r="U264" s="62">
        <f>IF($V264="","",IF($V264="Macro",ROW(),IFERROR(LOOKUP(2,1/($V$5:$V264="Macro"),ROW($V$5:$V264)),0)))</f>
        <v/>
      </c>
      <c r="V264" s="62">
        <f>IF(NOT((COUNTA($B264:$D264)+COUNTA($G264:$L264)+COUNTA($Q264))&gt;0),"",IF($B264="Subactividad","Sub","Macro"))</f>
        <v/>
      </c>
      <c r="W264" s="62">
        <f>IF($V264="Macro",COUNTIFS($U$5:$U$1000,ROW(),$V$5:$V$1000,"Sub"),"")</f>
        <v/>
      </c>
      <c r="X264" s="62">
        <f>IF($V264="","",IF(ISNUMBER($G264),1,IFERROR(LOOKUP(2,1/($I264:$L264&lt;&gt;""),$I264:$L264),0)))</f>
        <v/>
      </c>
      <c r="Y264" s="62">
        <f>IF($V264="","",IF(AND(ISNUMBER($G264),$G264&lt;=IF($S264=MesCiclo,InicioCiclo,$S264+MOD(2-WEEKDAY($S264),7))+6),1,IF(ISNUMBER($I264),$I264,0)))</f>
        <v/>
      </c>
      <c r="Z264" s="62">
        <f>IF($V264="","",IF(AND(ISNUMBER($G264),$G264&lt;=IF($S264=MesCiclo,InicioCiclo,$S264+MOD(2-WEEKDAY($S264),7))+13),1,IF(ISNUMBER($J264),$J264,$Y264)))</f>
        <v/>
      </c>
      <c r="AA264" s="62">
        <f>IF($V264="","",IF(AND(ISNUMBER($G264),$G264&lt;=IF($S264=MesCiclo,InicioCiclo,$S264+MOD(2-WEEKDAY($S264),7))+20),1,IF(ISNUMBER($K264),$K264,$Z264)))</f>
        <v/>
      </c>
      <c r="AB264" s="62">
        <f>IF($V264="","",IF(AND(ISNUMBER($G264),$G264&lt;=IF($S264=MesCiclo,InicioCiclo,$S264+MOD(2-WEEKDAY($S264),7))+27),1,IF(ISNUMBER($L264),$L264,$AA264)))</f>
        <v/>
      </c>
      <c r="AC264" s="62">
        <f>IF($V264="","",IF(AND(ISNUMBER($G264),$G264&lt;=IF($S264=MesCiclo,InicioCiclo,$S264+MOD(2-WEEKDAY($S264),7))+6),1,IF(N($W264)&gt;0,AVERAGEIFS($Y$5:$Y$1000,$U$5:$U$1000,ROW(),$V$5:$V$1000,"Sub"),$Y264)))</f>
        <v/>
      </c>
      <c r="AD264" s="62">
        <f>IF($V264="","",IF(AND(ISNUMBER($G264),$G264&lt;=IF($S264=MesCiclo,InicioCiclo,$S264+MOD(2-WEEKDAY($S264),7))+13),1,IF(N($W264)&gt;0,AVERAGEIFS($Z$5:$Z$1000,$U$5:$U$1000,ROW(),$V$5:$V$1000,"Sub"),$Z264)))</f>
        <v/>
      </c>
      <c r="AE264" s="62">
        <f>IF($V264="","",IF(AND(ISNUMBER($G264),$G264&lt;=IF($S264=MesCiclo,InicioCiclo,$S264+MOD(2-WEEKDAY($S264),7))+20),1,IF(N($W264)&gt;0,AVERAGEIFS($AA$5:$AA$1000,$U$5:$U$1000,ROW(),$V$5:$V$1000,"Sub"),$AA264)))</f>
        <v/>
      </c>
      <c r="AF264" s="62">
        <f>IF($V264="","",IF(AND(ISNUMBER($G264),$G264&lt;=IF($S264=MesCiclo,InicioCiclo,$S264+MOD(2-WEEKDAY($S264),7))+27),1,IF(N($W264)&gt;0,AVERAGEIFS($AB$5:$AB$1000,$U$5:$U$1000,ROW(),$V$5:$V$1000,"Sub"),$AB264)))</f>
        <v/>
      </c>
      <c r="AG264" s="62">
        <f>IF($V264&lt;&gt;"Macro","",IF(COUNTIFS($S$5:$S$1000,$S264,$V$5:$V$1000,"Macro",$H$5:$H$1000,"&gt;0")=0,1/COUNTIFS($S$5:$S$1000,$S264,$V$5:$V$1000,"Macro"),IF(AND(ISNUMBER($H264),N($H264)&gt;0),$H264,SUMIFS($H$5:$H$1000,$S$5:$S$1000,$S264,$V$5:$V$1000,"Macro")/COUNTIFS($S$5:$S$1000,$S264,$V$5:$V$1000,"Macro",$H$5:$H$1000,"&gt;0"))/(COUNTIFS($S$5:$S$1000,$S264,$V$5:$V$1000,"Macro")*SUMIFS($H$5:$H$1000,$S$5:$S$1000,$S264,$V$5:$V$1000,"Macro")/COUNTIFS($S$5:$S$1000,$S264,$V$5:$V$1000,"Macro",$H$5:$H$1000,"&gt;0"))))</f>
        <v/>
      </c>
      <c r="AH264" s="62" t="n"/>
      <c r="AI264" s="62" t="n"/>
      <c r="AJ264" s="62" t="n"/>
      <c r="AK264" s="62" t="n"/>
      <c r="AL264" s="62">
        <f>IF(LEFT($C264,11)="[Jefatura] ",IFERROR(MATCH("Asistente Técnico de Riesgo|"&amp;MID($C264,12,500),rDname_ADM,0),0),"")</f>
        <v/>
      </c>
      <c r="AM264" s="62">
        <f>IF(N($AL264)&gt;0,INDEX(rIni_ADM,$AL264),IF(ISNUMBER($E264),$E264,""))</f>
        <v/>
      </c>
      <c r="AN264" s="62">
        <f>IF(N($AL264)&gt;0,INDEX(rLim_ADM,$AL264),IF(ISNUMBER($F264),$F264,""))</f>
        <v/>
      </c>
    </row>
    <row r="265">
      <c r="A265" s="56">
        <f>IF(NOT((COUNTA($B265:$D265)+COUNTA($G265:$L265)+COUNTA($Q265))&gt;0),"",IF($V265="Macro",COUNTIFS($V$5:$V265,"Macro",$S$5:$S265,$S265),IF(N($U265)=0,"?",COUNTIFS(INDEX($V$5:$V$1000,1):INDEX($V$5:$V$1000,$U265-4),"Macro",INDEX($S$5:$S$1000,1):INDEX($S$5:$S$1000,$U265-4),INDEX($S$5:$S$1000,$U265-4))&amp;"."&amp;COUNTIFS($U$5:$U265,$U265,$V$5:$V265,"Sub"))))</f>
        <v/>
      </c>
      <c r="B265" s="57" t="n"/>
      <c r="C265" s="58" t="n"/>
      <c r="D265" s="58" t="n"/>
      <c r="E265" s="59">
        <f>IF(N($AL265)&gt;0,INDEX(rIni_ADM,$AL265),"")</f>
        <v/>
      </c>
      <c r="F265" s="59">
        <f>IF(N($AL265)&gt;0,INDEX(rLim_ADM,$AL265),"")</f>
        <v/>
      </c>
      <c r="G265" s="59" t="n"/>
      <c r="H265" s="60" t="n"/>
      <c r="I265" s="60" t="n"/>
      <c r="J265" s="60" t="n"/>
      <c r="K265" s="60" t="n"/>
      <c r="L265" s="60" t="n"/>
      <c r="M265" s="61">
        <f>IF(NOT((COUNTA($B265:$D265)+COUNTA($G265:$L265)+COUNTA($Q265))&gt;0),"",IF(ISNUMBER($G265),1,IF(N($W265)&gt;0,AVERAGEIFS($X$5:$X$1000,$U$5:$U$1000,ROW(),$V$5:$V$1000,"Sub"),$X265)))</f>
        <v/>
      </c>
      <c r="N265" s="56">
        <f>IF($M265="","",IF($M265&gt;=1,"Completado",IF($M265&gt;0,"En curso","Pendiente")))</f>
        <v/>
      </c>
      <c r="O265" s="56">
        <f>IF(NOT((COUNTA($B265:$D265)+COUNTA($G265:$L265)+COUNTA($Q265))&gt;0),"",IF(ISNUMBER($G265),IF(AND(ISNUMBER($AN265),$G265&gt;$AN265),"Cumplida con "&amp;($G265-$AN265)&amp;IF($G265-$AN265=1," día"," días")&amp;" de retraso","Cumplida"),IF(N($M265)&gt;=1,"Cumplida",IF(NOT(ISNUMBER($AN265)),"Sin fecha límite",IF($AN265&lt;FechaRef,"Vencida hace "&amp;(FechaRef-$AN265)&amp;IF(FechaRef-$AN265=1," día"," días"),IF($AN265=FechaRef,"Vence hoy",IF($AN265-FechaRef&lt;=DiasAlerta,"Vence en "&amp;($AN265-FechaRef)&amp;IF($AN265-FechaRef=1," día"," días"),"En plazo")))))))</f>
        <v/>
      </c>
      <c r="P265" s="62" t="n"/>
      <c r="Q265" s="58" t="n"/>
      <c r="R265" s="63">
        <f>IF(NOT((COUNTA($B265:$D265)+COUNTA($G265:$L265)+COUNTA($Q265))&gt;0),"",IF((IF($C265="","Falta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",""))="","✔ OK","⚠ "&amp;LEFT(IF($C265="","Falta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",""),LEN(IF($C265="","Falta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",""))-3)))</f>
        <v/>
      </c>
      <c r="S265" s="64">
        <f>IF(NOT((COUNTA($B265:$D265)+COUNTA($G265:$L265)+COUNTA($Q265))&gt;0),"",IF(AND($V265="Sub",N($U265)&gt;0),IF(ISNUMBER(INDEX($AM$5:$AM$1000,$U265-4)),DATE(YEAR(INDEX($AM$5:$AM$1000,$U265-4)),MONTH(INDEX($AM$5:$AM$1000,$U265-4)),1),IF(ISNUMBER(INDEX($AN$5:$AN$1000,$U265-4)),DATE(YEAR(INDEX($AN$5:$AN$1000,$U265-4)),MONTH(INDEX($AN$5:$AN$1000,$U265-4)),1),MesCiclo)),IF(ISNUMBER($AM265),DATE(YEAR($AM265),MONTH($AM265),1),IF(ISNUMBER($AN265),DATE(YEAR($AN265),MONTH($AN265),1),MesCiclo))))</f>
        <v/>
      </c>
      <c r="T265" s="62">
        <f>IF(OR($S265="",$S265&lt;&gt;MesCiclo),"",COUNTIF($S$5:$S265,MesCiclo))</f>
        <v/>
      </c>
      <c r="U265" s="62">
        <f>IF($V265="","",IF($V265="Macro",ROW(),IFERROR(LOOKUP(2,1/($V$5:$V265="Macro"),ROW($V$5:$V265)),0)))</f>
        <v/>
      </c>
      <c r="V265" s="62">
        <f>IF(NOT((COUNTA($B265:$D265)+COUNTA($G265:$L265)+COUNTA($Q265))&gt;0),"",IF($B265="Subactividad","Sub","Macro"))</f>
        <v/>
      </c>
      <c r="W265" s="62">
        <f>IF($V265="Macro",COUNTIFS($U$5:$U$1000,ROW(),$V$5:$V$1000,"Sub"),"")</f>
        <v/>
      </c>
      <c r="X265" s="62">
        <f>IF($V265="","",IF(ISNUMBER($G265),1,IFERROR(LOOKUP(2,1/($I265:$L265&lt;&gt;""),$I265:$L265),0)))</f>
        <v/>
      </c>
      <c r="Y265" s="62">
        <f>IF($V265="","",IF(AND(ISNUMBER($G265),$G265&lt;=IF($S265=MesCiclo,InicioCiclo,$S265+MOD(2-WEEKDAY($S265),7))+6),1,IF(ISNUMBER($I265),$I265,0)))</f>
        <v/>
      </c>
      <c r="Z265" s="62">
        <f>IF($V265="","",IF(AND(ISNUMBER($G265),$G265&lt;=IF($S265=MesCiclo,InicioCiclo,$S265+MOD(2-WEEKDAY($S265),7))+13),1,IF(ISNUMBER($J265),$J265,$Y265)))</f>
        <v/>
      </c>
      <c r="AA265" s="62">
        <f>IF($V265="","",IF(AND(ISNUMBER($G265),$G265&lt;=IF($S265=MesCiclo,InicioCiclo,$S265+MOD(2-WEEKDAY($S265),7))+20),1,IF(ISNUMBER($K265),$K265,$Z265)))</f>
        <v/>
      </c>
      <c r="AB265" s="62">
        <f>IF($V265="","",IF(AND(ISNUMBER($G265),$G265&lt;=IF($S265=MesCiclo,InicioCiclo,$S265+MOD(2-WEEKDAY($S265),7))+27),1,IF(ISNUMBER($L265),$L265,$AA265)))</f>
        <v/>
      </c>
      <c r="AC265" s="62">
        <f>IF($V265="","",IF(AND(ISNUMBER($G265),$G265&lt;=IF($S265=MesCiclo,InicioCiclo,$S265+MOD(2-WEEKDAY($S265),7))+6),1,IF(N($W265)&gt;0,AVERAGEIFS($Y$5:$Y$1000,$U$5:$U$1000,ROW(),$V$5:$V$1000,"Sub"),$Y265)))</f>
        <v/>
      </c>
      <c r="AD265" s="62">
        <f>IF($V265="","",IF(AND(ISNUMBER($G265),$G265&lt;=IF($S265=MesCiclo,InicioCiclo,$S265+MOD(2-WEEKDAY($S265),7))+13),1,IF(N($W265)&gt;0,AVERAGEIFS($Z$5:$Z$1000,$U$5:$U$1000,ROW(),$V$5:$V$1000,"Sub"),$Z265)))</f>
        <v/>
      </c>
      <c r="AE265" s="62">
        <f>IF($V265="","",IF(AND(ISNUMBER($G265),$G265&lt;=IF($S265=MesCiclo,InicioCiclo,$S265+MOD(2-WEEKDAY($S265),7))+20),1,IF(N($W265)&gt;0,AVERAGEIFS($AA$5:$AA$1000,$U$5:$U$1000,ROW(),$V$5:$V$1000,"Sub"),$AA265)))</f>
        <v/>
      </c>
      <c r="AF265" s="62">
        <f>IF($V265="","",IF(AND(ISNUMBER($G265),$G265&lt;=IF($S265=MesCiclo,InicioCiclo,$S265+MOD(2-WEEKDAY($S265),7))+27),1,IF(N($W265)&gt;0,AVERAGEIFS($AB$5:$AB$1000,$U$5:$U$1000,ROW(),$V$5:$V$1000,"Sub"),$AB265)))</f>
        <v/>
      </c>
      <c r="AG265" s="62">
        <f>IF($V265&lt;&gt;"Macro","",IF(COUNTIFS($S$5:$S$1000,$S265,$V$5:$V$1000,"Macro",$H$5:$H$1000,"&gt;0")=0,1/COUNTIFS($S$5:$S$1000,$S265,$V$5:$V$1000,"Macro"),IF(AND(ISNUMBER($H265),N($H265)&gt;0),$H265,SUMIFS($H$5:$H$1000,$S$5:$S$1000,$S265,$V$5:$V$1000,"Macro")/COUNTIFS($S$5:$S$1000,$S265,$V$5:$V$1000,"Macro",$H$5:$H$1000,"&gt;0"))/(COUNTIFS($S$5:$S$1000,$S265,$V$5:$V$1000,"Macro")*SUMIFS($H$5:$H$1000,$S$5:$S$1000,$S265,$V$5:$V$1000,"Macro")/COUNTIFS($S$5:$S$1000,$S265,$V$5:$V$1000,"Macro",$H$5:$H$1000,"&gt;0"))))</f>
        <v/>
      </c>
      <c r="AH265" s="62" t="n"/>
      <c r="AI265" s="62" t="n"/>
      <c r="AJ265" s="62" t="n"/>
      <c r="AK265" s="62" t="n"/>
      <c r="AL265" s="62">
        <f>IF(LEFT($C265,11)="[Jefatura] ",IFERROR(MATCH("Asistente Técnico de Riesgo|"&amp;MID($C265,12,500),rDname_ADM,0),0),"")</f>
        <v/>
      </c>
      <c r="AM265" s="62">
        <f>IF(N($AL265)&gt;0,INDEX(rIni_ADM,$AL265),IF(ISNUMBER($E265),$E265,""))</f>
        <v/>
      </c>
      <c r="AN265" s="62">
        <f>IF(N($AL265)&gt;0,INDEX(rLim_ADM,$AL265),IF(ISNUMBER($F265),$F265,""))</f>
        <v/>
      </c>
    </row>
    <row r="266">
      <c r="A266" s="56">
        <f>IF(NOT((COUNTA($B266:$D266)+COUNTA($G266:$L266)+COUNTA($Q266))&gt;0),"",IF($V266="Macro",COUNTIFS($V$5:$V266,"Macro",$S$5:$S266,$S266),IF(N($U266)=0,"?",COUNTIFS(INDEX($V$5:$V$1000,1):INDEX($V$5:$V$1000,$U266-4),"Macro",INDEX($S$5:$S$1000,1):INDEX($S$5:$S$1000,$U266-4),INDEX($S$5:$S$1000,$U266-4))&amp;"."&amp;COUNTIFS($U$5:$U266,$U266,$V$5:$V266,"Sub"))))</f>
        <v/>
      </c>
      <c r="B266" s="57" t="n"/>
      <c r="C266" s="58" t="n"/>
      <c r="D266" s="58" t="n"/>
      <c r="E266" s="59">
        <f>IF(N($AL266)&gt;0,INDEX(rIni_ADM,$AL266),"")</f>
        <v/>
      </c>
      <c r="F266" s="59">
        <f>IF(N($AL266)&gt;0,INDEX(rLim_ADM,$AL266),"")</f>
        <v/>
      </c>
      <c r="G266" s="59" t="n"/>
      <c r="H266" s="60" t="n"/>
      <c r="I266" s="60" t="n"/>
      <c r="J266" s="60" t="n"/>
      <c r="K266" s="60" t="n"/>
      <c r="L266" s="60" t="n"/>
      <c r="M266" s="61">
        <f>IF(NOT((COUNTA($B266:$D266)+COUNTA($G266:$L266)+COUNTA($Q266))&gt;0),"",IF(ISNUMBER($G266),1,IF(N($W266)&gt;0,AVERAGEIFS($X$5:$X$1000,$U$5:$U$1000,ROW(),$V$5:$V$1000,"Sub"),$X266)))</f>
        <v/>
      </c>
      <c r="N266" s="56">
        <f>IF($M266="","",IF($M266&gt;=1,"Completado",IF($M266&gt;0,"En curso","Pendiente")))</f>
        <v/>
      </c>
      <c r="O266" s="56">
        <f>IF(NOT((COUNTA($B266:$D266)+COUNTA($G266:$L266)+COUNTA($Q266))&gt;0),"",IF(ISNUMBER($G266),IF(AND(ISNUMBER($AN266),$G266&gt;$AN266),"Cumplida con "&amp;($G266-$AN266)&amp;IF($G266-$AN266=1," día"," días")&amp;" de retraso","Cumplida"),IF(N($M266)&gt;=1,"Cumplida",IF(NOT(ISNUMBER($AN266)),"Sin fecha límite",IF($AN266&lt;FechaRef,"Vencida hace "&amp;(FechaRef-$AN266)&amp;IF(FechaRef-$AN266=1," día"," días"),IF($AN266=FechaRef,"Vence hoy",IF($AN266-FechaRef&lt;=DiasAlerta,"Vence en "&amp;($AN266-FechaRef)&amp;IF($AN266-FechaRef=1," día"," días"),"En plazo")))))))</f>
        <v/>
      </c>
      <c r="P266" s="62" t="n"/>
      <c r="Q266" s="58" t="n"/>
      <c r="R266" s="63">
        <f>IF(NOT((COUNTA($B266:$D266)+COUNTA($G266:$L266)+COUNTA($Q266))&gt;0),"",IF((IF($C266="","Falta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",""))="","✔ OK","⚠ "&amp;LEFT(IF($C266="","Falta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",""),LEN(IF($C266="","Falta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",""))-3)))</f>
        <v/>
      </c>
      <c r="S266" s="64">
        <f>IF(NOT((COUNTA($B266:$D266)+COUNTA($G266:$L266)+COUNTA($Q266))&gt;0),"",IF(AND($V266="Sub",N($U266)&gt;0),IF(ISNUMBER(INDEX($AM$5:$AM$1000,$U266-4)),DATE(YEAR(INDEX($AM$5:$AM$1000,$U266-4)),MONTH(INDEX($AM$5:$AM$1000,$U266-4)),1),IF(ISNUMBER(INDEX($AN$5:$AN$1000,$U266-4)),DATE(YEAR(INDEX($AN$5:$AN$1000,$U266-4)),MONTH(INDEX($AN$5:$AN$1000,$U266-4)),1),MesCiclo)),IF(ISNUMBER($AM266),DATE(YEAR($AM266),MONTH($AM266),1),IF(ISNUMBER($AN266),DATE(YEAR($AN266),MONTH($AN266),1),MesCiclo))))</f>
        <v/>
      </c>
      <c r="T266" s="62">
        <f>IF(OR($S266="",$S266&lt;&gt;MesCiclo),"",COUNTIF($S$5:$S266,MesCiclo))</f>
        <v/>
      </c>
      <c r="U266" s="62">
        <f>IF($V266="","",IF($V266="Macro",ROW(),IFERROR(LOOKUP(2,1/($V$5:$V266="Macro"),ROW($V$5:$V266)),0)))</f>
        <v/>
      </c>
      <c r="V266" s="62">
        <f>IF(NOT((COUNTA($B266:$D266)+COUNTA($G266:$L266)+COUNTA($Q266))&gt;0),"",IF($B266="Subactividad","Sub","Macro"))</f>
        <v/>
      </c>
      <c r="W266" s="62">
        <f>IF($V266="Macro",COUNTIFS($U$5:$U$1000,ROW(),$V$5:$V$1000,"Sub"),"")</f>
        <v/>
      </c>
      <c r="X266" s="62">
        <f>IF($V266="","",IF(ISNUMBER($G266),1,IFERROR(LOOKUP(2,1/($I266:$L266&lt;&gt;""),$I266:$L266),0)))</f>
        <v/>
      </c>
      <c r="Y266" s="62">
        <f>IF($V266="","",IF(AND(ISNUMBER($G266),$G266&lt;=IF($S266=MesCiclo,InicioCiclo,$S266+MOD(2-WEEKDAY($S266),7))+6),1,IF(ISNUMBER($I266),$I266,0)))</f>
        <v/>
      </c>
      <c r="Z266" s="62">
        <f>IF($V266="","",IF(AND(ISNUMBER($G266),$G266&lt;=IF($S266=MesCiclo,InicioCiclo,$S266+MOD(2-WEEKDAY($S266),7))+13),1,IF(ISNUMBER($J266),$J266,$Y266)))</f>
        <v/>
      </c>
      <c r="AA266" s="62">
        <f>IF($V266="","",IF(AND(ISNUMBER($G266),$G266&lt;=IF($S266=MesCiclo,InicioCiclo,$S266+MOD(2-WEEKDAY($S266),7))+20),1,IF(ISNUMBER($K266),$K266,$Z266)))</f>
        <v/>
      </c>
      <c r="AB266" s="62">
        <f>IF($V266="","",IF(AND(ISNUMBER($G266),$G266&lt;=IF($S266=MesCiclo,InicioCiclo,$S266+MOD(2-WEEKDAY($S266),7))+27),1,IF(ISNUMBER($L266),$L266,$AA266)))</f>
        <v/>
      </c>
      <c r="AC266" s="62">
        <f>IF($V266="","",IF(AND(ISNUMBER($G266),$G266&lt;=IF($S266=MesCiclo,InicioCiclo,$S266+MOD(2-WEEKDAY($S266),7))+6),1,IF(N($W266)&gt;0,AVERAGEIFS($Y$5:$Y$1000,$U$5:$U$1000,ROW(),$V$5:$V$1000,"Sub"),$Y266)))</f>
        <v/>
      </c>
      <c r="AD266" s="62">
        <f>IF($V266="","",IF(AND(ISNUMBER($G266),$G266&lt;=IF($S266=MesCiclo,InicioCiclo,$S266+MOD(2-WEEKDAY($S266),7))+13),1,IF(N($W266)&gt;0,AVERAGEIFS($Z$5:$Z$1000,$U$5:$U$1000,ROW(),$V$5:$V$1000,"Sub"),$Z266)))</f>
        <v/>
      </c>
      <c r="AE266" s="62">
        <f>IF($V266="","",IF(AND(ISNUMBER($G266),$G266&lt;=IF($S266=MesCiclo,InicioCiclo,$S266+MOD(2-WEEKDAY($S266),7))+20),1,IF(N($W266)&gt;0,AVERAGEIFS($AA$5:$AA$1000,$U$5:$U$1000,ROW(),$V$5:$V$1000,"Sub"),$AA266)))</f>
        <v/>
      </c>
      <c r="AF266" s="62">
        <f>IF($V266="","",IF(AND(ISNUMBER($G266),$G266&lt;=IF($S266=MesCiclo,InicioCiclo,$S266+MOD(2-WEEKDAY($S266),7))+27),1,IF(N($W266)&gt;0,AVERAGEIFS($AB$5:$AB$1000,$U$5:$U$1000,ROW(),$V$5:$V$1000,"Sub"),$AB266)))</f>
        <v/>
      </c>
      <c r="AG266" s="62">
        <f>IF($V266&lt;&gt;"Macro","",IF(COUNTIFS($S$5:$S$1000,$S266,$V$5:$V$1000,"Macro",$H$5:$H$1000,"&gt;0")=0,1/COUNTIFS($S$5:$S$1000,$S266,$V$5:$V$1000,"Macro"),IF(AND(ISNUMBER($H266),N($H266)&gt;0),$H266,SUMIFS($H$5:$H$1000,$S$5:$S$1000,$S266,$V$5:$V$1000,"Macro")/COUNTIFS($S$5:$S$1000,$S266,$V$5:$V$1000,"Macro",$H$5:$H$1000,"&gt;0"))/(COUNTIFS($S$5:$S$1000,$S266,$V$5:$V$1000,"Macro")*SUMIFS($H$5:$H$1000,$S$5:$S$1000,$S266,$V$5:$V$1000,"Macro")/COUNTIFS($S$5:$S$1000,$S266,$V$5:$V$1000,"Macro",$H$5:$H$1000,"&gt;0"))))</f>
        <v/>
      </c>
      <c r="AH266" s="62" t="n"/>
      <c r="AI266" s="62" t="n"/>
      <c r="AJ266" s="62" t="n"/>
      <c r="AK266" s="62" t="n"/>
      <c r="AL266" s="62">
        <f>IF(LEFT($C266,11)="[Jefatura] ",IFERROR(MATCH("Asistente Técnico de Riesgo|"&amp;MID($C266,12,500),rDname_ADM,0),0),"")</f>
        <v/>
      </c>
      <c r="AM266" s="62">
        <f>IF(N($AL266)&gt;0,INDEX(rIni_ADM,$AL266),IF(ISNUMBER($E266),$E266,""))</f>
        <v/>
      </c>
      <c r="AN266" s="62">
        <f>IF(N($AL266)&gt;0,INDEX(rLim_ADM,$AL266),IF(ISNUMBER($F266),$F266,""))</f>
        <v/>
      </c>
    </row>
    <row r="267">
      <c r="A267" s="56">
        <f>IF(NOT((COUNTA($B267:$D267)+COUNTA($G267:$L267)+COUNTA($Q267))&gt;0),"",IF($V267="Macro",COUNTIFS($V$5:$V267,"Macro",$S$5:$S267,$S267),IF(N($U267)=0,"?",COUNTIFS(INDEX($V$5:$V$1000,1):INDEX($V$5:$V$1000,$U267-4),"Macro",INDEX($S$5:$S$1000,1):INDEX($S$5:$S$1000,$U267-4),INDEX($S$5:$S$1000,$U267-4))&amp;"."&amp;COUNTIFS($U$5:$U267,$U267,$V$5:$V267,"Sub"))))</f>
        <v/>
      </c>
      <c r="B267" s="57" t="n"/>
      <c r="C267" s="58" t="n"/>
      <c r="D267" s="58" t="n"/>
      <c r="E267" s="59">
        <f>IF(N($AL267)&gt;0,INDEX(rIni_ADM,$AL267),"")</f>
        <v/>
      </c>
      <c r="F267" s="59">
        <f>IF(N($AL267)&gt;0,INDEX(rLim_ADM,$AL267),"")</f>
        <v/>
      </c>
      <c r="G267" s="59" t="n"/>
      <c r="H267" s="60" t="n"/>
      <c r="I267" s="60" t="n"/>
      <c r="J267" s="60" t="n"/>
      <c r="K267" s="60" t="n"/>
      <c r="L267" s="60" t="n"/>
      <c r="M267" s="61">
        <f>IF(NOT((COUNTA($B267:$D267)+COUNTA($G267:$L267)+COUNTA($Q267))&gt;0),"",IF(ISNUMBER($G267),1,IF(N($W267)&gt;0,AVERAGEIFS($X$5:$X$1000,$U$5:$U$1000,ROW(),$V$5:$V$1000,"Sub"),$X267)))</f>
        <v/>
      </c>
      <c r="N267" s="56">
        <f>IF($M267="","",IF($M267&gt;=1,"Completado",IF($M267&gt;0,"En curso","Pendiente")))</f>
        <v/>
      </c>
      <c r="O267" s="56">
        <f>IF(NOT((COUNTA($B267:$D267)+COUNTA($G267:$L267)+COUNTA($Q267))&gt;0),"",IF(ISNUMBER($G267),IF(AND(ISNUMBER($AN267),$G267&gt;$AN267),"Cumplida con "&amp;($G267-$AN267)&amp;IF($G267-$AN267=1," día"," días")&amp;" de retraso","Cumplida"),IF(N($M267)&gt;=1,"Cumplida",IF(NOT(ISNUMBER($AN267)),"Sin fecha límite",IF($AN267&lt;FechaRef,"Vencida hace "&amp;(FechaRef-$AN267)&amp;IF(FechaRef-$AN267=1," día"," días"),IF($AN267=FechaRef,"Vence hoy",IF($AN267-FechaRef&lt;=DiasAlerta,"Vence en "&amp;($AN267-FechaRef)&amp;IF($AN267-FechaRef=1," día"," días"),"En plazo")))))))</f>
        <v/>
      </c>
      <c r="P267" s="62" t="n"/>
      <c r="Q267" s="58" t="n"/>
      <c r="R267" s="63">
        <f>IF(NOT((COUNTA($B267:$D267)+COUNTA($G267:$L267)+COUNTA($Q267))&gt;0),"",IF((IF($C267="","Falta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",""))="","✔ OK","⚠ "&amp;LEFT(IF($C267="","Falta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",""),LEN(IF($C267="","Falta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",""))-3)))</f>
        <v/>
      </c>
      <c r="S267" s="64">
        <f>IF(NOT((COUNTA($B267:$D267)+COUNTA($G267:$L267)+COUNTA($Q267))&gt;0),"",IF(AND($V267="Sub",N($U267)&gt;0),IF(ISNUMBER(INDEX($AM$5:$AM$1000,$U267-4)),DATE(YEAR(INDEX($AM$5:$AM$1000,$U267-4)),MONTH(INDEX($AM$5:$AM$1000,$U267-4)),1),IF(ISNUMBER(INDEX($AN$5:$AN$1000,$U267-4)),DATE(YEAR(INDEX($AN$5:$AN$1000,$U267-4)),MONTH(INDEX($AN$5:$AN$1000,$U267-4)),1),MesCiclo)),IF(ISNUMBER($AM267),DATE(YEAR($AM267),MONTH($AM267),1),IF(ISNUMBER($AN267),DATE(YEAR($AN267),MONTH($AN267),1),MesCiclo))))</f>
        <v/>
      </c>
      <c r="T267" s="62">
        <f>IF(OR($S267="",$S267&lt;&gt;MesCiclo),"",COUNTIF($S$5:$S267,MesCiclo))</f>
        <v/>
      </c>
      <c r="U267" s="62">
        <f>IF($V267="","",IF($V267="Macro",ROW(),IFERROR(LOOKUP(2,1/($V$5:$V267="Macro"),ROW($V$5:$V267)),0)))</f>
        <v/>
      </c>
      <c r="V267" s="62">
        <f>IF(NOT((COUNTA($B267:$D267)+COUNTA($G267:$L267)+COUNTA($Q267))&gt;0),"",IF($B267="Subactividad","Sub","Macro"))</f>
        <v/>
      </c>
      <c r="W267" s="62">
        <f>IF($V267="Macro",COUNTIFS($U$5:$U$1000,ROW(),$V$5:$V$1000,"Sub"),"")</f>
        <v/>
      </c>
      <c r="X267" s="62">
        <f>IF($V267="","",IF(ISNUMBER($G267),1,IFERROR(LOOKUP(2,1/($I267:$L267&lt;&gt;""),$I267:$L267),0)))</f>
        <v/>
      </c>
      <c r="Y267" s="62">
        <f>IF($V267="","",IF(AND(ISNUMBER($G267),$G267&lt;=IF($S267=MesCiclo,InicioCiclo,$S267+MOD(2-WEEKDAY($S267),7))+6),1,IF(ISNUMBER($I267),$I267,0)))</f>
        <v/>
      </c>
      <c r="Z267" s="62">
        <f>IF($V267="","",IF(AND(ISNUMBER($G267),$G267&lt;=IF($S267=MesCiclo,InicioCiclo,$S267+MOD(2-WEEKDAY($S267),7))+13),1,IF(ISNUMBER($J267),$J267,$Y267)))</f>
        <v/>
      </c>
      <c r="AA267" s="62">
        <f>IF($V267="","",IF(AND(ISNUMBER($G267),$G267&lt;=IF($S267=MesCiclo,InicioCiclo,$S267+MOD(2-WEEKDAY($S267),7))+20),1,IF(ISNUMBER($K267),$K267,$Z267)))</f>
        <v/>
      </c>
      <c r="AB267" s="62">
        <f>IF($V267="","",IF(AND(ISNUMBER($G267),$G267&lt;=IF($S267=MesCiclo,InicioCiclo,$S267+MOD(2-WEEKDAY($S267),7))+27),1,IF(ISNUMBER($L267),$L267,$AA267)))</f>
        <v/>
      </c>
      <c r="AC267" s="62">
        <f>IF($V267="","",IF(AND(ISNUMBER($G267),$G267&lt;=IF($S267=MesCiclo,InicioCiclo,$S267+MOD(2-WEEKDAY($S267),7))+6),1,IF(N($W267)&gt;0,AVERAGEIFS($Y$5:$Y$1000,$U$5:$U$1000,ROW(),$V$5:$V$1000,"Sub"),$Y267)))</f>
        <v/>
      </c>
      <c r="AD267" s="62">
        <f>IF($V267="","",IF(AND(ISNUMBER($G267),$G267&lt;=IF($S267=MesCiclo,InicioCiclo,$S267+MOD(2-WEEKDAY($S267),7))+13),1,IF(N($W267)&gt;0,AVERAGEIFS($Z$5:$Z$1000,$U$5:$U$1000,ROW(),$V$5:$V$1000,"Sub"),$Z267)))</f>
        <v/>
      </c>
      <c r="AE267" s="62">
        <f>IF($V267="","",IF(AND(ISNUMBER($G267),$G267&lt;=IF($S267=MesCiclo,InicioCiclo,$S267+MOD(2-WEEKDAY($S267),7))+20),1,IF(N($W267)&gt;0,AVERAGEIFS($AA$5:$AA$1000,$U$5:$U$1000,ROW(),$V$5:$V$1000,"Sub"),$AA267)))</f>
        <v/>
      </c>
      <c r="AF267" s="62">
        <f>IF($V267="","",IF(AND(ISNUMBER($G267),$G267&lt;=IF($S267=MesCiclo,InicioCiclo,$S267+MOD(2-WEEKDAY($S267),7))+27),1,IF(N($W267)&gt;0,AVERAGEIFS($AB$5:$AB$1000,$U$5:$U$1000,ROW(),$V$5:$V$1000,"Sub"),$AB267)))</f>
        <v/>
      </c>
      <c r="AG267" s="62">
        <f>IF($V267&lt;&gt;"Macro","",IF(COUNTIFS($S$5:$S$1000,$S267,$V$5:$V$1000,"Macro",$H$5:$H$1000,"&gt;0")=0,1/COUNTIFS($S$5:$S$1000,$S267,$V$5:$V$1000,"Macro"),IF(AND(ISNUMBER($H267),N($H267)&gt;0),$H267,SUMIFS($H$5:$H$1000,$S$5:$S$1000,$S267,$V$5:$V$1000,"Macro")/COUNTIFS($S$5:$S$1000,$S267,$V$5:$V$1000,"Macro",$H$5:$H$1000,"&gt;0"))/(COUNTIFS($S$5:$S$1000,$S267,$V$5:$V$1000,"Macro")*SUMIFS($H$5:$H$1000,$S$5:$S$1000,$S267,$V$5:$V$1000,"Macro")/COUNTIFS($S$5:$S$1000,$S267,$V$5:$V$1000,"Macro",$H$5:$H$1000,"&gt;0"))))</f>
        <v/>
      </c>
      <c r="AH267" s="62" t="n"/>
      <c r="AI267" s="62" t="n"/>
      <c r="AJ267" s="62" t="n"/>
      <c r="AK267" s="62" t="n"/>
      <c r="AL267" s="62">
        <f>IF(LEFT($C267,11)="[Jefatura] ",IFERROR(MATCH("Asistente Técnico de Riesgo|"&amp;MID($C267,12,500),rDname_ADM,0),0),"")</f>
        <v/>
      </c>
      <c r="AM267" s="62">
        <f>IF(N($AL267)&gt;0,INDEX(rIni_ADM,$AL267),IF(ISNUMBER($E267),$E267,""))</f>
        <v/>
      </c>
      <c r="AN267" s="62">
        <f>IF(N($AL267)&gt;0,INDEX(rLim_ADM,$AL267),IF(ISNUMBER($F267),$F267,""))</f>
        <v/>
      </c>
    </row>
    <row r="268">
      <c r="A268" s="56">
        <f>IF(NOT((COUNTA($B268:$D268)+COUNTA($G268:$L268)+COUNTA($Q268))&gt;0),"",IF($V268="Macro",COUNTIFS($V$5:$V268,"Macro",$S$5:$S268,$S268),IF(N($U268)=0,"?",COUNTIFS(INDEX($V$5:$V$1000,1):INDEX($V$5:$V$1000,$U268-4),"Macro",INDEX($S$5:$S$1000,1):INDEX($S$5:$S$1000,$U268-4),INDEX($S$5:$S$1000,$U268-4))&amp;"."&amp;COUNTIFS($U$5:$U268,$U268,$V$5:$V268,"Sub"))))</f>
        <v/>
      </c>
      <c r="B268" s="57" t="n"/>
      <c r="C268" s="58" t="n"/>
      <c r="D268" s="58" t="n"/>
      <c r="E268" s="59">
        <f>IF(N($AL268)&gt;0,INDEX(rIni_ADM,$AL268),"")</f>
        <v/>
      </c>
      <c r="F268" s="59">
        <f>IF(N($AL268)&gt;0,INDEX(rLim_ADM,$AL268),"")</f>
        <v/>
      </c>
      <c r="G268" s="59" t="n"/>
      <c r="H268" s="60" t="n"/>
      <c r="I268" s="60" t="n"/>
      <c r="J268" s="60" t="n"/>
      <c r="K268" s="60" t="n"/>
      <c r="L268" s="60" t="n"/>
      <c r="M268" s="61">
        <f>IF(NOT((COUNTA($B268:$D268)+COUNTA($G268:$L268)+COUNTA($Q268))&gt;0),"",IF(ISNUMBER($G268),1,IF(N($W268)&gt;0,AVERAGEIFS($X$5:$X$1000,$U$5:$U$1000,ROW(),$V$5:$V$1000,"Sub"),$X268)))</f>
        <v/>
      </c>
      <c r="N268" s="56">
        <f>IF($M268="","",IF($M268&gt;=1,"Completado",IF($M268&gt;0,"En curso","Pendiente")))</f>
        <v/>
      </c>
      <c r="O268" s="56">
        <f>IF(NOT((COUNTA($B268:$D268)+COUNTA($G268:$L268)+COUNTA($Q268))&gt;0),"",IF(ISNUMBER($G268),IF(AND(ISNUMBER($AN268),$G268&gt;$AN268),"Cumplida con "&amp;($G268-$AN268)&amp;IF($G268-$AN268=1," día"," días")&amp;" de retraso","Cumplida"),IF(N($M268)&gt;=1,"Cumplida",IF(NOT(ISNUMBER($AN268)),"Sin fecha límite",IF($AN268&lt;FechaRef,"Vencida hace "&amp;(FechaRef-$AN268)&amp;IF(FechaRef-$AN268=1," día"," días"),IF($AN268=FechaRef,"Vence hoy",IF($AN268-FechaRef&lt;=DiasAlerta,"Vence en "&amp;($AN268-FechaRef)&amp;IF($AN268-FechaRef=1," día"," días"),"En plazo")))))))</f>
        <v/>
      </c>
      <c r="P268" s="62" t="n"/>
      <c r="Q268" s="58" t="n"/>
      <c r="R268" s="63">
        <f>IF(NOT((COUNTA($B268:$D268)+COUNTA($G268:$L268)+COUNTA($Q268))&gt;0),"",IF((IF($C268="","Falta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",""))="","✔ OK","⚠ "&amp;LEFT(IF($C268="","Falta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",""),LEN(IF($C268="","Falta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",""))-3)))</f>
        <v/>
      </c>
      <c r="S268" s="64">
        <f>IF(NOT((COUNTA($B268:$D268)+COUNTA($G268:$L268)+COUNTA($Q268))&gt;0),"",IF(AND($V268="Sub",N($U268)&gt;0),IF(ISNUMBER(INDEX($AM$5:$AM$1000,$U268-4)),DATE(YEAR(INDEX($AM$5:$AM$1000,$U268-4)),MONTH(INDEX($AM$5:$AM$1000,$U268-4)),1),IF(ISNUMBER(INDEX($AN$5:$AN$1000,$U268-4)),DATE(YEAR(INDEX($AN$5:$AN$1000,$U268-4)),MONTH(INDEX($AN$5:$AN$1000,$U268-4)),1),MesCiclo)),IF(ISNUMBER($AM268),DATE(YEAR($AM268),MONTH($AM268),1),IF(ISNUMBER($AN268),DATE(YEAR($AN268),MONTH($AN268),1),MesCiclo))))</f>
        <v/>
      </c>
      <c r="T268" s="62">
        <f>IF(OR($S268="",$S268&lt;&gt;MesCiclo),"",COUNTIF($S$5:$S268,MesCiclo))</f>
        <v/>
      </c>
      <c r="U268" s="62">
        <f>IF($V268="","",IF($V268="Macro",ROW(),IFERROR(LOOKUP(2,1/($V$5:$V268="Macro"),ROW($V$5:$V268)),0)))</f>
        <v/>
      </c>
      <c r="V268" s="62">
        <f>IF(NOT((COUNTA($B268:$D268)+COUNTA($G268:$L268)+COUNTA($Q268))&gt;0),"",IF($B268="Subactividad","Sub","Macro"))</f>
        <v/>
      </c>
      <c r="W268" s="62">
        <f>IF($V268="Macro",COUNTIFS($U$5:$U$1000,ROW(),$V$5:$V$1000,"Sub"),"")</f>
        <v/>
      </c>
      <c r="X268" s="62">
        <f>IF($V268="","",IF(ISNUMBER($G268),1,IFERROR(LOOKUP(2,1/($I268:$L268&lt;&gt;""),$I268:$L268),0)))</f>
        <v/>
      </c>
      <c r="Y268" s="62">
        <f>IF($V268="","",IF(AND(ISNUMBER($G268),$G268&lt;=IF($S268=MesCiclo,InicioCiclo,$S268+MOD(2-WEEKDAY($S268),7))+6),1,IF(ISNUMBER($I268),$I268,0)))</f>
        <v/>
      </c>
      <c r="Z268" s="62">
        <f>IF($V268="","",IF(AND(ISNUMBER($G268),$G268&lt;=IF($S268=MesCiclo,InicioCiclo,$S268+MOD(2-WEEKDAY($S268),7))+13),1,IF(ISNUMBER($J268),$J268,$Y268)))</f>
        <v/>
      </c>
      <c r="AA268" s="62">
        <f>IF($V268="","",IF(AND(ISNUMBER($G268),$G268&lt;=IF($S268=MesCiclo,InicioCiclo,$S268+MOD(2-WEEKDAY($S268),7))+20),1,IF(ISNUMBER($K268),$K268,$Z268)))</f>
        <v/>
      </c>
      <c r="AB268" s="62">
        <f>IF($V268="","",IF(AND(ISNUMBER($G268),$G268&lt;=IF($S268=MesCiclo,InicioCiclo,$S268+MOD(2-WEEKDAY($S268),7))+27),1,IF(ISNUMBER($L268),$L268,$AA268)))</f>
        <v/>
      </c>
      <c r="AC268" s="62">
        <f>IF($V268="","",IF(AND(ISNUMBER($G268),$G268&lt;=IF($S268=MesCiclo,InicioCiclo,$S268+MOD(2-WEEKDAY($S268),7))+6),1,IF(N($W268)&gt;0,AVERAGEIFS($Y$5:$Y$1000,$U$5:$U$1000,ROW(),$V$5:$V$1000,"Sub"),$Y268)))</f>
        <v/>
      </c>
      <c r="AD268" s="62">
        <f>IF($V268="","",IF(AND(ISNUMBER($G268),$G268&lt;=IF($S268=MesCiclo,InicioCiclo,$S268+MOD(2-WEEKDAY($S268),7))+13),1,IF(N($W268)&gt;0,AVERAGEIFS($Z$5:$Z$1000,$U$5:$U$1000,ROW(),$V$5:$V$1000,"Sub"),$Z268)))</f>
        <v/>
      </c>
      <c r="AE268" s="62">
        <f>IF($V268="","",IF(AND(ISNUMBER($G268),$G268&lt;=IF($S268=MesCiclo,InicioCiclo,$S268+MOD(2-WEEKDAY($S268),7))+20),1,IF(N($W268)&gt;0,AVERAGEIFS($AA$5:$AA$1000,$U$5:$U$1000,ROW(),$V$5:$V$1000,"Sub"),$AA268)))</f>
        <v/>
      </c>
      <c r="AF268" s="62">
        <f>IF($V268="","",IF(AND(ISNUMBER($G268),$G268&lt;=IF($S268=MesCiclo,InicioCiclo,$S268+MOD(2-WEEKDAY($S268),7))+27),1,IF(N($W268)&gt;0,AVERAGEIFS($AB$5:$AB$1000,$U$5:$U$1000,ROW(),$V$5:$V$1000,"Sub"),$AB268)))</f>
        <v/>
      </c>
      <c r="AG268" s="62">
        <f>IF($V268&lt;&gt;"Macro","",IF(COUNTIFS($S$5:$S$1000,$S268,$V$5:$V$1000,"Macro",$H$5:$H$1000,"&gt;0")=0,1/COUNTIFS($S$5:$S$1000,$S268,$V$5:$V$1000,"Macro"),IF(AND(ISNUMBER($H268),N($H268)&gt;0),$H268,SUMIFS($H$5:$H$1000,$S$5:$S$1000,$S268,$V$5:$V$1000,"Macro")/COUNTIFS($S$5:$S$1000,$S268,$V$5:$V$1000,"Macro",$H$5:$H$1000,"&gt;0"))/(COUNTIFS($S$5:$S$1000,$S268,$V$5:$V$1000,"Macro")*SUMIFS($H$5:$H$1000,$S$5:$S$1000,$S268,$V$5:$V$1000,"Macro")/COUNTIFS($S$5:$S$1000,$S268,$V$5:$V$1000,"Macro",$H$5:$H$1000,"&gt;0"))))</f>
        <v/>
      </c>
      <c r="AH268" s="62" t="n"/>
      <c r="AI268" s="62" t="n"/>
      <c r="AJ268" s="62" t="n"/>
      <c r="AK268" s="62" t="n"/>
      <c r="AL268" s="62">
        <f>IF(LEFT($C268,11)="[Jefatura] ",IFERROR(MATCH("Asistente Técnico de Riesgo|"&amp;MID($C268,12,500),rDname_ADM,0),0),"")</f>
        <v/>
      </c>
      <c r="AM268" s="62">
        <f>IF(N($AL268)&gt;0,INDEX(rIni_ADM,$AL268),IF(ISNUMBER($E268),$E268,""))</f>
        <v/>
      </c>
      <c r="AN268" s="62">
        <f>IF(N($AL268)&gt;0,INDEX(rLim_ADM,$AL268),IF(ISNUMBER($F268),$F268,""))</f>
        <v/>
      </c>
    </row>
    <row r="269">
      <c r="A269" s="56">
        <f>IF(NOT((COUNTA($B269:$D269)+COUNTA($G269:$L269)+COUNTA($Q269))&gt;0),"",IF($V269="Macro",COUNTIFS($V$5:$V269,"Macro",$S$5:$S269,$S269),IF(N($U269)=0,"?",COUNTIFS(INDEX($V$5:$V$1000,1):INDEX($V$5:$V$1000,$U269-4),"Macro",INDEX($S$5:$S$1000,1):INDEX($S$5:$S$1000,$U269-4),INDEX($S$5:$S$1000,$U269-4))&amp;"."&amp;COUNTIFS($U$5:$U269,$U269,$V$5:$V269,"Sub"))))</f>
        <v/>
      </c>
      <c r="B269" s="57" t="n"/>
      <c r="C269" s="58" t="n"/>
      <c r="D269" s="58" t="n"/>
      <c r="E269" s="59">
        <f>IF(N($AL269)&gt;0,INDEX(rIni_ADM,$AL269),"")</f>
        <v/>
      </c>
      <c r="F269" s="59">
        <f>IF(N($AL269)&gt;0,INDEX(rLim_ADM,$AL269),"")</f>
        <v/>
      </c>
      <c r="G269" s="59" t="n"/>
      <c r="H269" s="60" t="n"/>
      <c r="I269" s="60" t="n"/>
      <c r="J269" s="60" t="n"/>
      <c r="K269" s="60" t="n"/>
      <c r="L269" s="60" t="n"/>
      <c r="M269" s="61">
        <f>IF(NOT((COUNTA($B269:$D269)+COUNTA($G269:$L269)+COUNTA($Q269))&gt;0),"",IF(ISNUMBER($G269),1,IF(N($W269)&gt;0,AVERAGEIFS($X$5:$X$1000,$U$5:$U$1000,ROW(),$V$5:$V$1000,"Sub"),$X269)))</f>
        <v/>
      </c>
      <c r="N269" s="56">
        <f>IF($M269="","",IF($M269&gt;=1,"Completado",IF($M269&gt;0,"En curso","Pendiente")))</f>
        <v/>
      </c>
      <c r="O269" s="56">
        <f>IF(NOT((COUNTA($B269:$D269)+COUNTA($G269:$L269)+COUNTA($Q269))&gt;0),"",IF(ISNUMBER($G269),IF(AND(ISNUMBER($AN269),$G269&gt;$AN269),"Cumplida con "&amp;($G269-$AN269)&amp;IF($G269-$AN269=1," día"," días")&amp;" de retraso","Cumplida"),IF(N($M269)&gt;=1,"Cumplida",IF(NOT(ISNUMBER($AN269)),"Sin fecha límite",IF($AN269&lt;FechaRef,"Vencida hace "&amp;(FechaRef-$AN269)&amp;IF(FechaRef-$AN269=1," día"," días"),IF($AN269=FechaRef,"Vence hoy",IF($AN269-FechaRef&lt;=DiasAlerta,"Vence en "&amp;($AN269-FechaRef)&amp;IF($AN269-FechaRef=1," día"," días"),"En plazo")))))))</f>
        <v/>
      </c>
      <c r="P269" s="62" t="n"/>
      <c r="Q269" s="58" t="n"/>
      <c r="R269" s="63">
        <f>IF(NOT((COUNTA($B269:$D269)+COUNTA($G269:$L269)+COUNTA($Q269))&gt;0),"",IF((IF($C269="","Falta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",""))="","✔ OK","⚠ "&amp;LEFT(IF($C269="","Falta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",""),LEN(IF($C269="","Falta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",""))-3)))</f>
        <v/>
      </c>
      <c r="S269" s="64">
        <f>IF(NOT((COUNTA($B269:$D269)+COUNTA($G269:$L269)+COUNTA($Q269))&gt;0),"",IF(AND($V269="Sub",N($U269)&gt;0),IF(ISNUMBER(INDEX($AM$5:$AM$1000,$U269-4)),DATE(YEAR(INDEX($AM$5:$AM$1000,$U269-4)),MONTH(INDEX($AM$5:$AM$1000,$U269-4)),1),IF(ISNUMBER(INDEX($AN$5:$AN$1000,$U269-4)),DATE(YEAR(INDEX($AN$5:$AN$1000,$U269-4)),MONTH(INDEX($AN$5:$AN$1000,$U269-4)),1),MesCiclo)),IF(ISNUMBER($AM269),DATE(YEAR($AM269),MONTH($AM269),1),IF(ISNUMBER($AN269),DATE(YEAR($AN269),MONTH($AN269),1),MesCiclo))))</f>
        <v/>
      </c>
      <c r="T269" s="62">
        <f>IF(OR($S269="",$S269&lt;&gt;MesCiclo),"",COUNTIF($S$5:$S269,MesCiclo))</f>
        <v/>
      </c>
      <c r="U269" s="62">
        <f>IF($V269="","",IF($V269="Macro",ROW(),IFERROR(LOOKUP(2,1/($V$5:$V269="Macro"),ROW($V$5:$V269)),0)))</f>
        <v/>
      </c>
      <c r="V269" s="62">
        <f>IF(NOT((COUNTA($B269:$D269)+COUNTA($G269:$L269)+COUNTA($Q269))&gt;0),"",IF($B269="Subactividad","Sub","Macro"))</f>
        <v/>
      </c>
      <c r="W269" s="62">
        <f>IF($V269="Macro",COUNTIFS($U$5:$U$1000,ROW(),$V$5:$V$1000,"Sub"),"")</f>
        <v/>
      </c>
      <c r="X269" s="62">
        <f>IF($V269="","",IF(ISNUMBER($G269),1,IFERROR(LOOKUP(2,1/($I269:$L269&lt;&gt;""),$I269:$L269),0)))</f>
        <v/>
      </c>
      <c r="Y269" s="62">
        <f>IF($V269="","",IF(AND(ISNUMBER($G269),$G269&lt;=IF($S269=MesCiclo,InicioCiclo,$S269+MOD(2-WEEKDAY($S269),7))+6),1,IF(ISNUMBER($I269),$I269,0)))</f>
        <v/>
      </c>
      <c r="Z269" s="62">
        <f>IF($V269="","",IF(AND(ISNUMBER($G269),$G269&lt;=IF($S269=MesCiclo,InicioCiclo,$S269+MOD(2-WEEKDAY($S269),7))+13),1,IF(ISNUMBER($J269),$J269,$Y269)))</f>
        <v/>
      </c>
      <c r="AA269" s="62">
        <f>IF($V269="","",IF(AND(ISNUMBER($G269),$G269&lt;=IF($S269=MesCiclo,InicioCiclo,$S269+MOD(2-WEEKDAY($S269),7))+20),1,IF(ISNUMBER($K269),$K269,$Z269)))</f>
        <v/>
      </c>
      <c r="AB269" s="62">
        <f>IF($V269="","",IF(AND(ISNUMBER($G269),$G269&lt;=IF($S269=MesCiclo,InicioCiclo,$S269+MOD(2-WEEKDAY($S269),7))+27),1,IF(ISNUMBER($L269),$L269,$AA269)))</f>
        <v/>
      </c>
      <c r="AC269" s="62">
        <f>IF($V269="","",IF(AND(ISNUMBER($G269),$G269&lt;=IF($S269=MesCiclo,InicioCiclo,$S269+MOD(2-WEEKDAY($S269),7))+6),1,IF(N($W269)&gt;0,AVERAGEIFS($Y$5:$Y$1000,$U$5:$U$1000,ROW(),$V$5:$V$1000,"Sub"),$Y269)))</f>
        <v/>
      </c>
      <c r="AD269" s="62">
        <f>IF($V269="","",IF(AND(ISNUMBER($G269),$G269&lt;=IF($S269=MesCiclo,InicioCiclo,$S269+MOD(2-WEEKDAY($S269),7))+13),1,IF(N($W269)&gt;0,AVERAGEIFS($Z$5:$Z$1000,$U$5:$U$1000,ROW(),$V$5:$V$1000,"Sub"),$Z269)))</f>
        <v/>
      </c>
      <c r="AE269" s="62">
        <f>IF($V269="","",IF(AND(ISNUMBER($G269),$G269&lt;=IF($S269=MesCiclo,InicioCiclo,$S269+MOD(2-WEEKDAY($S269),7))+20),1,IF(N($W269)&gt;0,AVERAGEIFS($AA$5:$AA$1000,$U$5:$U$1000,ROW(),$V$5:$V$1000,"Sub"),$AA269)))</f>
        <v/>
      </c>
      <c r="AF269" s="62">
        <f>IF($V269="","",IF(AND(ISNUMBER($G269),$G269&lt;=IF($S269=MesCiclo,InicioCiclo,$S269+MOD(2-WEEKDAY($S269),7))+27),1,IF(N($W269)&gt;0,AVERAGEIFS($AB$5:$AB$1000,$U$5:$U$1000,ROW(),$V$5:$V$1000,"Sub"),$AB269)))</f>
        <v/>
      </c>
      <c r="AG269" s="62">
        <f>IF($V269&lt;&gt;"Macro","",IF(COUNTIFS($S$5:$S$1000,$S269,$V$5:$V$1000,"Macro",$H$5:$H$1000,"&gt;0")=0,1/COUNTIFS($S$5:$S$1000,$S269,$V$5:$V$1000,"Macro"),IF(AND(ISNUMBER($H269),N($H269)&gt;0),$H269,SUMIFS($H$5:$H$1000,$S$5:$S$1000,$S269,$V$5:$V$1000,"Macro")/COUNTIFS($S$5:$S$1000,$S269,$V$5:$V$1000,"Macro",$H$5:$H$1000,"&gt;0"))/(COUNTIFS($S$5:$S$1000,$S269,$V$5:$V$1000,"Macro")*SUMIFS($H$5:$H$1000,$S$5:$S$1000,$S269,$V$5:$V$1000,"Macro")/COUNTIFS($S$5:$S$1000,$S269,$V$5:$V$1000,"Macro",$H$5:$H$1000,"&gt;0"))))</f>
        <v/>
      </c>
      <c r="AH269" s="62" t="n"/>
      <c r="AI269" s="62" t="n"/>
      <c r="AJ269" s="62" t="n"/>
      <c r="AK269" s="62" t="n"/>
      <c r="AL269" s="62">
        <f>IF(LEFT($C269,11)="[Jefatura] ",IFERROR(MATCH("Asistente Técnico de Riesgo|"&amp;MID($C269,12,500),rDname_ADM,0),0),"")</f>
        <v/>
      </c>
      <c r="AM269" s="62">
        <f>IF(N($AL269)&gt;0,INDEX(rIni_ADM,$AL269),IF(ISNUMBER($E269),$E269,""))</f>
        <v/>
      </c>
      <c r="AN269" s="62">
        <f>IF(N($AL269)&gt;0,INDEX(rLim_ADM,$AL269),IF(ISNUMBER($F269),$F269,""))</f>
        <v/>
      </c>
    </row>
    <row r="270">
      <c r="A270" s="56">
        <f>IF(NOT((COUNTA($B270:$D270)+COUNTA($G270:$L270)+COUNTA($Q270))&gt;0),"",IF($V270="Macro",COUNTIFS($V$5:$V270,"Macro",$S$5:$S270,$S270),IF(N($U270)=0,"?",COUNTIFS(INDEX($V$5:$V$1000,1):INDEX($V$5:$V$1000,$U270-4),"Macro",INDEX($S$5:$S$1000,1):INDEX($S$5:$S$1000,$U270-4),INDEX($S$5:$S$1000,$U270-4))&amp;"."&amp;COUNTIFS($U$5:$U270,$U270,$V$5:$V270,"Sub"))))</f>
        <v/>
      </c>
      <c r="B270" s="57" t="n"/>
      <c r="C270" s="58" t="n"/>
      <c r="D270" s="58" t="n"/>
      <c r="E270" s="59">
        <f>IF(N($AL270)&gt;0,INDEX(rIni_ADM,$AL270),"")</f>
        <v/>
      </c>
      <c r="F270" s="59">
        <f>IF(N($AL270)&gt;0,INDEX(rLim_ADM,$AL270),"")</f>
        <v/>
      </c>
      <c r="G270" s="59" t="n"/>
      <c r="H270" s="60" t="n"/>
      <c r="I270" s="60" t="n"/>
      <c r="J270" s="60" t="n"/>
      <c r="K270" s="60" t="n"/>
      <c r="L270" s="60" t="n"/>
      <c r="M270" s="61">
        <f>IF(NOT((COUNTA($B270:$D270)+COUNTA($G270:$L270)+COUNTA($Q270))&gt;0),"",IF(ISNUMBER($G270),1,IF(N($W270)&gt;0,AVERAGEIFS($X$5:$X$1000,$U$5:$U$1000,ROW(),$V$5:$V$1000,"Sub"),$X270)))</f>
        <v/>
      </c>
      <c r="N270" s="56">
        <f>IF($M270="","",IF($M270&gt;=1,"Completado",IF($M270&gt;0,"En curso","Pendiente")))</f>
        <v/>
      </c>
      <c r="O270" s="56">
        <f>IF(NOT((COUNTA($B270:$D270)+COUNTA($G270:$L270)+COUNTA($Q270))&gt;0),"",IF(ISNUMBER($G270),IF(AND(ISNUMBER($AN270),$G270&gt;$AN270),"Cumplida con "&amp;($G270-$AN270)&amp;IF($G270-$AN270=1," día"," días")&amp;" de retraso","Cumplida"),IF(N($M270)&gt;=1,"Cumplida",IF(NOT(ISNUMBER($AN270)),"Sin fecha límite",IF($AN270&lt;FechaRef,"Vencida hace "&amp;(FechaRef-$AN270)&amp;IF(FechaRef-$AN270=1," día"," días"),IF($AN270=FechaRef,"Vence hoy",IF($AN270-FechaRef&lt;=DiasAlerta,"Vence en "&amp;($AN270-FechaRef)&amp;IF($AN270-FechaRef=1," día"," días"),"En plazo")))))))</f>
        <v/>
      </c>
      <c r="P270" s="62" t="n"/>
      <c r="Q270" s="58" t="n"/>
      <c r="R270" s="63">
        <f>IF(NOT((COUNTA($B270:$D270)+COUNTA($G270:$L270)+COUNTA($Q270))&gt;0),"",IF((IF($C270="","Falta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",""))="","✔ OK","⚠ "&amp;LEFT(IF($C270="","Falta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",""),LEN(IF($C270="","Falta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",""))-3)))</f>
        <v/>
      </c>
      <c r="S270" s="64">
        <f>IF(NOT((COUNTA($B270:$D270)+COUNTA($G270:$L270)+COUNTA($Q270))&gt;0),"",IF(AND($V270="Sub",N($U270)&gt;0),IF(ISNUMBER(INDEX($AM$5:$AM$1000,$U270-4)),DATE(YEAR(INDEX($AM$5:$AM$1000,$U270-4)),MONTH(INDEX($AM$5:$AM$1000,$U270-4)),1),IF(ISNUMBER(INDEX($AN$5:$AN$1000,$U270-4)),DATE(YEAR(INDEX($AN$5:$AN$1000,$U270-4)),MONTH(INDEX($AN$5:$AN$1000,$U270-4)),1),MesCiclo)),IF(ISNUMBER($AM270),DATE(YEAR($AM270),MONTH($AM270),1),IF(ISNUMBER($AN270),DATE(YEAR($AN270),MONTH($AN270),1),MesCiclo))))</f>
        <v/>
      </c>
      <c r="T270" s="62">
        <f>IF(OR($S270="",$S270&lt;&gt;MesCiclo),"",COUNTIF($S$5:$S270,MesCiclo))</f>
        <v/>
      </c>
      <c r="U270" s="62">
        <f>IF($V270="","",IF($V270="Macro",ROW(),IFERROR(LOOKUP(2,1/($V$5:$V270="Macro"),ROW($V$5:$V270)),0)))</f>
        <v/>
      </c>
      <c r="V270" s="62">
        <f>IF(NOT((COUNTA($B270:$D270)+COUNTA($G270:$L270)+COUNTA($Q270))&gt;0),"",IF($B270="Subactividad","Sub","Macro"))</f>
        <v/>
      </c>
      <c r="W270" s="62">
        <f>IF($V270="Macro",COUNTIFS($U$5:$U$1000,ROW(),$V$5:$V$1000,"Sub"),"")</f>
        <v/>
      </c>
      <c r="X270" s="62">
        <f>IF($V270="","",IF(ISNUMBER($G270),1,IFERROR(LOOKUP(2,1/($I270:$L270&lt;&gt;""),$I270:$L270),0)))</f>
        <v/>
      </c>
      <c r="Y270" s="62">
        <f>IF($V270="","",IF(AND(ISNUMBER($G270),$G270&lt;=IF($S270=MesCiclo,InicioCiclo,$S270+MOD(2-WEEKDAY($S270),7))+6),1,IF(ISNUMBER($I270),$I270,0)))</f>
        <v/>
      </c>
      <c r="Z270" s="62">
        <f>IF($V270="","",IF(AND(ISNUMBER($G270),$G270&lt;=IF($S270=MesCiclo,InicioCiclo,$S270+MOD(2-WEEKDAY($S270),7))+13),1,IF(ISNUMBER($J270),$J270,$Y270)))</f>
        <v/>
      </c>
      <c r="AA270" s="62">
        <f>IF($V270="","",IF(AND(ISNUMBER($G270),$G270&lt;=IF($S270=MesCiclo,InicioCiclo,$S270+MOD(2-WEEKDAY($S270),7))+20),1,IF(ISNUMBER($K270),$K270,$Z270)))</f>
        <v/>
      </c>
      <c r="AB270" s="62">
        <f>IF($V270="","",IF(AND(ISNUMBER($G270),$G270&lt;=IF($S270=MesCiclo,InicioCiclo,$S270+MOD(2-WEEKDAY($S270),7))+27),1,IF(ISNUMBER($L270),$L270,$AA270)))</f>
        <v/>
      </c>
      <c r="AC270" s="62">
        <f>IF($V270="","",IF(AND(ISNUMBER($G270),$G270&lt;=IF($S270=MesCiclo,InicioCiclo,$S270+MOD(2-WEEKDAY($S270),7))+6),1,IF(N($W270)&gt;0,AVERAGEIFS($Y$5:$Y$1000,$U$5:$U$1000,ROW(),$V$5:$V$1000,"Sub"),$Y270)))</f>
        <v/>
      </c>
      <c r="AD270" s="62">
        <f>IF($V270="","",IF(AND(ISNUMBER($G270),$G270&lt;=IF($S270=MesCiclo,InicioCiclo,$S270+MOD(2-WEEKDAY($S270),7))+13),1,IF(N($W270)&gt;0,AVERAGEIFS($Z$5:$Z$1000,$U$5:$U$1000,ROW(),$V$5:$V$1000,"Sub"),$Z270)))</f>
        <v/>
      </c>
      <c r="AE270" s="62">
        <f>IF($V270="","",IF(AND(ISNUMBER($G270),$G270&lt;=IF($S270=MesCiclo,InicioCiclo,$S270+MOD(2-WEEKDAY($S270),7))+20),1,IF(N($W270)&gt;0,AVERAGEIFS($AA$5:$AA$1000,$U$5:$U$1000,ROW(),$V$5:$V$1000,"Sub"),$AA270)))</f>
        <v/>
      </c>
      <c r="AF270" s="62">
        <f>IF($V270="","",IF(AND(ISNUMBER($G270),$G270&lt;=IF($S270=MesCiclo,InicioCiclo,$S270+MOD(2-WEEKDAY($S270),7))+27),1,IF(N($W270)&gt;0,AVERAGEIFS($AB$5:$AB$1000,$U$5:$U$1000,ROW(),$V$5:$V$1000,"Sub"),$AB270)))</f>
        <v/>
      </c>
      <c r="AG270" s="62">
        <f>IF($V270&lt;&gt;"Macro","",IF(COUNTIFS($S$5:$S$1000,$S270,$V$5:$V$1000,"Macro",$H$5:$H$1000,"&gt;0")=0,1/COUNTIFS($S$5:$S$1000,$S270,$V$5:$V$1000,"Macro"),IF(AND(ISNUMBER($H270),N($H270)&gt;0),$H270,SUMIFS($H$5:$H$1000,$S$5:$S$1000,$S270,$V$5:$V$1000,"Macro")/COUNTIFS($S$5:$S$1000,$S270,$V$5:$V$1000,"Macro",$H$5:$H$1000,"&gt;0"))/(COUNTIFS($S$5:$S$1000,$S270,$V$5:$V$1000,"Macro")*SUMIFS($H$5:$H$1000,$S$5:$S$1000,$S270,$V$5:$V$1000,"Macro")/COUNTIFS($S$5:$S$1000,$S270,$V$5:$V$1000,"Macro",$H$5:$H$1000,"&gt;0"))))</f>
        <v/>
      </c>
      <c r="AH270" s="62" t="n"/>
      <c r="AI270" s="62" t="n"/>
      <c r="AJ270" s="62" t="n"/>
      <c r="AK270" s="62" t="n"/>
      <c r="AL270" s="62">
        <f>IF(LEFT($C270,11)="[Jefatura] ",IFERROR(MATCH("Asistente Técnico de Riesgo|"&amp;MID($C270,12,500),rDname_ADM,0),0),"")</f>
        <v/>
      </c>
      <c r="AM270" s="62">
        <f>IF(N($AL270)&gt;0,INDEX(rIni_ADM,$AL270),IF(ISNUMBER($E270),$E270,""))</f>
        <v/>
      </c>
      <c r="AN270" s="62">
        <f>IF(N($AL270)&gt;0,INDEX(rLim_ADM,$AL270),IF(ISNUMBER($F270),$F270,""))</f>
        <v/>
      </c>
    </row>
    <row r="271">
      <c r="A271" s="56">
        <f>IF(NOT((COUNTA($B271:$D271)+COUNTA($G271:$L271)+COUNTA($Q271))&gt;0),"",IF($V271="Macro",COUNTIFS($V$5:$V271,"Macro",$S$5:$S271,$S271),IF(N($U271)=0,"?",COUNTIFS(INDEX($V$5:$V$1000,1):INDEX($V$5:$V$1000,$U271-4),"Macro",INDEX($S$5:$S$1000,1):INDEX($S$5:$S$1000,$U271-4),INDEX($S$5:$S$1000,$U271-4))&amp;"."&amp;COUNTIFS($U$5:$U271,$U271,$V$5:$V271,"Sub"))))</f>
        <v/>
      </c>
      <c r="B271" s="57" t="n"/>
      <c r="C271" s="58" t="n"/>
      <c r="D271" s="58" t="n"/>
      <c r="E271" s="59">
        <f>IF(N($AL271)&gt;0,INDEX(rIni_ADM,$AL271),"")</f>
        <v/>
      </c>
      <c r="F271" s="59">
        <f>IF(N($AL271)&gt;0,INDEX(rLim_ADM,$AL271),"")</f>
        <v/>
      </c>
      <c r="G271" s="59" t="n"/>
      <c r="H271" s="60" t="n"/>
      <c r="I271" s="60" t="n"/>
      <c r="J271" s="60" t="n"/>
      <c r="K271" s="60" t="n"/>
      <c r="L271" s="60" t="n"/>
      <c r="M271" s="61">
        <f>IF(NOT((COUNTA($B271:$D271)+COUNTA($G271:$L271)+COUNTA($Q271))&gt;0),"",IF(ISNUMBER($G271),1,IF(N($W271)&gt;0,AVERAGEIFS($X$5:$X$1000,$U$5:$U$1000,ROW(),$V$5:$V$1000,"Sub"),$X271)))</f>
        <v/>
      </c>
      <c r="N271" s="56">
        <f>IF($M271="","",IF($M271&gt;=1,"Completado",IF($M271&gt;0,"En curso","Pendiente")))</f>
        <v/>
      </c>
      <c r="O271" s="56">
        <f>IF(NOT((COUNTA($B271:$D271)+COUNTA($G271:$L271)+COUNTA($Q271))&gt;0),"",IF(ISNUMBER($G271),IF(AND(ISNUMBER($AN271),$G271&gt;$AN271),"Cumplida con "&amp;($G271-$AN271)&amp;IF($G271-$AN271=1," día"," días")&amp;" de retraso","Cumplida"),IF(N($M271)&gt;=1,"Cumplida",IF(NOT(ISNUMBER($AN271)),"Sin fecha límite",IF($AN271&lt;FechaRef,"Vencida hace "&amp;(FechaRef-$AN271)&amp;IF(FechaRef-$AN271=1," día"," días"),IF($AN271=FechaRef,"Vence hoy",IF($AN271-FechaRef&lt;=DiasAlerta,"Vence en "&amp;($AN271-FechaRef)&amp;IF($AN271-FechaRef=1," día"," días"),"En plazo")))))))</f>
        <v/>
      </c>
      <c r="P271" s="62" t="n"/>
      <c r="Q271" s="58" t="n"/>
      <c r="R271" s="63">
        <f>IF(NOT((COUNTA($B271:$D271)+COUNTA($G271:$L271)+COUNTA($Q271))&gt;0),"",IF((IF($C271="","Falta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",""))="","✔ OK","⚠ "&amp;LEFT(IF($C271="","Falta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",""),LEN(IF($C271="","Falta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",""))-3)))</f>
        <v/>
      </c>
      <c r="S271" s="64">
        <f>IF(NOT((COUNTA($B271:$D271)+COUNTA($G271:$L271)+COUNTA($Q271))&gt;0),"",IF(AND($V271="Sub",N($U271)&gt;0),IF(ISNUMBER(INDEX($AM$5:$AM$1000,$U271-4)),DATE(YEAR(INDEX($AM$5:$AM$1000,$U271-4)),MONTH(INDEX($AM$5:$AM$1000,$U271-4)),1),IF(ISNUMBER(INDEX($AN$5:$AN$1000,$U271-4)),DATE(YEAR(INDEX($AN$5:$AN$1000,$U271-4)),MONTH(INDEX($AN$5:$AN$1000,$U271-4)),1),MesCiclo)),IF(ISNUMBER($AM271),DATE(YEAR($AM271),MONTH($AM271),1),IF(ISNUMBER($AN271),DATE(YEAR($AN271),MONTH($AN271),1),MesCiclo))))</f>
        <v/>
      </c>
      <c r="T271" s="62">
        <f>IF(OR($S271="",$S271&lt;&gt;MesCiclo),"",COUNTIF($S$5:$S271,MesCiclo))</f>
        <v/>
      </c>
      <c r="U271" s="62">
        <f>IF($V271="","",IF($V271="Macro",ROW(),IFERROR(LOOKUP(2,1/($V$5:$V271="Macro"),ROW($V$5:$V271)),0)))</f>
        <v/>
      </c>
      <c r="V271" s="62">
        <f>IF(NOT((COUNTA($B271:$D271)+COUNTA($G271:$L271)+COUNTA($Q271))&gt;0),"",IF($B271="Subactividad","Sub","Macro"))</f>
        <v/>
      </c>
      <c r="W271" s="62">
        <f>IF($V271="Macro",COUNTIFS($U$5:$U$1000,ROW(),$V$5:$V$1000,"Sub"),"")</f>
        <v/>
      </c>
      <c r="X271" s="62">
        <f>IF($V271="","",IF(ISNUMBER($G271),1,IFERROR(LOOKUP(2,1/($I271:$L271&lt;&gt;""),$I271:$L271),0)))</f>
        <v/>
      </c>
      <c r="Y271" s="62">
        <f>IF($V271="","",IF(AND(ISNUMBER($G271),$G271&lt;=IF($S271=MesCiclo,InicioCiclo,$S271+MOD(2-WEEKDAY($S271),7))+6),1,IF(ISNUMBER($I271),$I271,0)))</f>
        <v/>
      </c>
      <c r="Z271" s="62">
        <f>IF($V271="","",IF(AND(ISNUMBER($G271),$G271&lt;=IF($S271=MesCiclo,InicioCiclo,$S271+MOD(2-WEEKDAY($S271),7))+13),1,IF(ISNUMBER($J271),$J271,$Y271)))</f>
        <v/>
      </c>
      <c r="AA271" s="62">
        <f>IF($V271="","",IF(AND(ISNUMBER($G271),$G271&lt;=IF($S271=MesCiclo,InicioCiclo,$S271+MOD(2-WEEKDAY($S271),7))+20),1,IF(ISNUMBER($K271),$K271,$Z271)))</f>
        <v/>
      </c>
      <c r="AB271" s="62">
        <f>IF($V271="","",IF(AND(ISNUMBER($G271),$G271&lt;=IF($S271=MesCiclo,InicioCiclo,$S271+MOD(2-WEEKDAY($S271),7))+27),1,IF(ISNUMBER($L271),$L271,$AA271)))</f>
        <v/>
      </c>
      <c r="AC271" s="62">
        <f>IF($V271="","",IF(AND(ISNUMBER($G271),$G271&lt;=IF($S271=MesCiclo,InicioCiclo,$S271+MOD(2-WEEKDAY($S271),7))+6),1,IF(N($W271)&gt;0,AVERAGEIFS($Y$5:$Y$1000,$U$5:$U$1000,ROW(),$V$5:$V$1000,"Sub"),$Y271)))</f>
        <v/>
      </c>
      <c r="AD271" s="62">
        <f>IF($V271="","",IF(AND(ISNUMBER($G271),$G271&lt;=IF($S271=MesCiclo,InicioCiclo,$S271+MOD(2-WEEKDAY($S271),7))+13),1,IF(N($W271)&gt;0,AVERAGEIFS($Z$5:$Z$1000,$U$5:$U$1000,ROW(),$V$5:$V$1000,"Sub"),$Z271)))</f>
        <v/>
      </c>
      <c r="AE271" s="62">
        <f>IF($V271="","",IF(AND(ISNUMBER($G271),$G271&lt;=IF($S271=MesCiclo,InicioCiclo,$S271+MOD(2-WEEKDAY($S271),7))+20),1,IF(N($W271)&gt;0,AVERAGEIFS($AA$5:$AA$1000,$U$5:$U$1000,ROW(),$V$5:$V$1000,"Sub"),$AA271)))</f>
        <v/>
      </c>
      <c r="AF271" s="62">
        <f>IF($V271="","",IF(AND(ISNUMBER($G271),$G271&lt;=IF($S271=MesCiclo,InicioCiclo,$S271+MOD(2-WEEKDAY($S271),7))+27),1,IF(N($W271)&gt;0,AVERAGEIFS($AB$5:$AB$1000,$U$5:$U$1000,ROW(),$V$5:$V$1000,"Sub"),$AB271)))</f>
        <v/>
      </c>
      <c r="AG271" s="62">
        <f>IF($V271&lt;&gt;"Macro","",IF(COUNTIFS($S$5:$S$1000,$S271,$V$5:$V$1000,"Macro",$H$5:$H$1000,"&gt;0")=0,1/COUNTIFS($S$5:$S$1000,$S271,$V$5:$V$1000,"Macro"),IF(AND(ISNUMBER($H271),N($H271)&gt;0),$H271,SUMIFS($H$5:$H$1000,$S$5:$S$1000,$S271,$V$5:$V$1000,"Macro")/COUNTIFS($S$5:$S$1000,$S271,$V$5:$V$1000,"Macro",$H$5:$H$1000,"&gt;0"))/(COUNTIFS($S$5:$S$1000,$S271,$V$5:$V$1000,"Macro")*SUMIFS($H$5:$H$1000,$S$5:$S$1000,$S271,$V$5:$V$1000,"Macro")/COUNTIFS($S$5:$S$1000,$S271,$V$5:$V$1000,"Macro",$H$5:$H$1000,"&gt;0"))))</f>
        <v/>
      </c>
      <c r="AH271" s="62" t="n"/>
      <c r="AI271" s="62" t="n"/>
      <c r="AJ271" s="62" t="n"/>
      <c r="AK271" s="62" t="n"/>
      <c r="AL271" s="62">
        <f>IF(LEFT($C271,11)="[Jefatura] ",IFERROR(MATCH("Asistente Técnico de Riesgo|"&amp;MID($C271,12,500),rDname_ADM,0),0),"")</f>
        <v/>
      </c>
      <c r="AM271" s="62">
        <f>IF(N($AL271)&gt;0,INDEX(rIni_ADM,$AL271),IF(ISNUMBER($E271),$E271,""))</f>
        <v/>
      </c>
      <c r="AN271" s="62">
        <f>IF(N($AL271)&gt;0,INDEX(rLim_ADM,$AL271),IF(ISNUMBER($F271),$F271,""))</f>
        <v/>
      </c>
    </row>
    <row r="272">
      <c r="A272" s="56">
        <f>IF(NOT((COUNTA($B272:$D272)+COUNTA($G272:$L272)+COUNTA($Q272))&gt;0),"",IF($V272="Macro",COUNTIFS($V$5:$V272,"Macro",$S$5:$S272,$S272),IF(N($U272)=0,"?",COUNTIFS(INDEX($V$5:$V$1000,1):INDEX($V$5:$V$1000,$U272-4),"Macro",INDEX($S$5:$S$1000,1):INDEX($S$5:$S$1000,$U272-4),INDEX($S$5:$S$1000,$U272-4))&amp;"."&amp;COUNTIFS($U$5:$U272,$U272,$V$5:$V272,"Sub"))))</f>
        <v/>
      </c>
      <c r="B272" s="57" t="n"/>
      <c r="C272" s="58" t="n"/>
      <c r="D272" s="58" t="n"/>
      <c r="E272" s="59">
        <f>IF(N($AL272)&gt;0,INDEX(rIni_ADM,$AL272),"")</f>
        <v/>
      </c>
      <c r="F272" s="59">
        <f>IF(N($AL272)&gt;0,INDEX(rLim_ADM,$AL272),"")</f>
        <v/>
      </c>
      <c r="G272" s="59" t="n"/>
      <c r="H272" s="60" t="n"/>
      <c r="I272" s="60" t="n"/>
      <c r="J272" s="60" t="n"/>
      <c r="K272" s="60" t="n"/>
      <c r="L272" s="60" t="n"/>
      <c r="M272" s="61">
        <f>IF(NOT((COUNTA($B272:$D272)+COUNTA($G272:$L272)+COUNTA($Q272))&gt;0),"",IF(ISNUMBER($G272),1,IF(N($W272)&gt;0,AVERAGEIFS($X$5:$X$1000,$U$5:$U$1000,ROW(),$V$5:$V$1000,"Sub"),$X272)))</f>
        <v/>
      </c>
      <c r="N272" s="56">
        <f>IF($M272="","",IF($M272&gt;=1,"Completado",IF($M272&gt;0,"En curso","Pendiente")))</f>
        <v/>
      </c>
      <c r="O272" s="56">
        <f>IF(NOT((COUNTA($B272:$D272)+COUNTA($G272:$L272)+COUNTA($Q272))&gt;0),"",IF(ISNUMBER($G272),IF(AND(ISNUMBER($AN272),$G272&gt;$AN272),"Cumplida con "&amp;($G272-$AN272)&amp;IF($G272-$AN272=1," día"," días")&amp;" de retraso","Cumplida"),IF(N($M272)&gt;=1,"Cumplida",IF(NOT(ISNUMBER($AN272)),"Sin fecha límite",IF($AN272&lt;FechaRef,"Vencida hace "&amp;(FechaRef-$AN272)&amp;IF(FechaRef-$AN272=1," día"," días"),IF($AN272=FechaRef,"Vence hoy",IF($AN272-FechaRef&lt;=DiasAlerta,"Vence en "&amp;($AN272-FechaRef)&amp;IF($AN272-FechaRef=1," día"," días"),"En plazo")))))))</f>
        <v/>
      </c>
      <c r="P272" s="62" t="n"/>
      <c r="Q272" s="58" t="n"/>
      <c r="R272" s="63">
        <f>IF(NOT((COUNTA($B272:$D272)+COUNTA($G272:$L272)+COUNTA($Q272))&gt;0),"",IF((IF($C272="","Falta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",""))="","✔ OK","⚠ "&amp;LEFT(IF($C272="","Falta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",""),LEN(IF($C272="","Falta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",""))-3)))</f>
        <v/>
      </c>
      <c r="S272" s="64">
        <f>IF(NOT((COUNTA($B272:$D272)+COUNTA($G272:$L272)+COUNTA($Q272))&gt;0),"",IF(AND($V272="Sub",N($U272)&gt;0),IF(ISNUMBER(INDEX($AM$5:$AM$1000,$U272-4)),DATE(YEAR(INDEX($AM$5:$AM$1000,$U272-4)),MONTH(INDEX($AM$5:$AM$1000,$U272-4)),1),IF(ISNUMBER(INDEX($AN$5:$AN$1000,$U272-4)),DATE(YEAR(INDEX($AN$5:$AN$1000,$U272-4)),MONTH(INDEX($AN$5:$AN$1000,$U272-4)),1),MesCiclo)),IF(ISNUMBER($AM272),DATE(YEAR($AM272),MONTH($AM272),1),IF(ISNUMBER($AN272),DATE(YEAR($AN272),MONTH($AN272),1),MesCiclo))))</f>
        <v/>
      </c>
      <c r="T272" s="62">
        <f>IF(OR($S272="",$S272&lt;&gt;MesCiclo),"",COUNTIF($S$5:$S272,MesCiclo))</f>
        <v/>
      </c>
      <c r="U272" s="62">
        <f>IF($V272="","",IF($V272="Macro",ROW(),IFERROR(LOOKUP(2,1/($V$5:$V272="Macro"),ROW($V$5:$V272)),0)))</f>
        <v/>
      </c>
      <c r="V272" s="62">
        <f>IF(NOT((COUNTA($B272:$D272)+COUNTA($G272:$L272)+COUNTA($Q272))&gt;0),"",IF($B272="Subactividad","Sub","Macro"))</f>
        <v/>
      </c>
      <c r="W272" s="62">
        <f>IF($V272="Macro",COUNTIFS($U$5:$U$1000,ROW(),$V$5:$V$1000,"Sub"),"")</f>
        <v/>
      </c>
      <c r="X272" s="62">
        <f>IF($V272="","",IF(ISNUMBER($G272),1,IFERROR(LOOKUP(2,1/($I272:$L272&lt;&gt;""),$I272:$L272),0)))</f>
        <v/>
      </c>
      <c r="Y272" s="62">
        <f>IF($V272="","",IF(AND(ISNUMBER($G272),$G272&lt;=IF($S272=MesCiclo,InicioCiclo,$S272+MOD(2-WEEKDAY($S272),7))+6),1,IF(ISNUMBER($I272),$I272,0)))</f>
        <v/>
      </c>
      <c r="Z272" s="62">
        <f>IF($V272="","",IF(AND(ISNUMBER($G272),$G272&lt;=IF($S272=MesCiclo,InicioCiclo,$S272+MOD(2-WEEKDAY($S272),7))+13),1,IF(ISNUMBER($J272),$J272,$Y272)))</f>
        <v/>
      </c>
      <c r="AA272" s="62">
        <f>IF($V272="","",IF(AND(ISNUMBER($G272),$G272&lt;=IF($S272=MesCiclo,InicioCiclo,$S272+MOD(2-WEEKDAY($S272),7))+20),1,IF(ISNUMBER($K272),$K272,$Z272)))</f>
        <v/>
      </c>
      <c r="AB272" s="62">
        <f>IF($V272="","",IF(AND(ISNUMBER($G272),$G272&lt;=IF($S272=MesCiclo,InicioCiclo,$S272+MOD(2-WEEKDAY($S272),7))+27),1,IF(ISNUMBER($L272),$L272,$AA272)))</f>
        <v/>
      </c>
      <c r="AC272" s="62">
        <f>IF($V272="","",IF(AND(ISNUMBER($G272),$G272&lt;=IF($S272=MesCiclo,InicioCiclo,$S272+MOD(2-WEEKDAY($S272),7))+6),1,IF(N($W272)&gt;0,AVERAGEIFS($Y$5:$Y$1000,$U$5:$U$1000,ROW(),$V$5:$V$1000,"Sub"),$Y272)))</f>
        <v/>
      </c>
      <c r="AD272" s="62">
        <f>IF($V272="","",IF(AND(ISNUMBER($G272),$G272&lt;=IF($S272=MesCiclo,InicioCiclo,$S272+MOD(2-WEEKDAY($S272),7))+13),1,IF(N($W272)&gt;0,AVERAGEIFS($Z$5:$Z$1000,$U$5:$U$1000,ROW(),$V$5:$V$1000,"Sub"),$Z272)))</f>
        <v/>
      </c>
      <c r="AE272" s="62">
        <f>IF($V272="","",IF(AND(ISNUMBER($G272),$G272&lt;=IF($S272=MesCiclo,InicioCiclo,$S272+MOD(2-WEEKDAY($S272),7))+20),1,IF(N($W272)&gt;0,AVERAGEIFS($AA$5:$AA$1000,$U$5:$U$1000,ROW(),$V$5:$V$1000,"Sub"),$AA272)))</f>
        <v/>
      </c>
      <c r="AF272" s="62">
        <f>IF($V272="","",IF(AND(ISNUMBER($G272),$G272&lt;=IF($S272=MesCiclo,InicioCiclo,$S272+MOD(2-WEEKDAY($S272),7))+27),1,IF(N($W272)&gt;0,AVERAGEIFS($AB$5:$AB$1000,$U$5:$U$1000,ROW(),$V$5:$V$1000,"Sub"),$AB272)))</f>
        <v/>
      </c>
      <c r="AG272" s="62">
        <f>IF($V272&lt;&gt;"Macro","",IF(COUNTIFS($S$5:$S$1000,$S272,$V$5:$V$1000,"Macro",$H$5:$H$1000,"&gt;0")=0,1/COUNTIFS($S$5:$S$1000,$S272,$V$5:$V$1000,"Macro"),IF(AND(ISNUMBER($H272),N($H272)&gt;0),$H272,SUMIFS($H$5:$H$1000,$S$5:$S$1000,$S272,$V$5:$V$1000,"Macro")/COUNTIFS($S$5:$S$1000,$S272,$V$5:$V$1000,"Macro",$H$5:$H$1000,"&gt;0"))/(COUNTIFS($S$5:$S$1000,$S272,$V$5:$V$1000,"Macro")*SUMIFS($H$5:$H$1000,$S$5:$S$1000,$S272,$V$5:$V$1000,"Macro")/COUNTIFS($S$5:$S$1000,$S272,$V$5:$V$1000,"Macro",$H$5:$H$1000,"&gt;0"))))</f>
        <v/>
      </c>
      <c r="AH272" s="62" t="n"/>
      <c r="AI272" s="62" t="n"/>
      <c r="AJ272" s="62" t="n"/>
      <c r="AK272" s="62" t="n"/>
      <c r="AL272" s="62">
        <f>IF(LEFT($C272,11)="[Jefatura] ",IFERROR(MATCH("Asistente Técnico de Riesgo|"&amp;MID($C272,12,500),rDname_ADM,0),0),"")</f>
        <v/>
      </c>
      <c r="AM272" s="62">
        <f>IF(N($AL272)&gt;0,INDEX(rIni_ADM,$AL272),IF(ISNUMBER($E272),$E272,""))</f>
        <v/>
      </c>
      <c r="AN272" s="62">
        <f>IF(N($AL272)&gt;0,INDEX(rLim_ADM,$AL272),IF(ISNUMBER($F272),$F272,""))</f>
        <v/>
      </c>
    </row>
    <row r="273">
      <c r="A273" s="56">
        <f>IF(NOT((COUNTA($B273:$D273)+COUNTA($G273:$L273)+COUNTA($Q273))&gt;0),"",IF($V273="Macro",COUNTIFS($V$5:$V273,"Macro",$S$5:$S273,$S273),IF(N($U273)=0,"?",COUNTIFS(INDEX($V$5:$V$1000,1):INDEX($V$5:$V$1000,$U273-4),"Macro",INDEX($S$5:$S$1000,1):INDEX($S$5:$S$1000,$U273-4),INDEX($S$5:$S$1000,$U273-4))&amp;"."&amp;COUNTIFS($U$5:$U273,$U273,$V$5:$V273,"Sub"))))</f>
        <v/>
      </c>
      <c r="B273" s="57" t="n"/>
      <c r="C273" s="58" t="n"/>
      <c r="D273" s="58" t="n"/>
      <c r="E273" s="59">
        <f>IF(N($AL273)&gt;0,INDEX(rIni_ADM,$AL273),"")</f>
        <v/>
      </c>
      <c r="F273" s="59">
        <f>IF(N($AL273)&gt;0,INDEX(rLim_ADM,$AL273),"")</f>
        <v/>
      </c>
      <c r="G273" s="59" t="n"/>
      <c r="H273" s="60" t="n"/>
      <c r="I273" s="60" t="n"/>
      <c r="J273" s="60" t="n"/>
      <c r="K273" s="60" t="n"/>
      <c r="L273" s="60" t="n"/>
      <c r="M273" s="61">
        <f>IF(NOT((COUNTA($B273:$D273)+COUNTA($G273:$L273)+COUNTA($Q273))&gt;0),"",IF(ISNUMBER($G273),1,IF(N($W273)&gt;0,AVERAGEIFS($X$5:$X$1000,$U$5:$U$1000,ROW(),$V$5:$V$1000,"Sub"),$X273)))</f>
        <v/>
      </c>
      <c r="N273" s="56">
        <f>IF($M273="","",IF($M273&gt;=1,"Completado",IF($M273&gt;0,"En curso","Pendiente")))</f>
        <v/>
      </c>
      <c r="O273" s="56">
        <f>IF(NOT((COUNTA($B273:$D273)+COUNTA($G273:$L273)+COUNTA($Q273))&gt;0),"",IF(ISNUMBER($G273),IF(AND(ISNUMBER($AN273),$G273&gt;$AN273),"Cumplida con "&amp;($G273-$AN273)&amp;IF($G273-$AN273=1," día"," días")&amp;" de retraso","Cumplida"),IF(N($M273)&gt;=1,"Cumplida",IF(NOT(ISNUMBER($AN273)),"Sin fecha límite",IF($AN273&lt;FechaRef,"Vencida hace "&amp;(FechaRef-$AN273)&amp;IF(FechaRef-$AN273=1," día"," días"),IF($AN273=FechaRef,"Vence hoy",IF($AN273-FechaRef&lt;=DiasAlerta,"Vence en "&amp;($AN273-FechaRef)&amp;IF($AN273-FechaRef=1," día"," días"),"En plazo")))))))</f>
        <v/>
      </c>
      <c r="P273" s="62" t="n"/>
      <c r="Q273" s="58" t="n"/>
      <c r="R273" s="63">
        <f>IF(NOT((COUNTA($B273:$D273)+COUNTA($G273:$L273)+COUNTA($Q273))&gt;0),"",IF((IF($C273="","Falta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",""))="","✔ OK","⚠ "&amp;LEFT(IF($C273="","Falta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",""),LEN(IF($C273="","Falta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",""))-3)))</f>
        <v/>
      </c>
      <c r="S273" s="64">
        <f>IF(NOT((COUNTA($B273:$D273)+COUNTA($G273:$L273)+COUNTA($Q273))&gt;0),"",IF(AND($V273="Sub",N($U273)&gt;0),IF(ISNUMBER(INDEX($AM$5:$AM$1000,$U273-4)),DATE(YEAR(INDEX($AM$5:$AM$1000,$U273-4)),MONTH(INDEX($AM$5:$AM$1000,$U273-4)),1),IF(ISNUMBER(INDEX($AN$5:$AN$1000,$U273-4)),DATE(YEAR(INDEX($AN$5:$AN$1000,$U273-4)),MONTH(INDEX($AN$5:$AN$1000,$U273-4)),1),MesCiclo)),IF(ISNUMBER($AM273),DATE(YEAR($AM273),MONTH($AM273),1),IF(ISNUMBER($AN273),DATE(YEAR($AN273),MONTH($AN273),1),MesCiclo))))</f>
        <v/>
      </c>
      <c r="T273" s="62">
        <f>IF(OR($S273="",$S273&lt;&gt;MesCiclo),"",COUNTIF($S$5:$S273,MesCiclo))</f>
        <v/>
      </c>
      <c r="U273" s="62">
        <f>IF($V273="","",IF($V273="Macro",ROW(),IFERROR(LOOKUP(2,1/($V$5:$V273="Macro"),ROW($V$5:$V273)),0)))</f>
        <v/>
      </c>
      <c r="V273" s="62">
        <f>IF(NOT((COUNTA($B273:$D273)+COUNTA($G273:$L273)+COUNTA($Q273))&gt;0),"",IF($B273="Subactividad","Sub","Macro"))</f>
        <v/>
      </c>
      <c r="W273" s="62">
        <f>IF($V273="Macro",COUNTIFS($U$5:$U$1000,ROW(),$V$5:$V$1000,"Sub"),"")</f>
        <v/>
      </c>
      <c r="X273" s="62">
        <f>IF($V273="","",IF(ISNUMBER($G273),1,IFERROR(LOOKUP(2,1/($I273:$L273&lt;&gt;""),$I273:$L273),0)))</f>
        <v/>
      </c>
      <c r="Y273" s="62">
        <f>IF($V273="","",IF(AND(ISNUMBER($G273),$G273&lt;=IF($S273=MesCiclo,InicioCiclo,$S273+MOD(2-WEEKDAY($S273),7))+6),1,IF(ISNUMBER($I273),$I273,0)))</f>
        <v/>
      </c>
      <c r="Z273" s="62">
        <f>IF($V273="","",IF(AND(ISNUMBER($G273),$G273&lt;=IF($S273=MesCiclo,InicioCiclo,$S273+MOD(2-WEEKDAY($S273),7))+13),1,IF(ISNUMBER($J273),$J273,$Y273)))</f>
        <v/>
      </c>
      <c r="AA273" s="62">
        <f>IF($V273="","",IF(AND(ISNUMBER($G273),$G273&lt;=IF($S273=MesCiclo,InicioCiclo,$S273+MOD(2-WEEKDAY($S273),7))+20),1,IF(ISNUMBER($K273),$K273,$Z273)))</f>
        <v/>
      </c>
      <c r="AB273" s="62">
        <f>IF($V273="","",IF(AND(ISNUMBER($G273),$G273&lt;=IF($S273=MesCiclo,InicioCiclo,$S273+MOD(2-WEEKDAY($S273),7))+27),1,IF(ISNUMBER($L273),$L273,$AA273)))</f>
        <v/>
      </c>
      <c r="AC273" s="62">
        <f>IF($V273="","",IF(AND(ISNUMBER($G273),$G273&lt;=IF($S273=MesCiclo,InicioCiclo,$S273+MOD(2-WEEKDAY($S273),7))+6),1,IF(N($W273)&gt;0,AVERAGEIFS($Y$5:$Y$1000,$U$5:$U$1000,ROW(),$V$5:$V$1000,"Sub"),$Y273)))</f>
        <v/>
      </c>
      <c r="AD273" s="62">
        <f>IF($V273="","",IF(AND(ISNUMBER($G273),$G273&lt;=IF($S273=MesCiclo,InicioCiclo,$S273+MOD(2-WEEKDAY($S273),7))+13),1,IF(N($W273)&gt;0,AVERAGEIFS($Z$5:$Z$1000,$U$5:$U$1000,ROW(),$V$5:$V$1000,"Sub"),$Z273)))</f>
        <v/>
      </c>
      <c r="AE273" s="62">
        <f>IF($V273="","",IF(AND(ISNUMBER($G273),$G273&lt;=IF($S273=MesCiclo,InicioCiclo,$S273+MOD(2-WEEKDAY($S273),7))+20),1,IF(N($W273)&gt;0,AVERAGEIFS($AA$5:$AA$1000,$U$5:$U$1000,ROW(),$V$5:$V$1000,"Sub"),$AA273)))</f>
        <v/>
      </c>
      <c r="AF273" s="62">
        <f>IF($V273="","",IF(AND(ISNUMBER($G273),$G273&lt;=IF($S273=MesCiclo,InicioCiclo,$S273+MOD(2-WEEKDAY($S273),7))+27),1,IF(N($W273)&gt;0,AVERAGEIFS($AB$5:$AB$1000,$U$5:$U$1000,ROW(),$V$5:$V$1000,"Sub"),$AB273)))</f>
        <v/>
      </c>
      <c r="AG273" s="62">
        <f>IF($V273&lt;&gt;"Macro","",IF(COUNTIFS($S$5:$S$1000,$S273,$V$5:$V$1000,"Macro",$H$5:$H$1000,"&gt;0")=0,1/COUNTIFS($S$5:$S$1000,$S273,$V$5:$V$1000,"Macro"),IF(AND(ISNUMBER($H273),N($H273)&gt;0),$H273,SUMIFS($H$5:$H$1000,$S$5:$S$1000,$S273,$V$5:$V$1000,"Macro")/COUNTIFS($S$5:$S$1000,$S273,$V$5:$V$1000,"Macro",$H$5:$H$1000,"&gt;0"))/(COUNTIFS($S$5:$S$1000,$S273,$V$5:$V$1000,"Macro")*SUMIFS($H$5:$H$1000,$S$5:$S$1000,$S273,$V$5:$V$1000,"Macro")/COUNTIFS($S$5:$S$1000,$S273,$V$5:$V$1000,"Macro",$H$5:$H$1000,"&gt;0"))))</f>
        <v/>
      </c>
      <c r="AH273" s="62" t="n"/>
      <c r="AI273" s="62" t="n"/>
      <c r="AJ273" s="62" t="n"/>
      <c r="AK273" s="62" t="n"/>
      <c r="AL273" s="62">
        <f>IF(LEFT($C273,11)="[Jefatura] ",IFERROR(MATCH("Asistente Técnico de Riesgo|"&amp;MID($C273,12,500),rDname_ADM,0),0),"")</f>
        <v/>
      </c>
      <c r="AM273" s="62">
        <f>IF(N($AL273)&gt;0,INDEX(rIni_ADM,$AL273),IF(ISNUMBER($E273),$E273,""))</f>
        <v/>
      </c>
      <c r="AN273" s="62">
        <f>IF(N($AL273)&gt;0,INDEX(rLim_ADM,$AL273),IF(ISNUMBER($F273),$F273,""))</f>
        <v/>
      </c>
    </row>
    <row r="274">
      <c r="A274" s="56">
        <f>IF(NOT((COUNTA($B274:$D274)+COUNTA($G274:$L274)+COUNTA($Q274))&gt;0),"",IF($V274="Macro",COUNTIFS($V$5:$V274,"Macro",$S$5:$S274,$S274),IF(N($U274)=0,"?",COUNTIFS(INDEX($V$5:$V$1000,1):INDEX($V$5:$V$1000,$U274-4),"Macro",INDEX($S$5:$S$1000,1):INDEX($S$5:$S$1000,$U274-4),INDEX($S$5:$S$1000,$U274-4))&amp;"."&amp;COUNTIFS($U$5:$U274,$U274,$V$5:$V274,"Sub"))))</f>
        <v/>
      </c>
      <c r="B274" s="57" t="n"/>
      <c r="C274" s="58" t="n"/>
      <c r="D274" s="58" t="n"/>
      <c r="E274" s="59">
        <f>IF(N($AL274)&gt;0,INDEX(rIni_ADM,$AL274),"")</f>
        <v/>
      </c>
      <c r="F274" s="59">
        <f>IF(N($AL274)&gt;0,INDEX(rLim_ADM,$AL274),"")</f>
        <v/>
      </c>
      <c r="G274" s="59" t="n"/>
      <c r="H274" s="60" t="n"/>
      <c r="I274" s="60" t="n"/>
      <c r="J274" s="60" t="n"/>
      <c r="K274" s="60" t="n"/>
      <c r="L274" s="60" t="n"/>
      <c r="M274" s="61">
        <f>IF(NOT((COUNTA($B274:$D274)+COUNTA($G274:$L274)+COUNTA($Q274))&gt;0),"",IF(ISNUMBER($G274),1,IF(N($W274)&gt;0,AVERAGEIFS($X$5:$X$1000,$U$5:$U$1000,ROW(),$V$5:$V$1000,"Sub"),$X274)))</f>
        <v/>
      </c>
      <c r="N274" s="56">
        <f>IF($M274="","",IF($M274&gt;=1,"Completado",IF($M274&gt;0,"En curso","Pendiente")))</f>
        <v/>
      </c>
      <c r="O274" s="56">
        <f>IF(NOT((COUNTA($B274:$D274)+COUNTA($G274:$L274)+COUNTA($Q274))&gt;0),"",IF(ISNUMBER($G274),IF(AND(ISNUMBER($AN274),$G274&gt;$AN274),"Cumplida con "&amp;($G274-$AN274)&amp;IF($G274-$AN274=1," día"," días")&amp;" de retraso","Cumplida"),IF(N($M274)&gt;=1,"Cumplida",IF(NOT(ISNUMBER($AN274)),"Sin fecha límite",IF($AN274&lt;FechaRef,"Vencida hace "&amp;(FechaRef-$AN274)&amp;IF(FechaRef-$AN274=1," día"," días"),IF($AN274=FechaRef,"Vence hoy",IF($AN274-FechaRef&lt;=DiasAlerta,"Vence en "&amp;($AN274-FechaRef)&amp;IF($AN274-FechaRef=1," día"," días"),"En plazo")))))))</f>
        <v/>
      </c>
      <c r="P274" s="62" t="n"/>
      <c r="Q274" s="58" t="n"/>
      <c r="R274" s="63">
        <f>IF(NOT((COUNTA($B274:$D274)+COUNTA($G274:$L274)+COUNTA($Q274))&gt;0),"",IF((IF($C274="","Falta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",""))="","✔ OK","⚠ "&amp;LEFT(IF($C274="","Falta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",""),LEN(IF($C274="","Falta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",""))-3)))</f>
        <v/>
      </c>
      <c r="S274" s="64">
        <f>IF(NOT((COUNTA($B274:$D274)+COUNTA($G274:$L274)+COUNTA($Q274))&gt;0),"",IF(AND($V274="Sub",N($U274)&gt;0),IF(ISNUMBER(INDEX($AM$5:$AM$1000,$U274-4)),DATE(YEAR(INDEX($AM$5:$AM$1000,$U274-4)),MONTH(INDEX($AM$5:$AM$1000,$U274-4)),1),IF(ISNUMBER(INDEX($AN$5:$AN$1000,$U274-4)),DATE(YEAR(INDEX($AN$5:$AN$1000,$U274-4)),MONTH(INDEX($AN$5:$AN$1000,$U274-4)),1),MesCiclo)),IF(ISNUMBER($AM274),DATE(YEAR($AM274),MONTH($AM274),1),IF(ISNUMBER($AN274),DATE(YEAR($AN274),MONTH($AN274),1),MesCiclo))))</f>
        <v/>
      </c>
      <c r="T274" s="62">
        <f>IF(OR($S274="",$S274&lt;&gt;MesCiclo),"",COUNTIF($S$5:$S274,MesCiclo))</f>
        <v/>
      </c>
      <c r="U274" s="62">
        <f>IF($V274="","",IF($V274="Macro",ROW(),IFERROR(LOOKUP(2,1/($V$5:$V274="Macro"),ROW($V$5:$V274)),0)))</f>
        <v/>
      </c>
      <c r="V274" s="62">
        <f>IF(NOT((COUNTA($B274:$D274)+COUNTA($G274:$L274)+COUNTA($Q274))&gt;0),"",IF($B274="Subactividad","Sub","Macro"))</f>
        <v/>
      </c>
      <c r="W274" s="62">
        <f>IF($V274="Macro",COUNTIFS($U$5:$U$1000,ROW(),$V$5:$V$1000,"Sub"),"")</f>
        <v/>
      </c>
      <c r="X274" s="62">
        <f>IF($V274="","",IF(ISNUMBER($G274),1,IFERROR(LOOKUP(2,1/($I274:$L274&lt;&gt;""),$I274:$L274),0)))</f>
        <v/>
      </c>
      <c r="Y274" s="62">
        <f>IF($V274="","",IF(AND(ISNUMBER($G274),$G274&lt;=IF($S274=MesCiclo,InicioCiclo,$S274+MOD(2-WEEKDAY($S274),7))+6),1,IF(ISNUMBER($I274),$I274,0)))</f>
        <v/>
      </c>
      <c r="Z274" s="62">
        <f>IF($V274="","",IF(AND(ISNUMBER($G274),$G274&lt;=IF($S274=MesCiclo,InicioCiclo,$S274+MOD(2-WEEKDAY($S274),7))+13),1,IF(ISNUMBER($J274),$J274,$Y274)))</f>
        <v/>
      </c>
      <c r="AA274" s="62">
        <f>IF($V274="","",IF(AND(ISNUMBER($G274),$G274&lt;=IF($S274=MesCiclo,InicioCiclo,$S274+MOD(2-WEEKDAY($S274),7))+20),1,IF(ISNUMBER($K274),$K274,$Z274)))</f>
        <v/>
      </c>
      <c r="AB274" s="62">
        <f>IF($V274="","",IF(AND(ISNUMBER($G274),$G274&lt;=IF($S274=MesCiclo,InicioCiclo,$S274+MOD(2-WEEKDAY($S274),7))+27),1,IF(ISNUMBER($L274),$L274,$AA274)))</f>
        <v/>
      </c>
      <c r="AC274" s="62">
        <f>IF($V274="","",IF(AND(ISNUMBER($G274),$G274&lt;=IF($S274=MesCiclo,InicioCiclo,$S274+MOD(2-WEEKDAY($S274),7))+6),1,IF(N($W274)&gt;0,AVERAGEIFS($Y$5:$Y$1000,$U$5:$U$1000,ROW(),$V$5:$V$1000,"Sub"),$Y274)))</f>
        <v/>
      </c>
      <c r="AD274" s="62">
        <f>IF($V274="","",IF(AND(ISNUMBER($G274),$G274&lt;=IF($S274=MesCiclo,InicioCiclo,$S274+MOD(2-WEEKDAY($S274),7))+13),1,IF(N($W274)&gt;0,AVERAGEIFS($Z$5:$Z$1000,$U$5:$U$1000,ROW(),$V$5:$V$1000,"Sub"),$Z274)))</f>
        <v/>
      </c>
      <c r="AE274" s="62">
        <f>IF($V274="","",IF(AND(ISNUMBER($G274),$G274&lt;=IF($S274=MesCiclo,InicioCiclo,$S274+MOD(2-WEEKDAY($S274),7))+20),1,IF(N($W274)&gt;0,AVERAGEIFS($AA$5:$AA$1000,$U$5:$U$1000,ROW(),$V$5:$V$1000,"Sub"),$AA274)))</f>
        <v/>
      </c>
      <c r="AF274" s="62">
        <f>IF($V274="","",IF(AND(ISNUMBER($G274),$G274&lt;=IF($S274=MesCiclo,InicioCiclo,$S274+MOD(2-WEEKDAY($S274),7))+27),1,IF(N($W274)&gt;0,AVERAGEIFS($AB$5:$AB$1000,$U$5:$U$1000,ROW(),$V$5:$V$1000,"Sub"),$AB274)))</f>
        <v/>
      </c>
      <c r="AG274" s="62">
        <f>IF($V274&lt;&gt;"Macro","",IF(COUNTIFS($S$5:$S$1000,$S274,$V$5:$V$1000,"Macro",$H$5:$H$1000,"&gt;0")=0,1/COUNTIFS($S$5:$S$1000,$S274,$V$5:$V$1000,"Macro"),IF(AND(ISNUMBER($H274),N($H274)&gt;0),$H274,SUMIFS($H$5:$H$1000,$S$5:$S$1000,$S274,$V$5:$V$1000,"Macro")/COUNTIFS($S$5:$S$1000,$S274,$V$5:$V$1000,"Macro",$H$5:$H$1000,"&gt;0"))/(COUNTIFS($S$5:$S$1000,$S274,$V$5:$V$1000,"Macro")*SUMIFS($H$5:$H$1000,$S$5:$S$1000,$S274,$V$5:$V$1000,"Macro")/COUNTIFS($S$5:$S$1000,$S274,$V$5:$V$1000,"Macro",$H$5:$H$1000,"&gt;0"))))</f>
        <v/>
      </c>
      <c r="AH274" s="62" t="n"/>
      <c r="AI274" s="62" t="n"/>
      <c r="AJ274" s="62" t="n"/>
      <c r="AK274" s="62" t="n"/>
      <c r="AL274" s="62">
        <f>IF(LEFT($C274,11)="[Jefatura] ",IFERROR(MATCH("Asistente Técnico de Riesgo|"&amp;MID($C274,12,500),rDname_ADM,0),0),"")</f>
        <v/>
      </c>
      <c r="AM274" s="62">
        <f>IF(N($AL274)&gt;0,INDEX(rIni_ADM,$AL274),IF(ISNUMBER($E274),$E274,""))</f>
        <v/>
      </c>
      <c r="AN274" s="62">
        <f>IF(N($AL274)&gt;0,INDEX(rLim_ADM,$AL274),IF(ISNUMBER($F274),$F274,""))</f>
        <v/>
      </c>
    </row>
    <row r="275">
      <c r="A275" s="56">
        <f>IF(NOT((COUNTA($B275:$D275)+COUNTA($G275:$L275)+COUNTA($Q275))&gt;0),"",IF($V275="Macro",COUNTIFS($V$5:$V275,"Macro",$S$5:$S275,$S275),IF(N($U275)=0,"?",COUNTIFS(INDEX($V$5:$V$1000,1):INDEX($V$5:$V$1000,$U275-4),"Macro",INDEX($S$5:$S$1000,1):INDEX($S$5:$S$1000,$U275-4),INDEX($S$5:$S$1000,$U275-4))&amp;"."&amp;COUNTIFS($U$5:$U275,$U275,$V$5:$V275,"Sub"))))</f>
        <v/>
      </c>
      <c r="B275" s="57" t="n"/>
      <c r="C275" s="58" t="n"/>
      <c r="D275" s="58" t="n"/>
      <c r="E275" s="59">
        <f>IF(N($AL275)&gt;0,INDEX(rIni_ADM,$AL275),"")</f>
        <v/>
      </c>
      <c r="F275" s="59">
        <f>IF(N($AL275)&gt;0,INDEX(rLim_ADM,$AL275),"")</f>
        <v/>
      </c>
      <c r="G275" s="59" t="n"/>
      <c r="H275" s="60" t="n"/>
      <c r="I275" s="60" t="n"/>
      <c r="J275" s="60" t="n"/>
      <c r="K275" s="60" t="n"/>
      <c r="L275" s="60" t="n"/>
      <c r="M275" s="61">
        <f>IF(NOT((COUNTA($B275:$D275)+COUNTA($G275:$L275)+COUNTA($Q275))&gt;0),"",IF(ISNUMBER($G275),1,IF(N($W275)&gt;0,AVERAGEIFS($X$5:$X$1000,$U$5:$U$1000,ROW(),$V$5:$V$1000,"Sub"),$X275)))</f>
        <v/>
      </c>
      <c r="N275" s="56">
        <f>IF($M275="","",IF($M275&gt;=1,"Completado",IF($M275&gt;0,"En curso","Pendiente")))</f>
        <v/>
      </c>
      <c r="O275" s="56">
        <f>IF(NOT((COUNTA($B275:$D275)+COUNTA($G275:$L275)+COUNTA($Q275))&gt;0),"",IF(ISNUMBER($G275),IF(AND(ISNUMBER($AN275),$G275&gt;$AN275),"Cumplida con "&amp;($G275-$AN275)&amp;IF($G275-$AN275=1," día"," días")&amp;" de retraso","Cumplida"),IF(N($M275)&gt;=1,"Cumplida",IF(NOT(ISNUMBER($AN275)),"Sin fecha límite",IF($AN275&lt;FechaRef,"Vencida hace "&amp;(FechaRef-$AN275)&amp;IF(FechaRef-$AN275=1," día"," días"),IF($AN275=FechaRef,"Vence hoy",IF($AN275-FechaRef&lt;=DiasAlerta,"Vence en "&amp;($AN275-FechaRef)&amp;IF($AN275-FechaRef=1," día"," días"),"En plazo")))))))</f>
        <v/>
      </c>
      <c r="P275" s="62" t="n"/>
      <c r="Q275" s="58" t="n"/>
      <c r="R275" s="63">
        <f>IF(NOT((COUNTA($B275:$D275)+COUNTA($G275:$L275)+COUNTA($Q275))&gt;0),"",IF((IF($C275="","Falta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",""))="","✔ OK","⚠ "&amp;LEFT(IF($C275="","Falta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",""),LEN(IF($C275="","Falta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",""))-3)))</f>
        <v/>
      </c>
      <c r="S275" s="64">
        <f>IF(NOT((COUNTA($B275:$D275)+COUNTA($G275:$L275)+COUNTA($Q275))&gt;0),"",IF(AND($V275="Sub",N($U275)&gt;0),IF(ISNUMBER(INDEX($AM$5:$AM$1000,$U275-4)),DATE(YEAR(INDEX($AM$5:$AM$1000,$U275-4)),MONTH(INDEX($AM$5:$AM$1000,$U275-4)),1),IF(ISNUMBER(INDEX($AN$5:$AN$1000,$U275-4)),DATE(YEAR(INDEX($AN$5:$AN$1000,$U275-4)),MONTH(INDEX($AN$5:$AN$1000,$U275-4)),1),MesCiclo)),IF(ISNUMBER($AM275),DATE(YEAR($AM275),MONTH($AM275),1),IF(ISNUMBER($AN275),DATE(YEAR($AN275),MONTH($AN275),1),MesCiclo))))</f>
        <v/>
      </c>
      <c r="T275" s="62">
        <f>IF(OR($S275="",$S275&lt;&gt;MesCiclo),"",COUNTIF($S$5:$S275,MesCiclo))</f>
        <v/>
      </c>
      <c r="U275" s="62">
        <f>IF($V275="","",IF($V275="Macro",ROW(),IFERROR(LOOKUP(2,1/($V$5:$V275="Macro"),ROW($V$5:$V275)),0)))</f>
        <v/>
      </c>
      <c r="V275" s="62">
        <f>IF(NOT((COUNTA($B275:$D275)+COUNTA($G275:$L275)+COUNTA($Q275))&gt;0),"",IF($B275="Subactividad","Sub","Macro"))</f>
        <v/>
      </c>
      <c r="W275" s="62">
        <f>IF($V275="Macro",COUNTIFS($U$5:$U$1000,ROW(),$V$5:$V$1000,"Sub"),"")</f>
        <v/>
      </c>
      <c r="X275" s="62">
        <f>IF($V275="","",IF(ISNUMBER($G275),1,IFERROR(LOOKUP(2,1/($I275:$L275&lt;&gt;""),$I275:$L275),0)))</f>
        <v/>
      </c>
      <c r="Y275" s="62">
        <f>IF($V275="","",IF(AND(ISNUMBER($G275),$G275&lt;=IF($S275=MesCiclo,InicioCiclo,$S275+MOD(2-WEEKDAY($S275),7))+6),1,IF(ISNUMBER($I275),$I275,0)))</f>
        <v/>
      </c>
      <c r="Z275" s="62">
        <f>IF($V275="","",IF(AND(ISNUMBER($G275),$G275&lt;=IF($S275=MesCiclo,InicioCiclo,$S275+MOD(2-WEEKDAY($S275),7))+13),1,IF(ISNUMBER($J275),$J275,$Y275)))</f>
        <v/>
      </c>
      <c r="AA275" s="62">
        <f>IF($V275="","",IF(AND(ISNUMBER($G275),$G275&lt;=IF($S275=MesCiclo,InicioCiclo,$S275+MOD(2-WEEKDAY($S275),7))+20),1,IF(ISNUMBER($K275),$K275,$Z275)))</f>
        <v/>
      </c>
      <c r="AB275" s="62">
        <f>IF($V275="","",IF(AND(ISNUMBER($G275),$G275&lt;=IF($S275=MesCiclo,InicioCiclo,$S275+MOD(2-WEEKDAY($S275),7))+27),1,IF(ISNUMBER($L275),$L275,$AA275)))</f>
        <v/>
      </c>
      <c r="AC275" s="62">
        <f>IF($V275="","",IF(AND(ISNUMBER($G275),$G275&lt;=IF($S275=MesCiclo,InicioCiclo,$S275+MOD(2-WEEKDAY($S275),7))+6),1,IF(N($W275)&gt;0,AVERAGEIFS($Y$5:$Y$1000,$U$5:$U$1000,ROW(),$V$5:$V$1000,"Sub"),$Y275)))</f>
        <v/>
      </c>
      <c r="AD275" s="62">
        <f>IF($V275="","",IF(AND(ISNUMBER($G275),$G275&lt;=IF($S275=MesCiclo,InicioCiclo,$S275+MOD(2-WEEKDAY($S275),7))+13),1,IF(N($W275)&gt;0,AVERAGEIFS($Z$5:$Z$1000,$U$5:$U$1000,ROW(),$V$5:$V$1000,"Sub"),$Z275)))</f>
        <v/>
      </c>
      <c r="AE275" s="62">
        <f>IF($V275="","",IF(AND(ISNUMBER($G275),$G275&lt;=IF($S275=MesCiclo,InicioCiclo,$S275+MOD(2-WEEKDAY($S275),7))+20),1,IF(N($W275)&gt;0,AVERAGEIFS($AA$5:$AA$1000,$U$5:$U$1000,ROW(),$V$5:$V$1000,"Sub"),$AA275)))</f>
        <v/>
      </c>
      <c r="AF275" s="62">
        <f>IF($V275="","",IF(AND(ISNUMBER($G275),$G275&lt;=IF($S275=MesCiclo,InicioCiclo,$S275+MOD(2-WEEKDAY($S275),7))+27),1,IF(N($W275)&gt;0,AVERAGEIFS($AB$5:$AB$1000,$U$5:$U$1000,ROW(),$V$5:$V$1000,"Sub"),$AB275)))</f>
        <v/>
      </c>
      <c r="AG275" s="62">
        <f>IF($V275&lt;&gt;"Macro","",IF(COUNTIFS($S$5:$S$1000,$S275,$V$5:$V$1000,"Macro",$H$5:$H$1000,"&gt;0")=0,1/COUNTIFS($S$5:$S$1000,$S275,$V$5:$V$1000,"Macro"),IF(AND(ISNUMBER($H275),N($H275)&gt;0),$H275,SUMIFS($H$5:$H$1000,$S$5:$S$1000,$S275,$V$5:$V$1000,"Macro")/COUNTIFS($S$5:$S$1000,$S275,$V$5:$V$1000,"Macro",$H$5:$H$1000,"&gt;0"))/(COUNTIFS($S$5:$S$1000,$S275,$V$5:$V$1000,"Macro")*SUMIFS($H$5:$H$1000,$S$5:$S$1000,$S275,$V$5:$V$1000,"Macro")/COUNTIFS($S$5:$S$1000,$S275,$V$5:$V$1000,"Macro",$H$5:$H$1000,"&gt;0"))))</f>
        <v/>
      </c>
      <c r="AH275" s="62" t="n"/>
      <c r="AI275" s="62" t="n"/>
      <c r="AJ275" s="62" t="n"/>
      <c r="AK275" s="62" t="n"/>
      <c r="AL275" s="62">
        <f>IF(LEFT($C275,11)="[Jefatura] ",IFERROR(MATCH("Asistente Técnico de Riesgo|"&amp;MID($C275,12,500),rDname_ADM,0),0),"")</f>
        <v/>
      </c>
      <c r="AM275" s="62">
        <f>IF(N($AL275)&gt;0,INDEX(rIni_ADM,$AL275),IF(ISNUMBER($E275),$E275,""))</f>
        <v/>
      </c>
      <c r="AN275" s="62">
        <f>IF(N($AL275)&gt;0,INDEX(rLim_ADM,$AL275),IF(ISNUMBER($F275),$F275,""))</f>
        <v/>
      </c>
    </row>
    <row r="276">
      <c r="A276" s="56">
        <f>IF(NOT((COUNTA($B276:$D276)+COUNTA($G276:$L276)+COUNTA($Q276))&gt;0),"",IF($V276="Macro",COUNTIFS($V$5:$V276,"Macro",$S$5:$S276,$S276),IF(N($U276)=0,"?",COUNTIFS(INDEX($V$5:$V$1000,1):INDEX($V$5:$V$1000,$U276-4),"Macro",INDEX($S$5:$S$1000,1):INDEX($S$5:$S$1000,$U276-4),INDEX($S$5:$S$1000,$U276-4))&amp;"."&amp;COUNTIFS($U$5:$U276,$U276,$V$5:$V276,"Sub"))))</f>
        <v/>
      </c>
      <c r="B276" s="57" t="n"/>
      <c r="C276" s="58" t="n"/>
      <c r="D276" s="58" t="n"/>
      <c r="E276" s="59">
        <f>IF(N($AL276)&gt;0,INDEX(rIni_ADM,$AL276),"")</f>
        <v/>
      </c>
      <c r="F276" s="59">
        <f>IF(N($AL276)&gt;0,INDEX(rLim_ADM,$AL276),"")</f>
        <v/>
      </c>
      <c r="G276" s="59" t="n"/>
      <c r="H276" s="60" t="n"/>
      <c r="I276" s="60" t="n"/>
      <c r="J276" s="60" t="n"/>
      <c r="K276" s="60" t="n"/>
      <c r="L276" s="60" t="n"/>
      <c r="M276" s="61">
        <f>IF(NOT((COUNTA($B276:$D276)+COUNTA($G276:$L276)+COUNTA($Q276))&gt;0),"",IF(ISNUMBER($G276),1,IF(N($W276)&gt;0,AVERAGEIFS($X$5:$X$1000,$U$5:$U$1000,ROW(),$V$5:$V$1000,"Sub"),$X276)))</f>
        <v/>
      </c>
      <c r="N276" s="56">
        <f>IF($M276="","",IF($M276&gt;=1,"Completado",IF($M276&gt;0,"En curso","Pendiente")))</f>
        <v/>
      </c>
      <c r="O276" s="56">
        <f>IF(NOT((COUNTA($B276:$D276)+COUNTA($G276:$L276)+COUNTA($Q276))&gt;0),"",IF(ISNUMBER($G276),IF(AND(ISNUMBER($AN276),$G276&gt;$AN276),"Cumplida con "&amp;($G276-$AN276)&amp;IF($G276-$AN276=1," día"," días")&amp;" de retraso","Cumplida"),IF(N($M276)&gt;=1,"Cumplida",IF(NOT(ISNUMBER($AN276)),"Sin fecha límite",IF($AN276&lt;FechaRef,"Vencida hace "&amp;(FechaRef-$AN276)&amp;IF(FechaRef-$AN276=1," día"," días"),IF($AN276=FechaRef,"Vence hoy",IF($AN276-FechaRef&lt;=DiasAlerta,"Vence en "&amp;($AN276-FechaRef)&amp;IF($AN276-FechaRef=1," día"," días"),"En plazo")))))))</f>
        <v/>
      </c>
      <c r="P276" s="62" t="n"/>
      <c r="Q276" s="58" t="n"/>
      <c r="R276" s="63">
        <f>IF(NOT((COUNTA($B276:$D276)+COUNTA($G276:$L276)+COUNTA($Q276))&gt;0),"",IF((IF($C276="","Falta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",""))="","✔ OK","⚠ "&amp;LEFT(IF($C276="","Falta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",""),LEN(IF($C276="","Falta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",""))-3)))</f>
        <v/>
      </c>
      <c r="S276" s="64">
        <f>IF(NOT((COUNTA($B276:$D276)+COUNTA($G276:$L276)+COUNTA($Q276))&gt;0),"",IF(AND($V276="Sub",N($U276)&gt;0),IF(ISNUMBER(INDEX($AM$5:$AM$1000,$U276-4)),DATE(YEAR(INDEX($AM$5:$AM$1000,$U276-4)),MONTH(INDEX($AM$5:$AM$1000,$U276-4)),1),IF(ISNUMBER(INDEX($AN$5:$AN$1000,$U276-4)),DATE(YEAR(INDEX($AN$5:$AN$1000,$U276-4)),MONTH(INDEX($AN$5:$AN$1000,$U276-4)),1),MesCiclo)),IF(ISNUMBER($AM276),DATE(YEAR($AM276),MONTH($AM276),1),IF(ISNUMBER($AN276),DATE(YEAR($AN276),MONTH($AN276),1),MesCiclo))))</f>
        <v/>
      </c>
      <c r="T276" s="62">
        <f>IF(OR($S276="",$S276&lt;&gt;MesCiclo),"",COUNTIF($S$5:$S276,MesCiclo))</f>
        <v/>
      </c>
      <c r="U276" s="62">
        <f>IF($V276="","",IF($V276="Macro",ROW(),IFERROR(LOOKUP(2,1/($V$5:$V276="Macro"),ROW($V$5:$V276)),0)))</f>
        <v/>
      </c>
      <c r="V276" s="62">
        <f>IF(NOT((COUNTA($B276:$D276)+COUNTA($G276:$L276)+COUNTA($Q276))&gt;0),"",IF($B276="Subactividad","Sub","Macro"))</f>
        <v/>
      </c>
      <c r="W276" s="62">
        <f>IF($V276="Macro",COUNTIFS($U$5:$U$1000,ROW(),$V$5:$V$1000,"Sub"),"")</f>
        <v/>
      </c>
      <c r="X276" s="62">
        <f>IF($V276="","",IF(ISNUMBER($G276),1,IFERROR(LOOKUP(2,1/($I276:$L276&lt;&gt;""),$I276:$L276),0)))</f>
        <v/>
      </c>
      <c r="Y276" s="62">
        <f>IF($V276="","",IF(AND(ISNUMBER($G276),$G276&lt;=IF($S276=MesCiclo,InicioCiclo,$S276+MOD(2-WEEKDAY($S276),7))+6),1,IF(ISNUMBER($I276),$I276,0)))</f>
        <v/>
      </c>
      <c r="Z276" s="62">
        <f>IF($V276="","",IF(AND(ISNUMBER($G276),$G276&lt;=IF($S276=MesCiclo,InicioCiclo,$S276+MOD(2-WEEKDAY($S276),7))+13),1,IF(ISNUMBER($J276),$J276,$Y276)))</f>
        <v/>
      </c>
      <c r="AA276" s="62">
        <f>IF($V276="","",IF(AND(ISNUMBER($G276),$G276&lt;=IF($S276=MesCiclo,InicioCiclo,$S276+MOD(2-WEEKDAY($S276),7))+20),1,IF(ISNUMBER($K276),$K276,$Z276)))</f>
        <v/>
      </c>
      <c r="AB276" s="62">
        <f>IF($V276="","",IF(AND(ISNUMBER($G276),$G276&lt;=IF($S276=MesCiclo,InicioCiclo,$S276+MOD(2-WEEKDAY($S276),7))+27),1,IF(ISNUMBER($L276),$L276,$AA276)))</f>
        <v/>
      </c>
      <c r="AC276" s="62">
        <f>IF($V276="","",IF(AND(ISNUMBER($G276),$G276&lt;=IF($S276=MesCiclo,InicioCiclo,$S276+MOD(2-WEEKDAY($S276),7))+6),1,IF(N($W276)&gt;0,AVERAGEIFS($Y$5:$Y$1000,$U$5:$U$1000,ROW(),$V$5:$V$1000,"Sub"),$Y276)))</f>
        <v/>
      </c>
      <c r="AD276" s="62">
        <f>IF($V276="","",IF(AND(ISNUMBER($G276),$G276&lt;=IF($S276=MesCiclo,InicioCiclo,$S276+MOD(2-WEEKDAY($S276),7))+13),1,IF(N($W276)&gt;0,AVERAGEIFS($Z$5:$Z$1000,$U$5:$U$1000,ROW(),$V$5:$V$1000,"Sub"),$Z276)))</f>
        <v/>
      </c>
      <c r="AE276" s="62">
        <f>IF($V276="","",IF(AND(ISNUMBER($G276),$G276&lt;=IF($S276=MesCiclo,InicioCiclo,$S276+MOD(2-WEEKDAY($S276),7))+20),1,IF(N($W276)&gt;0,AVERAGEIFS($AA$5:$AA$1000,$U$5:$U$1000,ROW(),$V$5:$V$1000,"Sub"),$AA276)))</f>
        <v/>
      </c>
      <c r="AF276" s="62">
        <f>IF($V276="","",IF(AND(ISNUMBER($G276),$G276&lt;=IF($S276=MesCiclo,InicioCiclo,$S276+MOD(2-WEEKDAY($S276),7))+27),1,IF(N($W276)&gt;0,AVERAGEIFS($AB$5:$AB$1000,$U$5:$U$1000,ROW(),$V$5:$V$1000,"Sub"),$AB276)))</f>
        <v/>
      </c>
      <c r="AG276" s="62">
        <f>IF($V276&lt;&gt;"Macro","",IF(COUNTIFS($S$5:$S$1000,$S276,$V$5:$V$1000,"Macro",$H$5:$H$1000,"&gt;0")=0,1/COUNTIFS($S$5:$S$1000,$S276,$V$5:$V$1000,"Macro"),IF(AND(ISNUMBER($H276),N($H276)&gt;0),$H276,SUMIFS($H$5:$H$1000,$S$5:$S$1000,$S276,$V$5:$V$1000,"Macro")/COUNTIFS($S$5:$S$1000,$S276,$V$5:$V$1000,"Macro",$H$5:$H$1000,"&gt;0"))/(COUNTIFS($S$5:$S$1000,$S276,$V$5:$V$1000,"Macro")*SUMIFS($H$5:$H$1000,$S$5:$S$1000,$S276,$V$5:$V$1000,"Macro")/COUNTIFS($S$5:$S$1000,$S276,$V$5:$V$1000,"Macro",$H$5:$H$1000,"&gt;0"))))</f>
        <v/>
      </c>
      <c r="AH276" s="62" t="n"/>
      <c r="AI276" s="62" t="n"/>
      <c r="AJ276" s="62" t="n"/>
      <c r="AK276" s="62" t="n"/>
      <c r="AL276" s="62">
        <f>IF(LEFT($C276,11)="[Jefatura] ",IFERROR(MATCH("Asistente Técnico de Riesgo|"&amp;MID($C276,12,500),rDname_ADM,0),0),"")</f>
        <v/>
      </c>
      <c r="AM276" s="62">
        <f>IF(N($AL276)&gt;0,INDEX(rIni_ADM,$AL276),IF(ISNUMBER($E276),$E276,""))</f>
        <v/>
      </c>
      <c r="AN276" s="62">
        <f>IF(N($AL276)&gt;0,INDEX(rLim_ADM,$AL276),IF(ISNUMBER($F276),$F276,""))</f>
        <v/>
      </c>
    </row>
    <row r="277">
      <c r="A277" s="56">
        <f>IF(NOT((COUNTA($B277:$D277)+COUNTA($G277:$L277)+COUNTA($Q277))&gt;0),"",IF($V277="Macro",COUNTIFS($V$5:$V277,"Macro",$S$5:$S277,$S277),IF(N($U277)=0,"?",COUNTIFS(INDEX($V$5:$V$1000,1):INDEX($V$5:$V$1000,$U277-4),"Macro",INDEX($S$5:$S$1000,1):INDEX($S$5:$S$1000,$U277-4),INDEX($S$5:$S$1000,$U277-4))&amp;"."&amp;COUNTIFS($U$5:$U277,$U277,$V$5:$V277,"Sub"))))</f>
        <v/>
      </c>
      <c r="B277" s="57" t="n"/>
      <c r="C277" s="58" t="n"/>
      <c r="D277" s="58" t="n"/>
      <c r="E277" s="59">
        <f>IF(N($AL277)&gt;0,INDEX(rIni_ADM,$AL277),"")</f>
        <v/>
      </c>
      <c r="F277" s="59">
        <f>IF(N($AL277)&gt;0,INDEX(rLim_ADM,$AL277),"")</f>
        <v/>
      </c>
      <c r="G277" s="59" t="n"/>
      <c r="H277" s="60" t="n"/>
      <c r="I277" s="60" t="n"/>
      <c r="J277" s="60" t="n"/>
      <c r="K277" s="60" t="n"/>
      <c r="L277" s="60" t="n"/>
      <c r="M277" s="61">
        <f>IF(NOT((COUNTA($B277:$D277)+COUNTA($G277:$L277)+COUNTA($Q277))&gt;0),"",IF(ISNUMBER($G277),1,IF(N($W277)&gt;0,AVERAGEIFS($X$5:$X$1000,$U$5:$U$1000,ROW(),$V$5:$V$1000,"Sub"),$X277)))</f>
        <v/>
      </c>
      <c r="N277" s="56">
        <f>IF($M277="","",IF($M277&gt;=1,"Completado",IF($M277&gt;0,"En curso","Pendiente")))</f>
        <v/>
      </c>
      <c r="O277" s="56">
        <f>IF(NOT((COUNTA($B277:$D277)+COUNTA($G277:$L277)+COUNTA($Q277))&gt;0),"",IF(ISNUMBER($G277),IF(AND(ISNUMBER($AN277),$G277&gt;$AN277),"Cumplida con "&amp;($G277-$AN277)&amp;IF($G277-$AN277=1," día"," días")&amp;" de retraso","Cumplida"),IF(N($M277)&gt;=1,"Cumplida",IF(NOT(ISNUMBER($AN277)),"Sin fecha límite",IF($AN277&lt;FechaRef,"Vencida hace "&amp;(FechaRef-$AN277)&amp;IF(FechaRef-$AN277=1," día"," días"),IF($AN277=FechaRef,"Vence hoy",IF($AN277-FechaRef&lt;=DiasAlerta,"Vence en "&amp;($AN277-FechaRef)&amp;IF($AN277-FechaRef=1," día"," días"),"En plazo")))))))</f>
        <v/>
      </c>
      <c r="P277" s="62" t="n"/>
      <c r="Q277" s="58" t="n"/>
      <c r="R277" s="63">
        <f>IF(NOT((COUNTA($B277:$D277)+COUNTA($G277:$L277)+COUNTA($Q277))&gt;0),"",IF((IF($C277="","Falta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",""))="","✔ OK","⚠ "&amp;LEFT(IF($C277="","Falta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",""),LEN(IF($C277="","Falta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",""))-3)))</f>
        <v/>
      </c>
      <c r="S277" s="64">
        <f>IF(NOT((COUNTA($B277:$D277)+COUNTA($G277:$L277)+COUNTA($Q277))&gt;0),"",IF(AND($V277="Sub",N($U277)&gt;0),IF(ISNUMBER(INDEX($AM$5:$AM$1000,$U277-4)),DATE(YEAR(INDEX($AM$5:$AM$1000,$U277-4)),MONTH(INDEX($AM$5:$AM$1000,$U277-4)),1),IF(ISNUMBER(INDEX($AN$5:$AN$1000,$U277-4)),DATE(YEAR(INDEX($AN$5:$AN$1000,$U277-4)),MONTH(INDEX($AN$5:$AN$1000,$U277-4)),1),MesCiclo)),IF(ISNUMBER($AM277),DATE(YEAR($AM277),MONTH($AM277),1),IF(ISNUMBER($AN277),DATE(YEAR($AN277),MONTH($AN277),1),MesCiclo))))</f>
        <v/>
      </c>
      <c r="T277" s="62">
        <f>IF(OR($S277="",$S277&lt;&gt;MesCiclo),"",COUNTIF($S$5:$S277,MesCiclo))</f>
        <v/>
      </c>
      <c r="U277" s="62">
        <f>IF($V277="","",IF($V277="Macro",ROW(),IFERROR(LOOKUP(2,1/($V$5:$V277="Macro"),ROW($V$5:$V277)),0)))</f>
        <v/>
      </c>
      <c r="V277" s="62">
        <f>IF(NOT((COUNTA($B277:$D277)+COUNTA($G277:$L277)+COUNTA($Q277))&gt;0),"",IF($B277="Subactividad","Sub","Macro"))</f>
        <v/>
      </c>
      <c r="W277" s="62">
        <f>IF($V277="Macro",COUNTIFS($U$5:$U$1000,ROW(),$V$5:$V$1000,"Sub"),"")</f>
        <v/>
      </c>
      <c r="X277" s="62">
        <f>IF($V277="","",IF(ISNUMBER($G277),1,IFERROR(LOOKUP(2,1/($I277:$L277&lt;&gt;""),$I277:$L277),0)))</f>
        <v/>
      </c>
      <c r="Y277" s="62">
        <f>IF($V277="","",IF(AND(ISNUMBER($G277),$G277&lt;=IF($S277=MesCiclo,InicioCiclo,$S277+MOD(2-WEEKDAY($S277),7))+6),1,IF(ISNUMBER($I277),$I277,0)))</f>
        <v/>
      </c>
      <c r="Z277" s="62">
        <f>IF($V277="","",IF(AND(ISNUMBER($G277),$G277&lt;=IF($S277=MesCiclo,InicioCiclo,$S277+MOD(2-WEEKDAY($S277),7))+13),1,IF(ISNUMBER($J277),$J277,$Y277)))</f>
        <v/>
      </c>
      <c r="AA277" s="62">
        <f>IF($V277="","",IF(AND(ISNUMBER($G277),$G277&lt;=IF($S277=MesCiclo,InicioCiclo,$S277+MOD(2-WEEKDAY($S277),7))+20),1,IF(ISNUMBER($K277),$K277,$Z277)))</f>
        <v/>
      </c>
      <c r="AB277" s="62">
        <f>IF($V277="","",IF(AND(ISNUMBER($G277),$G277&lt;=IF($S277=MesCiclo,InicioCiclo,$S277+MOD(2-WEEKDAY($S277),7))+27),1,IF(ISNUMBER($L277),$L277,$AA277)))</f>
        <v/>
      </c>
      <c r="AC277" s="62">
        <f>IF($V277="","",IF(AND(ISNUMBER($G277),$G277&lt;=IF($S277=MesCiclo,InicioCiclo,$S277+MOD(2-WEEKDAY($S277),7))+6),1,IF(N($W277)&gt;0,AVERAGEIFS($Y$5:$Y$1000,$U$5:$U$1000,ROW(),$V$5:$V$1000,"Sub"),$Y277)))</f>
        <v/>
      </c>
      <c r="AD277" s="62">
        <f>IF($V277="","",IF(AND(ISNUMBER($G277),$G277&lt;=IF($S277=MesCiclo,InicioCiclo,$S277+MOD(2-WEEKDAY($S277),7))+13),1,IF(N($W277)&gt;0,AVERAGEIFS($Z$5:$Z$1000,$U$5:$U$1000,ROW(),$V$5:$V$1000,"Sub"),$Z277)))</f>
        <v/>
      </c>
      <c r="AE277" s="62">
        <f>IF($V277="","",IF(AND(ISNUMBER($G277),$G277&lt;=IF($S277=MesCiclo,InicioCiclo,$S277+MOD(2-WEEKDAY($S277),7))+20),1,IF(N($W277)&gt;0,AVERAGEIFS($AA$5:$AA$1000,$U$5:$U$1000,ROW(),$V$5:$V$1000,"Sub"),$AA277)))</f>
        <v/>
      </c>
      <c r="AF277" s="62">
        <f>IF($V277="","",IF(AND(ISNUMBER($G277),$G277&lt;=IF($S277=MesCiclo,InicioCiclo,$S277+MOD(2-WEEKDAY($S277),7))+27),1,IF(N($W277)&gt;0,AVERAGEIFS($AB$5:$AB$1000,$U$5:$U$1000,ROW(),$V$5:$V$1000,"Sub"),$AB277)))</f>
        <v/>
      </c>
      <c r="AG277" s="62">
        <f>IF($V277&lt;&gt;"Macro","",IF(COUNTIFS($S$5:$S$1000,$S277,$V$5:$V$1000,"Macro",$H$5:$H$1000,"&gt;0")=0,1/COUNTIFS($S$5:$S$1000,$S277,$V$5:$V$1000,"Macro"),IF(AND(ISNUMBER($H277),N($H277)&gt;0),$H277,SUMIFS($H$5:$H$1000,$S$5:$S$1000,$S277,$V$5:$V$1000,"Macro")/COUNTIFS($S$5:$S$1000,$S277,$V$5:$V$1000,"Macro",$H$5:$H$1000,"&gt;0"))/(COUNTIFS($S$5:$S$1000,$S277,$V$5:$V$1000,"Macro")*SUMIFS($H$5:$H$1000,$S$5:$S$1000,$S277,$V$5:$V$1000,"Macro")/COUNTIFS($S$5:$S$1000,$S277,$V$5:$V$1000,"Macro",$H$5:$H$1000,"&gt;0"))))</f>
        <v/>
      </c>
      <c r="AH277" s="62" t="n"/>
      <c r="AI277" s="62" t="n"/>
      <c r="AJ277" s="62" t="n"/>
      <c r="AK277" s="62" t="n"/>
      <c r="AL277" s="62">
        <f>IF(LEFT($C277,11)="[Jefatura] ",IFERROR(MATCH("Asistente Técnico de Riesgo|"&amp;MID($C277,12,500),rDname_ADM,0),0),"")</f>
        <v/>
      </c>
      <c r="AM277" s="62">
        <f>IF(N($AL277)&gt;0,INDEX(rIni_ADM,$AL277),IF(ISNUMBER($E277),$E277,""))</f>
        <v/>
      </c>
      <c r="AN277" s="62">
        <f>IF(N($AL277)&gt;0,INDEX(rLim_ADM,$AL277),IF(ISNUMBER($F277),$F277,""))</f>
        <v/>
      </c>
    </row>
    <row r="278">
      <c r="A278" s="56">
        <f>IF(NOT((COUNTA($B278:$D278)+COUNTA($G278:$L278)+COUNTA($Q278))&gt;0),"",IF($V278="Macro",COUNTIFS($V$5:$V278,"Macro",$S$5:$S278,$S278),IF(N($U278)=0,"?",COUNTIFS(INDEX($V$5:$V$1000,1):INDEX($V$5:$V$1000,$U278-4),"Macro",INDEX($S$5:$S$1000,1):INDEX($S$5:$S$1000,$U278-4),INDEX($S$5:$S$1000,$U278-4))&amp;"."&amp;COUNTIFS($U$5:$U278,$U278,$V$5:$V278,"Sub"))))</f>
        <v/>
      </c>
      <c r="B278" s="57" t="n"/>
      <c r="C278" s="58" t="n"/>
      <c r="D278" s="58" t="n"/>
      <c r="E278" s="59">
        <f>IF(N($AL278)&gt;0,INDEX(rIni_ADM,$AL278),"")</f>
        <v/>
      </c>
      <c r="F278" s="59">
        <f>IF(N($AL278)&gt;0,INDEX(rLim_ADM,$AL278),"")</f>
        <v/>
      </c>
      <c r="G278" s="59" t="n"/>
      <c r="H278" s="60" t="n"/>
      <c r="I278" s="60" t="n"/>
      <c r="J278" s="60" t="n"/>
      <c r="K278" s="60" t="n"/>
      <c r="L278" s="60" t="n"/>
      <c r="M278" s="61">
        <f>IF(NOT((COUNTA($B278:$D278)+COUNTA($G278:$L278)+COUNTA($Q278))&gt;0),"",IF(ISNUMBER($G278),1,IF(N($W278)&gt;0,AVERAGEIFS($X$5:$X$1000,$U$5:$U$1000,ROW(),$V$5:$V$1000,"Sub"),$X278)))</f>
        <v/>
      </c>
      <c r="N278" s="56">
        <f>IF($M278="","",IF($M278&gt;=1,"Completado",IF($M278&gt;0,"En curso","Pendiente")))</f>
        <v/>
      </c>
      <c r="O278" s="56">
        <f>IF(NOT((COUNTA($B278:$D278)+COUNTA($G278:$L278)+COUNTA($Q278))&gt;0),"",IF(ISNUMBER($G278),IF(AND(ISNUMBER($AN278),$G278&gt;$AN278),"Cumplida con "&amp;($G278-$AN278)&amp;IF($G278-$AN278=1," día"," días")&amp;" de retraso","Cumplida"),IF(N($M278)&gt;=1,"Cumplida",IF(NOT(ISNUMBER($AN278)),"Sin fecha límite",IF($AN278&lt;FechaRef,"Vencida hace "&amp;(FechaRef-$AN278)&amp;IF(FechaRef-$AN278=1," día"," días"),IF($AN278=FechaRef,"Vence hoy",IF($AN278-FechaRef&lt;=DiasAlerta,"Vence en "&amp;($AN278-FechaRef)&amp;IF($AN278-FechaRef=1," día"," días"),"En plazo")))))))</f>
        <v/>
      </c>
      <c r="P278" s="62" t="n"/>
      <c r="Q278" s="58" t="n"/>
      <c r="R278" s="63">
        <f>IF(NOT((COUNTA($B278:$D278)+COUNTA($G278:$L278)+COUNTA($Q278))&gt;0),"",IF((IF($C278="","Falta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",""))="","✔ OK","⚠ "&amp;LEFT(IF($C278="","Falta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",""),LEN(IF($C278="","Falta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",""))-3)))</f>
        <v/>
      </c>
      <c r="S278" s="64">
        <f>IF(NOT((COUNTA($B278:$D278)+COUNTA($G278:$L278)+COUNTA($Q278))&gt;0),"",IF(AND($V278="Sub",N($U278)&gt;0),IF(ISNUMBER(INDEX($AM$5:$AM$1000,$U278-4)),DATE(YEAR(INDEX($AM$5:$AM$1000,$U278-4)),MONTH(INDEX($AM$5:$AM$1000,$U278-4)),1),IF(ISNUMBER(INDEX($AN$5:$AN$1000,$U278-4)),DATE(YEAR(INDEX($AN$5:$AN$1000,$U278-4)),MONTH(INDEX($AN$5:$AN$1000,$U278-4)),1),MesCiclo)),IF(ISNUMBER($AM278),DATE(YEAR($AM278),MONTH($AM278),1),IF(ISNUMBER($AN278),DATE(YEAR($AN278),MONTH($AN278),1),MesCiclo))))</f>
        <v/>
      </c>
      <c r="T278" s="62">
        <f>IF(OR($S278="",$S278&lt;&gt;MesCiclo),"",COUNTIF($S$5:$S278,MesCiclo))</f>
        <v/>
      </c>
      <c r="U278" s="62">
        <f>IF($V278="","",IF($V278="Macro",ROW(),IFERROR(LOOKUP(2,1/($V$5:$V278="Macro"),ROW($V$5:$V278)),0)))</f>
        <v/>
      </c>
      <c r="V278" s="62">
        <f>IF(NOT((COUNTA($B278:$D278)+COUNTA($G278:$L278)+COUNTA($Q278))&gt;0),"",IF($B278="Subactividad","Sub","Macro"))</f>
        <v/>
      </c>
      <c r="W278" s="62">
        <f>IF($V278="Macro",COUNTIFS($U$5:$U$1000,ROW(),$V$5:$V$1000,"Sub"),"")</f>
        <v/>
      </c>
      <c r="X278" s="62">
        <f>IF($V278="","",IF(ISNUMBER($G278),1,IFERROR(LOOKUP(2,1/($I278:$L278&lt;&gt;""),$I278:$L278),0)))</f>
        <v/>
      </c>
      <c r="Y278" s="62">
        <f>IF($V278="","",IF(AND(ISNUMBER($G278),$G278&lt;=IF($S278=MesCiclo,InicioCiclo,$S278+MOD(2-WEEKDAY($S278),7))+6),1,IF(ISNUMBER($I278),$I278,0)))</f>
        <v/>
      </c>
      <c r="Z278" s="62">
        <f>IF($V278="","",IF(AND(ISNUMBER($G278),$G278&lt;=IF($S278=MesCiclo,InicioCiclo,$S278+MOD(2-WEEKDAY($S278),7))+13),1,IF(ISNUMBER($J278),$J278,$Y278)))</f>
        <v/>
      </c>
      <c r="AA278" s="62">
        <f>IF($V278="","",IF(AND(ISNUMBER($G278),$G278&lt;=IF($S278=MesCiclo,InicioCiclo,$S278+MOD(2-WEEKDAY($S278),7))+20),1,IF(ISNUMBER($K278),$K278,$Z278)))</f>
        <v/>
      </c>
      <c r="AB278" s="62">
        <f>IF($V278="","",IF(AND(ISNUMBER($G278),$G278&lt;=IF($S278=MesCiclo,InicioCiclo,$S278+MOD(2-WEEKDAY($S278),7))+27),1,IF(ISNUMBER($L278),$L278,$AA278)))</f>
        <v/>
      </c>
      <c r="AC278" s="62">
        <f>IF($V278="","",IF(AND(ISNUMBER($G278),$G278&lt;=IF($S278=MesCiclo,InicioCiclo,$S278+MOD(2-WEEKDAY($S278),7))+6),1,IF(N($W278)&gt;0,AVERAGEIFS($Y$5:$Y$1000,$U$5:$U$1000,ROW(),$V$5:$V$1000,"Sub"),$Y278)))</f>
        <v/>
      </c>
      <c r="AD278" s="62">
        <f>IF($V278="","",IF(AND(ISNUMBER($G278),$G278&lt;=IF($S278=MesCiclo,InicioCiclo,$S278+MOD(2-WEEKDAY($S278),7))+13),1,IF(N($W278)&gt;0,AVERAGEIFS($Z$5:$Z$1000,$U$5:$U$1000,ROW(),$V$5:$V$1000,"Sub"),$Z278)))</f>
        <v/>
      </c>
      <c r="AE278" s="62">
        <f>IF($V278="","",IF(AND(ISNUMBER($G278),$G278&lt;=IF($S278=MesCiclo,InicioCiclo,$S278+MOD(2-WEEKDAY($S278),7))+20),1,IF(N($W278)&gt;0,AVERAGEIFS($AA$5:$AA$1000,$U$5:$U$1000,ROW(),$V$5:$V$1000,"Sub"),$AA278)))</f>
        <v/>
      </c>
      <c r="AF278" s="62">
        <f>IF($V278="","",IF(AND(ISNUMBER($G278),$G278&lt;=IF($S278=MesCiclo,InicioCiclo,$S278+MOD(2-WEEKDAY($S278),7))+27),1,IF(N($W278)&gt;0,AVERAGEIFS($AB$5:$AB$1000,$U$5:$U$1000,ROW(),$V$5:$V$1000,"Sub"),$AB278)))</f>
        <v/>
      </c>
      <c r="AG278" s="62">
        <f>IF($V278&lt;&gt;"Macro","",IF(COUNTIFS($S$5:$S$1000,$S278,$V$5:$V$1000,"Macro",$H$5:$H$1000,"&gt;0")=0,1/COUNTIFS($S$5:$S$1000,$S278,$V$5:$V$1000,"Macro"),IF(AND(ISNUMBER($H278),N($H278)&gt;0),$H278,SUMIFS($H$5:$H$1000,$S$5:$S$1000,$S278,$V$5:$V$1000,"Macro")/COUNTIFS($S$5:$S$1000,$S278,$V$5:$V$1000,"Macro",$H$5:$H$1000,"&gt;0"))/(COUNTIFS($S$5:$S$1000,$S278,$V$5:$V$1000,"Macro")*SUMIFS($H$5:$H$1000,$S$5:$S$1000,$S278,$V$5:$V$1000,"Macro")/COUNTIFS($S$5:$S$1000,$S278,$V$5:$V$1000,"Macro",$H$5:$H$1000,"&gt;0"))))</f>
        <v/>
      </c>
      <c r="AH278" s="62" t="n"/>
      <c r="AI278" s="62" t="n"/>
      <c r="AJ278" s="62" t="n"/>
      <c r="AK278" s="62" t="n"/>
      <c r="AL278" s="62">
        <f>IF(LEFT($C278,11)="[Jefatura] ",IFERROR(MATCH("Asistente Técnico de Riesgo|"&amp;MID($C278,12,500),rDname_ADM,0),0),"")</f>
        <v/>
      </c>
      <c r="AM278" s="62">
        <f>IF(N($AL278)&gt;0,INDEX(rIni_ADM,$AL278),IF(ISNUMBER($E278),$E278,""))</f>
        <v/>
      </c>
      <c r="AN278" s="62">
        <f>IF(N($AL278)&gt;0,INDEX(rLim_ADM,$AL278),IF(ISNUMBER($F278),$F278,""))</f>
        <v/>
      </c>
    </row>
    <row r="279">
      <c r="A279" s="56">
        <f>IF(NOT((COUNTA($B279:$D279)+COUNTA($G279:$L279)+COUNTA($Q279))&gt;0),"",IF($V279="Macro",COUNTIFS($V$5:$V279,"Macro",$S$5:$S279,$S279),IF(N($U279)=0,"?",COUNTIFS(INDEX($V$5:$V$1000,1):INDEX($V$5:$V$1000,$U279-4),"Macro",INDEX($S$5:$S$1000,1):INDEX($S$5:$S$1000,$U279-4),INDEX($S$5:$S$1000,$U279-4))&amp;"."&amp;COUNTIFS($U$5:$U279,$U279,$V$5:$V279,"Sub"))))</f>
        <v/>
      </c>
      <c r="B279" s="57" t="n"/>
      <c r="C279" s="58" t="n"/>
      <c r="D279" s="58" t="n"/>
      <c r="E279" s="59">
        <f>IF(N($AL279)&gt;0,INDEX(rIni_ADM,$AL279),"")</f>
        <v/>
      </c>
      <c r="F279" s="59">
        <f>IF(N($AL279)&gt;0,INDEX(rLim_ADM,$AL279),"")</f>
        <v/>
      </c>
      <c r="G279" s="59" t="n"/>
      <c r="H279" s="60" t="n"/>
      <c r="I279" s="60" t="n"/>
      <c r="J279" s="60" t="n"/>
      <c r="K279" s="60" t="n"/>
      <c r="L279" s="60" t="n"/>
      <c r="M279" s="61">
        <f>IF(NOT((COUNTA($B279:$D279)+COUNTA($G279:$L279)+COUNTA($Q279))&gt;0),"",IF(ISNUMBER($G279),1,IF(N($W279)&gt;0,AVERAGEIFS($X$5:$X$1000,$U$5:$U$1000,ROW(),$V$5:$V$1000,"Sub"),$X279)))</f>
        <v/>
      </c>
      <c r="N279" s="56">
        <f>IF($M279="","",IF($M279&gt;=1,"Completado",IF($M279&gt;0,"En curso","Pendiente")))</f>
        <v/>
      </c>
      <c r="O279" s="56">
        <f>IF(NOT((COUNTA($B279:$D279)+COUNTA($G279:$L279)+COUNTA($Q279))&gt;0),"",IF(ISNUMBER($G279),IF(AND(ISNUMBER($AN279),$G279&gt;$AN279),"Cumplida con "&amp;($G279-$AN279)&amp;IF($G279-$AN279=1," día"," días")&amp;" de retraso","Cumplida"),IF(N($M279)&gt;=1,"Cumplida",IF(NOT(ISNUMBER($AN279)),"Sin fecha límite",IF($AN279&lt;FechaRef,"Vencida hace "&amp;(FechaRef-$AN279)&amp;IF(FechaRef-$AN279=1," día"," días"),IF($AN279=FechaRef,"Vence hoy",IF($AN279-FechaRef&lt;=DiasAlerta,"Vence en "&amp;($AN279-FechaRef)&amp;IF($AN279-FechaRef=1," día"," días"),"En plazo")))))))</f>
        <v/>
      </c>
      <c r="P279" s="62" t="n"/>
      <c r="Q279" s="58" t="n"/>
      <c r="R279" s="63">
        <f>IF(NOT((COUNTA($B279:$D279)+COUNTA($G279:$L279)+COUNTA($Q279))&gt;0),"",IF((IF($C279="","Falta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",""))="","✔ OK","⚠ "&amp;LEFT(IF($C279="","Falta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",""),LEN(IF($C279="","Falta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",""))-3)))</f>
        <v/>
      </c>
      <c r="S279" s="64">
        <f>IF(NOT((COUNTA($B279:$D279)+COUNTA($G279:$L279)+COUNTA($Q279))&gt;0),"",IF(AND($V279="Sub",N($U279)&gt;0),IF(ISNUMBER(INDEX($AM$5:$AM$1000,$U279-4)),DATE(YEAR(INDEX($AM$5:$AM$1000,$U279-4)),MONTH(INDEX($AM$5:$AM$1000,$U279-4)),1),IF(ISNUMBER(INDEX($AN$5:$AN$1000,$U279-4)),DATE(YEAR(INDEX($AN$5:$AN$1000,$U279-4)),MONTH(INDEX($AN$5:$AN$1000,$U279-4)),1),MesCiclo)),IF(ISNUMBER($AM279),DATE(YEAR($AM279),MONTH($AM279),1),IF(ISNUMBER($AN279),DATE(YEAR($AN279),MONTH($AN279),1),MesCiclo))))</f>
        <v/>
      </c>
      <c r="T279" s="62">
        <f>IF(OR($S279="",$S279&lt;&gt;MesCiclo),"",COUNTIF($S$5:$S279,MesCiclo))</f>
        <v/>
      </c>
      <c r="U279" s="62">
        <f>IF($V279="","",IF($V279="Macro",ROW(),IFERROR(LOOKUP(2,1/($V$5:$V279="Macro"),ROW($V$5:$V279)),0)))</f>
        <v/>
      </c>
      <c r="V279" s="62">
        <f>IF(NOT((COUNTA($B279:$D279)+COUNTA($G279:$L279)+COUNTA($Q279))&gt;0),"",IF($B279="Subactividad","Sub","Macro"))</f>
        <v/>
      </c>
      <c r="W279" s="62">
        <f>IF($V279="Macro",COUNTIFS($U$5:$U$1000,ROW(),$V$5:$V$1000,"Sub"),"")</f>
        <v/>
      </c>
      <c r="X279" s="62">
        <f>IF($V279="","",IF(ISNUMBER($G279),1,IFERROR(LOOKUP(2,1/($I279:$L279&lt;&gt;""),$I279:$L279),0)))</f>
        <v/>
      </c>
      <c r="Y279" s="62">
        <f>IF($V279="","",IF(AND(ISNUMBER($G279),$G279&lt;=IF($S279=MesCiclo,InicioCiclo,$S279+MOD(2-WEEKDAY($S279),7))+6),1,IF(ISNUMBER($I279),$I279,0)))</f>
        <v/>
      </c>
      <c r="Z279" s="62">
        <f>IF($V279="","",IF(AND(ISNUMBER($G279),$G279&lt;=IF($S279=MesCiclo,InicioCiclo,$S279+MOD(2-WEEKDAY($S279),7))+13),1,IF(ISNUMBER($J279),$J279,$Y279)))</f>
        <v/>
      </c>
      <c r="AA279" s="62">
        <f>IF($V279="","",IF(AND(ISNUMBER($G279),$G279&lt;=IF($S279=MesCiclo,InicioCiclo,$S279+MOD(2-WEEKDAY($S279),7))+20),1,IF(ISNUMBER($K279),$K279,$Z279)))</f>
        <v/>
      </c>
      <c r="AB279" s="62">
        <f>IF($V279="","",IF(AND(ISNUMBER($G279),$G279&lt;=IF($S279=MesCiclo,InicioCiclo,$S279+MOD(2-WEEKDAY($S279),7))+27),1,IF(ISNUMBER($L279),$L279,$AA279)))</f>
        <v/>
      </c>
      <c r="AC279" s="62">
        <f>IF($V279="","",IF(AND(ISNUMBER($G279),$G279&lt;=IF($S279=MesCiclo,InicioCiclo,$S279+MOD(2-WEEKDAY($S279),7))+6),1,IF(N($W279)&gt;0,AVERAGEIFS($Y$5:$Y$1000,$U$5:$U$1000,ROW(),$V$5:$V$1000,"Sub"),$Y279)))</f>
        <v/>
      </c>
      <c r="AD279" s="62">
        <f>IF($V279="","",IF(AND(ISNUMBER($G279),$G279&lt;=IF($S279=MesCiclo,InicioCiclo,$S279+MOD(2-WEEKDAY($S279),7))+13),1,IF(N($W279)&gt;0,AVERAGEIFS($Z$5:$Z$1000,$U$5:$U$1000,ROW(),$V$5:$V$1000,"Sub"),$Z279)))</f>
        <v/>
      </c>
      <c r="AE279" s="62">
        <f>IF($V279="","",IF(AND(ISNUMBER($G279),$G279&lt;=IF($S279=MesCiclo,InicioCiclo,$S279+MOD(2-WEEKDAY($S279),7))+20),1,IF(N($W279)&gt;0,AVERAGEIFS($AA$5:$AA$1000,$U$5:$U$1000,ROW(),$V$5:$V$1000,"Sub"),$AA279)))</f>
        <v/>
      </c>
      <c r="AF279" s="62">
        <f>IF($V279="","",IF(AND(ISNUMBER($G279),$G279&lt;=IF($S279=MesCiclo,InicioCiclo,$S279+MOD(2-WEEKDAY($S279),7))+27),1,IF(N($W279)&gt;0,AVERAGEIFS($AB$5:$AB$1000,$U$5:$U$1000,ROW(),$V$5:$V$1000,"Sub"),$AB279)))</f>
        <v/>
      </c>
      <c r="AG279" s="62">
        <f>IF($V279&lt;&gt;"Macro","",IF(COUNTIFS($S$5:$S$1000,$S279,$V$5:$V$1000,"Macro",$H$5:$H$1000,"&gt;0")=0,1/COUNTIFS($S$5:$S$1000,$S279,$V$5:$V$1000,"Macro"),IF(AND(ISNUMBER($H279),N($H279)&gt;0),$H279,SUMIFS($H$5:$H$1000,$S$5:$S$1000,$S279,$V$5:$V$1000,"Macro")/COUNTIFS($S$5:$S$1000,$S279,$V$5:$V$1000,"Macro",$H$5:$H$1000,"&gt;0"))/(COUNTIFS($S$5:$S$1000,$S279,$V$5:$V$1000,"Macro")*SUMIFS($H$5:$H$1000,$S$5:$S$1000,$S279,$V$5:$V$1000,"Macro")/COUNTIFS($S$5:$S$1000,$S279,$V$5:$V$1000,"Macro",$H$5:$H$1000,"&gt;0"))))</f>
        <v/>
      </c>
      <c r="AH279" s="62" t="n"/>
      <c r="AI279" s="62" t="n"/>
      <c r="AJ279" s="62" t="n"/>
      <c r="AK279" s="62" t="n"/>
      <c r="AL279" s="62">
        <f>IF(LEFT($C279,11)="[Jefatura] ",IFERROR(MATCH("Asistente Técnico de Riesgo|"&amp;MID($C279,12,500),rDname_ADM,0),0),"")</f>
        <v/>
      </c>
      <c r="AM279" s="62">
        <f>IF(N($AL279)&gt;0,INDEX(rIni_ADM,$AL279),IF(ISNUMBER($E279),$E279,""))</f>
        <v/>
      </c>
      <c r="AN279" s="62">
        <f>IF(N($AL279)&gt;0,INDEX(rLim_ADM,$AL279),IF(ISNUMBER($F279),$F279,""))</f>
        <v/>
      </c>
    </row>
    <row r="280">
      <c r="A280" s="56">
        <f>IF(NOT((COUNTA($B280:$D280)+COUNTA($G280:$L280)+COUNTA($Q280))&gt;0),"",IF($V280="Macro",COUNTIFS($V$5:$V280,"Macro",$S$5:$S280,$S280),IF(N($U280)=0,"?",COUNTIFS(INDEX($V$5:$V$1000,1):INDEX($V$5:$V$1000,$U280-4),"Macro",INDEX($S$5:$S$1000,1):INDEX($S$5:$S$1000,$U280-4),INDEX($S$5:$S$1000,$U280-4))&amp;"."&amp;COUNTIFS($U$5:$U280,$U280,$V$5:$V280,"Sub"))))</f>
        <v/>
      </c>
      <c r="B280" s="57" t="n"/>
      <c r="C280" s="58" t="n"/>
      <c r="D280" s="58" t="n"/>
      <c r="E280" s="59">
        <f>IF(N($AL280)&gt;0,INDEX(rIni_ADM,$AL280),"")</f>
        <v/>
      </c>
      <c r="F280" s="59">
        <f>IF(N($AL280)&gt;0,INDEX(rLim_ADM,$AL280),"")</f>
        <v/>
      </c>
      <c r="G280" s="59" t="n"/>
      <c r="H280" s="60" t="n"/>
      <c r="I280" s="60" t="n"/>
      <c r="J280" s="60" t="n"/>
      <c r="K280" s="60" t="n"/>
      <c r="L280" s="60" t="n"/>
      <c r="M280" s="61">
        <f>IF(NOT((COUNTA($B280:$D280)+COUNTA($G280:$L280)+COUNTA($Q280))&gt;0),"",IF(ISNUMBER($G280),1,IF(N($W280)&gt;0,AVERAGEIFS($X$5:$X$1000,$U$5:$U$1000,ROW(),$V$5:$V$1000,"Sub"),$X280)))</f>
        <v/>
      </c>
      <c r="N280" s="56">
        <f>IF($M280="","",IF($M280&gt;=1,"Completado",IF($M280&gt;0,"En curso","Pendiente")))</f>
        <v/>
      </c>
      <c r="O280" s="56">
        <f>IF(NOT((COUNTA($B280:$D280)+COUNTA($G280:$L280)+COUNTA($Q280))&gt;0),"",IF(ISNUMBER($G280),IF(AND(ISNUMBER($AN280),$G280&gt;$AN280),"Cumplida con "&amp;($G280-$AN280)&amp;IF($G280-$AN280=1," día"," días")&amp;" de retraso","Cumplida"),IF(N($M280)&gt;=1,"Cumplida",IF(NOT(ISNUMBER($AN280)),"Sin fecha límite",IF($AN280&lt;FechaRef,"Vencida hace "&amp;(FechaRef-$AN280)&amp;IF(FechaRef-$AN280=1," día"," días"),IF($AN280=FechaRef,"Vence hoy",IF($AN280-FechaRef&lt;=DiasAlerta,"Vence en "&amp;($AN280-FechaRef)&amp;IF($AN280-FechaRef=1," día"," días"),"En plazo")))))))</f>
        <v/>
      </c>
      <c r="P280" s="62" t="n"/>
      <c r="Q280" s="58" t="n"/>
      <c r="R280" s="63">
        <f>IF(NOT((COUNTA($B280:$D280)+COUNTA($G280:$L280)+COUNTA($Q280))&gt;0),"",IF((IF($C280="","Falta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",""))="","✔ OK","⚠ "&amp;LEFT(IF($C280="","Falta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",""),LEN(IF($C280="","Falta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",""))-3)))</f>
        <v/>
      </c>
      <c r="S280" s="64">
        <f>IF(NOT((COUNTA($B280:$D280)+COUNTA($G280:$L280)+COUNTA($Q280))&gt;0),"",IF(AND($V280="Sub",N($U280)&gt;0),IF(ISNUMBER(INDEX($AM$5:$AM$1000,$U280-4)),DATE(YEAR(INDEX($AM$5:$AM$1000,$U280-4)),MONTH(INDEX($AM$5:$AM$1000,$U280-4)),1),IF(ISNUMBER(INDEX($AN$5:$AN$1000,$U280-4)),DATE(YEAR(INDEX($AN$5:$AN$1000,$U280-4)),MONTH(INDEX($AN$5:$AN$1000,$U280-4)),1),MesCiclo)),IF(ISNUMBER($AM280),DATE(YEAR($AM280),MONTH($AM280),1),IF(ISNUMBER($AN280),DATE(YEAR($AN280),MONTH($AN280),1),MesCiclo))))</f>
        <v/>
      </c>
      <c r="T280" s="62">
        <f>IF(OR($S280="",$S280&lt;&gt;MesCiclo),"",COUNTIF($S$5:$S280,MesCiclo))</f>
        <v/>
      </c>
      <c r="U280" s="62">
        <f>IF($V280="","",IF($V280="Macro",ROW(),IFERROR(LOOKUP(2,1/($V$5:$V280="Macro"),ROW($V$5:$V280)),0)))</f>
        <v/>
      </c>
      <c r="V280" s="62">
        <f>IF(NOT((COUNTA($B280:$D280)+COUNTA($G280:$L280)+COUNTA($Q280))&gt;0),"",IF($B280="Subactividad","Sub","Macro"))</f>
        <v/>
      </c>
      <c r="W280" s="62">
        <f>IF($V280="Macro",COUNTIFS($U$5:$U$1000,ROW(),$V$5:$V$1000,"Sub"),"")</f>
        <v/>
      </c>
      <c r="X280" s="62">
        <f>IF($V280="","",IF(ISNUMBER($G280),1,IFERROR(LOOKUP(2,1/($I280:$L280&lt;&gt;""),$I280:$L280),0)))</f>
        <v/>
      </c>
      <c r="Y280" s="62">
        <f>IF($V280="","",IF(AND(ISNUMBER($G280),$G280&lt;=IF($S280=MesCiclo,InicioCiclo,$S280+MOD(2-WEEKDAY($S280),7))+6),1,IF(ISNUMBER($I280),$I280,0)))</f>
        <v/>
      </c>
      <c r="Z280" s="62">
        <f>IF($V280="","",IF(AND(ISNUMBER($G280),$G280&lt;=IF($S280=MesCiclo,InicioCiclo,$S280+MOD(2-WEEKDAY($S280),7))+13),1,IF(ISNUMBER($J280),$J280,$Y280)))</f>
        <v/>
      </c>
      <c r="AA280" s="62">
        <f>IF($V280="","",IF(AND(ISNUMBER($G280),$G280&lt;=IF($S280=MesCiclo,InicioCiclo,$S280+MOD(2-WEEKDAY($S280),7))+20),1,IF(ISNUMBER($K280),$K280,$Z280)))</f>
        <v/>
      </c>
      <c r="AB280" s="62">
        <f>IF($V280="","",IF(AND(ISNUMBER($G280),$G280&lt;=IF($S280=MesCiclo,InicioCiclo,$S280+MOD(2-WEEKDAY($S280),7))+27),1,IF(ISNUMBER($L280),$L280,$AA280)))</f>
        <v/>
      </c>
      <c r="AC280" s="62">
        <f>IF($V280="","",IF(AND(ISNUMBER($G280),$G280&lt;=IF($S280=MesCiclo,InicioCiclo,$S280+MOD(2-WEEKDAY($S280),7))+6),1,IF(N($W280)&gt;0,AVERAGEIFS($Y$5:$Y$1000,$U$5:$U$1000,ROW(),$V$5:$V$1000,"Sub"),$Y280)))</f>
        <v/>
      </c>
      <c r="AD280" s="62">
        <f>IF($V280="","",IF(AND(ISNUMBER($G280),$G280&lt;=IF($S280=MesCiclo,InicioCiclo,$S280+MOD(2-WEEKDAY($S280),7))+13),1,IF(N($W280)&gt;0,AVERAGEIFS($Z$5:$Z$1000,$U$5:$U$1000,ROW(),$V$5:$V$1000,"Sub"),$Z280)))</f>
        <v/>
      </c>
      <c r="AE280" s="62">
        <f>IF($V280="","",IF(AND(ISNUMBER($G280),$G280&lt;=IF($S280=MesCiclo,InicioCiclo,$S280+MOD(2-WEEKDAY($S280),7))+20),1,IF(N($W280)&gt;0,AVERAGEIFS($AA$5:$AA$1000,$U$5:$U$1000,ROW(),$V$5:$V$1000,"Sub"),$AA280)))</f>
        <v/>
      </c>
      <c r="AF280" s="62">
        <f>IF($V280="","",IF(AND(ISNUMBER($G280),$G280&lt;=IF($S280=MesCiclo,InicioCiclo,$S280+MOD(2-WEEKDAY($S280),7))+27),1,IF(N($W280)&gt;0,AVERAGEIFS($AB$5:$AB$1000,$U$5:$U$1000,ROW(),$V$5:$V$1000,"Sub"),$AB280)))</f>
        <v/>
      </c>
      <c r="AG280" s="62">
        <f>IF($V280&lt;&gt;"Macro","",IF(COUNTIFS($S$5:$S$1000,$S280,$V$5:$V$1000,"Macro",$H$5:$H$1000,"&gt;0")=0,1/COUNTIFS($S$5:$S$1000,$S280,$V$5:$V$1000,"Macro"),IF(AND(ISNUMBER($H280),N($H280)&gt;0),$H280,SUMIFS($H$5:$H$1000,$S$5:$S$1000,$S280,$V$5:$V$1000,"Macro")/COUNTIFS($S$5:$S$1000,$S280,$V$5:$V$1000,"Macro",$H$5:$H$1000,"&gt;0"))/(COUNTIFS($S$5:$S$1000,$S280,$V$5:$V$1000,"Macro")*SUMIFS($H$5:$H$1000,$S$5:$S$1000,$S280,$V$5:$V$1000,"Macro")/COUNTIFS($S$5:$S$1000,$S280,$V$5:$V$1000,"Macro",$H$5:$H$1000,"&gt;0"))))</f>
        <v/>
      </c>
      <c r="AH280" s="62" t="n"/>
      <c r="AI280" s="62" t="n"/>
      <c r="AJ280" s="62" t="n"/>
      <c r="AK280" s="62" t="n"/>
      <c r="AL280" s="62">
        <f>IF(LEFT($C280,11)="[Jefatura] ",IFERROR(MATCH("Asistente Técnico de Riesgo|"&amp;MID($C280,12,500),rDname_ADM,0),0),"")</f>
        <v/>
      </c>
      <c r="AM280" s="62">
        <f>IF(N($AL280)&gt;0,INDEX(rIni_ADM,$AL280),IF(ISNUMBER($E280),$E280,""))</f>
        <v/>
      </c>
      <c r="AN280" s="62">
        <f>IF(N($AL280)&gt;0,INDEX(rLim_ADM,$AL280),IF(ISNUMBER($F280),$F280,""))</f>
        <v/>
      </c>
    </row>
    <row r="281">
      <c r="A281" s="56">
        <f>IF(NOT((COUNTA($B281:$D281)+COUNTA($G281:$L281)+COUNTA($Q281))&gt;0),"",IF($V281="Macro",COUNTIFS($V$5:$V281,"Macro",$S$5:$S281,$S281),IF(N($U281)=0,"?",COUNTIFS(INDEX($V$5:$V$1000,1):INDEX($V$5:$V$1000,$U281-4),"Macro",INDEX($S$5:$S$1000,1):INDEX($S$5:$S$1000,$U281-4),INDEX($S$5:$S$1000,$U281-4))&amp;"."&amp;COUNTIFS($U$5:$U281,$U281,$V$5:$V281,"Sub"))))</f>
        <v/>
      </c>
      <c r="B281" s="57" t="n"/>
      <c r="C281" s="58" t="n"/>
      <c r="D281" s="58" t="n"/>
      <c r="E281" s="59">
        <f>IF(N($AL281)&gt;0,INDEX(rIni_ADM,$AL281),"")</f>
        <v/>
      </c>
      <c r="F281" s="59">
        <f>IF(N($AL281)&gt;0,INDEX(rLim_ADM,$AL281),"")</f>
        <v/>
      </c>
      <c r="G281" s="59" t="n"/>
      <c r="H281" s="60" t="n"/>
      <c r="I281" s="60" t="n"/>
      <c r="J281" s="60" t="n"/>
      <c r="K281" s="60" t="n"/>
      <c r="L281" s="60" t="n"/>
      <c r="M281" s="61">
        <f>IF(NOT((COUNTA($B281:$D281)+COUNTA($G281:$L281)+COUNTA($Q281))&gt;0),"",IF(ISNUMBER($G281),1,IF(N($W281)&gt;0,AVERAGEIFS($X$5:$X$1000,$U$5:$U$1000,ROW(),$V$5:$V$1000,"Sub"),$X281)))</f>
        <v/>
      </c>
      <c r="N281" s="56">
        <f>IF($M281="","",IF($M281&gt;=1,"Completado",IF($M281&gt;0,"En curso","Pendiente")))</f>
        <v/>
      </c>
      <c r="O281" s="56">
        <f>IF(NOT((COUNTA($B281:$D281)+COUNTA($G281:$L281)+COUNTA($Q281))&gt;0),"",IF(ISNUMBER($G281),IF(AND(ISNUMBER($AN281),$G281&gt;$AN281),"Cumplida con "&amp;($G281-$AN281)&amp;IF($G281-$AN281=1," día"," días")&amp;" de retraso","Cumplida"),IF(N($M281)&gt;=1,"Cumplida",IF(NOT(ISNUMBER($AN281)),"Sin fecha límite",IF($AN281&lt;FechaRef,"Vencida hace "&amp;(FechaRef-$AN281)&amp;IF(FechaRef-$AN281=1," día"," días"),IF($AN281=FechaRef,"Vence hoy",IF($AN281-FechaRef&lt;=DiasAlerta,"Vence en "&amp;($AN281-FechaRef)&amp;IF($AN281-FechaRef=1," día"," días"),"En plazo")))))))</f>
        <v/>
      </c>
      <c r="P281" s="62" t="n"/>
      <c r="Q281" s="58" t="n"/>
      <c r="R281" s="63">
        <f>IF(NOT((COUNTA($B281:$D281)+COUNTA($G281:$L281)+COUNTA($Q281))&gt;0),"",IF((IF($C281="","Falta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",""))="","✔ OK","⚠ "&amp;LEFT(IF($C281="","Falta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",""),LEN(IF($C281="","Falta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",""))-3)))</f>
        <v/>
      </c>
      <c r="S281" s="64">
        <f>IF(NOT((COUNTA($B281:$D281)+COUNTA($G281:$L281)+COUNTA($Q281))&gt;0),"",IF(AND($V281="Sub",N($U281)&gt;0),IF(ISNUMBER(INDEX($AM$5:$AM$1000,$U281-4)),DATE(YEAR(INDEX($AM$5:$AM$1000,$U281-4)),MONTH(INDEX($AM$5:$AM$1000,$U281-4)),1),IF(ISNUMBER(INDEX($AN$5:$AN$1000,$U281-4)),DATE(YEAR(INDEX($AN$5:$AN$1000,$U281-4)),MONTH(INDEX($AN$5:$AN$1000,$U281-4)),1),MesCiclo)),IF(ISNUMBER($AM281),DATE(YEAR($AM281),MONTH($AM281),1),IF(ISNUMBER($AN281),DATE(YEAR($AN281),MONTH($AN281),1),MesCiclo))))</f>
        <v/>
      </c>
      <c r="T281" s="62">
        <f>IF(OR($S281="",$S281&lt;&gt;MesCiclo),"",COUNTIF($S$5:$S281,MesCiclo))</f>
        <v/>
      </c>
      <c r="U281" s="62">
        <f>IF($V281="","",IF($V281="Macro",ROW(),IFERROR(LOOKUP(2,1/($V$5:$V281="Macro"),ROW($V$5:$V281)),0)))</f>
        <v/>
      </c>
      <c r="V281" s="62">
        <f>IF(NOT((COUNTA($B281:$D281)+COUNTA($G281:$L281)+COUNTA($Q281))&gt;0),"",IF($B281="Subactividad","Sub","Macro"))</f>
        <v/>
      </c>
      <c r="W281" s="62">
        <f>IF($V281="Macro",COUNTIFS($U$5:$U$1000,ROW(),$V$5:$V$1000,"Sub"),"")</f>
        <v/>
      </c>
      <c r="X281" s="62">
        <f>IF($V281="","",IF(ISNUMBER($G281),1,IFERROR(LOOKUP(2,1/($I281:$L281&lt;&gt;""),$I281:$L281),0)))</f>
        <v/>
      </c>
      <c r="Y281" s="62">
        <f>IF($V281="","",IF(AND(ISNUMBER($G281),$G281&lt;=IF($S281=MesCiclo,InicioCiclo,$S281+MOD(2-WEEKDAY($S281),7))+6),1,IF(ISNUMBER($I281),$I281,0)))</f>
        <v/>
      </c>
      <c r="Z281" s="62">
        <f>IF($V281="","",IF(AND(ISNUMBER($G281),$G281&lt;=IF($S281=MesCiclo,InicioCiclo,$S281+MOD(2-WEEKDAY($S281),7))+13),1,IF(ISNUMBER($J281),$J281,$Y281)))</f>
        <v/>
      </c>
      <c r="AA281" s="62">
        <f>IF($V281="","",IF(AND(ISNUMBER($G281),$G281&lt;=IF($S281=MesCiclo,InicioCiclo,$S281+MOD(2-WEEKDAY($S281),7))+20),1,IF(ISNUMBER($K281),$K281,$Z281)))</f>
        <v/>
      </c>
      <c r="AB281" s="62">
        <f>IF($V281="","",IF(AND(ISNUMBER($G281),$G281&lt;=IF($S281=MesCiclo,InicioCiclo,$S281+MOD(2-WEEKDAY($S281),7))+27),1,IF(ISNUMBER($L281),$L281,$AA281)))</f>
        <v/>
      </c>
      <c r="AC281" s="62">
        <f>IF($V281="","",IF(AND(ISNUMBER($G281),$G281&lt;=IF($S281=MesCiclo,InicioCiclo,$S281+MOD(2-WEEKDAY($S281),7))+6),1,IF(N($W281)&gt;0,AVERAGEIFS($Y$5:$Y$1000,$U$5:$U$1000,ROW(),$V$5:$V$1000,"Sub"),$Y281)))</f>
        <v/>
      </c>
      <c r="AD281" s="62">
        <f>IF($V281="","",IF(AND(ISNUMBER($G281),$G281&lt;=IF($S281=MesCiclo,InicioCiclo,$S281+MOD(2-WEEKDAY($S281),7))+13),1,IF(N($W281)&gt;0,AVERAGEIFS($Z$5:$Z$1000,$U$5:$U$1000,ROW(),$V$5:$V$1000,"Sub"),$Z281)))</f>
        <v/>
      </c>
      <c r="AE281" s="62">
        <f>IF($V281="","",IF(AND(ISNUMBER($G281),$G281&lt;=IF($S281=MesCiclo,InicioCiclo,$S281+MOD(2-WEEKDAY($S281),7))+20),1,IF(N($W281)&gt;0,AVERAGEIFS($AA$5:$AA$1000,$U$5:$U$1000,ROW(),$V$5:$V$1000,"Sub"),$AA281)))</f>
        <v/>
      </c>
      <c r="AF281" s="62">
        <f>IF($V281="","",IF(AND(ISNUMBER($G281),$G281&lt;=IF($S281=MesCiclo,InicioCiclo,$S281+MOD(2-WEEKDAY($S281),7))+27),1,IF(N($W281)&gt;0,AVERAGEIFS($AB$5:$AB$1000,$U$5:$U$1000,ROW(),$V$5:$V$1000,"Sub"),$AB281)))</f>
        <v/>
      </c>
      <c r="AG281" s="62">
        <f>IF($V281&lt;&gt;"Macro","",IF(COUNTIFS($S$5:$S$1000,$S281,$V$5:$V$1000,"Macro",$H$5:$H$1000,"&gt;0")=0,1/COUNTIFS($S$5:$S$1000,$S281,$V$5:$V$1000,"Macro"),IF(AND(ISNUMBER($H281),N($H281)&gt;0),$H281,SUMIFS($H$5:$H$1000,$S$5:$S$1000,$S281,$V$5:$V$1000,"Macro")/COUNTIFS($S$5:$S$1000,$S281,$V$5:$V$1000,"Macro",$H$5:$H$1000,"&gt;0"))/(COUNTIFS($S$5:$S$1000,$S281,$V$5:$V$1000,"Macro")*SUMIFS($H$5:$H$1000,$S$5:$S$1000,$S281,$V$5:$V$1000,"Macro")/COUNTIFS($S$5:$S$1000,$S281,$V$5:$V$1000,"Macro",$H$5:$H$1000,"&gt;0"))))</f>
        <v/>
      </c>
      <c r="AH281" s="62" t="n"/>
      <c r="AI281" s="62" t="n"/>
      <c r="AJ281" s="62" t="n"/>
      <c r="AK281" s="62" t="n"/>
      <c r="AL281" s="62">
        <f>IF(LEFT($C281,11)="[Jefatura] ",IFERROR(MATCH("Asistente Técnico de Riesgo|"&amp;MID($C281,12,500),rDname_ADM,0),0),"")</f>
        <v/>
      </c>
      <c r="AM281" s="62">
        <f>IF(N($AL281)&gt;0,INDEX(rIni_ADM,$AL281),IF(ISNUMBER($E281),$E281,""))</f>
        <v/>
      </c>
      <c r="AN281" s="62">
        <f>IF(N($AL281)&gt;0,INDEX(rLim_ADM,$AL281),IF(ISNUMBER($F281),$F281,""))</f>
        <v/>
      </c>
    </row>
    <row r="282">
      <c r="A282" s="56">
        <f>IF(NOT((COUNTA($B282:$D282)+COUNTA($G282:$L282)+COUNTA($Q282))&gt;0),"",IF($V282="Macro",COUNTIFS($V$5:$V282,"Macro",$S$5:$S282,$S282),IF(N($U282)=0,"?",COUNTIFS(INDEX($V$5:$V$1000,1):INDEX($V$5:$V$1000,$U282-4),"Macro",INDEX($S$5:$S$1000,1):INDEX($S$5:$S$1000,$U282-4),INDEX($S$5:$S$1000,$U282-4))&amp;"."&amp;COUNTIFS($U$5:$U282,$U282,$V$5:$V282,"Sub"))))</f>
        <v/>
      </c>
      <c r="B282" s="57" t="n"/>
      <c r="C282" s="58" t="n"/>
      <c r="D282" s="58" t="n"/>
      <c r="E282" s="59">
        <f>IF(N($AL282)&gt;0,INDEX(rIni_ADM,$AL282),"")</f>
        <v/>
      </c>
      <c r="F282" s="59">
        <f>IF(N($AL282)&gt;0,INDEX(rLim_ADM,$AL282),"")</f>
        <v/>
      </c>
      <c r="G282" s="59" t="n"/>
      <c r="H282" s="60" t="n"/>
      <c r="I282" s="60" t="n"/>
      <c r="J282" s="60" t="n"/>
      <c r="K282" s="60" t="n"/>
      <c r="L282" s="60" t="n"/>
      <c r="M282" s="61">
        <f>IF(NOT((COUNTA($B282:$D282)+COUNTA($G282:$L282)+COUNTA($Q282))&gt;0),"",IF(ISNUMBER($G282),1,IF(N($W282)&gt;0,AVERAGEIFS($X$5:$X$1000,$U$5:$U$1000,ROW(),$V$5:$V$1000,"Sub"),$X282)))</f>
        <v/>
      </c>
      <c r="N282" s="56">
        <f>IF($M282="","",IF($M282&gt;=1,"Completado",IF($M282&gt;0,"En curso","Pendiente")))</f>
        <v/>
      </c>
      <c r="O282" s="56">
        <f>IF(NOT((COUNTA($B282:$D282)+COUNTA($G282:$L282)+COUNTA($Q282))&gt;0),"",IF(ISNUMBER($G282),IF(AND(ISNUMBER($AN282),$G282&gt;$AN282),"Cumplida con "&amp;($G282-$AN282)&amp;IF($G282-$AN282=1," día"," días")&amp;" de retraso","Cumplida"),IF(N($M282)&gt;=1,"Cumplida",IF(NOT(ISNUMBER($AN282)),"Sin fecha límite",IF($AN282&lt;FechaRef,"Vencida hace "&amp;(FechaRef-$AN282)&amp;IF(FechaRef-$AN282=1," día"," días"),IF($AN282=FechaRef,"Vence hoy",IF($AN282-FechaRef&lt;=DiasAlerta,"Vence en "&amp;($AN282-FechaRef)&amp;IF($AN282-FechaRef=1," día"," días"),"En plazo")))))))</f>
        <v/>
      </c>
      <c r="P282" s="62" t="n"/>
      <c r="Q282" s="58" t="n"/>
      <c r="R282" s="63">
        <f>IF(NOT((COUNTA($B282:$D282)+COUNTA($G282:$L282)+COUNTA($Q282))&gt;0),"",IF((IF($C282="","Falta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",""))="","✔ OK","⚠ "&amp;LEFT(IF($C282="","Falta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",""),LEN(IF($C282="","Falta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",""))-3)))</f>
        <v/>
      </c>
      <c r="S282" s="64">
        <f>IF(NOT((COUNTA($B282:$D282)+COUNTA($G282:$L282)+COUNTA($Q282))&gt;0),"",IF(AND($V282="Sub",N($U282)&gt;0),IF(ISNUMBER(INDEX($AM$5:$AM$1000,$U282-4)),DATE(YEAR(INDEX($AM$5:$AM$1000,$U282-4)),MONTH(INDEX($AM$5:$AM$1000,$U282-4)),1),IF(ISNUMBER(INDEX($AN$5:$AN$1000,$U282-4)),DATE(YEAR(INDEX($AN$5:$AN$1000,$U282-4)),MONTH(INDEX($AN$5:$AN$1000,$U282-4)),1),MesCiclo)),IF(ISNUMBER($AM282),DATE(YEAR($AM282),MONTH($AM282),1),IF(ISNUMBER($AN282),DATE(YEAR($AN282),MONTH($AN282),1),MesCiclo))))</f>
        <v/>
      </c>
      <c r="T282" s="62">
        <f>IF(OR($S282="",$S282&lt;&gt;MesCiclo),"",COUNTIF($S$5:$S282,MesCiclo))</f>
        <v/>
      </c>
      <c r="U282" s="62">
        <f>IF($V282="","",IF($V282="Macro",ROW(),IFERROR(LOOKUP(2,1/($V$5:$V282="Macro"),ROW($V$5:$V282)),0)))</f>
        <v/>
      </c>
      <c r="V282" s="62">
        <f>IF(NOT((COUNTA($B282:$D282)+COUNTA($G282:$L282)+COUNTA($Q282))&gt;0),"",IF($B282="Subactividad","Sub","Macro"))</f>
        <v/>
      </c>
      <c r="W282" s="62">
        <f>IF($V282="Macro",COUNTIFS($U$5:$U$1000,ROW(),$V$5:$V$1000,"Sub"),"")</f>
        <v/>
      </c>
      <c r="X282" s="62">
        <f>IF($V282="","",IF(ISNUMBER($G282),1,IFERROR(LOOKUP(2,1/($I282:$L282&lt;&gt;""),$I282:$L282),0)))</f>
        <v/>
      </c>
      <c r="Y282" s="62">
        <f>IF($V282="","",IF(AND(ISNUMBER($G282),$G282&lt;=IF($S282=MesCiclo,InicioCiclo,$S282+MOD(2-WEEKDAY($S282),7))+6),1,IF(ISNUMBER($I282),$I282,0)))</f>
        <v/>
      </c>
      <c r="Z282" s="62">
        <f>IF($V282="","",IF(AND(ISNUMBER($G282),$G282&lt;=IF($S282=MesCiclo,InicioCiclo,$S282+MOD(2-WEEKDAY($S282),7))+13),1,IF(ISNUMBER($J282),$J282,$Y282)))</f>
        <v/>
      </c>
      <c r="AA282" s="62">
        <f>IF($V282="","",IF(AND(ISNUMBER($G282),$G282&lt;=IF($S282=MesCiclo,InicioCiclo,$S282+MOD(2-WEEKDAY($S282),7))+20),1,IF(ISNUMBER($K282),$K282,$Z282)))</f>
        <v/>
      </c>
      <c r="AB282" s="62">
        <f>IF($V282="","",IF(AND(ISNUMBER($G282),$G282&lt;=IF($S282=MesCiclo,InicioCiclo,$S282+MOD(2-WEEKDAY($S282),7))+27),1,IF(ISNUMBER($L282),$L282,$AA282)))</f>
        <v/>
      </c>
      <c r="AC282" s="62">
        <f>IF($V282="","",IF(AND(ISNUMBER($G282),$G282&lt;=IF($S282=MesCiclo,InicioCiclo,$S282+MOD(2-WEEKDAY($S282),7))+6),1,IF(N($W282)&gt;0,AVERAGEIFS($Y$5:$Y$1000,$U$5:$U$1000,ROW(),$V$5:$V$1000,"Sub"),$Y282)))</f>
        <v/>
      </c>
      <c r="AD282" s="62">
        <f>IF($V282="","",IF(AND(ISNUMBER($G282),$G282&lt;=IF($S282=MesCiclo,InicioCiclo,$S282+MOD(2-WEEKDAY($S282),7))+13),1,IF(N($W282)&gt;0,AVERAGEIFS($Z$5:$Z$1000,$U$5:$U$1000,ROW(),$V$5:$V$1000,"Sub"),$Z282)))</f>
        <v/>
      </c>
      <c r="AE282" s="62">
        <f>IF($V282="","",IF(AND(ISNUMBER($G282),$G282&lt;=IF($S282=MesCiclo,InicioCiclo,$S282+MOD(2-WEEKDAY($S282),7))+20),1,IF(N($W282)&gt;0,AVERAGEIFS($AA$5:$AA$1000,$U$5:$U$1000,ROW(),$V$5:$V$1000,"Sub"),$AA282)))</f>
        <v/>
      </c>
      <c r="AF282" s="62">
        <f>IF($V282="","",IF(AND(ISNUMBER($G282),$G282&lt;=IF($S282=MesCiclo,InicioCiclo,$S282+MOD(2-WEEKDAY($S282),7))+27),1,IF(N($W282)&gt;0,AVERAGEIFS($AB$5:$AB$1000,$U$5:$U$1000,ROW(),$V$5:$V$1000,"Sub"),$AB282)))</f>
        <v/>
      </c>
      <c r="AG282" s="62">
        <f>IF($V282&lt;&gt;"Macro","",IF(COUNTIFS($S$5:$S$1000,$S282,$V$5:$V$1000,"Macro",$H$5:$H$1000,"&gt;0")=0,1/COUNTIFS($S$5:$S$1000,$S282,$V$5:$V$1000,"Macro"),IF(AND(ISNUMBER($H282),N($H282)&gt;0),$H282,SUMIFS($H$5:$H$1000,$S$5:$S$1000,$S282,$V$5:$V$1000,"Macro")/COUNTIFS($S$5:$S$1000,$S282,$V$5:$V$1000,"Macro",$H$5:$H$1000,"&gt;0"))/(COUNTIFS($S$5:$S$1000,$S282,$V$5:$V$1000,"Macro")*SUMIFS($H$5:$H$1000,$S$5:$S$1000,$S282,$V$5:$V$1000,"Macro")/COUNTIFS($S$5:$S$1000,$S282,$V$5:$V$1000,"Macro",$H$5:$H$1000,"&gt;0"))))</f>
        <v/>
      </c>
      <c r="AH282" s="62" t="n"/>
      <c r="AI282" s="62" t="n"/>
      <c r="AJ282" s="62" t="n"/>
      <c r="AK282" s="62" t="n"/>
      <c r="AL282" s="62">
        <f>IF(LEFT($C282,11)="[Jefatura] ",IFERROR(MATCH("Asistente Técnico de Riesgo|"&amp;MID($C282,12,500),rDname_ADM,0),0),"")</f>
        <v/>
      </c>
      <c r="AM282" s="62">
        <f>IF(N($AL282)&gt;0,INDEX(rIni_ADM,$AL282),IF(ISNUMBER($E282),$E282,""))</f>
        <v/>
      </c>
      <c r="AN282" s="62">
        <f>IF(N($AL282)&gt;0,INDEX(rLim_ADM,$AL282),IF(ISNUMBER($F282),$F282,""))</f>
        <v/>
      </c>
    </row>
    <row r="283">
      <c r="A283" s="56">
        <f>IF(NOT((COUNTA($B283:$D283)+COUNTA($G283:$L283)+COUNTA($Q283))&gt;0),"",IF($V283="Macro",COUNTIFS($V$5:$V283,"Macro",$S$5:$S283,$S283),IF(N($U283)=0,"?",COUNTIFS(INDEX($V$5:$V$1000,1):INDEX($V$5:$V$1000,$U283-4),"Macro",INDEX($S$5:$S$1000,1):INDEX($S$5:$S$1000,$U283-4),INDEX($S$5:$S$1000,$U283-4))&amp;"."&amp;COUNTIFS($U$5:$U283,$U283,$V$5:$V283,"Sub"))))</f>
        <v/>
      </c>
      <c r="B283" s="57" t="n"/>
      <c r="C283" s="58" t="n"/>
      <c r="D283" s="58" t="n"/>
      <c r="E283" s="59">
        <f>IF(N($AL283)&gt;0,INDEX(rIni_ADM,$AL283),"")</f>
        <v/>
      </c>
      <c r="F283" s="59">
        <f>IF(N($AL283)&gt;0,INDEX(rLim_ADM,$AL283),"")</f>
        <v/>
      </c>
      <c r="G283" s="59" t="n"/>
      <c r="H283" s="60" t="n"/>
      <c r="I283" s="60" t="n"/>
      <c r="J283" s="60" t="n"/>
      <c r="K283" s="60" t="n"/>
      <c r="L283" s="60" t="n"/>
      <c r="M283" s="61">
        <f>IF(NOT((COUNTA($B283:$D283)+COUNTA($G283:$L283)+COUNTA($Q283))&gt;0),"",IF(ISNUMBER($G283),1,IF(N($W283)&gt;0,AVERAGEIFS($X$5:$X$1000,$U$5:$U$1000,ROW(),$V$5:$V$1000,"Sub"),$X283)))</f>
        <v/>
      </c>
      <c r="N283" s="56">
        <f>IF($M283="","",IF($M283&gt;=1,"Completado",IF($M283&gt;0,"En curso","Pendiente")))</f>
        <v/>
      </c>
      <c r="O283" s="56">
        <f>IF(NOT((COUNTA($B283:$D283)+COUNTA($G283:$L283)+COUNTA($Q283))&gt;0),"",IF(ISNUMBER($G283),IF(AND(ISNUMBER($AN283),$G283&gt;$AN283),"Cumplida con "&amp;($G283-$AN283)&amp;IF($G283-$AN283=1," día"," días")&amp;" de retraso","Cumplida"),IF(N($M283)&gt;=1,"Cumplida",IF(NOT(ISNUMBER($AN283)),"Sin fecha límite",IF($AN283&lt;FechaRef,"Vencida hace "&amp;(FechaRef-$AN283)&amp;IF(FechaRef-$AN283=1," día"," días"),IF($AN283=FechaRef,"Vence hoy",IF($AN283-FechaRef&lt;=DiasAlerta,"Vence en "&amp;($AN283-FechaRef)&amp;IF($AN283-FechaRef=1," día"," días"),"En plazo")))))))</f>
        <v/>
      </c>
      <c r="P283" s="62" t="n"/>
      <c r="Q283" s="58" t="n"/>
      <c r="R283" s="63">
        <f>IF(NOT((COUNTA($B283:$D283)+COUNTA($G283:$L283)+COUNTA($Q283))&gt;0),"",IF((IF($C283="","Falta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",""))="","✔ OK","⚠ "&amp;LEFT(IF($C283="","Falta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",""),LEN(IF($C283="","Falta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",""))-3)))</f>
        <v/>
      </c>
      <c r="S283" s="64">
        <f>IF(NOT((COUNTA($B283:$D283)+COUNTA($G283:$L283)+COUNTA($Q283))&gt;0),"",IF(AND($V283="Sub",N($U283)&gt;0),IF(ISNUMBER(INDEX($AM$5:$AM$1000,$U283-4)),DATE(YEAR(INDEX($AM$5:$AM$1000,$U283-4)),MONTH(INDEX($AM$5:$AM$1000,$U283-4)),1),IF(ISNUMBER(INDEX($AN$5:$AN$1000,$U283-4)),DATE(YEAR(INDEX($AN$5:$AN$1000,$U283-4)),MONTH(INDEX($AN$5:$AN$1000,$U283-4)),1),MesCiclo)),IF(ISNUMBER($AM283),DATE(YEAR($AM283),MONTH($AM283),1),IF(ISNUMBER($AN283),DATE(YEAR($AN283),MONTH($AN283),1),MesCiclo))))</f>
        <v/>
      </c>
      <c r="T283" s="62">
        <f>IF(OR($S283="",$S283&lt;&gt;MesCiclo),"",COUNTIF($S$5:$S283,MesCiclo))</f>
        <v/>
      </c>
      <c r="U283" s="62">
        <f>IF($V283="","",IF($V283="Macro",ROW(),IFERROR(LOOKUP(2,1/($V$5:$V283="Macro"),ROW($V$5:$V283)),0)))</f>
        <v/>
      </c>
      <c r="V283" s="62">
        <f>IF(NOT((COUNTA($B283:$D283)+COUNTA($G283:$L283)+COUNTA($Q283))&gt;0),"",IF($B283="Subactividad","Sub","Macro"))</f>
        <v/>
      </c>
      <c r="W283" s="62">
        <f>IF($V283="Macro",COUNTIFS($U$5:$U$1000,ROW(),$V$5:$V$1000,"Sub"),"")</f>
        <v/>
      </c>
      <c r="X283" s="62">
        <f>IF($V283="","",IF(ISNUMBER($G283),1,IFERROR(LOOKUP(2,1/($I283:$L283&lt;&gt;""),$I283:$L283),0)))</f>
        <v/>
      </c>
      <c r="Y283" s="62">
        <f>IF($V283="","",IF(AND(ISNUMBER($G283),$G283&lt;=IF($S283=MesCiclo,InicioCiclo,$S283+MOD(2-WEEKDAY($S283),7))+6),1,IF(ISNUMBER($I283),$I283,0)))</f>
        <v/>
      </c>
      <c r="Z283" s="62">
        <f>IF($V283="","",IF(AND(ISNUMBER($G283),$G283&lt;=IF($S283=MesCiclo,InicioCiclo,$S283+MOD(2-WEEKDAY($S283),7))+13),1,IF(ISNUMBER($J283),$J283,$Y283)))</f>
        <v/>
      </c>
      <c r="AA283" s="62">
        <f>IF($V283="","",IF(AND(ISNUMBER($G283),$G283&lt;=IF($S283=MesCiclo,InicioCiclo,$S283+MOD(2-WEEKDAY($S283),7))+20),1,IF(ISNUMBER($K283),$K283,$Z283)))</f>
        <v/>
      </c>
      <c r="AB283" s="62">
        <f>IF($V283="","",IF(AND(ISNUMBER($G283),$G283&lt;=IF($S283=MesCiclo,InicioCiclo,$S283+MOD(2-WEEKDAY($S283),7))+27),1,IF(ISNUMBER($L283),$L283,$AA283)))</f>
        <v/>
      </c>
      <c r="AC283" s="62">
        <f>IF($V283="","",IF(AND(ISNUMBER($G283),$G283&lt;=IF($S283=MesCiclo,InicioCiclo,$S283+MOD(2-WEEKDAY($S283),7))+6),1,IF(N($W283)&gt;0,AVERAGEIFS($Y$5:$Y$1000,$U$5:$U$1000,ROW(),$V$5:$V$1000,"Sub"),$Y283)))</f>
        <v/>
      </c>
      <c r="AD283" s="62">
        <f>IF($V283="","",IF(AND(ISNUMBER($G283),$G283&lt;=IF($S283=MesCiclo,InicioCiclo,$S283+MOD(2-WEEKDAY($S283),7))+13),1,IF(N($W283)&gt;0,AVERAGEIFS($Z$5:$Z$1000,$U$5:$U$1000,ROW(),$V$5:$V$1000,"Sub"),$Z283)))</f>
        <v/>
      </c>
      <c r="AE283" s="62">
        <f>IF($V283="","",IF(AND(ISNUMBER($G283),$G283&lt;=IF($S283=MesCiclo,InicioCiclo,$S283+MOD(2-WEEKDAY($S283),7))+20),1,IF(N($W283)&gt;0,AVERAGEIFS($AA$5:$AA$1000,$U$5:$U$1000,ROW(),$V$5:$V$1000,"Sub"),$AA283)))</f>
        <v/>
      </c>
      <c r="AF283" s="62">
        <f>IF($V283="","",IF(AND(ISNUMBER($G283),$G283&lt;=IF($S283=MesCiclo,InicioCiclo,$S283+MOD(2-WEEKDAY($S283),7))+27),1,IF(N($W283)&gt;0,AVERAGEIFS($AB$5:$AB$1000,$U$5:$U$1000,ROW(),$V$5:$V$1000,"Sub"),$AB283)))</f>
        <v/>
      </c>
      <c r="AG283" s="62">
        <f>IF($V283&lt;&gt;"Macro","",IF(COUNTIFS($S$5:$S$1000,$S283,$V$5:$V$1000,"Macro",$H$5:$H$1000,"&gt;0")=0,1/COUNTIFS($S$5:$S$1000,$S283,$V$5:$V$1000,"Macro"),IF(AND(ISNUMBER($H283),N($H283)&gt;0),$H283,SUMIFS($H$5:$H$1000,$S$5:$S$1000,$S283,$V$5:$V$1000,"Macro")/COUNTIFS($S$5:$S$1000,$S283,$V$5:$V$1000,"Macro",$H$5:$H$1000,"&gt;0"))/(COUNTIFS($S$5:$S$1000,$S283,$V$5:$V$1000,"Macro")*SUMIFS($H$5:$H$1000,$S$5:$S$1000,$S283,$V$5:$V$1000,"Macro")/COUNTIFS($S$5:$S$1000,$S283,$V$5:$V$1000,"Macro",$H$5:$H$1000,"&gt;0"))))</f>
        <v/>
      </c>
      <c r="AH283" s="62" t="n"/>
      <c r="AI283" s="62" t="n"/>
      <c r="AJ283" s="62" t="n"/>
      <c r="AK283" s="62" t="n"/>
      <c r="AL283" s="62">
        <f>IF(LEFT($C283,11)="[Jefatura] ",IFERROR(MATCH("Asistente Técnico de Riesgo|"&amp;MID($C283,12,500),rDname_ADM,0),0),"")</f>
        <v/>
      </c>
      <c r="AM283" s="62">
        <f>IF(N($AL283)&gt;0,INDEX(rIni_ADM,$AL283),IF(ISNUMBER($E283),$E283,""))</f>
        <v/>
      </c>
      <c r="AN283" s="62">
        <f>IF(N($AL283)&gt;0,INDEX(rLim_ADM,$AL283),IF(ISNUMBER($F283),$F283,""))</f>
        <v/>
      </c>
    </row>
    <row r="284">
      <c r="A284" s="56">
        <f>IF(NOT((COUNTA($B284:$D284)+COUNTA($G284:$L284)+COUNTA($Q284))&gt;0),"",IF($V284="Macro",COUNTIFS($V$5:$V284,"Macro",$S$5:$S284,$S284),IF(N($U284)=0,"?",COUNTIFS(INDEX($V$5:$V$1000,1):INDEX($V$5:$V$1000,$U284-4),"Macro",INDEX($S$5:$S$1000,1):INDEX($S$5:$S$1000,$U284-4),INDEX($S$5:$S$1000,$U284-4))&amp;"."&amp;COUNTIFS($U$5:$U284,$U284,$V$5:$V284,"Sub"))))</f>
        <v/>
      </c>
      <c r="B284" s="57" t="n"/>
      <c r="C284" s="58" t="n"/>
      <c r="D284" s="58" t="n"/>
      <c r="E284" s="59">
        <f>IF(N($AL284)&gt;0,INDEX(rIni_ADM,$AL284),"")</f>
        <v/>
      </c>
      <c r="F284" s="59">
        <f>IF(N($AL284)&gt;0,INDEX(rLim_ADM,$AL284),"")</f>
        <v/>
      </c>
      <c r="G284" s="59" t="n"/>
      <c r="H284" s="60" t="n"/>
      <c r="I284" s="60" t="n"/>
      <c r="J284" s="60" t="n"/>
      <c r="K284" s="60" t="n"/>
      <c r="L284" s="60" t="n"/>
      <c r="M284" s="61">
        <f>IF(NOT((COUNTA($B284:$D284)+COUNTA($G284:$L284)+COUNTA($Q284))&gt;0),"",IF(ISNUMBER($G284),1,IF(N($W284)&gt;0,AVERAGEIFS($X$5:$X$1000,$U$5:$U$1000,ROW(),$V$5:$V$1000,"Sub"),$X284)))</f>
        <v/>
      </c>
      <c r="N284" s="56">
        <f>IF($M284="","",IF($M284&gt;=1,"Completado",IF($M284&gt;0,"En curso","Pendiente")))</f>
        <v/>
      </c>
      <c r="O284" s="56">
        <f>IF(NOT((COUNTA($B284:$D284)+COUNTA($G284:$L284)+COUNTA($Q284))&gt;0),"",IF(ISNUMBER($G284),IF(AND(ISNUMBER($AN284),$G284&gt;$AN284),"Cumplida con "&amp;($G284-$AN284)&amp;IF($G284-$AN284=1," día"," días")&amp;" de retraso","Cumplida"),IF(N($M284)&gt;=1,"Cumplida",IF(NOT(ISNUMBER($AN284)),"Sin fecha límite",IF($AN284&lt;FechaRef,"Vencida hace "&amp;(FechaRef-$AN284)&amp;IF(FechaRef-$AN284=1," día"," días"),IF($AN284=FechaRef,"Vence hoy",IF($AN284-FechaRef&lt;=DiasAlerta,"Vence en "&amp;($AN284-FechaRef)&amp;IF($AN284-FechaRef=1," día"," días"),"En plazo")))))))</f>
        <v/>
      </c>
      <c r="P284" s="62" t="n"/>
      <c r="Q284" s="58" t="n"/>
      <c r="R284" s="63">
        <f>IF(NOT((COUNTA($B284:$D284)+COUNTA($G284:$L284)+COUNTA($Q284))&gt;0),"",IF((IF($C284="","Falta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",""))="","✔ OK","⚠ "&amp;LEFT(IF($C284="","Falta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",""),LEN(IF($C284="","Falta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",""))-3)))</f>
        <v/>
      </c>
      <c r="S284" s="64">
        <f>IF(NOT((COUNTA($B284:$D284)+COUNTA($G284:$L284)+COUNTA($Q284))&gt;0),"",IF(AND($V284="Sub",N($U284)&gt;0),IF(ISNUMBER(INDEX($AM$5:$AM$1000,$U284-4)),DATE(YEAR(INDEX($AM$5:$AM$1000,$U284-4)),MONTH(INDEX($AM$5:$AM$1000,$U284-4)),1),IF(ISNUMBER(INDEX($AN$5:$AN$1000,$U284-4)),DATE(YEAR(INDEX($AN$5:$AN$1000,$U284-4)),MONTH(INDEX($AN$5:$AN$1000,$U284-4)),1),MesCiclo)),IF(ISNUMBER($AM284),DATE(YEAR($AM284),MONTH($AM284),1),IF(ISNUMBER($AN284),DATE(YEAR($AN284),MONTH($AN284),1),MesCiclo))))</f>
        <v/>
      </c>
      <c r="T284" s="62">
        <f>IF(OR($S284="",$S284&lt;&gt;MesCiclo),"",COUNTIF($S$5:$S284,MesCiclo))</f>
        <v/>
      </c>
      <c r="U284" s="62">
        <f>IF($V284="","",IF($V284="Macro",ROW(),IFERROR(LOOKUP(2,1/($V$5:$V284="Macro"),ROW($V$5:$V284)),0)))</f>
        <v/>
      </c>
      <c r="V284" s="62">
        <f>IF(NOT((COUNTA($B284:$D284)+COUNTA($G284:$L284)+COUNTA($Q284))&gt;0),"",IF($B284="Subactividad","Sub","Macro"))</f>
        <v/>
      </c>
      <c r="W284" s="62">
        <f>IF($V284="Macro",COUNTIFS($U$5:$U$1000,ROW(),$V$5:$V$1000,"Sub"),"")</f>
        <v/>
      </c>
      <c r="X284" s="62">
        <f>IF($V284="","",IF(ISNUMBER($G284),1,IFERROR(LOOKUP(2,1/($I284:$L284&lt;&gt;""),$I284:$L284),0)))</f>
        <v/>
      </c>
      <c r="Y284" s="62">
        <f>IF($V284="","",IF(AND(ISNUMBER($G284),$G284&lt;=IF($S284=MesCiclo,InicioCiclo,$S284+MOD(2-WEEKDAY($S284),7))+6),1,IF(ISNUMBER($I284),$I284,0)))</f>
        <v/>
      </c>
      <c r="Z284" s="62">
        <f>IF($V284="","",IF(AND(ISNUMBER($G284),$G284&lt;=IF($S284=MesCiclo,InicioCiclo,$S284+MOD(2-WEEKDAY($S284),7))+13),1,IF(ISNUMBER($J284),$J284,$Y284)))</f>
        <v/>
      </c>
      <c r="AA284" s="62">
        <f>IF($V284="","",IF(AND(ISNUMBER($G284),$G284&lt;=IF($S284=MesCiclo,InicioCiclo,$S284+MOD(2-WEEKDAY($S284),7))+20),1,IF(ISNUMBER($K284),$K284,$Z284)))</f>
        <v/>
      </c>
      <c r="AB284" s="62">
        <f>IF($V284="","",IF(AND(ISNUMBER($G284),$G284&lt;=IF($S284=MesCiclo,InicioCiclo,$S284+MOD(2-WEEKDAY($S284),7))+27),1,IF(ISNUMBER($L284),$L284,$AA284)))</f>
        <v/>
      </c>
      <c r="AC284" s="62">
        <f>IF($V284="","",IF(AND(ISNUMBER($G284),$G284&lt;=IF($S284=MesCiclo,InicioCiclo,$S284+MOD(2-WEEKDAY($S284),7))+6),1,IF(N($W284)&gt;0,AVERAGEIFS($Y$5:$Y$1000,$U$5:$U$1000,ROW(),$V$5:$V$1000,"Sub"),$Y284)))</f>
        <v/>
      </c>
      <c r="AD284" s="62">
        <f>IF($V284="","",IF(AND(ISNUMBER($G284),$G284&lt;=IF($S284=MesCiclo,InicioCiclo,$S284+MOD(2-WEEKDAY($S284),7))+13),1,IF(N($W284)&gt;0,AVERAGEIFS($Z$5:$Z$1000,$U$5:$U$1000,ROW(),$V$5:$V$1000,"Sub"),$Z284)))</f>
        <v/>
      </c>
      <c r="AE284" s="62">
        <f>IF($V284="","",IF(AND(ISNUMBER($G284),$G284&lt;=IF($S284=MesCiclo,InicioCiclo,$S284+MOD(2-WEEKDAY($S284),7))+20),1,IF(N($W284)&gt;0,AVERAGEIFS($AA$5:$AA$1000,$U$5:$U$1000,ROW(),$V$5:$V$1000,"Sub"),$AA284)))</f>
        <v/>
      </c>
      <c r="AF284" s="62">
        <f>IF($V284="","",IF(AND(ISNUMBER($G284),$G284&lt;=IF($S284=MesCiclo,InicioCiclo,$S284+MOD(2-WEEKDAY($S284),7))+27),1,IF(N($W284)&gt;0,AVERAGEIFS($AB$5:$AB$1000,$U$5:$U$1000,ROW(),$V$5:$V$1000,"Sub"),$AB284)))</f>
        <v/>
      </c>
      <c r="AG284" s="62">
        <f>IF($V284&lt;&gt;"Macro","",IF(COUNTIFS($S$5:$S$1000,$S284,$V$5:$V$1000,"Macro",$H$5:$H$1000,"&gt;0")=0,1/COUNTIFS($S$5:$S$1000,$S284,$V$5:$V$1000,"Macro"),IF(AND(ISNUMBER($H284),N($H284)&gt;0),$H284,SUMIFS($H$5:$H$1000,$S$5:$S$1000,$S284,$V$5:$V$1000,"Macro")/COUNTIFS($S$5:$S$1000,$S284,$V$5:$V$1000,"Macro",$H$5:$H$1000,"&gt;0"))/(COUNTIFS($S$5:$S$1000,$S284,$V$5:$V$1000,"Macro")*SUMIFS($H$5:$H$1000,$S$5:$S$1000,$S284,$V$5:$V$1000,"Macro")/COUNTIFS($S$5:$S$1000,$S284,$V$5:$V$1000,"Macro",$H$5:$H$1000,"&gt;0"))))</f>
        <v/>
      </c>
      <c r="AH284" s="62" t="n"/>
      <c r="AI284" s="62" t="n"/>
      <c r="AJ284" s="62" t="n"/>
      <c r="AK284" s="62" t="n"/>
      <c r="AL284" s="62">
        <f>IF(LEFT($C284,11)="[Jefatura] ",IFERROR(MATCH("Asistente Técnico de Riesgo|"&amp;MID($C284,12,500),rDname_ADM,0),0),"")</f>
        <v/>
      </c>
      <c r="AM284" s="62">
        <f>IF(N($AL284)&gt;0,INDEX(rIni_ADM,$AL284),IF(ISNUMBER($E284),$E284,""))</f>
        <v/>
      </c>
      <c r="AN284" s="62">
        <f>IF(N($AL284)&gt;0,INDEX(rLim_ADM,$AL284),IF(ISNUMBER($F284),$F284,""))</f>
        <v/>
      </c>
    </row>
    <row r="285">
      <c r="A285" s="56">
        <f>IF(NOT((COUNTA($B285:$D285)+COUNTA($G285:$L285)+COUNTA($Q285))&gt;0),"",IF($V285="Macro",COUNTIFS($V$5:$V285,"Macro",$S$5:$S285,$S285),IF(N($U285)=0,"?",COUNTIFS(INDEX($V$5:$V$1000,1):INDEX($V$5:$V$1000,$U285-4),"Macro",INDEX($S$5:$S$1000,1):INDEX($S$5:$S$1000,$U285-4),INDEX($S$5:$S$1000,$U285-4))&amp;"."&amp;COUNTIFS($U$5:$U285,$U285,$V$5:$V285,"Sub"))))</f>
        <v/>
      </c>
      <c r="B285" s="57" t="n"/>
      <c r="C285" s="58" t="n"/>
      <c r="D285" s="58" t="n"/>
      <c r="E285" s="59">
        <f>IF(N($AL285)&gt;0,INDEX(rIni_ADM,$AL285),"")</f>
        <v/>
      </c>
      <c r="F285" s="59">
        <f>IF(N($AL285)&gt;0,INDEX(rLim_ADM,$AL285),"")</f>
        <v/>
      </c>
      <c r="G285" s="59" t="n"/>
      <c r="H285" s="60" t="n"/>
      <c r="I285" s="60" t="n"/>
      <c r="J285" s="60" t="n"/>
      <c r="K285" s="60" t="n"/>
      <c r="L285" s="60" t="n"/>
      <c r="M285" s="61">
        <f>IF(NOT((COUNTA($B285:$D285)+COUNTA($G285:$L285)+COUNTA($Q285))&gt;0),"",IF(ISNUMBER($G285),1,IF(N($W285)&gt;0,AVERAGEIFS($X$5:$X$1000,$U$5:$U$1000,ROW(),$V$5:$V$1000,"Sub"),$X285)))</f>
        <v/>
      </c>
      <c r="N285" s="56">
        <f>IF($M285="","",IF($M285&gt;=1,"Completado",IF($M285&gt;0,"En curso","Pendiente")))</f>
        <v/>
      </c>
      <c r="O285" s="56">
        <f>IF(NOT((COUNTA($B285:$D285)+COUNTA($G285:$L285)+COUNTA($Q285))&gt;0),"",IF(ISNUMBER($G285),IF(AND(ISNUMBER($AN285),$G285&gt;$AN285),"Cumplida con "&amp;($G285-$AN285)&amp;IF($G285-$AN285=1," día"," días")&amp;" de retraso","Cumplida"),IF(N($M285)&gt;=1,"Cumplida",IF(NOT(ISNUMBER($AN285)),"Sin fecha límite",IF($AN285&lt;FechaRef,"Vencida hace "&amp;(FechaRef-$AN285)&amp;IF(FechaRef-$AN285=1," día"," días"),IF($AN285=FechaRef,"Vence hoy",IF($AN285-FechaRef&lt;=DiasAlerta,"Vence en "&amp;($AN285-FechaRef)&amp;IF($AN285-FechaRef=1," día"," días"),"En plazo")))))))</f>
        <v/>
      </c>
      <c r="P285" s="62" t="n"/>
      <c r="Q285" s="58" t="n"/>
      <c r="R285" s="63">
        <f>IF(NOT((COUNTA($B285:$D285)+COUNTA($G285:$L285)+COUNTA($Q285))&gt;0),"",IF((IF($C285="","Falta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",""))="","✔ OK","⚠ "&amp;LEFT(IF($C285="","Falta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",""),LEN(IF($C285="","Falta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",""))-3)))</f>
        <v/>
      </c>
      <c r="S285" s="64">
        <f>IF(NOT((COUNTA($B285:$D285)+COUNTA($G285:$L285)+COUNTA($Q285))&gt;0),"",IF(AND($V285="Sub",N($U285)&gt;0),IF(ISNUMBER(INDEX($AM$5:$AM$1000,$U285-4)),DATE(YEAR(INDEX($AM$5:$AM$1000,$U285-4)),MONTH(INDEX($AM$5:$AM$1000,$U285-4)),1),IF(ISNUMBER(INDEX($AN$5:$AN$1000,$U285-4)),DATE(YEAR(INDEX($AN$5:$AN$1000,$U285-4)),MONTH(INDEX($AN$5:$AN$1000,$U285-4)),1),MesCiclo)),IF(ISNUMBER($AM285),DATE(YEAR($AM285),MONTH($AM285),1),IF(ISNUMBER($AN285),DATE(YEAR($AN285),MONTH($AN285),1),MesCiclo))))</f>
        <v/>
      </c>
      <c r="T285" s="62">
        <f>IF(OR($S285="",$S285&lt;&gt;MesCiclo),"",COUNTIF($S$5:$S285,MesCiclo))</f>
        <v/>
      </c>
      <c r="U285" s="62">
        <f>IF($V285="","",IF($V285="Macro",ROW(),IFERROR(LOOKUP(2,1/($V$5:$V285="Macro"),ROW($V$5:$V285)),0)))</f>
        <v/>
      </c>
      <c r="V285" s="62">
        <f>IF(NOT((COUNTA($B285:$D285)+COUNTA($G285:$L285)+COUNTA($Q285))&gt;0),"",IF($B285="Subactividad","Sub","Macro"))</f>
        <v/>
      </c>
      <c r="W285" s="62">
        <f>IF($V285="Macro",COUNTIFS($U$5:$U$1000,ROW(),$V$5:$V$1000,"Sub"),"")</f>
        <v/>
      </c>
      <c r="X285" s="62">
        <f>IF($V285="","",IF(ISNUMBER($G285),1,IFERROR(LOOKUP(2,1/($I285:$L285&lt;&gt;""),$I285:$L285),0)))</f>
        <v/>
      </c>
      <c r="Y285" s="62">
        <f>IF($V285="","",IF(AND(ISNUMBER($G285),$G285&lt;=IF($S285=MesCiclo,InicioCiclo,$S285+MOD(2-WEEKDAY($S285),7))+6),1,IF(ISNUMBER($I285),$I285,0)))</f>
        <v/>
      </c>
      <c r="Z285" s="62">
        <f>IF($V285="","",IF(AND(ISNUMBER($G285),$G285&lt;=IF($S285=MesCiclo,InicioCiclo,$S285+MOD(2-WEEKDAY($S285),7))+13),1,IF(ISNUMBER($J285),$J285,$Y285)))</f>
        <v/>
      </c>
      <c r="AA285" s="62">
        <f>IF($V285="","",IF(AND(ISNUMBER($G285),$G285&lt;=IF($S285=MesCiclo,InicioCiclo,$S285+MOD(2-WEEKDAY($S285),7))+20),1,IF(ISNUMBER($K285),$K285,$Z285)))</f>
        <v/>
      </c>
      <c r="AB285" s="62">
        <f>IF($V285="","",IF(AND(ISNUMBER($G285),$G285&lt;=IF($S285=MesCiclo,InicioCiclo,$S285+MOD(2-WEEKDAY($S285),7))+27),1,IF(ISNUMBER($L285),$L285,$AA285)))</f>
        <v/>
      </c>
      <c r="AC285" s="62">
        <f>IF($V285="","",IF(AND(ISNUMBER($G285),$G285&lt;=IF($S285=MesCiclo,InicioCiclo,$S285+MOD(2-WEEKDAY($S285),7))+6),1,IF(N($W285)&gt;0,AVERAGEIFS($Y$5:$Y$1000,$U$5:$U$1000,ROW(),$V$5:$V$1000,"Sub"),$Y285)))</f>
        <v/>
      </c>
      <c r="AD285" s="62">
        <f>IF($V285="","",IF(AND(ISNUMBER($G285),$G285&lt;=IF($S285=MesCiclo,InicioCiclo,$S285+MOD(2-WEEKDAY($S285),7))+13),1,IF(N($W285)&gt;0,AVERAGEIFS($Z$5:$Z$1000,$U$5:$U$1000,ROW(),$V$5:$V$1000,"Sub"),$Z285)))</f>
        <v/>
      </c>
      <c r="AE285" s="62">
        <f>IF($V285="","",IF(AND(ISNUMBER($G285),$G285&lt;=IF($S285=MesCiclo,InicioCiclo,$S285+MOD(2-WEEKDAY($S285),7))+20),1,IF(N($W285)&gt;0,AVERAGEIFS($AA$5:$AA$1000,$U$5:$U$1000,ROW(),$V$5:$V$1000,"Sub"),$AA285)))</f>
        <v/>
      </c>
      <c r="AF285" s="62">
        <f>IF($V285="","",IF(AND(ISNUMBER($G285),$G285&lt;=IF($S285=MesCiclo,InicioCiclo,$S285+MOD(2-WEEKDAY($S285),7))+27),1,IF(N($W285)&gt;0,AVERAGEIFS($AB$5:$AB$1000,$U$5:$U$1000,ROW(),$V$5:$V$1000,"Sub"),$AB285)))</f>
        <v/>
      </c>
      <c r="AG285" s="62">
        <f>IF($V285&lt;&gt;"Macro","",IF(COUNTIFS($S$5:$S$1000,$S285,$V$5:$V$1000,"Macro",$H$5:$H$1000,"&gt;0")=0,1/COUNTIFS($S$5:$S$1000,$S285,$V$5:$V$1000,"Macro"),IF(AND(ISNUMBER($H285),N($H285)&gt;0),$H285,SUMIFS($H$5:$H$1000,$S$5:$S$1000,$S285,$V$5:$V$1000,"Macro")/COUNTIFS($S$5:$S$1000,$S285,$V$5:$V$1000,"Macro",$H$5:$H$1000,"&gt;0"))/(COUNTIFS($S$5:$S$1000,$S285,$V$5:$V$1000,"Macro")*SUMIFS($H$5:$H$1000,$S$5:$S$1000,$S285,$V$5:$V$1000,"Macro")/COUNTIFS($S$5:$S$1000,$S285,$V$5:$V$1000,"Macro",$H$5:$H$1000,"&gt;0"))))</f>
        <v/>
      </c>
      <c r="AH285" s="62" t="n"/>
      <c r="AI285" s="62" t="n"/>
      <c r="AJ285" s="62" t="n"/>
      <c r="AK285" s="62" t="n"/>
      <c r="AL285" s="62">
        <f>IF(LEFT($C285,11)="[Jefatura] ",IFERROR(MATCH("Asistente Técnico de Riesgo|"&amp;MID($C285,12,500),rDname_ADM,0),0),"")</f>
        <v/>
      </c>
      <c r="AM285" s="62">
        <f>IF(N($AL285)&gt;0,INDEX(rIni_ADM,$AL285),IF(ISNUMBER($E285),$E285,""))</f>
        <v/>
      </c>
      <c r="AN285" s="62">
        <f>IF(N($AL285)&gt;0,INDEX(rLim_ADM,$AL285),IF(ISNUMBER($F285),$F285,""))</f>
        <v/>
      </c>
    </row>
    <row r="286">
      <c r="A286" s="56">
        <f>IF(NOT((COUNTA($B286:$D286)+COUNTA($G286:$L286)+COUNTA($Q286))&gt;0),"",IF($V286="Macro",COUNTIFS($V$5:$V286,"Macro",$S$5:$S286,$S286),IF(N($U286)=0,"?",COUNTIFS(INDEX($V$5:$V$1000,1):INDEX($V$5:$V$1000,$U286-4),"Macro",INDEX($S$5:$S$1000,1):INDEX($S$5:$S$1000,$U286-4),INDEX($S$5:$S$1000,$U286-4))&amp;"."&amp;COUNTIFS($U$5:$U286,$U286,$V$5:$V286,"Sub"))))</f>
        <v/>
      </c>
      <c r="B286" s="57" t="n"/>
      <c r="C286" s="58" t="n"/>
      <c r="D286" s="58" t="n"/>
      <c r="E286" s="59">
        <f>IF(N($AL286)&gt;0,INDEX(rIni_ADM,$AL286),"")</f>
        <v/>
      </c>
      <c r="F286" s="59">
        <f>IF(N($AL286)&gt;0,INDEX(rLim_ADM,$AL286),"")</f>
        <v/>
      </c>
      <c r="G286" s="59" t="n"/>
      <c r="H286" s="60" t="n"/>
      <c r="I286" s="60" t="n"/>
      <c r="J286" s="60" t="n"/>
      <c r="K286" s="60" t="n"/>
      <c r="L286" s="60" t="n"/>
      <c r="M286" s="61">
        <f>IF(NOT((COUNTA($B286:$D286)+COUNTA($G286:$L286)+COUNTA($Q286))&gt;0),"",IF(ISNUMBER($G286),1,IF(N($W286)&gt;0,AVERAGEIFS($X$5:$X$1000,$U$5:$U$1000,ROW(),$V$5:$V$1000,"Sub"),$X286)))</f>
        <v/>
      </c>
      <c r="N286" s="56">
        <f>IF($M286="","",IF($M286&gt;=1,"Completado",IF($M286&gt;0,"En curso","Pendiente")))</f>
        <v/>
      </c>
      <c r="O286" s="56">
        <f>IF(NOT((COUNTA($B286:$D286)+COUNTA($G286:$L286)+COUNTA($Q286))&gt;0),"",IF(ISNUMBER($G286),IF(AND(ISNUMBER($AN286),$G286&gt;$AN286),"Cumplida con "&amp;($G286-$AN286)&amp;IF($G286-$AN286=1," día"," días")&amp;" de retraso","Cumplida"),IF(N($M286)&gt;=1,"Cumplida",IF(NOT(ISNUMBER($AN286)),"Sin fecha límite",IF($AN286&lt;FechaRef,"Vencida hace "&amp;(FechaRef-$AN286)&amp;IF(FechaRef-$AN286=1," día"," días"),IF($AN286=FechaRef,"Vence hoy",IF($AN286-FechaRef&lt;=DiasAlerta,"Vence en "&amp;($AN286-FechaRef)&amp;IF($AN286-FechaRef=1," día"," días"),"En plazo")))))))</f>
        <v/>
      </c>
      <c r="P286" s="62" t="n"/>
      <c r="Q286" s="58" t="n"/>
      <c r="R286" s="63">
        <f>IF(NOT((COUNTA($B286:$D286)+COUNTA($G286:$L286)+COUNTA($Q286))&gt;0),"",IF((IF($C286="","Falta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",""))="","✔ OK","⚠ "&amp;LEFT(IF($C286="","Falta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",""),LEN(IF($C286="","Falta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",""))-3)))</f>
        <v/>
      </c>
      <c r="S286" s="64">
        <f>IF(NOT((COUNTA($B286:$D286)+COUNTA($G286:$L286)+COUNTA($Q286))&gt;0),"",IF(AND($V286="Sub",N($U286)&gt;0),IF(ISNUMBER(INDEX($AM$5:$AM$1000,$U286-4)),DATE(YEAR(INDEX($AM$5:$AM$1000,$U286-4)),MONTH(INDEX($AM$5:$AM$1000,$U286-4)),1),IF(ISNUMBER(INDEX($AN$5:$AN$1000,$U286-4)),DATE(YEAR(INDEX($AN$5:$AN$1000,$U286-4)),MONTH(INDEX($AN$5:$AN$1000,$U286-4)),1),MesCiclo)),IF(ISNUMBER($AM286),DATE(YEAR($AM286),MONTH($AM286),1),IF(ISNUMBER($AN286),DATE(YEAR($AN286),MONTH($AN286),1),MesCiclo))))</f>
        <v/>
      </c>
      <c r="T286" s="62">
        <f>IF(OR($S286="",$S286&lt;&gt;MesCiclo),"",COUNTIF($S$5:$S286,MesCiclo))</f>
        <v/>
      </c>
      <c r="U286" s="62">
        <f>IF($V286="","",IF($V286="Macro",ROW(),IFERROR(LOOKUP(2,1/($V$5:$V286="Macro"),ROW($V$5:$V286)),0)))</f>
        <v/>
      </c>
      <c r="V286" s="62">
        <f>IF(NOT((COUNTA($B286:$D286)+COUNTA($G286:$L286)+COUNTA($Q286))&gt;0),"",IF($B286="Subactividad","Sub","Macro"))</f>
        <v/>
      </c>
      <c r="W286" s="62">
        <f>IF($V286="Macro",COUNTIFS($U$5:$U$1000,ROW(),$V$5:$V$1000,"Sub"),"")</f>
        <v/>
      </c>
      <c r="X286" s="62">
        <f>IF($V286="","",IF(ISNUMBER($G286),1,IFERROR(LOOKUP(2,1/($I286:$L286&lt;&gt;""),$I286:$L286),0)))</f>
        <v/>
      </c>
      <c r="Y286" s="62">
        <f>IF($V286="","",IF(AND(ISNUMBER($G286),$G286&lt;=IF($S286=MesCiclo,InicioCiclo,$S286+MOD(2-WEEKDAY($S286),7))+6),1,IF(ISNUMBER($I286),$I286,0)))</f>
        <v/>
      </c>
      <c r="Z286" s="62">
        <f>IF($V286="","",IF(AND(ISNUMBER($G286),$G286&lt;=IF($S286=MesCiclo,InicioCiclo,$S286+MOD(2-WEEKDAY($S286),7))+13),1,IF(ISNUMBER($J286),$J286,$Y286)))</f>
        <v/>
      </c>
      <c r="AA286" s="62">
        <f>IF($V286="","",IF(AND(ISNUMBER($G286),$G286&lt;=IF($S286=MesCiclo,InicioCiclo,$S286+MOD(2-WEEKDAY($S286),7))+20),1,IF(ISNUMBER($K286),$K286,$Z286)))</f>
        <v/>
      </c>
      <c r="AB286" s="62">
        <f>IF($V286="","",IF(AND(ISNUMBER($G286),$G286&lt;=IF($S286=MesCiclo,InicioCiclo,$S286+MOD(2-WEEKDAY($S286),7))+27),1,IF(ISNUMBER($L286),$L286,$AA286)))</f>
        <v/>
      </c>
      <c r="AC286" s="62">
        <f>IF($V286="","",IF(AND(ISNUMBER($G286),$G286&lt;=IF($S286=MesCiclo,InicioCiclo,$S286+MOD(2-WEEKDAY($S286),7))+6),1,IF(N($W286)&gt;0,AVERAGEIFS($Y$5:$Y$1000,$U$5:$U$1000,ROW(),$V$5:$V$1000,"Sub"),$Y286)))</f>
        <v/>
      </c>
      <c r="AD286" s="62">
        <f>IF($V286="","",IF(AND(ISNUMBER($G286),$G286&lt;=IF($S286=MesCiclo,InicioCiclo,$S286+MOD(2-WEEKDAY($S286),7))+13),1,IF(N($W286)&gt;0,AVERAGEIFS($Z$5:$Z$1000,$U$5:$U$1000,ROW(),$V$5:$V$1000,"Sub"),$Z286)))</f>
        <v/>
      </c>
      <c r="AE286" s="62">
        <f>IF($V286="","",IF(AND(ISNUMBER($G286),$G286&lt;=IF($S286=MesCiclo,InicioCiclo,$S286+MOD(2-WEEKDAY($S286),7))+20),1,IF(N($W286)&gt;0,AVERAGEIFS($AA$5:$AA$1000,$U$5:$U$1000,ROW(),$V$5:$V$1000,"Sub"),$AA286)))</f>
        <v/>
      </c>
      <c r="AF286" s="62">
        <f>IF($V286="","",IF(AND(ISNUMBER($G286),$G286&lt;=IF($S286=MesCiclo,InicioCiclo,$S286+MOD(2-WEEKDAY($S286),7))+27),1,IF(N($W286)&gt;0,AVERAGEIFS($AB$5:$AB$1000,$U$5:$U$1000,ROW(),$V$5:$V$1000,"Sub"),$AB286)))</f>
        <v/>
      </c>
      <c r="AG286" s="62">
        <f>IF($V286&lt;&gt;"Macro","",IF(COUNTIFS($S$5:$S$1000,$S286,$V$5:$V$1000,"Macro",$H$5:$H$1000,"&gt;0")=0,1/COUNTIFS($S$5:$S$1000,$S286,$V$5:$V$1000,"Macro"),IF(AND(ISNUMBER($H286),N($H286)&gt;0),$H286,SUMIFS($H$5:$H$1000,$S$5:$S$1000,$S286,$V$5:$V$1000,"Macro")/COUNTIFS($S$5:$S$1000,$S286,$V$5:$V$1000,"Macro",$H$5:$H$1000,"&gt;0"))/(COUNTIFS($S$5:$S$1000,$S286,$V$5:$V$1000,"Macro")*SUMIFS($H$5:$H$1000,$S$5:$S$1000,$S286,$V$5:$V$1000,"Macro")/COUNTIFS($S$5:$S$1000,$S286,$V$5:$V$1000,"Macro",$H$5:$H$1000,"&gt;0"))))</f>
        <v/>
      </c>
      <c r="AH286" s="62" t="n"/>
      <c r="AI286" s="62" t="n"/>
      <c r="AJ286" s="62" t="n"/>
      <c r="AK286" s="62" t="n"/>
      <c r="AL286" s="62">
        <f>IF(LEFT($C286,11)="[Jefatura] ",IFERROR(MATCH("Asistente Técnico de Riesgo|"&amp;MID($C286,12,500),rDname_ADM,0),0),"")</f>
        <v/>
      </c>
      <c r="AM286" s="62">
        <f>IF(N($AL286)&gt;0,INDEX(rIni_ADM,$AL286),IF(ISNUMBER($E286),$E286,""))</f>
        <v/>
      </c>
      <c r="AN286" s="62">
        <f>IF(N($AL286)&gt;0,INDEX(rLim_ADM,$AL286),IF(ISNUMBER($F286),$F286,""))</f>
        <v/>
      </c>
    </row>
    <row r="287">
      <c r="A287" s="56">
        <f>IF(NOT((COUNTA($B287:$D287)+COUNTA($G287:$L287)+COUNTA($Q287))&gt;0),"",IF($V287="Macro",COUNTIFS($V$5:$V287,"Macro",$S$5:$S287,$S287),IF(N($U287)=0,"?",COUNTIFS(INDEX($V$5:$V$1000,1):INDEX($V$5:$V$1000,$U287-4),"Macro",INDEX($S$5:$S$1000,1):INDEX($S$5:$S$1000,$U287-4),INDEX($S$5:$S$1000,$U287-4))&amp;"."&amp;COUNTIFS($U$5:$U287,$U287,$V$5:$V287,"Sub"))))</f>
        <v/>
      </c>
      <c r="B287" s="57" t="n"/>
      <c r="C287" s="58" t="n"/>
      <c r="D287" s="58" t="n"/>
      <c r="E287" s="59">
        <f>IF(N($AL287)&gt;0,INDEX(rIni_ADM,$AL287),"")</f>
        <v/>
      </c>
      <c r="F287" s="59">
        <f>IF(N($AL287)&gt;0,INDEX(rLim_ADM,$AL287),"")</f>
        <v/>
      </c>
      <c r="G287" s="59" t="n"/>
      <c r="H287" s="60" t="n"/>
      <c r="I287" s="60" t="n"/>
      <c r="J287" s="60" t="n"/>
      <c r="K287" s="60" t="n"/>
      <c r="L287" s="60" t="n"/>
      <c r="M287" s="61">
        <f>IF(NOT((COUNTA($B287:$D287)+COUNTA($G287:$L287)+COUNTA($Q287))&gt;0),"",IF(ISNUMBER($G287),1,IF(N($W287)&gt;0,AVERAGEIFS($X$5:$X$1000,$U$5:$U$1000,ROW(),$V$5:$V$1000,"Sub"),$X287)))</f>
        <v/>
      </c>
      <c r="N287" s="56">
        <f>IF($M287="","",IF($M287&gt;=1,"Completado",IF($M287&gt;0,"En curso","Pendiente")))</f>
        <v/>
      </c>
      <c r="O287" s="56">
        <f>IF(NOT((COUNTA($B287:$D287)+COUNTA($G287:$L287)+COUNTA($Q287))&gt;0),"",IF(ISNUMBER($G287),IF(AND(ISNUMBER($AN287),$G287&gt;$AN287),"Cumplida con "&amp;($G287-$AN287)&amp;IF($G287-$AN287=1," día"," días")&amp;" de retraso","Cumplida"),IF(N($M287)&gt;=1,"Cumplida",IF(NOT(ISNUMBER($AN287)),"Sin fecha límite",IF($AN287&lt;FechaRef,"Vencida hace "&amp;(FechaRef-$AN287)&amp;IF(FechaRef-$AN287=1," día"," días"),IF($AN287=FechaRef,"Vence hoy",IF($AN287-FechaRef&lt;=DiasAlerta,"Vence en "&amp;($AN287-FechaRef)&amp;IF($AN287-FechaRef=1," día"," días"),"En plazo")))))))</f>
        <v/>
      </c>
      <c r="P287" s="62" t="n"/>
      <c r="Q287" s="58" t="n"/>
      <c r="R287" s="63">
        <f>IF(NOT((COUNTA($B287:$D287)+COUNTA($G287:$L287)+COUNTA($Q287))&gt;0),"",IF((IF($C287="","Falta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",""))="","✔ OK","⚠ "&amp;LEFT(IF($C287="","Falta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",""),LEN(IF($C287="","Falta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",""))-3)))</f>
        <v/>
      </c>
      <c r="S287" s="64">
        <f>IF(NOT((COUNTA($B287:$D287)+COUNTA($G287:$L287)+COUNTA($Q287))&gt;0),"",IF(AND($V287="Sub",N($U287)&gt;0),IF(ISNUMBER(INDEX($AM$5:$AM$1000,$U287-4)),DATE(YEAR(INDEX($AM$5:$AM$1000,$U287-4)),MONTH(INDEX($AM$5:$AM$1000,$U287-4)),1),IF(ISNUMBER(INDEX($AN$5:$AN$1000,$U287-4)),DATE(YEAR(INDEX($AN$5:$AN$1000,$U287-4)),MONTH(INDEX($AN$5:$AN$1000,$U287-4)),1),MesCiclo)),IF(ISNUMBER($AM287),DATE(YEAR($AM287),MONTH($AM287),1),IF(ISNUMBER($AN287),DATE(YEAR($AN287),MONTH($AN287),1),MesCiclo))))</f>
        <v/>
      </c>
      <c r="T287" s="62">
        <f>IF(OR($S287="",$S287&lt;&gt;MesCiclo),"",COUNTIF($S$5:$S287,MesCiclo))</f>
        <v/>
      </c>
      <c r="U287" s="62">
        <f>IF($V287="","",IF($V287="Macro",ROW(),IFERROR(LOOKUP(2,1/($V$5:$V287="Macro"),ROW($V$5:$V287)),0)))</f>
        <v/>
      </c>
      <c r="V287" s="62">
        <f>IF(NOT((COUNTA($B287:$D287)+COUNTA($G287:$L287)+COUNTA($Q287))&gt;0),"",IF($B287="Subactividad","Sub","Macro"))</f>
        <v/>
      </c>
      <c r="W287" s="62">
        <f>IF($V287="Macro",COUNTIFS($U$5:$U$1000,ROW(),$V$5:$V$1000,"Sub"),"")</f>
        <v/>
      </c>
      <c r="X287" s="62">
        <f>IF($V287="","",IF(ISNUMBER($G287),1,IFERROR(LOOKUP(2,1/($I287:$L287&lt;&gt;""),$I287:$L287),0)))</f>
        <v/>
      </c>
      <c r="Y287" s="62">
        <f>IF($V287="","",IF(AND(ISNUMBER($G287),$G287&lt;=IF($S287=MesCiclo,InicioCiclo,$S287+MOD(2-WEEKDAY($S287),7))+6),1,IF(ISNUMBER($I287),$I287,0)))</f>
        <v/>
      </c>
      <c r="Z287" s="62">
        <f>IF($V287="","",IF(AND(ISNUMBER($G287),$G287&lt;=IF($S287=MesCiclo,InicioCiclo,$S287+MOD(2-WEEKDAY($S287),7))+13),1,IF(ISNUMBER($J287),$J287,$Y287)))</f>
        <v/>
      </c>
      <c r="AA287" s="62">
        <f>IF($V287="","",IF(AND(ISNUMBER($G287),$G287&lt;=IF($S287=MesCiclo,InicioCiclo,$S287+MOD(2-WEEKDAY($S287),7))+20),1,IF(ISNUMBER($K287),$K287,$Z287)))</f>
        <v/>
      </c>
      <c r="AB287" s="62">
        <f>IF($V287="","",IF(AND(ISNUMBER($G287),$G287&lt;=IF($S287=MesCiclo,InicioCiclo,$S287+MOD(2-WEEKDAY($S287),7))+27),1,IF(ISNUMBER($L287),$L287,$AA287)))</f>
        <v/>
      </c>
      <c r="AC287" s="62">
        <f>IF($V287="","",IF(AND(ISNUMBER($G287),$G287&lt;=IF($S287=MesCiclo,InicioCiclo,$S287+MOD(2-WEEKDAY($S287),7))+6),1,IF(N($W287)&gt;0,AVERAGEIFS($Y$5:$Y$1000,$U$5:$U$1000,ROW(),$V$5:$V$1000,"Sub"),$Y287)))</f>
        <v/>
      </c>
      <c r="AD287" s="62">
        <f>IF($V287="","",IF(AND(ISNUMBER($G287),$G287&lt;=IF($S287=MesCiclo,InicioCiclo,$S287+MOD(2-WEEKDAY($S287),7))+13),1,IF(N($W287)&gt;0,AVERAGEIFS($Z$5:$Z$1000,$U$5:$U$1000,ROW(),$V$5:$V$1000,"Sub"),$Z287)))</f>
        <v/>
      </c>
      <c r="AE287" s="62">
        <f>IF($V287="","",IF(AND(ISNUMBER($G287),$G287&lt;=IF($S287=MesCiclo,InicioCiclo,$S287+MOD(2-WEEKDAY($S287),7))+20),1,IF(N($W287)&gt;0,AVERAGEIFS($AA$5:$AA$1000,$U$5:$U$1000,ROW(),$V$5:$V$1000,"Sub"),$AA287)))</f>
        <v/>
      </c>
      <c r="AF287" s="62">
        <f>IF($V287="","",IF(AND(ISNUMBER($G287),$G287&lt;=IF($S287=MesCiclo,InicioCiclo,$S287+MOD(2-WEEKDAY($S287),7))+27),1,IF(N($W287)&gt;0,AVERAGEIFS($AB$5:$AB$1000,$U$5:$U$1000,ROW(),$V$5:$V$1000,"Sub"),$AB287)))</f>
        <v/>
      </c>
      <c r="AG287" s="62">
        <f>IF($V287&lt;&gt;"Macro","",IF(COUNTIFS($S$5:$S$1000,$S287,$V$5:$V$1000,"Macro",$H$5:$H$1000,"&gt;0")=0,1/COUNTIFS($S$5:$S$1000,$S287,$V$5:$V$1000,"Macro"),IF(AND(ISNUMBER($H287),N($H287)&gt;0),$H287,SUMIFS($H$5:$H$1000,$S$5:$S$1000,$S287,$V$5:$V$1000,"Macro")/COUNTIFS($S$5:$S$1000,$S287,$V$5:$V$1000,"Macro",$H$5:$H$1000,"&gt;0"))/(COUNTIFS($S$5:$S$1000,$S287,$V$5:$V$1000,"Macro")*SUMIFS($H$5:$H$1000,$S$5:$S$1000,$S287,$V$5:$V$1000,"Macro")/COUNTIFS($S$5:$S$1000,$S287,$V$5:$V$1000,"Macro",$H$5:$H$1000,"&gt;0"))))</f>
        <v/>
      </c>
      <c r="AH287" s="62" t="n"/>
      <c r="AI287" s="62" t="n"/>
      <c r="AJ287" s="62" t="n"/>
      <c r="AK287" s="62" t="n"/>
      <c r="AL287" s="62">
        <f>IF(LEFT($C287,11)="[Jefatura] ",IFERROR(MATCH("Asistente Técnico de Riesgo|"&amp;MID($C287,12,500),rDname_ADM,0),0),"")</f>
        <v/>
      </c>
      <c r="AM287" s="62">
        <f>IF(N($AL287)&gt;0,INDEX(rIni_ADM,$AL287),IF(ISNUMBER($E287),$E287,""))</f>
        <v/>
      </c>
      <c r="AN287" s="62">
        <f>IF(N($AL287)&gt;0,INDEX(rLim_ADM,$AL287),IF(ISNUMBER($F287),$F287,""))</f>
        <v/>
      </c>
    </row>
    <row r="288">
      <c r="A288" s="56">
        <f>IF(NOT((COUNTA($B288:$D288)+COUNTA($G288:$L288)+COUNTA($Q288))&gt;0),"",IF($V288="Macro",COUNTIFS($V$5:$V288,"Macro",$S$5:$S288,$S288),IF(N($U288)=0,"?",COUNTIFS(INDEX($V$5:$V$1000,1):INDEX($V$5:$V$1000,$U288-4),"Macro",INDEX($S$5:$S$1000,1):INDEX($S$5:$S$1000,$U288-4),INDEX($S$5:$S$1000,$U288-4))&amp;"."&amp;COUNTIFS($U$5:$U288,$U288,$V$5:$V288,"Sub"))))</f>
        <v/>
      </c>
      <c r="B288" s="57" t="n"/>
      <c r="C288" s="58" t="n"/>
      <c r="D288" s="58" t="n"/>
      <c r="E288" s="59">
        <f>IF(N($AL288)&gt;0,INDEX(rIni_ADM,$AL288),"")</f>
        <v/>
      </c>
      <c r="F288" s="59">
        <f>IF(N($AL288)&gt;0,INDEX(rLim_ADM,$AL288),"")</f>
        <v/>
      </c>
      <c r="G288" s="59" t="n"/>
      <c r="H288" s="60" t="n"/>
      <c r="I288" s="60" t="n"/>
      <c r="J288" s="60" t="n"/>
      <c r="K288" s="60" t="n"/>
      <c r="L288" s="60" t="n"/>
      <c r="M288" s="61">
        <f>IF(NOT((COUNTA($B288:$D288)+COUNTA($G288:$L288)+COUNTA($Q288))&gt;0),"",IF(ISNUMBER($G288),1,IF(N($W288)&gt;0,AVERAGEIFS($X$5:$X$1000,$U$5:$U$1000,ROW(),$V$5:$V$1000,"Sub"),$X288)))</f>
        <v/>
      </c>
      <c r="N288" s="56">
        <f>IF($M288="","",IF($M288&gt;=1,"Completado",IF($M288&gt;0,"En curso","Pendiente")))</f>
        <v/>
      </c>
      <c r="O288" s="56">
        <f>IF(NOT((COUNTA($B288:$D288)+COUNTA($G288:$L288)+COUNTA($Q288))&gt;0),"",IF(ISNUMBER($G288),IF(AND(ISNUMBER($AN288),$G288&gt;$AN288),"Cumplida con "&amp;($G288-$AN288)&amp;IF($G288-$AN288=1," día"," días")&amp;" de retraso","Cumplida"),IF(N($M288)&gt;=1,"Cumplida",IF(NOT(ISNUMBER($AN288)),"Sin fecha límite",IF($AN288&lt;FechaRef,"Vencida hace "&amp;(FechaRef-$AN288)&amp;IF(FechaRef-$AN288=1," día"," días"),IF($AN288=FechaRef,"Vence hoy",IF($AN288-FechaRef&lt;=DiasAlerta,"Vence en "&amp;($AN288-FechaRef)&amp;IF($AN288-FechaRef=1," día"," días"),"En plazo")))))))</f>
        <v/>
      </c>
      <c r="P288" s="62" t="n"/>
      <c r="Q288" s="58" t="n"/>
      <c r="R288" s="63">
        <f>IF(NOT((COUNTA($B288:$D288)+COUNTA($G288:$L288)+COUNTA($Q288))&gt;0),"",IF((IF($C288="","Falta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",""))="","✔ OK","⚠ "&amp;LEFT(IF($C288="","Falta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",""),LEN(IF($C288="","Falta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",""))-3)))</f>
        <v/>
      </c>
      <c r="S288" s="64">
        <f>IF(NOT((COUNTA($B288:$D288)+COUNTA($G288:$L288)+COUNTA($Q288))&gt;0),"",IF(AND($V288="Sub",N($U288)&gt;0),IF(ISNUMBER(INDEX($AM$5:$AM$1000,$U288-4)),DATE(YEAR(INDEX($AM$5:$AM$1000,$U288-4)),MONTH(INDEX($AM$5:$AM$1000,$U288-4)),1),IF(ISNUMBER(INDEX($AN$5:$AN$1000,$U288-4)),DATE(YEAR(INDEX($AN$5:$AN$1000,$U288-4)),MONTH(INDEX($AN$5:$AN$1000,$U288-4)),1),MesCiclo)),IF(ISNUMBER($AM288),DATE(YEAR($AM288),MONTH($AM288),1),IF(ISNUMBER($AN288),DATE(YEAR($AN288),MONTH($AN288),1),MesCiclo))))</f>
        <v/>
      </c>
      <c r="T288" s="62">
        <f>IF(OR($S288="",$S288&lt;&gt;MesCiclo),"",COUNTIF($S$5:$S288,MesCiclo))</f>
        <v/>
      </c>
      <c r="U288" s="62">
        <f>IF($V288="","",IF($V288="Macro",ROW(),IFERROR(LOOKUP(2,1/($V$5:$V288="Macro"),ROW($V$5:$V288)),0)))</f>
        <v/>
      </c>
      <c r="V288" s="62">
        <f>IF(NOT((COUNTA($B288:$D288)+COUNTA($G288:$L288)+COUNTA($Q288))&gt;0),"",IF($B288="Subactividad","Sub","Macro"))</f>
        <v/>
      </c>
      <c r="W288" s="62">
        <f>IF($V288="Macro",COUNTIFS($U$5:$U$1000,ROW(),$V$5:$V$1000,"Sub"),"")</f>
        <v/>
      </c>
      <c r="X288" s="62">
        <f>IF($V288="","",IF(ISNUMBER($G288),1,IFERROR(LOOKUP(2,1/($I288:$L288&lt;&gt;""),$I288:$L288),0)))</f>
        <v/>
      </c>
      <c r="Y288" s="62">
        <f>IF($V288="","",IF(AND(ISNUMBER($G288),$G288&lt;=IF($S288=MesCiclo,InicioCiclo,$S288+MOD(2-WEEKDAY($S288),7))+6),1,IF(ISNUMBER($I288),$I288,0)))</f>
        <v/>
      </c>
      <c r="Z288" s="62">
        <f>IF($V288="","",IF(AND(ISNUMBER($G288),$G288&lt;=IF($S288=MesCiclo,InicioCiclo,$S288+MOD(2-WEEKDAY($S288),7))+13),1,IF(ISNUMBER($J288),$J288,$Y288)))</f>
        <v/>
      </c>
      <c r="AA288" s="62">
        <f>IF($V288="","",IF(AND(ISNUMBER($G288),$G288&lt;=IF($S288=MesCiclo,InicioCiclo,$S288+MOD(2-WEEKDAY($S288),7))+20),1,IF(ISNUMBER($K288),$K288,$Z288)))</f>
        <v/>
      </c>
      <c r="AB288" s="62">
        <f>IF($V288="","",IF(AND(ISNUMBER($G288),$G288&lt;=IF($S288=MesCiclo,InicioCiclo,$S288+MOD(2-WEEKDAY($S288),7))+27),1,IF(ISNUMBER($L288),$L288,$AA288)))</f>
        <v/>
      </c>
      <c r="AC288" s="62">
        <f>IF($V288="","",IF(AND(ISNUMBER($G288),$G288&lt;=IF($S288=MesCiclo,InicioCiclo,$S288+MOD(2-WEEKDAY($S288),7))+6),1,IF(N($W288)&gt;0,AVERAGEIFS($Y$5:$Y$1000,$U$5:$U$1000,ROW(),$V$5:$V$1000,"Sub"),$Y288)))</f>
        <v/>
      </c>
      <c r="AD288" s="62">
        <f>IF($V288="","",IF(AND(ISNUMBER($G288),$G288&lt;=IF($S288=MesCiclo,InicioCiclo,$S288+MOD(2-WEEKDAY($S288),7))+13),1,IF(N($W288)&gt;0,AVERAGEIFS($Z$5:$Z$1000,$U$5:$U$1000,ROW(),$V$5:$V$1000,"Sub"),$Z288)))</f>
        <v/>
      </c>
      <c r="AE288" s="62">
        <f>IF($V288="","",IF(AND(ISNUMBER($G288),$G288&lt;=IF($S288=MesCiclo,InicioCiclo,$S288+MOD(2-WEEKDAY($S288),7))+20),1,IF(N($W288)&gt;0,AVERAGEIFS($AA$5:$AA$1000,$U$5:$U$1000,ROW(),$V$5:$V$1000,"Sub"),$AA288)))</f>
        <v/>
      </c>
      <c r="AF288" s="62">
        <f>IF($V288="","",IF(AND(ISNUMBER($G288),$G288&lt;=IF($S288=MesCiclo,InicioCiclo,$S288+MOD(2-WEEKDAY($S288),7))+27),1,IF(N($W288)&gt;0,AVERAGEIFS($AB$5:$AB$1000,$U$5:$U$1000,ROW(),$V$5:$V$1000,"Sub"),$AB288)))</f>
        <v/>
      </c>
      <c r="AG288" s="62">
        <f>IF($V288&lt;&gt;"Macro","",IF(COUNTIFS($S$5:$S$1000,$S288,$V$5:$V$1000,"Macro",$H$5:$H$1000,"&gt;0")=0,1/COUNTIFS($S$5:$S$1000,$S288,$V$5:$V$1000,"Macro"),IF(AND(ISNUMBER($H288),N($H288)&gt;0),$H288,SUMIFS($H$5:$H$1000,$S$5:$S$1000,$S288,$V$5:$V$1000,"Macro")/COUNTIFS($S$5:$S$1000,$S288,$V$5:$V$1000,"Macro",$H$5:$H$1000,"&gt;0"))/(COUNTIFS($S$5:$S$1000,$S288,$V$5:$V$1000,"Macro")*SUMIFS($H$5:$H$1000,$S$5:$S$1000,$S288,$V$5:$V$1000,"Macro")/COUNTIFS($S$5:$S$1000,$S288,$V$5:$V$1000,"Macro",$H$5:$H$1000,"&gt;0"))))</f>
        <v/>
      </c>
      <c r="AH288" s="62" t="n"/>
      <c r="AI288" s="62" t="n"/>
      <c r="AJ288" s="62" t="n"/>
      <c r="AK288" s="62" t="n"/>
      <c r="AL288" s="62">
        <f>IF(LEFT($C288,11)="[Jefatura] ",IFERROR(MATCH("Asistente Técnico de Riesgo|"&amp;MID($C288,12,500),rDname_ADM,0),0),"")</f>
        <v/>
      </c>
      <c r="AM288" s="62">
        <f>IF(N($AL288)&gt;0,INDEX(rIni_ADM,$AL288),IF(ISNUMBER($E288),$E288,""))</f>
        <v/>
      </c>
      <c r="AN288" s="62">
        <f>IF(N($AL288)&gt;0,INDEX(rLim_ADM,$AL288),IF(ISNUMBER($F288),$F288,""))</f>
        <v/>
      </c>
    </row>
    <row r="289">
      <c r="A289" s="56">
        <f>IF(NOT((COUNTA($B289:$D289)+COUNTA($G289:$L289)+COUNTA($Q289))&gt;0),"",IF($V289="Macro",COUNTIFS($V$5:$V289,"Macro",$S$5:$S289,$S289),IF(N($U289)=0,"?",COUNTIFS(INDEX($V$5:$V$1000,1):INDEX($V$5:$V$1000,$U289-4),"Macro",INDEX($S$5:$S$1000,1):INDEX($S$5:$S$1000,$U289-4),INDEX($S$5:$S$1000,$U289-4))&amp;"."&amp;COUNTIFS($U$5:$U289,$U289,$V$5:$V289,"Sub"))))</f>
        <v/>
      </c>
      <c r="B289" s="57" t="n"/>
      <c r="C289" s="58" t="n"/>
      <c r="D289" s="58" t="n"/>
      <c r="E289" s="59">
        <f>IF(N($AL289)&gt;0,INDEX(rIni_ADM,$AL289),"")</f>
        <v/>
      </c>
      <c r="F289" s="59">
        <f>IF(N($AL289)&gt;0,INDEX(rLim_ADM,$AL289),"")</f>
        <v/>
      </c>
      <c r="G289" s="59" t="n"/>
      <c r="H289" s="60" t="n"/>
      <c r="I289" s="60" t="n"/>
      <c r="J289" s="60" t="n"/>
      <c r="K289" s="60" t="n"/>
      <c r="L289" s="60" t="n"/>
      <c r="M289" s="61">
        <f>IF(NOT((COUNTA($B289:$D289)+COUNTA($G289:$L289)+COUNTA($Q289))&gt;0),"",IF(ISNUMBER($G289),1,IF(N($W289)&gt;0,AVERAGEIFS($X$5:$X$1000,$U$5:$U$1000,ROW(),$V$5:$V$1000,"Sub"),$X289)))</f>
        <v/>
      </c>
      <c r="N289" s="56">
        <f>IF($M289="","",IF($M289&gt;=1,"Completado",IF($M289&gt;0,"En curso","Pendiente")))</f>
        <v/>
      </c>
      <c r="O289" s="56">
        <f>IF(NOT((COUNTA($B289:$D289)+COUNTA($G289:$L289)+COUNTA($Q289))&gt;0),"",IF(ISNUMBER($G289),IF(AND(ISNUMBER($AN289),$G289&gt;$AN289),"Cumplida con "&amp;($G289-$AN289)&amp;IF($G289-$AN289=1," día"," días")&amp;" de retraso","Cumplida"),IF(N($M289)&gt;=1,"Cumplida",IF(NOT(ISNUMBER($AN289)),"Sin fecha límite",IF($AN289&lt;FechaRef,"Vencida hace "&amp;(FechaRef-$AN289)&amp;IF(FechaRef-$AN289=1," día"," días"),IF($AN289=FechaRef,"Vence hoy",IF($AN289-FechaRef&lt;=DiasAlerta,"Vence en "&amp;($AN289-FechaRef)&amp;IF($AN289-FechaRef=1," día"," días"),"En plazo")))))))</f>
        <v/>
      </c>
      <c r="P289" s="62" t="n"/>
      <c r="Q289" s="58" t="n"/>
      <c r="R289" s="63">
        <f>IF(NOT((COUNTA($B289:$D289)+COUNTA($G289:$L289)+COUNTA($Q289))&gt;0),"",IF((IF($C289="","Falta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",""))="","✔ OK","⚠ "&amp;LEFT(IF($C289="","Falta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",""),LEN(IF($C289="","Falta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",""))-3)))</f>
        <v/>
      </c>
      <c r="S289" s="64">
        <f>IF(NOT((COUNTA($B289:$D289)+COUNTA($G289:$L289)+COUNTA($Q289))&gt;0),"",IF(AND($V289="Sub",N($U289)&gt;0),IF(ISNUMBER(INDEX($AM$5:$AM$1000,$U289-4)),DATE(YEAR(INDEX($AM$5:$AM$1000,$U289-4)),MONTH(INDEX($AM$5:$AM$1000,$U289-4)),1),IF(ISNUMBER(INDEX($AN$5:$AN$1000,$U289-4)),DATE(YEAR(INDEX($AN$5:$AN$1000,$U289-4)),MONTH(INDEX($AN$5:$AN$1000,$U289-4)),1),MesCiclo)),IF(ISNUMBER($AM289),DATE(YEAR($AM289),MONTH($AM289),1),IF(ISNUMBER($AN289),DATE(YEAR($AN289),MONTH($AN289),1),MesCiclo))))</f>
        <v/>
      </c>
      <c r="T289" s="62">
        <f>IF(OR($S289="",$S289&lt;&gt;MesCiclo),"",COUNTIF($S$5:$S289,MesCiclo))</f>
        <v/>
      </c>
      <c r="U289" s="62">
        <f>IF($V289="","",IF($V289="Macro",ROW(),IFERROR(LOOKUP(2,1/($V$5:$V289="Macro"),ROW($V$5:$V289)),0)))</f>
        <v/>
      </c>
      <c r="V289" s="62">
        <f>IF(NOT((COUNTA($B289:$D289)+COUNTA($G289:$L289)+COUNTA($Q289))&gt;0),"",IF($B289="Subactividad","Sub","Macro"))</f>
        <v/>
      </c>
      <c r="W289" s="62">
        <f>IF($V289="Macro",COUNTIFS($U$5:$U$1000,ROW(),$V$5:$V$1000,"Sub"),"")</f>
        <v/>
      </c>
      <c r="X289" s="62">
        <f>IF($V289="","",IF(ISNUMBER($G289),1,IFERROR(LOOKUP(2,1/($I289:$L289&lt;&gt;""),$I289:$L289),0)))</f>
        <v/>
      </c>
      <c r="Y289" s="62">
        <f>IF($V289="","",IF(AND(ISNUMBER($G289),$G289&lt;=IF($S289=MesCiclo,InicioCiclo,$S289+MOD(2-WEEKDAY($S289),7))+6),1,IF(ISNUMBER($I289),$I289,0)))</f>
        <v/>
      </c>
      <c r="Z289" s="62">
        <f>IF($V289="","",IF(AND(ISNUMBER($G289),$G289&lt;=IF($S289=MesCiclo,InicioCiclo,$S289+MOD(2-WEEKDAY($S289),7))+13),1,IF(ISNUMBER($J289),$J289,$Y289)))</f>
        <v/>
      </c>
      <c r="AA289" s="62">
        <f>IF($V289="","",IF(AND(ISNUMBER($G289),$G289&lt;=IF($S289=MesCiclo,InicioCiclo,$S289+MOD(2-WEEKDAY($S289),7))+20),1,IF(ISNUMBER($K289),$K289,$Z289)))</f>
        <v/>
      </c>
      <c r="AB289" s="62">
        <f>IF($V289="","",IF(AND(ISNUMBER($G289),$G289&lt;=IF($S289=MesCiclo,InicioCiclo,$S289+MOD(2-WEEKDAY($S289),7))+27),1,IF(ISNUMBER($L289),$L289,$AA289)))</f>
        <v/>
      </c>
      <c r="AC289" s="62">
        <f>IF($V289="","",IF(AND(ISNUMBER($G289),$G289&lt;=IF($S289=MesCiclo,InicioCiclo,$S289+MOD(2-WEEKDAY($S289),7))+6),1,IF(N($W289)&gt;0,AVERAGEIFS($Y$5:$Y$1000,$U$5:$U$1000,ROW(),$V$5:$V$1000,"Sub"),$Y289)))</f>
        <v/>
      </c>
      <c r="AD289" s="62">
        <f>IF($V289="","",IF(AND(ISNUMBER($G289),$G289&lt;=IF($S289=MesCiclo,InicioCiclo,$S289+MOD(2-WEEKDAY($S289),7))+13),1,IF(N($W289)&gt;0,AVERAGEIFS($Z$5:$Z$1000,$U$5:$U$1000,ROW(),$V$5:$V$1000,"Sub"),$Z289)))</f>
        <v/>
      </c>
      <c r="AE289" s="62">
        <f>IF($V289="","",IF(AND(ISNUMBER($G289),$G289&lt;=IF($S289=MesCiclo,InicioCiclo,$S289+MOD(2-WEEKDAY($S289),7))+20),1,IF(N($W289)&gt;0,AVERAGEIFS($AA$5:$AA$1000,$U$5:$U$1000,ROW(),$V$5:$V$1000,"Sub"),$AA289)))</f>
        <v/>
      </c>
      <c r="AF289" s="62">
        <f>IF($V289="","",IF(AND(ISNUMBER($G289),$G289&lt;=IF($S289=MesCiclo,InicioCiclo,$S289+MOD(2-WEEKDAY($S289),7))+27),1,IF(N($W289)&gt;0,AVERAGEIFS($AB$5:$AB$1000,$U$5:$U$1000,ROW(),$V$5:$V$1000,"Sub"),$AB289)))</f>
        <v/>
      </c>
      <c r="AG289" s="62">
        <f>IF($V289&lt;&gt;"Macro","",IF(COUNTIFS($S$5:$S$1000,$S289,$V$5:$V$1000,"Macro",$H$5:$H$1000,"&gt;0")=0,1/COUNTIFS($S$5:$S$1000,$S289,$V$5:$V$1000,"Macro"),IF(AND(ISNUMBER($H289),N($H289)&gt;0),$H289,SUMIFS($H$5:$H$1000,$S$5:$S$1000,$S289,$V$5:$V$1000,"Macro")/COUNTIFS($S$5:$S$1000,$S289,$V$5:$V$1000,"Macro",$H$5:$H$1000,"&gt;0"))/(COUNTIFS($S$5:$S$1000,$S289,$V$5:$V$1000,"Macro")*SUMIFS($H$5:$H$1000,$S$5:$S$1000,$S289,$V$5:$V$1000,"Macro")/COUNTIFS($S$5:$S$1000,$S289,$V$5:$V$1000,"Macro",$H$5:$H$1000,"&gt;0"))))</f>
        <v/>
      </c>
      <c r="AH289" s="62" t="n"/>
      <c r="AI289" s="62" t="n"/>
      <c r="AJ289" s="62" t="n"/>
      <c r="AK289" s="62" t="n"/>
      <c r="AL289" s="62">
        <f>IF(LEFT($C289,11)="[Jefatura] ",IFERROR(MATCH("Asistente Técnico de Riesgo|"&amp;MID($C289,12,500),rDname_ADM,0),0),"")</f>
        <v/>
      </c>
      <c r="AM289" s="62">
        <f>IF(N($AL289)&gt;0,INDEX(rIni_ADM,$AL289),IF(ISNUMBER($E289),$E289,""))</f>
        <v/>
      </c>
      <c r="AN289" s="62">
        <f>IF(N($AL289)&gt;0,INDEX(rLim_ADM,$AL289),IF(ISNUMBER($F289),$F289,""))</f>
        <v/>
      </c>
    </row>
    <row r="290">
      <c r="A290" s="56">
        <f>IF(NOT((COUNTA($B290:$D290)+COUNTA($G290:$L290)+COUNTA($Q290))&gt;0),"",IF($V290="Macro",COUNTIFS($V$5:$V290,"Macro",$S$5:$S290,$S290),IF(N($U290)=0,"?",COUNTIFS(INDEX($V$5:$V$1000,1):INDEX($V$5:$V$1000,$U290-4),"Macro",INDEX($S$5:$S$1000,1):INDEX($S$5:$S$1000,$U290-4),INDEX($S$5:$S$1000,$U290-4))&amp;"."&amp;COUNTIFS($U$5:$U290,$U290,$V$5:$V290,"Sub"))))</f>
        <v/>
      </c>
      <c r="B290" s="57" t="n"/>
      <c r="C290" s="58" t="n"/>
      <c r="D290" s="58" t="n"/>
      <c r="E290" s="59">
        <f>IF(N($AL290)&gt;0,INDEX(rIni_ADM,$AL290),"")</f>
        <v/>
      </c>
      <c r="F290" s="59">
        <f>IF(N($AL290)&gt;0,INDEX(rLim_ADM,$AL290),"")</f>
        <v/>
      </c>
      <c r="G290" s="59" t="n"/>
      <c r="H290" s="60" t="n"/>
      <c r="I290" s="60" t="n"/>
      <c r="J290" s="60" t="n"/>
      <c r="K290" s="60" t="n"/>
      <c r="L290" s="60" t="n"/>
      <c r="M290" s="61">
        <f>IF(NOT((COUNTA($B290:$D290)+COUNTA($G290:$L290)+COUNTA($Q290))&gt;0),"",IF(ISNUMBER($G290),1,IF(N($W290)&gt;0,AVERAGEIFS($X$5:$X$1000,$U$5:$U$1000,ROW(),$V$5:$V$1000,"Sub"),$X290)))</f>
        <v/>
      </c>
      <c r="N290" s="56">
        <f>IF($M290="","",IF($M290&gt;=1,"Completado",IF($M290&gt;0,"En curso","Pendiente")))</f>
        <v/>
      </c>
      <c r="O290" s="56">
        <f>IF(NOT((COUNTA($B290:$D290)+COUNTA($G290:$L290)+COUNTA($Q290))&gt;0),"",IF(ISNUMBER($G290),IF(AND(ISNUMBER($AN290),$G290&gt;$AN290),"Cumplida con "&amp;($G290-$AN290)&amp;IF($G290-$AN290=1," día"," días")&amp;" de retraso","Cumplida"),IF(N($M290)&gt;=1,"Cumplida",IF(NOT(ISNUMBER($AN290)),"Sin fecha límite",IF($AN290&lt;FechaRef,"Vencida hace "&amp;(FechaRef-$AN290)&amp;IF(FechaRef-$AN290=1," día"," días"),IF($AN290=FechaRef,"Vence hoy",IF($AN290-FechaRef&lt;=DiasAlerta,"Vence en "&amp;($AN290-FechaRef)&amp;IF($AN290-FechaRef=1," día"," días"),"En plazo")))))))</f>
        <v/>
      </c>
      <c r="P290" s="62" t="n"/>
      <c r="Q290" s="58" t="n"/>
      <c r="R290" s="63">
        <f>IF(NOT((COUNTA($B290:$D290)+COUNTA($G290:$L290)+COUNTA($Q290))&gt;0),"",IF((IF($C290="","Falta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",""))="","✔ OK","⚠ "&amp;LEFT(IF($C290="","Falta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",""),LEN(IF($C290="","Falta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",""))-3)))</f>
        <v/>
      </c>
      <c r="S290" s="64">
        <f>IF(NOT((COUNTA($B290:$D290)+COUNTA($G290:$L290)+COUNTA($Q290))&gt;0),"",IF(AND($V290="Sub",N($U290)&gt;0),IF(ISNUMBER(INDEX($AM$5:$AM$1000,$U290-4)),DATE(YEAR(INDEX($AM$5:$AM$1000,$U290-4)),MONTH(INDEX($AM$5:$AM$1000,$U290-4)),1),IF(ISNUMBER(INDEX($AN$5:$AN$1000,$U290-4)),DATE(YEAR(INDEX($AN$5:$AN$1000,$U290-4)),MONTH(INDEX($AN$5:$AN$1000,$U290-4)),1),MesCiclo)),IF(ISNUMBER($AM290),DATE(YEAR($AM290),MONTH($AM290),1),IF(ISNUMBER($AN290),DATE(YEAR($AN290),MONTH($AN290),1),MesCiclo))))</f>
        <v/>
      </c>
      <c r="T290" s="62">
        <f>IF(OR($S290="",$S290&lt;&gt;MesCiclo),"",COUNTIF($S$5:$S290,MesCiclo))</f>
        <v/>
      </c>
      <c r="U290" s="62">
        <f>IF($V290="","",IF($V290="Macro",ROW(),IFERROR(LOOKUP(2,1/($V$5:$V290="Macro"),ROW($V$5:$V290)),0)))</f>
        <v/>
      </c>
      <c r="V290" s="62">
        <f>IF(NOT((COUNTA($B290:$D290)+COUNTA($G290:$L290)+COUNTA($Q290))&gt;0),"",IF($B290="Subactividad","Sub","Macro"))</f>
        <v/>
      </c>
      <c r="W290" s="62">
        <f>IF($V290="Macro",COUNTIFS($U$5:$U$1000,ROW(),$V$5:$V$1000,"Sub"),"")</f>
        <v/>
      </c>
      <c r="X290" s="62">
        <f>IF($V290="","",IF(ISNUMBER($G290),1,IFERROR(LOOKUP(2,1/($I290:$L290&lt;&gt;""),$I290:$L290),0)))</f>
        <v/>
      </c>
      <c r="Y290" s="62">
        <f>IF($V290="","",IF(AND(ISNUMBER($G290),$G290&lt;=IF($S290=MesCiclo,InicioCiclo,$S290+MOD(2-WEEKDAY($S290),7))+6),1,IF(ISNUMBER($I290),$I290,0)))</f>
        <v/>
      </c>
      <c r="Z290" s="62">
        <f>IF($V290="","",IF(AND(ISNUMBER($G290),$G290&lt;=IF($S290=MesCiclo,InicioCiclo,$S290+MOD(2-WEEKDAY($S290),7))+13),1,IF(ISNUMBER($J290),$J290,$Y290)))</f>
        <v/>
      </c>
      <c r="AA290" s="62">
        <f>IF($V290="","",IF(AND(ISNUMBER($G290),$G290&lt;=IF($S290=MesCiclo,InicioCiclo,$S290+MOD(2-WEEKDAY($S290),7))+20),1,IF(ISNUMBER($K290),$K290,$Z290)))</f>
        <v/>
      </c>
      <c r="AB290" s="62">
        <f>IF($V290="","",IF(AND(ISNUMBER($G290),$G290&lt;=IF($S290=MesCiclo,InicioCiclo,$S290+MOD(2-WEEKDAY($S290),7))+27),1,IF(ISNUMBER($L290),$L290,$AA290)))</f>
        <v/>
      </c>
      <c r="AC290" s="62">
        <f>IF($V290="","",IF(AND(ISNUMBER($G290),$G290&lt;=IF($S290=MesCiclo,InicioCiclo,$S290+MOD(2-WEEKDAY($S290),7))+6),1,IF(N($W290)&gt;0,AVERAGEIFS($Y$5:$Y$1000,$U$5:$U$1000,ROW(),$V$5:$V$1000,"Sub"),$Y290)))</f>
        <v/>
      </c>
      <c r="AD290" s="62">
        <f>IF($V290="","",IF(AND(ISNUMBER($G290),$G290&lt;=IF($S290=MesCiclo,InicioCiclo,$S290+MOD(2-WEEKDAY($S290),7))+13),1,IF(N($W290)&gt;0,AVERAGEIFS($Z$5:$Z$1000,$U$5:$U$1000,ROW(),$V$5:$V$1000,"Sub"),$Z290)))</f>
        <v/>
      </c>
      <c r="AE290" s="62">
        <f>IF($V290="","",IF(AND(ISNUMBER($G290),$G290&lt;=IF($S290=MesCiclo,InicioCiclo,$S290+MOD(2-WEEKDAY($S290),7))+20),1,IF(N($W290)&gt;0,AVERAGEIFS($AA$5:$AA$1000,$U$5:$U$1000,ROW(),$V$5:$V$1000,"Sub"),$AA290)))</f>
        <v/>
      </c>
      <c r="AF290" s="62">
        <f>IF($V290="","",IF(AND(ISNUMBER($G290),$G290&lt;=IF($S290=MesCiclo,InicioCiclo,$S290+MOD(2-WEEKDAY($S290),7))+27),1,IF(N($W290)&gt;0,AVERAGEIFS($AB$5:$AB$1000,$U$5:$U$1000,ROW(),$V$5:$V$1000,"Sub"),$AB290)))</f>
        <v/>
      </c>
      <c r="AG290" s="62">
        <f>IF($V290&lt;&gt;"Macro","",IF(COUNTIFS($S$5:$S$1000,$S290,$V$5:$V$1000,"Macro",$H$5:$H$1000,"&gt;0")=0,1/COUNTIFS($S$5:$S$1000,$S290,$V$5:$V$1000,"Macro"),IF(AND(ISNUMBER($H290),N($H290)&gt;0),$H290,SUMIFS($H$5:$H$1000,$S$5:$S$1000,$S290,$V$5:$V$1000,"Macro")/COUNTIFS($S$5:$S$1000,$S290,$V$5:$V$1000,"Macro",$H$5:$H$1000,"&gt;0"))/(COUNTIFS($S$5:$S$1000,$S290,$V$5:$V$1000,"Macro")*SUMIFS($H$5:$H$1000,$S$5:$S$1000,$S290,$V$5:$V$1000,"Macro")/COUNTIFS($S$5:$S$1000,$S290,$V$5:$V$1000,"Macro",$H$5:$H$1000,"&gt;0"))))</f>
        <v/>
      </c>
      <c r="AH290" s="62" t="n"/>
      <c r="AI290" s="62" t="n"/>
      <c r="AJ290" s="62" t="n"/>
      <c r="AK290" s="62" t="n"/>
      <c r="AL290" s="62">
        <f>IF(LEFT($C290,11)="[Jefatura] ",IFERROR(MATCH("Asistente Técnico de Riesgo|"&amp;MID($C290,12,500),rDname_ADM,0),0),"")</f>
        <v/>
      </c>
      <c r="AM290" s="62">
        <f>IF(N($AL290)&gt;0,INDEX(rIni_ADM,$AL290),IF(ISNUMBER($E290),$E290,""))</f>
        <v/>
      </c>
      <c r="AN290" s="62">
        <f>IF(N($AL290)&gt;0,INDEX(rLim_ADM,$AL290),IF(ISNUMBER($F290),$F290,""))</f>
        <v/>
      </c>
    </row>
    <row r="291">
      <c r="A291" s="56">
        <f>IF(NOT((COUNTA($B291:$D291)+COUNTA($G291:$L291)+COUNTA($Q291))&gt;0),"",IF($V291="Macro",COUNTIFS($V$5:$V291,"Macro",$S$5:$S291,$S291),IF(N($U291)=0,"?",COUNTIFS(INDEX($V$5:$V$1000,1):INDEX($V$5:$V$1000,$U291-4),"Macro",INDEX($S$5:$S$1000,1):INDEX($S$5:$S$1000,$U291-4),INDEX($S$5:$S$1000,$U291-4))&amp;"."&amp;COUNTIFS($U$5:$U291,$U291,$V$5:$V291,"Sub"))))</f>
        <v/>
      </c>
      <c r="B291" s="57" t="n"/>
      <c r="C291" s="58" t="n"/>
      <c r="D291" s="58" t="n"/>
      <c r="E291" s="59">
        <f>IF(N($AL291)&gt;0,INDEX(rIni_ADM,$AL291),"")</f>
        <v/>
      </c>
      <c r="F291" s="59">
        <f>IF(N($AL291)&gt;0,INDEX(rLim_ADM,$AL291),"")</f>
        <v/>
      </c>
      <c r="G291" s="59" t="n"/>
      <c r="H291" s="60" t="n"/>
      <c r="I291" s="60" t="n"/>
      <c r="J291" s="60" t="n"/>
      <c r="K291" s="60" t="n"/>
      <c r="L291" s="60" t="n"/>
      <c r="M291" s="61">
        <f>IF(NOT((COUNTA($B291:$D291)+COUNTA($G291:$L291)+COUNTA($Q291))&gt;0),"",IF(ISNUMBER($G291),1,IF(N($W291)&gt;0,AVERAGEIFS($X$5:$X$1000,$U$5:$U$1000,ROW(),$V$5:$V$1000,"Sub"),$X291)))</f>
        <v/>
      </c>
      <c r="N291" s="56">
        <f>IF($M291="","",IF($M291&gt;=1,"Completado",IF($M291&gt;0,"En curso","Pendiente")))</f>
        <v/>
      </c>
      <c r="O291" s="56">
        <f>IF(NOT((COUNTA($B291:$D291)+COUNTA($G291:$L291)+COUNTA($Q291))&gt;0),"",IF(ISNUMBER($G291),IF(AND(ISNUMBER($AN291),$G291&gt;$AN291),"Cumplida con "&amp;($G291-$AN291)&amp;IF($G291-$AN291=1," día"," días")&amp;" de retraso","Cumplida"),IF(N($M291)&gt;=1,"Cumplida",IF(NOT(ISNUMBER($AN291)),"Sin fecha límite",IF($AN291&lt;FechaRef,"Vencida hace "&amp;(FechaRef-$AN291)&amp;IF(FechaRef-$AN291=1," día"," días"),IF($AN291=FechaRef,"Vence hoy",IF($AN291-FechaRef&lt;=DiasAlerta,"Vence en "&amp;($AN291-FechaRef)&amp;IF($AN291-FechaRef=1," día"," días"),"En plazo")))))))</f>
        <v/>
      </c>
      <c r="P291" s="62" t="n"/>
      <c r="Q291" s="58" t="n"/>
      <c r="R291" s="63">
        <f>IF(NOT((COUNTA($B291:$D291)+COUNTA($G291:$L291)+COUNTA($Q291))&gt;0),"",IF((IF($C291="","Falta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",""))="","✔ OK","⚠ "&amp;LEFT(IF($C291="","Falta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",""),LEN(IF($C291="","Falta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",""))-3)))</f>
        <v/>
      </c>
      <c r="S291" s="64">
        <f>IF(NOT((COUNTA($B291:$D291)+COUNTA($G291:$L291)+COUNTA($Q291))&gt;0),"",IF(AND($V291="Sub",N($U291)&gt;0),IF(ISNUMBER(INDEX($AM$5:$AM$1000,$U291-4)),DATE(YEAR(INDEX($AM$5:$AM$1000,$U291-4)),MONTH(INDEX($AM$5:$AM$1000,$U291-4)),1),IF(ISNUMBER(INDEX($AN$5:$AN$1000,$U291-4)),DATE(YEAR(INDEX($AN$5:$AN$1000,$U291-4)),MONTH(INDEX($AN$5:$AN$1000,$U291-4)),1),MesCiclo)),IF(ISNUMBER($AM291),DATE(YEAR($AM291),MONTH($AM291),1),IF(ISNUMBER($AN291),DATE(YEAR($AN291),MONTH($AN291),1),MesCiclo))))</f>
        <v/>
      </c>
      <c r="T291" s="62">
        <f>IF(OR($S291="",$S291&lt;&gt;MesCiclo),"",COUNTIF($S$5:$S291,MesCiclo))</f>
        <v/>
      </c>
      <c r="U291" s="62">
        <f>IF($V291="","",IF($V291="Macro",ROW(),IFERROR(LOOKUP(2,1/($V$5:$V291="Macro"),ROW($V$5:$V291)),0)))</f>
        <v/>
      </c>
      <c r="V291" s="62">
        <f>IF(NOT((COUNTA($B291:$D291)+COUNTA($G291:$L291)+COUNTA($Q291))&gt;0),"",IF($B291="Subactividad","Sub","Macro"))</f>
        <v/>
      </c>
      <c r="W291" s="62">
        <f>IF($V291="Macro",COUNTIFS($U$5:$U$1000,ROW(),$V$5:$V$1000,"Sub"),"")</f>
        <v/>
      </c>
      <c r="X291" s="62">
        <f>IF($V291="","",IF(ISNUMBER($G291),1,IFERROR(LOOKUP(2,1/($I291:$L291&lt;&gt;""),$I291:$L291),0)))</f>
        <v/>
      </c>
      <c r="Y291" s="62">
        <f>IF($V291="","",IF(AND(ISNUMBER($G291),$G291&lt;=IF($S291=MesCiclo,InicioCiclo,$S291+MOD(2-WEEKDAY($S291),7))+6),1,IF(ISNUMBER($I291),$I291,0)))</f>
        <v/>
      </c>
      <c r="Z291" s="62">
        <f>IF($V291="","",IF(AND(ISNUMBER($G291),$G291&lt;=IF($S291=MesCiclo,InicioCiclo,$S291+MOD(2-WEEKDAY($S291),7))+13),1,IF(ISNUMBER($J291),$J291,$Y291)))</f>
        <v/>
      </c>
      <c r="AA291" s="62">
        <f>IF($V291="","",IF(AND(ISNUMBER($G291),$G291&lt;=IF($S291=MesCiclo,InicioCiclo,$S291+MOD(2-WEEKDAY($S291),7))+20),1,IF(ISNUMBER($K291),$K291,$Z291)))</f>
        <v/>
      </c>
      <c r="AB291" s="62">
        <f>IF($V291="","",IF(AND(ISNUMBER($G291),$G291&lt;=IF($S291=MesCiclo,InicioCiclo,$S291+MOD(2-WEEKDAY($S291),7))+27),1,IF(ISNUMBER($L291),$L291,$AA291)))</f>
        <v/>
      </c>
      <c r="AC291" s="62">
        <f>IF($V291="","",IF(AND(ISNUMBER($G291),$G291&lt;=IF($S291=MesCiclo,InicioCiclo,$S291+MOD(2-WEEKDAY($S291),7))+6),1,IF(N($W291)&gt;0,AVERAGEIFS($Y$5:$Y$1000,$U$5:$U$1000,ROW(),$V$5:$V$1000,"Sub"),$Y291)))</f>
        <v/>
      </c>
      <c r="AD291" s="62">
        <f>IF($V291="","",IF(AND(ISNUMBER($G291),$G291&lt;=IF($S291=MesCiclo,InicioCiclo,$S291+MOD(2-WEEKDAY($S291),7))+13),1,IF(N($W291)&gt;0,AVERAGEIFS($Z$5:$Z$1000,$U$5:$U$1000,ROW(),$V$5:$V$1000,"Sub"),$Z291)))</f>
        <v/>
      </c>
      <c r="AE291" s="62">
        <f>IF($V291="","",IF(AND(ISNUMBER($G291),$G291&lt;=IF($S291=MesCiclo,InicioCiclo,$S291+MOD(2-WEEKDAY($S291),7))+20),1,IF(N($W291)&gt;0,AVERAGEIFS($AA$5:$AA$1000,$U$5:$U$1000,ROW(),$V$5:$V$1000,"Sub"),$AA291)))</f>
        <v/>
      </c>
      <c r="AF291" s="62">
        <f>IF($V291="","",IF(AND(ISNUMBER($G291),$G291&lt;=IF($S291=MesCiclo,InicioCiclo,$S291+MOD(2-WEEKDAY($S291),7))+27),1,IF(N($W291)&gt;0,AVERAGEIFS($AB$5:$AB$1000,$U$5:$U$1000,ROW(),$V$5:$V$1000,"Sub"),$AB291)))</f>
        <v/>
      </c>
      <c r="AG291" s="62">
        <f>IF($V291&lt;&gt;"Macro","",IF(COUNTIFS($S$5:$S$1000,$S291,$V$5:$V$1000,"Macro",$H$5:$H$1000,"&gt;0")=0,1/COUNTIFS($S$5:$S$1000,$S291,$V$5:$V$1000,"Macro"),IF(AND(ISNUMBER($H291),N($H291)&gt;0),$H291,SUMIFS($H$5:$H$1000,$S$5:$S$1000,$S291,$V$5:$V$1000,"Macro")/COUNTIFS($S$5:$S$1000,$S291,$V$5:$V$1000,"Macro",$H$5:$H$1000,"&gt;0"))/(COUNTIFS($S$5:$S$1000,$S291,$V$5:$V$1000,"Macro")*SUMIFS($H$5:$H$1000,$S$5:$S$1000,$S291,$V$5:$V$1000,"Macro")/COUNTIFS($S$5:$S$1000,$S291,$V$5:$V$1000,"Macro",$H$5:$H$1000,"&gt;0"))))</f>
        <v/>
      </c>
      <c r="AH291" s="62" t="n"/>
      <c r="AI291" s="62" t="n"/>
      <c r="AJ291" s="62" t="n"/>
      <c r="AK291" s="62" t="n"/>
      <c r="AL291" s="62">
        <f>IF(LEFT($C291,11)="[Jefatura] ",IFERROR(MATCH("Asistente Técnico de Riesgo|"&amp;MID($C291,12,500),rDname_ADM,0),0),"")</f>
        <v/>
      </c>
      <c r="AM291" s="62">
        <f>IF(N($AL291)&gt;0,INDEX(rIni_ADM,$AL291),IF(ISNUMBER($E291),$E291,""))</f>
        <v/>
      </c>
      <c r="AN291" s="62">
        <f>IF(N($AL291)&gt;0,INDEX(rLim_ADM,$AL291),IF(ISNUMBER($F291),$F291,""))</f>
        <v/>
      </c>
    </row>
    <row r="292">
      <c r="A292" s="56">
        <f>IF(NOT((COUNTA($B292:$D292)+COUNTA($G292:$L292)+COUNTA($Q292))&gt;0),"",IF($V292="Macro",COUNTIFS($V$5:$V292,"Macro",$S$5:$S292,$S292),IF(N($U292)=0,"?",COUNTIFS(INDEX($V$5:$V$1000,1):INDEX($V$5:$V$1000,$U292-4),"Macro",INDEX($S$5:$S$1000,1):INDEX($S$5:$S$1000,$U292-4),INDEX($S$5:$S$1000,$U292-4))&amp;"."&amp;COUNTIFS($U$5:$U292,$U292,$V$5:$V292,"Sub"))))</f>
        <v/>
      </c>
      <c r="B292" s="57" t="n"/>
      <c r="C292" s="58" t="n"/>
      <c r="D292" s="58" t="n"/>
      <c r="E292" s="59">
        <f>IF(N($AL292)&gt;0,INDEX(rIni_ADM,$AL292),"")</f>
        <v/>
      </c>
      <c r="F292" s="59">
        <f>IF(N($AL292)&gt;0,INDEX(rLim_ADM,$AL292),"")</f>
        <v/>
      </c>
      <c r="G292" s="59" t="n"/>
      <c r="H292" s="60" t="n"/>
      <c r="I292" s="60" t="n"/>
      <c r="J292" s="60" t="n"/>
      <c r="K292" s="60" t="n"/>
      <c r="L292" s="60" t="n"/>
      <c r="M292" s="61">
        <f>IF(NOT((COUNTA($B292:$D292)+COUNTA($G292:$L292)+COUNTA($Q292))&gt;0),"",IF(ISNUMBER($G292),1,IF(N($W292)&gt;0,AVERAGEIFS($X$5:$X$1000,$U$5:$U$1000,ROW(),$V$5:$V$1000,"Sub"),$X292)))</f>
        <v/>
      </c>
      <c r="N292" s="56">
        <f>IF($M292="","",IF($M292&gt;=1,"Completado",IF($M292&gt;0,"En curso","Pendiente")))</f>
        <v/>
      </c>
      <c r="O292" s="56">
        <f>IF(NOT((COUNTA($B292:$D292)+COUNTA($G292:$L292)+COUNTA($Q292))&gt;0),"",IF(ISNUMBER($G292),IF(AND(ISNUMBER($AN292),$G292&gt;$AN292),"Cumplida con "&amp;($G292-$AN292)&amp;IF($G292-$AN292=1," día"," días")&amp;" de retraso","Cumplida"),IF(N($M292)&gt;=1,"Cumplida",IF(NOT(ISNUMBER($AN292)),"Sin fecha límite",IF($AN292&lt;FechaRef,"Vencida hace "&amp;(FechaRef-$AN292)&amp;IF(FechaRef-$AN292=1," día"," días"),IF($AN292=FechaRef,"Vence hoy",IF($AN292-FechaRef&lt;=DiasAlerta,"Vence en "&amp;($AN292-FechaRef)&amp;IF($AN292-FechaRef=1," día"," días"),"En plazo")))))))</f>
        <v/>
      </c>
      <c r="P292" s="62" t="n"/>
      <c r="Q292" s="58" t="n"/>
      <c r="R292" s="63">
        <f>IF(NOT((COUNTA($B292:$D292)+COUNTA($G292:$L292)+COUNTA($Q292))&gt;0),"",IF((IF($C292="","Falta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",""))="","✔ OK","⚠ "&amp;LEFT(IF($C292="","Falta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",""),LEN(IF($C292="","Falta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",""))-3)))</f>
        <v/>
      </c>
      <c r="S292" s="64">
        <f>IF(NOT((COUNTA($B292:$D292)+COUNTA($G292:$L292)+COUNTA($Q292))&gt;0),"",IF(AND($V292="Sub",N($U292)&gt;0),IF(ISNUMBER(INDEX($AM$5:$AM$1000,$U292-4)),DATE(YEAR(INDEX($AM$5:$AM$1000,$U292-4)),MONTH(INDEX($AM$5:$AM$1000,$U292-4)),1),IF(ISNUMBER(INDEX($AN$5:$AN$1000,$U292-4)),DATE(YEAR(INDEX($AN$5:$AN$1000,$U292-4)),MONTH(INDEX($AN$5:$AN$1000,$U292-4)),1),MesCiclo)),IF(ISNUMBER($AM292),DATE(YEAR($AM292),MONTH($AM292),1),IF(ISNUMBER($AN292),DATE(YEAR($AN292),MONTH($AN292),1),MesCiclo))))</f>
        <v/>
      </c>
      <c r="T292" s="62">
        <f>IF(OR($S292="",$S292&lt;&gt;MesCiclo),"",COUNTIF($S$5:$S292,MesCiclo))</f>
        <v/>
      </c>
      <c r="U292" s="62">
        <f>IF($V292="","",IF($V292="Macro",ROW(),IFERROR(LOOKUP(2,1/($V$5:$V292="Macro"),ROW($V$5:$V292)),0)))</f>
        <v/>
      </c>
      <c r="V292" s="62">
        <f>IF(NOT((COUNTA($B292:$D292)+COUNTA($G292:$L292)+COUNTA($Q292))&gt;0),"",IF($B292="Subactividad","Sub","Macro"))</f>
        <v/>
      </c>
      <c r="W292" s="62">
        <f>IF($V292="Macro",COUNTIFS($U$5:$U$1000,ROW(),$V$5:$V$1000,"Sub"),"")</f>
        <v/>
      </c>
      <c r="X292" s="62">
        <f>IF($V292="","",IF(ISNUMBER($G292),1,IFERROR(LOOKUP(2,1/($I292:$L292&lt;&gt;""),$I292:$L292),0)))</f>
        <v/>
      </c>
      <c r="Y292" s="62">
        <f>IF($V292="","",IF(AND(ISNUMBER($G292),$G292&lt;=IF($S292=MesCiclo,InicioCiclo,$S292+MOD(2-WEEKDAY($S292),7))+6),1,IF(ISNUMBER($I292),$I292,0)))</f>
        <v/>
      </c>
      <c r="Z292" s="62">
        <f>IF($V292="","",IF(AND(ISNUMBER($G292),$G292&lt;=IF($S292=MesCiclo,InicioCiclo,$S292+MOD(2-WEEKDAY($S292),7))+13),1,IF(ISNUMBER($J292),$J292,$Y292)))</f>
        <v/>
      </c>
      <c r="AA292" s="62">
        <f>IF($V292="","",IF(AND(ISNUMBER($G292),$G292&lt;=IF($S292=MesCiclo,InicioCiclo,$S292+MOD(2-WEEKDAY($S292),7))+20),1,IF(ISNUMBER($K292),$K292,$Z292)))</f>
        <v/>
      </c>
      <c r="AB292" s="62">
        <f>IF($V292="","",IF(AND(ISNUMBER($G292),$G292&lt;=IF($S292=MesCiclo,InicioCiclo,$S292+MOD(2-WEEKDAY($S292),7))+27),1,IF(ISNUMBER($L292),$L292,$AA292)))</f>
        <v/>
      </c>
      <c r="AC292" s="62">
        <f>IF($V292="","",IF(AND(ISNUMBER($G292),$G292&lt;=IF($S292=MesCiclo,InicioCiclo,$S292+MOD(2-WEEKDAY($S292),7))+6),1,IF(N($W292)&gt;0,AVERAGEIFS($Y$5:$Y$1000,$U$5:$U$1000,ROW(),$V$5:$V$1000,"Sub"),$Y292)))</f>
        <v/>
      </c>
      <c r="AD292" s="62">
        <f>IF($V292="","",IF(AND(ISNUMBER($G292),$G292&lt;=IF($S292=MesCiclo,InicioCiclo,$S292+MOD(2-WEEKDAY($S292),7))+13),1,IF(N($W292)&gt;0,AVERAGEIFS($Z$5:$Z$1000,$U$5:$U$1000,ROW(),$V$5:$V$1000,"Sub"),$Z292)))</f>
        <v/>
      </c>
      <c r="AE292" s="62">
        <f>IF($V292="","",IF(AND(ISNUMBER($G292),$G292&lt;=IF($S292=MesCiclo,InicioCiclo,$S292+MOD(2-WEEKDAY($S292),7))+20),1,IF(N($W292)&gt;0,AVERAGEIFS($AA$5:$AA$1000,$U$5:$U$1000,ROW(),$V$5:$V$1000,"Sub"),$AA292)))</f>
        <v/>
      </c>
      <c r="AF292" s="62">
        <f>IF($V292="","",IF(AND(ISNUMBER($G292),$G292&lt;=IF($S292=MesCiclo,InicioCiclo,$S292+MOD(2-WEEKDAY($S292),7))+27),1,IF(N($W292)&gt;0,AVERAGEIFS($AB$5:$AB$1000,$U$5:$U$1000,ROW(),$V$5:$V$1000,"Sub"),$AB292)))</f>
        <v/>
      </c>
      <c r="AG292" s="62">
        <f>IF($V292&lt;&gt;"Macro","",IF(COUNTIFS($S$5:$S$1000,$S292,$V$5:$V$1000,"Macro",$H$5:$H$1000,"&gt;0")=0,1/COUNTIFS($S$5:$S$1000,$S292,$V$5:$V$1000,"Macro"),IF(AND(ISNUMBER($H292),N($H292)&gt;0),$H292,SUMIFS($H$5:$H$1000,$S$5:$S$1000,$S292,$V$5:$V$1000,"Macro")/COUNTIFS($S$5:$S$1000,$S292,$V$5:$V$1000,"Macro",$H$5:$H$1000,"&gt;0"))/(COUNTIFS($S$5:$S$1000,$S292,$V$5:$V$1000,"Macro")*SUMIFS($H$5:$H$1000,$S$5:$S$1000,$S292,$V$5:$V$1000,"Macro")/COUNTIFS($S$5:$S$1000,$S292,$V$5:$V$1000,"Macro",$H$5:$H$1000,"&gt;0"))))</f>
        <v/>
      </c>
      <c r="AH292" s="62" t="n"/>
      <c r="AI292" s="62" t="n"/>
      <c r="AJ292" s="62" t="n"/>
      <c r="AK292" s="62" t="n"/>
      <c r="AL292" s="62">
        <f>IF(LEFT($C292,11)="[Jefatura] ",IFERROR(MATCH("Asistente Técnico de Riesgo|"&amp;MID($C292,12,500),rDname_ADM,0),0),"")</f>
        <v/>
      </c>
      <c r="AM292" s="62">
        <f>IF(N($AL292)&gt;0,INDEX(rIni_ADM,$AL292),IF(ISNUMBER($E292),$E292,""))</f>
        <v/>
      </c>
      <c r="AN292" s="62">
        <f>IF(N($AL292)&gt;0,INDEX(rLim_ADM,$AL292),IF(ISNUMBER($F292),$F292,""))</f>
        <v/>
      </c>
    </row>
    <row r="293">
      <c r="A293" s="56">
        <f>IF(NOT((COUNTA($B293:$D293)+COUNTA($G293:$L293)+COUNTA($Q293))&gt;0),"",IF($V293="Macro",COUNTIFS($V$5:$V293,"Macro",$S$5:$S293,$S293),IF(N($U293)=0,"?",COUNTIFS(INDEX($V$5:$V$1000,1):INDEX($V$5:$V$1000,$U293-4),"Macro",INDEX($S$5:$S$1000,1):INDEX($S$5:$S$1000,$U293-4),INDEX($S$5:$S$1000,$U293-4))&amp;"."&amp;COUNTIFS($U$5:$U293,$U293,$V$5:$V293,"Sub"))))</f>
        <v/>
      </c>
      <c r="B293" s="57" t="n"/>
      <c r="C293" s="58" t="n"/>
      <c r="D293" s="58" t="n"/>
      <c r="E293" s="59">
        <f>IF(N($AL293)&gt;0,INDEX(rIni_ADM,$AL293),"")</f>
        <v/>
      </c>
      <c r="F293" s="59">
        <f>IF(N($AL293)&gt;0,INDEX(rLim_ADM,$AL293),"")</f>
        <v/>
      </c>
      <c r="G293" s="59" t="n"/>
      <c r="H293" s="60" t="n"/>
      <c r="I293" s="60" t="n"/>
      <c r="J293" s="60" t="n"/>
      <c r="K293" s="60" t="n"/>
      <c r="L293" s="60" t="n"/>
      <c r="M293" s="61">
        <f>IF(NOT((COUNTA($B293:$D293)+COUNTA($G293:$L293)+COUNTA($Q293))&gt;0),"",IF(ISNUMBER($G293),1,IF(N($W293)&gt;0,AVERAGEIFS($X$5:$X$1000,$U$5:$U$1000,ROW(),$V$5:$V$1000,"Sub"),$X293)))</f>
        <v/>
      </c>
      <c r="N293" s="56">
        <f>IF($M293="","",IF($M293&gt;=1,"Completado",IF($M293&gt;0,"En curso","Pendiente")))</f>
        <v/>
      </c>
      <c r="O293" s="56">
        <f>IF(NOT((COUNTA($B293:$D293)+COUNTA($G293:$L293)+COUNTA($Q293))&gt;0),"",IF(ISNUMBER($G293),IF(AND(ISNUMBER($AN293),$G293&gt;$AN293),"Cumplida con "&amp;($G293-$AN293)&amp;IF($G293-$AN293=1," día"," días")&amp;" de retraso","Cumplida"),IF(N($M293)&gt;=1,"Cumplida",IF(NOT(ISNUMBER($AN293)),"Sin fecha límite",IF($AN293&lt;FechaRef,"Vencida hace "&amp;(FechaRef-$AN293)&amp;IF(FechaRef-$AN293=1," día"," días"),IF($AN293=FechaRef,"Vence hoy",IF($AN293-FechaRef&lt;=DiasAlerta,"Vence en "&amp;($AN293-FechaRef)&amp;IF($AN293-FechaRef=1," día"," días"),"En plazo")))))))</f>
        <v/>
      </c>
      <c r="P293" s="62" t="n"/>
      <c r="Q293" s="58" t="n"/>
      <c r="R293" s="63">
        <f>IF(NOT((COUNTA($B293:$D293)+COUNTA($G293:$L293)+COUNTA($Q293))&gt;0),"",IF((IF($C293="","Falta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",""))="","✔ OK","⚠ "&amp;LEFT(IF($C293="","Falta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",""),LEN(IF($C293="","Falta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",""))-3)))</f>
        <v/>
      </c>
      <c r="S293" s="64">
        <f>IF(NOT((COUNTA($B293:$D293)+COUNTA($G293:$L293)+COUNTA($Q293))&gt;0),"",IF(AND($V293="Sub",N($U293)&gt;0),IF(ISNUMBER(INDEX($AM$5:$AM$1000,$U293-4)),DATE(YEAR(INDEX($AM$5:$AM$1000,$U293-4)),MONTH(INDEX($AM$5:$AM$1000,$U293-4)),1),IF(ISNUMBER(INDEX($AN$5:$AN$1000,$U293-4)),DATE(YEAR(INDEX($AN$5:$AN$1000,$U293-4)),MONTH(INDEX($AN$5:$AN$1000,$U293-4)),1),MesCiclo)),IF(ISNUMBER($AM293),DATE(YEAR($AM293),MONTH($AM293),1),IF(ISNUMBER($AN293),DATE(YEAR($AN293),MONTH($AN293),1),MesCiclo))))</f>
        <v/>
      </c>
      <c r="T293" s="62">
        <f>IF(OR($S293="",$S293&lt;&gt;MesCiclo),"",COUNTIF($S$5:$S293,MesCiclo))</f>
        <v/>
      </c>
      <c r="U293" s="62">
        <f>IF($V293="","",IF($V293="Macro",ROW(),IFERROR(LOOKUP(2,1/($V$5:$V293="Macro"),ROW($V$5:$V293)),0)))</f>
        <v/>
      </c>
      <c r="V293" s="62">
        <f>IF(NOT((COUNTA($B293:$D293)+COUNTA($G293:$L293)+COUNTA($Q293))&gt;0),"",IF($B293="Subactividad","Sub","Macro"))</f>
        <v/>
      </c>
      <c r="W293" s="62">
        <f>IF($V293="Macro",COUNTIFS($U$5:$U$1000,ROW(),$V$5:$V$1000,"Sub"),"")</f>
        <v/>
      </c>
      <c r="X293" s="62">
        <f>IF($V293="","",IF(ISNUMBER($G293),1,IFERROR(LOOKUP(2,1/($I293:$L293&lt;&gt;""),$I293:$L293),0)))</f>
        <v/>
      </c>
      <c r="Y293" s="62">
        <f>IF($V293="","",IF(AND(ISNUMBER($G293),$G293&lt;=IF($S293=MesCiclo,InicioCiclo,$S293+MOD(2-WEEKDAY($S293),7))+6),1,IF(ISNUMBER($I293),$I293,0)))</f>
        <v/>
      </c>
      <c r="Z293" s="62">
        <f>IF($V293="","",IF(AND(ISNUMBER($G293),$G293&lt;=IF($S293=MesCiclo,InicioCiclo,$S293+MOD(2-WEEKDAY($S293),7))+13),1,IF(ISNUMBER($J293),$J293,$Y293)))</f>
        <v/>
      </c>
      <c r="AA293" s="62">
        <f>IF($V293="","",IF(AND(ISNUMBER($G293),$G293&lt;=IF($S293=MesCiclo,InicioCiclo,$S293+MOD(2-WEEKDAY($S293),7))+20),1,IF(ISNUMBER($K293),$K293,$Z293)))</f>
        <v/>
      </c>
      <c r="AB293" s="62">
        <f>IF($V293="","",IF(AND(ISNUMBER($G293),$G293&lt;=IF($S293=MesCiclo,InicioCiclo,$S293+MOD(2-WEEKDAY($S293),7))+27),1,IF(ISNUMBER($L293),$L293,$AA293)))</f>
        <v/>
      </c>
      <c r="AC293" s="62">
        <f>IF($V293="","",IF(AND(ISNUMBER($G293),$G293&lt;=IF($S293=MesCiclo,InicioCiclo,$S293+MOD(2-WEEKDAY($S293),7))+6),1,IF(N($W293)&gt;0,AVERAGEIFS($Y$5:$Y$1000,$U$5:$U$1000,ROW(),$V$5:$V$1000,"Sub"),$Y293)))</f>
        <v/>
      </c>
      <c r="AD293" s="62">
        <f>IF($V293="","",IF(AND(ISNUMBER($G293),$G293&lt;=IF($S293=MesCiclo,InicioCiclo,$S293+MOD(2-WEEKDAY($S293),7))+13),1,IF(N($W293)&gt;0,AVERAGEIFS($Z$5:$Z$1000,$U$5:$U$1000,ROW(),$V$5:$V$1000,"Sub"),$Z293)))</f>
        <v/>
      </c>
      <c r="AE293" s="62">
        <f>IF($V293="","",IF(AND(ISNUMBER($G293),$G293&lt;=IF($S293=MesCiclo,InicioCiclo,$S293+MOD(2-WEEKDAY($S293),7))+20),1,IF(N($W293)&gt;0,AVERAGEIFS($AA$5:$AA$1000,$U$5:$U$1000,ROW(),$V$5:$V$1000,"Sub"),$AA293)))</f>
        <v/>
      </c>
      <c r="AF293" s="62">
        <f>IF($V293="","",IF(AND(ISNUMBER($G293),$G293&lt;=IF($S293=MesCiclo,InicioCiclo,$S293+MOD(2-WEEKDAY($S293),7))+27),1,IF(N($W293)&gt;0,AVERAGEIFS($AB$5:$AB$1000,$U$5:$U$1000,ROW(),$V$5:$V$1000,"Sub"),$AB293)))</f>
        <v/>
      </c>
      <c r="AG293" s="62">
        <f>IF($V293&lt;&gt;"Macro","",IF(COUNTIFS($S$5:$S$1000,$S293,$V$5:$V$1000,"Macro",$H$5:$H$1000,"&gt;0")=0,1/COUNTIFS($S$5:$S$1000,$S293,$V$5:$V$1000,"Macro"),IF(AND(ISNUMBER($H293),N($H293)&gt;0),$H293,SUMIFS($H$5:$H$1000,$S$5:$S$1000,$S293,$V$5:$V$1000,"Macro")/COUNTIFS($S$5:$S$1000,$S293,$V$5:$V$1000,"Macro",$H$5:$H$1000,"&gt;0"))/(COUNTIFS($S$5:$S$1000,$S293,$V$5:$V$1000,"Macro")*SUMIFS($H$5:$H$1000,$S$5:$S$1000,$S293,$V$5:$V$1000,"Macro")/COUNTIFS($S$5:$S$1000,$S293,$V$5:$V$1000,"Macro",$H$5:$H$1000,"&gt;0"))))</f>
        <v/>
      </c>
      <c r="AH293" s="62" t="n"/>
      <c r="AI293" s="62" t="n"/>
      <c r="AJ293" s="62" t="n"/>
      <c r="AK293" s="62" t="n"/>
      <c r="AL293" s="62">
        <f>IF(LEFT($C293,11)="[Jefatura] ",IFERROR(MATCH("Asistente Técnico de Riesgo|"&amp;MID($C293,12,500),rDname_ADM,0),0),"")</f>
        <v/>
      </c>
      <c r="AM293" s="62">
        <f>IF(N($AL293)&gt;0,INDEX(rIni_ADM,$AL293),IF(ISNUMBER($E293),$E293,""))</f>
        <v/>
      </c>
      <c r="AN293" s="62">
        <f>IF(N($AL293)&gt;0,INDEX(rLim_ADM,$AL293),IF(ISNUMBER($F293),$F293,""))</f>
        <v/>
      </c>
    </row>
    <row r="294">
      <c r="A294" s="56">
        <f>IF(NOT((COUNTA($B294:$D294)+COUNTA($G294:$L294)+COUNTA($Q294))&gt;0),"",IF($V294="Macro",COUNTIFS($V$5:$V294,"Macro",$S$5:$S294,$S294),IF(N($U294)=0,"?",COUNTIFS(INDEX($V$5:$V$1000,1):INDEX($V$5:$V$1000,$U294-4),"Macro",INDEX($S$5:$S$1000,1):INDEX($S$5:$S$1000,$U294-4),INDEX($S$5:$S$1000,$U294-4))&amp;"."&amp;COUNTIFS($U$5:$U294,$U294,$V$5:$V294,"Sub"))))</f>
        <v/>
      </c>
      <c r="B294" s="57" t="n"/>
      <c r="C294" s="58" t="n"/>
      <c r="D294" s="58" t="n"/>
      <c r="E294" s="59">
        <f>IF(N($AL294)&gt;0,INDEX(rIni_ADM,$AL294),"")</f>
        <v/>
      </c>
      <c r="F294" s="59">
        <f>IF(N($AL294)&gt;0,INDEX(rLim_ADM,$AL294),"")</f>
        <v/>
      </c>
      <c r="G294" s="59" t="n"/>
      <c r="H294" s="60" t="n"/>
      <c r="I294" s="60" t="n"/>
      <c r="J294" s="60" t="n"/>
      <c r="K294" s="60" t="n"/>
      <c r="L294" s="60" t="n"/>
      <c r="M294" s="61">
        <f>IF(NOT((COUNTA($B294:$D294)+COUNTA($G294:$L294)+COUNTA($Q294))&gt;0),"",IF(ISNUMBER($G294),1,IF(N($W294)&gt;0,AVERAGEIFS($X$5:$X$1000,$U$5:$U$1000,ROW(),$V$5:$V$1000,"Sub"),$X294)))</f>
        <v/>
      </c>
      <c r="N294" s="56">
        <f>IF($M294="","",IF($M294&gt;=1,"Completado",IF($M294&gt;0,"En curso","Pendiente")))</f>
        <v/>
      </c>
      <c r="O294" s="56">
        <f>IF(NOT((COUNTA($B294:$D294)+COUNTA($G294:$L294)+COUNTA($Q294))&gt;0),"",IF(ISNUMBER($G294),IF(AND(ISNUMBER($AN294),$G294&gt;$AN294),"Cumplida con "&amp;($G294-$AN294)&amp;IF($G294-$AN294=1," día"," días")&amp;" de retraso","Cumplida"),IF(N($M294)&gt;=1,"Cumplida",IF(NOT(ISNUMBER($AN294)),"Sin fecha límite",IF($AN294&lt;FechaRef,"Vencida hace "&amp;(FechaRef-$AN294)&amp;IF(FechaRef-$AN294=1," día"," días"),IF($AN294=FechaRef,"Vence hoy",IF($AN294-FechaRef&lt;=DiasAlerta,"Vence en "&amp;($AN294-FechaRef)&amp;IF($AN294-FechaRef=1," día"," días"),"En plazo")))))))</f>
        <v/>
      </c>
      <c r="P294" s="62" t="n"/>
      <c r="Q294" s="58" t="n"/>
      <c r="R294" s="63">
        <f>IF(NOT((COUNTA($B294:$D294)+COUNTA($G294:$L294)+COUNTA($Q294))&gt;0),"",IF((IF($C294="","Falta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",""))="","✔ OK","⚠ "&amp;LEFT(IF($C294="","Falta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",""),LEN(IF($C294="","Falta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",""))-3)))</f>
        <v/>
      </c>
      <c r="S294" s="64">
        <f>IF(NOT((COUNTA($B294:$D294)+COUNTA($G294:$L294)+COUNTA($Q294))&gt;0),"",IF(AND($V294="Sub",N($U294)&gt;0),IF(ISNUMBER(INDEX($AM$5:$AM$1000,$U294-4)),DATE(YEAR(INDEX($AM$5:$AM$1000,$U294-4)),MONTH(INDEX($AM$5:$AM$1000,$U294-4)),1),IF(ISNUMBER(INDEX($AN$5:$AN$1000,$U294-4)),DATE(YEAR(INDEX($AN$5:$AN$1000,$U294-4)),MONTH(INDEX($AN$5:$AN$1000,$U294-4)),1),MesCiclo)),IF(ISNUMBER($AM294),DATE(YEAR($AM294),MONTH($AM294),1),IF(ISNUMBER($AN294),DATE(YEAR($AN294),MONTH($AN294),1),MesCiclo))))</f>
        <v/>
      </c>
      <c r="T294" s="62">
        <f>IF(OR($S294="",$S294&lt;&gt;MesCiclo),"",COUNTIF($S$5:$S294,MesCiclo))</f>
        <v/>
      </c>
      <c r="U294" s="62">
        <f>IF($V294="","",IF($V294="Macro",ROW(),IFERROR(LOOKUP(2,1/($V$5:$V294="Macro"),ROW($V$5:$V294)),0)))</f>
        <v/>
      </c>
      <c r="V294" s="62">
        <f>IF(NOT((COUNTA($B294:$D294)+COUNTA($G294:$L294)+COUNTA($Q294))&gt;0),"",IF($B294="Subactividad","Sub","Macro"))</f>
        <v/>
      </c>
      <c r="W294" s="62">
        <f>IF($V294="Macro",COUNTIFS($U$5:$U$1000,ROW(),$V$5:$V$1000,"Sub"),"")</f>
        <v/>
      </c>
      <c r="X294" s="62">
        <f>IF($V294="","",IF(ISNUMBER($G294),1,IFERROR(LOOKUP(2,1/($I294:$L294&lt;&gt;""),$I294:$L294),0)))</f>
        <v/>
      </c>
      <c r="Y294" s="62">
        <f>IF($V294="","",IF(AND(ISNUMBER($G294),$G294&lt;=IF($S294=MesCiclo,InicioCiclo,$S294+MOD(2-WEEKDAY($S294),7))+6),1,IF(ISNUMBER($I294),$I294,0)))</f>
        <v/>
      </c>
      <c r="Z294" s="62">
        <f>IF($V294="","",IF(AND(ISNUMBER($G294),$G294&lt;=IF($S294=MesCiclo,InicioCiclo,$S294+MOD(2-WEEKDAY($S294),7))+13),1,IF(ISNUMBER($J294),$J294,$Y294)))</f>
        <v/>
      </c>
      <c r="AA294" s="62">
        <f>IF($V294="","",IF(AND(ISNUMBER($G294),$G294&lt;=IF($S294=MesCiclo,InicioCiclo,$S294+MOD(2-WEEKDAY($S294),7))+20),1,IF(ISNUMBER($K294),$K294,$Z294)))</f>
        <v/>
      </c>
      <c r="AB294" s="62">
        <f>IF($V294="","",IF(AND(ISNUMBER($G294),$G294&lt;=IF($S294=MesCiclo,InicioCiclo,$S294+MOD(2-WEEKDAY($S294),7))+27),1,IF(ISNUMBER($L294),$L294,$AA294)))</f>
        <v/>
      </c>
      <c r="AC294" s="62">
        <f>IF($V294="","",IF(AND(ISNUMBER($G294),$G294&lt;=IF($S294=MesCiclo,InicioCiclo,$S294+MOD(2-WEEKDAY($S294),7))+6),1,IF(N($W294)&gt;0,AVERAGEIFS($Y$5:$Y$1000,$U$5:$U$1000,ROW(),$V$5:$V$1000,"Sub"),$Y294)))</f>
        <v/>
      </c>
      <c r="AD294" s="62">
        <f>IF($V294="","",IF(AND(ISNUMBER($G294),$G294&lt;=IF($S294=MesCiclo,InicioCiclo,$S294+MOD(2-WEEKDAY($S294),7))+13),1,IF(N($W294)&gt;0,AVERAGEIFS($Z$5:$Z$1000,$U$5:$U$1000,ROW(),$V$5:$V$1000,"Sub"),$Z294)))</f>
        <v/>
      </c>
      <c r="AE294" s="62">
        <f>IF($V294="","",IF(AND(ISNUMBER($G294),$G294&lt;=IF($S294=MesCiclo,InicioCiclo,$S294+MOD(2-WEEKDAY($S294),7))+20),1,IF(N($W294)&gt;0,AVERAGEIFS($AA$5:$AA$1000,$U$5:$U$1000,ROW(),$V$5:$V$1000,"Sub"),$AA294)))</f>
        <v/>
      </c>
      <c r="AF294" s="62">
        <f>IF($V294="","",IF(AND(ISNUMBER($G294),$G294&lt;=IF($S294=MesCiclo,InicioCiclo,$S294+MOD(2-WEEKDAY($S294),7))+27),1,IF(N($W294)&gt;0,AVERAGEIFS($AB$5:$AB$1000,$U$5:$U$1000,ROW(),$V$5:$V$1000,"Sub"),$AB294)))</f>
        <v/>
      </c>
      <c r="AG294" s="62">
        <f>IF($V294&lt;&gt;"Macro","",IF(COUNTIFS($S$5:$S$1000,$S294,$V$5:$V$1000,"Macro",$H$5:$H$1000,"&gt;0")=0,1/COUNTIFS($S$5:$S$1000,$S294,$V$5:$V$1000,"Macro"),IF(AND(ISNUMBER($H294),N($H294)&gt;0),$H294,SUMIFS($H$5:$H$1000,$S$5:$S$1000,$S294,$V$5:$V$1000,"Macro")/COUNTIFS($S$5:$S$1000,$S294,$V$5:$V$1000,"Macro",$H$5:$H$1000,"&gt;0"))/(COUNTIFS($S$5:$S$1000,$S294,$V$5:$V$1000,"Macro")*SUMIFS($H$5:$H$1000,$S$5:$S$1000,$S294,$V$5:$V$1000,"Macro")/COUNTIFS($S$5:$S$1000,$S294,$V$5:$V$1000,"Macro",$H$5:$H$1000,"&gt;0"))))</f>
        <v/>
      </c>
      <c r="AH294" s="62" t="n"/>
      <c r="AI294" s="62" t="n"/>
      <c r="AJ294" s="62" t="n"/>
      <c r="AK294" s="62" t="n"/>
      <c r="AL294" s="62">
        <f>IF(LEFT($C294,11)="[Jefatura] ",IFERROR(MATCH("Asistente Técnico de Riesgo|"&amp;MID($C294,12,500),rDname_ADM,0),0),"")</f>
        <v/>
      </c>
      <c r="AM294" s="62">
        <f>IF(N($AL294)&gt;0,INDEX(rIni_ADM,$AL294),IF(ISNUMBER($E294),$E294,""))</f>
        <v/>
      </c>
      <c r="AN294" s="62">
        <f>IF(N($AL294)&gt;0,INDEX(rLim_ADM,$AL294),IF(ISNUMBER($F294),$F294,""))</f>
        <v/>
      </c>
    </row>
    <row r="295">
      <c r="A295" s="56">
        <f>IF(NOT((COUNTA($B295:$D295)+COUNTA($G295:$L295)+COUNTA($Q295))&gt;0),"",IF($V295="Macro",COUNTIFS($V$5:$V295,"Macro",$S$5:$S295,$S295),IF(N($U295)=0,"?",COUNTIFS(INDEX($V$5:$V$1000,1):INDEX($V$5:$V$1000,$U295-4),"Macro",INDEX($S$5:$S$1000,1):INDEX($S$5:$S$1000,$U295-4),INDEX($S$5:$S$1000,$U295-4))&amp;"."&amp;COUNTIFS($U$5:$U295,$U295,$V$5:$V295,"Sub"))))</f>
        <v/>
      </c>
      <c r="B295" s="57" t="n"/>
      <c r="C295" s="58" t="n"/>
      <c r="D295" s="58" t="n"/>
      <c r="E295" s="59">
        <f>IF(N($AL295)&gt;0,INDEX(rIni_ADM,$AL295),"")</f>
        <v/>
      </c>
      <c r="F295" s="59">
        <f>IF(N($AL295)&gt;0,INDEX(rLim_ADM,$AL295),"")</f>
        <v/>
      </c>
      <c r="G295" s="59" t="n"/>
      <c r="H295" s="60" t="n"/>
      <c r="I295" s="60" t="n"/>
      <c r="J295" s="60" t="n"/>
      <c r="K295" s="60" t="n"/>
      <c r="L295" s="60" t="n"/>
      <c r="M295" s="61">
        <f>IF(NOT((COUNTA($B295:$D295)+COUNTA($G295:$L295)+COUNTA($Q295))&gt;0),"",IF(ISNUMBER($G295),1,IF(N($W295)&gt;0,AVERAGEIFS($X$5:$X$1000,$U$5:$U$1000,ROW(),$V$5:$V$1000,"Sub"),$X295)))</f>
        <v/>
      </c>
      <c r="N295" s="56">
        <f>IF($M295="","",IF($M295&gt;=1,"Completado",IF($M295&gt;0,"En curso","Pendiente")))</f>
        <v/>
      </c>
      <c r="O295" s="56">
        <f>IF(NOT((COUNTA($B295:$D295)+COUNTA($G295:$L295)+COUNTA($Q295))&gt;0),"",IF(ISNUMBER($G295),IF(AND(ISNUMBER($AN295),$G295&gt;$AN295),"Cumplida con "&amp;($G295-$AN295)&amp;IF($G295-$AN295=1," día"," días")&amp;" de retraso","Cumplida"),IF(N($M295)&gt;=1,"Cumplida",IF(NOT(ISNUMBER($AN295)),"Sin fecha límite",IF($AN295&lt;FechaRef,"Vencida hace "&amp;(FechaRef-$AN295)&amp;IF(FechaRef-$AN295=1," día"," días"),IF($AN295=FechaRef,"Vence hoy",IF($AN295-FechaRef&lt;=DiasAlerta,"Vence en "&amp;($AN295-FechaRef)&amp;IF($AN295-FechaRef=1," día"," días"),"En plazo")))))))</f>
        <v/>
      </c>
      <c r="P295" s="62" t="n"/>
      <c r="Q295" s="58" t="n"/>
      <c r="R295" s="63">
        <f>IF(NOT((COUNTA($B295:$D295)+COUNTA($G295:$L295)+COUNTA($Q295))&gt;0),"",IF((IF($C295="","Falta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",""))="","✔ OK","⚠ "&amp;LEFT(IF($C295="","Falta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",""),LEN(IF($C295="","Falta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",""))-3)))</f>
        <v/>
      </c>
      <c r="S295" s="64">
        <f>IF(NOT((COUNTA($B295:$D295)+COUNTA($G295:$L295)+COUNTA($Q295))&gt;0),"",IF(AND($V295="Sub",N($U295)&gt;0),IF(ISNUMBER(INDEX($AM$5:$AM$1000,$U295-4)),DATE(YEAR(INDEX($AM$5:$AM$1000,$U295-4)),MONTH(INDEX($AM$5:$AM$1000,$U295-4)),1),IF(ISNUMBER(INDEX($AN$5:$AN$1000,$U295-4)),DATE(YEAR(INDEX($AN$5:$AN$1000,$U295-4)),MONTH(INDEX($AN$5:$AN$1000,$U295-4)),1),MesCiclo)),IF(ISNUMBER($AM295),DATE(YEAR($AM295),MONTH($AM295),1),IF(ISNUMBER($AN295),DATE(YEAR($AN295),MONTH($AN295),1),MesCiclo))))</f>
        <v/>
      </c>
      <c r="T295" s="62">
        <f>IF(OR($S295="",$S295&lt;&gt;MesCiclo),"",COUNTIF($S$5:$S295,MesCiclo))</f>
        <v/>
      </c>
      <c r="U295" s="62">
        <f>IF($V295="","",IF($V295="Macro",ROW(),IFERROR(LOOKUP(2,1/($V$5:$V295="Macro"),ROW($V$5:$V295)),0)))</f>
        <v/>
      </c>
      <c r="V295" s="62">
        <f>IF(NOT((COUNTA($B295:$D295)+COUNTA($G295:$L295)+COUNTA($Q295))&gt;0),"",IF($B295="Subactividad","Sub","Macro"))</f>
        <v/>
      </c>
      <c r="W295" s="62">
        <f>IF($V295="Macro",COUNTIFS($U$5:$U$1000,ROW(),$V$5:$V$1000,"Sub"),"")</f>
        <v/>
      </c>
      <c r="X295" s="62">
        <f>IF($V295="","",IF(ISNUMBER($G295),1,IFERROR(LOOKUP(2,1/($I295:$L295&lt;&gt;""),$I295:$L295),0)))</f>
        <v/>
      </c>
      <c r="Y295" s="62">
        <f>IF($V295="","",IF(AND(ISNUMBER($G295),$G295&lt;=IF($S295=MesCiclo,InicioCiclo,$S295+MOD(2-WEEKDAY($S295),7))+6),1,IF(ISNUMBER($I295),$I295,0)))</f>
        <v/>
      </c>
      <c r="Z295" s="62">
        <f>IF($V295="","",IF(AND(ISNUMBER($G295),$G295&lt;=IF($S295=MesCiclo,InicioCiclo,$S295+MOD(2-WEEKDAY($S295),7))+13),1,IF(ISNUMBER($J295),$J295,$Y295)))</f>
        <v/>
      </c>
      <c r="AA295" s="62">
        <f>IF($V295="","",IF(AND(ISNUMBER($G295),$G295&lt;=IF($S295=MesCiclo,InicioCiclo,$S295+MOD(2-WEEKDAY($S295),7))+20),1,IF(ISNUMBER($K295),$K295,$Z295)))</f>
        <v/>
      </c>
      <c r="AB295" s="62">
        <f>IF($V295="","",IF(AND(ISNUMBER($G295),$G295&lt;=IF($S295=MesCiclo,InicioCiclo,$S295+MOD(2-WEEKDAY($S295),7))+27),1,IF(ISNUMBER($L295),$L295,$AA295)))</f>
        <v/>
      </c>
      <c r="AC295" s="62">
        <f>IF($V295="","",IF(AND(ISNUMBER($G295),$G295&lt;=IF($S295=MesCiclo,InicioCiclo,$S295+MOD(2-WEEKDAY($S295),7))+6),1,IF(N($W295)&gt;0,AVERAGEIFS($Y$5:$Y$1000,$U$5:$U$1000,ROW(),$V$5:$V$1000,"Sub"),$Y295)))</f>
        <v/>
      </c>
      <c r="AD295" s="62">
        <f>IF($V295="","",IF(AND(ISNUMBER($G295),$G295&lt;=IF($S295=MesCiclo,InicioCiclo,$S295+MOD(2-WEEKDAY($S295),7))+13),1,IF(N($W295)&gt;0,AVERAGEIFS($Z$5:$Z$1000,$U$5:$U$1000,ROW(),$V$5:$V$1000,"Sub"),$Z295)))</f>
        <v/>
      </c>
      <c r="AE295" s="62">
        <f>IF($V295="","",IF(AND(ISNUMBER($G295),$G295&lt;=IF($S295=MesCiclo,InicioCiclo,$S295+MOD(2-WEEKDAY($S295),7))+20),1,IF(N($W295)&gt;0,AVERAGEIFS($AA$5:$AA$1000,$U$5:$U$1000,ROW(),$V$5:$V$1000,"Sub"),$AA295)))</f>
        <v/>
      </c>
      <c r="AF295" s="62">
        <f>IF($V295="","",IF(AND(ISNUMBER($G295),$G295&lt;=IF($S295=MesCiclo,InicioCiclo,$S295+MOD(2-WEEKDAY($S295),7))+27),1,IF(N($W295)&gt;0,AVERAGEIFS($AB$5:$AB$1000,$U$5:$U$1000,ROW(),$V$5:$V$1000,"Sub"),$AB295)))</f>
        <v/>
      </c>
      <c r="AG295" s="62">
        <f>IF($V295&lt;&gt;"Macro","",IF(COUNTIFS($S$5:$S$1000,$S295,$V$5:$V$1000,"Macro",$H$5:$H$1000,"&gt;0")=0,1/COUNTIFS($S$5:$S$1000,$S295,$V$5:$V$1000,"Macro"),IF(AND(ISNUMBER($H295),N($H295)&gt;0),$H295,SUMIFS($H$5:$H$1000,$S$5:$S$1000,$S295,$V$5:$V$1000,"Macro")/COUNTIFS($S$5:$S$1000,$S295,$V$5:$V$1000,"Macro",$H$5:$H$1000,"&gt;0"))/(COUNTIFS($S$5:$S$1000,$S295,$V$5:$V$1000,"Macro")*SUMIFS($H$5:$H$1000,$S$5:$S$1000,$S295,$V$5:$V$1000,"Macro")/COUNTIFS($S$5:$S$1000,$S295,$V$5:$V$1000,"Macro",$H$5:$H$1000,"&gt;0"))))</f>
        <v/>
      </c>
      <c r="AH295" s="62" t="n"/>
      <c r="AI295" s="62" t="n"/>
      <c r="AJ295" s="62" t="n"/>
      <c r="AK295" s="62" t="n"/>
      <c r="AL295" s="62">
        <f>IF(LEFT($C295,11)="[Jefatura] ",IFERROR(MATCH("Asistente Técnico de Riesgo|"&amp;MID($C295,12,500),rDname_ADM,0),0),"")</f>
        <v/>
      </c>
      <c r="AM295" s="62">
        <f>IF(N($AL295)&gt;0,INDEX(rIni_ADM,$AL295),IF(ISNUMBER($E295),$E295,""))</f>
        <v/>
      </c>
      <c r="AN295" s="62">
        <f>IF(N($AL295)&gt;0,INDEX(rLim_ADM,$AL295),IF(ISNUMBER($F295),$F295,""))</f>
        <v/>
      </c>
    </row>
    <row r="296">
      <c r="A296" s="56">
        <f>IF(NOT((COUNTA($B296:$D296)+COUNTA($G296:$L296)+COUNTA($Q296))&gt;0),"",IF($V296="Macro",COUNTIFS($V$5:$V296,"Macro",$S$5:$S296,$S296),IF(N($U296)=0,"?",COUNTIFS(INDEX($V$5:$V$1000,1):INDEX($V$5:$V$1000,$U296-4),"Macro",INDEX($S$5:$S$1000,1):INDEX($S$5:$S$1000,$U296-4),INDEX($S$5:$S$1000,$U296-4))&amp;"."&amp;COUNTIFS($U$5:$U296,$U296,$V$5:$V296,"Sub"))))</f>
        <v/>
      </c>
      <c r="B296" s="57" t="n"/>
      <c r="C296" s="58" t="n"/>
      <c r="D296" s="58" t="n"/>
      <c r="E296" s="59">
        <f>IF(N($AL296)&gt;0,INDEX(rIni_ADM,$AL296),"")</f>
        <v/>
      </c>
      <c r="F296" s="59">
        <f>IF(N($AL296)&gt;0,INDEX(rLim_ADM,$AL296),"")</f>
        <v/>
      </c>
      <c r="G296" s="59" t="n"/>
      <c r="H296" s="60" t="n"/>
      <c r="I296" s="60" t="n"/>
      <c r="J296" s="60" t="n"/>
      <c r="K296" s="60" t="n"/>
      <c r="L296" s="60" t="n"/>
      <c r="M296" s="61">
        <f>IF(NOT((COUNTA($B296:$D296)+COUNTA($G296:$L296)+COUNTA($Q296))&gt;0),"",IF(ISNUMBER($G296),1,IF(N($W296)&gt;0,AVERAGEIFS($X$5:$X$1000,$U$5:$U$1000,ROW(),$V$5:$V$1000,"Sub"),$X296)))</f>
        <v/>
      </c>
      <c r="N296" s="56">
        <f>IF($M296="","",IF($M296&gt;=1,"Completado",IF($M296&gt;0,"En curso","Pendiente")))</f>
        <v/>
      </c>
      <c r="O296" s="56">
        <f>IF(NOT((COUNTA($B296:$D296)+COUNTA($G296:$L296)+COUNTA($Q296))&gt;0),"",IF(ISNUMBER($G296),IF(AND(ISNUMBER($AN296),$G296&gt;$AN296),"Cumplida con "&amp;($G296-$AN296)&amp;IF($G296-$AN296=1," día"," días")&amp;" de retraso","Cumplida"),IF(N($M296)&gt;=1,"Cumplida",IF(NOT(ISNUMBER($AN296)),"Sin fecha límite",IF($AN296&lt;FechaRef,"Vencida hace "&amp;(FechaRef-$AN296)&amp;IF(FechaRef-$AN296=1," día"," días"),IF($AN296=FechaRef,"Vence hoy",IF($AN296-FechaRef&lt;=DiasAlerta,"Vence en "&amp;($AN296-FechaRef)&amp;IF($AN296-FechaRef=1," día"," días"),"En plazo")))))))</f>
        <v/>
      </c>
      <c r="P296" s="62" t="n"/>
      <c r="Q296" s="58" t="n"/>
      <c r="R296" s="63">
        <f>IF(NOT((COUNTA($B296:$D296)+COUNTA($G296:$L296)+COUNTA($Q296))&gt;0),"",IF((IF($C296="","Falta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",""))="","✔ OK","⚠ "&amp;LEFT(IF($C296="","Falta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",""),LEN(IF($C296="","Falta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",""))-3)))</f>
        <v/>
      </c>
      <c r="S296" s="64">
        <f>IF(NOT((COUNTA($B296:$D296)+COUNTA($G296:$L296)+COUNTA($Q296))&gt;0),"",IF(AND($V296="Sub",N($U296)&gt;0),IF(ISNUMBER(INDEX($AM$5:$AM$1000,$U296-4)),DATE(YEAR(INDEX($AM$5:$AM$1000,$U296-4)),MONTH(INDEX($AM$5:$AM$1000,$U296-4)),1),IF(ISNUMBER(INDEX($AN$5:$AN$1000,$U296-4)),DATE(YEAR(INDEX($AN$5:$AN$1000,$U296-4)),MONTH(INDEX($AN$5:$AN$1000,$U296-4)),1),MesCiclo)),IF(ISNUMBER($AM296),DATE(YEAR($AM296),MONTH($AM296),1),IF(ISNUMBER($AN296),DATE(YEAR($AN296),MONTH($AN296),1),MesCiclo))))</f>
        <v/>
      </c>
      <c r="T296" s="62">
        <f>IF(OR($S296="",$S296&lt;&gt;MesCiclo),"",COUNTIF($S$5:$S296,MesCiclo))</f>
        <v/>
      </c>
      <c r="U296" s="62">
        <f>IF($V296="","",IF($V296="Macro",ROW(),IFERROR(LOOKUP(2,1/($V$5:$V296="Macro"),ROW($V$5:$V296)),0)))</f>
        <v/>
      </c>
      <c r="V296" s="62">
        <f>IF(NOT((COUNTA($B296:$D296)+COUNTA($G296:$L296)+COUNTA($Q296))&gt;0),"",IF($B296="Subactividad","Sub","Macro"))</f>
        <v/>
      </c>
      <c r="W296" s="62">
        <f>IF($V296="Macro",COUNTIFS($U$5:$U$1000,ROW(),$V$5:$V$1000,"Sub"),"")</f>
        <v/>
      </c>
      <c r="X296" s="62">
        <f>IF($V296="","",IF(ISNUMBER($G296),1,IFERROR(LOOKUP(2,1/($I296:$L296&lt;&gt;""),$I296:$L296),0)))</f>
        <v/>
      </c>
      <c r="Y296" s="62">
        <f>IF($V296="","",IF(AND(ISNUMBER($G296),$G296&lt;=IF($S296=MesCiclo,InicioCiclo,$S296+MOD(2-WEEKDAY($S296),7))+6),1,IF(ISNUMBER($I296),$I296,0)))</f>
        <v/>
      </c>
      <c r="Z296" s="62">
        <f>IF($V296="","",IF(AND(ISNUMBER($G296),$G296&lt;=IF($S296=MesCiclo,InicioCiclo,$S296+MOD(2-WEEKDAY($S296),7))+13),1,IF(ISNUMBER($J296),$J296,$Y296)))</f>
        <v/>
      </c>
      <c r="AA296" s="62">
        <f>IF($V296="","",IF(AND(ISNUMBER($G296),$G296&lt;=IF($S296=MesCiclo,InicioCiclo,$S296+MOD(2-WEEKDAY($S296),7))+20),1,IF(ISNUMBER($K296),$K296,$Z296)))</f>
        <v/>
      </c>
      <c r="AB296" s="62">
        <f>IF($V296="","",IF(AND(ISNUMBER($G296),$G296&lt;=IF($S296=MesCiclo,InicioCiclo,$S296+MOD(2-WEEKDAY($S296),7))+27),1,IF(ISNUMBER($L296),$L296,$AA296)))</f>
        <v/>
      </c>
      <c r="AC296" s="62">
        <f>IF($V296="","",IF(AND(ISNUMBER($G296),$G296&lt;=IF($S296=MesCiclo,InicioCiclo,$S296+MOD(2-WEEKDAY($S296),7))+6),1,IF(N($W296)&gt;0,AVERAGEIFS($Y$5:$Y$1000,$U$5:$U$1000,ROW(),$V$5:$V$1000,"Sub"),$Y296)))</f>
        <v/>
      </c>
      <c r="AD296" s="62">
        <f>IF($V296="","",IF(AND(ISNUMBER($G296),$G296&lt;=IF($S296=MesCiclo,InicioCiclo,$S296+MOD(2-WEEKDAY($S296),7))+13),1,IF(N($W296)&gt;0,AVERAGEIFS($Z$5:$Z$1000,$U$5:$U$1000,ROW(),$V$5:$V$1000,"Sub"),$Z296)))</f>
        <v/>
      </c>
      <c r="AE296" s="62">
        <f>IF($V296="","",IF(AND(ISNUMBER($G296),$G296&lt;=IF($S296=MesCiclo,InicioCiclo,$S296+MOD(2-WEEKDAY($S296),7))+20),1,IF(N($W296)&gt;0,AVERAGEIFS($AA$5:$AA$1000,$U$5:$U$1000,ROW(),$V$5:$V$1000,"Sub"),$AA296)))</f>
        <v/>
      </c>
      <c r="AF296" s="62">
        <f>IF($V296="","",IF(AND(ISNUMBER($G296),$G296&lt;=IF($S296=MesCiclo,InicioCiclo,$S296+MOD(2-WEEKDAY($S296),7))+27),1,IF(N($W296)&gt;0,AVERAGEIFS($AB$5:$AB$1000,$U$5:$U$1000,ROW(),$V$5:$V$1000,"Sub"),$AB296)))</f>
        <v/>
      </c>
      <c r="AG296" s="62">
        <f>IF($V296&lt;&gt;"Macro","",IF(COUNTIFS($S$5:$S$1000,$S296,$V$5:$V$1000,"Macro",$H$5:$H$1000,"&gt;0")=0,1/COUNTIFS($S$5:$S$1000,$S296,$V$5:$V$1000,"Macro"),IF(AND(ISNUMBER($H296),N($H296)&gt;0),$H296,SUMIFS($H$5:$H$1000,$S$5:$S$1000,$S296,$V$5:$V$1000,"Macro")/COUNTIFS($S$5:$S$1000,$S296,$V$5:$V$1000,"Macro",$H$5:$H$1000,"&gt;0"))/(COUNTIFS($S$5:$S$1000,$S296,$V$5:$V$1000,"Macro")*SUMIFS($H$5:$H$1000,$S$5:$S$1000,$S296,$V$5:$V$1000,"Macro")/COUNTIFS($S$5:$S$1000,$S296,$V$5:$V$1000,"Macro",$H$5:$H$1000,"&gt;0"))))</f>
        <v/>
      </c>
      <c r="AH296" s="62" t="n"/>
      <c r="AI296" s="62" t="n"/>
      <c r="AJ296" s="62" t="n"/>
      <c r="AK296" s="62" t="n"/>
      <c r="AL296" s="62">
        <f>IF(LEFT($C296,11)="[Jefatura] ",IFERROR(MATCH("Asistente Técnico de Riesgo|"&amp;MID($C296,12,500),rDname_ADM,0),0),"")</f>
        <v/>
      </c>
      <c r="AM296" s="62">
        <f>IF(N($AL296)&gt;0,INDEX(rIni_ADM,$AL296),IF(ISNUMBER($E296),$E296,""))</f>
        <v/>
      </c>
      <c r="AN296" s="62">
        <f>IF(N($AL296)&gt;0,INDEX(rLim_ADM,$AL296),IF(ISNUMBER($F296),$F296,""))</f>
        <v/>
      </c>
    </row>
    <row r="297">
      <c r="A297" s="56">
        <f>IF(NOT((COUNTA($B297:$D297)+COUNTA($G297:$L297)+COUNTA($Q297))&gt;0),"",IF($V297="Macro",COUNTIFS($V$5:$V297,"Macro",$S$5:$S297,$S297),IF(N($U297)=0,"?",COUNTIFS(INDEX($V$5:$V$1000,1):INDEX($V$5:$V$1000,$U297-4),"Macro",INDEX($S$5:$S$1000,1):INDEX($S$5:$S$1000,$U297-4),INDEX($S$5:$S$1000,$U297-4))&amp;"."&amp;COUNTIFS($U$5:$U297,$U297,$V$5:$V297,"Sub"))))</f>
        <v/>
      </c>
      <c r="B297" s="57" t="n"/>
      <c r="C297" s="58" t="n"/>
      <c r="D297" s="58" t="n"/>
      <c r="E297" s="59">
        <f>IF(N($AL297)&gt;0,INDEX(rIni_ADM,$AL297),"")</f>
        <v/>
      </c>
      <c r="F297" s="59">
        <f>IF(N($AL297)&gt;0,INDEX(rLim_ADM,$AL297),"")</f>
        <v/>
      </c>
      <c r="G297" s="59" t="n"/>
      <c r="H297" s="60" t="n"/>
      <c r="I297" s="60" t="n"/>
      <c r="J297" s="60" t="n"/>
      <c r="K297" s="60" t="n"/>
      <c r="L297" s="60" t="n"/>
      <c r="M297" s="61">
        <f>IF(NOT((COUNTA($B297:$D297)+COUNTA($G297:$L297)+COUNTA($Q297))&gt;0),"",IF(ISNUMBER($G297),1,IF(N($W297)&gt;0,AVERAGEIFS($X$5:$X$1000,$U$5:$U$1000,ROW(),$V$5:$V$1000,"Sub"),$X297)))</f>
        <v/>
      </c>
      <c r="N297" s="56">
        <f>IF($M297="","",IF($M297&gt;=1,"Completado",IF($M297&gt;0,"En curso","Pendiente")))</f>
        <v/>
      </c>
      <c r="O297" s="56">
        <f>IF(NOT((COUNTA($B297:$D297)+COUNTA($G297:$L297)+COUNTA($Q297))&gt;0),"",IF(ISNUMBER($G297),IF(AND(ISNUMBER($AN297),$G297&gt;$AN297),"Cumplida con "&amp;($G297-$AN297)&amp;IF($G297-$AN297=1," día"," días")&amp;" de retraso","Cumplida"),IF(N($M297)&gt;=1,"Cumplida",IF(NOT(ISNUMBER($AN297)),"Sin fecha límite",IF($AN297&lt;FechaRef,"Vencida hace "&amp;(FechaRef-$AN297)&amp;IF(FechaRef-$AN297=1," día"," días"),IF($AN297=FechaRef,"Vence hoy",IF($AN297-FechaRef&lt;=DiasAlerta,"Vence en "&amp;($AN297-FechaRef)&amp;IF($AN297-FechaRef=1," día"," días"),"En plazo")))))))</f>
        <v/>
      </c>
      <c r="P297" s="62" t="n"/>
      <c r="Q297" s="58" t="n"/>
      <c r="R297" s="63">
        <f>IF(NOT((COUNTA($B297:$D297)+COUNTA($G297:$L297)+COUNTA($Q297))&gt;0),"",IF((IF($C297="","Falta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",""))="","✔ OK","⚠ "&amp;LEFT(IF($C297="","Falta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",""),LEN(IF($C297="","Falta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",""))-3)))</f>
        <v/>
      </c>
      <c r="S297" s="64">
        <f>IF(NOT((COUNTA($B297:$D297)+COUNTA($G297:$L297)+COUNTA($Q297))&gt;0),"",IF(AND($V297="Sub",N($U297)&gt;0),IF(ISNUMBER(INDEX($AM$5:$AM$1000,$U297-4)),DATE(YEAR(INDEX($AM$5:$AM$1000,$U297-4)),MONTH(INDEX($AM$5:$AM$1000,$U297-4)),1),IF(ISNUMBER(INDEX($AN$5:$AN$1000,$U297-4)),DATE(YEAR(INDEX($AN$5:$AN$1000,$U297-4)),MONTH(INDEX($AN$5:$AN$1000,$U297-4)),1),MesCiclo)),IF(ISNUMBER($AM297),DATE(YEAR($AM297),MONTH($AM297),1),IF(ISNUMBER($AN297),DATE(YEAR($AN297),MONTH($AN297),1),MesCiclo))))</f>
        <v/>
      </c>
      <c r="T297" s="62">
        <f>IF(OR($S297="",$S297&lt;&gt;MesCiclo),"",COUNTIF($S$5:$S297,MesCiclo))</f>
        <v/>
      </c>
      <c r="U297" s="62">
        <f>IF($V297="","",IF($V297="Macro",ROW(),IFERROR(LOOKUP(2,1/($V$5:$V297="Macro"),ROW($V$5:$V297)),0)))</f>
        <v/>
      </c>
      <c r="V297" s="62">
        <f>IF(NOT((COUNTA($B297:$D297)+COUNTA($G297:$L297)+COUNTA($Q297))&gt;0),"",IF($B297="Subactividad","Sub","Macro"))</f>
        <v/>
      </c>
      <c r="W297" s="62">
        <f>IF($V297="Macro",COUNTIFS($U$5:$U$1000,ROW(),$V$5:$V$1000,"Sub"),"")</f>
        <v/>
      </c>
      <c r="X297" s="62">
        <f>IF($V297="","",IF(ISNUMBER($G297),1,IFERROR(LOOKUP(2,1/($I297:$L297&lt;&gt;""),$I297:$L297),0)))</f>
        <v/>
      </c>
      <c r="Y297" s="62">
        <f>IF($V297="","",IF(AND(ISNUMBER($G297),$G297&lt;=IF($S297=MesCiclo,InicioCiclo,$S297+MOD(2-WEEKDAY($S297),7))+6),1,IF(ISNUMBER($I297),$I297,0)))</f>
        <v/>
      </c>
      <c r="Z297" s="62">
        <f>IF($V297="","",IF(AND(ISNUMBER($G297),$G297&lt;=IF($S297=MesCiclo,InicioCiclo,$S297+MOD(2-WEEKDAY($S297),7))+13),1,IF(ISNUMBER($J297),$J297,$Y297)))</f>
        <v/>
      </c>
      <c r="AA297" s="62">
        <f>IF($V297="","",IF(AND(ISNUMBER($G297),$G297&lt;=IF($S297=MesCiclo,InicioCiclo,$S297+MOD(2-WEEKDAY($S297),7))+20),1,IF(ISNUMBER($K297),$K297,$Z297)))</f>
        <v/>
      </c>
      <c r="AB297" s="62">
        <f>IF($V297="","",IF(AND(ISNUMBER($G297),$G297&lt;=IF($S297=MesCiclo,InicioCiclo,$S297+MOD(2-WEEKDAY($S297),7))+27),1,IF(ISNUMBER($L297),$L297,$AA297)))</f>
        <v/>
      </c>
      <c r="AC297" s="62">
        <f>IF($V297="","",IF(AND(ISNUMBER($G297),$G297&lt;=IF($S297=MesCiclo,InicioCiclo,$S297+MOD(2-WEEKDAY($S297),7))+6),1,IF(N($W297)&gt;0,AVERAGEIFS($Y$5:$Y$1000,$U$5:$U$1000,ROW(),$V$5:$V$1000,"Sub"),$Y297)))</f>
        <v/>
      </c>
      <c r="AD297" s="62">
        <f>IF($V297="","",IF(AND(ISNUMBER($G297),$G297&lt;=IF($S297=MesCiclo,InicioCiclo,$S297+MOD(2-WEEKDAY($S297),7))+13),1,IF(N($W297)&gt;0,AVERAGEIFS($Z$5:$Z$1000,$U$5:$U$1000,ROW(),$V$5:$V$1000,"Sub"),$Z297)))</f>
        <v/>
      </c>
      <c r="AE297" s="62">
        <f>IF($V297="","",IF(AND(ISNUMBER($G297),$G297&lt;=IF($S297=MesCiclo,InicioCiclo,$S297+MOD(2-WEEKDAY($S297),7))+20),1,IF(N($W297)&gt;0,AVERAGEIFS($AA$5:$AA$1000,$U$5:$U$1000,ROW(),$V$5:$V$1000,"Sub"),$AA297)))</f>
        <v/>
      </c>
      <c r="AF297" s="62">
        <f>IF($V297="","",IF(AND(ISNUMBER($G297),$G297&lt;=IF($S297=MesCiclo,InicioCiclo,$S297+MOD(2-WEEKDAY($S297),7))+27),1,IF(N($W297)&gt;0,AVERAGEIFS($AB$5:$AB$1000,$U$5:$U$1000,ROW(),$V$5:$V$1000,"Sub"),$AB297)))</f>
        <v/>
      </c>
      <c r="AG297" s="62">
        <f>IF($V297&lt;&gt;"Macro","",IF(COUNTIFS($S$5:$S$1000,$S297,$V$5:$V$1000,"Macro",$H$5:$H$1000,"&gt;0")=0,1/COUNTIFS($S$5:$S$1000,$S297,$V$5:$V$1000,"Macro"),IF(AND(ISNUMBER($H297),N($H297)&gt;0),$H297,SUMIFS($H$5:$H$1000,$S$5:$S$1000,$S297,$V$5:$V$1000,"Macro")/COUNTIFS($S$5:$S$1000,$S297,$V$5:$V$1000,"Macro",$H$5:$H$1000,"&gt;0"))/(COUNTIFS($S$5:$S$1000,$S297,$V$5:$V$1000,"Macro")*SUMIFS($H$5:$H$1000,$S$5:$S$1000,$S297,$V$5:$V$1000,"Macro")/COUNTIFS($S$5:$S$1000,$S297,$V$5:$V$1000,"Macro",$H$5:$H$1000,"&gt;0"))))</f>
        <v/>
      </c>
      <c r="AH297" s="62" t="n"/>
      <c r="AI297" s="62" t="n"/>
      <c r="AJ297" s="62" t="n"/>
      <c r="AK297" s="62" t="n"/>
      <c r="AL297" s="62">
        <f>IF(LEFT($C297,11)="[Jefatura] ",IFERROR(MATCH("Asistente Técnico de Riesgo|"&amp;MID($C297,12,500),rDname_ADM,0),0),"")</f>
        <v/>
      </c>
      <c r="AM297" s="62">
        <f>IF(N($AL297)&gt;0,INDEX(rIni_ADM,$AL297),IF(ISNUMBER($E297),$E297,""))</f>
        <v/>
      </c>
      <c r="AN297" s="62">
        <f>IF(N($AL297)&gt;0,INDEX(rLim_ADM,$AL297),IF(ISNUMBER($F297),$F297,""))</f>
        <v/>
      </c>
    </row>
    <row r="298">
      <c r="A298" s="56">
        <f>IF(NOT((COUNTA($B298:$D298)+COUNTA($G298:$L298)+COUNTA($Q298))&gt;0),"",IF($V298="Macro",COUNTIFS($V$5:$V298,"Macro",$S$5:$S298,$S298),IF(N($U298)=0,"?",COUNTIFS(INDEX($V$5:$V$1000,1):INDEX($V$5:$V$1000,$U298-4),"Macro",INDEX($S$5:$S$1000,1):INDEX($S$5:$S$1000,$U298-4),INDEX($S$5:$S$1000,$U298-4))&amp;"."&amp;COUNTIFS($U$5:$U298,$U298,$V$5:$V298,"Sub"))))</f>
        <v/>
      </c>
      <c r="B298" s="57" t="n"/>
      <c r="C298" s="58" t="n"/>
      <c r="D298" s="58" t="n"/>
      <c r="E298" s="59">
        <f>IF(N($AL298)&gt;0,INDEX(rIni_ADM,$AL298),"")</f>
        <v/>
      </c>
      <c r="F298" s="59">
        <f>IF(N($AL298)&gt;0,INDEX(rLim_ADM,$AL298),"")</f>
        <v/>
      </c>
      <c r="G298" s="59" t="n"/>
      <c r="H298" s="60" t="n"/>
      <c r="I298" s="60" t="n"/>
      <c r="J298" s="60" t="n"/>
      <c r="K298" s="60" t="n"/>
      <c r="L298" s="60" t="n"/>
      <c r="M298" s="61">
        <f>IF(NOT((COUNTA($B298:$D298)+COUNTA($G298:$L298)+COUNTA($Q298))&gt;0),"",IF(ISNUMBER($G298),1,IF(N($W298)&gt;0,AVERAGEIFS($X$5:$X$1000,$U$5:$U$1000,ROW(),$V$5:$V$1000,"Sub"),$X298)))</f>
        <v/>
      </c>
      <c r="N298" s="56">
        <f>IF($M298="","",IF($M298&gt;=1,"Completado",IF($M298&gt;0,"En curso","Pendiente")))</f>
        <v/>
      </c>
      <c r="O298" s="56">
        <f>IF(NOT((COUNTA($B298:$D298)+COUNTA($G298:$L298)+COUNTA($Q298))&gt;0),"",IF(ISNUMBER($G298),IF(AND(ISNUMBER($AN298),$G298&gt;$AN298),"Cumplida con "&amp;($G298-$AN298)&amp;IF($G298-$AN298=1," día"," días")&amp;" de retraso","Cumplida"),IF(N($M298)&gt;=1,"Cumplida",IF(NOT(ISNUMBER($AN298)),"Sin fecha límite",IF($AN298&lt;FechaRef,"Vencida hace "&amp;(FechaRef-$AN298)&amp;IF(FechaRef-$AN298=1," día"," días"),IF($AN298=FechaRef,"Vence hoy",IF($AN298-FechaRef&lt;=DiasAlerta,"Vence en "&amp;($AN298-FechaRef)&amp;IF($AN298-FechaRef=1," día"," días"),"En plazo")))))))</f>
        <v/>
      </c>
      <c r="P298" s="62" t="n"/>
      <c r="Q298" s="58" t="n"/>
      <c r="R298" s="63">
        <f>IF(NOT((COUNTA($B298:$D298)+COUNTA($G298:$L298)+COUNTA($Q298))&gt;0),"",IF((IF($C298="","Falta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",""))="","✔ OK","⚠ "&amp;LEFT(IF($C298="","Falta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",""),LEN(IF($C298="","Falta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",""))-3)))</f>
        <v/>
      </c>
      <c r="S298" s="64">
        <f>IF(NOT((COUNTA($B298:$D298)+COUNTA($G298:$L298)+COUNTA($Q298))&gt;0),"",IF(AND($V298="Sub",N($U298)&gt;0),IF(ISNUMBER(INDEX($AM$5:$AM$1000,$U298-4)),DATE(YEAR(INDEX($AM$5:$AM$1000,$U298-4)),MONTH(INDEX($AM$5:$AM$1000,$U298-4)),1),IF(ISNUMBER(INDEX($AN$5:$AN$1000,$U298-4)),DATE(YEAR(INDEX($AN$5:$AN$1000,$U298-4)),MONTH(INDEX($AN$5:$AN$1000,$U298-4)),1),MesCiclo)),IF(ISNUMBER($AM298),DATE(YEAR($AM298),MONTH($AM298),1),IF(ISNUMBER($AN298),DATE(YEAR($AN298),MONTH($AN298),1),MesCiclo))))</f>
        <v/>
      </c>
      <c r="T298" s="62">
        <f>IF(OR($S298="",$S298&lt;&gt;MesCiclo),"",COUNTIF($S$5:$S298,MesCiclo))</f>
        <v/>
      </c>
      <c r="U298" s="62">
        <f>IF($V298="","",IF($V298="Macro",ROW(),IFERROR(LOOKUP(2,1/($V$5:$V298="Macro"),ROW($V$5:$V298)),0)))</f>
        <v/>
      </c>
      <c r="V298" s="62">
        <f>IF(NOT((COUNTA($B298:$D298)+COUNTA($G298:$L298)+COUNTA($Q298))&gt;0),"",IF($B298="Subactividad","Sub","Macro"))</f>
        <v/>
      </c>
      <c r="W298" s="62">
        <f>IF($V298="Macro",COUNTIFS($U$5:$U$1000,ROW(),$V$5:$V$1000,"Sub"),"")</f>
        <v/>
      </c>
      <c r="X298" s="62">
        <f>IF($V298="","",IF(ISNUMBER($G298),1,IFERROR(LOOKUP(2,1/($I298:$L298&lt;&gt;""),$I298:$L298),0)))</f>
        <v/>
      </c>
      <c r="Y298" s="62">
        <f>IF($V298="","",IF(AND(ISNUMBER($G298),$G298&lt;=IF($S298=MesCiclo,InicioCiclo,$S298+MOD(2-WEEKDAY($S298),7))+6),1,IF(ISNUMBER($I298),$I298,0)))</f>
        <v/>
      </c>
      <c r="Z298" s="62">
        <f>IF($V298="","",IF(AND(ISNUMBER($G298),$G298&lt;=IF($S298=MesCiclo,InicioCiclo,$S298+MOD(2-WEEKDAY($S298),7))+13),1,IF(ISNUMBER($J298),$J298,$Y298)))</f>
        <v/>
      </c>
      <c r="AA298" s="62">
        <f>IF($V298="","",IF(AND(ISNUMBER($G298),$G298&lt;=IF($S298=MesCiclo,InicioCiclo,$S298+MOD(2-WEEKDAY($S298),7))+20),1,IF(ISNUMBER($K298),$K298,$Z298)))</f>
        <v/>
      </c>
      <c r="AB298" s="62">
        <f>IF($V298="","",IF(AND(ISNUMBER($G298),$G298&lt;=IF($S298=MesCiclo,InicioCiclo,$S298+MOD(2-WEEKDAY($S298),7))+27),1,IF(ISNUMBER($L298),$L298,$AA298)))</f>
        <v/>
      </c>
      <c r="AC298" s="62">
        <f>IF($V298="","",IF(AND(ISNUMBER($G298),$G298&lt;=IF($S298=MesCiclo,InicioCiclo,$S298+MOD(2-WEEKDAY($S298),7))+6),1,IF(N($W298)&gt;0,AVERAGEIFS($Y$5:$Y$1000,$U$5:$U$1000,ROW(),$V$5:$V$1000,"Sub"),$Y298)))</f>
        <v/>
      </c>
      <c r="AD298" s="62">
        <f>IF($V298="","",IF(AND(ISNUMBER($G298),$G298&lt;=IF($S298=MesCiclo,InicioCiclo,$S298+MOD(2-WEEKDAY($S298),7))+13),1,IF(N($W298)&gt;0,AVERAGEIFS($Z$5:$Z$1000,$U$5:$U$1000,ROW(),$V$5:$V$1000,"Sub"),$Z298)))</f>
        <v/>
      </c>
      <c r="AE298" s="62">
        <f>IF($V298="","",IF(AND(ISNUMBER($G298),$G298&lt;=IF($S298=MesCiclo,InicioCiclo,$S298+MOD(2-WEEKDAY($S298),7))+20),1,IF(N($W298)&gt;0,AVERAGEIFS($AA$5:$AA$1000,$U$5:$U$1000,ROW(),$V$5:$V$1000,"Sub"),$AA298)))</f>
        <v/>
      </c>
      <c r="AF298" s="62">
        <f>IF($V298="","",IF(AND(ISNUMBER($G298),$G298&lt;=IF($S298=MesCiclo,InicioCiclo,$S298+MOD(2-WEEKDAY($S298),7))+27),1,IF(N($W298)&gt;0,AVERAGEIFS($AB$5:$AB$1000,$U$5:$U$1000,ROW(),$V$5:$V$1000,"Sub"),$AB298)))</f>
        <v/>
      </c>
      <c r="AG298" s="62">
        <f>IF($V298&lt;&gt;"Macro","",IF(COUNTIFS($S$5:$S$1000,$S298,$V$5:$V$1000,"Macro",$H$5:$H$1000,"&gt;0")=0,1/COUNTIFS($S$5:$S$1000,$S298,$V$5:$V$1000,"Macro"),IF(AND(ISNUMBER($H298),N($H298)&gt;0),$H298,SUMIFS($H$5:$H$1000,$S$5:$S$1000,$S298,$V$5:$V$1000,"Macro")/COUNTIFS($S$5:$S$1000,$S298,$V$5:$V$1000,"Macro",$H$5:$H$1000,"&gt;0"))/(COUNTIFS($S$5:$S$1000,$S298,$V$5:$V$1000,"Macro")*SUMIFS($H$5:$H$1000,$S$5:$S$1000,$S298,$V$5:$V$1000,"Macro")/COUNTIFS($S$5:$S$1000,$S298,$V$5:$V$1000,"Macro",$H$5:$H$1000,"&gt;0"))))</f>
        <v/>
      </c>
      <c r="AH298" s="62" t="n"/>
      <c r="AI298" s="62" t="n"/>
      <c r="AJ298" s="62" t="n"/>
      <c r="AK298" s="62" t="n"/>
      <c r="AL298" s="62">
        <f>IF(LEFT($C298,11)="[Jefatura] ",IFERROR(MATCH("Asistente Técnico de Riesgo|"&amp;MID($C298,12,500),rDname_ADM,0),0),"")</f>
        <v/>
      </c>
      <c r="AM298" s="62">
        <f>IF(N($AL298)&gt;0,INDEX(rIni_ADM,$AL298),IF(ISNUMBER($E298),$E298,""))</f>
        <v/>
      </c>
      <c r="AN298" s="62">
        <f>IF(N($AL298)&gt;0,INDEX(rLim_ADM,$AL298),IF(ISNUMBER($F298),$F298,""))</f>
        <v/>
      </c>
    </row>
    <row r="299">
      <c r="A299" s="56">
        <f>IF(NOT((COUNTA($B299:$D299)+COUNTA($G299:$L299)+COUNTA($Q299))&gt;0),"",IF($V299="Macro",COUNTIFS($V$5:$V299,"Macro",$S$5:$S299,$S299),IF(N($U299)=0,"?",COUNTIFS(INDEX($V$5:$V$1000,1):INDEX($V$5:$V$1000,$U299-4),"Macro",INDEX($S$5:$S$1000,1):INDEX($S$5:$S$1000,$U299-4),INDEX($S$5:$S$1000,$U299-4))&amp;"."&amp;COUNTIFS($U$5:$U299,$U299,$V$5:$V299,"Sub"))))</f>
        <v/>
      </c>
      <c r="B299" s="57" t="n"/>
      <c r="C299" s="58" t="n"/>
      <c r="D299" s="58" t="n"/>
      <c r="E299" s="59">
        <f>IF(N($AL299)&gt;0,INDEX(rIni_ADM,$AL299),"")</f>
        <v/>
      </c>
      <c r="F299" s="59">
        <f>IF(N($AL299)&gt;0,INDEX(rLim_ADM,$AL299),"")</f>
        <v/>
      </c>
      <c r="G299" s="59" t="n"/>
      <c r="H299" s="60" t="n"/>
      <c r="I299" s="60" t="n"/>
      <c r="J299" s="60" t="n"/>
      <c r="K299" s="60" t="n"/>
      <c r="L299" s="60" t="n"/>
      <c r="M299" s="61">
        <f>IF(NOT((COUNTA($B299:$D299)+COUNTA($G299:$L299)+COUNTA($Q299))&gt;0),"",IF(ISNUMBER($G299),1,IF(N($W299)&gt;0,AVERAGEIFS($X$5:$X$1000,$U$5:$U$1000,ROW(),$V$5:$V$1000,"Sub"),$X299)))</f>
        <v/>
      </c>
      <c r="N299" s="56">
        <f>IF($M299="","",IF($M299&gt;=1,"Completado",IF($M299&gt;0,"En curso","Pendiente")))</f>
        <v/>
      </c>
      <c r="O299" s="56">
        <f>IF(NOT((COUNTA($B299:$D299)+COUNTA($G299:$L299)+COUNTA($Q299))&gt;0),"",IF(ISNUMBER($G299),IF(AND(ISNUMBER($AN299),$G299&gt;$AN299),"Cumplida con "&amp;($G299-$AN299)&amp;IF($G299-$AN299=1," día"," días")&amp;" de retraso","Cumplida"),IF(N($M299)&gt;=1,"Cumplida",IF(NOT(ISNUMBER($AN299)),"Sin fecha límite",IF($AN299&lt;FechaRef,"Vencida hace "&amp;(FechaRef-$AN299)&amp;IF(FechaRef-$AN299=1," día"," días"),IF($AN299=FechaRef,"Vence hoy",IF($AN299-FechaRef&lt;=DiasAlerta,"Vence en "&amp;($AN299-FechaRef)&amp;IF($AN299-FechaRef=1," día"," días"),"En plazo")))))))</f>
        <v/>
      </c>
      <c r="P299" s="62" t="n"/>
      <c r="Q299" s="58" t="n"/>
      <c r="R299" s="63">
        <f>IF(NOT((COUNTA($B299:$D299)+COUNTA($G299:$L299)+COUNTA($Q299))&gt;0),"",IF((IF($C299="","Falta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",""))="","✔ OK","⚠ "&amp;LEFT(IF($C299="","Falta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",""),LEN(IF($C299="","Falta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",""))-3)))</f>
        <v/>
      </c>
      <c r="S299" s="64">
        <f>IF(NOT((COUNTA($B299:$D299)+COUNTA($G299:$L299)+COUNTA($Q299))&gt;0),"",IF(AND($V299="Sub",N($U299)&gt;0),IF(ISNUMBER(INDEX($AM$5:$AM$1000,$U299-4)),DATE(YEAR(INDEX($AM$5:$AM$1000,$U299-4)),MONTH(INDEX($AM$5:$AM$1000,$U299-4)),1),IF(ISNUMBER(INDEX($AN$5:$AN$1000,$U299-4)),DATE(YEAR(INDEX($AN$5:$AN$1000,$U299-4)),MONTH(INDEX($AN$5:$AN$1000,$U299-4)),1),MesCiclo)),IF(ISNUMBER($AM299),DATE(YEAR($AM299),MONTH($AM299),1),IF(ISNUMBER($AN299),DATE(YEAR($AN299),MONTH($AN299),1),MesCiclo))))</f>
        <v/>
      </c>
      <c r="T299" s="62">
        <f>IF(OR($S299="",$S299&lt;&gt;MesCiclo),"",COUNTIF($S$5:$S299,MesCiclo))</f>
        <v/>
      </c>
      <c r="U299" s="62">
        <f>IF($V299="","",IF($V299="Macro",ROW(),IFERROR(LOOKUP(2,1/($V$5:$V299="Macro"),ROW($V$5:$V299)),0)))</f>
        <v/>
      </c>
      <c r="V299" s="62">
        <f>IF(NOT((COUNTA($B299:$D299)+COUNTA($G299:$L299)+COUNTA($Q299))&gt;0),"",IF($B299="Subactividad","Sub","Macro"))</f>
        <v/>
      </c>
      <c r="W299" s="62">
        <f>IF($V299="Macro",COUNTIFS($U$5:$U$1000,ROW(),$V$5:$V$1000,"Sub"),"")</f>
        <v/>
      </c>
      <c r="X299" s="62">
        <f>IF($V299="","",IF(ISNUMBER($G299),1,IFERROR(LOOKUP(2,1/($I299:$L299&lt;&gt;""),$I299:$L299),0)))</f>
        <v/>
      </c>
      <c r="Y299" s="62">
        <f>IF($V299="","",IF(AND(ISNUMBER($G299),$G299&lt;=IF($S299=MesCiclo,InicioCiclo,$S299+MOD(2-WEEKDAY($S299),7))+6),1,IF(ISNUMBER($I299),$I299,0)))</f>
        <v/>
      </c>
      <c r="Z299" s="62">
        <f>IF($V299="","",IF(AND(ISNUMBER($G299),$G299&lt;=IF($S299=MesCiclo,InicioCiclo,$S299+MOD(2-WEEKDAY($S299),7))+13),1,IF(ISNUMBER($J299),$J299,$Y299)))</f>
        <v/>
      </c>
      <c r="AA299" s="62">
        <f>IF($V299="","",IF(AND(ISNUMBER($G299),$G299&lt;=IF($S299=MesCiclo,InicioCiclo,$S299+MOD(2-WEEKDAY($S299),7))+20),1,IF(ISNUMBER($K299),$K299,$Z299)))</f>
        <v/>
      </c>
      <c r="AB299" s="62">
        <f>IF($V299="","",IF(AND(ISNUMBER($G299),$G299&lt;=IF($S299=MesCiclo,InicioCiclo,$S299+MOD(2-WEEKDAY($S299),7))+27),1,IF(ISNUMBER($L299),$L299,$AA299)))</f>
        <v/>
      </c>
      <c r="AC299" s="62">
        <f>IF($V299="","",IF(AND(ISNUMBER($G299),$G299&lt;=IF($S299=MesCiclo,InicioCiclo,$S299+MOD(2-WEEKDAY($S299),7))+6),1,IF(N($W299)&gt;0,AVERAGEIFS($Y$5:$Y$1000,$U$5:$U$1000,ROW(),$V$5:$V$1000,"Sub"),$Y299)))</f>
        <v/>
      </c>
      <c r="AD299" s="62">
        <f>IF($V299="","",IF(AND(ISNUMBER($G299),$G299&lt;=IF($S299=MesCiclo,InicioCiclo,$S299+MOD(2-WEEKDAY($S299),7))+13),1,IF(N($W299)&gt;0,AVERAGEIFS($Z$5:$Z$1000,$U$5:$U$1000,ROW(),$V$5:$V$1000,"Sub"),$Z299)))</f>
        <v/>
      </c>
      <c r="AE299" s="62">
        <f>IF($V299="","",IF(AND(ISNUMBER($G299),$G299&lt;=IF($S299=MesCiclo,InicioCiclo,$S299+MOD(2-WEEKDAY($S299),7))+20),1,IF(N($W299)&gt;0,AVERAGEIFS($AA$5:$AA$1000,$U$5:$U$1000,ROW(),$V$5:$V$1000,"Sub"),$AA299)))</f>
        <v/>
      </c>
      <c r="AF299" s="62">
        <f>IF($V299="","",IF(AND(ISNUMBER($G299),$G299&lt;=IF($S299=MesCiclo,InicioCiclo,$S299+MOD(2-WEEKDAY($S299),7))+27),1,IF(N($W299)&gt;0,AVERAGEIFS($AB$5:$AB$1000,$U$5:$U$1000,ROW(),$V$5:$V$1000,"Sub"),$AB299)))</f>
        <v/>
      </c>
      <c r="AG299" s="62">
        <f>IF($V299&lt;&gt;"Macro","",IF(COUNTIFS($S$5:$S$1000,$S299,$V$5:$V$1000,"Macro",$H$5:$H$1000,"&gt;0")=0,1/COUNTIFS($S$5:$S$1000,$S299,$V$5:$V$1000,"Macro"),IF(AND(ISNUMBER($H299),N($H299)&gt;0),$H299,SUMIFS($H$5:$H$1000,$S$5:$S$1000,$S299,$V$5:$V$1000,"Macro")/COUNTIFS($S$5:$S$1000,$S299,$V$5:$V$1000,"Macro",$H$5:$H$1000,"&gt;0"))/(COUNTIFS($S$5:$S$1000,$S299,$V$5:$V$1000,"Macro")*SUMIFS($H$5:$H$1000,$S$5:$S$1000,$S299,$V$5:$V$1000,"Macro")/COUNTIFS($S$5:$S$1000,$S299,$V$5:$V$1000,"Macro",$H$5:$H$1000,"&gt;0"))))</f>
        <v/>
      </c>
      <c r="AH299" s="62" t="n"/>
      <c r="AI299" s="62" t="n"/>
      <c r="AJ299" s="62" t="n"/>
      <c r="AK299" s="62" t="n"/>
      <c r="AL299" s="62">
        <f>IF(LEFT($C299,11)="[Jefatura] ",IFERROR(MATCH("Asistente Técnico de Riesgo|"&amp;MID($C299,12,500),rDname_ADM,0),0),"")</f>
        <v/>
      </c>
      <c r="AM299" s="62">
        <f>IF(N($AL299)&gt;0,INDEX(rIni_ADM,$AL299),IF(ISNUMBER($E299),$E299,""))</f>
        <v/>
      </c>
      <c r="AN299" s="62">
        <f>IF(N($AL299)&gt;0,INDEX(rLim_ADM,$AL299),IF(ISNUMBER($F299),$F299,""))</f>
        <v/>
      </c>
    </row>
    <row r="300">
      <c r="A300" s="56">
        <f>IF(NOT((COUNTA($B300:$D300)+COUNTA($G300:$L300)+COUNTA($Q300))&gt;0),"",IF($V300="Macro",COUNTIFS($V$5:$V300,"Macro",$S$5:$S300,$S300),IF(N($U300)=0,"?",COUNTIFS(INDEX($V$5:$V$1000,1):INDEX($V$5:$V$1000,$U300-4),"Macro",INDEX($S$5:$S$1000,1):INDEX($S$5:$S$1000,$U300-4),INDEX($S$5:$S$1000,$U300-4))&amp;"."&amp;COUNTIFS($U$5:$U300,$U300,$V$5:$V300,"Sub"))))</f>
        <v/>
      </c>
      <c r="B300" s="57" t="n"/>
      <c r="C300" s="58" t="n"/>
      <c r="D300" s="58" t="n"/>
      <c r="E300" s="59">
        <f>IF(N($AL300)&gt;0,INDEX(rIni_ADM,$AL300),"")</f>
        <v/>
      </c>
      <c r="F300" s="59">
        <f>IF(N($AL300)&gt;0,INDEX(rLim_ADM,$AL300),"")</f>
        <v/>
      </c>
      <c r="G300" s="59" t="n"/>
      <c r="H300" s="60" t="n"/>
      <c r="I300" s="60" t="n"/>
      <c r="J300" s="60" t="n"/>
      <c r="K300" s="60" t="n"/>
      <c r="L300" s="60" t="n"/>
      <c r="M300" s="61">
        <f>IF(NOT((COUNTA($B300:$D300)+COUNTA($G300:$L300)+COUNTA($Q300))&gt;0),"",IF(ISNUMBER($G300),1,IF(N($W300)&gt;0,AVERAGEIFS($X$5:$X$1000,$U$5:$U$1000,ROW(),$V$5:$V$1000,"Sub"),$X300)))</f>
        <v/>
      </c>
      <c r="N300" s="56">
        <f>IF($M300="","",IF($M300&gt;=1,"Completado",IF($M300&gt;0,"En curso","Pendiente")))</f>
        <v/>
      </c>
      <c r="O300" s="56">
        <f>IF(NOT((COUNTA($B300:$D300)+COUNTA($G300:$L300)+COUNTA($Q300))&gt;0),"",IF(ISNUMBER($G300),IF(AND(ISNUMBER($AN300),$G300&gt;$AN300),"Cumplida con "&amp;($G300-$AN300)&amp;IF($G300-$AN300=1," día"," días")&amp;" de retraso","Cumplida"),IF(N($M300)&gt;=1,"Cumplida",IF(NOT(ISNUMBER($AN300)),"Sin fecha límite",IF($AN300&lt;FechaRef,"Vencida hace "&amp;(FechaRef-$AN300)&amp;IF(FechaRef-$AN300=1," día"," días"),IF($AN300=FechaRef,"Vence hoy",IF($AN300-FechaRef&lt;=DiasAlerta,"Vence en "&amp;($AN300-FechaRef)&amp;IF($AN300-FechaRef=1," día"," días"),"En plazo")))))))</f>
        <v/>
      </c>
      <c r="P300" s="62" t="n"/>
      <c r="Q300" s="58" t="n"/>
      <c r="R300" s="63">
        <f>IF(NOT((COUNTA($B300:$D300)+COUNTA($G300:$L300)+COUNTA($Q300))&gt;0),"",IF((IF($C300="","Falta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",""))="","✔ OK","⚠ "&amp;LEFT(IF($C300="","Falta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",""),LEN(IF($C300="","Falta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",""))-3)))</f>
        <v/>
      </c>
      <c r="S300" s="64">
        <f>IF(NOT((COUNTA($B300:$D300)+COUNTA($G300:$L300)+COUNTA($Q300))&gt;0),"",IF(AND($V300="Sub",N($U300)&gt;0),IF(ISNUMBER(INDEX($AM$5:$AM$1000,$U300-4)),DATE(YEAR(INDEX($AM$5:$AM$1000,$U300-4)),MONTH(INDEX($AM$5:$AM$1000,$U300-4)),1),IF(ISNUMBER(INDEX($AN$5:$AN$1000,$U300-4)),DATE(YEAR(INDEX($AN$5:$AN$1000,$U300-4)),MONTH(INDEX($AN$5:$AN$1000,$U300-4)),1),MesCiclo)),IF(ISNUMBER($AM300),DATE(YEAR($AM300),MONTH($AM300),1),IF(ISNUMBER($AN300),DATE(YEAR($AN300),MONTH($AN300),1),MesCiclo))))</f>
        <v/>
      </c>
      <c r="T300" s="62">
        <f>IF(OR($S300="",$S300&lt;&gt;MesCiclo),"",COUNTIF($S$5:$S300,MesCiclo))</f>
        <v/>
      </c>
      <c r="U300" s="62">
        <f>IF($V300="","",IF($V300="Macro",ROW(),IFERROR(LOOKUP(2,1/($V$5:$V300="Macro"),ROW($V$5:$V300)),0)))</f>
        <v/>
      </c>
      <c r="V300" s="62">
        <f>IF(NOT((COUNTA($B300:$D300)+COUNTA($G300:$L300)+COUNTA($Q300))&gt;0),"",IF($B300="Subactividad","Sub","Macro"))</f>
        <v/>
      </c>
      <c r="W300" s="62">
        <f>IF($V300="Macro",COUNTIFS($U$5:$U$1000,ROW(),$V$5:$V$1000,"Sub"),"")</f>
        <v/>
      </c>
      <c r="X300" s="62">
        <f>IF($V300="","",IF(ISNUMBER($G300),1,IFERROR(LOOKUP(2,1/($I300:$L300&lt;&gt;""),$I300:$L300),0)))</f>
        <v/>
      </c>
      <c r="Y300" s="62">
        <f>IF($V300="","",IF(AND(ISNUMBER($G300),$G300&lt;=IF($S300=MesCiclo,InicioCiclo,$S300+MOD(2-WEEKDAY($S300),7))+6),1,IF(ISNUMBER($I300),$I300,0)))</f>
        <v/>
      </c>
      <c r="Z300" s="62">
        <f>IF($V300="","",IF(AND(ISNUMBER($G300),$G300&lt;=IF($S300=MesCiclo,InicioCiclo,$S300+MOD(2-WEEKDAY($S300),7))+13),1,IF(ISNUMBER($J300),$J300,$Y300)))</f>
        <v/>
      </c>
      <c r="AA300" s="62">
        <f>IF($V300="","",IF(AND(ISNUMBER($G300),$G300&lt;=IF($S300=MesCiclo,InicioCiclo,$S300+MOD(2-WEEKDAY($S300),7))+20),1,IF(ISNUMBER($K300),$K300,$Z300)))</f>
        <v/>
      </c>
      <c r="AB300" s="62">
        <f>IF($V300="","",IF(AND(ISNUMBER($G300),$G300&lt;=IF($S300=MesCiclo,InicioCiclo,$S300+MOD(2-WEEKDAY($S300),7))+27),1,IF(ISNUMBER($L300),$L300,$AA300)))</f>
        <v/>
      </c>
      <c r="AC300" s="62">
        <f>IF($V300="","",IF(AND(ISNUMBER($G300),$G300&lt;=IF($S300=MesCiclo,InicioCiclo,$S300+MOD(2-WEEKDAY($S300),7))+6),1,IF(N($W300)&gt;0,AVERAGEIFS($Y$5:$Y$1000,$U$5:$U$1000,ROW(),$V$5:$V$1000,"Sub"),$Y300)))</f>
        <v/>
      </c>
      <c r="AD300" s="62">
        <f>IF($V300="","",IF(AND(ISNUMBER($G300),$G300&lt;=IF($S300=MesCiclo,InicioCiclo,$S300+MOD(2-WEEKDAY($S300),7))+13),1,IF(N($W300)&gt;0,AVERAGEIFS($Z$5:$Z$1000,$U$5:$U$1000,ROW(),$V$5:$V$1000,"Sub"),$Z300)))</f>
        <v/>
      </c>
      <c r="AE300" s="62">
        <f>IF($V300="","",IF(AND(ISNUMBER($G300),$G300&lt;=IF($S300=MesCiclo,InicioCiclo,$S300+MOD(2-WEEKDAY($S300),7))+20),1,IF(N($W300)&gt;0,AVERAGEIFS($AA$5:$AA$1000,$U$5:$U$1000,ROW(),$V$5:$V$1000,"Sub"),$AA300)))</f>
        <v/>
      </c>
      <c r="AF300" s="62">
        <f>IF($V300="","",IF(AND(ISNUMBER($G300),$G300&lt;=IF($S300=MesCiclo,InicioCiclo,$S300+MOD(2-WEEKDAY($S300),7))+27),1,IF(N($W300)&gt;0,AVERAGEIFS($AB$5:$AB$1000,$U$5:$U$1000,ROW(),$V$5:$V$1000,"Sub"),$AB300)))</f>
        <v/>
      </c>
      <c r="AG300" s="62">
        <f>IF($V300&lt;&gt;"Macro","",IF(COUNTIFS($S$5:$S$1000,$S300,$V$5:$V$1000,"Macro",$H$5:$H$1000,"&gt;0")=0,1/COUNTIFS($S$5:$S$1000,$S300,$V$5:$V$1000,"Macro"),IF(AND(ISNUMBER($H300),N($H300)&gt;0),$H300,SUMIFS($H$5:$H$1000,$S$5:$S$1000,$S300,$V$5:$V$1000,"Macro")/COUNTIFS($S$5:$S$1000,$S300,$V$5:$V$1000,"Macro",$H$5:$H$1000,"&gt;0"))/(COUNTIFS($S$5:$S$1000,$S300,$V$5:$V$1000,"Macro")*SUMIFS($H$5:$H$1000,$S$5:$S$1000,$S300,$V$5:$V$1000,"Macro")/COUNTIFS($S$5:$S$1000,$S300,$V$5:$V$1000,"Macro",$H$5:$H$1000,"&gt;0"))))</f>
        <v/>
      </c>
      <c r="AH300" s="62" t="n"/>
      <c r="AI300" s="62" t="n"/>
      <c r="AJ300" s="62" t="n"/>
      <c r="AK300" s="62" t="n"/>
      <c r="AL300" s="62">
        <f>IF(LEFT($C300,11)="[Jefatura] ",IFERROR(MATCH("Asistente Técnico de Riesgo|"&amp;MID($C300,12,500),rDname_ADM,0),0),"")</f>
        <v/>
      </c>
      <c r="AM300" s="62">
        <f>IF(N($AL300)&gt;0,INDEX(rIni_ADM,$AL300),IF(ISNUMBER($E300),$E300,""))</f>
        <v/>
      </c>
      <c r="AN300" s="62">
        <f>IF(N($AL300)&gt;0,INDEX(rLim_ADM,$AL300),IF(ISNUMBER($F300),$F300,""))</f>
        <v/>
      </c>
    </row>
    <row r="301">
      <c r="A301" s="56">
        <f>IF(NOT((COUNTA($B301:$D301)+COUNTA($G301:$L301)+COUNTA($Q301))&gt;0),"",IF($V301="Macro",COUNTIFS($V$5:$V301,"Macro",$S$5:$S301,$S301),IF(N($U301)=0,"?",COUNTIFS(INDEX($V$5:$V$1000,1):INDEX($V$5:$V$1000,$U301-4),"Macro",INDEX($S$5:$S$1000,1):INDEX($S$5:$S$1000,$U301-4),INDEX($S$5:$S$1000,$U301-4))&amp;"."&amp;COUNTIFS($U$5:$U301,$U301,$V$5:$V301,"Sub"))))</f>
        <v/>
      </c>
      <c r="B301" s="57" t="n"/>
      <c r="C301" s="58" t="n"/>
      <c r="D301" s="58" t="n"/>
      <c r="E301" s="59">
        <f>IF(N($AL301)&gt;0,INDEX(rIni_ADM,$AL301),"")</f>
        <v/>
      </c>
      <c r="F301" s="59">
        <f>IF(N($AL301)&gt;0,INDEX(rLim_ADM,$AL301),"")</f>
        <v/>
      </c>
      <c r="G301" s="59" t="n"/>
      <c r="H301" s="60" t="n"/>
      <c r="I301" s="60" t="n"/>
      <c r="J301" s="60" t="n"/>
      <c r="K301" s="60" t="n"/>
      <c r="L301" s="60" t="n"/>
      <c r="M301" s="61">
        <f>IF(NOT((COUNTA($B301:$D301)+COUNTA($G301:$L301)+COUNTA($Q301))&gt;0),"",IF(ISNUMBER($G301),1,IF(N($W301)&gt;0,AVERAGEIFS($X$5:$X$1000,$U$5:$U$1000,ROW(),$V$5:$V$1000,"Sub"),$X301)))</f>
        <v/>
      </c>
      <c r="N301" s="56">
        <f>IF($M301="","",IF($M301&gt;=1,"Completado",IF($M301&gt;0,"En curso","Pendiente")))</f>
        <v/>
      </c>
      <c r="O301" s="56">
        <f>IF(NOT((COUNTA($B301:$D301)+COUNTA($G301:$L301)+COUNTA($Q301))&gt;0),"",IF(ISNUMBER($G301),IF(AND(ISNUMBER($AN301),$G301&gt;$AN301),"Cumplida con "&amp;($G301-$AN301)&amp;IF($G301-$AN301=1," día"," días")&amp;" de retraso","Cumplida"),IF(N($M301)&gt;=1,"Cumplida",IF(NOT(ISNUMBER($AN301)),"Sin fecha límite",IF($AN301&lt;FechaRef,"Vencida hace "&amp;(FechaRef-$AN301)&amp;IF(FechaRef-$AN301=1," día"," días"),IF($AN301=FechaRef,"Vence hoy",IF($AN301-FechaRef&lt;=DiasAlerta,"Vence en "&amp;($AN301-FechaRef)&amp;IF($AN301-FechaRef=1," día"," días"),"En plazo")))))))</f>
        <v/>
      </c>
      <c r="P301" s="62" t="n"/>
      <c r="Q301" s="58" t="n"/>
      <c r="R301" s="63">
        <f>IF(NOT((COUNTA($B301:$D301)+COUNTA($G301:$L301)+COUNTA($Q301))&gt;0),"",IF((IF($C301="","Falta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",""))="","✔ OK","⚠ "&amp;LEFT(IF($C301="","Falta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",""),LEN(IF($C301="","Falta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",""))-3)))</f>
        <v/>
      </c>
      <c r="S301" s="64">
        <f>IF(NOT((COUNTA($B301:$D301)+COUNTA($G301:$L301)+COUNTA($Q301))&gt;0),"",IF(AND($V301="Sub",N($U301)&gt;0),IF(ISNUMBER(INDEX($AM$5:$AM$1000,$U301-4)),DATE(YEAR(INDEX($AM$5:$AM$1000,$U301-4)),MONTH(INDEX($AM$5:$AM$1000,$U301-4)),1),IF(ISNUMBER(INDEX($AN$5:$AN$1000,$U301-4)),DATE(YEAR(INDEX($AN$5:$AN$1000,$U301-4)),MONTH(INDEX($AN$5:$AN$1000,$U301-4)),1),MesCiclo)),IF(ISNUMBER($AM301),DATE(YEAR($AM301),MONTH($AM301),1),IF(ISNUMBER($AN301),DATE(YEAR($AN301),MONTH($AN301),1),MesCiclo))))</f>
        <v/>
      </c>
      <c r="T301" s="62">
        <f>IF(OR($S301="",$S301&lt;&gt;MesCiclo),"",COUNTIF($S$5:$S301,MesCiclo))</f>
        <v/>
      </c>
      <c r="U301" s="62">
        <f>IF($V301="","",IF($V301="Macro",ROW(),IFERROR(LOOKUP(2,1/($V$5:$V301="Macro"),ROW($V$5:$V301)),0)))</f>
        <v/>
      </c>
      <c r="V301" s="62">
        <f>IF(NOT((COUNTA($B301:$D301)+COUNTA($G301:$L301)+COUNTA($Q301))&gt;0),"",IF($B301="Subactividad","Sub","Macro"))</f>
        <v/>
      </c>
      <c r="W301" s="62">
        <f>IF($V301="Macro",COUNTIFS($U$5:$U$1000,ROW(),$V$5:$V$1000,"Sub"),"")</f>
        <v/>
      </c>
      <c r="X301" s="62">
        <f>IF($V301="","",IF(ISNUMBER($G301),1,IFERROR(LOOKUP(2,1/($I301:$L301&lt;&gt;""),$I301:$L301),0)))</f>
        <v/>
      </c>
      <c r="Y301" s="62">
        <f>IF($V301="","",IF(AND(ISNUMBER($G301),$G301&lt;=IF($S301=MesCiclo,InicioCiclo,$S301+MOD(2-WEEKDAY($S301),7))+6),1,IF(ISNUMBER($I301),$I301,0)))</f>
        <v/>
      </c>
      <c r="Z301" s="62">
        <f>IF($V301="","",IF(AND(ISNUMBER($G301),$G301&lt;=IF($S301=MesCiclo,InicioCiclo,$S301+MOD(2-WEEKDAY($S301),7))+13),1,IF(ISNUMBER($J301),$J301,$Y301)))</f>
        <v/>
      </c>
      <c r="AA301" s="62">
        <f>IF($V301="","",IF(AND(ISNUMBER($G301),$G301&lt;=IF($S301=MesCiclo,InicioCiclo,$S301+MOD(2-WEEKDAY($S301),7))+20),1,IF(ISNUMBER($K301),$K301,$Z301)))</f>
        <v/>
      </c>
      <c r="AB301" s="62">
        <f>IF($V301="","",IF(AND(ISNUMBER($G301),$G301&lt;=IF($S301=MesCiclo,InicioCiclo,$S301+MOD(2-WEEKDAY($S301),7))+27),1,IF(ISNUMBER($L301),$L301,$AA301)))</f>
        <v/>
      </c>
      <c r="AC301" s="62">
        <f>IF($V301="","",IF(AND(ISNUMBER($G301),$G301&lt;=IF($S301=MesCiclo,InicioCiclo,$S301+MOD(2-WEEKDAY($S301),7))+6),1,IF(N($W301)&gt;0,AVERAGEIFS($Y$5:$Y$1000,$U$5:$U$1000,ROW(),$V$5:$V$1000,"Sub"),$Y301)))</f>
        <v/>
      </c>
      <c r="AD301" s="62">
        <f>IF($V301="","",IF(AND(ISNUMBER($G301),$G301&lt;=IF($S301=MesCiclo,InicioCiclo,$S301+MOD(2-WEEKDAY($S301),7))+13),1,IF(N($W301)&gt;0,AVERAGEIFS($Z$5:$Z$1000,$U$5:$U$1000,ROW(),$V$5:$V$1000,"Sub"),$Z301)))</f>
        <v/>
      </c>
      <c r="AE301" s="62">
        <f>IF($V301="","",IF(AND(ISNUMBER($G301),$G301&lt;=IF($S301=MesCiclo,InicioCiclo,$S301+MOD(2-WEEKDAY($S301),7))+20),1,IF(N($W301)&gt;0,AVERAGEIFS($AA$5:$AA$1000,$U$5:$U$1000,ROW(),$V$5:$V$1000,"Sub"),$AA301)))</f>
        <v/>
      </c>
      <c r="AF301" s="62">
        <f>IF($V301="","",IF(AND(ISNUMBER($G301),$G301&lt;=IF($S301=MesCiclo,InicioCiclo,$S301+MOD(2-WEEKDAY($S301),7))+27),1,IF(N($W301)&gt;0,AVERAGEIFS($AB$5:$AB$1000,$U$5:$U$1000,ROW(),$V$5:$V$1000,"Sub"),$AB301)))</f>
        <v/>
      </c>
      <c r="AG301" s="62">
        <f>IF($V301&lt;&gt;"Macro","",IF(COUNTIFS($S$5:$S$1000,$S301,$V$5:$V$1000,"Macro",$H$5:$H$1000,"&gt;0")=0,1/COUNTIFS($S$5:$S$1000,$S301,$V$5:$V$1000,"Macro"),IF(AND(ISNUMBER($H301),N($H301)&gt;0),$H301,SUMIFS($H$5:$H$1000,$S$5:$S$1000,$S301,$V$5:$V$1000,"Macro")/COUNTIFS($S$5:$S$1000,$S301,$V$5:$V$1000,"Macro",$H$5:$H$1000,"&gt;0"))/(COUNTIFS($S$5:$S$1000,$S301,$V$5:$V$1000,"Macro")*SUMIFS($H$5:$H$1000,$S$5:$S$1000,$S301,$V$5:$V$1000,"Macro")/COUNTIFS($S$5:$S$1000,$S301,$V$5:$V$1000,"Macro",$H$5:$H$1000,"&gt;0"))))</f>
        <v/>
      </c>
      <c r="AH301" s="62" t="n"/>
      <c r="AI301" s="62" t="n"/>
      <c r="AJ301" s="62" t="n"/>
      <c r="AK301" s="62" t="n"/>
      <c r="AL301" s="62">
        <f>IF(LEFT($C301,11)="[Jefatura] ",IFERROR(MATCH("Asistente Técnico de Riesgo|"&amp;MID($C301,12,500),rDname_ADM,0),0),"")</f>
        <v/>
      </c>
      <c r="AM301" s="62">
        <f>IF(N($AL301)&gt;0,INDEX(rIni_ADM,$AL301),IF(ISNUMBER($E301),$E301,""))</f>
        <v/>
      </c>
      <c r="AN301" s="62">
        <f>IF(N($AL301)&gt;0,INDEX(rLim_ADM,$AL301),IF(ISNUMBER($F301),$F301,""))</f>
        <v/>
      </c>
    </row>
    <row r="302">
      <c r="A302" s="56">
        <f>IF(NOT((COUNTA($B302:$D302)+COUNTA($G302:$L302)+COUNTA($Q302))&gt;0),"",IF($V302="Macro",COUNTIFS($V$5:$V302,"Macro",$S$5:$S302,$S302),IF(N($U302)=0,"?",COUNTIFS(INDEX($V$5:$V$1000,1):INDEX($V$5:$V$1000,$U302-4),"Macro",INDEX($S$5:$S$1000,1):INDEX($S$5:$S$1000,$U302-4),INDEX($S$5:$S$1000,$U302-4))&amp;"."&amp;COUNTIFS($U$5:$U302,$U302,$V$5:$V302,"Sub"))))</f>
        <v/>
      </c>
      <c r="B302" s="57" t="n"/>
      <c r="C302" s="58" t="n"/>
      <c r="D302" s="58" t="n"/>
      <c r="E302" s="59">
        <f>IF(N($AL302)&gt;0,INDEX(rIni_ADM,$AL302),"")</f>
        <v/>
      </c>
      <c r="F302" s="59">
        <f>IF(N($AL302)&gt;0,INDEX(rLim_ADM,$AL302),"")</f>
        <v/>
      </c>
      <c r="G302" s="59" t="n"/>
      <c r="H302" s="60" t="n"/>
      <c r="I302" s="60" t="n"/>
      <c r="J302" s="60" t="n"/>
      <c r="K302" s="60" t="n"/>
      <c r="L302" s="60" t="n"/>
      <c r="M302" s="61">
        <f>IF(NOT((COUNTA($B302:$D302)+COUNTA($G302:$L302)+COUNTA($Q302))&gt;0),"",IF(ISNUMBER($G302),1,IF(N($W302)&gt;0,AVERAGEIFS($X$5:$X$1000,$U$5:$U$1000,ROW(),$V$5:$V$1000,"Sub"),$X302)))</f>
        <v/>
      </c>
      <c r="N302" s="56">
        <f>IF($M302="","",IF($M302&gt;=1,"Completado",IF($M302&gt;0,"En curso","Pendiente")))</f>
        <v/>
      </c>
      <c r="O302" s="56">
        <f>IF(NOT((COUNTA($B302:$D302)+COUNTA($G302:$L302)+COUNTA($Q302))&gt;0),"",IF(ISNUMBER($G302),IF(AND(ISNUMBER($AN302),$G302&gt;$AN302),"Cumplida con "&amp;($G302-$AN302)&amp;IF($G302-$AN302=1," día"," días")&amp;" de retraso","Cumplida"),IF(N($M302)&gt;=1,"Cumplida",IF(NOT(ISNUMBER($AN302)),"Sin fecha límite",IF($AN302&lt;FechaRef,"Vencida hace "&amp;(FechaRef-$AN302)&amp;IF(FechaRef-$AN302=1," día"," días"),IF($AN302=FechaRef,"Vence hoy",IF($AN302-FechaRef&lt;=DiasAlerta,"Vence en "&amp;($AN302-FechaRef)&amp;IF($AN302-FechaRef=1," día"," días"),"En plazo")))))))</f>
        <v/>
      </c>
      <c r="P302" s="62" t="n"/>
      <c r="Q302" s="58" t="n"/>
      <c r="R302" s="63">
        <f>IF(NOT((COUNTA($B302:$D302)+COUNTA($G302:$L302)+COUNTA($Q302))&gt;0),"",IF((IF($C302="","Falta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",""))="","✔ OK","⚠ "&amp;LEFT(IF($C302="","Falta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",""),LEN(IF($C302="","Falta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",""))-3)))</f>
        <v/>
      </c>
      <c r="S302" s="64">
        <f>IF(NOT((COUNTA($B302:$D302)+COUNTA($G302:$L302)+COUNTA($Q302))&gt;0),"",IF(AND($V302="Sub",N($U302)&gt;0),IF(ISNUMBER(INDEX($AM$5:$AM$1000,$U302-4)),DATE(YEAR(INDEX($AM$5:$AM$1000,$U302-4)),MONTH(INDEX($AM$5:$AM$1000,$U302-4)),1),IF(ISNUMBER(INDEX($AN$5:$AN$1000,$U302-4)),DATE(YEAR(INDEX($AN$5:$AN$1000,$U302-4)),MONTH(INDEX($AN$5:$AN$1000,$U302-4)),1),MesCiclo)),IF(ISNUMBER($AM302),DATE(YEAR($AM302),MONTH($AM302),1),IF(ISNUMBER($AN302),DATE(YEAR($AN302),MONTH($AN302),1),MesCiclo))))</f>
        <v/>
      </c>
      <c r="T302" s="62">
        <f>IF(OR($S302="",$S302&lt;&gt;MesCiclo),"",COUNTIF($S$5:$S302,MesCiclo))</f>
        <v/>
      </c>
      <c r="U302" s="62">
        <f>IF($V302="","",IF($V302="Macro",ROW(),IFERROR(LOOKUP(2,1/($V$5:$V302="Macro"),ROW($V$5:$V302)),0)))</f>
        <v/>
      </c>
      <c r="V302" s="62">
        <f>IF(NOT((COUNTA($B302:$D302)+COUNTA($G302:$L302)+COUNTA($Q302))&gt;0),"",IF($B302="Subactividad","Sub","Macro"))</f>
        <v/>
      </c>
      <c r="W302" s="62">
        <f>IF($V302="Macro",COUNTIFS($U$5:$U$1000,ROW(),$V$5:$V$1000,"Sub"),"")</f>
        <v/>
      </c>
      <c r="X302" s="62">
        <f>IF($V302="","",IF(ISNUMBER($G302),1,IFERROR(LOOKUP(2,1/($I302:$L302&lt;&gt;""),$I302:$L302),0)))</f>
        <v/>
      </c>
      <c r="Y302" s="62">
        <f>IF($V302="","",IF(AND(ISNUMBER($G302),$G302&lt;=IF($S302=MesCiclo,InicioCiclo,$S302+MOD(2-WEEKDAY($S302),7))+6),1,IF(ISNUMBER($I302),$I302,0)))</f>
        <v/>
      </c>
      <c r="Z302" s="62">
        <f>IF($V302="","",IF(AND(ISNUMBER($G302),$G302&lt;=IF($S302=MesCiclo,InicioCiclo,$S302+MOD(2-WEEKDAY($S302),7))+13),1,IF(ISNUMBER($J302),$J302,$Y302)))</f>
        <v/>
      </c>
      <c r="AA302" s="62">
        <f>IF($V302="","",IF(AND(ISNUMBER($G302),$G302&lt;=IF($S302=MesCiclo,InicioCiclo,$S302+MOD(2-WEEKDAY($S302),7))+20),1,IF(ISNUMBER($K302),$K302,$Z302)))</f>
        <v/>
      </c>
      <c r="AB302" s="62">
        <f>IF($V302="","",IF(AND(ISNUMBER($G302),$G302&lt;=IF($S302=MesCiclo,InicioCiclo,$S302+MOD(2-WEEKDAY($S302),7))+27),1,IF(ISNUMBER($L302),$L302,$AA302)))</f>
        <v/>
      </c>
      <c r="AC302" s="62">
        <f>IF($V302="","",IF(AND(ISNUMBER($G302),$G302&lt;=IF($S302=MesCiclo,InicioCiclo,$S302+MOD(2-WEEKDAY($S302),7))+6),1,IF(N($W302)&gt;0,AVERAGEIFS($Y$5:$Y$1000,$U$5:$U$1000,ROW(),$V$5:$V$1000,"Sub"),$Y302)))</f>
        <v/>
      </c>
      <c r="AD302" s="62">
        <f>IF($V302="","",IF(AND(ISNUMBER($G302),$G302&lt;=IF($S302=MesCiclo,InicioCiclo,$S302+MOD(2-WEEKDAY($S302),7))+13),1,IF(N($W302)&gt;0,AVERAGEIFS($Z$5:$Z$1000,$U$5:$U$1000,ROW(),$V$5:$V$1000,"Sub"),$Z302)))</f>
        <v/>
      </c>
      <c r="AE302" s="62">
        <f>IF($V302="","",IF(AND(ISNUMBER($G302),$G302&lt;=IF($S302=MesCiclo,InicioCiclo,$S302+MOD(2-WEEKDAY($S302),7))+20),1,IF(N($W302)&gt;0,AVERAGEIFS($AA$5:$AA$1000,$U$5:$U$1000,ROW(),$V$5:$V$1000,"Sub"),$AA302)))</f>
        <v/>
      </c>
      <c r="AF302" s="62">
        <f>IF($V302="","",IF(AND(ISNUMBER($G302),$G302&lt;=IF($S302=MesCiclo,InicioCiclo,$S302+MOD(2-WEEKDAY($S302),7))+27),1,IF(N($W302)&gt;0,AVERAGEIFS($AB$5:$AB$1000,$U$5:$U$1000,ROW(),$V$5:$V$1000,"Sub"),$AB302)))</f>
        <v/>
      </c>
      <c r="AG302" s="62">
        <f>IF($V302&lt;&gt;"Macro","",IF(COUNTIFS($S$5:$S$1000,$S302,$V$5:$V$1000,"Macro",$H$5:$H$1000,"&gt;0")=0,1/COUNTIFS($S$5:$S$1000,$S302,$V$5:$V$1000,"Macro"),IF(AND(ISNUMBER($H302),N($H302)&gt;0),$H302,SUMIFS($H$5:$H$1000,$S$5:$S$1000,$S302,$V$5:$V$1000,"Macro")/COUNTIFS($S$5:$S$1000,$S302,$V$5:$V$1000,"Macro",$H$5:$H$1000,"&gt;0"))/(COUNTIFS($S$5:$S$1000,$S302,$V$5:$V$1000,"Macro")*SUMIFS($H$5:$H$1000,$S$5:$S$1000,$S302,$V$5:$V$1000,"Macro")/COUNTIFS($S$5:$S$1000,$S302,$V$5:$V$1000,"Macro",$H$5:$H$1000,"&gt;0"))))</f>
        <v/>
      </c>
      <c r="AH302" s="62" t="n"/>
      <c r="AI302" s="62" t="n"/>
      <c r="AJ302" s="62" t="n"/>
      <c r="AK302" s="62" t="n"/>
      <c r="AL302" s="62">
        <f>IF(LEFT($C302,11)="[Jefatura] ",IFERROR(MATCH("Asistente Técnico de Riesgo|"&amp;MID($C302,12,500),rDname_ADM,0),0),"")</f>
        <v/>
      </c>
      <c r="AM302" s="62">
        <f>IF(N($AL302)&gt;0,INDEX(rIni_ADM,$AL302),IF(ISNUMBER($E302),$E302,""))</f>
        <v/>
      </c>
      <c r="AN302" s="62">
        <f>IF(N($AL302)&gt;0,INDEX(rLim_ADM,$AL302),IF(ISNUMBER($F302),$F302,""))</f>
        <v/>
      </c>
    </row>
    <row r="303">
      <c r="A303" s="56">
        <f>IF(NOT((COUNTA($B303:$D303)+COUNTA($G303:$L303)+COUNTA($Q303))&gt;0),"",IF($V303="Macro",COUNTIFS($V$5:$V303,"Macro",$S$5:$S303,$S303),IF(N($U303)=0,"?",COUNTIFS(INDEX($V$5:$V$1000,1):INDEX($V$5:$V$1000,$U303-4),"Macro",INDEX($S$5:$S$1000,1):INDEX($S$5:$S$1000,$U303-4),INDEX($S$5:$S$1000,$U303-4))&amp;"."&amp;COUNTIFS($U$5:$U303,$U303,$V$5:$V303,"Sub"))))</f>
        <v/>
      </c>
      <c r="B303" s="57" t="n"/>
      <c r="C303" s="58" t="n"/>
      <c r="D303" s="58" t="n"/>
      <c r="E303" s="59">
        <f>IF(N($AL303)&gt;0,INDEX(rIni_ADM,$AL303),"")</f>
        <v/>
      </c>
      <c r="F303" s="59">
        <f>IF(N($AL303)&gt;0,INDEX(rLim_ADM,$AL303),"")</f>
        <v/>
      </c>
      <c r="G303" s="59" t="n"/>
      <c r="H303" s="60" t="n"/>
      <c r="I303" s="60" t="n"/>
      <c r="J303" s="60" t="n"/>
      <c r="K303" s="60" t="n"/>
      <c r="L303" s="60" t="n"/>
      <c r="M303" s="61">
        <f>IF(NOT((COUNTA($B303:$D303)+COUNTA($G303:$L303)+COUNTA($Q303))&gt;0),"",IF(ISNUMBER($G303),1,IF(N($W303)&gt;0,AVERAGEIFS($X$5:$X$1000,$U$5:$U$1000,ROW(),$V$5:$V$1000,"Sub"),$X303)))</f>
        <v/>
      </c>
      <c r="N303" s="56">
        <f>IF($M303="","",IF($M303&gt;=1,"Completado",IF($M303&gt;0,"En curso","Pendiente")))</f>
        <v/>
      </c>
      <c r="O303" s="56">
        <f>IF(NOT((COUNTA($B303:$D303)+COUNTA($G303:$L303)+COUNTA($Q303))&gt;0),"",IF(ISNUMBER($G303),IF(AND(ISNUMBER($AN303),$G303&gt;$AN303),"Cumplida con "&amp;($G303-$AN303)&amp;IF($G303-$AN303=1," día"," días")&amp;" de retraso","Cumplida"),IF(N($M303)&gt;=1,"Cumplida",IF(NOT(ISNUMBER($AN303)),"Sin fecha límite",IF($AN303&lt;FechaRef,"Vencida hace "&amp;(FechaRef-$AN303)&amp;IF(FechaRef-$AN303=1," día"," días"),IF($AN303=FechaRef,"Vence hoy",IF($AN303-FechaRef&lt;=DiasAlerta,"Vence en "&amp;($AN303-FechaRef)&amp;IF($AN303-FechaRef=1," día"," días"),"En plazo")))))))</f>
        <v/>
      </c>
      <c r="P303" s="62" t="n"/>
      <c r="Q303" s="58" t="n"/>
      <c r="R303" s="63">
        <f>IF(NOT((COUNTA($B303:$D303)+COUNTA($G303:$L303)+COUNTA($Q303))&gt;0),"",IF((IF($C303="","Falta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",""))="","✔ OK","⚠ "&amp;LEFT(IF($C303="","Falta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",""),LEN(IF($C303="","Falta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",""))-3)))</f>
        <v/>
      </c>
      <c r="S303" s="64">
        <f>IF(NOT((COUNTA($B303:$D303)+COUNTA($G303:$L303)+COUNTA($Q303))&gt;0),"",IF(AND($V303="Sub",N($U303)&gt;0),IF(ISNUMBER(INDEX($AM$5:$AM$1000,$U303-4)),DATE(YEAR(INDEX($AM$5:$AM$1000,$U303-4)),MONTH(INDEX($AM$5:$AM$1000,$U303-4)),1),IF(ISNUMBER(INDEX($AN$5:$AN$1000,$U303-4)),DATE(YEAR(INDEX($AN$5:$AN$1000,$U303-4)),MONTH(INDEX($AN$5:$AN$1000,$U303-4)),1),MesCiclo)),IF(ISNUMBER($AM303),DATE(YEAR($AM303),MONTH($AM303),1),IF(ISNUMBER($AN303),DATE(YEAR($AN303),MONTH($AN303),1),MesCiclo))))</f>
        <v/>
      </c>
      <c r="T303" s="62">
        <f>IF(OR($S303="",$S303&lt;&gt;MesCiclo),"",COUNTIF($S$5:$S303,MesCiclo))</f>
        <v/>
      </c>
      <c r="U303" s="62">
        <f>IF($V303="","",IF($V303="Macro",ROW(),IFERROR(LOOKUP(2,1/($V$5:$V303="Macro"),ROW($V$5:$V303)),0)))</f>
        <v/>
      </c>
      <c r="V303" s="62">
        <f>IF(NOT((COUNTA($B303:$D303)+COUNTA($G303:$L303)+COUNTA($Q303))&gt;0),"",IF($B303="Subactividad","Sub","Macro"))</f>
        <v/>
      </c>
      <c r="W303" s="62">
        <f>IF($V303="Macro",COUNTIFS($U$5:$U$1000,ROW(),$V$5:$V$1000,"Sub"),"")</f>
        <v/>
      </c>
      <c r="X303" s="62">
        <f>IF($V303="","",IF(ISNUMBER($G303),1,IFERROR(LOOKUP(2,1/($I303:$L303&lt;&gt;""),$I303:$L303),0)))</f>
        <v/>
      </c>
      <c r="Y303" s="62">
        <f>IF($V303="","",IF(AND(ISNUMBER($G303),$G303&lt;=IF($S303=MesCiclo,InicioCiclo,$S303+MOD(2-WEEKDAY($S303),7))+6),1,IF(ISNUMBER($I303),$I303,0)))</f>
        <v/>
      </c>
      <c r="Z303" s="62">
        <f>IF($V303="","",IF(AND(ISNUMBER($G303),$G303&lt;=IF($S303=MesCiclo,InicioCiclo,$S303+MOD(2-WEEKDAY($S303),7))+13),1,IF(ISNUMBER($J303),$J303,$Y303)))</f>
        <v/>
      </c>
      <c r="AA303" s="62">
        <f>IF($V303="","",IF(AND(ISNUMBER($G303),$G303&lt;=IF($S303=MesCiclo,InicioCiclo,$S303+MOD(2-WEEKDAY($S303),7))+20),1,IF(ISNUMBER($K303),$K303,$Z303)))</f>
        <v/>
      </c>
      <c r="AB303" s="62">
        <f>IF($V303="","",IF(AND(ISNUMBER($G303),$G303&lt;=IF($S303=MesCiclo,InicioCiclo,$S303+MOD(2-WEEKDAY($S303),7))+27),1,IF(ISNUMBER($L303),$L303,$AA303)))</f>
        <v/>
      </c>
      <c r="AC303" s="62">
        <f>IF($V303="","",IF(AND(ISNUMBER($G303),$G303&lt;=IF($S303=MesCiclo,InicioCiclo,$S303+MOD(2-WEEKDAY($S303),7))+6),1,IF(N($W303)&gt;0,AVERAGEIFS($Y$5:$Y$1000,$U$5:$U$1000,ROW(),$V$5:$V$1000,"Sub"),$Y303)))</f>
        <v/>
      </c>
      <c r="AD303" s="62">
        <f>IF($V303="","",IF(AND(ISNUMBER($G303),$G303&lt;=IF($S303=MesCiclo,InicioCiclo,$S303+MOD(2-WEEKDAY($S303),7))+13),1,IF(N($W303)&gt;0,AVERAGEIFS($Z$5:$Z$1000,$U$5:$U$1000,ROW(),$V$5:$V$1000,"Sub"),$Z303)))</f>
        <v/>
      </c>
      <c r="AE303" s="62">
        <f>IF($V303="","",IF(AND(ISNUMBER($G303),$G303&lt;=IF($S303=MesCiclo,InicioCiclo,$S303+MOD(2-WEEKDAY($S303),7))+20),1,IF(N($W303)&gt;0,AVERAGEIFS($AA$5:$AA$1000,$U$5:$U$1000,ROW(),$V$5:$V$1000,"Sub"),$AA303)))</f>
        <v/>
      </c>
      <c r="AF303" s="62">
        <f>IF($V303="","",IF(AND(ISNUMBER($G303),$G303&lt;=IF($S303=MesCiclo,InicioCiclo,$S303+MOD(2-WEEKDAY($S303),7))+27),1,IF(N($W303)&gt;0,AVERAGEIFS($AB$5:$AB$1000,$U$5:$U$1000,ROW(),$V$5:$V$1000,"Sub"),$AB303)))</f>
        <v/>
      </c>
      <c r="AG303" s="62">
        <f>IF($V303&lt;&gt;"Macro","",IF(COUNTIFS($S$5:$S$1000,$S303,$V$5:$V$1000,"Macro",$H$5:$H$1000,"&gt;0")=0,1/COUNTIFS($S$5:$S$1000,$S303,$V$5:$V$1000,"Macro"),IF(AND(ISNUMBER($H303),N($H303)&gt;0),$H303,SUMIFS($H$5:$H$1000,$S$5:$S$1000,$S303,$V$5:$V$1000,"Macro")/COUNTIFS($S$5:$S$1000,$S303,$V$5:$V$1000,"Macro",$H$5:$H$1000,"&gt;0"))/(COUNTIFS($S$5:$S$1000,$S303,$V$5:$V$1000,"Macro")*SUMIFS($H$5:$H$1000,$S$5:$S$1000,$S303,$V$5:$V$1000,"Macro")/COUNTIFS($S$5:$S$1000,$S303,$V$5:$V$1000,"Macro",$H$5:$H$1000,"&gt;0"))))</f>
        <v/>
      </c>
      <c r="AH303" s="62" t="n"/>
      <c r="AI303" s="62" t="n"/>
      <c r="AJ303" s="62" t="n"/>
      <c r="AK303" s="62" t="n"/>
      <c r="AL303" s="62">
        <f>IF(LEFT($C303,11)="[Jefatura] ",IFERROR(MATCH("Asistente Técnico de Riesgo|"&amp;MID($C303,12,500),rDname_ADM,0),0),"")</f>
        <v/>
      </c>
      <c r="AM303" s="62">
        <f>IF(N($AL303)&gt;0,INDEX(rIni_ADM,$AL303),IF(ISNUMBER($E303),$E303,""))</f>
        <v/>
      </c>
      <c r="AN303" s="62">
        <f>IF(N($AL303)&gt;0,INDEX(rLim_ADM,$AL303),IF(ISNUMBER($F303),$F303,""))</f>
        <v/>
      </c>
    </row>
    <row r="304">
      <c r="A304" s="56">
        <f>IF(NOT((COUNTA($B304:$D304)+COUNTA($G304:$L304)+COUNTA($Q304))&gt;0),"",IF($V304="Macro",COUNTIFS($V$5:$V304,"Macro",$S$5:$S304,$S304),IF(N($U304)=0,"?",COUNTIFS(INDEX($V$5:$V$1000,1):INDEX($V$5:$V$1000,$U304-4),"Macro",INDEX($S$5:$S$1000,1):INDEX($S$5:$S$1000,$U304-4),INDEX($S$5:$S$1000,$U304-4))&amp;"."&amp;COUNTIFS($U$5:$U304,$U304,$V$5:$V304,"Sub"))))</f>
        <v/>
      </c>
      <c r="B304" s="57" t="n"/>
      <c r="C304" s="58" t="n"/>
      <c r="D304" s="58" t="n"/>
      <c r="E304" s="59">
        <f>IF(N($AL304)&gt;0,INDEX(rIni_ADM,$AL304),"")</f>
        <v/>
      </c>
      <c r="F304" s="59">
        <f>IF(N($AL304)&gt;0,INDEX(rLim_ADM,$AL304),"")</f>
        <v/>
      </c>
      <c r="G304" s="59" t="n"/>
      <c r="H304" s="60" t="n"/>
      <c r="I304" s="60" t="n"/>
      <c r="J304" s="60" t="n"/>
      <c r="K304" s="60" t="n"/>
      <c r="L304" s="60" t="n"/>
      <c r="M304" s="61">
        <f>IF(NOT((COUNTA($B304:$D304)+COUNTA($G304:$L304)+COUNTA($Q304))&gt;0),"",IF(ISNUMBER($G304),1,IF(N($W304)&gt;0,AVERAGEIFS($X$5:$X$1000,$U$5:$U$1000,ROW(),$V$5:$V$1000,"Sub"),$X304)))</f>
        <v/>
      </c>
      <c r="N304" s="56">
        <f>IF($M304="","",IF($M304&gt;=1,"Completado",IF($M304&gt;0,"En curso","Pendiente")))</f>
        <v/>
      </c>
      <c r="O304" s="56">
        <f>IF(NOT((COUNTA($B304:$D304)+COUNTA($G304:$L304)+COUNTA($Q304))&gt;0),"",IF(ISNUMBER($G304),IF(AND(ISNUMBER($AN304),$G304&gt;$AN304),"Cumplida con "&amp;($G304-$AN304)&amp;IF($G304-$AN304=1," día"," días")&amp;" de retraso","Cumplida"),IF(N($M304)&gt;=1,"Cumplida",IF(NOT(ISNUMBER($AN304)),"Sin fecha límite",IF($AN304&lt;FechaRef,"Vencida hace "&amp;(FechaRef-$AN304)&amp;IF(FechaRef-$AN304=1," día"," días"),IF($AN304=FechaRef,"Vence hoy",IF($AN304-FechaRef&lt;=DiasAlerta,"Vence en "&amp;($AN304-FechaRef)&amp;IF($AN304-FechaRef=1," día"," días"),"En plazo")))))))</f>
        <v/>
      </c>
      <c r="P304" s="62" t="n"/>
      <c r="Q304" s="58" t="n"/>
      <c r="R304" s="63">
        <f>IF(NOT((COUNTA($B304:$D304)+COUNTA($G304:$L304)+COUNTA($Q304))&gt;0),"",IF((IF($C304="","Falta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",""))="","✔ OK","⚠ "&amp;LEFT(IF($C304="","Falta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",""),LEN(IF($C304="","Falta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",""))-3)))</f>
        <v/>
      </c>
      <c r="S304" s="64">
        <f>IF(NOT((COUNTA($B304:$D304)+COUNTA($G304:$L304)+COUNTA($Q304))&gt;0),"",IF(AND($V304="Sub",N($U304)&gt;0),IF(ISNUMBER(INDEX($AM$5:$AM$1000,$U304-4)),DATE(YEAR(INDEX($AM$5:$AM$1000,$U304-4)),MONTH(INDEX($AM$5:$AM$1000,$U304-4)),1),IF(ISNUMBER(INDEX($AN$5:$AN$1000,$U304-4)),DATE(YEAR(INDEX($AN$5:$AN$1000,$U304-4)),MONTH(INDEX($AN$5:$AN$1000,$U304-4)),1),MesCiclo)),IF(ISNUMBER($AM304),DATE(YEAR($AM304),MONTH($AM304),1),IF(ISNUMBER($AN304),DATE(YEAR($AN304),MONTH($AN304),1),MesCiclo))))</f>
        <v/>
      </c>
      <c r="T304" s="62">
        <f>IF(OR($S304="",$S304&lt;&gt;MesCiclo),"",COUNTIF($S$5:$S304,MesCiclo))</f>
        <v/>
      </c>
      <c r="U304" s="62">
        <f>IF($V304="","",IF($V304="Macro",ROW(),IFERROR(LOOKUP(2,1/($V$5:$V304="Macro"),ROW($V$5:$V304)),0)))</f>
        <v/>
      </c>
      <c r="V304" s="62">
        <f>IF(NOT((COUNTA($B304:$D304)+COUNTA($G304:$L304)+COUNTA($Q304))&gt;0),"",IF($B304="Subactividad","Sub","Macro"))</f>
        <v/>
      </c>
      <c r="W304" s="62">
        <f>IF($V304="Macro",COUNTIFS($U$5:$U$1000,ROW(),$V$5:$V$1000,"Sub"),"")</f>
        <v/>
      </c>
      <c r="X304" s="62">
        <f>IF($V304="","",IF(ISNUMBER($G304),1,IFERROR(LOOKUP(2,1/($I304:$L304&lt;&gt;""),$I304:$L304),0)))</f>
        <v/>
      </c>
      <c r="Y304" s="62">
        <f>IF($V304="","",IF(AND(ISNUMBER($G304),$G304&lt;=IF($S304=MesCiclo,InicioCiclo,$S304+MOD(2-WEEKDAY($S304),7))+6),1,IF(ISNUMBER($I304),$I304,0)))</f>
        <v/>
      </c>
      <c r="Z304" s="62">
        <f>IF($V304="","",IF(AND(ISNUMBER($G304),$G304&lt;=IF($S304=MesCiclo,InicioCiclo,$S304+MOD(2-WEEKDAY($S304),7))+13),1,IF(ISNUMBER($J304),$J304,$Y304)))</f>
        <v/>
      </c>
      <c r="AA304" s="62">
        <f>IF($V304="","",IF(AND(ISNUMBER($G304),$G304&lt;=IF($S304=MesCiclo,InicioCiclo,$S304+MOD(2-WEEKDAY($S304),7))+20),1,IF(ISNUMBER($K304),$K304,$Z304)))</f>
        <v/>
      </c>
      <c r="AB304" s="62">
        <f>IF($V304="","",IF(AND(ISNUMBER($G304),$G304&lt;=IF($S304=MesCiclo,InicioCiclo,$S304+MOD(2-WEEKDAY($S304),7))+27),1,IF(ISNUMBER($L304),$L304,$AA304)))</f>
        <v/>
      </c>
      <c r="AC304" s="62">
        <f>IF($V304="","",IF(AND(ISNUMBER($G304),$G304&lt;=IF($S304=MesCiclo,InicioCiclo,$S304+MOD(2-WEEKDAY($S304),7))+6),1,IF(N($W304)&gt;0,AVERAGEIFS($Y$5:$Y$1000,$U$5:$U$1000,ROW(),$V$5:$V$1000,"Sub"),$Y304)))</f>
        <v/>
      </c>
      <c r="AD304" s="62">
        <f>IF($V304="","",IF(AND(ISNUMBER($G304),$G304&lt;=IF($S304=MesCiclo,InicioCiclo,$S304+MOD(2-WEEKDAY($S304),7))+13),1,IF(N($W304)&gt;0,AVERAGEIFS($Z$5:$Z$1000,$U$5:$U$1000,ROW(),$V$5:$V$1000,"Sub"),$Z304)))</f>
        <v/>
      </c>
      <c r="AE304" s="62">
        <f>IF($V304="","",IF(AND(ISNUMBER($G304),$G304&lt;=IF($S304=MesCiclo,InicioCiclo,$S304+MOD(2-WEEKDAY($S304),7))+20),1,IF(N($W304)&gt;0,AVERAGEIFS($AA$5:$AA$1000,$U$5:$U$1000,ROW(),$V$5:$V$1000,"Sub"),$AA304)))</f>
        <v/>
      </c>
      <c r="AF304" s="62">
        <f>IF($V304="","",IF(AND(ISNUMBER($G304),$G304&lt;=IF($S304=MesCiclo,InicioCiclo,$S304+MOD(2-WEEKDAY($S304),7))+27),1,IF(N($W304)&gt;0,AVERAGEIFS($AB$5:$AB$1000,$U$5:$U$1000,ROW(),$V$5:$V$1000,"Sub"),$AB304)))</f>
        <v/>
      </c>
      <c r="AG304" s="62">
        <f>IF($V304&lt;&gt;"Macro","",IF(COUNTIFS($S$5:$S$1000,$S304,$V$5:$V$1000,"Macro",$H$5:$H$1000,"&gt;0")=0,1/COUNTIFS($S$5:$S$1000,$S304,$V$5:$V$1000,"Macro"),IF(AND(ISNUMBER($H304),N($H304)&gt;0),$H304,SUMIFS($H$5:$H$1000,$S$5:$S$1000,$S304,$V$5:$V$1000,"Macro")/COUNTIFS($S$5:$S$1000,$S304,$V$5:$V$1000,"Macro",$H$5:$H$1000,"&gt;0"))/(COUNTIFS($S$5:$S$1000,$S304,$V$5:$V$1000,"Macro")*SUMIFS($H$5:$H$1000,$S$5:$S$1000,$S304,$V$5:$V$1000,"Macro")/COUNTIFS($S$5:$S$1000,$S304,$V$5:$V$1000,"Macro",$H$5:$H$1000,"&gt;0"))))</f>
        <v/>
      </c>
      <c r="AH304" s="62" t="n"/>
      <c r="AI304" s="62" t="n"/>
      <c r="AJ304" s="62" t="n"/>
      <c r="AK304" s="62" t="n"/>
      <c r="AL304" s="62">
        <f>IF(LEFT($C304,11)="[Jefatura] ",IFERROR(MATCH("Asistente Técnico de Riesgo|"&amp;MID($C304,12,500),rDname_ADM,0),0),"")</f>
        <v/>
      </c>
      <c r="AM304" s="62">
        <f>IF(N($AL304)&gt;0,INDEX(rIni_ADM,$AL304),IF(ISNUMBER($E304),$E304,""))</f>
        <v/>
      </c>
      <c r="AN304" s="62">
        <f>IF(N($AL304)&gt;0,INDEX(rLim_ADM,$AL304),IF(ISNUMBER($F304),$F304,""))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S1"/>
    <mergeCell ref="M3:O3"/>
    <mergeCell ref="E3:J3"/>
    <mergeCell ref="A2:S2"/>
    <mergeCell ref="K3:L3"/>
    <mergeCell ref="Q3:S3"/>
  </mergeCells>
  <conditionalFormatting sqref="M3:O3">
    <cfRule type="expression" priority="1" dxfId="8" stopIfTrue="1">
      <formula>COUNTIFS($S$5:$S$1000,MesCiclo,$O$5:$O$1000,"Vencida*")&gt;0</formula>
    </cfRule>
    <cfRule type="expression" priority="2" dxfId="9" stopIfTrue="1">
      <formula>COUNTIFS($S$5:$S$1000,MesCiclo,$O$5:$O$1000,"Vence*")&gt;0</formula>
    </cfRule>
    <cfRule type="expression" priority="3" dxfId="0">
      <formula>TRUE</formula>
    </cfRule>
  </conditionalFormatting>
  <conditionalFormatting sqref="Q3:S3">
    <cfRule type="expression" priority="4" dxfId="9" stopIfTrue="1">
      <formula>(COUNTIFS('Administración'!$D$5:$D$1000,"Asistente Técnico de Riesgo",'Administración'!$S$5:$S$1000,MesCiclo,'Administración'!$V$5:$V$1000,"Macro")-COUNTIFS('Administración'!$D$5:$D$1000,"Asistente Técnico de Riesgo",'Administración'!$S$5:$S$1000,MesCiclo,'Administración'!$V$5:$V$1000,"Macro",'Administración'!$AH$5:$AH$1000,"&gt;0"))&gt;0</formula>
    </cfRule>
    <cfRule type="expression" priority="5" dxfId="0">
      <formula>COUNTIFS('Administración'!$D$5:$D$1000,"Asistente Técnico de Riesgo",'Administración'!$S$5:$S$1000,MesCiclo,'Administración'!$V$5:$V$1000,"Macro")&gt;0</formula>
    </cfRule>
  </conditionalFormatting>
  <conditionalFormatting sqref="C5:C1000">
    <cfRule type="expression" priority="6" dxfId="10" stopIfTrue="1">
      <formula>LEFT($C5,11)="[Jefatura] "</formula>
    </cfRule>
    <cfRule type="expression" priority="9" dxfId="11">
      <formula>$V5="Sub"</formula>
    </cfRule>
  </conditionalFormatting>
  <conditionalFormatting sqref="A5:C1000">
    <cfRule type="expression" priority="7" dxfId="5" stopIfTrue="1">
      <formula>AND($V5="Macro",$C5="")</formula>
    </cfRule>
    <cfRule type="expression" priority="8" dxfId="24">
      <formula>$V5="Macro"</formula>
    </cfRule>
  </conditionalFormatting>
  <conditionalFormatting sqref="N5:N1000">
    <cfRule type="expression" priority="10" dxfId="0">
      <formula>$N5="Completado"</formula>
    </cfRule>
    <cfRule type="expression" priority="11" dxfId="4">
      <formula>$N5="En curso"</formula>
    </cfRule>
    <cfRule type="expression" priority="12" dxfId="5">
      <formula>$N5="Pendiente"</formula>
    </cfRule>
  </conditionalFormatting>
  <conditionalFormatting sqref="O5:O1000">
    <cfRule type="expression" priority="13" dxfId="8" stopIfTrue="1">
      <formula>LEFT($O5,7)="Vencida"</formula>
    </cfRule>
    <cfRule type="expression" priority="14" dxfId="9" stopIfTrue="1">
      <formula>LEFT($O5,5)="Vence"</formula>
    </cfRule>
    <cfRule type="expression" priority="15" dxfId="0" stopIfTrue="1">
      <formula>LEFT($O5,8)="Cumplida"</formula>
    </cfRule>
    <cfRule type="expression" priority="16" dxfId="13" stopIfTrue="1">
      <formula>$O5="En plazo"</formula>
    </cfRule>
    <cfRule type="expression" priority="17" dxfId="5">
      <formula>$O5="Sin fecha límite"</formula>
    </cfRule>
  </conditionalFormatting>
  <conditionalFormatting sqref="M5:M1000">
    <cfRule type="expression" priority="18" dxfId="0">
      <formula>AND(ISNUMBER($M5),$M5&gt;=1)</formula>
    </cfRule>
    <cfRule type="dataBar" priority="19">
      <dataBar showValue="1">
        <cfvo type="num" val="0"/>
        <cfvo type="num" val="1"/>
        <color rgb="005B9BD5"/>
      </dataBar>
    </cfRule>
  </conditionalFormatting>
  <conditionalFormatting sqref="G5:G1000">
    <cfRule type="expression" priority="20" dxfId="0">
      <formula>ISNUMBER($G5)</formula>
    </cfRule>
  </conditionalFormatting>
  <conditionalFormatting sqref="F5:F1000">
    <cfRule type="expression" priority="21" dxfId="6" stopIfTrue="1">
      <formula>AND(ISNUMBER($AN5),$AN5&lt;FechaRef,N($M5)&lt;1)</formula>
    </cfRule>
    <cfRule type="expression" priority="22" dxfId="7">
      <formula>AND(ISNUMBER($AN5),$AN5&gt;=FechaRef,$AN5-FechaRef&lt;=DiasAlerta,N($M5)&lt;1)</formula>
    </cfRule>
  </conditionalFormatting>
  <conditionalFormatting sqref="E5:F1000">
    <cfRule type="expression" priority="23" dxfId="10" stopIfTrue="1">
      <formula>AND(N($AL5)&gt;0)</formula>
    </cfRule>
    <cfRule type="expression" priority="24" dxfId="5" stopIfTrue="1">
      <formula>AND((COUNTA($B5:$D5)+COUNTA($G5:$L5)+COUNTA($Q5))&gt;0,$AM5="")</formula>
    </cfRule>
    <cfRule type="expression" priority="25" dxfId="6">
      <formula>AND(ISNUMBER($E5),ISNUMBER($F5),$E5&gt;$F5)</formula>
    </cfRule>
  </conditionalFormatting>
  <conditionalFormatting sqref="H5:H1000">
    <cfRule type="expression" priority="26" dxfId="5" stopIfTrue="1">
      <formula>AND($V5="Sub",$H5&lt;&gt;"")</formula>
    </cfRule>
    <cfRule type="expression" priority="27" dxfId="14" stopIfTrue="1">
      <formula>$V5="Sub"</formula>
    </cfRule>
  </conditionalFormatting>
  <conditionalFormatting sqref="I5:L1000">
    <cfRule type="expression" priority="28" dxfId="5" stopIfTrue="1">
      <formula>AND(N($W5)&gt;0,I5&lt;&gt;"")</formula>
    </cfRule>
    <cfRule type="expression" priority="29" dxfId="14" stopIfTrue="1">
      <formula>OR(N($W5)&gt;0,ISNUMBER($G5))</formula>
    </cfRule>
    <cfRule type="expression" priority="30" dxfId="5" stopIfTrue="1">
      <formula>AND(I5&lt;&gt;"",OR(NOT(ISNUMBER(I5)),I5&gt;1,I5&lt;0))</formula>
    </cfRule>
  </conditionalFormatting>
  <conditionalFormatting sqref="J5:L1000">
    <cfRule type="expression" priority="31" dxfId="6">
      <formula>AND(J5&lt;&gt;"",J5&lt;MAX($I5:I5))</formula>
    </cfRule>
  </conditionalFormatting>
  <conditionalFormatting sqref="Q5:Q1000">
    <cfRule type="expression" priority="32" dxfId="5">
      <formula>AND(ObsObligatoria="Sí",ISNUMBER($F5),$F5&lt;FechaRef,N($M5)&lt;1,$Q5="")</formula>
    </cfRule>
  </conditionalFormatting>
  <conditionalFormatting sqref="R5:R1000">
    <cfRule type="expression" priority="33" dxfId="5">
      <formula>LEFT($R5,1)="⚠"</formula>
    </cfRule>
    <cfRule type="expression" priority="34" dxfId="15">
      <formula>LEFT($R5,1)="✔"</formula>
    </cfRule>
  </conditionalFormatting>
  <conditionalFormatting sqref="S5:S1000">
    <cfRule type="expression" priority="35" dxfId="1">
      <formula>AND($S5&lt;&gt;"",$S5=MesCiclo)</formula>
    </cfRule>
  </conditionalFormatting>
  <dataValidations count="6">
    <dataValidation sqref="E5:F1000" showDropDown="0" showInputMessage="1" showErrorMessage="1" allowBlank="1" errorTitle="Fecha no permitida" error="Si la actividad es de la jefatura ([Jefatura]), las fechas las pone la jefatura y no se pueden cambiar. En sus actividades propias escriba una fecha válida (dd/mm/aaaa)." promptTitle="Fechas" prompt="En actividades [Jefatura] las fechas aparecen solas (las pone la jefatura). En las propias, escriba la fecha." type="custom">
      <formula1>AND(LEFT($C5,11)&lt;&gt;"[Jefatura] ",ISNUMBER(E5),E5&gt;36526)</formula1>
    </dataValidation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). Vacío = Macroactividad." type="list">
      <formula1>"Macroactividad,Subactividad"</formula1>
    </dataValidation>
    <dataValidation sqref="G5:G1000" showDropDown="0" showInputMessage="1" showErrorMessage="1" allowBlank="1" errorTitle="Fecha no válida" error="Ingrese una fecha válida (dd/mm/aaaa)." promptTitle="Fecha de cumplimiento" prompt="Escriba la fecha en que se cumplió. La actividad queda al 100% y ya no aparece vencida." type="date" operator="greaterThan">
      <formula1>36526</formula1>
    </dataValidation>
    <dataValidation sqref="H5:H1000" showDropDown="0" showInputMessage="1" showErrorMessage="1" allowBlank="1" errorTitle="Peso no válido" error="Ingrese un porcentaje entre 0% y 100% (por ejemplo 40%)." promptTitle="Peso (solo macroactividades)" prompt="Opcional. Vacío = todas las macroactividades del mes valen igual. Si escribe pesos, se ajustan solos a 100%. Las subactividades no llevan peso." type="decimal" operator="between">
      <formula1>0</formula1>
      <formula2>1</formula2>
    </dataValidation>
    <dataValidation sqref="I5:L1000" showDropDown="0" showInputMessage="1" showErrorMessage="1" allowBlank="1" errorTitle="Avance no válido" error="Ingrese un porcentaje entre 0% y 100%. Deje la celda vacía si la semana no ha llegado." promptTitle="Avance parcial (opcional)" prompt="% TOTAL logrado hasta esta semana. Cuando termine, escriba la Fecha de cumplimiento. Si la macroactividad tiene subactividades, déjelo vacío." type="decimal" operator="between">
      <formula1>0</formula1>
      <formula2>1</formula2>
    </dataValidation>
    <dataValidation sqref="C5:C1000" showDropDown="0" showInputMessage="1" showErrorMessage="0" allowBlank="1" promptTitle="Actividad" prompt="Escriba el nombre, o elija en la lista una actividad delegada por la jefatura." type="list">
      <formula1>ListaDeleg_ATR</formula1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Q10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2" customWidth="1" min="3" max="3"/>
    <col width="12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20" customWidth="1" min="12" max="12"/>
    <col width="46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28" customHeight="1">
      <c r="A1" s="84" t="inlineStr">
        <is>
          <t>Actividades del mes por semana – Asistente Técnico de Riesgo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84" t="n"/>
      <c r="L1" s="84" t="n"/>
      <c r="M1" s="84" t="n"/>
    </row>
    <row r="2" ht="34" customHeight="1">
      <c r="A2" s="74" t="inlineStr">
        <is>
          <t>HOJA AUTOMÁTICA Y BLOQUEADA: muestra solo las actividades del mes indicado abajo, tomadas de «Cronograma Asistente Técnico». No hay que escribir nada aquí. Cada macroactividad (resaltada) va seguida de sus subactividades (↳). La barra de color marca las semanas en que cada actividad está programada y dentro aparece el avance de esa semana. La columna «Alerta de plazo» indica lo vencido y lo que está por vencer.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</row>
    <row r="3">
      <c r="A3" s="75" t="inlineStr">
        <is>
          <t>Mes:</t>
        </is>
      </c>
      <c r="B3" s="76">
        <f>MesCiclo</f>
        <v/>
      </c>
      <c r="E3" s="77" t="inlineStr">
        <is>
          <t>Semana del:</t>
        </is>
      </c>
      <c r="F3" s="78">
        <f>(InicioCiclo+0)</f>
        <v/>
      </c>
      <c r="G3" s="78">
        <f>(InicioCiclo+7)</f>
        <v/>
      </c>
      <c r="H3" s="78">
        <f>(InicioCiclo+14)</f>
        <v/>
      </c>
      <c r="I3" s="78">
        <f>(InicioCiclo+21)</f>
        <v/>
      </c>
    </row>
    <row r="4" ht="34" customHeight="1">
      <c r="A4" s="54" t="inlineStr">
        <is>
          <t>N°</t>
        </is>
      </c>
      <c r="B4" s="54" t="inlineStr">
        <is>
          <t>Actividad</t>
        </is>
      </c>
      <c r="C4" s="54" t="inlineStr">
        <is>
          <t>Fecha de inicio</t>
        </is>
      </c>
      <c r="D4" s="54" t="inlineStr">
        <is>
          <t>Fecha límite</t>
        </is>
      </c>
      <c r="E4" s="54" t="inlineStr">
        <is>
          <t>Semana de entrega</t>
        </is>
      </c>
      <c r="F4" s="7" t="inlineStr">
        <is>
          <t>Semana 1</t>
        </is>
      </c>
      <c r="G4" s="7" t="inlineStr">
        <is>
          <t>Semana 2</t>
        </is>
      </c>
      <c r="H4" s="7" t="inlineStr">
        <is>
          <t>Semana 3</t>
        </is>
      </c>
      <c r="I4" s="7" t="inlineStr">
        <is>
          <t>Semana 4</t>
        </is>
      </c>
      <c r="J4" s="54" t="inlineStr">
        <is>
          <t>% Avance actual</t>
        </is>
      </c>
      <c r="K4" s="54" t="inlineStr">
        <is>
          <t>Estado</t>
        </is>
      </c>
      <c r="L4" s="54" t="inlineStr">
        <is>
          <t>Alerta de plazo</t>
        </is>
      </c>
      <c r="M4" s="54" t="inlineStr">
        <is>
          <t>Observaciones</t>
        </is>
      </c>
      <c r="N4" t="inlineStr">
        <is>
          <t>Fila origen (aux)</t>
        </is>
      </c>
      <c r="O4" t="inlineStr">
        <is>
          <t>Tipo (aux)</t>
        </is>
      </c>
      <c r="P4" t="inlineStr">
        <is>
          <t>N subactividades (aux)</t>
        </is>
      </c>
      <c r="Q4" t="inlineStr">
        <is>
          <t>N° alerta de plazo (aux)</t>
        </is>
      </c>
    </row>
    <row r="5">
      <c r="A5" s="56">
        <f>IF($N5="","",INDEX('Cronograma Asistente Técnico'!$A$5:$A$1000,$N5))</f>
        <v/>
      </c>
      <c r="B5" s="62">
        <f>IF($N5="","",IF($O5="Sub","      ↳  "&amp;INDEX('Cronograma Asistente Técnico'!$C$5:$C$1000,$N5),INDEX('Cronograma Asistente Técnico'!$C$5:$C$1000,$N5)&amp;""))</f>
        <v/>
      </c>
      <c r="C5" s="79">
        <f>IF($N5="","",IF(INDEX('Cronograma Asistente Técnico'!$AM$5:$AM$1000,$N5)="","",INDEX('Cronograma Asistente Técnico'!$AM$5:$AM$1000,$N5)))</f>
        <v/>
      </c>
      <c r="D5" s="79">
        <f>IF($N5="","",IF(INDEX('Cronograma Asistente Técnico'!$AN$5:$AN$1000,$N5)="","",INDEX('Cronograma Asistente Técnico'!$AN$5:$AN$1000,$N5)))</f>
        <v/>
      </c>
      <c r="E5" s="56">
        <f>IF($N5="","",IF(NOT(ISNUMBER($D5)),"",IF($D5&lt;InicioCiclo,"Antes del ciclo",IF($D5&gt;=InicioCiclo+28,"Después del ciclo","Semana "&amp;(INT(($D5-InicioCiclo)/7)+1)))))</f>
        <v/>
      </c>
      <c r="F5" s="61">
        <f>IF($N5="","",IF($P5&gt;0,IF(1&lt;=SemanaActual,INDEX('Cronograma Asistente Técnico'!$AC$5:$AC$1000,$N5),""),IF(INDEX('Cronograma Asistente Técnico'!$I$5:$I$1000,$N5)="","",INDEX('Cronograma Asistente Técnico'!$I$5:$I$1000,$N5))))</f>
        <v/>
      </c>
      <c r="G5" s="61">
        <f>IF($N5="","",IF($P5&gt;0,IF(2&lt;=SemanaActual,INDEX('Cronograma Asistente Técnico'!$AD$5:$AD$1000,$N5),""),IF(INDEX('Cronograma Asistente Técnico'!$J$5:$J$1000,$N5)="","",INDEX('Cronograma Asistente Técnico'!$J$5:$J$1000,$N5))))</f>
        <v/>
      </c>
      <c r="H5" s="61">
        <f>IF($N5="","",IF($P5&gt;0,IF(3&lt;=SemanaActual,INDEX('Cronograma Asistente Técnico'!$AE$5:$AE$1000,$N5),""),IF(INDEX('Cronograma Asistente Técnico'!$K$5:$K$1000,$N5)="","",INDEX('Cronograma Asistente Técnico'!$K$5:$K$1000,$N5))))</f>
        <v/>
      </c>
      <c r="I5" s="61">
        <f>IF($N5="","",IF($P5&gt;0,IF(4&lt;=SemanaActual,INDEX('Cronograma Asistente Técnico'!$AF$5:$AF$1000,$N5),""),IF(INDEX('Cronograma Asistente Técnico'!$L$5:$L$1000,$N5)="","",INDEX('Cronograma Asistente Técnico'!$L$5:$L$1000,$N5))))</f>
        <v/>
      </c>
      <c r="J5" s="61">
        <f>IF($N5="","",INDEX('Cronograma Asistente Técnico'!$M$5:$M$1000,$N5))</f>
        <v/>
      </c>
      <c r="K5" s="56">
        <f>IF($N5="","",IF(N($J5)&gt;=1,"Completado",IF(AND(ISNUMBER($D5),$D5&lt;FechaRef),"Vencida",IF(N($J5)&gt;0,"En curso","Pendiente"))))</f>
        <v/>
      </c>
      <c r="L5" s="56">
        <f>IF($N5="","",INDEX('Cronograma Asistente Técnico'!$O$5:$O$1000,$N5)&amp;"")</f>
        <v/>
      </c>
      <c r="M5" s="62">
        <f>IF($N5="","",INDEX('Cronograma Asistente Técnico'!$Q$5:$Q$1000,$N5)&amp;"")</f>
        <v/>
      </c>
      <c r="N5">
        <f>IFERROR(MATCH(ROW()-4,rOrden_ATR,0),"")</f>
        <v/>
      </c>
      <c r="O5">
        <f>IF($N5="","",INDEX('Cronograma Asistente Técnico'!$V$5:$V$1000,$N5))</f>
        <v/>
      </c>
      <c r="P5">
        <f>IF($N5="","",N(INDEX('Cronograma Asistente Técnico'!$W$5:$W$1000,$N5)))</f>
        <v/>
      </c>
      <c r="Q5">
        <f>IF(OR(LEFT($L5,7)="Vencida",LEFT($L5,5)="Vence"),SUMPRODUCT(--(LEFT($L$5:$L5,7)="Vencida"))+SUMPRODUCT(--(LEFT($L$5:$L5,5)="Vence")),"")</f>
        <v/>
      </c>
    </row>
    <row r="6">
      <c r="A6" s="56">
        <f>IF($N6="","",INDEX('Cronograma Asistente Técnico'!$A$5:$A$1000,$N6))</f>
        <v/>
      </c>
      <c r="B6" s="62">
        <f>IF($N6="","",IF($O6="Sub","      ↳  "&amp;INDEX('Cronograma Asistente Técnico'!$C$5:$C$1000,$N6),INDEX('Cronograma Asistente Técnico'!$C$5:$C$1000,$N6)&amp;""))</f>
        <v/>
      </c>
      <c r="C6" s="79">
        <f>IF($N6="","",IF(INDEX('Cronograma Asistente Técnico'!$AM$5:$AM$1000,$N6)="","",INDEX('Cronograma Asistente Técnico'!$AM$5:$AM$1000,$N6)))</f>
        <v/>
      </c>
      <c r="D6" s="79">
        <f>IF($N6="","",IF(INDEX('Cronograma Asistente Técnico'!$AN$5:$AN$1000,$N6)="","",INDEX('Cronograma Asistente Técnico'!$AN$5:$AN$1000,$N6)))</f>
        <v/>
      </c>
      <c r="E6" s="56">
        <f>IF($N6="","",IF(NOT(ISNUMBER($D6)),"",IF($D6&lt;InicioCiclo,"Antes del ciclo",IF($D6&gt;=InicioCiclo+28,"Después del ciclo","Semana "&amp;(INT(($D6-InicioCiclo)/7)+1)))))</f>
        <v/>
      </c>
      <c r="F6" s="61">
        <f>IF($N6="","",IF($P6&gt;0,IF(1&lt;=SemanaActual,INDEX('Cronograma Asistente Técnico'!$AC$5:$AC$1000,$N6),""),IF(INDEX('Cronograma Asistente Técnico'!$I$5:$I$1000,$N6)="","",INDEX('Cronograma Asistente Técnico'!$I$5:$I$1000,$N6))))</f>
        <v/>
      </c>
      <c r="G6" s="61">
        <f>IF($N6="","",IF($P6&gt;0,IF(2&lt;=SemanaActual,INDEX('Cronograma Asistente Técnico'!$AD$5:$AD$1000,$N6),""),IF(INDEX('Cronograma Asistente Técnico'!$J$5:$J$1000,$N6)="","",INDEX('Cronograma Asistente Técnico'!$J$5:$J$1000,$N6))))</f>
        <v/>
      </c>
      <c r="H6" s="61">
        <f>IF($N6="","",IF($P6&gt;0,IF(3&lt;=SemanaActual,INDEX('Cronograma Asistente Técnico'!$AE$5:$AE$1000,$N6),""),IF(INDEX('Cronograma Asistente Técnico'!$K$5:$K$1000,$N6)="","",INDEX('Cronograma Asistente Técnico'!$K$5:$K$1000,$N6))))</f>
        <v/>
      </c>
      <c r="I6" s="61">
        <f>IF($N6="","",IF($P6&gt;0,IF(4&lt;=SemanaActual,INDEX('Cronograma Asistente Técnico'!$AF$5:$AF$1000,$N6),""),IF(INDEX('Cronograma Asistente Técnico'!$L$5:$L$1000,$N6)="","",INDEX('Cronograma Asistente Técnico'!$L$5:$L$1000,$N6))))</f>
        <v/>
      </c>
      <c r="J6" s="61">
        <f>IF($N6="","",INDEX('Cronograma Asistente Técnico'!$M$5:$M$1000,$N6))</f>
        <v/>
      </c>
      <c r="K6" s="56">
        <f>IF($N6="","",IF(N($J6)&gt;=1,"Completado",IF(AND(ISNUMBER($D6),$D6&lt;FechaRef),"Vencida",IF(N($J6)&gt;0,"En curso","Pendiente"))))</f>
        <v/>
      </c>
      <c r="L6" s="56">
        <f>IF($N6="","",INDEX('Cronograma Asistente Técnico'!$O$5:$O$1000,$N6)&amp;"")</f>
        <v/>
      </c>
      <c r="M6" s="62">
        <f>IF($N6="","",INDEX('Cronograma Asistente Técnico'!$Q$5:$Q$1000,$N6)&amp;"")</f>
        <v/>
      </c>
      <c r="N6">
        <f>IFERROR(MATCH(ROW()-4,rOrden_ATR,0),"")</f>
        <v/>
      </c>
      <c r="O6">
        <f>IF($N6="","",INDEX('Cronograma Asistente Técnico'!$V$5:$V$1000,$N6))</f>
        <v/>
      </c>
      <c r="P6">
        <f>IF($N6="","",N(INDEX('Cronograma Asistente Técnico'!$W$5:$W$1000,$N6)))</f>
        <v/>
      </c>
      <c r="Q6">
        <f>IF(OR(LEFT($L6,7)="Vencida",LEFT($L6,5)="Vence"),SUMPRODUCT(--(LEFT($L$5:$L6,7)="Vencida"))+SUMPRODUCT(--(LEFT($L$5:$L6,5)="Vence")),"")</f>
        <v/>
      </c>
    </row>
    <row r="7">
      <c r="A7" s="56">
        <f>IF($N7="","",INDEX('Cronograma Asistente Técnico'!$A$5:$A$1000,$N7))</f>
        <v/>
      </c>
      <c r="B7" s="62">
        <f>IF($N7="","",IF($O7="Sub","      ↳  "&amp;INDEX('Cronograma Asistente Técnico'!$C$5:$C$1000,$N7),INDEX('Cronograma Asistente Técnico'!$C$5:$C$1000,$N7)&amp;""))</f>
        <v/>
      </c>
      <c r="C7" s="79">
        <f>IF($N7="","",IF(INDEX('Cronograma Asistente Técnico'!$AM$5:$AM$1000,$N7)="","",INDEX('Cronograma Asistente Técnico'!$AM$5:$AM$1000,$N7)))</f>
        <v/>
      </c>
      <c r="D7" s="79">
        <f>IF($N7="","",IF(INDEX('Cronograma Asistente Técnico'!$AN$5:$AN$1000,$N7)="","",INDEX('Cronograma Asistente Técnico'!$AN$5:$AN$1000,$N7)))</f>
        <v/>
      </c>
      <c r="E7" s="56">
        <f>IF($N7="","",IF(NOT(ISNUMBER($D7)),"",IF($D7&lt;InicioCiclo,"Antes del ciclo",IF($D7&gt;=InicioCiclo+28,"Después del ciclo","Semana "&amp;(INT(($D7-InicioCiclo)/7)+1)))))</f>
        <v/>
      </c>
      <c r="F7" s="61">
        <f>IF($N7="","",IF($P7&gt;0,IF(1&lt;=SemanaActual,INDEX('Cronograma Asistente Técnico'!$AC$5:$AC$1000,$N7),""),IF(INDEX('Cronograma Asistente Técnico'!$I$5:$I$1000,$N7)="","",INDEX('Cronograma Asistente Técnico'!$I$5:$I$1000,$N7))))</f>
        <v/>
      </c>
      <c r="G7" s="61">
        <f>IF($N7="","",IF($P7&gt;0,IF(2&lt;=SemanaActual,INDEX('Cronograma Asistente Técnico'!$AD$5:$AD$1000,$N7),""),IF(INDEX('Cronograma Asistente Técnico'!$J$5:$J$1000,$N7)="","",INDEX('Cronograma Asistente Técnico'!$J$5:$J$1000,$N7))))</f>
        <v/>
      </c>
      <c r="H7" s="61">
        <f>IF($N7="","",IF($P7&gt;0,IF(3&lt;=SemanaActual,INDEX('Cronograma Asistente Técnico'!$AE$5:$AE$1000,$N7),""),IF(INDEX('Cronograma Asistente Técnico'!$K$5:$K$1000,$N7)="","",INDEX('Cronograma Asistente Técnico'!$K$5:$K$1000,$N7))))</f>
        <v/>
      </c>
      <c r="I7" s="61">
        <f>IF($N7="","",IF($P7&gt;0,IF(4&lt;=SemanaActual,INDEX('Cronograma Asistente Técnico'!$AF$5:$AF$1000,$N7),""),IF(INDEX('Cronograma Asistente Técnico'!$L$5:$L$1000,$N7)="","",INDEX('Cronograma Asistente Técnico'!$L$5:$L$1000,$N7))))</f>
        <v/>
      </c>
      <c r="J7" s="61">
        <f>IF($N7="","",INDEX('Cronograma Asistente Técnico'!$M$5:$M$1000,$N7))</f>
        <v/>
      </c>
      <c r="K7" s="56">
        <f>IF($N7="","",IF(N($J7)&gt;=1,"Completado",IF(AND(ISNUMBER($D7),$D7&lt;FechaRef),"Vencida",IF(N($J7)&gt;0,"En curso","Pendiente"))))</f>
        <v/>
      </c>
      <c r="L7" s="56">
        <f>IF($N7="","",INDEX('Cronograma Asistente Técnico'!$O$5:$O$1000,$N7)&amp;"")</f>
        <v/>
      </c>
      <c r="M7" s="62">
        <f>IF($N7="","",INDEX('Cronograma Asistente Técnico'!$Q$5:$Q$1000,$N7)&amp;"")</f>
        <v/>
      </c>
      <c r="N7">
        <f>IFERROR(MATCH(ROW()-4,rOrden_ATR,0),"")</f>
        <v/>
      </c>
      <c r="O7">
        <f>IF($N7="","",INDEX('Cronograma Asistente Técnico'!$V$5:$V$1000,$N7))</f>
        <v/>
      </c>
      <c r="P7">
        <f>IF($N7="","",N(INDEX('Cronograma Asistente Técnico'!$W$5:$W$1000,$N7)))</f>
        <v/>
      </c>
      <c r="Q7">
        <f>IF(OR(LEFT($L7,7)="Vencida",LEFT($L7,5)="Vence"),SUMPRODUCT(--(LEFT($L$5:$L7,7)="Vencida"))+SUMPRODUCT(--(LEFT($L$5:$L7,5)="Vence")),"")</f>
        <v/>
      </c>
    </row>
    <row r="8">
      <c r="A8" s="56">
        <f>IF($N8="","",INDEX('Cronograma Asistente Técnico'!$A$5:$A$1000,$N8))</f>
        <v/>
      </c>
      <c r="B8" s="62">
        <f>IF($N8="","",IF($O8="Sub","      ↳  "&amp;INDEX('Cronograma Asistente Técnico'!$C$5:$C$1000,$N8),INDEX('Cronograma Asistente Técnico'!$C$5:$C$1000,$N8)&amp;""))</f>
        <v/>
      </c>
      <c r="C8" s="79">
        <f>IF($N8="","",IF(INDEX('Cronograma Asistente Técnico'!$AM$5:$AM$1000,$N8)="","",INDEX('Cronograma Asistente Técnico'!$AM$5:$AM$1000,$N8)))</f>
        <v/>
      </c>
      <c r="D8" s="79">
        <f>IF($N8="","",IF(INDEX('Cronograma Asistente Técnico'!$AN$5:$AN$1000,$N8)="","",INDEX('Cronograma Asistente Técnico'!$AN$5:$AN$1000,$N8)))</f>
        <v/>
      </c>
      <c r="E8" s="56">
        <f>IF($N8="","",IF(NOT(ISNUMBER($D8)),"",IF($D8&lt;InicioCiclo,"Antes del ciclo",IF($D8&gt;=InicioCiclo+28,"Después del ciclo","Semana "&amp;(INT(($D8-InicioCiclo)/7)+1)))))</f>
        <v/>
      </c>
      <c r="F8" s="61">
        <f>IF($N8="","",IF($P8&gt;0,IF(1&lt;=SemanaActual,INDEX('Cronograma Asistente Técnico'!$AC$5:$AC$1000,$N8),""),IF(INDEX('Cronograma Asistente Técnico'!$I$5:$I$1000,$N8)="","",INDEX('Cronograma Asistente Técnico'!$I$5:$I$1000,$N8))))</f>
        <v/>
      </c>
      <c r="G8" s="61">
        <f>IF($N8="","",IF($P8&gt;0,IF(2&lt;=SemanaActual,INDEX('Cronograma Asistente Técnico'!$AD$5:$AD$1000,$N8),""),IF(INDEX('Cronograma Asistente Técnico'!$J$5:$J$1000,$N8)="","",INDEX('Cronograma Asistente Técnico'!$J$5:$J$1000,$N8))))</f>
        <v/>
      </c>
      <c r="H8" s="61">
        <f>IF($N8="","",IF($P8&gt;0,IF(3&lt;=SemanaActual,INDEX('Cronograma Asistente Técnico'!$AE$5:$AE$1000,$N8),""),IF(INDEX('Cronograma Asistente Técnico'!$K$5:$K$1000,$N8)="","",INDEX('Cronograma Asistente Técnico'!$K$5:$K$1000,$N8))))</f>
        <v/>
      </c>
      <c r="I8" s="61">
        <f>IF($N8="","",IF($P8&gt;0,IF(4&lt;=SemanaActual,INDEX('Cronograma Asistente Técnico'!$AF$5:$AF$1000,$N8),""),IF(INDEX('Cronograma Asistente Técnico'!$L$5:$L$1000,$N8)="","",INDEX('Cronograma Asistente Técnico'!$L$5:$L$1000,$N8))))</f>
        <v/>
      </c>
      <c r="J8" s="61">
        <f>IF($N8="","",INDEX('Cronograma Asistente Técnico'!$M$5:$M$1000,$N8))</f>
        <v/>
      </c>
      <c r="K8" s="56">
        <f>IF($N8="","",IF(N($J8)&gt;=1,"Completado",IF(AND(ISNUMBER($D8),$D8&lt;FechaRef),"Vencida",IF(N($J8)&gt;0,"En curso","Pendiente"))))</f>
        <v/>
      </c>
      <c r="L8" s="56">
        <f>IF($N8="","",INDEX('Cronograma Asistente Técnico'!$O$5:$O$1000,$N8)&amp;"")</f>
        <v/>
      </c>
      <c r="M8" s="62">
        <f>IF($N8="","",INDEX('Cronograma Asistente Técnico'!$Q$5:$Q$1000,$N8)&amp;"")</f>
        <v/>
      </c>
      <c r="N8">
        <f>IFERROR(MATCH(ROW()-4,rOrden_ATR,0),"")</f>
        <v/>
      </c>
      <c r="O8">
        <f>IF($N8="","",INDEX('Cronograma Asistente Técnico'!$V$5:$V$1000,$N8))</f>
        <v/>
      </c>
      <c r="P8">
        <f>IF($N8="","",N(INDEX('Cronograma Asistente Técnico'!$W$5:$W$1000,$N8)))</f>
        <v/>
      </c>
      <c r="Q8">
        <f>IF(OR(LEFT($L8,7)="Vencida",LEFT($L8,5)="Vence"),SUMPRODUCT(--(LEFT($L$5:$L8,7)="Vencida"))+SUMPRODUCT(--(LEFT($L$5:$L8,5)="Vence")),"")</f>
        <v/>
      </c>
    </row>
    <row r="9">
      <c r="A9" s="56">
        <f>IF($N9="","",INDEX('Cronograma Asistente Técnico'!$A$5:$A$1000,$N9))</f>
        <v/>
      </c>
      <c r="B9" s="62">
        <f>IF($N9="","",IF($O9="Sub","      ↳  "&amp;INDEX('Cronograma Asistente Técnico'!$C$5:$C$1000,$N9),INDEX('Cronograma Asistente Técnico'!$C$5:$C$1000,$N9)&amp;""))</f>
        <v/>
      </c>
      <c r="C9" s="79">
        <f>IF($N9="","",IF(INDEX('Cronograma Asistente Técnico'!$AM$5:$AM$1000,$N9)="","",INDEX('Cronograma Asistente Técnico'!$AM$5:$AM$1000,$N9)))</f>
        <v/>
      </c>
      <c r="D9" s="79">
        <f>IF($N9="","",IF(INDEX('Cronograma Asistente Técnico'!$AN$5:$AN$1000,$N9)="","",INDEX('Cronograma Asistente Técnico'!$AN$5:$AN$1000,$N9)))</f>
        <v/>
      </c>
      <c r="E9" s="56">
        <f>IF($N9="","",IF(NOT(ISNUMBER($D9)),"",IF($D9&lt;InicioCiclo,"Antes del ciclo",IF($D9&gt;=InicioCiclo+28,"Después del ciclo","Semana "&amp;(INT(($D9-InicioCiclo)/7)+1)))))</f>
        <v/>
      </c>
      <c r="F9" s="61">
        <f>IF($N9="","",IF($P9&gt;0,IF(1&lt;=SemanaActual,INDEX('Cronograma Asistente Técnico'!$AC$5:$AC$1000,$N9),""),IF(INDEX('Cronograma Asistente Técnico'!$I$5:$I$1000,$N9)="","",INDEX('Cronograma Asistente Técnico'!$I$5:$I$1000,$N9))))</f>
        <v/>
      </c>
      <c r="G9" s="61">
        <f>IF($N9="","",IF($P9&gt;0,IF(2&lt;=SemanaActual,INDEX('Cronograma Asistente Técnico'!$AD$5:$AD$1000,$N9),""),IF(INDEX('Cronograma Asistente Técnico'!$J$5:$J$1000,$N9)="","",INDEX('Cronograma Asistente Técnico'!$J$5:$J$1000,$N9))))</f>
        <v/>
      </c>
      <c r="H9" s="61">
        <f>IF($N9="","",IF($P9&gt;0,IF(3&lt;=SemanaActual,INDEX('Cronograma Asistente Técnico'!$AE$5:$AE$1000,$N9),""),IF(INDEX('Cronograma Asistente Técnico'!$K$5:$K$1000,$N9)="","",INDEX('Cronograma Asistente Técnico'!$K$5:$K$1000,$N9))))</f>
        <v/>
      </c>
      <c r="I9" s="61">
        <f>IF($N9="","",IF($P9&gt;0,IF(4&lt;=SemanaActual,INDEX('Cronograma Asistente Técnico'!$AF$5:$AF$1000,$N9),""),IF(INDEX('Cronograma Asistente Técnico'!$L$5:$L$1000,$N9)="","",INDEX('Cronograma Asistente Técnico'!$L$5:$L$1000,$N9))))</f>
        <v/>
      </c>
      <c r="J9" s="61">
        <f>IF($N9="","",INDEX('Cronograma Asistente Técnico'!$M$5:$M$1000,$N9))</f>
        <v/>
      </c>
      <c r="K9" s="56">
        <f>IF($N9="","",IF(N($J9)&gt;=1,"Completado",IF(AND(ISNUMBER($D9),$D9&lt;FechaRef),"Vencida",IF(N($J9)&gt;0,"En curso","Pendiente"))))</f>
        <v/>
      </c>
      <c r="L9" s="56">
        <f>IF($N9="","",INDEX('Cronograma Asistente Técnico'!$O$5:$O$1000,$N9)&amp;"")</f>
        <v/>
      </c>
      <c r="M9" s="62">
        <f>IF($N9="","",INDEX('Cronograma Asistente Técnico'!$Q$5:$Q$1000,$N9)&amp;"")</f>
        <v/>
      </c>
      <c r="N9">
        <f>IFERROR(MATCH(ROW()-4,rOrden_ATR,0),"")</f>
        <v/>
      </c>
      <c r="O9">
        <f>IF($N9="","",INDEX('Cronograma Asistente Técnico'!$V$5:$V$1000,$N9))</f>
        <v/>
      </c>
      <c r="P9">
        <f>IF($N9="","",N(INDEX('Cronograma Asistente Técnico'!$W$5:$W$1000,$N9)))</f>
        <v/>
      </c>
      <c r="Q9">
        <f>IF(OR(LEFT($L9,7)="Vencida",LEFT($L9,5)="Vence"),SUMPRODUCT(--(LEFT($L$5:$L9,7)="Vencida"))+SUMPRODUCT(--(LEFT($L$5:$L9,5)="Vence")),"")</f>
        <v/>
      </c>
    </row>
    <row r="10">
      <c r="A10" s="56">
        <f>IF($N10="","",INDEX('Cronograma Asistente Técnico'!$A$5:$A$1000,$N10))</f>
        <v/>
      </c>
      <c r="B10" s="62">
        <f>IF($N10="","",IF($O10="Sub","      ↳  "&amp;INDEX('Cronograma Asistente Técnico'!$C$5:$C$1000,$N10),INDEX('Cronograma Asistente Técnico'!$C$5:$C$1000,$N10)&amp;""))</f>
        <v/>
      </c>
      <c r="C10" s="79">
        <f>IF($N10="","",IF(INDEX('Cronograma Asistente Técnico'!$AM$5:$AM$1000,$N10)="","",INDEX('Cronograma Asistente Técnico'!$AM$5:$AM$1000,$N10)))</f>
        <v/>
      </c>
      <c r="D10" s="79">
        <f>IF($N10="","",IF(INDEX('Cronograma Asistente Técnico'!$AN$5:$AN$1000,$N10)="","",INDEX('Cronograma Asistente Técnico'!$AN$5:$AN$1000,$N10)))</f>
        <v/>
      </c>
      <c r="E10" s="56">
        <f>IF($N10="","",IF(NOT(ISNUMBER($D10)),"",IF($D10&lt;InicioCiclo,"Antes del ciclo",IF($D10&gt;=InicioCiclo+28,"Después del ciclo","Semana "&amp;(INT(($D10-InicioCiclo)/7)+1)))))</f>
        <v/>
      </c>
      <c r="F10" s="61">
        <f>IF($N10="","",IF($P10&gt;0,IF(1&lt;=SemanaActual,INDEX('Cronograma Asistente Técnico'!$AC$5:$AC$1000,$N10),""),IF(INDEX('Cronograma Asistente Técnico'!$I$5:$I$1000,$N10)="","",INDEX('Cronograma Asistente Técnico'!$I$5:$I$1000,$N10))))</f>
        <v/>
      </c>
      <c r="G10" s="61">
        <f>IF($N10="","",IF($P10&gt;0,IF(2&lt;=SemanaActual,INDEX('Cronograma Asistente Técnico'!$AD$5:$AD$1000,$N10),""),IF(INDEX('Cronograma Asistente Técnico'!$J$5:$J$1000,$N10)="","",INDEX('Cronograma Asistente Técnico'!$J$5:$J$1000,$N10))))</f>
        <v/>
      </c>
      <c r="H10" s="61">
        <f>IF($N10="","",IF($P10&gt;0,IF(3&lt;=SemanaActual,INDEX('Cronograma Asistente Técnico'!$AE$5:$AE$1000,$N10),""),IF(INDEX('Cronograma Asistente Técnico'!$K$5:$K$1000,$N10)="","",INDEX('Cronograma Asistente Técnico'!$K$5:$K$1000,$N10))))</f>
        <v/>
      </c>
      <c r="I10" s="61">
        <f>IF($N10="","",IF($P10&gt;0,IF(4&lt;=SemanaActual,INDEX('Cronograma Asistente Técnico'!$AF$5:$AF$1000,$N10),""),IF(INDEX('Cronograma Asistente Técnico'!$L$5:$L$1000,$N10)="","",INDEX('Cronograma Asistente Técnico'!$L$5:$L$1000,$N10))))</f>
        <v/>
      </c>
      <c r="J10" s="61">
        <f>IF($N10="","",INDEX('Cronograma Asistente Técnico'!$M$5:$M$1000,$N10))</f>
        <v/>
      </c>
      <c r="K10" s="56">
        <f>IF($N10="","",IF(N($J10)&gt;=1,"Completado",IF(AND(ISNUMBER($D10),$D10&lt;FechaRef),"Vencida",IF(N($J10)&gt;0,"En curso","Pendiente"))))</f>
        <v/>
      </c>
      <c r="L10" s="56">
        <f>IF($N10="","",INDEX('Cronograma Asistente Técnico'!$O$5:$O$1000,$N10)&amp;"")</f>
        <v/>
      </c>
      <c r="M10" s="62">
        <f>IF($N10="","",INDEX('Cronograma Asistente Técnico'!$Q$5:$Q$1000,$N10)&amp;"")</f>
        <v/>
      </c>
      <c r="N10">
        <f>IFERROR(MATCH(ROW()-4,rOrden_ATR,0),"")</f>
        <v/>
      </c>
      <c r="O10">
        <f>IF($N10="","",INDEX('Cronograma Asistente Técnico'!$V$5:$V$1000,$N10))</f>
        <v/>
      </c>
      <c r="P10">
        <f>IF($N10="","",N(INDEX('Cronograma Asistente Técnico'!$W$5:$W$1000,$N10)))</f>
        <v/>
      </c>
      <c r="Q10">
        <f>IF(OR(LEFT($L10,7)="Vencida",LEFT($L10,5)="Vence"),SUMPRODUCT(--(LEFT($L$5:$L10,7)="Vencida"))+SUMPRODUCT(--(LEFT($L$5:$L10,5)="Vence")),"")</f>
        <v/>
      </c>
    </row>
    <row r="11">
      <c r="A11" s="56">
        <f>IF($N11="","",INDEX('Cronograma Asistente Técnico'!$A$5:$A$1000,$N11))</f>
        <v/>
      </c>
      <c r="B11" s="62">
        <f>IF($N11="","",IF($O11="Sub","      ↳  "&amp;INDEX('Cronograma Asistente Técnico'!$C$5:$C$1000,$N11),INDEX('Cronograma Asistente Técnico'!$C$5:$C$1000,$N11)&amp;""))</f>
        <v/>
      </c>
      <c r="C11" s="79">
        <f>IF($N11="","",IF(INDEX('Cronograma Asistente Técnico'!$AM$5:$AM$1000,$N11)="","",INDEX('Cronograma Asistente Técnico'!$AM$5:$AM$1000,$N11)))</f>
        <v/>
      </c>
      <c r="D11" s="79">
        <f>IF($N11="","",IF(INDEX('Cronograma Asistente Técnico'!$AN$5:$AN$1000,$N11)="","",INDEX('Cronograma Asistente Técnico'!$AN$5:$AN$1000,$N11)))</f>
        <v/>
      </c>
      <c r="E11" s="56">
        <f>IF($N11="","",IF(NOT(ISNUMBER($D11)),"",IF($D11&lt;InicioCiclo,"Antes del ciclo",IF($D11&gt;=InicioCiclo+28,"Después del ciclo","Semana "&amp;(INT(($D11-InicioCiclo)/7)+1)))))</f>
        <v/>
      </c>
      <c r="F11" s="61">
        <f>IF($N11="","",IF($P11&gt;0,IF(1&lt;=SemanaActual,INDEX('Cronograma Asistente Técnico'!$AC$5:$AC$1000,$N11),""),IF(INDEX('Cronograma Asistente Técnico'!$I$5:$I$1000,$N11)="","",INDEX('Cronograma Asistente Técnico'!$I$5:$I$1000,$N11))))</f>
        <v/>
      </c>
      <c r="G11" s="61">
        <f>IF($N11="","",IF($P11&gt;0,IF(2&lt;=SemanaActual,INDEX('Cronograma Asistente Técnico'!$AD$5:$AD$1000,$N11),""),IF(INDEX('Cronograma Asistente Técnico'!$J$5:$J$1000,$N11)="","",INDEX('Cronograma Asistente Técnico'!$J$5:$J$1000,$N11))))</f>
        <v/>
      </c>
      <c r="H11" s="61">
        <f>IF($N11="","",IF($P11&gt;0,IF(3&lt;=SemanaActual,INDEX('Cronograma Asistente Técnico'!$AE$5:$AE$1000,$N11),""),IF(INDEX('Cronograma Asistente Técnico'!$K$5:$K$1000,$N11)="","",INDEX('Cronograma Asistente Técnico'!$K$5:$K$1000,$N11))))</f>
        <v/>
      </c>
      <c r="I11" s="61">
        <f>IF($N11="","",IF($P11&gt;0,IF(4&lt;=SemanaActual,INDEX('Cronograma Asistente Técnico'!$AF$5:$AF$1000,$N11),""),IF(INDEX('Cronograma Asistente Técnico'!$L$5:$L$1000,$N11)="","",INDEX('Cronograma Asistente Técnico'!$L$5:$L$1000,$N11))))</f>
        <v/>
      </c>
      <c r="J11" s="61">
        <f>IF($N11="","",INDEX('Cronograma Asistente Técnico'!$M$5:$M$1000,$N11))</f>
        <v/>
      </c>
      <c r="K11" s="56">
        <f>IF($N11="","",IF(N($J11)&gt;=1,"Completado",IF(AND(ISNUMBER($D11),$D11&lt;FechaRef),"Vencida",IF(N($J11)&gt;0,"En curso","Pendiente"))))</f>
        <v/>
      </c>
      <c r="L11" s="56">
        <f>IF($N11="","",INDEX('Cronograma Asistente Técnico'!$O$5:$O$1000,$N11)&amp;"")</f>
        <v/>
      </c>
      <c r="M11" s="62">
        <f>IF($N11="","",INDEX('Cronograma Asistente Técnico'!$Q$5:$Q$1000,$N11)&amp;"")</f>
        <v/>
      </c>
      <c r="N11">
        <f>IFERROR(MATCH(ROW()-4,rOrden_ATR,0),"")</f>
        <v/>
      </c>
      <c r="O11">
        <f>IF($N11="","",INDEX('Cronograma Asistente Técnico'!$V$5:$V$1000,$N11))</f>
        <v/>
      </c>
      <c r="P11">
        <f>IF($N11="","",N(INDEX('Cronograma Asistente Técnico'!$W$5:$W$1000,$N11)))</f>
        <v/>
      </c>
      <c r="Q11">
        <f>IF(OR(LEFT($L11,7)="Vencida",LEFT($L11,5)="Vence"),SUMPRODUCT(--(LEFT($L$5:$L11,7)="Vencida"))+SUMPRODUCT(--(LEFT($L$5:$L11,5)="Vence")),"")</f>
        <v/>
      </c>
    </row>
    <row r="12">
      <c r="A12" s="56">
        <f>IF($N12="","",INDEX('Cronograma Asistente Técnico'!$A$5:$A$1000,$N12))</f>
        <v/>
      </c>
      <c r="B12" s="62">
        <f>IF($N12="","",IF($O12="Sub","      ↳  "&amp;INDEX('Cronograma Asistente Técnico'!$C$5:$C$1000,$N12),INDEX('Cronograma Asistente Técnico'!$C$5:$C$1000,$N12)&amp;""))</f>
        <v/>
      </c>
      <c r="C12" s="79">
        <f>IF($N12="","",IF(INDEX('Cronograma Asistente Técnico'!$AM$5:$AM$1000,$N12)="","",INDEX('Cronograma Asistente Técnico'!$AM$5:$AM$1000,$N12)))</f>
        <v/>
      </c>
      <c r="D12" s="79">
        <f>IF($N12="","",IF(INDEX('Cronograma Asistente Técnico'!$AN$5:$AN$1000,$N12)="","",INDEX('Cronograma Asistente Técnico'!$AN$5:$AN$1000,$N12)))</f>
        <v/>
      </c>
      <c r="E12" s="56">
        <f>IF($N12="","",IF(NOT(ISNUMBER($D12)),"",IF($D12&lt;InicioCiclo,"Antes del ciclo",IF($D12&gt;=InicioCiclo+28,"Después del ciclo","Semana "&amp;(INT(($D12-InicioCiclo)/7)+1)))))</f>
        <v/>
      </c>
      <c r="F12" s="61">
        <f>IF($N12="","",IF($P12&gt;0,IF(1&lt;=SemanaActual,INDEX('Cronograma Asistente Técnico'!$AC$5:$AC$1000,$N12),""),IF(INDEX('Cronograma Asistente Técnico'!$I$5:$I$1000,$N12)="","",INDEX('Cronograma Asistente Técnico'!$I$5:$I$1000,$N12))))</f>
        <v/>
      </c>
      <c r="G12" s="61">
        <f>IF($N12="","",IF($P12&gt;0,IF(2&lt;=SemanaActual,INDEX('Cronograma Asistente Técnico'!$AD$5:$AD$1000,$N12),""),IF(INDEX('Cronograma Asistente Técnico'!$J$5:$J$1000,$N12)="","",INDEX('Cronograma Asistente Técnico'!$J$5:$J$1000,$N12))))</f>
        <v/>
      </c>
      <c r="H12" s="61">
        <f>IF($N12="","",IF($P12&gt;0,IF(3&lt;=SemanaActual,INDEX('Cronograma Asistente Técnico'!$AE$5:$AE$1000,$N12),""),IF(INDEX('Cronograma Asistente Técnico'!$K$5:$K$1000,$N12)="","",INDEX('Cronograma Asistente Técnico'!$K$5:$K$1000,$N12))))</f>
        <v/>
      </c>
      <c r="I12" s="61">
        <f>IF($N12="","",IF($P12&gt;0,IF(4&lt;=SemanaActual,INDEX('Cronograma Asistente Técnico'!$AF$5:$AF$1000,$N12),""),IF(INDEX('Cronograma Asistente Técnico'!$L$5:$L$1000,$N12)="","",INDEX('Cronograma Asistente Técnico'!$L$5:$L$1000,$N12))))</f>
        <v/>
      </c>
      <c r="J12" s="61">
        <f>IF($N12="","",INDEX('Cronograma Asistente Técnico'!$M$5:$M$1000,$N12))</f>
        <v/>
      </c>
      <c r="K12" s="56">
        <f>IF($N12="","",IF(N($J12)&gt;=1,"Completado",IF(AND(ISNUMBER($D12),$D12&lt;FechaRef),"Vencida",IF(N($J12)&gt;0,"En curso","Pendiente"))))</f>
        <v/>
      </c>
      <c r="L12" s="56">
        <f>IF($N12="","",INDEX('Cronograma Asistente Técnico'!$O$5:$O$1000,$N12)&amp;"")</f>
        <v/>
      </c>
      <c r="M12" s="62">
        <f>IF($N12="","",INDEX('Cronograma Asistente Técnico'!$Q$5:$Q$1000,$N12)&amp;"")</f>
        <v/>
      </c>
      <c r="N12">
        <f>IFERROR(MATCH(ROW()-4,rOrden_ATR,0),"")</f>
        <v/>
      </c>
      <c r="O12">
        <f>IF($N12="","",INDEX('Cronograma Asistente Técnico'!$V$5:$V$1000,$N12))</f>
        <v/>
      </c>
      <c r="P12">
        <f>IF($N12="","",N(INDEX('Cronograma Asistente Técnico'!$W$5:$W$1000,$N12)))</f>
        <v/>
      </c>
      <c r="Q12">
        <f>IF(OR(LEFT($L12,7)="Vencida",LEFT($L12,5)="Vence"),SUMPRODUCT(--(LEFT($L$5:$L12,7)="Vencida"))+SUMPRODUCT(--(LEFT($L$5:$L12,5)="Vence")),"")</f>
        <v/>
      </c>
    </row>
    <row r="13">
      <c r="A13" s="56">
        <f>IF($N13="","",INDEX('Cronograma Asistente Técnico'!$A$5:$A$1000,$N13))</f>
        <v/>
      </c>
      <c r="B13" s="62">
        <f>IF($N13="","",IF($O13="Sub","      ↳  "&amp;INDEX('Cronograma Asistente Técnico'!$C$5:$C$1000,$N13),INDEX('Cronograma Asistente Técnico'!$C$5:$C$1000,$N13)&amp;""))</f>
        <v/>
      </c>
      <c r="C13" s="79">
        <f>IF($N13="","",IF(INDEX('Cronograma Asistente Técnico'!$AM$5:$AM$1000,$N13)="","",INDEX('Cronograma Asistente Técnico'!$AM$5:$AM$1000,$N13)))</f>
        <v/>
      </c>
      <c r="D13" s="79">
        <f>IF($N13="","",IF(INDEX('Cronograma Asistente Técnico'!$AN$5:$AN$1000,$N13)="","",INDEX('Cronograma Asistente Técnico'!$AN$5:$AN$1000,$N13)))</f>
        <v/>
      </c>
      <c r="E13" s="56">
        <f>IF($N13="","",IF(NOT(ISNUMBER($D13)),"",IF($D13&lt;InicioCiclo,"Antes del ciclo",IF($D13&gt;=InicioCiclo+28,"Después del ciclo","Semana "&amp;(INT(($D13-InicioCiclo)/7)+1)))))</f>
        <v/>
      </c>
      <c r="F13" s="61">
        <f>IF($N13="","",IF($P13&gt;0,IF(1&lt;=SemanaActual,INDEX('Cronograma Asistente Técnico'!$AC$5:$AC$1000,$N13),""),IF(INDEX('Cronograma Asistente Técnico'!$I$5:$I$1000,$N13)="","",INDEX('Cronograma Asistente Técnico'!$I$5:$I$1000,$N13))))</f>
        <v/>
      </c>
      <c r="G13" s="61">
        <f>IF($N13="","",IF($P13&gt;0,IF(2&lt;=SemanaActual,INDEX('Cronograma Asistente Técnico'!$AD$5:$AD$1000,$N13),""),IF(INDEX('Cronograma Asistente Técnico'!$J$5:$J$1000,$N13)="","",INDEX('Cronograma Asistente Técnico'!$J$5:$J$1000,$N13))))</f>
        <v/>
      </c>
      <c r="H13" s="61">
        <f>IF($N13="","",IF($P13&gt;0,IF(3&lt;=SemanaActual,INDEX('Cronograma Asistente Técnico'!$AE$5:$AE$1000,$N13),""),IF(INDEX('Cronograma Asistente Técnico'!$K$5:$K$1000,$N13)="","",INDEX('Cronograma Asistente Técnico'!$K$5:$K$1000,$N13))))</f>
        <v/>
      </c>
      <c r="I13" s="61">
        <f>IF($N13="","",IF($P13&gt;0,IF(4&lt;=SemanaActual,INDEX('Cronograma Asistente Técnico'!$AF$5:$AF$1000,$N13),""),IF(INDEX('Cronograma Asistente Técnico'!$L$5:$L$1000,$N13)="","",INDEX('Cronograma Asistente Técnico'!$L$5:$L$1000,$N13))))</f>
        <v/>
      </c>
      <c r="J13" s="61">
        <f>IF($N13="","",INDEX('Cronograma Asistente Técnico'!$M$5:$M$1000,$N13))</f>
        <v/>
      </c>
      <c r="K13" s="56">
        <f>IF($N13="","",IF(N($J13)&gt;=1,"Completado",IF(AND(ISNUMBER($D13),$D13&lt;FechaRef),"Vencida",IF(N($J13)&gt;0,"En curso","Pendiente"))))</f>
        <v/>
      </c>
      <c r="L13" s="56">
        <f>IF($N13="","",INDEX('Cronograma Asistente Técnico'!$O$5:$O$1000,$N13)&amp;"")</f>
        <v/>
      </c>
      <c r="M13" s="62">
        <f>IF($N13="","",INDEX('Cronograma Asistente Técnico'!$Q$5:$Q$1000,$N13)&amp;"")</f>
        <v/>
      </c>
      <c r="N13">
        <f>IFERROR(MATCH(ROW()-4,rOrden_ATR,0),"")</f>
        <v/>
      </c>
      <c r="O13">
        <f>IF($N13="","",INDEX('Cronograma Asistente Técnico'!$V$5:$V$1000,$N13))</f>
        <v/>
      </c>
      <c r="P13">
        <f>IF($N13="","",N(INDEX('Cronograma Asistente Técnico'!$W$5:$W$1000,$N13)))</f>
        <v/>
      </c>
      <c r="Q13">
        <f>IF(OR(LEFT($L13,7)="Vencida",LEFT($L13,5)="Vence"),SUMPRODUCT(--(LEFT($L$5:$L13,7)="Vencida"))+SUMPRODUCT(--(LEFT($L$5:$L13,5)="Vence")),"")</f>
        <v/>
      </c>
    </row>
    <row r="14">
      <c r="A14" s="56">
        <f>IF($N14="","",INDEX('Cronograma Asistente Técnico'!$A$5:$A$1000,$N14))</f>
        <v/>
      </c>
      <c r="B14" s="62">
        <f>IF($N14="","",IF($O14="Sub","      ↳  "&amp;INDEX('Cronograma Asistente Técnico'!$C$5:$C$1000,$N14),INDEX('Cronograma Asistente Técnico'!$C$5:$C$1000,$N14)&amp;""))</f>
        <v/>
      </c>
      <c r="C14" s="79">
        <f>IF($N14="","",IF(INDEX('Cronograma Asistente Técnico'!$AM$5:$AM$1000,$N14)="","",INDEX('Cronograma Asistente Técnico'!$AM$5:$AM$1000,$N14)))</f>
        <v/>
      </c>
      <c r="D14" s="79">
        <f>IF($N14="","",IF(INDEX('Cronograma Asistente Técnico'!$AN$5:$AN$1000,$N14)="","",INDEX('Cronograma Asistente Técnico'!$AN$5:$AN$1000,$N14)))</f>
        <v/>
      </c>
      <c r="E14" s="56">
        <f>IF($N14="","",IF(NOT(ISNUMBER($D14)),"",IF($D14&lt;InicioCiclo,"Antes del ciclo",IF($D14&gt;=InicioCiclo+28,"Después del ciclo","Semana "&amp;(INT(($D14-InicioCiclo)/7)+1)))))</f>
        <v/>
      </c>
      <c r="F14" s="61">
        <f>IF($N14="","",IF($P14&gt;0,IF(1&lt;=SemanaActual,INDEX('Cronograma Asistente Técnico'!$AC$5:$AC$1000,$N14),""),IF(INDEX('Cronograma Asistente Técnico'!$I$5:$I$1000,$N14)="","",INDEX('Cronograma Asistente Técnico'!$I$5:$I$1000,$N14))))</f>
        <v/>
      </c>
      <c r="G14" s="61">
        <f>IF($N14="","",IF($P14&gt;0,IF(2&lt;=SemanaActual,INDEX('Cronograma Asistente Técnico'!$AD$5:$AD$1000,$N14),""),IF(INDEX('Cronograma Asistente Técnico'!$J$5:$J$1000,$N14)="","",INDEX('Cronograma Asistente Técnico'!$J$5:$J$1000,$N14))))</f>
        <v/>
      </c>
      <c r="H14" s="61">
        <f>IF($N14="","",IF($P14&gt;0,IF(3&lt;=SemanaActual,INDEX('Cronograma Asistente Técnico'!$AE$5:$AE$1000,$N14),""),IF(INDEX('Cronograma Asistente Técnico'!$K$5:$K$1000,$N14)="","",INDEX('Cronograma Asistente Técnico'!$K$5:$K$1000,$N14))))</f>
        <v/>
      </c>
      <c r="I14" s="61">
        <f>IF($N14="","",IF($P14&gt;0,IF(4&lt;=SemanaActual,INDEX('Cronograma Asistente Técnico'!$AF$5:$AF$1000,$N14),""),IF(INDEX('Cronograma Asistente Técnico'!$L$5:$L$1000,$N14)="","",INDEX('Cronograma Asistente Técnico'!$L$5:$L$1000,$N14))))</f>
        <v/>
      </c>
      <c r="J14" s="61">
        <f>IF($N14="","",INDEX('Cronograma Asistente Técnico'!$M$5:$M$1000,$N14))</f>
        <v/>
      </c>
      <c r="K14" s="56">
        <f>IF($N14="","",IF(N($J14)&gt;=1,"Completado",IF(AND(ISNUMBER($D14),$D14&lt;FechaRef),"Vencida",IF(N($J14)&gt;0,"En curso","Pendiente"))))</f>
        <v/>
      </c>
      <c r="L14" s="56">
        <f>IF($N14="","",INDEX('Cronograma Asistente Técnico'!$O$5:$O$1000,$N14)&amp;"")</f>
        <v/>
      </c>
      <c r="M14" s="62">
        <f>IF($N14="","",INDEX('Cronograma Asistente Técnico'!$Q$5:$Q$1000,$N14)&amp;"")</f>
        <v/>
      </c>
      <c r="N14">
        <f>IFERROR(MATCH(ROW()-4,rOrden_ATR,0),"")</f>
        <v/>
      </c>
      <c r="O14">
        <f>IF($N14="","",INDEX('Cronograma Asistente Técnico'!$V$5:$V$1000,$N14))</f>
        <v/>
      </c>
      <c r="P14">
        <f>IF($N14="","",N(INDEX('Cronograma Asistente Técnico'!$W$5:$W$1000,$N14)))</f>
        <v/>
      </c>
      <c r="Q14">
        <f>IF(OR(LEFT($L14,7)="Vencida",LEFT($L14,5)="Vence"),SUMPRODUCT(--(LEFT($L$5:$L14,7)="Vencida"))+SUMPRODUCT(--(LEFT($L$5:$L14,5)="Vence")),"")</f>
        <v/>
      </c>
    </row>
    <row r="15">
      <c r="A15" s="56">
        <f>IF($N15="","",INDEX('Cronograma Asistente Técnico'!$A$5:$A$1000,$N15))</f>
        <v/>
      </c>
      <c r="B15" s="62">
        <f>IF($N15="","",IF($O15="Sub","      ↳  "&amp;INDEX('Cronograma Asistente Técnico'!$C$5:$C$1000,$N15),INDEX('Cronograma Asistente Técnico'!$C$5:$C$1000,$N15)&amp;""))</f>
        <v/>
      </c>
      <c r="C15" s="79">
        <f>IF($N15="","",IF(INDEX('Cronograma Asistente Técnico'!$AM$5:$AM$1000,$N15)="","",INDEX('Cronograma Asistente Técnico'!$AM$5:$AM$1000,$N15)))</f>
        <v/>
      </c>
      <c r="D15" s="79">
        <f>IF($N15="","",IF(INDEX('Cronograma Asistente Técnico'!$AN$5:$AN$1000,$N15)="","",INDEX('Cronograma Asistente Técnico'!$AN$5:$AN$1000,$N15)))</f>
        <v/>
      </c>
      <c r="E15" s="56">
        <f>IF($N15="","",IF(NOT(ISNUMBER($D15)),"",IF($D15&lt;InicioCiclo,"Antes del ciclo",IF($D15&gt;=InicioCiclo+28,"Después del ciclo","Semana "&amp;(INT(($D15-InicioCiclo)/7)+1)))))</f>
        <v/>
      </c>
      <c r="F15" s="61">
        <f>IF($N15="","",IF($P15&gt;0,IF(1&lt;=SemanaActual,INDEX('Cronograma Asistente Técnico'!$AC$5:$AC$1000,$N15),""),IF(INDEX('Cronograma Asistente Técnico'!$I$5:$I$1000,$N15)="","",INDEX('Cronograma Asistente Técnico'!$I$5:$I$1000,$N15))))</f>
        <v/>
      </c>
      <c r="G15" s="61">
        <f>IF($N15="","",IF($P15&gt;0,IF(2&lt;=SemanaActual,INDEX('Cronograma Asistente Técnico'!$AD$5:$AD$1000,$N15),""),IF(INDEX('Cronograma Asistente Técnico'!$J$5:$J$1000,$N15)="","",INDEX('Cronograma Asistente Técnico'!$J$5:$J$1000,$N15))))</f>
        <v/>
      </c>
      <c r="H15" s="61">
        <f>IF($N15="","",IF($P15&gt;0,IF(3&lt;=SemanaActual,INDEX('Cronograma Asistente Técnico'!$AE$5:$AE$1000,$N15),""),IF(INDEX('Cronograma Asistente Técnico'!$K$5:$K$1000,$N15)="","",INDEX('Cronograma Asistente Técnico'!$K$5:$K$1000,$N15))))</f>
        <v/>
      </c>
      <c r="I15" s="61">
        <f>IF($N15="","",IF($P15&gt;0,IF(4&lt;=SemanaActual,INDEX('Cronograma Asistente Técnico'!$AF$5:$AF$1000,$N15),""),IF(INDEX('Cronograma Asistente Técnico'!$L$5:$L$1000,$N15)="","",INDEX('Cronograma Asistente Técnico'!$L$5:$L$1000,$N15))))</f>
        <v/>
      </c>
      <c r="J15" s="61">
        <f>IF($N15="","",INDEX('Cronograma Asistente Técnico'!$M$5:$M$1000,$N15))</f>
        <v/>
      </c>
      <c r="K15" s="56">
        <f>IF($N15="","",IF(N($J15)&gt;=1,"Completado",IF(AND(ISNUMBER($D15),$D15&lt;FechaRef),"Vencida",IF(N($J15)&gt;0,"En curso","Pendiente"))))</f>
        <v/>
      </c>
      <c r="L15" s="56">
        <f>IF($N15="","",INDEX('Cronograma Asistente Técnico'!$O$5:$O$1000,$N15)&amp;"")</f>
        <v/>
      </c>
      <c r="M15" s="62">
        <f>IF($N15="","",INDEX('Cronograma Asistente Técnico'!$Q$5:$Q$1000,$N15)&amp;"")</f>
        <v/>
      </c>
      <c r="N15">
        <f>IFERROR(MATCH(ROW()-4,rOrden_ATR,0),"")</f>
        <v/>
      </c>
      <c r="O15">
        <f>IF($N15="","",INDEX('Cronograma Asistente Técnico'!$V$5:$V$1000,$N15))</f>
        <v/>
      </c>
      <c r="P15">
        <f>IF($N15="","",N(INDEX('Cronograma Asistente Técnico'!$W$5:$W$1000,$N15)))</f>
        <v/>
      </c>
      <c r="Q15">
        <f>IF(OR(LEFT($L15,7)="Vencida",LEFT($L15,5)="Vence"),SUMPRODUCT(--(LEFT($L$5:$L15,7)="Vencida"))+SUMPRODUCT(--(LEFT($L$5:$L15,5)="Vence")),"")</f>
        <v/>
      </c>
    </row>
    <row r="16">
      <c r="A16" s="56">
        <f>IF($N16="","",INDEX('Cronograma Asistente Técnico'!$A$5:$A$1000,$N16))</f>
        <v/>
      </c>
      <c r="B16" s="62">
        <f>IF($N16="","",IF($O16="Sub","      ↳  "&amp;INDEX('Cronograma Asistente Técnico'!$C$5:$C$1000,$N16),INDEX('Cronograma Asistente Técnico'!$C$5:$C$1000,$N16)&amp;""))</f>
        <v/>
      </c>
      <c r="C16" s="79">
        <f>IF($N16="","",IF(INDEX('Cronograma Asistente Técnico'!$AM$5:$AM$1000,$N16)="","",INDEX('Cronograma Asistente Técnico'!$AM$5:$AM$1000,$N16)))</f>
        <v/>
      </c>
      <c r="D16" s="79">
        <f>IF($N16="","",IF(INDEX('Cronograma Asistente Técnico'!$AN$5:$AN$1000,$N16)="","",INDEX('Cronograma Asistente Técnico'!$AN$5:$AN$1000,$N16)))</f>
        <v/>
      </c>
      <c r="E16" s="56">
        <f>IF($N16="","",IF(NOT(ISNUMBER($D16)),"",IF($D16&lt;InicioCiclo,"Antes del ciclo",IF($D16&gt;=InicioCiclo+28,"Después del ciclo","Semana "&amp;(INT(($D16-InicioCiclo)/7)+1)))))</f>
        <v/>
      </c>
      <c r="F16" s="61">
        <f>IF($N16="","",IF($P16&gt;0,IF(1&lt;=SemanaActual,INDEX('Cronograma Asistente Técnico'!$AC$5:$AC$1000,$N16),""),IF(INDEX('Cronograma Asistente Técnico'!$I$5:$I$1000,$N16)="","",INDEX('Cronograma Asistente Técnico'!$I$5:$I$1000,$N16))))</f>
        <v/>
      </c>
      <c r="G16" s="61">
        <f>IF($N16="","",IF($P16&gt;0,IF(2&lt;=SemanaActual,INDEX('Cronograma Asistente Técnico'!$AD$5:$AD$1000,$N16),""),IF(INDEX('Cronograma Asistente Técnico'!$J$5:$J$1000,$N16)="","",INDEX('Cronograma Asistente Técnico'!$J$5:$J$1000,$N16))))</f>
        <v/>
      </c>
      <c r="H16" s="61">
        <f>IF($N16="","",IF($P16&gt;0,IF(3&lt;=SemanaActual,INDEX('Cronograma Asistente Técnico'!$AE$5:$AE$1000,$N16),""),IF(INDEX('Cronograma Asistente Técnico'!$K$5:$K$1000,$N16)="","",INDEX('Cronograma Asistente Técnico'!$K$5:$K$1000,$N16))))</f>
        <v/>
      </c>
      <c r="I16" s="61">
        <f>IF($N16="","",IF($P16&gt;0,IF(4&lt;=SemanaActual,INDEX('Cronograma Asistente Técnico'!$AF$5:$AF$1000,$N16),""),IF(INDEX('Cronograma Asistente Técnico'!$L$5:$L$1000,$N16)="","",INDEX('Cronograma Asistente Técnico'!$L$5:$L$1000,$N16))))</f>
        <v/>
      </c>
      <c r="J16" s="61">
        <f>IF($N16="","",INDEX('Cronograma Asistente Técnico'!$M$5:$M$1000,$N16))</f>
        <v/>
      </c>
      <c r="K16" s="56">
        <f>IF($N16="","",IF(N($J16)&gt;=1,"Completado",IF(AND(ISNUMBER($D16),$D16&lt;FechaRef),"Vencida",IF(N($J16)&gt;0,"En curso","Pendiente"))))</f>
        <v/>
      </c>
      <c r="L16" s="56">
        <f>IF($N16="","",INDEX('Cronograma Asistente Técnico'!$O$5:$O$1000,$N16)&amp;"")</f>
        <v/>
      </c>
      <c r="M16" s="62">
        <f>IF($N16="","",INDEX('Cronograma Asistente Técnico'!$Q$5:$Q$1000,$N16)&amp;"")</f>
        <v/>
      </c>
      <c r="N16">
        <f>IFERROR(MATCH(ROW()-4,rOrden_ATR,0),"")</f>
        <v/>
      </c>
      <c r="O16">
        <f>IF($N16="","",INDEX('Cronograma Asistente Técnico'!$V$5:$V$1000,$N16))</f>
        <v/>
      </c>
      <c r="P16">
        <f>IF($N16="","",N(INDEX('Cronograma Asistente Técnico'!$W$5:$W$1000,$N16)))</f>
        <v/>
      </c>
      <c r="Q16">
        <f>IF(OR(LEFT($L16,7)="Vencida",LEFT($L16,5)="Vence"),SUMPRODUCT(--(LEFT($L$5:$L16,7)="Vencida"))+SUMPRODUCT(--(LEFT($L$5:$L16,5)="Vence")),"")</f>
        <v/>
      </c>
    </row>
    <row r="17">
      <c r="A17" s="56">
        <f>IF($N17="","",INDEX('Cronograma Asistente Técnico'!$A$5:$A$1000,$N17))</f>
        <v/>
      </c>
      <c r="B17" s="62">
        <f>IF($N17="","",IF($O17="Sub","      ↳  "&amp;INDEX('Cronograma Asistente Técnico'!$C$5:$C$1000,$N17),INDEX('Cronograma Asistente Técnico'!$C$5:$C$1000,$N17)&amp;""))</f>
        <v/>
      </c>
      <c r="C17" s="79">
        <f>IF($N17="","",IF(INDEX('Cronograma Asistente Técnico'!$AM$5:$AM$1000,$N17)="","",INDEX('Cronograma Asistente Técnico'!$AM$5:$AM$1000,$N17)))</f>
        <v/>
      </c>
      <c r="D17" s="79">
        <f>IF($N17="","",IF(INDEX('Cronograma Asistente Técnico'!$AN$5:$AN$1000,$N17)="","",INDEX('Cronograma Asistente Técnico'!$AN$5:$AN$1000,$N17)))</f>
        <v/>
      </c>
      <c r="E17" s="56">
        <f>IF($N17="","",IF(NOT(ISNUMBER($D17)),"",IF($D17&lt;InicioCiclo,"Antes del ciclo",IF($D17&gt;=InicioCiclo+28,"Después del ciclo","Semana "&amp;(INT(($D17-InicioCiclo)/7)+1)))))</f>
        <v/>
      </c>
      <c r="F17" s="61">
        <f>IF($N17="","",IF($P17&gt;0,IF(1&lt;=SemanaActual,INDEX('Cronograma Asistente Técnico'!$AC$5:$AC$1000,$N17),""),IF(INDEX('Cronograma Asistente Técnico'!$I$5:$I$1000,$N17)="","",INDEX('Cronograma Asistente Técnico'!$I$5:$I$1000,$N17))))</f>
        <v/>
      </c>
      <c r="G17" s="61">
        <f>IF($N17="","",IF($P17&gt;0,IF(2&lt;=SemanaActual,INDEX('Cronograma Asistente Técnico'!$AD$5:$AD$1000,$N17),""),IF(INDEX('Cronograma Asistente Técnico'!$J$5:$J$1000,$N17)="","",INDEX('Cronograma Asistente Técnico'!$J$5:$J$1000,$N17))))</f>
        <v/>
      </c>
      <c r="H17" s="61">
        <f>IF($N17="","",IF($P17&gt;0,IF(3&lt;=SemanaActual,INDEX('Cronograma Asistente Técnico'!$AE$5:$AE$1000,$N17),""),IF(INDEX('Cronograma Asistente Técnico'!$K$5:$K$1000,$N17)="","",INDEX('Cronograma Asistente Técnico'!$K$5:$K$1000,$N17))))</f>
        <v/>
      </c>
      <c r="I17" s="61">
        <f>IF($N17="","",IF($P17&gt;0,IF(4&lt;=SemanaActual,INDEX('Cronograma Asistente Técnico'!$AF$5:$AF$1000,$N17),""),IF(INDEX('Cronograma Asistente Técnico'!$L$5:$L$1000,$N17)="","",INDEX('Cronograma Asistente Técnico'!$L$5:$L$1000,$N17))))</f>
        <v/>
      </c>
      <c r="J17" s="61">
        <f>IF($N17="","",INDEX('Cronograma Asistente Técnico'!$M$5:$M$1000,$N17))</f>
        <v/>
      </c>
      <c r="K17" s="56">
        <f>IF($N17="","",IF(N($J17)&gt;=1,"Completado",IF(AND(ISNUMBER($D17),$D17&lt;FechaRef),"Vencida",IF(N($J17)&gt;0,"En curso","Pendiente"))))</f>
        <v/>
      </c>
      <c r="L17" s="56">
        <f>IF($N17="","",INDEX('Cronograma Asistente Técnico'!$O$5:$O$1000,$N17)&amp;"")</f>
        <v/>
      </c>
      <c r="M17" s="62">
        <f>IF($N17="","",INDEX('Cronograma Asistente Técnico'!$Q$5:$Q$1000,$N17)&amp;"")</f>
        <v/>
      </c>
      <c r="N17">
        <f>IFERROR(MATCH(ROW()-4,rOrden_ATR,0),"")</f>
        <v/>
      </c>
      <c r="O17">
        <f>IF($N17="","",INDEX('Cronograma Asistente Técnico'!$V$5:$V$1000,$N17))</f>
        <v/>
      </c>
      <c r="P17">
        <f>IF($N17="","",N(INDEX('Cronograma Asistente Técnico'!$W$5:$W$1000,$N17)))</f>
        <v/>
      </c>
      <c r="Q17">
        <f>IF(OR(LEFT($L17,7)="Vencida",LEFT($L17,5)="Vence"),SUMPRODUCT(--(LEFT($L$5:$L17,7)="Vencida"))+SUMPRODUCT(--(LEFT($L$5:$L17,5)="Vence")),"")</f>
        <v/>
      </c>
    </row>
    <row r="18">
      <c r="A18" s="56">
        <f>IF($N18="","",INDEX('Cronograma Asistente Técnico'!$A$5:$A$1000,$N18))</f>
        <v/>
      </c>
      <c r="B18" s="62">
        <f>IF($N18="","",IF($O18="Sub","      ↳  "&amp;INDEX('Cronograma Asistente Técnico'!$C$5:$C$1000,$N18),INDEX('Cronograma Asistente Técnico'!$C$5:$C$1000,$N18)&amp;""))</f>
        <v/>
      </c>
      <c r="C18" s="79">
        <f>IF($N18="","",IF(INDEX('Cronograma Asistente Técnico'!$AM$5:$AM$1000,$N18)="","",INDEX('Cronograma Asistente Técnico'!$AM$5:$AM$1000,$N18)))</f>
        <v/>
      </c>
      <c r="D18" s="79">
        <f>IF($N18="","",IF(INDEX('Cronograma Asistente Técnico'!$AN$5:$AN$1000,$N18)="","",INDEX('Cronograma Asistente Técnico'!$AN$5:$AN$1000,$N18)))</f>
        <v/>
      </c>
      <c r="E18" s="56">
        <f>IF($N18="","",IF(NOT(ISNUMBER($D18)),"",IF($D18&lt;InicioCiclo,"Antes del ciclo",IF($D18&gt;=InicioCiclo+28,"Después del ciclo","Semana "&amp;(INT(($D18-InicioCiclo)/7)+1)))))</f>
        <v/>
      </c>
      <c r="F18" s="61">
        <f>IF($N18="","",IF($P18&gt;0,IF(1&lt;=SemanaActual,INDEX('Cronograma Asistente Técnico'!$AC$5:$AC$1000,$N18),""),IF(INDEX('Cronograma Asistente Técnico'!$I$5:$I$1000,$N18)="","",INDEX('Cronograma Asistente Técnico'!$I$5:$I$1000,$N18))))</f>
        <v/>
      </c>
      <c r="G18" s="61">
        <f>IF($N18="","",IF($P18&gt;0,IF(2&lt;=SemanaActual,INDEX('Cronograma Asistente Técnico'!$AD$5:$AD$1000,$N18),""),IF(INDEX('Cronograma Asistente Técnico'!$J$5:$J$1000,$N18)="","",INDEX('Cronograma Asistente Técnico'!$J$5:$J$1000,$N18))))</f>
        <v/>
      </c>
      <c r="H18" s="61">
        <f>IF($N18="","",IF($P18&gt;0,IF(3&lt;=SemanaActual,INDEX('Cronograma Asistente Técnico'!$AE$5:$AE$1000,$N18),""),IF(INDEX('Cronograma Asistente Técnico'!$K$5:$K$1000,$N18)="","",INDEX('Cronograma Asistente Técnico'!$K$5:$K$1000,$N18))))</f>
        <v/>
      </c>
      <c r="I18" s="61">
        <f>IF($N18="","",IF($P18&gt;0,IF(4&lt;=SemanaActual,INDEX('Cronograma Asistente Técnico'!$AF$5:$AF$1000,$N18),""),IF(INDEX('Cronograma Asistente Técnico'!$L$5:$L$1000,$N18)="","",INDEX('Cronograma Asistente Técnico'!$L$5:$L$1000,$N18))))</f>
        <v/>
      </c>
      <c r="J18" s="61">
        <f>IF($N18="","",INDEX('Cronograma Asistente Técnico'!$M$5:$M$1000,$N18))</f>
        <v/>
      </c>
      <c r="K18" s="56">
        <f>IF($N18="","",IF(N($J18)&gt;=1,"Completado",IF(AND(ISNUMBER($D18),$D18&lt;FechaRef),"Vencida",IF(N($J18)&gt;0,"En curso","Pendiente"))))</f>
        <v/>
      </c>
      <c r="L18" s="56">
        <f>IF($N18="","",INDEX('Cronograma Asistente Técnico'!$O$5:$O$1000,$N18)&amp;"")</f>
        <v/>
      </c>
      <c r="M18" s="62">
        <f>IF($N18="","",INDEX('Cronograma Asistente Técnico'!$Q$5:$Q$1000,$N18)&amp;"")</f>
        <v/>
      </c>
      <c r="N18">
        <f>IFERROR(MATCH(ROW()-4,rOrden_ATR,0),"")</f>
        <v/>
      </c>
      <c r="O18">
        <f>IF($N18="","",INDEX('Cronograma Asistente Técnico'!$V$5:$V$1000,$N18))</f>
        <v/>
      </c>
      <c r="P18">
        <f>IF($N18="","",N(INDEX('Cronograma Asistente Técnico'!$W$5:$W$1000,$N18)))</f>
        <v/>
      </c>
      <c r="Q18">
        <f>IF(OR(LEFT($L18,7)="Vencida",LEFT($L18,5)="Vence"),SUMPRODUCT(--(LEFT($L$5:$L18,7)="Vencida"))+SUMPRODUCT(--(LEFT($L$5:$L18,5)="Vence")),"")</f>
        <v/>
      </c>
    </row>
    <row r="19">
      <c r="A19" s="56">
        <f>IF($N19="","",INDEX('Cronograma Asistente Técnico'!$A$5:$A$1000,$N19))</f>
        <v/>
      </c>
      <c r="B19" s="62">
        <f>IF($N19="","",IF($O19="Sub","      ↳  "&amp;INDEX('Cronograma Asistente Técnico'!$C$5:$C$1000,$N19),INDEX('Cronograma Asistente Técnico'!$C$5:$C$1000,$N19)&amp;""))</f>
        <v/>
      </c>
      <c r="C19" s="79">
        <f>IF($N19="","",IF(INDEX('Cronograma Asistente Técnico'!$AM$5:$AM$1000,$N19)="","",INDEX('Cronograma Asistente Técnico'!$AM$5:$AM$1000,$N19)))</f>
        <v/>
      </c>
      <c r="D19" s="79">
        <f>IF($N19="","",IF(INDEX('Cronograma Asistente Técnico'!$AN$5:$AN$1000,$N19)="","",INDEX('Cronograma Asistente Técnico'!$AN$5:$AN$1000,$N19)))</f>
        <v/>
      </c>
      <c r="E19" s="56">
        <f>IF($N19="","",IF(NOT(ISNUMBER($D19)),"",IF($D19&lt;InicioCiclo,"Antes del ciclo",IF($D19&gt;=InicioCiclo+28,"Después del ciclo","Semana "&amp;(INT(($D19-InicioCiclo)/7)+1)))))</f>
        <v/>
      </c>
      <c r="F19" s="61">
        <f>IF($N19="","",IF($P19&gt;0,IF(1&lt;=SemanaActual,INDEX('Cronograma Asistente Técnico'!$AC$5:$AC$1000,$N19),""),IF(INDEX('Cronograma Asistente Técnico'!$I$5:$I$1000,$N19)="","",INDEX('Cronograma Asistente Técnico'!$I$5:$I$1000,$N19))))</f>
        <v/>
      </c>
      <c r="G19" s="61">
        <f>IF($N19="","",IF($P19&gt;0,IF(2&lt;=SemanaActual,INDEX('Cronograma Asistente Técnico'!$AD$5:$AD$1000,$N19),""),IF(INDEX('Cronograma Asistente Técnico'!$J$5:$J$1000,$N19)="","",INDEX('Cronograma Asistente Técnico'!$J$5:$J$1000,$N19))))</f>
        <v/>
      </c>
      <c r="H19" s="61">
        <f>IF($N19="","",IF($P19&gt;0,IF(3&lt;=SemanaActual,INDEX('Cronograma Asistente Técnico'!$AE$5:$AE$1000,$N19),""),IF(INDEX('Cronograma Asistente Técnico'!$K$5:$K$1000,$N19)="","",INDEX('Cronograma Asistente Técnico'!$K$5:$K$1000,$N19))))</f>
        <v/>
      </c>
      <c r="I19" s="61">
        <f>IF($N19="","",IF($P19&gt;0,IF(4&lt;=SemanaActual,INDEX('Cronograma Asistente Técnico'!$AF$5:$AF$1000,$N19),""),IF(INDEX('Cronograma Asistente Técnico'!$L$5:$L$1000,$N19)="","",INDEX('Cronograma Asistente Técnico'!$L$5:$L$1000,$N19))))</f>
        <v/>
      </c>
      <c r="J19" s="61">
        <f>IF($N19="","",INDEX('Cronograma Asistente Técnico'!$M$5:$M$1000,$N19))</f>
        <v/>
      </c>
      <c r="K19" s="56">
        <f>IF($N19="","",IF(N($J19)&gt;=1,"Completado",IF(AND(ISNUMBER($D19),$D19&lt;FechaRef),"Vencida",IF(N($J19)&gt;0,"En curso","Pendiente"))))</f>
        <v/>
      </c>
      <c r="L19" s="56">
        <f>IF($N19="","",INDEX('Cronograma Asistente Técnico'!$O$5:$O$1000,$N19)&amp;"")</f>
        <v/>
      </c>
      <c r="M19" s="62">
        <f>IF($N19="","",INDEX('Cronograma Asistente Técnico'!$Q$5:$Q$1000,$N19)&amp;"")</f>
        <v/>
      </c>
      <c r="N19">
        <f>IFERROR(MATCH(ROW()-4,rOrden_ATR,0),"")</f>
        <v/>
      </c>
      <c r="O19">
        <f>IF($N19="","",INDEX('Cronograma Asistente Técnico'!$V$5:$V$1000,$N19))</f>
        <v/>
      </c>
      <c r="P19">
        <f>IF($N19="","",N(INDEX('Cronograma Asistente Técnico'!$W$5:$W$1000,$N19)))</f>
        <v/>
      </c>
      <c r="Q19">
        <f>IF(OR(LEFT($L19,7)="Vencida",LEFT($L19,5)="Vence"),SUMPRODUCT(--(LEFT($L$5:$L19,7)="Vencida"))+SUMPRODUCT(--(LEFT($L$5:$L19,5)="Vence")),"")</f>
        <v/>
      </c>
    </row>
    <row r="20">
      <c r="A20" s="56">
        <f>IF($N20="","",INDEX('Cronograma Asistente Técnico'!$A$5:$A$1000,$N20))</f>
        <v/>
      </c>
      <c r="B20" s="62">
        <f>IF($N20="","",IF($O20="Sub","      ↳  "&amp;INDEX('Cronograma Asistente Técnico'!$C$5:$C$1000,$N20),INDEX('Cronograma Asistente Técnico'!$C$5:$C$1000,$N20)&amp;""))</f>
        <v/>
      </c>
      <c r="C20" s="79">
        <f>IF($N20="","",IF(INDEX('Cronograma Asistente Técnico'!$AM$5:$AM$1000,$N20)="","",INDEX('Cronograma Asistente Técnico'!$AM$5:$AM$1000,$N20)))</f>
        <v/>
      </c>
      <c r="D20" s="79">
        <f>IF($N20="","",IF(INDEX('Cronograma Asistente Técnico'!$AN$5:$AN$1000,$N20)="","",INDEX('Cronograma Asistente Técnico'!$AN$5:$AN$1000,$N20)))</f>
        <v/>
      </c>
      <c r="E20" s="56">
        <f>IF($N20="","",IF(NOT(ISNUMBER($D20)),"",IF($D20&lt;InicioCiclo,"Antes del ciclo",IF($D20&gt;=InicioCiclo+28,"Después del ciclo","Semana "&amp;(INT(($D20-InicioCiclo)/7)+1)))))</f>
        <v/>
      </c>
      <c r="F20" s="61">
        <f>IF($N20="","",IF($P20&gt;0,IF(1&lt;=SemanaActual,INDEX('Cronograma Asistente Técnico'!$AC$5:$AC$1000,$N20),""),IF(INDEX('Cronograma Asistente Técnico'!$I$5:$I$1000,$N20)="","",INDEX('Cronograma Asistente Técnico'!$I$5:$I$1000,$N20))))</f>
        <v/>
      </c>
      <c r="G20" s="61">
        <f>IF($N20="","",IF($P20&gt;0,IF(2&lt;=SemanaActual,INDEX('Cronograma Asistente Técnico'!$AD$5:$AD$1000,$N20),""),IF(INDEX('Cronograma Asistente Técnico'!$J$5:$J$1000,$N20)="","",INDEX('Cronograma Asistente Técnico'!$J$5:$J$1000,$N20))))</f>
        <v/>
      </c>
      <c r="H20" s="61">
        <f>IF($N20="","",IF($P20&gt;0,IF(3&lt;=SemanaActual,INDEX('Cronograma Asistente Técnico'!$AE$5:$AE$1000,$N20),""),IF(INDEX('Cronograma Asistente Técnico'!$K$5:$K$1000,$N20)="","",INDEX('Cronograma Asistente Técnico'!$K$5:$K$1000,$N20))))</f>
        <v/>
      </c>
      <c r="I20" s="61">
        <f>IF($N20="","",IF($P20&gt;0,IF(4&lt;=SemanaActual,INDEX('Cronograma Asistente Técnico'!$AF$5:$AF$1000,$N20),""),IF(INDEX('Cronograma Asistente Técnico'!$L$5:$L$1000,$N20)="","",INDEX('Cronograma Asistente Técnico'!$L$5:$L$1000,$N20))))</f>
        <v/>
      </c>
      <c r="J20" s="61">
        <f>IF($N20="","",INDEX('Cronograma Asistente Técnico'!$M$5:$M$1000,$N20))</f>
        <v/>
      </c>
      <c r="K20" s="56">
        <f>IF($N20="","",IF(N($J20)&gt;=1,"Completado",IF(AND(ISNUMBER($D20),$D20&lt;FechaRef),"Vencida",IF(N($J20)&gt;0,"En curso","Pendiente"))))</f>
        <v/>
      </c>
      <c r="L20" s="56">
        <f>IF($N20="","",INDEX('Cronograma Asistente Técnico'!$O$5:$O$1000,$N20)&amp;"")</f>
        <v/>
      </c>
      <c r="M20" s="62">
        <f>IF($N20="","",INDEX('Cronograma Asistente Técnico'!$Q$5:$Q$1000,$N20)&amp;"")</f>
        <v/>
      </c>
      <c r="N20">
        <f>IFERROR(MATCH(ROW()-4,rOrden_ATR,0),"")</f>
        <v/>
      </c>
      <c r="O20">
        <f>IF($N20="","",INDEX('Cronograma Asistente Técnico'!$V$5:$V$1000,$N20))</f>
        <v/>
      </c>
      <c r="P20">
        <f>IF($N20="","",N(INDEX('Cronograma Asistente Técnico'!$W$5:$W$1000,$N20)))</f>
        <v/>
      </c>
      <c r="Q20">
        <f>IF(OR(LEFT($L20,7)="Vencida",LEFT($L20,5)="Vence"),SUMPRODUCT(--(LEFT($L$5:$L20,7)="Vencida"))+SUMPRODUCT(--(LEFT($L$5:$L20,5)="Vence")),"")</f>
        <v/>
      </c>
    </row>
    <row r="21">
      <c r="A21" s="56">
        <f>IF($N21="","",INDEX('Cronograma Asistente Técnico'!$A$5:$A$1000,$N21))</f>
        <v/>
      </c>
      <c r="B21" s="62">
        <f>IF($N21="","",IF($O21="Sub","      ↳  "&amp;INDEX('Cronograma Asistente Técnico'!$C$5:$C$1000,$N21),INDEX('Cronograma Asistente Técnico'!$C$5:$C$1000,$N21)&amp;""))</f>
        <v/>
      </c>
      <c r="C21" s="79">
        <f>IF($N21="","",IF(INDEX('Cronograma Asistente Técnico'!$AM$5:$AM$1000,$N21)="","",INDEX('Cronograma Asistente Técnico'!$AM$5:$AM$1000,$N21)))</f>
        <v/>
      </c>
      <c r="D21" s="79">
        <f>IF($N21="","",IF(INDEX('Cronograma Asistente Técnico'!$AN$5:$AN$1000,$N21)="","",INDEX('Cronograma Asistente Técnico'!$AN$5:$AN$1000,$N21)))</f>
        <v/>
      </c>
      <c r="E21" s="56">
        <f>IF($N21="","",IF(NOT(ISNUMBER($D21)),"",IF($D21&lt;InicioCiclo,"Antes del ciclo",IF($D21&gt;=InicioCiclo+28,"Después del ciclo","Semana "&amp;(INT(($D21-InicioCiclo)/7)+1)))))</f>
        <v/>
      </c>
      <c r="F21" s="61">
        <f>IF($N21="","",IF($P21&gt;0,IF(1&lt;=SemanaActual,INDEX('Cronograma Asistente Técnico'!$AC$5:$AC$1000,$N21),""),IF(INDEX('Cronograma Asistente Técnico'!$I$5:$I$1000,$N21)="","",INDEX('Cronograma Asistente Técnico'!$I$5:$I$1000,$N21))))</f>
        <v/>
      </c>
      <c r="G21" s="61">
        <f>IF($N21="","",IF($P21&gt;0,IF(2&lt;=SemanaActual,INDEX('Cronograma Asistente Técnico'!$AD$5:$AD$1000,$N21),""),IF(INDEX('Cronograma Asistente Técnico'!$J$5:$J$1000,$N21)="","",INDEX('Cronograma Asistente Técnico'!$J$5:$J$1000,$N21))))</f>
        <v/>
      </c>
      <c r="H21" s="61">
        <f>IF($N21="","",IF($P21&gt;0,IF(3&lt;=SemanaActual,INDEX('Cronograma Asistente Técnico'!$AE$5:$AE$1000,$N21),""),IF(INDEX('Cronograma Asistente Técnico'!$K$5:$K$1000,$N21)="","",INDEX('Cronograma Asistente Técnico'!$K$5:$K$1000,$N21))))</f>
        <v/>
      </c>
      <c r="I21" s="61">
        <f>IF($N21="","",IF($P21&gt;0,IF(4&lt;=SemanaActual,INDEX('Cronograma Asistente Técnico'!$AF$5:$AF$1000,$N21),""),IF(INDEX('Cronograma Asistente Técnico'!$L$5:$L$1000,$N21)="","",INDEX('Cronograma Asistente Técnico'!$L$5:$L$1000,$N21))))</f>
        <v/>
      </c>
      <c r="J21" s="61">
        <f>IF($N21="","",INDEX('Cronograma Asistente Técnico'!$M$5:$M$1000,$N21))</f>
        <v/>
      </c>
      <c r="K21" s="56">
        <f>IF($N21="","",IF(N($J21)&gt;=1,"Completado",IF(AND(ISNUMBER($D21),$D21&lt;FechaRef),"Vencida",IF(N($J21)&gt;0,"En curso","Pendiente"))))</f>
        <v/>
      </c>
      <c r="L21" s="56">
        <f>IF($N21="","",INDEX('Cronograma Asistente Técnico'!$O$5:$O$1000,$N21)&amp;"")</f>
        <v/>
      </c>
      <c r="M21" s="62">
        <f>IF($N21="","",INDEX('Cronograma Asistente Técnico'!$Q$5:$Q$1000,$N21)&amp;"")</f>
        <v/>
      </c>
      <c r="N21">
        <f>IFERROR(MATCH(ROW()-4,rOrden_ATR,0),"")</f>
        <v/>
      </c>
      <c r="O21">
        <f>IF($N21="","",INDEX('Cronograma Asistente Técnico'!$V$5:$V$1000,$N21))</f>
        <v/>
      </c>
      <c r="P21">
        <f>IF($N21="","",N(INDEX('Cronograma Asistente Técnico'!$W$5:$W$1000,$N21)))</f>
        <v/>
      </c>
      <c r="Q21">
        <f>IF(OR(LEFT($L21,7)="Vencida",LEFT($L21,5)="Vence"),SUMPRODUCT(--(LEFT($L$5:$L21,7)="Vencida"))+SUMPRODUCT(--(LEFT($L$5:$L21,5)="Vence")),"")</f>
        <v/>
      </c>
    </row>
    <row r="22">
      <c r="A22" s="56">
        <f>IF($N22="","",INDEX('Cronograma Asistente Técnico'!$A$5:$A$1000,$N22))</f>
        <v/>
      </c>
      <c r="B22" s="62">
        <f>IF($N22="","",IF($O22="Sub","      ↳  "&amp;INDEX('Cronograma Asistente Técnico'!$C$5:$C$1000,$N22),INDEX('Cronograma Asistente Técnico'!$C$5:$C$1000,$N22)&amp;""))</f>
        <v/>
      </c>
      <c r="C22" s="79">
        <f>IF($N22="","",IF(INDEX('Cronograma Asistente Técnico'!$AM$5:$AM$1000,$N22)="","",INDEX('Cronograma Asistente Técnico'!$AM$5:$AM$1000,$N22)))</f>
        <v/>
      </c>
      <c r="D22" s="79">
        <f>IF($N22="","",IF(INDEX('Cronograma Asistente Técnico'!$AN$5:$AN$1000,$N22)="","",INDEX('Cronograma Asistente Técnico'!$AN$5:$AN$1000,$N22)))</f>
        <v/>
      </c>
      <c r="E22" s="56">
        <f>IF($N22="","",IF(NOT(ISNUMBER($D22)),"",IF($D22&lt;InicioCiclo,"Antes del ciclo",IF($D22&gt;=InicioCiclo+28,"Después del ciclo","Semana "&amp;(INT(($D22-InicioCiclo)/7)+1)))))</f>
        <v/>
      </c>
      <c r="F22" s="61">
        <f>IF($N22="","",IF($P22&gt;0,IF(1&lt;=SemanaActual,INDEX('Cronograma Asistente Técnico'!$AC$5:$AC$1000,$N22),""),IF(INDEX('Cronograma Asistente Técnico'!$I$5:$I$1000,$N22)="","",INDEX('Cronograma Asistente Técnico'!$I$5:$I$1000,$N22))))</f>
        <v/>
      </c>
      <c r="G22" s="61">
        <f>IF($N22="","",IF($P22&gt;0,IF(2&lt;=SemanaActual,INDEX('Cronograma Asistente Técnico'!$AD$5:$AD$1000,$N22),""),IF(INDEX('Cronograma Asistente Técnico'!$J$5:$J$1000,$N22)="","",INDEX('Cronograma Asistente Técnico'!$J$5:$J$1000,$N22))))</f>
        <v/>
      </c>
      <c r="H22" s="61">
        <f>IF($N22="","",IF($P22&gt;0,IF(3&lt;=SemanaActual,INDEX('Cronograma Asistente Técnico'!$AE$5:$AE$1000,$N22),""),IF(INDEX('Cronograma Asistente Técnico'!$K$5:$K$1000,$N22)="","",INDEX('Cronograma Asistente Técnico'!$K$5:$K$1000,$N22))))</f>
        <v/>
      </c>
      <c r="I22" s="61">
        <f>IF($N22="","",IF($P22&gt;0,IF(4&lt;=SemanaActual,INDEX('Cronograma Asistente Técnico'!$AF$5:$AF$1000,$N22),""),IF(INDEX('Cronograma Asistente Técnico'!$L$5:$L$1000,$N22)="","",INDEX('Cronograma Asistente Técnico'!$L$5:$L$1000,$N22))))</f>
        <v/>
      </c>
      <c r="J22" s="61">
        <f>IF($N22="","",INDEX('Cronograma Asistente Técnico'!$M$5:$M$1000,$N22))</f>
        <v/>
      </c>
      <c r="K22" s="56">
        <f>IF($N22="","",IF(N($J22)&gt;=1,"Completado",IF(AND(ISNUMBER($D22),$D22&lt;FechaRef),"Vencida",IF(N($J22)&gt;0,"En curso","Pendiente"))))</f>
        <v/>
      </c>
      <c r="L22" s="56">
        <f>IF($N22="","",INDEX('Cronograma Asistente Técnico'!$O$5:$O$1000,$N22)&amp;"")</f>
        <v/>
      </c>
      <c r="M22" s="62">
        <f>IF($N22="","",INDEX('Cronograma Asistente Técnico'!$Q$5:$Q$1000,$N22)&amp;"")</f>
        <v/>
      </c>
      <c r="N22">
        <f>IFERROR(MATCH(ROW()-4,rOrden_ATR,0),"")</f>
        <v/>
      </c>
      <c r="O22">
        <f>IF($N22="","",INDEX('Cronograma Asistente Técnico'!$V$5:$V$1000,$N22))</f>
        <v/>
      </c>
      <c r="P22">
        <f>IF($N22="","",N(INDEX('Cronograma Asistente Técnico'!$W$5:$W$1000,$N22)))</f>
        <v/>
      </c>
      <c r="Q22">
        <f>IF(OR(LEFT($L22,7)="Vencida",LEFT($L22,5)="Vence"),SUMPRODUCT(--(LEFT($L$5:$L22,7)="Vencida"))+SUMPRODUCT(--(LEFT($L$5:$L22,5)="Vence")),"")</f>
        <v/>
      </c>
    </row>
    <row r="23">
      <c r="A23" s="56">
        <f>IF($N23="","",INDEX('Cronograma Asistente Técnico'!$A$5:$A$1000,$N23))</f>
        <v/>
      </c>
      <c r="B23" s="62">
        <f>IF($N23="","",IF($O23="Sub","      ↳  "&amp;INDEX('Cronograma Asistente Técnico'!$C$5:$C$1000,$N23),INDEX('Cronograma Asistente Técnico'!$C$5:$C$1000,$N23)&amp;""))</f>
        <v/>
      </c>
      <c r="C23" s="79">
        <f>IF($N23="","",IF(INDEX('Cronograma Asistente Técnico'!$AM$5:$AM$1000,$N23)="","",INDEX('Cronograma Asistente Técnico'!$AM$5:$AM$1000,$N23)))</f>
        <v/>
      </c>
      <c r="D23" s="79">
        <f>IF($N23="","",IF(INDEX('Cronograma Asistente Técnico'!$AN$5:$AN$1000,$N23)="","",INDEX('Cronograma Asistente Técnico'!$AN$5:$AN$1000,$N23)))</f>
        <v/>
      </c>
      <c r="E23" s="56">
        <f>IF($N23="","",IF(NOT(ISNUMBER($D23)),"",IF($D23&lt;InicioCiclo,"Antes del ciclo",IF($D23&gt;=InicioCiclo+28,"Después del ciclo","Semana "&amp;(INT(($D23-InicioCiclo)/7)+1)))))</f>
        <v/>
      </c>
      <c r="F23" s="61">
        <f>IF($N23="","",IF($P23&gt;0,IF(1&lt;=SemanaActual,INDEX('Cronograma Asistente Técnico'!$AC$5:$AC$1000,$N23),""),IF(INDEX('Cronograma Asistente Técnico'!$I$5:$I$1000,$N23)="","",INDEX('Cronograma Asistente Técnico'!$I$5:$I$1000,$N23))))</f>
        <v/>
      </c>
      <c r="G23" s="61">
        <f>IF($N23="","",IF($P23&gt;0,IF(2&lt;=SemanaActual,INDEX('Cronograma Asistente Técnico'!$AD$5:$AD$1000,$N23),""),IF(INDEX('Cronograma Asistente Técnico'!$J$5:$J$1000,$N23)="","",INDEX('Cronograma Asistente Técnico'!$J$5:$J$1000,$N23))))</f>
        <v/>
      </c>
      <c r="H23" s="61">
        <f>IF($N23="","",IF($P23&gt;0,IF(3&lt;=SemanaActual,INDEX('Cronograma Asistente Técnico'!$AE$5:$AE$1000,$N23),""),IF(INDEX('Cronograma Asistente Técnico'!$K$5:$K$1000,$N23)="","",INDEX('Cronograma Asistente Técnico'!$K$5:$K$1000,$N23))))</f>
        <v/>
      </c>
      <c r="I23" s="61">
        <f>IF($N23="","",IF($P23&gt;0,IF(4&lt;=SemanaActual,INDEX('Cronograma Asistente Técnico'!$AF$5:$AF$1000,$N23),""),IF(INDEX('Cronograma Asistente Técnico'!$L$5:$L$1000,$N23)="","",INDEX('Cronograma Asistente Técnico'!$L$5:$L$1000,$N23))))</f>
        <v/>
      </c>
      <c r="J23" s="61">
        <f>IF($N23="","",INDEX('Cronograma Asistente Técnico'!$M$5:$M$1000,$N23))</f>
        <v/>
      </c>
      <c r="K23" s="56">
        <f>IF($N23="","",IF(N($J23)&gt;=1,"Completado",IF(AND(ISNUMBER($D23),$D23&lt;FechaRef),"Vencida",IF(N($J23)&gt;0,"En curso","Pendiente"))))</f>
        <v/>
      </c>
      <c r="L23" s="56">
        <f>IF($N23="","",INDEX('Cronograma Asistente Técnico'!$O$5:$O$1000,$N23)&amp;"")</f>
        <v/>
      </c>
      <c r="M23" s="62">
        <f>IF($N23="","",INDEX('Cronograma Asistente Técnico'!$Q$5:$Q$1000,$N23)&amp;"")</f>
        <v/>
      </c>
      <c r="N23">
        <f>IFERROR(MATCH(ROW()-4,rOrden_ATR,0),"")</f>
        <v/>
      </c>
      <c r="O23">
        <f>IF($N23="","",INDEX('Cronograma Asistente Técnico'!$V$5:$V$1000,$N23))</f>
        <v/>
      </c>
      <c r="P23">
        <f>IF($N23="","",N(INDEX('Cronograma Asistente Técnico'!$W$5:$W$1000,$N23)))</f>
        <v/>
      </c>
      <c r="Q23">
        <f>IF(OR(LEFT($L23,7)="Vencida",LEFT($L23,5)="Vence"),SUMPRODUCT(--(LEFT($L$5:$L23,7)="Vencida"))+SUMPRODUCT(--(LEFT($L$5:$L23,5)="Vence")),"")</f>
        <v/>
      </c>
    </row>
    <row r="24">
      <c r="A24" s="56">
        <f>IF($N24="","",INDEX('Cronograma Asistente Técnico'!$A$5:$A$1000,$N24))</f>
        <v/>
      </c>
      <c r="B24" s="62">
        <f>IF($N24="","",IF($O24="Sub","      ↳  "&amp;INDEX('Cronograma Asistente Técnico'!$C$5:$C$1000,$N24),INDEX('Cronograma Asistente Técnico'!$C$5:$C$1000,$N24)&amp;""))</f>
        <v/>
      </c>
      <c r="C24" s="79">
        <f>IF($N24="","",IF(INDEX('Cronograma Asistente Técnico'!$AM$5:$AM$1000,$N24)="","",INDEX('Cronograma Asistente Técnico'!$AM$5:$AM$1000,$N24)))</f>
        <v/>
      </c>
      <c r="D24" s="79">
        <f>IF($N24="","",IF(INDEX('Cronograma Asistente Técnico'!$AN$5:$AN$1000,$N24)="","",INDEX('Cronograma Asistente Técnico'!$AN$5:$AN$1000,$N24)))</f>
        <v/>
      </c>
      <c r="E24" s="56">
        <f>IF($N24="","",IF(NOT(ISNUMBER($D24)),"",IF($D24&lt;InicioCiclo,"Antes del ciclo",IF($D24&gt;=InicioCiclo+28,"Después del ciclo","Semana "&amp;(INT(($D24-InicioCiclo)/7)+1)))))</f>
        <v/>
      </c>
      <c r="F24" s="61">
        <f>IF($N24="","",IF($P24&gt;0,IF(1&lt;=SemanaActual,INDEX('Cronograma Asistente Técnico'!$AC$5:$AC$1000,$N24),""),IF(INDEX('Cronograma Asistente Técnico'!$I$5:$I$1000,$N24)="","",INDEX('Cronograma Asistente Técnico'!$I$5:$I$1000,$N24))))</f>
        <v/>
      </c>
      <c r="G24" s="61">
        <f>IF($N24="","",IF($P24&gt;0,IF(2&lt;=SemanaActual,INDEX('Cronograma Asistente Técnico'!$AD$5:$AD$1000,$N24),""),IF(INDEX('Cronograma Asistente Técnico'!$J$5:$J$1000,$N24)="","",INDEX('Cronograma Asistente Técnico'!$J$5:$J$1000,$N24))))</f>
        <v/>
      </c>
      <c r="H24" s="61">
        <f>IF($N24="","",IF($P24&gt;0,IF(3&lt;=SemanaActual,INDEX('Cronograma Asistente Técnico'!$AE$5:$AE$1000,$N24),""),IF(INDEX('Cronograma Asistente Técnico'!$K$5:$K$1000,$N24)="","",INDEX('Cronograma Asistente Técnico'!$K$5:$K$1000,$N24))))</f>
        <v/>
      </c>
      <c r="I24" s="61">
        <f>IF($N24="","",IF($P24&gt;0,IF(4&lt;=SemanaActual,INDEX('Cronograma Asistente Técnico'!$AF$5:$AF$1000,$N24),""),IF(INDEX('Cronograma Asistente Técnico'!$L$5:$L$1000,$N24)="","",INDEX('Cronograma Asistente Técnico'!$L$5:$L$1000,$N24))))</f>
        <v/>
      </c>
      <c r="J24" s="61">
        <f>IF($N24="","",INDEX('Cronograma Asistente Técnico'!$M$5:$M$1000,$N24))</f>
        <v/>
      </c>
      <c r="K24" s="56">
        <f>IF($N24="","",IF(N($J24)&gt;=1,"Completado",IF(AND(ISNUMBER($D24),$D24&lt;FechaRef),"Vencida",IF(N($J24)&gt;0,"En curso","Pendiente"))))</f>
        <v/>
      </c>
      <c r="L24" s="56">
        <f>IF($N24="","",INDEX('Cronograma Asistente Técnico'!$O$5:$O$1000,$N24)&amp;"")</f>
        <v/>
      </c>
      <c r="M24" s="62">
        <f>IF($N24="","",INDEX('Cronograma Asistente Técnico'!$Q$5:$Q$1000,$N24)&amp;"")</f>
        <v/>
      </c>
      <c r="N24">
        <f>IFERROR(MATCH(ROW()-4,rOrden_ATR,0),"")</f>
        <v/>
      </c>
      <c r="O24">
        <f>IF($N24="","",INDEX('Cronograma Asistente Técnico'!$V$5:$V$1000,$N24))</f>
        <v/>
      </c>
      <c r="P24">
        <f>IF($N24="","",N(INDEX('Cronograma Asistente Técnico'!$W$5:$W$1000,$N24)))</f>
        <v/>
      </c>
      <c r="Q24">
        <f>IF(OR(LEFT($L24,7)="Vencida",LEFT($L24,5)="Vence"),SUMPRODUCT(--(LEFT($L$5:$L24,7)="Vencida"))+SUMPRODUCT(--(LEFT($L$5:$L24,5)="Vence")),"")</f>
        <v/>
      </c>
    </row>
    <row r="25">
      <c r="A25" s="56">
        <f>IF($N25="","",INDEX('Cronograma Asistente Técnico'!$A$5:$A$1000,$N25))</f>
        <v/>
      </c>
      <c r="B25" s="62">
        <f>IF($N25="","",IF($O25="Sub","      ↳  "&amp;INDEX('Cronograma Asistente Técnico'!$C$5:$C$1000,$N25),INDEX('Cronograma Asistente Técnico'!$C$5:$C$1000,$N25)&amp;""))</f>
        <v/>
      </c>
      <c r="C25" s="79">
        <f>IF($N25="","",IF(INDEX('Cronograma Asistente Técnico'!$AM$5:$AM$1000,$N25)="","",INDEX('Cronograma Asistente Técnico'!$AM$5:$AM$1000,$N25)))</f>
        <v/>
      </c>
      <c r="D25" s="79">
        <f>IF($N25="","",IF(INDEX('Cronograma Asistente Técnico'!$AN$5:$AN$1000,$N25)="","",INDEX('Cronograma Asistente Técnico'!$AN$5:$AN$1000,$N25)))</f>
        <v/>
      </c>
      <c r="E25" s="56">
        <f>IF($N25="","",IF(NOT(ISNUMBER($D25)),"",IF($D25&lt;InicioCiclo,"Antes del ciclo",IF($D25&gt;=InicioCiclo+28,"Después del ciclo","Semana "&amp;(INT(($D25-InicioCiclo)/7)+1)))))</f>
        <v/>
      </c>
      <c r="F25" s="61">
        <f>IF($N25="","",IF($P25&gt;0,IF(1&lt;=SemanaActual,INDEX('Cronograma Asistente Técnico'!$AC$5:$AC$1000,$N25),""),IF(INDEX('Cronograma Asistente Técnico'!$I$5:$I$1000,$N25)="","",INDEX('Cronograma Asistente Técnico'!$I$5:$I$1000,$N25))))</f>
        <v/>
      </c>
      <c r="G25" s="61">
        <f>IF($N25="","",IF($P25&gt;0,IF(2&lt;=SemanaActual,INDEX('Cronograma Asistente Técnico'!$AD$5:$AD$1000,$N25),""),IF(INDEX('Cronograma Asistente Técnico'!$J$5:$J$1000,$N25)="","",INDEX('Cronograma Asistente Técnico'!$J$5:$J$1000,$N25))))</f>
        <v/>
      </c>
      <c r="H25" s="61">
        <f>IF($N25="","",IF($P25&gt;0,IF(3&lt;=SemanaActual,INDEX('Cronograma Asistente Técnico'!$AE$5:$AE$1000,$N25),""),IF(INDEX('Cronograma Asistente Técnico'!$K$5:$K$1000,$N25)="","",INDEX('Cronograma Asistente Técnico'!$K$5:$K$1000,$N25))))</f>
        <v/>
      </c>
      <c r="I25" s="61">
        <f>IF($N25="","",IF($P25&gt;0,IF(4&lt;=SemanaActual,INDEX('Cronograma Asistente Técnico'!$AF$5:$AF$1000,$N25),""),IF(INDEX('Cronograma Asistente Técnico'!$L$5:$L$1000,$N25)="","",INDEX('Cronograma Asistente Técnico'!$L$5:$L$1000,$N25))))</f>
        <v/>
      </c>
      <c r="J25" s="61">
        <f>IF($N25="","",INDEX('Cronograma Asistente Técnico'!$M$5:$M$1000,$N25))</f>
        <v/>
      </c>
      <c r="K25" s="56">
        <f>IF($N25="","",IF(N($J25)&gt;=1,"Completado",IF(AND(ISNUMBER($D25),$D25&lt;FechaRef),"Vencida",IF(N($J25)&gt;0,"En curso","Pendiente"))))</f>
        <v/>
      </c>
      <c r="L25" s="56">
        <f>IF($N25="","",INDEX('Cronograma Asistente Técnico'!$O$5:$O$1000,$N25)&amp;"")</f>
        <v/>
      </c>
      <c r="M25" s="62">
        <f>IF($N25="","",INDEX('Cronograma Asistente Técnico'!$Q$5:$Q$1000,$N25)&amp;"")</f>
        <v/>
      </c>
      <c r="N25">
        <f>IFERROR(MATCH(ROW()-4,rOrden_ATR,0),"")</f>
        <v/>
      </c>
      <c r="O25">
        <f>IF($N25="","",INDEX('Cronograma Asistente Técnico'!$V$5:$V$1000,$N25))</f>
        <v/>
      </c>
      <c r="P25">
        <f>IF($N25="","",N(INDEX('Cronograma Asistente Técnico'!$W$5:$W$1000,$N25)))</f>
        <v/>
      </c>
      <c r="Q25">
        <f>IF(OR(LEFT($L25,7)="Vencida",LEFT($L25,5)="Vence"),SUMPRODUCT(--(LEFT($L$5:$L25,7)="Vencida"))+SUMPRODUCT(--(LEFT($L$5:$L25,5)="Vence")),"")</f>
        <v/>
      </c>
    </row>
    <row r="26">
      <c r="A26" s="56">
        <f>IF($N26="","",INDEX('Cronograma Asistente Técnico'!$A$5:$A$1000,$N26))</f>
        <v/>
      </c>
      <c r="B26" s="62">
        <f>IF($N26="","",IF($O26="Sub","      ↳  "&amp;INDEX('Cronograma Asistente Técnico'!$C$5:$C$1000,$N26),INDEX('Cronograma Asistente Técnico'!$C$5:$C$1000,$N26)&amp;""))</f>
        <v/>
      </c>
      <c r="C26" s="79">
        <f>IF($N26="","",IF(INDEX('Cronograma Asistente Técnico'!$AM$5:$AM$1000,$N26)="","",INDEX('Cronograma Asistente Técnico'!$AM$5:$AM$1000,$N26)))</f>
        <v/>
      </c>
      <c r="D26" s="79">
        <f>IF($N26="","",IF(INDEX('Cronograma Asistente Técnico'!$AN$5:$AN$1000,$N26)="","",INDEX('Cronograma Asistente Técnico'!$AN$5:$AN$1000,$N26)))</f>
        <v/>
      </c>
      <c r="E26" s="56">
        <f>IF($N26="","",IF(NOT(ISNUMBER($D26)),"",IF($D26&lt;InicioCiclo,"Antes del ciclo",IF($D26&gt;=InicioCiclo+28,"Después del ciclo","Semana "&amp;(INT(($D26-InicioCiclo)/7)+1)))))</f>
        <v/>
      </c>
      <c r="F26" s="61">
        <f>IF($N26="","",IF($P26&gt;0,IF(1&lt;=SemanaActual,INDEX('Cronograma Asistente Técnico'!$AC$5:$AC$1000,$N26),""),IF(INDEX('Cronograma Asistente Técnico'!$I$5:$I$1000,$N26)="","",INDEX('Cronograma Asistente Técnico'!$I$5:$I$1000,$N26))))</f>
        <v/>
      </c>
      <c r="G26" s="61">
        <f>IF($N26="","",IF($P26&gt;0,IF(2&lt;=SemanaActual,INDEX('Cronograma Asistente Técnico'!$AD$5:$AD$1000,$N26),""),IF(INDEX('Cronograma Asistente Técnico'!$J$5:$J$1000,$N26)="","",INDEX('Cronograma Asistente Técnico'!$J$5:$J$1000,$N26))))</f>
        <v/>
      </c>
      <c r="H26" s="61">
        <f>IF($N26="","",IF($P26&gt;0,IF(3&lt;=SemanaActual,INDEX('Cronograma Asistente Técnico'!$AE$5:$AE$1000,$N26),""),IF(INDEX('Cronograma Asistente Técnico'!$K$5:$K$1000,$N26)="","",INDEX('Cronograma Asistente Técnico'!$K$5:$K$1000,$N26))))</f>
        <v/>
      </c>
      <c r="I26" s="61">
        <f>IF($N26="","",IF($P26&gt;0,IF(4&lt;=SemanaActual,INDEX('Cronograma Asistente Técnico'!$AF$5:$AF$1000,$N26),""),IF(INDEX('Cronograma Asistente Técnico'!$L$5:$L$1000,$N26)="","",INDEX('Cronograma Asistente Técnico'!$L$5:$L$1000,$N26))))</f>
        <v/>
      </c>
      <c r="J26" s="61">
        <f>IF($N26="","",INDEX('Cronograma Asistente Técnico'!$M$5:$M$1000,$N26))</f>
        <v/>
      </c>
      <c r="K26" s="56">
        <f>IF($N26="","",IF(N($J26)&gt;=1,"Completado",IF(AND(ISNUMBER($D26),$D26&lt;FechaRef),"Vencida",IF(N($J26)&gt;0,"En curso","Pendiente"))))</f>
        <v/>
      </c>
      <c r="L26" s="56">
        <f>IF($N26="","",INDEX('Cronograma Asistente Técnico'!$O$5:$O$1000,$N26)&amp;"")</f>
        <v/>
      </c>
      <c r="M26" s="62">
        <f>IF($N26="","",INDEX('Cronograma Asistente Técnico'!$Q$5:$Q$1000,$N26)&amp;"")</f>
        <v/>
      </c>
      <c r="N26">
        <f>IFERROR(MATCH(ROW()-4,rOrden_ATR,0),"")</f>
        <v/>
      </c>
      <c r="O26">
        <f>IF($N26="","",INDEX('Cronograma Asistente Técnico'!$V$5:$V$1000,$N26))</f>
        <v/>
      </c>
      <c r="P26">
        <f>IF($N26="","",N(INDEX('Cronograma Asistente Técnico'!$W$5:$W$1000,$N26)))</f>
        <v/>
      </c>
      <c r="Q26">
        <f>IF(OR(LEFT($L26,7)="Vencida",LEFT($L26,5)="Vence"),SUMPRODUCT(--(LEFT($L$5:$L26,7)="Vencida"))+SUMPRODUCT(--(LEFT($L$5:$L26,5)="Vence")),"")</f>
        <v/>
      </c>
    </row>
    <row r="27">
      <c r="A27" s="56">
        <f>IF($N27="","",INDEX('Cronograma Asistente Técnico'!$A$5:$A$1000,$N27))</f>
        <v/>
      </c>
      <c r="B27" s="62">
        <f>IF($N27="","",IF($O27="Sub","      ↳  "&amp;INDEX('Cronograma Asistente Técnico'!$C$5:$C$1000,$N27),INDEX('Cronograma Asistente Técnico'!$C$5:$C$1000,$N27)&amp;""))</f>
        <v/>
      </c>
      <c r="C27" s="79">
        <f>IF($N27="","",IF(INDEX('Cronograma Asistente Técnico'!$AM$5:$AM$1000,$N27)="","",INDEX('Cronograma Asistente Técnico'!$AM$5:$AM$1000,$N27)))</f>
        <v/>
      </c>
      <c r="D27" s="79">
        <f>IF($N27="","",IF(INDEX('Cronograma Asistente Técnico'!$AN$5:$AN$1000,$N27)="","",INDEX('Cronograma Asistente Técnico'!$AN$5:$AN$1000,$N27)))</f>
        <v/>
      </c>
      <c r="E27" s="56">
        <f>IF($N27="","",IF(NOT(ISNUMBER($D27)),"",IF($D27&lt;InicioCiclo,"Antes del ciclo",IF($D27&gt;=InicioCiclo+28,"Después del ciclo","Semana "&amp;(INT(($D27-InicioCiclo)/7)+1)))))</f>
        <v/>
      </c>
      <c r="F27" s="61">
        <f>IF($N27="","",IF($P27&gt;0,IF(1&lt;=SemanaActual,INDEX('Cronograma Asistente Técnico'!$AC$5:$AC$1000,$N27),""),IF(INDEX('Cronograma Asistente Técnico'!$I$5:$I$1000,$N27)="","",INDEX('Cronograma Asistente Técnico'!$I$5:$I$1000,$N27))))</f>
        <v/>
      </c>
      <c r="G27" s="61">
        <f>IF($N27="","",IF($P27&gt;0,IF(2&lt;=SemanaActual,INDEX('Cronograma Asistente Técnico'!$AD$5:$AD$1000,$N27),""),IF(INDEX('Cronograma Asistente Técnico'!$J$5:$J$1000,$N27)="","",INDEX('Cronograma Asistente Técnico'!$J$5:$J$1000,$N27))))</f>
        <v/>
      </c>
      <c r="H27" s="61">
        <f>IF($N27="","",IF($P27&gt;0,IF(3&lt;=SemanaActual,INDEX('Cronograma Asistente Técnico'!$AE$5:$AE$1000,$N27),""),IF(INDEX('Cronograma Asistente Técnico'!$K$5:$K$1000,$N27)="","",INDEX('Cronograma Asistente Técnico'!$K$5:$K$1000,$N27))))</f>
        <v/>
      </c>
      <c r="I27" s="61">
        <f>IF($N27="","",IF($P27&gt;0,IF(4&lt;=SemanaActual,INDEX('Cronograma Asistente Técnico'!$AF$5:$AF$1000,$N27),""),IF(INDEX('Cronograma Asistente Técnico'!$L$5:$L$1000,$N27)="","",INDEX('Cronograma Asistente Técnico'!$L$5:$L$1000,$N27))))</f>
        <v/>
      </c>
      <c r="J27" s="61">
        <f>IF($N27="","",INDEX('Cronograma Asistente Técnico'!$M$5:$M$1000,$N27))</f>
        <v/>
      </c>
      <c r="K27" s="56">
        <f>IF($N27="","",IF(N($J27)&gt;=1,"Completado",IF(AND(ISNUMBER($D27),$D27&lt;FechaRef),"Vencida",IF(N($J27)&gt;0,"En curso","Pendiente"))))</f>
        <v/>
      </c>
      <c r="L27" s="56">
        <f>IF($N27="","",INDEX('Cronograma Asistente Técnico'!$O$5:$O$1000,$N27)&amp;"")</f>
        <v/>
      </c>
      <c r="M27" s="62">
        <f>IF($N27="","",INDEX('Cronograma Asistente Técnico'!$Q$5:$Q$1000,$N27)&amp;"")</f>
        <v/>
      </c>
      <c r="N27">
        <f>IFERROR(MATCH(ROW()-4,rOrden_ATR,0),"")</f>
        <v/>
      </c>
      <c r="O27">
        <f>IF($N27="","",INDEX('Cronograma Asistente Técnico'!$V$5:$V$1000,$N27))</f>
        <v/>
      </c>
      <c r="P27">
        <f>IF($N27="","",N(INDEX('Cronograma Asistente Técnico'!$W$5:$W$1000,$N27)))</f>
        <v/>
      </c>
      <c r="Q27">
        <f>IF(OR(LEFT($L27,7)="Vencida",LEFT($L27,5)="Vence"),SUMPRODUCT(--(LEFT($L$5:$L27,7)="Vencida"))+SUMPRODUCT(--(LEFT($L$5:$L27,5)="Vence")),"")</f>
        <v/>
      </c>
    </row>
    <row r="28">
      <c r="A28" s="56">
        <f>IF($N28="","",INDEX('Cronograma Asistente Técnico'!$A$5:$A$1000,$N28))</f>
        <v/>
      </c>
      <c r="B28" s="62">
        <f>IF($N28="","",IF($O28="Sub","      ↳  "&amp;INDEX('Cronograma Asistente Técnico'!$C$5:$C$1000,$N28),INDEX('Cronograma Asistente Técnico'!$C$5:$C$1000,$N28)&amp;""))</f>
        <v/>
      </c>
      <c r="C28" s="79">
        <f>IF($N28="","",IF(INDEX('Cronograma Asistente Técnico'!$AM$5:$AM$1000,$N28)="","",INDEX('Cronograma Asistente Técnico'!$AM$5:$AM$1000,$N28)))</f>
        <v/>
      </c>
      <c r="D28" s="79">
        <f>IF($N28="","",IF(INDEX('Cronograma Asistente Técnico'!$AN$5:$AN$1000,$N28)="","",INDEX('Cronograma Asistente Técnico'!$AN$5:$AN$1000,$N28)))</f>
        <v/>
      </c>
      <c r="E28" s="56">
        <f>IF($N28="","",IF(NOT(ISNUMBER($D28)),"",IF($D28&lt;InicioCiclo,"Antes del ciclo",IF($D28&gt;=InicioCiclo+28,"Después del ciclo","Semana "&amp;(INT(($D28-InicioCiclo)/7)+1)))))</f>
        <v/>
      </c>
      <c r="F28" s="61">
        <f>IF($N28="","",IF($P28&gt;0,IF(1&lt;=SemanaActual,INDEX('Cronograma Asistente Técnico'!$AC$5:$AC$1000,$N28),""),IF(INDEX('Cronograma Asistente Técnico'!$I$5:$I$1000,$N28)="","",INDEX('Cronograma Asistente Técnico'!$I$5:$I$1000,$N28))))</f>
        <v/>
      </c>
      <c r="G28" s="61">
        <f>IF($N28="","",IF($P28&gt;0,IF(2&lt;=SemanaActual,INDEX('Cronograma Asistente Técnico'!$AD$5:$AD$1000,$N28),""),IF(INDEX('Cronograma Asistente Técnico'!$J$5:$J$1000,$N28)="","",INDEX('Cronograma Asistente Técnico'!$J$5:$J$1000,$N28))))</f>
        <v/>
      </c>
      <c r="H28" s="61">
        <f>IF($N28="","",IF($P28&gt;0,IF(3&lt;=SemanaActual,INDEX('Cronograma Asistente Técnico'!$AE$5:$AE$1000,$N28),""),IF(INDEX('Cronograma Asistente Técnico'!$K$5:$K$1000,$N28)="","",INDEX('Cronograma Asistente Técnico'!$K$5:$K$1000,$N28))))</f>
        <v/>
      </c>
      <c r="I28" s="61">
        <f>IF($N28="","",IF($P28&gt;0,IF(4&lt;=SemanaActual,INDEX('Cronograma Asistente Técnico'!$AF$5:$AF$1000,$N28),""),IF(INDEX('Cronograma Asistente Técnico'!$L$5:$L$1000,$N28)="","",INDEX('Cronograma Asistente Técnico'!$L$5:$L$1000,$N28))))</f>
        <v/>
      </c>
      <c r="J28" s="61">
        <f>IF($N28="","",INDEX('Cronograma Asistente Técnico'!$M$5:$M$1000,$N28))</f>
        <v/>
      </c>
      <c r="K28" s="56">
        <f>IF($N28="","",IF(N($J28)&gt;=1,"Completado",IF(AND(ISNUMBER($D28),$D28&lt;FechaRef),"Vencida",IF(N($J28)&gt;0,"En curso","Pendiente"))))</f>
        <v/>
      </c>
      <c r="L28" s="56">
        <f>IF($N28="","",INDEX('Cronograma Asistente Técnico'!$O$5:$O$1000,$N28)&amp;"")</f>
        <v/>
      </c>
      <c r="M28" s="62">
        <f>IF($N28="","",INDEX('Cronograma Asistente Técnico'!$Q$5:$Q$1000,$N28)&amp;"")</f>
        <v/>
      </c>
      <c r="N28">
        <f>IFERROR(MATCH(ROW()-4,rOrden_ATR,0),"")</f>
        <v/>
      </c>
      <c r="O28">
        <f>IF($N28="","",INDEX('Cronograma Asistente Técnico'!$V$5:$V$1000,$N28))</f>
        <v/>
      </c>
      <c r="P28">
        <f>IF($N28="","",N(INDEX('Cronograma Asistente Técnico'!$W$5:$W$1000,$N28)))</f>
        <v/>
      </c>
      <c r="Q28">
        <f>IF(OR(LEFT($L28,7)="Vencida",LEFT($L28,5)="Vence"),SUMPRODUCT(--(LEFT($L$5:$L28,7)="Vencida"))+SUMPRODUCT(--(LEFT($L$5:$L28,5)="Vence")),"")</f>
        <v/>
      </c>
    </row>
    <row r="29">
      <c r="A29" s="56">
        <f>IF($N29="","",INDEX('Cronograma Asistente Técnico'!$A$5:$A$1000,$N29))</f>
        <v/>
      </c>
      <c r="B29" s="62">
        <f>IF($N29="","",IF($O29="Sub","      ↳  "&amp;INDEX('Cronograma Asistente Técnico'!$C$5:$C$1000,$N29),INDEX('Cronograma Asistente Técnico'!$C$5:$C$1000,$N29)&amp;""))</f>
        <v/>
      </c>
      <c r="C29" s="79">
        <f>IF($N29="","",IF(INDEX('Cronograma Asistente Técnico'!$AM$5:$AM$1000,$N29)="","",INDEX('Cronograma Asistente Técnico'!$AM$5:$AM$1000,$N29)))</f>
        <v/>
      </c>
      <c r="D29" s="79">
        <f>IF($N29="","",IF(INDEX('Cronograma Asistente Técnico'!$AN$5:$AN$1000,$N29)="","",INDEX('Cronograma Asistente Técnico'!$AN$5:$AN$1000,$N29)))</f>
        <v/>
      </c>
      <c r="E29" s="56">
        <f>IF($N29="","",IF(NOT(ISNUMBER($D29)),"",IF($D29&lt;InicioCiclo,"Antes del ciclo",IF($D29&gt;=InicioCiclo+28,"Después del ciclo","Semana "&amp;(INT(($D29-InicioCiclo)/7)+1)))))</f>
        <v/>
      </c>
      <c r="F29" s="61">
        <f>IF($N29="","",IF($P29&gt;0,IF(1&lt;=SemanaActual,INDEX('Cronograma Asistente Técnico'!$AC$5:$AC$1000,$N29),""),IF(INDEX('Cronograma Asistente Técnico'!$I$5:$I$1000,$N29)="","",INDEX('Cronograma Asistente Técnico'!$I$5:$I$1000,$N29))))</f>
        <v/>
      </c>
      <c r="G29" s="61">
        <f>IF($N29="","",IF($P29&gt;0,IF(2&lt;=SemanaActual,INDEX('Cronograma Asistente Técnico'!$AD$5:$AD$1000,$N29),""),IF(INDEX('Cronograma Asistente Técnico'!$J$5:$J$1000,$N29)="","",INDEX('Cronograma Asistente Técnico'!$J$5:$J$1000,$N29))))</f>
        <v/>
      </c>
      <c r="H29" s="61">
        <f>IF($N29="","",IF($P29&gt;0,IF(3&lt;=SemanaActual,INDEX('Cronograma Asistente Técnico'!$AE$5:$AE$1000,$N29),""),IF(INDEX('Cronograma Asistente Técnico'!$K$5:$K$1000,$N29)="","",INDEX('Cronograma Asistente Técnico'!$K$5:$K$1000,$N29))))</f>
        <v/>
      </c>
      <c r="I29" s="61">
        <f>IF($N29="","",IF($P29&gt;0,IF(4&lt;=SemanaActual,INDEX('Cronograma Asistente Técnico'!$AF$5:$AF$1000,$N29),""),IF(INDEX('Cronograma Asistente Técnico'!$L$5:$L$1000,$N29)="","",INDEX('Cronograma Asistente Técnico'!$L$5:$L$1000,$N29))))</f>
        <v/>
      </c>
      <c r="J29" s="61">
        <f>IF($N29="","",INDEX('Cronograma Asistente Técnico'!$M$5:$M$1000,$N29))</f>
        <v/>
      </c>
      <c r="K29" s="56">
        <f>IF($N29="","",IF(N($J29)&gt;=1,"Completado",IF(AND(ISNUMBER($D29),$D29&lt;FechaRef),"Vencida",IF(N($J29)&gt;0,"En curso","Pendiente"))))</f>
        <v/>
      </c>
      <c r="L29" s="56">
        <f>IF($N29="","",INDEX('Cronograma Asistente Técnico'!$O$5:$O$1000,$N29)&amp;"")</f>
        <v/>
      </c>
      <c r="M29" s="62">
        <f>IF($N29="","",INDEX('Cronograma Asistente Técnico'!$Q$5:$Q$1000,$N29)&amp;"")</f>
        <v/>
      </c>
      <c r="N29">
        <f>IFERROR(MATCH(ROW()-4,rOrden_ATR,0),"")</f>
        <v/>
      </c>
      <c r="O29">
        <f>IF($N29="","",INDEX('Cronograma Asistente Técnico'!$V$5:$V$1000,$N29))</f>
        <v/>
      </c>
      <c r="P29">
        <f>IF($N29="","",N(INDEX('Cronograma Asistente Técnico'!$W$5:$W$1000,$N29)))</f>
        <v/>
      </c>
      <c r="Q29">
        <f>IF(OR(LEFT($L29,7)="Vencida",LEFT($L29,5)="Vence"),SUMPRODUCT(--(LEFT($L$5:$L29,7)="Vencida"))+SUMPRODUCT(--(LEFT($L$5:$L29,5)="Vence")),"")</f>
        <v/>
      </c>
    </row>
    <row r="30">
      <c r="A30" s="56">
        <f>IF($N30="","",INDEX('Cronograma Asistente Técnico'!$A$5:$A$1000,$N30))</f>
        <v/>
      </c>
      <c r="B30" s="62">
        <f>IF($N30="","",IF($O30="Sub","      ↳  "&amp;INDEX('Cronograma Asistente Técnico'!$C$5:$C$1000,$N30),INDEX('Cronograma Asistente Técnico'!$C$5:$C$1000,$N30)&amp;""))</f>
        <v/>
      </c>
      <c r="C30" s="79">
        <f>IF($N30="","",IF(INDEX('Cronograma Asistente Técnico'!$AM$5:$AM$1000,$N30)="","",INDEX('Cronograma Asistente Técnico'!$AM$5:$AM$1000,$N30)))</f>
        <v/>
      </c>
      <c r="D30" s="79">
        <f>IF($N30="","",IF(INDEX('Cronograma Asistente Técnico'!$AN$5:$AN$1000,$N30)="","",INDEX('Cronograma Asistente Técnico'!$AN$5:$AN$1000,$N30)))</f>
        <v/>
      </c>
      <c r="E30" s="56">
        <f>IF($N30="","",IF(NOT(ISNUMBER($D30)),"",IF($D30&lt;InicioCiclo,"Antes del ciclo",IF($D30&gt;=InicioCiclo+28,"Después del ciclo","Semana "&amp;(INT(($D30-InicioCiclo)/7)+1)))))</f>
        <v/>
      </c>
      <c r="F30" s="61">
        <f>IF($N30="","",IF($P30&gt;0,IF(1&lt;=SemanaActual,INDEX('Cronograma Asistente Técnico'!$AC$5:$AC$1000,$N30),""),IF(INDEX('Cronograma Asistente Técnico'!$I$5:$I$1000,$N30)="","",INDEX('Cronograma Asistente Técnico'!$I$5:$I$1000,$N30))))</f>
        <v/>
      </c>
      <c r="G30" s="61">
        <f>IF($N30="","",IF($P30&gt;0,IF(2&lt;=SemanaActual,INDEX('Cronograma Asistente Técnico'!$AD$5:$AD$1000,$N30),""),IF(INDEX('Cronograma Asistente Técnico'!$J$5:$J$1000,$N30)="","",INDEX('Cronograma Asistente Técnico'!$J$5:$J$1000,$N30))))</f>
        <v/>
      </c>
      <c r="H30" s="61">
        <f>IF($N30="","",IF($P30&gt;0,IF(3&lt;=SemanaActual,INDEX('Cronograma Asistente Técnico'!$AE$5:$AE$1000,$N30),""),IF(INDEX('Cronograma Asistente Técnico'!$K$5:$K$1000,$N30)="","",INDEX('Cronograma Asistente Técnico'!$K$5:$K$1000,$N30))))</f>
        <v/>
      </c>
      <c r="I30" s="61">
        <f>IF($N30="","",IF($P30&gt;0,IF(4&lt;=SemanaActual,INDEX('Cronograma Asistente Técnico'!$AF$5:$AF$1000,$N30),""),IF(INDEX('Cronograma Asistente Técnico'!$L$5:$L$1000,$N30)="","",INDEX('Cronograma Asistente Técnico'!$L$5:$L$1000,$N30))))</f>
        <v/>
      </c>
      <c r="J30" s="61">
        <f>IF($N30="","",INDEX('Cronograma Asistente Técnico'!$M$5:$M$1000,$N30))</f>
        <v/>
      </c>
      <c r="K30" s="56">
        <f>IF($N30="","",IF(N($J30)&gt;=1,"Completado",IF(AND(ISNUMBER($D30),$D30&lt;FechaRef),"Vencida",IF(N($J30)&gt;0,"En curso","Pendiente"))))</f>
        <v/>
      </c>
      <c r="L30" s="56">
        <f>IF($N30="","",INDEX('Cronograma Asistente Técnico'!$O$5:$O$1000,$N30)&amp;"")</f>
        <v/>
      </c>
      <c r="M30" s="62">
        <f>IF($N30="","",INDEX('Cronograma Asistente Técnico'!$Q$5:$Q$1000,$N30)&amp;"")</f>
        <v/>
      </c>
      <c r="N30">
        <f>IFERROR(MATCH(ROW()-4,rOrden_ATR,0),"")</f>
        <v/>
      </c>
      <c r="O30">
        <f>IF($N30="","",INDEX('Cronograma Asistente Técnico'!$V$5:$V$1000,$N30))</f>
        <v/>
      </c>
      <c r="P30">
        <f>IF($N30="","",N(INDEX('Cronograma Asistente Técnico'!$W$5:$W$1000,$N30)))</f>
        <v/>
      </c>
      <c r="Q30">
        <f>IF(OR(LEFT($L30,7)="Vencida",LEFT($L30,5)="Vence"),SUMPRODUCT(--(LEFT($L$5:$L30,7)="Vencida"))+SUMPRODUCT(--(LEFT($L$5:$L30,5)="Vence")),"")</f>
        <v/>
      </c>
    </row>
    <row r="31">
      <c r="A31" s="56">
        <f>IF($N31="","",INDEX('Cronograma Asistente Técnico'!$A$5:$A$1000,$N31))</f>
        <v/>
      </c>
      <c r="B31" s="62">
        <f>IF($N31="","",IF($O31="Sub","      ↳  "&amp;INDEX('Cronograma Asistente Técnico'!$C$5:$C$1000,$N31),INDEX('Cronograma Asistente Técnico'!$C$5:$C$1000,$N31)&amp;""))</f>
        <v/>
      </c>
      <c r="C31" s="79">
        <f>IF($N31="","",IF(INDEX('Cronograma Asistente Técnico'!$AM$5:$AM$1000,$N31)="","",INDEX('Cronograma Asistente Técnico'!$AM$5:$AM$1000,$N31)))</f>
        <v/>
      </c>
      <c r="D31" s="79">
        <f>IF($N31="","",IF(INDEX('Cronograma Asistente Técnico'!$AN$5:$AN$1000,$N31)="","",INDEX('Cronograma Asistente Técnico'!$AN$5:$AN$1000,$N31)))</f>
        <v/>
      </c>
      <c r="E31" s="56">
        <f>IF($N31="","",IF(NOT(ISNUMBER($D31)),"",IF($D31&lt;InicioCiclo,"Antes del ciclo",IF($D31&gt;=InicioCiclo+28,"Después del ciclo","Semana "&amp;(INT(($D31-InicioCiclo)/7)+1)))))</f>
        <v/>
      </c>
      <c r="F31" s="61">
        <f>IF($N31="","",IF($P31&gt;0,IF(1&lt;=SemanaActual,INDEX('Cronograma Asistente Técnico'!$AC$5:$AC$1000,$N31),""),IF(INDEX('Cronograma Asistente Técnico'!$I$5:$I$1000,$N31)="","",INDEX('Cronograma Asistente Técnico'!$I$5:$I$1000,$N31))))</f>
        <v/>
      </c>
      <c r="G31" s="61">
        <f>IF($N31="","",IF($P31&gt;0,IF(2&lt;=SemanaActual,INDEX('Cronograma Asistente Técnico'!$AD$5:$AD$1000,$N31),""),IF(INDEX('Cronograma Asistente Técnico'!$J$5:$J$1000,$N31)="","",INDEX('Cronograma Asistente Técnico'!$J$5:$J$1000,$N31))))</f>
        <v/>
      </c>
      <c r="H31" s="61">
        <f>IF($N31="","",IF($P31&gt;0,IF(3&lt;=SemanaActual,INDEX('Cronograma Asistente Técnico'!$AE$5:$AE$1000,$N31),""),IF(INDEX('Cronograma Asistente Técnico'!$K$5:$K$1000,$N31)="","",INDEX('Cronograma Asistente Técnico'!$K$5:$K$1000,$N31))))</f>
        <v/>
      </c>
      <c r="I31" s="61">
        <f>IF($N31="","",IF($P31&gt;0,IF(4&lt;=SemanaActual,INDEX('Cronograma Asistente Técnico'!$AF$5:$AF$1000,$N31),""),IF(INDEX('Cronograma Asistente Técnico'!$L$5:$L$1000,$N31)="","",INDEX('Cronograma Asistente Técnico'!$L$5:$L$1000,$N31))))</f>
        <v/>
      </c>
      <c r="J31" s="61">
        <f>IF($N31="","",INDEX('Cronograma Asistente Técnico'!$M$5:$M$1000,$N31))</f>
        <v/>
      </c>
      <c r="K31" s="56">
        <f>IF($N31="","",IF(N($J31)&gt;=1,"Completado",IF(AND(ISNUMBER($D31),$D31&lt;FechaRef),"Vencida",IF(N($J31)&gt;0,"En curso","Pendiente"))))</f>
        <v/>
      </c>
      <c r="L31" s="56">
        <f>IF($N31="","",INDEX('Cronograma Asistente Técnico'!$O$5:$O$1000,$N31)&amp;"")</f>
        <v/>
      </c>
      <c r="M31" s="62">
        <f>IF($N31="","",INDEX('Cronograma Asistente Técnico'!$Q$5:$Q$1000,$N31)&amp;"")</f>
        <v/>
      </c>
      <c r="N31">
        <f>IFERROR(MATCH(ROW()-4,rOrden_ATR,0),"")</f>
        <v/>
      </c>
      <c r="O31">
        <f>IF($N31="","",INDEX('Cronograma Asistente Técnico'!$V$5:$V$1000,$N31))</f>
        <v/>
      </c>
      <c r="P31">
        <f>IF($N31="","",N(INDEX('Cronograma Asistente Técnico'!$W$5:$W$1000,$N31)))</f>
        <v/>
      </c>
      <c r="Q31">
        <f>IF(OR(LEFT($L31,7)="Vencida",LEFT($L31,5)="Vence"),SUMPRODUCT(--(LEFT($L$5:$L31,7)="Vencida"))+SUMPRODUCT(--(LEFT($L$5:$L31,5)="Vence")),"")</f>
        <v/>
      </c>
    </row>
    <row r="32">
      <c r="A32" s="56">
        <f>IF($N32="","",INDEX('Cronograma Asistente Técnico'!$A$5:$A$1000,$N32))</f>
        <v/>
      </c>
      <c r="B32" s="62">
        <f>IF($N32="","",IF($O32="Sub","      ↳  "&amp;INDEX('Cronograma Asistente Técnico'!$C$5:$C$1000,$N32),INDEX('Cronograma Asistente Técnico'!$C$5:$C$1000,$N32)&amp;""))</f>
        <v/>
      </c>
      <c r="C32" s="79">
        <f>IF($N32="","",IF(INDEX('Cronograma Asistente Técnico'!$AM$5:$AM$1000,$N32)="","",INDEX('Cronograma Asistente Técnico'!$AM$5:$AM$1000,$N32)))</f>
        <v/>
      </c>
      <c r="D32" s="79">
        <f>IF($N32="","",IF(INDEX('Cronograma Asistente Técnico'!$AN$5:$AN$1000,$N32)="","",INDEX('Cronograma Asistente Técnico'!$AN$5:$AN$1000,$N32)))</f>
        <v/>
      </c>
      <c r="E32" s="56">
        <f>IF($N32="","",IF(NOT(ISNUMBER($D32)),"",IF($D32&lt;InicioCiclo,"Antes del ciclo",IF($D32&gt;=InicioCiclo+28,"Después del ciclo","Semana "&amp;(INT(($D32-InicioCiclo)/7)+1)))))</f>
        <v/>
      </c>
      <c r="F32" s="61">
        <f>IF($N32="","",IF($P32&gt;0,IF(1&lt;=SemanaActual,INDEX('Cronograma Asistente Técnico'!$AC$5:$AC$1000,$N32),""),IF(INDEX('Cronograma Asistente Técnico'!$I$5:$I$1000,$N32)="","",INDEX('Cronograma Asistente Técnico'!$I$5:$I$1000,$N32))))</f>
        <v/>
      </c>
      <c r="G32" s="61">
        <f>IF($N32="","",IF($P32&gt;0,IF(2&lt;=SemanaActual,INDEX('Cronograma Asistente Técnico'!$AD$5:$AD$1000,$N32),""),IF(INDEX('Cronograma Asistente Técnico'!$J$5:$J$1000,$N32)="","",INDEX('Cronograma Asistente Técnico'!$J$5:$J$1000,$N32))))</f>
        <v/>
      </c>
      <c r="H32" s="61">
        <f>IF($N32="","",IF($P32&gt;0,IF(3&lt;=SemanaActual,INDEX('Cronograma Asistente Técnico'!$AE$5:$AE$1000,$N32),""),IF(INDEX('Cronograma Asistente Técnico'!$K$5:$K$1000,$N32)="","",INDEX('Cronograma Asistente Técnico'!$K$5:$K$1000,$N32))))</f>
        <v/>
      </c>
      <c r="I32" s="61">
        <f>IF($N32="","",IF($P32&gt;0,IF(4&lt;=SemanaActual,INDEX('Cronograma Asistente Técnico'!$AF$5:$AF$1000,$N32),""),IF(INDEX('Cronograma Asistente Técnico'!$L$5:$L$1000,$N32)="","",INDEX('Cronograma Asistente Técnico'!$L$5:$L$1000,$N32))))</f>
        <v/>
      </c>
      <c r="J32" s="61">
        <f>IF($N32="","",INDEX('Cronograma Asistente Técnico'!$M$5:$M$1000,$N32))</f>
        <v/>
      </c>
      <c r="K32" s="56">
        <f>IF($N32="","",IF(N($J32)&gt;=1,"Completado",IF(AND(ISNUMBER($D32),$D32&lt;FechaRef),"Vencida",IF(N($J32)&gt;0,"En curso","Pendiente"))))</f>
        <v/>
      </c>
      <c r="L32" s="56">
        <f>IF($N32="","",INDEX('Cronograma Asistente Técnico'!$O$5:$O$1000,$N32)&amp;"")</f>
        <v/>
      </c>
      <c r="M32" s="62">
        <f>IF($N32="","",INDEX('Cronograma Asistente Técnico'!$Q$5:$Q$1000,$N32)&amp;"")</f>
        <v/>
      </c>
      <c r="N32">
        <f>IFERROR(MATCH(ROW()-4,rOrden_ATR,0),"")</f>
        <v/>
      </c>
      <c r="O32">
        <f>IF($N32="","",INDEX('Cronograma Asistente Técnico'!$V$5:$V$1000,$N32))</f>
        <v/>
      </c>
      <c r="P32">
        <f>IF($N32="","",N(INDEX('Cronograma Asistente Técnico'!$W$5:$W$1000,$N32)))</f>
        <v/>
      </c>
      <c r="Q32">
        <f>IF(OR(LEFT($L32,7)="Vencida",LEFT($L32,5)="Vence"),SUMPRODUCT(--(LEFT($L$5:$L32,7)="Vencida"))+SUMPRODUCT(--(LEFT($L$5:$L32,5)="Vence")),"")</f>
        <v/>
      </c>
    </row>
    <row r="33">
      <c r="A33" s="56">
        <f>IF($N33="","",INDEX('Cronograma Asistente Técnico'!$A$5:$A$1000,$N33))</f>
        <v/>
      </c>
      <c r="B33" s="62">
        <f>IF($N33="","",IF($O33="Sub","      ↳  "&amp;INDEX('Cronograma Asistente Técnico'!$C$5:$C$1000,$N33),INDEX('Cronograma Asistente Técnico'!$C$5:$C$1000,$N33)&amp;""))</f>
        <v/>
      </c>
      <c r="C33" s="79">
        <f>IF($N33="","",IF(INDEX('Cronograma Asistente Técnico'!$AM$5:$AM$1000,$N33)="","",INDEX('Cronograma Asistente Técnico'!$AM$5:$AM$1000,$N33)))</f>
        <v/>
      </c>
      <c r="D33" s="79">
        <f>IF($N33="","",IF(INDEX('Cronograma Asistente Técnico'!$AN$5:$AN$1000,$N33)="","",INDEX('Cronograma Asistente Técnico'!$AN$5:$AN$1000,$N33)))</f>
        <v/>
      </c>
      <c r="E33" s="56">
        <f>IF($N33="","",IF(NOT(ISNUMBER($D33)),"",IF($D33&lt;InicioCiclo,"Antes del ciclo",IF($D33&gt;=InicioCiclo+28,"Después del ciclo","Semana "&amp;(INT(($D33-InicioCiclo)/7)+1)))))</f>
        <v/>
      </c>
      <c r="F33" s="61">
        <f>IF($N33="","",IF($P33&gt;0,IF(1&lt;=SemanaActual,INDEX('Cronograma Asistente Técnico'!$AC$5:$AC$1000,$N33),""),IF(INDEX('Cronograma Asistente Técnico'!$I$5:$I$1000,$N33)="","",INDEX('Cronograma Asistente Técnico'!$I$5:$I$1000,$N33))))</f>
        <v/>
      </c>
      <c r="G33" s="61">
        <f>IF($N33="","",IF($P33&gt;0,IF(2&lt;=SemanaActual,INDEX('Cronograma Asistente Técnico'!$AD$5:$AD$1000,$N33),""),IF(INDEX('Cronograma Asistente Técnico'!$J$5:$J$1000,$N33)="","",INDEX('Cronograma Asistente Técnico'!$J$5:$J$1000,$N33))))</f>
        <v/>
      </c>
      <c r="H33" s="61">
        <f>IF($N33="","",IF($P33&gt;0,IF(3&lt;=SemanaActual,INDEX('Cronograma Asistente Técnico'!$AE$5:$AE$1000,$N33),""),IF(INDEX('Cronograma Asistente Técnico'!$K$5:$K$1000,$N33)="","",INDEX('Cronograma Asistente Técnico'!$K$5:$K$1000,$N33))))</f>
        <v/>
      </c>
      <c r="I33" s="61">
        <f>IF($N33="","",IF($P33&gt;0,IF(4&lt;=SemanaActual,INDEX('Cronograma Asistente Técnico'!$AF$5:$AF$1000,$N33),""),IF(INDEX('Cronograma Asistente Técnico'!$L$5:$L$1000,$N33)="","",INDEX('Cronograma Asistente Técnico'!$L$5:$L$1000,$N33))))</f>
        <v/>
      </c>
      <c r="J33" s="61">
        <f>IF($N33="","",INDEX('Cronograma Asistente Técnico'!$M$5:$M$1000,$N33))</f>
        <v/>
      </c>
      <c r="K33" s="56">
        <f>IF($N33="","",IF(N($J33)&gt;=1,"Completado",IF(AND(ISNUMBER($D33),$D33&lt;FechaRef),"Vencida",IF(N($J33)&gt;0,"En curso","Pendiente"))))</f>
        <v/>
      </c>
      <c r="L33" s="56">
        <f>IF($N33="","",INDEX('Cronograma Asistente Técnico'!$O$5:$O$1000,$N33)&amp;"")</f>
        <v/>
      </c>
      <c r="M33" s="62">
        <f>IF($N33="","",INDEX('Cronograma Asistente Técnico'!$Q$5:$Q$1000,$N33)&amp;"")</f>
        <v/>
      </c>
      <c r="N33">
        <f>IFERROR(MATCH(ROW()-4,rOrden_ATR,0),"")</f>
        <v/>
      </c>
      <c r="O33">
        <f>IF($N33="","",INDEX('Cronograma Asistente Técnico'!$V$5:$V$1000,$N33))</f>
        <v/>
      </c>
      <c r="P33">
        <f>IF($N33="","",N(INDEX('Cronograma Asistente Técnico'!$W$5:$W$1000,$N33)))</f>
        <v/>
      </c>
      <c r="Q33">
        <f>IF(OR(LEFT($L33,7)="Vencida",LEFT($L33,5)="Vence"),SUMPRODUCT(--(LEFT($L$5:$L33,7)="Vencida"))+SUMPRODUCT(--(LEFT($L$5:$L33,5)="Vence")),"")</f>
        <v/>
      </c>
    </row>
    <row r="34">
      <c r="A34" s="56">
        <f>IF($N34="","",INDEX('Cronograma Asistente Técnico'!$A$5:$A$1000,$N34))</f>
        <v/>
      </c>
      <c r="B34" s="62">
        <f>IF($N34="","",IF($O34="Sub","      ↳  "&amp;INDEX('Cronograma Asistente Técnico'!$C$5:$C$1000,$N34),INDEX('Cronograma Asistente Técnico'!$C$5:$C$1000,$N34)&amp;""))</f>
        <v/>
      </c>
      <c r="C34" s="79">
        <f>IF($N34="","",IF(INDEX('Cronograma Asistente Técnico'!$AM$5:$AM$1000,$N34)="","",INDEX('Cronograma Asistente Técnico'!$AM$5:$AM$1000,$N34)))</f>
        <v/>
      </c>
      <c r="D34" s="79">
        <f>IF($N34="","",IF(INDEX('Cronograma Asistente Técnico'!$AN$5:$AN$1000,$N34)="","",INDEX('Cronograma Asistente Técnico'!$AN$5:$AN$1000,$N34)))</f>
        <v/>
      </c>
      <c r="E34" s="56">
        <f>IF($N34="","",IF(NOT(ISNUMBER($D34)),"",IF($D34&lt;InicioCiclo,"Antes del ciclo",IF($D34&gt;=InicioCiclo+28,"Después del ciclo","Semana "&amp;(INT(($D34-InicioCiclo)/7)+1)))))</f>
        <v/>
      </c>
      <c r="F34" s="61">
        <f>IF($N34="","",IF($P34&gt;0,IF(1&lt;=SemanaActual,INDEX('Cronograma Asistente Técnico'!$AC$5:$AC$1000,$N34),""),IF(INDEX('Cronograma Asistente Técnico'!$I$5:$I$1000,$N34)="","",INDEX('Cronograma Asistente Técnico'!$I$5:$I$1000,$N34))))</f>
        <v/>
      </c>
      <c r="G34" s="61">
        <f>IF($N34="","",IF($P34&gt;0,IF(2&lt;=SemanaActual,INDEX('Cronograma Asistente Técnico'!$AD$5:$AD$1000,$N34),""),IF(INDEX('Cronograma Asistente Técnico'!$J$5:$J$1000,$N34)="","",INDEX('Cronograma Asistente Técnico'!$J$5:$J$1000,$N34))))</f>
        <v/>
      </c>
      <c r="H34" s="61">
        <f>IF($N34="","",IF($P34&gt;0,IF(3&lt;=SemanaActual,INDEX('Cronograma Asistente Técnico'!$AE$5:$AE$1000,$N34),""),IF(INDEX('Cronograma Asistente Técnico'!$K$5:$K$1000,$N34)="","",INDEX('Cronograma Asistente Técnico'!$K$5:$K$1000,$N34))))</f>
        <v/>
      </c>
      <c r="I34" s="61">
        <f>IF($N34="","",IF($P34&gt;0,IF(4&lt;=SemanaActual,INDEX('Cronograma Asistente Técnico'!$AF$5:$AF$1000,$N34),""),IF(INDEX('Cronograma Asistente Técnico'!$L$5:$L$1000,$N34)="","",INDEX('Cronograma Asistente Técnico'!$L$5:$L$1000,$N34))))</f>
        <v/>
      </c>
      <c r="J34" s="61">
        <f>IF($N34="","",INDEX('Cronograma Asistente Técnico'!$M$5:$M$1000,$N34))</f>
        <v/>
      </c>
      <c r="K34" s="56">
        <f>IF($N34="","",IF(N($J34)&gt;=1,"Completado",IF(AND(ISNUMBER($D34),$D34&lt;FechaRef),"Vencida",IF(N($J34)&gt;0,"En curso","Pendiente"))))</f>
        <v/>
      </c>
      <c r="L34" s="56">
        <f>IF($N34="","",INDEX('Cronograma Asistente Técnico'!$O$5:$O$1000,$N34)&amp;"")</f>
        <v/>
      </c>
      <c r="M34" s="62">
        <f>IF($N34="","",INDEX('Cronograma Asistente Técnico'!$Q$5:$Q$1000,$N34)&amp;"")</f>
        <v/>
      </c>
      <c r="N34">
        <f>IFERROR(MATCH(ROW()-4,rOrden_ATR,0),"")</f>
        <v/>
      </c>
      <c r="O34">
        <f>IF($N34="","",INDEX('Cronograma Asistente Técnico'!$V$5:$V$1000,$N34))</f>
        <v/>
      </c>
      <c r="P34">
        <f>IF($N34="","",N(INDEX('Cronograma Asistente Técnico'!$W$5:$W$1000,$N34)))</f>
        <v/>
      </c>
      <c r="Q34">
        <f>IF(OR(LEFT($L34,7)="Vencida",LEFT($L34,5)="Vence"),SUMPRODUCT(--(LEFT($L$5:$L34,7)="Vencida"))+SUMPRODUCT(--(LEFT($L$5:$L34,5)="Vence")),"")</f>
        <v/>
      </c>
    </row>
    <row r="35">
      <c r="A35" s="56">
        <f>IF($N35="","",INDEX('Cronograma Asistente Técnico'!$A$5:$A$1000,$N35))</f>
        <v/>
      </c>
      <c r="B35" s="62">
        <f>IF($N35="","",IF($O35="Sub","      ↳  "&amp;INDEX('Cronograma Asistente Técnico'!$C$5:$C$1000,$N35),INDEX('Cronograma Asistente Técnico'!$C$5:$C$1000,$N35)&amp;""))</f>
        <v/>
      </c>
      <c r="C35" s="79">
        <f>IF($N35="","",IF(INDEX('Cronograma Asistente Técnico'!$AM$5:$AM$1000,$N35)="","",INDEX('Cronograma Asistente Técnico'!$AM$5:$AM$1000,$N35)))</f>
        <v/>
      </c>
      <c r="D35" s="79">
        <f>IF($N35="","",IF(INDEX('Cronograma Asistente Técnico'!$AN$5:$AN$1000,$N35)="","",INDEX('Cronograma Asistente Técnico'!$AN$5:$AN$1000,$N35)))</f>
        <v/>
      </c>
      <c r="E35" s="56">
        <f>IF($N35="","",IF(NOT(ISNUMBER($D35)),"",IF($D35&lt;InicioCiclo,"Antes del ciclo",IF($D35&gt;=InicioCiclo+28,"Después del ciclo","Semana "&amp;(INT(($D35-InicioCiclo)/7)+1)))))</f>
        <v/>
      </c>
      <c r="F35" s="61">
        <f>IF($N35="","",IF($P35&gt;0,IF(1&lt;=SemanaActual,INDEX('Cronograma Asistente Técnico'!$AC$5:$AC$1000,$N35),""),IF(INDEX('Cronograma Asistente Técnico'!$I$5:$I$1000,$N35)="","",INDEX('Cronograma Asistente Técnico'!$I$5:$I$1000,$N35))))</f>
        <v/>
      </c>
      <c r="G35" s="61">
        <f>IF($N35="","",IF($P35&gt;0,IF(2&lt;=SemanaActual,INDEX('Cronograma Asistente Técnico'!$AD$5:$AD$1000,$N35),""),IF(INDEX('Cronograma Asistente Técnico'!$J$5:$J$1000,$N35)="","",INDEX('Cronograma Asistente Técnico'!$J$5:$J$1000,$N35))))</f>
        <v/>
      </c>
      <c r="H35" s="61">
        <f>IF($N35="","",IF($P35&gt;0,IF(3&lt;=SemanaActual,INDEX('Cronograma Asistente Técnico'!$AE$5:$AE$1000,$N35),""),IF(INDEX('Cronograma Asistente Técnico'!$K$5:$K$1000,$N35)="","",INDEX('Cronograma Asistente Técnico'!$K$5:$K$1000,$N35))))</f>
        <v/>
      </c>
      <c r="I35" s="61">
        <f>IF($N35="","",IF($P35&gt;0,IF(4&lt;=SemanaActual,INDEX('Cronograma Asistente Técnico'!$AF$5:$AF$1000,$N35),""),IF(INDEX('Cronograma Asistente Técnico'!$L$5:$L$1000,$N35)="","",INDEX('Cronograma Asistente Técnico'!$L$5:$L$1000,$N35))))</f>
        <v/>
      </c>
      <c r="J35" s="61">
        <f>IF($N35="","",INDEX('Cronograma Asistente Técnico'!$M$5:$M$1000,$N35))</f>
        <v/>
      </c>
      <c r="K35" s="56">
        <f>IF($N35="","",IF(N($J35)&gt;=1,"Completado",IF(AND(ISNUMBER($D35),$D35&lt;FechaRef),"Vencida",IF(N($J35)&gt;0,"En curso","Pendiente"))))</f>
        <v/>
      </c>
      <c r="L35" s="56">
        <f>IF($N35="","",INDEX('Cronograma Asistente Técnico'!$O$5:$O$1000,$N35)&amp;"")</f>
        <v/>
      </c>
      <c r="M35" s="62">
        <f>IF($N35="","",INDEX('Cronograma Asistente Técnico'!$Q$5:$Q$1000,$N35)&amp;"")</f>
        <v/>
      </c>
      <c r="N35">
        <f>IFERROR(MATCH(ROW()-4,rOrden_ATR,0),"")</f>
        <v/>
      </c>
      <c r="O35">
        <f>IF($N35="","",INDEX('Cronograma Asistente Técnico'!$V$5:$V$1000,$N35))</f>
        <v/>
      </c>
      <c r="P35">
        <f>IF($N35="","",N(INDEX('Cronograma Asistente Técnico'!$W$5:$W$1000,$N35)))</f>
        <v/>
      </c>
      <c r="Q35">
        <f>IF(OR(LEFT($L35,7)="Vencida",LEFT($L35,5)="Vence"),SUMPRODUCT(--(LEFT($L$5:$L35,7)="Vencida"))+SUMPRODUCT(--(LEFT($L$5:$L35,5)="Vence")),"")</f>
        <v/>
      </c>
    </row>
    <row r="36">
      <c r="A36" s="56">
        <f>IF($N36="","",INDEX('Cronograma Asistente Técnico'!$A$5:$A$1000,$N36))</f>
        <v/>
      </c>
      <c r="B36" s="62">
        <f>IF($N36="","",IF($O36="Sub","      ↳  "&amp;INDEX('Cronograma Asistente Técnico'!$C$5:$C$1000,$N36),INDEX('Cronograma Asistente Técnico'!$C$5:$C$1000,$N36)&amp;""))</f>
        <v/>
      </c>
      <c r="C36" s="79">
        <f>IF($N36="","",IF(INDEX('Cronograma Asistente Técnico'!$AM$5:$AM$1000,$N36)="","",INDEX('Cronograma Asistente Técnico'!$AM$5:$AM$1000,$N36)))</f>
        <v/>
      </c>
      <c r="D36" s="79">
        <f>IF($N36="","",IF(INDEX('Cronograma Asistente Técnico'!$AN$5:$AN$1000,$N36)="","",INDEX('Cronograma Asistente Técnico'!$AN$5:$AN$1000,$N36)))</f>
        <v/>
      </c>
      <c r="E36" s="56">
        <f>IF($N36="","",IF(NOT(ISNUMBER($D36)),"",IF($D36&lt;InicioCiclo,"Antes del ciclo",IF($D36&gt;=InicioCiclo+28,"Después del ciclo","Semana "&amp;(INT(($D36-InicioCiclo)/7)+1)))))</f>
        <v/>
      </c>
      <c r="F36" s="61">
        <f>IF($N36="","",IF($P36&gt;0,IF(1&lt;=SemanaActual,INDEX('Cronograma Asistente Técnico'!$AC$5:$AC$1000,$N36),""),IF(INDEX('Cronograma Asistente Técnico'!$I$5:$I$1000,$N36)="","",INDEX('Cronograma Asistente Técnico'!$I$5:$I$1000,$N36))))</f>
        <v/>
      </c>
      <c r="G36" s="61">
        <f>IF($N36="","",IF($P36&gt;0,IF(2&lt;=SemanaActual,INDEX('Cronograma Asistente Técnico'!$AD$5:$AD$1000,$N36),""),IF(INDEX('Cronograma Asistente Técnico'!$J$5:$J$1000,$N36)="","",INDEX('Cronograma Asistente Técnico'!$J$5:$J$1000,$N36))))</f>
        <v/>
      </c>
      <c r="H36" s="61">
        <f>IF($N36="","",IF($P36&gt;0,IF(3&lt;=SemanaActual,INDEX('Cronograma Asistente Técnico'!$AE$5:$AE$1000,$N36),""),IF(INDEX('Cronograma Asistente Técnico'!$K$5:$K$1000,$N36)="","",INDEX('Cronograma Asistente Técnico'!$K$5:$K$1000,$N36))))</f>
        <v/>
      </c>
      <c r="I36" s="61">
        <f>IF($N36="","",IF($P36&gt;0,IF(4&lt;=SemanaActual,INDEX('Cronograma Asistente Técnico'!$AF$5:$AF$1000,$N36),""),IF(INDEX('Cronograma Asistente Técnico'!$L$5:$L$1000,$N36)="","",INDEX('Cronograma Asistente Técnico'!$L$5:$L$1000,$N36))))</f>
        <v/>
      </c>
      <c r="J36" s="61">
        <f>IF($N36="","",INDEX('Cronograma Asistente Técnico'!$M$5:$M$1000,$N36))</f>
        <v/>
      </c>
      <c r="K36" s="56">
        <f>IF($N36="","",IF(N($J36)&gt;=1,"Completado",IF(AND(ISNUMBER($D36),$D36&lt;FechaRef),"Vencida",IF(N($J36)&gt;0,"En curso","Pendiente"))))</f>
        <v/>
      </c>
      <c r="L36" s="56">
        <f>IF($N36="","",INDEX('Cronograma Asistente Técnico'!$O$5:$O$1000,$N36)&amp;"")</f>
        <v/>
      </c>
      <c r="M36" s="62">
        <f>IF($N36="","",INDEX('Cronograma Asistente Técnico'!$Q$5:$Q$1000,$N36)&amp;"")</f>
        <v/>
      </c>
      <c r="N36">
        <f>IFERROR(MATCH(ROW()-4,rOrden_ATR,0),"")</f>
        <v/>
      </c>
      <c r="O36">
        <f>IF($N36="","",INDEX('Cronograma Asistente Técnico'!$V$5:$V$1000,$N36))</f>
        <v/>
      </c>
      <c r="P36">
        <f>IF($N36="","",N(INDEX('Cronograma Asistente Técnico'!$W$5:$W$1000,$N36)))</f>
        <v/>
      </c>
      <c r="Q36">
        <f>IF(OR(LEFT($L36,7)="Vencida",LEFT($L36,5)="Vence"),SUMPRODUCT(--(LEFT($L$5:$L36,7)="Vencida"))+SUMPRODUCT(--(LEFT($L$5:$L36,5)="Vence")),"")</f>
        <v/>
      </c>
    </row>
    <row r="37">
      <c r="A37" s="56">
        <f>IF($N37="","",INDEX('Cronograma Asistente Técnico'!$A$5:$A$1000,$N37))</f>
        <v/>
      </c>
      <c r="B37" s="62">
        <f>IF($N37="","",IF($O37="Sub","      ↳  "&amp;INDEX('Cronograma Asistente Técnico'!$C$5:$C$1000,$N37),INDEX('Cronograma Asistente Técnico'!$C$5:$C$1000,$N37)&amp;""))</f>
        <v/>
      </c>
      <c r="C37" s="79">
        <f>IF($N37="","",IF(INDEX('Cronograma Asistente Técnico'!$AM$5:$AM$1000,$N37)="","",INDEX('Cronograma Asistente Técnico'!$AM$5:$AM$1000,$N37)))</f>
        <v/>
      </c>
      <c r="D37" s="79">
        <f>IF($N37="","",IF(INDEX('Cronograma Asistente Técnico'!$AN$5:$AN$1000,$N37)="","",INDEX('Cronograma Asistente Técnico'!$AN$5:$AN$1000,$N37)))</f>
        <v/>
      </c>
      <c r="E37" s="56">
        <f>IF($N37="","",IF(NOT(ISNUMBER($D37)),"",IF($D37&lt;InicioCiclo,"Antes del ciclo",IF($D37&gt;=InicioCiclo+28,"Después del ciclo","Semana "&amp;(INT(($D37-InicioCiclo)/7)+1)))))</f>
        <v/>
      </c>
      <c r="F37" s="61">
        <f>IF($N37="","",IF($P37&gt;0,IF(1&lt;=SemanaActual,INDEX('Cronograma Asistente Técnico'!$AC$5:$AC$1000,$N37),""),IF(INDEX('Cronograma Asistente Técnico'!$I$5:$I$1000,$N37)="","",INDEX('Cronograma Asistente Técnico'!$I$5:$I$1000,$N37))))</f>
        <v/>
      </c>
      <c r="G37" s="61">
        <f>IF($N37="","",IF($P37&gt;0,IF(2&lt;=SemanaActual,INDEX('Cronograma Asistente Técnico'!$AD$5:$AD$1000,$N37),""),IF(INDEX('Cronograma Asistente Técnico'!$J$5:$J$1000,$N37)="","",INDEX('Cronograma Asistente Técnico'!$J$5:$J$1000,$N37))))</f>
        <v/>
      </c>
      <c r="H37" s="61">
        <f>IF($N37="","",IF($P37&gt;0,IF(3&lt;=SemanaActual,INDEX('Cronograma Asistente Técnico'!$AE$5:$AE$1000,$N37),""),IF(INDEX('Cronograma Asistente Técnico'!$K$5:$K$1000,$N37)="","",INDEX('Cronograma Asistente Técnico'!$K$5:$K$1000,$N37))))</f>
        <v/>
      </c>
      <c r="I37" s="61">
        <f>IF($N37="","",IF($P37&gt;0,IF(4&lt;=SemanaActual,INDEX('Cronograma Asistente Técnico'!$AF$5:$AF$1000,$N37),""),IF(INDEX('Cronograma Asistente Técnico'!$L$5:$L$1000,$N37)="","",INDEX('Cronograma Asistente Técnico'!$L$5:$L$1000,$N37))))</f>
        <v/>
      </c>
      <c r="J37" s="61">
        <f>IF($N37="","",INDEX('Cronograma Asistente Técnico'!$M$5:$M$1000,$N37))</f>
        <v/>
      </c>
      <c r="K37" s="56">
        <f>IF($N37="","",IF(N($J37)&gt;=1,"Completado",IF(AND(ISNUMBER($D37),$D37&lt;FechaRef),"Vencida",IF(N($J37)&gt;0,"En curso","Pendiente"))))</f>
        <v/>
      </c>
      <c r="L37" s="56">
        <f>IF($N37="","",INDEX('Cronograma Asistente Técnico'!$O$5:$O$1000,$N37)&amp;"")</f>
        <v/>
      </c>
      <c r="M37" s="62">
        <f>IF($N37="","",INDEX('Cronograma Asistente Técnico'!$Q$5:$Q$1000,$N37)&amp;"")</f>
        <v/>
      </c>
      <c r="N37">
        <f>IFERROR(MATCH(ROW()-4,rOrden_ATR,0),"")</f>
        <v/>
      </c>
      <c r="O37">
        <f>IF($N37="","",INDEX('Cronograma Asistente Técnico'!$V$5:$V$1000,$N37))</f>
        <v/>
      </c>
      <c r="P37">
        <f>IF($N37="","",N(INDEX('Cronograma Asistente Técnico'!$W$5:$W$1000,$N37)))</f>
        <v/>
      </c>
      <c r="Q37">
        <f>IF(OR(LEFT($L37,7)="Vencida",LEFT($L37,5)="Vence"),SUMPRODUCT(--(LEFT($L$5:$L37,7)="Vencida"))+SUMPRODUCT(--(LEFT($L$5:$L37,5)="Vence")),"")</f>
        <v/>
      </c>
    </row>
    <row r="38">
      <c r="A38" s="56">
        <f>IF($N38="","",INDEX('Cronograma Asistente Técnico'!$A$5:$A$1000,$N38))</f>
        <v/>
      </c>
      <c r="B38" s="62">
        <f>IF($N38="","",IF($O38="Sub","      ↳  "&amp;INDEX('Cronograma Asistente Técnico'!$C$5:$C$1000,$N38),INDEX('Cronograma Asistente Técnico'!$C$5:$C$1000,$N38)&amp;""))</f>
        <v/>
      </c>
      <c r="C38" s="79">
        <f>IF($N38="","",IF(INDEX('Cronograma Asistente Técnico'!$AM$5:$AM$1000,$N38)="","",INDEX('Cronograma Asistente Técnico'!$AM$5:$AM$1000,$N38)))</f>
        <v/>
      </c>
      <c r="D38" s="79">
        <f>IF($N38="","",IF(INDEX('Cronograma Asistente Técnico'!$AN$5:$AN$1000,$N38)="","",INDEX('Cronograma Asistente Técnico'!$AN$5:$AN$1000,$N38)))</f>
        <v/>
      </c>
      <c r="E38" s="56">
        <f>IF($N38="","",IF(NOT(ISNUMBER($D38)),"",IF($D38&lt;InicioCiclo,"Antes del ciclo",IF($D38&gt;=InicioCiclo+28,"Después del ciclo","Semana "&amp;(INT(($D38-InicioCiclo)/7)+1)))))</f>
        <v/>
      </c>
      <c r="F38" s="61">
        <f>IF($N38="","",IF($P38&gt;0,IF(1&lt;=SemanaActual,INDEX('Cronograma Asistente Técnico'!$AC$5:$AC$1000,$N38),""),IF(INDEX('Cronograma Asistente Técnico'!$I$5:$I$1000,$N38)="","",INDEX('Cronograma Asistente Técnico'!$I$5:$I$1000,$N38))))</f>
        <v/>
      </c>
      <c r="G38" s="61">
        <f>IF($N38="","",IF($P38&gt;0,IF(2&lt;=SemanaActual,INDEX('Cronograma Asistente Técnico'!$AD$5:$AD$1000,$N38),""),IF(INDEX('Cronograma Asistente Técnico'!$J$5:$J$1000,$N38)="","",INDEX('Cronograma Asistente Técnico'!$J$5:$J$1000,$N38))))</f>
        <v/>
      </c>
      <c r="H38" s="61">
        <f>IF($N38="","",IF($P38&gt;0,IF(3&lt;=SemanaActual,INDEX('Cronograma Asistente Técnico'!$AE$5:$AE$1000,$N38),""),IF(INDEX('Cronograma Asistente Técnico'!$K$5:$K$1000,$N38)="","",INDEX('Cronograma Asistente Técnico'!$K$5:$K$1000,$N38))))</f>
        <v/>
      </c>
      <c r="I38" s="61">
        <f>IF($N38="","",IF($P38&gt;0,IF(4&lt;=SemanaActual,INDEX('Cronograma Asistente Técnico'!$AF$5:$AF$1000,$N38),""),IF(INDEX('Cronograma Asistente Técnico'!$L$5:$L$1000,$N38)="","",INDEX('Cronograma Asistente Técnico'!$L$5:$L$1000,$N38))))</f>
        <v/>
      </c>
      <c r="J38" s="61">
        <f>IF($N38="","",INDEX('Cronograma Asistente Técnico'!$M$5:$M$1000,$N38))</f>
        <v/>
      </c>
      <c r="K38" s="56">
        <f>IF($N38="","",IF(N($J38)&gt;=1,"Completado",IF(AND(ISNUMBER($D38),$D38&lt;FechaRef),"Vencida",IF(N($J38)&gt;0,"En curso","Pendiente"))))</f>
        <v/>
      </c>
      <c r="L38" s="56">
        <f>IF($N38="","",INDEX('Cronograma Asistente Técnico'!$O$5:$O$1000,$N38)&amp;"")</f>
        <v/>
      </c>
      <c r="M38" s="62">
        <f>IF($N38="","",INDEX('Cronograma Asistente Técnico'!$Q$5:$Q$1000,$N38)&amp;"")</f>
        <v/>
      </c>
      <c r="N38">
        <f>IFERROR(MATCH(ROW()-4,rOrden_ATR,0),"")</f>
        <v/>
      </c>
      <c r="O38">
        <f>IF($N38="","",INDEX('Cronograma Asistente Técnico'!$V$5:$V$1000,$N38))</f>
        <v/>
      </c>
      <c r="P38">
        <f>IF($N38="","",N(INDEX('Cronograma Asistente Técnico'!$W$5:$W$1000,$N38)))</f>
        <v/>
      </c>
      <c r="Q38">
        <f>IF(OR(LEFT($L38,7)="Vencida",LEFT($L38,5)="Vence"),SUMPRODUCT(--(LEFT($L$5:$L38,7)="Vencida"))+SUMPRODUCT(--(LEFT($L$5:$L38,5)="Vence")),"")</f>
        <v/>
      </c>
    </row>
    <row r="39">
      <c r="A39" s="56">
        <f>IF($N39="","",INDEX('Cronograma Asistente Técnico'!$A$5:$A$1000,$N39))</f>
        <v/>
      </c>
      <c r="B39" s="62">
        <f>IF($N39="","",IF($O39="Sub","      ↳  "&amp;INDEX('Cronograma Asistente Técnico'!$C$5:$C$1000,$N39),INDEX('Cronograma Asistente Técnico'!$C$5:$C$1000,$N39)&amp;""))</f>
        <v/>
      </c>
      <c r="C39" s="79">
        <f>IF($N39="","",IF(INDEX('Cronograma Asistente Técnico'!$AM$5:$AM$1000,$N39)="","",INDEX('Cronograma Asistente Técnico'!$AM$5:$AM$1000,$N39)))</f>
        <v/>
      </c>
      <c r="D39" s="79">
        <f>IF($N39="","",IF(INDEX('Cronograma Asistente Técnico'!$AN$5:$AN$1000,$N39)="","",INDEX('Cronograma Asistente Técnico'!$AN$5:$AN$1000,$N39)))</f>
        <v/>
      </c>
      <c r="E39" s="56">
        <f>IF($N39="","",IF(NOT(ISNUMBER($D39)),"",IF($D39&lt;InicioCiclo,"Antes del ciclo",IF($D39&gt;=InicioCiclo+28,"Después del ciclo","Semana "&amp;(INT(($D39-InicioCiclo)/7)+1)))))</f>
        <v/>
      </c>
      <c r="F39" s="61">
        <f>IF($N39="","",IF($P39&gt;0,IF(1&lt;=SemanaActual,INDEX('Cronograma Asistente Técnico'!$AC$5:$AC$1000,$N39),""),IF(INDEX('Cronograma Asistente Técnico'!$I$5:$I$1000,$N39)="","",INDEX('Cronograma Asistente Técnico'!$I$5:$I$1000,$N39))))</f>
        <v/>
      </c>
      <c r="G39" s="61">
        <f>IF($N39="","",IF($P39&gt;0,IF(2&lt;=SemanaActual,INDEX('Cronograma Asistente Técnico'!$AD$5:$AD$1000,$N39),""),IF(INDEX('Cronograma Asistente Técnico'!$J$5:$J$1000,$N39)="","",INDEX('Cronograma Asistente Técnico'!$J$5:$J$1000,$N39))))</f>
        <v/>
      </c>
      <c r="H39" s="61">
        <f>IF($N39="","",IF($P39&gt;0,IF(3&lt;=SemanaActual,INDEX('Cronograma Asistente Técnico'!$AE$5:$AE$1000,$N39),""),IF(INDEX('Cronograma Asistente Técnico'!$K$5:$K$1000,$N39)="","",INDEX('Cronograma Asistente Técnico'!$K$5:$K$1000,$N39))))</f>
        <v/>
      </c>
      <c r="I39" s="61">
        <f>IF($N39="","",IF($P39&gt;0,IF(4&lt;=SemanaActual,INDEX('Cronograma Asistente Técnico'!$AF$5:$AF$1000,$N39),""),IF(INDEX('Cronograma Asistente Técnico'!$L$5:$L$1000,$N39)="","",INDEX('Cronograma Asistente Técnico'!$L$5:$L$1000,$N39))))</f>
        <v/>
      </c>
      <c r="J39" s="61">
        <f>IF($N39="","",INDEX('Cronograma Asistente Técnico'!$M$5:$M$1000,$N39))</f>
        <v/>
      </c>
      <c r="K39" s="56">
        <f>IF($N39="","",IF(N($J39)&gt;=1,"Completado",IF(AND(ISNUMBER($D39),$D39&lt;FechaRef),"Vencida",IF(N($J39)&gt;0,"En curso","Pendiente"))))</f>
        <v/>
      </c>
      <c r="L39" s="56">
        <f>IF($N39="","",INDEX('Cronograma Asistente Técnico'!$O$5:$O$1000,$N39)&amp;"")</f>
        <v/>
      </c>
      <c r="M39" s="62">
        <f>IF($N39="","",INDEX('Cronograma Asistente Técnico'!$Q$5:$Q$1000,$N39)&amp;"")</f>
        <v/>
      </c>
      <c r="N39">
        <f>IFERROR(MATCH(ROW()-4,rOrden_ATR,0),"")</f>
        <v/>
      </c>
      <c r="O39">
        <f>IF($N39="","",INDEX('Cronograma Asistente Técnico'!$V$5:$V$1000,$N39))</f>
        <v/>
      </c>
      <c r="P39">
        <f>IF($N39="","",N(INDEX('Cronograma Asistente Técnico'!$W$5:$W$1000,$N39)))</f>
        <v/>
      </c>
      <c r="Q39">
        <f>IF(OR(LEFT($L39,7)="Vencida",LEFT($L39,5)="Vence"),SUMPRODUCT(--(LEFT($L$5:$L39,7)="Vencida"))+SUMPRODUCT(--(LEFT($L$5:$L39,5)="Vence")),"")</f>
        <v/>
      </c>
    </row>
    <row r="40">
      <c r="A40" s="56">
        <f>IF($N40="","",INDEX('Cronograma Asistente Técnico'!$A$5:$A$1000,$N40))</f>
        <v/>
      </c>
      <c r="B40" s="62">
        <f>IF($N40="","",IF($O40="Sub","      ↳  "&amp;INDEX('Cronograma Asistente Técnico'!$C$5:$C$1000,$N40),INDEX('Cronograma Asistente Técnico'!$C$5:$C$1000,$N40)&amp;""))</f>
        <v/>
      </c>
      <c r="C40" s="79">
        <f>IF($N40="","",IF(INDEX('Cronograma Asistente Técnico'!$AM$5:$AM$1000,$N40)="","",INDEX('Cronograma Asistente Técnico'!$AM$5:$AM$1000,$N40)))</f>
        <v/>
      </c>
      <c r="D40" s="79">
        <f>IF($N40="","",IF(INDEX('Cronograma Asistente Técnico'!$AN$5:$AN$1000,$N40)="","",INDEX('Cronograma Asistente Técnico'!$AN$5:$AN$1000,$N40)))</f>
        <v/>
      </c>
      <c r="E40" s="56">
        <f>IF($N40="","",IF(NOT(ISNUMBER($D40)),"",IF($D40&lt;InicioCiclo,"Antes del ciclo",IF($D40&gt;=InicioCiclo+28,"Después del ciclo","Semana "&amp;(INT(($D40-InicioCiclo)/7)+1)))))</f>
        <v/>
      </c>
      <c r="F40" s="61">
        <f>IF($N40="","",IF($P40&gt;0,IF(1&lt;=SemanaActual,INDEX('Cronograma Asistente Técnico'!$AC$5:$AC$1000,$N40),""),IF(INDEX('Cronograma Asistente Técnico'!$I$5:$I$1000,$N40)="","",INDEX('Cronograma Asistente Técnico'!$I$5:$I$1000,$N40))))</f>
        <v/>
      </c>
      <c r="G40" s="61">
        <f>IF($N40="","",IF($P40&gt;0,IF(2&lt;=SemanaActual,INDEX('Cronograma Asistente Técnico'!$AD$5:$AD$1000,$N40),""),IF(INDEX('Cronograma Asistente Técnico'!$J$5:$J$1000,$N40)="","",INDEX('Cronograma Asistente Técnico'!$J$5:$J$1000,$N40))))</f>
        <v/>
      </c>
      <c r="H40" s="61">
        <f>IF($N40="","",IF($P40&gt;0,IF(3&lt;=SemanaActual,INDEX('Cronograma Asistente Técnico'!$AE$5:$AE$1000,$N40),""),IF(INDEX('Cronograma Asistente Técnico'!$K$5:$K$1000,$N40)="","",INDEX('Cronograma Asistente Técnico'!$K$5:$K$1000,$N40))))</f>
        <v/>
      </c>
      <c r="I40" s="61">
        <f>IF($N40="","",IF($P40&gt;0,IF(4&lt;=SemanaActual,INDEX('Cronograma Asistente Técnico'!$AF$5:$AF$1000,$N40),""),IF(INDEX('Cronograma Asistente Técnico'!$L$5:$L$1000,$N40)="","",INDEX('Cronograma Asistente Técnico'!$L$5:$L$1000,$N40))))</f>
        <v/>
      </c>
      <c r="J40" s="61">
        <f>IF($N40="","",INDEX('Cronograma Asistente Técnico'!$M$5:$M$1000,$N40))</f>
        <v/>
      </c>
      <c r="K40" s="56">
        <f>IF($N40="","",IF(N($J40)&gt;=1,"Completado",IF(AND(ISNUMBER($D40),$D40&lt;FechaRef),"Vencida",IF(N($J40)&gt;0,"En curso","Pendiente"))))</f>
        <v/>
      </c>
      <c r="L40" s="56">
        <f>IF($N40="","",INDEX('Cronograma Asistente Técnico'!$O$5:$O$1000,$N40)&amp;"")</f>
        <v/>
      </c>
      <c r="M40" s="62">
        <f>IF($N40="","",INDEX('Cronograma Asistente Técnico'!$Q$5:$Q$1000,$N40)&amp;"")</f>
        <v/>
      </c>
      <c r="N40">
        <f>IFERROR(MATCH(ROW()-4,rOrden_ATR,0),"")</f>
        <v/>
      </c>
      <c r="O40">
        <f>IF($N40="","",INDEX('Cronograma Asistente Técnico'!$V$5:$V$1000,$N40))</f>
        <v/>
      </c>
      <c r="P40">
        <f>IF($N40="","",N(INDEX('Cronograma Asistente Técnico'!$W$5:$W$1000,$N40)))</f>
        <v/>
      </c>
      <c r="Q40">
        <f>IF(OR(LEFT($L40,7)="Vencida",LEFT($L40,5)="Vence"),SUMPRODUCT(--(LEFT($L$5:$L40,7)="Vencida"))+SUMPRODUCT(--(LEFT($L$5:$L40,5)="Vence")),"")</f>
        <v/>
      </c>
    </row>
    <row r="41">
      <c r="A41" s="56">
        <f>IF($N41="","",INDEX('Cronograma Asistente Técnico'!$A$5:$A$1000,$N41))</f>
        <v/>
      </c>
      <c r="B41" s="62">
        <f>IF($N41="","",IF($O41="Sub","      ↳  "&amp;INDEX('Cronograma Asistente Técnico'!$C$5:$C$1000,$N41),INDEX('Cronograma Asistente Técnico'!$C$5:$C$1000,$N41)&amp;""))</f>
        <v/>
      </c>
      <c r="C41" s="79">
        <f>IF($N41="","",IF(INDEX('Cronograma Asistente Técnico'!$AM$5:$AM$1000,$N41)="","",INDEX('Cronograma Asistente Técnico'!$AM$5:$AM$1000,$N41)))</f>
        <v/>
      </c>
      <c r="D41" s="79">
        <f>IF($N41="","",IF(INDEX('Cronograma Asistente Técnico'!$AN$5:$AN$1000,$N41)="","",INDEX('Cronograma Asistente Técnico'!$AN$5:$AN$1000,$N41)))</f>
        <v/>
      </c>
      <c r="E41" s="56">
        <f>IF($N41="","",IF(NOT(ISNUMBER($D41)),"",IF($D41&lt;InicioCiclo,"Antes del ciclo",IF($D41&gt;=InicioCiclo+28,"Después del ciclo","Semana "&amp;(INT(($D41-InicioCiclo)/7)+1)))))</f>
        <v/>
      </c>
      <c r="F41" s="61">
        <f>IF($N41="","",IF($P41&gt;0,IF(1&lt;=SemanaActual,INDEX('Cronograma Asistente Técnico'!$AC$5:$AC$1000,$N41),""),IF(INDEX('Cronograma Asistente Técnico'!$I$5:$I$1000,$N41)="","",INDEX('Cronograma Asistente Técnico'!$I$5:$I$1000,$N41))))</f>
        <v/>
      </c>
      <c r="G41" s="61">
        <f>IF($N41="","",IF($P41&gt;0,IF(2&lt;=SemanaActual,INDEX('Cronograma Asistente Técnico'!$AD$5:$AD$1000,$N41),""),IF(INDEX('Cronograma Asistente Técnico'!$J$5:$J$1000,$N41)="","",INDEX('Cronograma Asistente Técnico'!$J$5:$J$1000,$N41))))</f>
        <v/>
      </c>
      <c r="H41" s="61">
        <f>IF($N41="","",IF($P41&gt;0,IF(3&lt;=SemanaActual,INDEX('Cronograma Asistente Técnico'!$AE$5:$AE$1000,$N41),""),IF(INDEX('Cronograma Asistente Técnico'!$K$5:$K$1000,$N41)="","",INDEX('Cronograma Asistente Técnico'!$K$5:$K$1000,$N41))))</f>
        <v/>
      </c>
      <c r="I41" s="61">
        <f>IF($N41="","",IF($P41&gt;0,IF(4&lt;=SemanaActual,INDEX('Cronograma Asistente Técnico'!$AF$5:$AF$1000,$N41),""),IF(INDEX('Cronograma Asistente Técnico'!$L$5:$L$1000,$N41)="","",INDEX('Cronograma Asistente Técnico'!$L$5:$L$1000,$N41))))</f>
        <v/>
      </c>
      <c r="J41" s="61">
        <f>IF($N41="","",INDEX('Cronograma Asistente Técnico'!$M$5:$M$1000,$N41))</f>
        <v/>
      </c>
      <c r="K41" s="56">
        <f>IF($N41="","",IF(N($J41)&gt;=1,"Completado",IF(AND(ISNUMBER($D41),$D41&lt;FechaRef),"Vencida",IF(N($J41)&gt;0,"En curso","Pendiente"))))</f>
        <v/>
      </c>
      <c r="L41" s="56">
        <f>IF($N41="","",INDEX('Cronograma Asistente Técnico'!$O$5:$O$1000,$N41)&amp;"")</f>
        <v/>
      </c>
      <c r="M41" s="62">
        <f>IF($N41="","",INDEX('Cronograma Asistente Técnico'!$Q$5:$Q$1000,$N41)&amp;"")</f>
        <v/>
      </c>
      <c r="N41">
        <f>IFERROR(MATCH(ROW()-4,rOrden_ATR,0),"")</f>
        <v/>
      </c>
      <c r="O41">
        <f>IF($N41="","",INDEX('Cronograma Asistente Técnico'!$V$5:$V$1000,$N41))</f>
        <v/>
      </c>
      <c r="P41">
        <f>IF($N41="","",N(INDEX('Cronograma Asistente Técnico'!$W$5:$W$1000,$N41)))</f>
        <v/>
      </c>
      <c r="Q41">
        <f>IF(OR(LEFT($L41,7)="Vencida",LEFT($L41,5)="Vence"),SUMPRODUCT(--(LEFT($L$5:$L41,7)="Vencida"))+SUMPRODUCT(--(LEFT($L$5:$L41,5)="Vence")),"")</f>
        <v/>
      </c>
    </row>
    <row r="42">
      <c r="A42" s="56">
        <f>IF($N42="","",INDEX('Cronograma Asistente Técnico'!$A$5:$A$1000,$N42))</f>
        <v/>
      </c>
      <c r="B42" s="62">
        <f>IF($N42="","",IF($O42="Sub","      ↳  "&amp;INDEX('Cronograma Asistente Técnico'!$C$5:$C$1000,$N42),INDEX('Cronograma Asistente Técnico'!$C$5:$C$1000,$N42)&amp;""))</f>
        <v/>
      </c>
      <c r="C42" s="79">
        <f>IF($N42="","",IF(INDEX('Cronograma Asistente Técnico'!$AM$5:$AM$1000,$N42)="","",INDEX('Cronograma Asistente Técnico'!$AM$5:$AM$1000,$N42)))</f>
        <v/>
      </c>
      <c r="D42" s="79">
        <f>IF($N42="","",IF(INDEX('Cronograma Asistente Técnico'!$AN$5:$AN$1000,$N42)="","",INDEX('Cronograma Asistente Técnico'!$AN$5:$AN$1000,$N42)))</f>
        <v/>
      </c>
      <c r="E42" s="56">
        <f>IF($N42="","",IF(NOT(ISNUMBER($D42)),"",IF($D42&lt;InicioCiclo,"Antes del ciclo",IF($D42&gt;=InicioCiclo+28,"Después del ciclo","Semana "&amp;(INT(($D42-InicioCiclo)/7)+1)))))</f>
        <v/>
      </c>
      <c r="F42" s="61">
        <f>IF($N42="","",IF($P42&gt;0,IF(1&lt;=SemanaActual,INDEX('Cronograma Asistente Técnico'!$AC$5:$AC$1000,$N42),""),IF(INDEX('Cronograma Asistente Técnico'!$I$5:$I$1000,$N42)="","",INDEX('Cronograma Asistente Técnico'!$I$5:$I$1000,$N42))))</f>
        <v/>
      </c>
      <c r="G42" s="61">
        <f>IF($N42="","",IF($P42&gt;0,IF(2&lt;=SemanaActual,INDEX('Cronograma Asistente Técnico'!$AD$5:$AD$1000,$N42),""),IF(INDEX('Cronograma Asistente Técnico'!$J$5:$J$1000,$N42)="","",INDEX('Cronograma Asistente Técnico'!$J$5:$J$1000,$N42))))</f>
        <v/>
      </c>
      <c r="H42" s="61">
        <f>IF($N42="","",IF($P42&gt;0,IF(3&lt;=SemanaActual,INDEX('Cronograma Asistente Técnico'!$AE$5:$AE$1000,$N42),""),IF(INDEX('Cronograma Asistente Técnico'!$K$5:$K$1000,$N42)="","",INDEX('Cronograma Asistente Técnico'!$K$5:$K$1000,$N42))))</f>
        <v/>
      </c>
      <c r="I42" s="61">
        <f>IF($N42="","",IF($P42&gt;0,IF(4&lt;=SemanaActual,INDEX('Cronograma Asistente Técnico'!$AF$5:$AF$1000,$N42),""),IF(INDEX('Cronograma Asistente Técnico'!$L$5:$L$1000,$N42)="","",INDEX('Cronograma Asistente Técnico'!$L$5:$L$1000,$N42))))</f>
        <v/>
      </c>
      <c r="J42" s="61">
        <f>IF($N42="","",INDEX('Cronograma Asistente Técnico'!$M$5:$M$1000,$N42))</f>
        <v/>
      </c>
      <c r="K42" s="56">
        <f>IF($N42="","",IF(N($J42)&gt;=1,"Completado",IF(AND(ISNUMBER($D42),$D42&lt;FechaRef),"Vencida",IF(N($J42)&gt;0,"En curso","Pendiente"))))</f>
        <v/>
      </c>
      <c r="L42" s="56">
        <f>IF($N42="","",INDEX('Cronograma Asistente Técnico'!$O$5:$O$1000,$N42)&amp;"")</f>
        <v/>
      </c>
      <c r="M42" s="62">
        <f>IF($N42="","",INDEX('Cronograma Asistente Técnico'!$Q$5:$Q$1000,$N42)&amp;"")</f>
        <v/>
      </c>
      <c r="N42">
        <f>IFERROR(MATCH(ROW()-4,rOrden_ATR,0),"")</f>
        <v/>
      </c>
      <c r="O42">
        <f>IF($N42="","",INDEX('Cronograma Asistente Técnico'!$V$5:$V$1000,$N42))</f>
        <v/>
      </c>
      <c r="P42">
        <f>IF($N42="","",N(INDEX('Cronograma Asistente Técnico'!$W$5:$W$1000,$N42)))</f>
        <v/>
      </c>
      <c r="Q42">
        <f>IF(OR(LEFT($L42,7)="Vencida",LEFT($L42,5)="Vence"),SUMPRODUCT(--(LEFT($L$5:$L42,7)="Vencida"))+SUMPRODUCT(--(LEFT($L$5:$L42,5)="Vence")),"")</f>
        <v/>
      </c>
    </row>
    <row r="43">
      <c r="A43" s="56">
        <f>IF($N43="","",INDEX('Cronograma Asistente Técnico'!$A$5:$A$1000,$N43))</f>
        <v/>
      </c>
      <c r="B43" s="62">
        <f>IF($N43="","",IF($O43="Sub","      ↳  "&amp;INDEX('Cronograma Asistente Técnico'!$C$5:$C$1000,$N43),INDEX('Cronograma Asistente Técnico'!$C$5:$C$1000,$N43)&amp;""))</f>
        <v/>
      </c>
      <c r="C43" s="79">
        <f>IF($N43="","",IF(INDEX('Cronograma Asistente Técnico'!$AM$5:$AM$1000,$N43)="","",INDEX('Cronograma Asistente Técnico'!$AM$5:$AM$1000,$N43)))</f>
        <v/>
      </c>
      <c r="D43" s="79">
        <f>IF($N43="","",IF(INDEX('Cronograma Asistente Técnico'!$AN$5:$AN$1000,$N43)="","",INDEX('Cronograma Asistente Técnico'!$AN$5:$AN$1000,$N43)))</f>
        <v/>
      </c>
      <c r="E43" s="56">
        <f>IF($N43="","",IF(NOT(ISNUMBER($D43)),"",IF($D43&lt;InicioCiclo,"Antes del ciclo",IF($D43&gt;=InicioCiclo+28,"Después del ciclo","Semana "&amp;(INT(($D43-InicioCiclo)/7)+1)))))</f>
        <v/>
      </c>
      <c r="F43" s="61">
        <f>IF($N43="","",IF($P43&gt;0,IF(1&lt;=SemanaActual,INDEX('Cronograma Asistente Técnico'!$AC$5:$AC$1000,$N43),""),IF(INDEX('Cronograma Asistente Técnico'!$I$5:$I$1000,$N43)="","",INDEX('Cronograma Asistente Técnico'!$I$5:$I$1000,$N43))))</f>
        <v/>
      </c>
      <c r="G43" s="61">
        <f>IF($N43="","",IF($P43&gt;0,IF(2&lt;=SemanaActual,INDEX('Cronograma Asistente Técnico'!$AD$5:$AD$1000,$N43),""),IF(INDEX('Cronograma Asistente Técnico'!$J$5:$J$1000,$N43)="","",INDEX('Cronograma Asistente Técnico'!$J$5:$J$1000,$N43))))</f>
        <v/>
      </c>
      <c r="H43" s="61">
        <f>IF($N43="","",IF($P43&gt;0,IF(3&lt;=SemanaActual,INDEX('Cronograma Asistente Técnico'!$AE$5:$AE$1000,$N43),""),IF(INDEX('Cronograma Asistente Técnico'!$K$5:$K$1000,$N43)="","",INDEX('Cronograma Asistente Técnico'!$K$5:$K$1000,$N43))))</f>
        <v/>
      </c>
      <c r="I43" s="61">
        <f>IF($N43="","",IF($P43&gt;0,IF(4&lt;=SemanaActual,INDEX('Cronograma Asistente Técnico'!$AF$5:$AF$1000,$N43),""),IF(INDEX('Cronograma Asistente Técnico'!$L$5:$L$1000,$N43)="","",INDEX('Cronograma Asistente Técnico'!$L$5:$L$1000,$N43))))</f>
        <v/>
      </c>
      <c r="J43" s="61">
        <f>IF($N43="","",INDEX('Cronograma Asistente Técnico'!$M$5:$M$1000,$N43))</f>
        <v/>
      </c>
      <c r="K43" s="56">
        <f>IF($N43="","",IF(N($J43)&gt;=1,"Completado",IF(AND(ISNUMBER($D43),$D43&lt;FechaRef),"Vencida",IF(N($J43)&gt;0,"En curso","Pendiente"))))</f>
        <v/>
      </c>
      <c r="L43" s="56">
        <f>IF($N43="","",INDEX('Cronograma Asistente Técnico'!$O$5:$O$1000,$N43)&amp;"")</f>
        <v/>
      </c>
      <c r="M43" s="62">
        <f>IF($N43="","",INDEX('Cronograma Asistente Técnico'!$Q$5:$Q$1000,$N43)&amp;"")</f>
        <v/>
      </c>
      <c r="N43">
        <f>IFERROR(MATCH(ROW()-4,rOrden_ATR,0),"")</f>
        <v/>
      </c>
      <c r="O43">
        <f>IF($N43="","",INDEX('Cronograma Asistente Técnico'!$V$5:$V$1000,$N43))</f>
        <v/>
      </c>
      <c r="P43">
        <f>IF($N43="","",N(INDEX('Cronograma Asistente Técnico'!$W$5:$W$1000,$N43)))</f>
        <v/>
      </c>
      <c r="Q43">
        <f>IF(OR(LEFT($L43,7)="Vencida",LEFT($L43,5)="Vence"),SUMPRODUCT(--(LEFT($L$5:$L43,7)="Vencida"))+SUMPRODUCT(--(LEFT($L$5:$L43,5)="Vence")),"")</f>
        <v/>
      </c>
    </row>
    <row r="44">
      <c r="A44" s="56">
        <f>IF($N44="","",INDEX('Cronograma Asistente Técnico'!$A$5:$A$1000,$N44))</f>
        <v/>
      </c>
      <c r="B44" s="62">
        <f>IF($N44="","",IF($O44="Sub","      ↳  "&amp;INDEX('Cronograma Asistente Técnico'!$C$5:$C$1000,$N44),INDEX('Cronograma Asistente Técnico'!$C$5:$C$1000,$N44)&amp;""))</f>
        <v/>
      </c>
      <c r="C44" s="79">
        <f>IF($N44="","",IF(INDEX('Cronograma Asistente Técnico'!$AM$5:$AM$1000,$N44)="","",INDEX('Cronograma Asistente Técnico'!$AM$5:$AM$1000,$N44)))</f>
        <v/>
      </c>
      <c r="D44" s="79">
        <f>IF($N44="","",IF(INDEX('Cronograma Asistente Técnico'!$AN$5:$AN$1000,$N44)="","",INDEX('Cronograma Asistente Técnico'!$AN$5:$AN$1000,$N44)))</f>
        <v/>
      </c>
      <c r="E44" s="56">
        <f>IF($N44="","",IF(NOT(ISNUMBER($D44)),"",IF($D44&lt;InicioCiclo,"Antes del ciclo",IF($D44&gt;=InicioCiclo+28,"Después del ciclo","Semana "&amp;(INT(($D44-InicioCiclo)/7)+1)))))</f>
        <v/>
      </c>
      <c r="F44" s="61">
        <f>IF($N44="","",IF($P44&gt;0,IF(1&lt;=SemanaActual,INDEX('Cronograma Asistente Técnico'!$AC$5:$AC$1000,$N44),""),IF(INDEX('Cronograma Asistente Técnico'!$I$5:$I$1000,$N44)="","",INDEX('Cronograma Asistente Técnico'!$I$5:$I$1000,$N44))))</f>
        <v/>
      </c>
      <c r="G44" s="61">
        <f>IF($N44="","",IF($P44&gt;0,IF(2&lt;=SemanaActual,INDEX('Cronograma Asistente Técnico'!$AD$5:$AD$1000,$N44),""),IF(INDEX('Cronograma Asistente Técnico'!$J$5:$J$1000,$N44)="","",INDEX('Cronograma Asistente Técnico'!$J$5:$J$1000,$N44))))</f>
        <v/>
      </c>
      <c r="H44" s="61">
        <f>IF($N44="","",IF($P44&gt;0,IF(3&lt;=SemanaActual,INDEX('Cronograma Asistente Técnico'!$AE$5:$AE$1000,$N44),""),IF(INDEX('Cronograma Asistente Técnico'!$K$5:$K$1000,$N44)="","",INDEX('Cronograma Asistente Técnico'!$K$5:$K$1000,$N44))))</f>
        <v/>
      </c>
      <c r="I44" s="61">
        <f>IF($N44="","",IF($P44&gt;0,IF(4&lt;=SemanaActual,INDEX('Cronograma Asistente Técnico'!$AF$5:$AF$1000,$N44),""),IF(INDEX('Cronograma Asistente Técnico'!$L$5:$L$1000,$N44)="","",INDEX('Cronograma Asistente Técnico'!$L$5:$L$1000,$N44))))</f>
        <v/>
      </c>
      <c r="J44" s="61">
        <f>IF($N44="","",INDEX('Cronograma Asistente Técnico'!$M$5:$M$1000,$N44))</f>
        <v/>
      </c>
      <c r="K44" s="56">
        <f>IF($N44="","",IF(N($J44)&gt;=1,"Completado",IF(AND(ISNUMBER($D44),$D44&lt;FechaRef),"Vencida",IF(N($J44)&gt;0,"En curso","Pendiente"))))</f>
        <v/>
      </c>
      <c r="L44" s="56">
        <f>IF($N44="","",INDEX('Cronograma Asistente Técnico'!$O$5:$O$1000,$N44)&amp;"")</f>
        <v/>
      </c>
      <c r="M44" s="62">
        <f>IF($N44="","",INDEX('Cronograma Asistente Técnico'!$Q$5:$Q$1000,$N44)&amp;"")</f>
        <v/>
      </c>
      <c r="N44">
        <f>IFERROR(MATCH(ROW()-4,rOrden_ATR,0),"")</f>
        <v/>
      </c>
      <c r="O44">
        <f>IF($N44="","",INDEX('Cronograma Asistente Técnico'!$V$5:$V$1000,$N44))</f>
        <v/>
      </c>
      <c r="P44">
        <f>IF($N44="","",N(INDEX('Cronograma Asistente Técnico'!$W$5:$W$1000,$N44)))</f>
        <v/>
      </c>
      <c r="Q44">
        <f>IF(OR(LEFT($L44,7)="Vencida",LEFT($L44,5)="Vence"),SUMPRODUCT(--(LEFT($L$5:$L44,7)="Vencida"))+SUMPRODUCT(--(LEFT($L$5:$L44,5)="Vence")),"")</f>
        <v/>
      </c>
    </row>
    <row r="45">
      <c r="A45" s="56">
        <f>IF($N45="","",INDEX('Cronograma Asistente Técnico'!$A$5:$A$1000,$N45))</f>
        <v/>
      </c>
      <c r="B45" s="62">
        <f>IF($N45="","",IF($O45="Sub","      ↳  "&amp;INDEX('Cronograma Asistente Técnico'!$C$5:$C$1000,$N45),INDEX('Cronograma Asistente Técnico'!$C$5:$C$1000,$N45)&amp;""))</f>
        <v/>
      </c>
      <c r="C45" s="79">
        <f>IF($N45="","",IF(INDEX('Cronograma Asistente Técnico'!$AM$5:$AM$1000,$N45)="","",INDEX('Cronograma Asistente Técnico'!$AM$5:$AM$1000,$N45)))</f>
        <v/>
      </c>
      <c r="D45" s="79">
        <f>IF($N45="","",IF(INDEX('Cronograma Asistente Técnico'!$AN$5:$AN$1000,$N45)="","",INDEX('Cronograma Asistente Técnico'!$AN$5:$AN$1000,$N45)))</f>
        <v/>
      </c>
      <c r="E45" s="56">
        <f>IF($N45="","",IF(NOT(ISNUMBER($D45)),"",IF($D45&lt;InicioCiclo,"Antes del ciclo",IF($D45&gt;=InicioCiclo+28,"Después del ciclo","Semana "&amp;(INT(($D45-InicioCiclo)/7)+1)))))</f>
        <v/>
      </c>
      <c r="F45" s="61">
        <f>IF($N45="","",IF($P45&gt;0,IF(1&lt;=SemanaActual,INDEX('Cronograma Asistente Técnico'!$AC$5:$AC$1000,$N45),""),IF(INDEX('Cronograma Asistente Técnico'!$I$5:$I$1000,$N45)="","",INDEX('Cronograma Asistente Técnico'!$I$5:$I$1000,$N45))))</f>
        <v/>
      </c>
      <c r="G45" s="61">
        <f>IF($N45="","",IF($P45&gt;0,IF(2&lt;=SemanaActual,INDEX('Cronograma Asistente Técnico'!$AD$5:$AD$1000,$N45),""),IF(INDEX('Cronograma Asistente Técnico'!$J$5:$J$1000,$N45)="","",INDEX('Cronograma Asistente Técnico'!$J$5:$J$1000,$N45))))</f>
        <v/>
      </c>
      <c r="H45" s="61">
        <f>IF($N45="","",IF($P45&gt;0,IF(3&lt;=SemanaActual,INDEX('Cronograma Asistente Técnico'!$AE$5:$AE$1000,$N45),""),IF(INDEX('Cronograma Asistente Técnico'!$K$5:$K$1000,$N45)="","",INDEX('Cronograma Asistente Técnico'!$K$5:$K$1000,$N45))))</f>
        <v/>
      </c>
      <c r="I45" s="61">
        <f>IF($N45="","",IF($P45&gt;0,IF(4&lt;=SemanaActual,INDEX('Cronograma Asistente Técnico'!$AF$5:$AF$1000,$N45),""),IF(INDEX('Cronograma Asistente Técnico'!$L$5:$L$1000,$N45)="","",INDEX('Cronograma Asistente Técnico'!$L$5:$L$1000,$N45))))</f>
        <v/>
      </c>
      <c r="J45" s="61">
        <f>IF($N45="","",INDEX('Cronograma Asistente Técnico'!$M$5:$M$1000,$N45))</f>
        <v/>
      </c>
      <c r="K45" s="56">
        <f>IF($N45="","",IF(N($J45)&gt;=1,"Completado",IF(AND(ISNUMBER($D45),$D45&lt;FechaRef),"Vencida",IF(N($J45)&gt;0,"En curso","Pendiente"))))</f>
        <v/>
      </c>
      <c r="L45" s="56">
        <f>IF($N45="","",INDEX('Cronograma Asistente Técnico'!$O$5:$O$1000,$N45)&amp;"")</f>
        <v/>
      </c>
      <c r="M45" s="62">
        <f>IF($N45="","",INDEX('Cronograma Asistente Técnico'!$Q$5:$Q$1000,$N45)&amp;"")</f>
        <v/>
      </c>
      <c r="N45">
        <f>IFERROR(MATCH(ROW()-4,rOrden_ATR,0),"")</f>
        <v/>
      </c>
      <c r="O45">
        <f>IF($N45="","",INDEX('Cronograma Asistente Técnico'!$V$5:$V$1000,$N45))</f>
        <v/>
      </c>
      <c r="P45">
        <f>IF($N45="","",N(INDEX('Cronograma Asistente Técnico'!$W$5:$W$1000,$N45)))</f>
        <v/>
      </c>
      <c r="Q45">
        <f>IF(OR(LEFT($L45,7)="Vencida",LEFT($L45,5)="Vence"),SUMPRODUCT(--(LEFT($L$5:$L45,7)="Vencida"))+SUMPRODUCT(--(LEFT($L$5:$L45,5)="Vence")),"")</f>
        <v/>
      </c>
    </row>
    <row r="46">
      <c r="A46" s="56">
        <f>IF($N46="","",INDEX('Cronograma Asistente Técnico'!$A$5:$A$1000,$N46))</f>
        <v/>
      </c>
      <c r="B46" s="62">
        <f>IF($N46="","",IF($O46="Sub","      ↳  "&amp;INDEX('Cronograma Asistente Técnico'!$C$5:$C$1000,$N46),INDEX('Cronograma Asistente Técnico'!$C$5:$C$1000,$N46)&amp;""))</f>
        <v/>
      </c>
      <c r="C46" s="79">
        <f>IF($N46="","",IF(INDEX('Cronograma Asistente Técnico'!$AM$5:$AM$1000,$N46)="","",INDEX('Cronograma Asistente Técnico'!$AM$5:$AM$1000,$N46)))</f>
        <v/>
      </c>
      <c r="D46" s="79">
        <f>IF($N46="","",IF(INDEX('Cronograma Asistente Técnico'!$AN$5:$AN$1000,$N46)="","",INDEX('Cronograma Asistente Técnico'!$AN$5:$AN$1000,$N46)))</f>
        <v/>
      </c>
      <c r="E46" s="56">
        <f>IF($N46="","",IF(NOT(ISNUMBER($D46)),"",IF($D46&lt;InicioCiclo,"Antes del ciclo",IF($D46&gt;=InicioCiclo+28,"Después del ciclo","Semana "&amp;(INT(($D46-InicioCiclo)/7)+1)))))</f>
        <v/>
      </c>
      <c r="F46" s="61">
        <f>IF($N46="","",IF($P46&gt;0,IF(1&lt;=SemanaActual,INDEX('Cronograma Asistente Técnico'!$AC$5:$AC$1000,$N46),""),IF(INDEX('Cronograma Asistente Técnico'!$I$5:$I$1000,$N46)="","",INDEX('Cronograma Asistente Técnico'!$I$5:$I$1000,$N46))))</f>
        <v/>
      </c>
      <c r="G46" s="61">
        <f>IF($N46="","",IF($P46&gt;0,IF(2&lt;=SemanaActual,INDEX('Cronograma Asistente Técnico'!$AD$5:$AD$1000,$N46),""),IF(INDEX('Cronograma Asistente Técnico'!$J$5:$J$1000,$N46)="","",INDEX('Cronograma Asistente Técnico'!$J$5:$J$1000,$N46))))</f>
        <v/>
      </c>
      <c r="H46" s="61">
        <f>IF($N46="","",IF($P46&gt;0,IF(3&lt;=SemanaActual,INDEX('Cronograma Asistente Técnico'!$AE$5:$AE$1000,$N46),""),IF(INDEX('Cronograma Asistente Técnico'!$K$5:$K$1000,$N46)="","",INDEX('Cronograma Asistente Técnico'!$K$5:$K$1000,$N46))))</f>
        <v/>
      </c>
      <c r="I46" s="61">
        <f>IF($N46="","",IF($P46&gt;0,IF(4&lt;=SemanaActual,INDEX('Cronograma Asistente Técnico'!$AF$5:$AF$1000,$N46),""),IF(INDEX('Cronograma Asistente Técnico'!$L$5:$L$1000,$N46)="","",INDEX('Cronograma Asistente Técnico'!$L$5:$L$1000,$N46))))</f>
        <v/>
      </c>
      <c r="J46" s="61">
        <f>IF($N46="","",INDEX('Cronograma Asistente Técnico'!$M$5:$M$1000,$N46))</f>
        <v/>
      </c>
      <c r="K46" s="56">
        <f>IF($N46="","",IF(N($J46)&gt;=1,"Completado",IF(AND(ISNUMBER($D46),$D46&lt;FechaRef),"Vencida",IF(N($J46)&gt;0,"En curso","Pendiente"))))</f>
        <v/>
      </c>
      <c r="L46" s="56">
        <f>IF($N46="","",INDEX('Cronograma Asistente Técnico'!$O$5:$O$1000,$N46)&amp;"")</f>
        <v/>
      </c>
      <c r="M46" s="62">
        <f>IF($N46="","",INDEX('Cronograma Asistente Técnico'!$Q$5:$Q$1000,$N46)&amp;"")</f>
        <v/>
      </c>
      <c r="N46">
        <f>IFERROR(MATCH(ROW()-4,rOrden_ATR,0),"")</f>
        <v/>
      </c>
      <c r="O46">
        <f>IF($N46="","",INDEX('Cronograma Asistente Técnico'!$V$5:$V$1000,$N46))</f>
        <v/>
      </c>
      <c r="P46">
        <f>IF($N46="","",N(INDEX('Cronograma Asistente Técnico'!$W$5:$W$1000,$N46)))</f>
        <v/>
      </c>
      <c r="Q46">
        <f>IF(OR(LEFT($L46,7)="Vencida",LEFT($L46,5)="Vence"),SUMPRODUCT(--(LEFT($L$5:$L46,7)="Vencida"))+SUMPRODUCT(--(LEFT($L$5:$L46,5)="Vence")),"")</f>
        <v/>
      </c>
    </row>
    <row r="47">
      <c r="A47" s="56">
        <f>IF($N47="","",INDEX('Cronograma Asistente Técnico'!$A$5:$A$1000,$N47))</f>
        <v/>
      </c>
      <c r="B47" s="62">
        <f>IF($N47="","",IF($O47="Sub","      ↳  "&amp;INDEX('Cronograma Asistente Técnico'!$C$5:$C$1000,$N47),INDEX('Cronograma Asistente Técnico'!$C$5:$C$1000,$N47)&amp;""))</f>
        <v/>
      </c>
      <c r="C47" s="79">
        <f>IF($N47="","",IF(INDEX('Cronograma Asistente Técnico'!$AM$5:$AM$1000,$N47)="","",INDEX('Cronograma Asistente Técnico'!$AM$5:$AM$1000,$N47)))</f>
        <v/>
      </c>
      <c r="D47" s="79">
        <f>IF($N47="","",IF(INDEX('Cronograma Asistente Técnico'!$AN$5:$AN$1000,$N47)="","",INDEX('Cronograma Asistente Técnico'!$AN$5:$AN$1000,$N47)))</f>
        <v/>
      </c>
      <c r="E47" s="56">
        <f>IF($N47="","",IF(NOT(ISNUMBER($D47)),"",IF($D47&lt;InicioCiclo,"Antes del ciclo",IF($D47&gt;=InicioCiclo+28,"Después del ciclo","Semana "&amp;(INT(($D47-InicioCiclo)/7)+1)))))</f>
        <v/>
      </c>
      <c r="F47" s="61">
        <f>IF($N47="","",IF($P47&gt;0,IF(1&lt;=SemanaActual,INDEX('Cronograma Asistente Técnico'!$AC$5:$AC$1000,$N47),""),IF(INDEX('Cronograma Asistente Técnico'!$I$5:$I$1000,$N47)="","",INDEX('Cronograma Asistente Técnico'!$I$5:$I$1000,$N47))))</f>
        <v/>
      </c>
      <c r="G47" s="61">
        <f>IF($N47="","",IF($P47&gt;0,IF(2&lt;=SemanaActual,INDEX('Cronograma Asistente Técnico'!$AD$5:$AD$1000,$N47),""),IF(INDEX('Cronograma Asistente Técnico'!$J$5:$J$1000,$N47)="","",INDEX('Cronograma Asistente Técnico'!$J$5:$J$1000,$N47))))</f>
        <v/>
      </c>
      <c r="H47" s="61">
        <f>IF($N47="","",IF($P47&gt;0,IF(3&lt;=SemanaActual,INDEX('Cronograma Asistente Técnico'!$AE$5:$AE$1000,$N47),""),IF(INDEX('Cronograma Asistente Técnico'!$K$5:$K$1000,$N47)="","",INDEX('Cronograma Asistente Técnico'!$K$5:$K$1000,$N47))))</f>
        <v/>
      </c>
      <c r="I47" s="61">
        <f>IF($N47="","",IF($P47&gt;0,IF(4&lt;=SemanaActual,INDEX('Cronograma Asistente Técnico'!$AF$5:$AF$1000,$N47),""),IF(INDEX('Cronograma Asistente Técnico'!$L$5:$L$1000,$N47)="","",INDEX('Cronograma Asistente Técnico'!$L$5:$L$1000,$N47))))</f>
        <v/>
      </c>
      <c r="J47" s="61">
        <f>IF($N47="","",INDEX('Cronograma Asistente Técnico'!$M$5:$M$1000,$N47))</f>
        <v/>
      </c>
      <c r="K47" s="56">
        <f>IF($N47="","",IF(N($J47)&gt;=1,"Completado",IF(AND(ISNUMBER($D47),$D47&lt;FechaRef),"Vencida",IF(N($J47)&gt;0,"En curso","Pendiente"))))</f>
        <v/>
      </c>
      <c r="L47" s="56">
        <f>IF($N47="","",INDEX('Cronograma Asistente Técnico'!$O$5:$O$1000,$N47)&amp;"")</f>
        <v/>
      </c>
      <c r="M47" s="62">
        <f>IF($N47="","",INDEX('Cronograma Asistente Técnico'!$Q$5:$Q$1000,$N47)&amp;"")</f>
        <v/>
      </c>
      <c r="N47">
        <f>IFERROR(MATCH(ROW()-4,rOrden_ATR,0),"")</f>
        <v/>
      </c>
      <c r="O47">
        <f>IF($N47="","",INDEX('Cronograma Asistente Técnico'!$V$5:$V$1000,$N47))</f>
        <v/>
      </c>
      <c r="P47">
        <f>IF($N47="","",N(INDEX('Cronograma Asistente Técnico'!$W$5:$W$1000,$N47)))</f>
        <v/>
      </c>
      <c r="Q47">
        <f>IF(OR(LEFT($L47,7)="Vencida",LEFT($L47,5)="Vence"),SUMPRODUCT(--(LEFT($L$5:$L47,7)="Vencida"))+SUMPRODUCT(--(LEFT($L$5:$L47,5)="Vence")),"")</f>
        <v/>
      </c>
    </row>
    <row r="48">
      <c r="A48" s="56">
        <f>IF($N48="","",INDEX('Cronograma Asistente Técnico'!$A$5:$A$1000,$N48))</f>
        <v/>
      </c>
      <c r="B48" s="62">
        <f>IF($N48="","",IF($O48="Sub","      ↳  "&amp;INDEX('Cronograma Asistente Técnico'!$C$5:$C$1000,$N48),INDEX('Cronograma Asistente Técnico'!$C$5:$C$1000,$N48)&amp;""))</f>
        <v/>
      </c>
      <c r="C48" s="79">
        <f>IF($N48="","",IF(INDEX('Cronograma Asistente Técnico'!$AM$5:$AM$1000,$N48)="","",INDEX('Cronograma Asistente Técnico'!$AM$5:$AM$1000,$N48)))</f>
        <v/>
      </c>
      <c r="D48" s="79">
        <f>IF($N48="","",IF(INDEX('Cronograma Asistente Técnico'!$AN$5:$AN$1000,$N48)="","",INDEX('Cronograma Asistente Técnico'!$AN$5:$AN$1000,$N48)))</f>
        <v/>
      </c>
      <c r="E48" s="56">
        <f>IF($N48="","",IF(NOT(ISNUMBER($D48)),"",IF($D48&lt;InicioCiclo,"Antes del ciclo",IF($D48&gt;=InicioCiclo+28,"Después del ciclo","Semana "&amp;(INT(($D48-InicioCiclo)/7)+1)))))</f>
        <v/>
      </c>
      <c r="F48" s="61">
        <f>IF($N48="","",IF($P48&gt;0,IF(1&lt;=SemanaActual,INDEX('Cronograma Asistente Técnico'!$AC$5:$AC$1000,$N48),""),IF(INDEX('Cronograma Asistente Técnico'!$I$5:$I$1000,$N48)="","",INDEX('Cronograma Asistente Técnico'!$I$5:$I$1000,$N48))))</f>
        <v/>
      </c>
      <c r="G48" s="61">
        <f>IF($N48="","",IF($P48&gt;0,IF(2&lt;=SemanaActual,INDEX('Cronograma Asistente Técnico'!$AD$5:$AD$1000,$N48),""),IF(INDEX('Cronograma Asistente Técnico'!$J$5:$J$1000,$N48)="","",INDEX('Cronograma Asistente Técnico'!$J$5:$J$1000,$N48))))</f>
        <v/>
      </c>
      <c r="H48" s="61">
        <f>IF($N48="","",IF($P48&gt;0,IF(3&lt;=SemanaActual,INDEX('Cronograma Asistente Técnico'!$AE$5:$AE$1000,$N48),""),IF(INDEX('Cronograma Asistente Técnico'!$K$5:$K$1000,$N48)="","",INDEX('Cronograma Asistente Técnico'!$K$5:$K$1000,$N48))))</f>
        <v/>
      </c>
      <c r="I48" s="61">
        <f>IF($N48="","",IF($P48&gt;0,IF(4&lt;=SemanaActual,INDEX('Cronograma Asistente Técnico'!$AF$5:$AF$1000,$N48),""),IF(INDEX('Cronograma Asistente Técnico'!$L$5:$L$1000,$N48)="","",INDEX('Cronograma Asistente Técnico'!$L$5:$L$1000,$N48))))</f>
        <v/>
      </c>
      <c r="J48" s="61">
        <f>IF($N48="","",INDEX('Cronograma Asistente Técnico'!$M$5:$M$1000,$N48))</f>
        <v/>
      </c>
      <c r="K48" s="56">
        <f>IF($N48="","",IF(N($J48)&gt;=1,"Completado",IF(AND(ISNUMBER($D48),$D48&lt;FechaRef),"Vencida",IF(N($J48)&gt;0,"En curso","Pendiente"))))</f>
        <v/>
      </c>
      <c r="L48" s="56">
        <f>IF($N48="","",INDEX('Cronograma Asistente Técnico'!$O$5:$O$1000,$N48)&amp;"")</f>
        <v/>
      </c>
      <c r="M48" s="62">
        <f>IF($N48="","",INDEX('Cronograma Asistente Técnico'!$Q$5:$Q$1000,$N48)&amp;"")</f>
        <v/>
      </c>
      <c r="N48">
        <f>IFERROR(MATCH(ROW()-4,rOrden_ATR,0),"")</f>
        <v/>
      </c>
      <c r="O48">
        <f>IF($N48="","",INDEX('Cronograma Asistente Técnico'!$V$5:$V$1000,$N48))</f>
        <v/>
      </c>
      <c r="P48">
        <f>IF($N48="","",N(INDEX('Cronograma Asistente Técnico'!$W$5:$W$1000,$N48)))</f>
        <v/>
      </c>
      <c r="Q48">
        <f>IF(OR(LEFT($L48,7)="Vencida",LEFT($L48,5)="Vence"),SUMPRODUCT(--(LEFT($L$5:$L48,7)="Vencida"))+SUMPRODUCT(--(LEFT($L$5:$L48,5)="Vence")),"")</f>
        <v/>
      </c>
    </row>
    <row r="49">
      <c r="A49" s="56">
        <f>IF($N49="","",INDEX('Cronograma Asistente Técnico'!$A$5:$A$1000,$N49))</f>
        <v/>
      </c>
      <c r="B49" s="62">
        <f>IF($N49="","",IF($O49="Sub","      ↳  "&amp;INDEX('Cronograma Asistente Técnico'!$C$5:$C$1000,$N49),INDEX('Cronograma Asistente Técnico'!$C$5:$C$1000,$N49)&amp;""))</f>
        <v/>
      </c>
      <c r="C49" s="79">
        <f>IF($N49="","",IF(INDEX('Cronograma Asistente Técnico'!$AM$5:$AM$1000,$N49)="","",INDEX('Cronograma Asistente Técnico'!$AM$5:$AM$1000,$N49)))</f>
        <v/>
      </c>
      <c r="D49" s="79">
        <f>IF($N49="","",IF(INDEX('Cronograma Asistente Técnico'!$AN$5:$AN$1000,$N49)="","",INDEX('Cronograma Asistente Técnico'!$AN$5:$AN$1000,$N49)))</f>
        <v/>
      </c>
      <c r="E49" s="56">
        <f>IF($N49="","",IF(NOT(ISNUMBER($D49)),"",IF($D49&lt;InicioCiclo,"Antes del ciclo",IF($D49&gt;=InicioCiclo+28,"Después del ciclo","Semana "&amp;(INT(($D49-InicioCiclo)/7)+1)))))</f>
        <v/>
      </c>
      <c r="F49" s="61">
        <f>IF($N49="","",IF($P49&gt;0,IF(1&lt;=SemanaActual,INDEX('Cronograma Asistente Técnico'!$AC$5:$AC$1000,$N49),""),IF(INDEX('Cronograma Asistente Técnico'!$I$5:$I$1000,$N49)="","",INDEX('Cronograma Asistente Técnico'!$I$5:$I$1000,$N49))))</f>
        <v/>
      </c>
      <c r="G49" s="61">
        <f>IF($N49="","",IF($P49&gt;0,IF(2&lt;=SemanaActual,INDEX('Cronograma Asistente Técnico'!$AD$5:$AD$1000,$N49),""),IF(INDEX('Cronograma Asistente Técnico'!$J$5:$J$1000,$N49)="","",INDEX('Cronograma Asistente Técnico'!$J$5:$J$1000,$N49))))</f>
        <v/>
      </c>
      <c r="H49" s="61">
        <f>IF($N49="","",IF($P49&gt;0,IF(3&lt;=SemanaActual,INDEX('Cronograma Asistente Técnico'!$AE$5:$AE$1000,$N49),""),IF(INDEX('Cronograma Asistente Técnico'!$K$5:$K$1000,$N49)="","",INDEX('Cronograma Asistente Técnico'!$K$5:$K$1000,$N49))))</f>
        <v/>
      </c>
      <c r="I49" s="61">
        <f>IF($N49="","",IF($P49&gt;0,IF(4&lt;=SemanaActual,INDEX('Cronograma Asistente Técnico'!$AF$5:$AF$1000,$N49),""),IF(INDEX('Cronograma Asistente Técnico'!$L$5:$L$1000,$N49)="","",INDEX('Cronograma Asistente Técnico'!$L$5:$L$1000,$N49))))</f>
        <v/>
      </c>
      <c r="J49" s="61">
        <f>IF($N49="","",INDEX('Cronograma Asistente Técnico'!$M$5:$M$1000,$N49))</f>
        <v/>
      </c>
      <c r="K49" s="56">
        <f>IF($N49="","",IF(N($J49)&gt;=1,"Completado",IF(AND(ISNUMBER($D49),$D49&lt;FechaRef),"Vencida",IF(N($J49)&gt;0,"En curso","Pendiente"))))</f>
        <v/>
      </c>
      <c r="L49" s="56">
        <f>IF($N49="","",INDEX('Cronograma Asistente Técnico'!$O$5:$O$1000,$N49)&amp;"")</f>
        <v/>
      </c>
      <c r="M49" s="62">
        <f>IF($N49="","",INDEX('Cronograma Asistente Técnico'!$Q$5:$Q$1000,$N49)&amp;"")</f>
        <v/>
      </c>
      <c r="N49">
        <f>IFERROR(MATCH(ROW()-4,rOrden_ATR,0),"")</f>
        <v/>
      </c>
      <c r="O49">
        <f>IF($N49="","",INDEX('Cronograma Asistente Técnico'!$V$5:$V$1000,$N49))</f>
        <v/>
      </c>
      <c r="P49">
        <f>IF($N49="","",N(INDEX('Cronograma Asistente Técnico'!$W$5:$W$1000,$N49)))</f>
        <v/>
      </c>
      <c r="Q49">
        <f>IF(OR(LEFT($L49,7)="Vencida",LEFT($L49,5)="Vence"),SUMPRODUCT(--(LEFT($L$5:$L49,7)="Vencida"))+SUMPRODUCT(--(LEFT($L$5:$L49,5)="Vence")),"")</f>
        <v/>
      </c>
    </row>
    <row r="50">
      <c r="A50" s="56">
        <f>IF($N50="","",INDEX('Cronograma Asistente Técnico'!$A$5:$A$1000,$N50))</f>
        <v/>
      </c>
      <c r="B50" s="62">
        <f>IF($N50="","",IF($O50="Sub","      ↳  "&amp;INDEX('Cronograma Asistente Técnico'!$C$5:$C$1000,$N50),INDEX('Cronograma Asistente Técnico'!$C$5:$C$1000,$N50)&amp;""))</f>
        <v/>
      </c>
      <c r="C50" s="79">
        <f>IF($N50="","",IF(INDEX('Cronograma Asistente Técnico'!$AM$5:$AM$1000,$N50)="","",INDEX('Cronograma Asistente Técnico'!$AM$5:$AM$1000,$N50)))</f>
        <v/>
      </c>
      <c r="D50" s="79">
        <f>IF($N50="","",IF(INDEX('Cronograma Asistente Técnico'!$AN$5:$AN$1000,$N50)="","",INDEX('Cronograma Asistente Técnico'!$AN$5:$AN$1000,$N50)))</f>
        <v/>
      </c>
      <c r="E50" s="56">
        <f>IF($N50="","",IF(NOT(ISNUMBER($D50)),"",IF($D50&lt;InicioCiclo,"Antes del ciclo",IF($D50&gt;=InicioCiclo+28,"Después del ciclo","Semana "&amp;(INT(($D50-InicioCiclo)/7)+1)))))</f>
        <v/>
      </c>
      <c r="F50" s="61">
        <f>IF($N50="","",IF($P50&gt;0,IF(1&lt;=SemanaActual,INDEX('Cronograma Asistente Técnico'!$AC$5:$AC$1000,$N50),""),IF(INDEX('Cronograma Asistente Técnico'!$I$5:$I$1000,$N50)="","",INDEX('Cronograma Asistente Técnico'!$I$5:$I$1000,$N50))))</f>
        <v/>
      </c>
      <c r="G50" s="61">
        <f>IF($N50="","",IF($P50&gt;0,IF(2&lt;=SemanaActual,INDEX('Cronograma Asistente Técnico'!$AD$5:$AD$1000,$N50),""),IF(INDEX('Cronograma Asistente Técnico'!$J$5:$J$1000,$N50)="","",INDEX('Cronograma Asistente Técnico'!$J$5:$J$1000,$N50))))</f>
        <v/>
      </c>
      <c r="H50" s="61">
        <f>IF($N50="","",IF($P50&gt;0,IF(3&lt;=SemanaActual,INDEX('Cronograma Asistente Técnico'!$AE$5:$AE$1000,$N50),""),IF(INDEX('Cronograma Asistente Técnico'!$K$5:$K$1000,$N50)="","",INDEX('Cronograma Asistente Técnico'!$K$5:$K$1000,$N50))))</f>
        <v/>
      </c>
      <c r="I50" s="61">
        <f>IF($N50="","",IF($P50&gt;0,IF(4&lt;=SemanaActual,INDEX('Cronograma Asistente Técnico'!$AF$5:$AF$1000,$N50),""),IF(INDEX('Cronograma Asistente Técnico'!$L$5:$L$1000,$N50)="","",INDEX('Cronograma Asistente Técnico'!$L$5:$L$1000,$N50))))</f>
        <v/>
      </c>
      <c r="J50" s="61">
        <f>IF($N50="","",INDEX('Cronograma Asistente Técnico'!$M$5:$M$1000,$N50))</f>
        <v/>
      </c>
      <c r="K50" s="56">
        <f>IF($N50="","",IF(N($J50)&gt;=1,"Completado",IF(AND(ISNUMBER($D50),$D50&lt;FechaRef),"Vencida",IF(N($J50)&gt;0,"En curso","Pendiente"))))</f>
        <v/>
      </c>
      <c r="L50" s="56">
        <f>IF($N50="","",INDEX('Cronograma Asistente Técnico'!$O$5:$O$1000,$N50)&amp;"")</f>
        <v/>
      </c>
      <c r="M50" s="62">
        <f>IF($N50="","",INDEX('Cronograma Asistente Técnico'!$Q$5:$Q$1000,$N50)&amp;"")</f>
        <v/>
      </c>
      <c r="N50">
        <f>IFERROR(MATCH(ROW()-4,rOrden_ATR,0),"")</f>
        <v/>
      </c>
      <c r="O50">
        <f>IF($N50="","",INDEX('Cronograma Asistente Técnico'!$V$5:$V$1000,$N50))</f>
        <v/>
      </c>
      <c r="P50">
        <f>IF($N50="","",N(INDEX('Cronograma Asistente Técnico'!$W$5:$W$1000,$N50)))</f>
        <v/>
      </c>
      <c r="Q50">
        <f>IF(OR(LEFT($L50,7)="Vencida",LEFT($L50,5)="Vence"),SUMPRODUCT(--(LEFT($L$5:$L50,7)="Vencida"))+SUMPRODUCT(--(LEFT($L$5:$L50,5)="Vence")),"")</f>
        <v/>
      </c>
    </row>
    <row r="51">
      <c r="A51" s="56">
        <f>IF($N51="","",INDEX('Cronograma Asistente Técnico'!$A$5:$A$1000,$N51))</f>
        <v/>
      </c>
      <c r="B51" s="62">
        <f>IF($N51="","",IF($O51="Sub","      ↳  "&amp;INDEX('Cronograma Asistente Técnico'!$C$5:$C$1000,$N51),INDEX('Cronograma Asistente Técnico'!$C$5:$C$1000,$N51)&amp;""))</f>
        <v/>
      </c>
      <c r="C51" s="79">
        <f>IF($N51="","",IF(INDEX('Cronograma Asistente Técnico'!$AM$5:$AM$1000,$N51)="","",INDEX('Cronograma Asistente Técnico'!$AM$5:$AM$1000,$N51)))</f>
        <v/>
      </c>
      <c r="D51" s="79">
        <f>IF($N51="","",IF(INDEX('Cronograma Asistente Técnico'!$AN$5:$AN$1000,$N51)="","",INDEX('Cronograma Asistente Técnico'!$AN$5:$AN$1000,$N51)))</f>
        <v/>
      </c>
      <c r="E51" s="56">
        <f>IF($N51="","",IF(NOT(ISNUMBER($D51)),"",IF($D51&lt;InicioCiclo,"Antes del ciclo",IF($D51&gt;=InicioCiclo+28,"Después del ciclo","Semana "&amp;(INT(($D51-InicioCiclo)/7)+1)))))</f>
        <v/>
      </c>
      <c r="F51" s="61">
        <f>IF($N51="","",IF($P51&gt;0,IF(1&lt;=SemanaActual,INDEX('Cronograma Asistente Técnico'!$AC$5:$AC$1000,$N51),""),IF(INDEX('Cronograma Asistente Técnico'!$I$5:$I$1000,$N51)="","",INDEX('Cronograma Asistente Técnico'!$I$5:$I$1000,$N51))))</f>
        <v/>
      </c>
      <c r="G51" s="61">
        <f>IF($N51="","",IF($P51&gt;0,IF(2&lt;=SemanaActual,INDEX('Cronograma Asistente Técnico'!$AD$5:$AD$1000,$N51),""),IF(INDEX('Cronograma Asistente Técnico'!$J$5:$J$1000,$N51)="","",INDEX('Cronograma Asistente Técnico'!$J$5:$J$1000,$N51))))</f>
        <v/>
      </c>
      <c r="H51" s="61">
        <f>IF($N51="","",IF($P51&gt;0,IF(3&lt;=SemanaActual,INDEX('Cronograma Asistente Técnico'!$AE$5:$AE$1000,$N51),""),IF(INDEX('Cronograma Asistente Técnico'!$K$5:$K$1000,$N51)="","",INDEX('Cronograma Asistente Técnico'!$K$5:$K$1000,$N51))))</f>
        <v/>
      </c>
      <c r="I51" s="61">
        <f>IF($N51="","",IF($P51&gt;0,IF(4&lt;=SemanaActual,INDEX('Cronograma Asistente Técnico'!$AF$5:$AF$1000,$N51),""),IF(INDEX('Cronograma Asistente Técnico'!$L$5:$L$1000,$N51)="","",INDEX('Cronograma Asistente Técnico'!$L$5:$L$1000,$N51))))</f>
        <v/>
      </c>
      <c r="J51" s="61">
        <f>IF($N51="","",INDEX('Cronograma Asistente Técnico'!$M$5:$M$1000,$N51))</f>
        <v/>
      </c>
      <c r="K51" s="56">
        <f>IF($N51="","",IF(N($J51)&gt;=1,"Completado",IF(AND(ISNUMBER($D51),$D51&lt;FechaRef),"Vencida",IF(N($J51)&gt;0,"En curso","Pendiente"))))</f>
        <v/>
      </c>
      <c r="L51" s="56">
        <f>IF($N51="","",INDEX('Cronograma Asistente Técnico'!$O$5:$O$1000,$N51)&amp;"")</f>
        <v/>
      </c>
      <c r="M51" s="62">
        <f>IF($N51="","",INDEX('Cronograma Asistente Técnico'!$Q$5:$Q$1000,$N51)&amp;"")</f>
        <v/>
      </c>
      <c r="N51">
        <f>IFERROR(MATCH(ROW()-4,rOrden_ATR,0),"")</f>
        <v/>
      </c>
      <c r="O51">
        <f>IF($N51="","",INDEX('Cronograma Asistente Técnico'!$V$5:$V$1000,$N51))</f>
        <v/>
      </c>
      <c r="P51">
        <f>IF($N51="","",N(INDEX('Cronograma Asistente Técnico'!$W$5:$W$1000,$N51)))</f>
        <v/>
      </c>
      <c r="Q51">
        <f>IF(OR(LEFT($L51,7)="Vencida",LEFT($L51,5)="Vence"),SUMPRODUCT(--(LEFT($L$5:$L51,7)="Vencida"))+SUMPRODUCT(--(LEFT($L$5:$L51,5)="Vence")),"")</f>
        <v/>
      </c>
    </row>
    <row r="52">
      <c r="A52" s="56">
        <f>IF($N52="","",INDEX('Cronograma Asistente Técnico'!$A$5:$A$1000,$N52))</f>
        <v/>
      </c>
      <c r="B52" s="62">
        <f>IF($N52="","",IF($O52="Sub","      ↳  "&amp;INDEX('Cronograma Asistente Técnico'!$C$5:$C$1000,$N52),INDEX('Cronograma Asistente Técnico'!$C$5:$C$1000,$N52)&amp;""))</f>
        <v/>
      </c>
      <c r="C52" s="79">
        <f>IF($N52="","",IF(INDEX('Cronograma Asistente Técnico'!$AM$5:$AM$1000,$N52)="","",INDEX('Cronograma Asistente Técnico'!$AM$5:$AM$1000,$N52)))</f>
        <v/>
      </c>
      <c r="D52" s="79">
        <f>IF($N52="","",IF(INDEX('Cronograma Asistente Técnico'!$AN$5:$AN$1000,$N52)="","",INDEX('Cronograma Asistente Técnico'!$AN$5:$AN$1000,$N52)))</f>
        <v/>
      </c>
      <c r="E52" s="56">
        <f>IF($N52="","",IF(NOT(ISNUMBER($D52)),"",IF($D52&lt;InicioCiclo,"Antes del ciclo",IF($D52&gt;=InicioCiclo+28,"Después del ciclo","Semana "&amp;(INT(($D52-InicioCiclo)/7)+1)))))</f>
        <v/>
      </c>
      <c r="F52" s="61">
        <f>IF($N52="","",IF($P52&gt;0,IF(1&lt;=SemanaActual,INDEX('Cronograma Asistente Técnico'!$AC$5:$AC$1000,$N52),""),IF(INDEX('Cronograma Asistente Técnico'!$I$5:$I$1000,$N52)="","",INDEX('Cronograma Asistente Técnico'!$I$5:$I$1000,$N52))))</f>
        <v/>
      </c>
      <c r="G52" s="61">
        <f>IF($N52="","",IF($P52&gt;0,IF(2&lt;=SemanaActual,INDEX('Cronograma Asistente Técnico'!$AD$5:$AD$1000,$N52),""),IF(INDEX('Cronograma Asistente Técnico'!$J$5:$J$1000,$N52)="","",INDEX('Cronograma Asistente Técnico'!$J$5:$J$1000,$N52))))</f>
        <v/>
      </c>
      <c r="H52" s="61">
        <f>IF($N52="","",IF($P52&gt;0,IF(3&lt;=SemanaActual,INDEX('Cronograma Asistente Técnico'!$AE$5:$AE$1000,$N52),""),IF(INDEX('Cronograma Asistente Técnico'!$K$5:$K$1000,$N52)="","",INDEX('Cronograma Asistente Técnico'!$K$5:$K$1000,$N52))))</f>
        <v/>
      </c>
      <c r="I52" s="61">
        <f>IF($N52="","",IF($P52&gt;0,IF(4&lt;=SemanaActual,INDEX('Cronograma Asistente Técnico'!$AF$5:$AF$1000,$N52),""),IF(INDEX('Cronograma Asistente Técnico'!$L$5:$L$1000,$N52)="","",INDEX('Cronograma Asistente Técnico'!$L$5:$L$1000,$N52))))</f>
        <v/>
      </c>
      <c r="J52" s="61">
        <f>IF($N52="","",INDEX('Cronograma Asistente Técnico'!$M$5:$M$1000,$N52))</f>
        <v/>
      </c>
      <c r="K52" s="56">
        <f>IF($N52="","",IF(N($J52)&gt;=1,"Completado",IF(AND(ISNUMBER($D52),$D52&lt;FechaRef),"Vencida",IF(N($J52)&gt;0,"En curso","Pendiente"))))</f>
        <v/>
      </c>
      <c r="L52" s="56">
        <f>IF($N52="","",INDEX('Cronograma Asistente Técnico'!$O$5:$O$1000,$N52)&amp;"")</f>
        <v/>
      </c>
      <c r="M52" s="62">
        <f>IF($N52="","",INDEX('Cronograma Asistente Técnico'!$Q$5:$Q$1000,$N52)&amp;"")</f>
        <v/>
      </c>
      <c r="N52">
        <f>IFERROR(MATCH(ROW()-4,rOrden_ATR,0),"")</f>
        <v/>
      </c>
      <c r="O52">
        <f>IF($N52="","",INDEX('Cronograma Asistente Técnico'!$V$5:$V$1000,$N52))</f>
        <v/>
      </c>
      <c r="P52">
        <f>IF($N52="","",N(INDEX('Cronograma Asistente Técnico'!$W$5:$W$1000,$N52)))</f>
        <v/>
      </c>
      <c r="Q52">
        <f>IF(OR(LEFT($L52,7)="Vencida",LEFT($L52,5)="Vence"),SUMPRODUCT(--(LEFT($L$5:$L52,7)="Vencida"))+SUMPRODUCT(--(LEFT($L$5:$L52,5)="Vence")),"")</f>
        <v/>
      </c>
    </row>
    <row r="53">
      <c r="A53" s="56">
        <f>IF($N53="","",INDEX('Cronograma Asistente Técnico'!$A$5:$A$1000,$N53))</f>
        <v/>
      </c>
      <c r="B53" s="62">
        <f>IF($N53="","",IF($O53="Sub","      ↳  "&amp;INDEX('Cronograma Asistente Técnico'!$C$5:$C$1000,$N53),INDEX('Cronograma Asistente Técnico'!$C$5:$C$1000,$N53)&amp;""))</f>
        <v/>
      </c>
      <c r="C53" s="79">
        <f>IF($N53="","",IF(INDEX('Cronograma Asistente Técnico'!$AM$5:$AM$1000,$N53)="","",INDEX('Cronograma Asistente Técnico'!$AM$5:$AM$1000,$N53)))</f>
        <v/>
      </c>
      <c r="D53" s="79">
        <f>IF($N53="","",IF(INDEX('Cronograma Asistente Técnico'!$AN$5:$AN$1000,$N53)="","",INDEX('Cronograma Asistente Técnico'!$AN$5:$AN$1000,$N53)))</f>
        <v/>
      </c>
      <c r="E53" s="56">
        <f>IF($N53="","",IF(NOT(ISNUMBER($D53)),"",IF($D53&lt;InicioCiclo,"Antes del ciclo",IF($D53&gt;=InicioCiclo+28,"Después del ciclo","Semana "&amp;(INT(($D53-InicioCiclo)/7)+1)))))</f>
        <v/>
      </c>
      <c r="F53" s="61">
        <f>IF($N53="","",IF($P53&gt;0,IF(1&lt;=SemanaActual,INDEX('Cronograma Asistente Técnico'!$AC$5:$AC$1000,$N53),""),IF(INDEX('Cronograma Asistente Técnico'!$I$5:$I$1000,$N53)="","",INDEX('Cronograma Asistente Técnico'!$I$5:$I$1000,$N53))))</f>
        <v/>
      </c>
      <c r="G53" s="61">
        <f>IF($N53="","",IF($P53&gt;0,IF(2&lt;=SemanaActual,INDEX('Cronograma Asistente Técnico'!$AD$5:$AD$1000,$N53),""),IF(INDEX('Cronograma Asistente Técnico'!$J$5:$J$1000,$N53)="","",INDEX('Cronograma Asistente Técnico'!$J$5:$J$1000,$N53))))</f>
        <v/>
      </c>
      <c r="H53" s="61">
        <f>IF($N53="","",IF($P53&gt;0,IF(3&lt;=SemanaActual,INDEX('Cronograma Asistente Técnico'!$AE$5:$AE$1000,$N53),""),IF(INDEX('Cronograma Asistente Técnico'!$K$5:$K$1000,$N53)="","",INDEX('Cronograma Asistente Técnico'!$K$5:$K$1000,$N53))))</f>
        <v/>
      </c>
      <c r="I53" s="61">
        <f>IF($N53="","",IF($P53&gt;0,IF(4&lt;=SemanaActual,INDEX('Cronograma Asistente Técnico'!$AF$5:$AF$1000,$N53),""),IF(INDEX('Cronograma Asistente Técnico'!$L$5:$L$1000,$N53)="","",INDEX('Cronograma Asistente Técnico'!$L$5:$L$1000,$N53))))</f>
        <v/>
      </c>
      <c r="J53" s="61">
        <f>IF($N53="","",INDEX('Cronograma Asistente Técnico'!$M$5:$M$1000,$N53))</f>
        <v/>
      </c>
      <c r="K53" s="56">
        <f>IF($N53="","",IF(N($J53)&gt;=1,"Completado",IF(AND(ISNUMBER($D53),$D53&lt;FechaRef),"Vencida",IF(N($J53)&gt;0,"En curso","Pendiente"))))</f>
        <v/>
      </c>
      <c r="L53" s="56">
        <f>IF($N53="","",INDEX('Cronograma Asistente Técnico'!$O$5:$O$1000,$N53)&amp;"")</f>
        <v/>
      </c>
      <c r="M53" s="62">
        <f>IF($N53="","",INDEX('Cronograma Asistente Técnico'!$Q$5:$Q$1000,$N53)&amp;"")</f>
        <v/>
      </c>
      <c r="N53">
        <f>IFERROR(MATCH(ROW()-4,rOrden_ATR,0),"")</f>
        <v/>
      </c>
      <c r="O53">
        <f>IF($N53="","",INDEX('Cronograma Asistente Técnico'!$V$5:$V$1000,$N53))</f>
        <v/>
      </c>
      <c r="P53">
        <f>IF($N53="","",N(INDEX('Cronograma Asistente Técnico'!$W$5:$W$1000,$N53)))</f>
        <v/>
      </c>
      <c r="Q53">
        <f>IF(OR(LEFT($L53,7)="Vencida",LEFT($L53,5)="Vence"),SUMPRODUCT(--(LEFT($L$5:$L53,7)="Vencida"))+SUMPRODUCT(--(LEFT($L$5:$L53,5)="Vence")),"")</f>
        <v/>
      </c>
    </row>
    <row r="54">
      <c r="A54" s="56">
        <f>IF($N54="","",INDEX('Cronograma Asistente Técnico'!$A$5:$A$1000,$N54))</f>
        <v/>
      </c>
      <c r="B54" s="62">
        <f>IF($N54="","",IF($O54="Sub","      ↳  "&amp;INDEX('Cronograma Asistente Técnico'!$C$5:$C$1000,$N54),INDEX('Cronograma Asistente Técnico'!$C$5:$C$1000,$N54)&amp;""))</f>
        <v/>
      </c>
      <c r="C54" s="79">
        <f>IF($N54="","",IF(INDEX('Cronograma Asistente Técnico'!$AM$5:$AM$1000,$N54)="","",INDEX('Cronograma Asistente Técnico'!$AM$5:$AM$1000,$N54)))</f>
        <v/>
      </c>
      <c r="D54" s="79">
        <f>IF($N54="","",IF(INDEX('Cronograma Asistente Técnico'!$AN$5:$AN$1000,$N54)="","",INDEX('Cronograma Asistente Técnico'!$AN$5:$AN$1000,$N54)))</f>
        <v/>
      </c>
      <c r="E54" s="56">
        <f>IF($N54="","",IF(NOT(ISNUMBER($D54)),"",IF($D54&lt;InicioCiclo,"Antes del ciclo",IF($D54&gt;=InicioCiclo+28,"Después del ciclo","Semana "&amp;(INT(($D54-InicioCiclo)/7)+1)))))</f>
        <v/>
      </c>
      <c r="F54" s="61">
        <f>IF($N54="","",IF($P54&gt;0,IF(1&lt;=SemanaActual,INDEX('Cronograma Asistente Técnico'!$AC$5:$AC$1000,$N54),""),IF(INDEX('Cronograma Asistente Técnico'!$I$5:$I$1000,$N54)="","",INDEX('Cronograma Asistente Técnico'!$I$5:$I$1000,$N54))))</f>
        <v/>
      </c>
      <c r="G54" s="61">
        <f>IF($N54="","",IF($P54&gt;0,IF(2&lt;=SemanaActual,INDEX('Cronograma Asistente Técnico'!$AD$5:$AD$1000,$N54),""),IF(INDEX('Cronograma Asistente Técnico'!$J$5:$J$1000,$N54)="","",INDEX('Cronograma Asistente Técnico'!$J$5:$J$1000,$N54))))</f>
        <v/>
      </c>
      <c r="H54" s="61">
        <f>IF($N54="","",IF($P54&gt;0,IF(3&lt;=SemanaActual,INDEX('Cronograma Asistente Técnico'!$AE$5:$AE$1000,$N54),""),IF(INDEX('Cronograma Asistente Técnico'!$K$5:$K$1000,$N54)="","",INDEX('Cronograma Asistente Técnico'!$K$5:$K$1000,$N54))))</f>
        <v/>
      </c>
      <c r="I54" s="61">
        <f>IF($N54="","",IF($P54&gt;0,IF(4&lt;=SemanaActual,INDEX('Cronograma Asistente Técnico'!$AF$5:$AF$1000,$N54),""),IF(INDEX('Cronograma Asistente Técnico'!$L$5:$L$1000,$N54)="","",INDEX('Cronograma Asistente Técnico'!$L$5:$L$1000,$N54))))</f>
        <v/>
      </c>
      <c r="J54" s="61">
        <f>IF($N54="","",INDEX('Cronograma Asistente Técnico'!$M$5:$M$1000,$N54))</f>
        <v/>
      </c>
      <c r="K54" s="56">
        <f>IF($N54="","",IF(N($J54)&gt;=1,"Completado",IF(AND(ISNUMBER($D54),$D54&lt;FechaRef),"Vencida",IF(N($J54)&gt;0,"En curso","Pendiente"))))</f>
        <v/>
      </c>
      <c r="L54" s="56">
        <f>IF($N54="","",INDEX('Cronograma Asistente Técnico'!$O$5:$O$1000,$N54)&amp;"")</f>
        <v/>
      </c>
      <c r="M54" s="62">
        <f>IF($N54="","",INDEX('Cronograma Asistente Técnico'!$Q$5:$Q$1000,$N54)&amp;"")</f>
        <v/>
      </c>
      <c r="N54">
        <f>IFERROR(MATCH(ROW()-4,rOrden_ATR,0),"")</f>
        <v/>
      </c>
      <c r="O54">
        <f>IF($N54="","",INDEX('Cronograma Asistente Técnico'!$V$5:$V$1000,$N54))</f>
        <v/>
      </c>
      <c r="P54">
        <f>IF($N54="","",N(INDEX('Cronograma Asistente Técnico'!$W$5:$W$1000,$N54)))</f>
        <v/>
      </c>
      <c r="Q54">
        <f>IF(OR(LEFT($L54,7)="Vencida",LEFT($L54,5)="Vence"),SUMPRODUCT(--(LEFT($L$5:$L54,7)="Vencida"))+SUMPRODUCT(--(LEFT($L$5:$L54,5)="Vence")),"")</f>
        <v/>
      </c>
    </row>
    <row r="55">
      <c r="A55" s="56">
        <f>IF($N55="","",INDEX('Cronograma Asistente Técnico'!$A$5:$A$1000,$N55))</f>
        <v/>
      </c>
      <c r="B55" s="62">
        <f>IF($N55="","",IF($O55="Sub","      ↳  "&amp;INDEX('Cronograma Asistente Técnico'!$C$5:$C$1000,$N55),INDEX('Cronograma Asistente Técnico'!$C$5:$C$1000,$N55)&amp;""))</f>
        <v/>
      </c>
      <c r="C55" s="79">
        <f>IF($N55="","",IF(INDEX('Cronograma Asistente Técnico'!$AM$5:$AM$1000,$N55)="","",INDEX('Cronograma Asistente Técnico'!$AM$5:$AM$1000,$N55)))</f>
        <v/>
      </c>
      <c r="D55" s="79">
        <f>IF($N55="","",IF(INDEX('Cronograma Asistente Técnico'!$AN$5:$AN$1000,$N55)="","",INDEX('Cronograma Asistente Técnico'!$AN$5:$AN$1000,$N55)))</f>
        <v/>
      </c>
      <c r="E55" s="56">
        <f>IF($N55="","",IF(NOT(ISNUMBER($D55)),"",IF($D55&lt;InicioCiclo,"Antes del ciclo",IF($D55&gt;=InicioCiclo+28,"Después del ciclo","Semana "&amp;(INT(($D55-InicioCiclo)/7)+1)))))</f>
        <v/>
      </c>
      <c r="F55" s="61">
        <f>IF($N55="","",IF($P55&gt;0,IF(1&lt;=SemanaActual,INDEX('Cronograma Asistente Técnico'!$AC$5:$AC$1000,$N55),""),IF(INDEX('Cronograma Asistente Técnico'!$I$5:$I$1000,$N55)="","",INDEX('Cronograma Asistente Técnico'!$I$5:$I$1000,$N55))))</f>
        <v/>
      </c>
      <c r="G55" s="61">
        <f>IF($N55="","",IF($P55&gt;0,IF(2&lt;=SemanaActual,INDEX('Cronograma Asistente Técnico'!$AD$5:$AD$1000,$N55),""),IF(INDEX('Cronograma Asistente Técnico'!$J$5:$J$1000,$N55)="","",INDEX('Cronograma Asistente Técnico'!$J$5:$J$1000,$N55))))</f>
        <v/>
      </c>
      <c r="H55" s="61">
        <f>IF($N55="","",IF($P55&gt;0,IF(3&lt;=SemanaActual,INDEX('Cronograma Asistente Técnico'!$AE$5:$AE$1000,$N55),""),IF(INDEX('Cronograma Asistente Técnico'!$K$5:$K$1000,$N55)="","",INDEX('Cronograma Asistente Técnico'!$K$5:$K$1000,$N55))))</f>
        <v/>
      </c>
      <c r="I55" s="61">
        <f>IF($N55="","",IF($P55&gt;0,IF(4&lt;=SemanaActual,INDEX('Cronograma Asistente Técnico'!$AF$5:$AF$1000,$N55),""),IF(INDEX('Cronograma Asistente Técnico'!$L$5:$L$1000,$N55)="","",INDEX('Cronograma Asistente Técnico'!$L$5:$L$1000,$N55))))</f>
        <v/>
      </c>
      <c r="J55" s="61">
        <f>IF($N55="","",INDEX('Cronograma Asistente Técnico'!$M$5:$M$1000,$N55))</f>
        <v/>
      </c>
      <c r="K55" s="56">
        <f>IF($N55="","",IF(N($J55)&gt;=1,"Completado",IF(AND(ISNUMBER($D55),$D55&lt;FechaRef),"Vencida",IF(N($J55)&gt;0,"En curso","Pendiente"))))</f>
        <v/>
      </c>
      <c r="L55" s="56">
        <f>IF($N55="","",INDEX('Cronograma Asistente Técnico'!$O$5:$O$1000,$N55)&amp;"")</f>
        <v/>
      </c>
      <c r="M55" s="62">
        <f>IF($N55="","",INDEX('Cronograma Asistente Técnico'!$Q$5:$Q$1000,$N55)&amp;"")</f>
        <v/>
      </c>
      <c r="N55">
        <f>IFERROR(MATCH(ROW()-4,rOrden_ATR,0),"")</f>
        <v/>
      </c>
      <c r="O55">
        <f>IF($N55="","",INDEX('Cronograma Asistente Técnico'!$V$5:$V$1000,$N55))</f>
        <v/>
      </c>
      <c r="P55">
        <f>IF($N55="","",N(INDEX('Cronograma Asistente Técnico'!$W$5:$W$1000,$N55)))</f>
        <v/>
      </c>
      <c r="Q55">
        <f>IF(OR(LEFT($L55,7)="Vencida",LEFT($L55,5)="Vence"),SUMPRODUCT(--(LEFT($L$5:$L55,7)="Vencida"))+SUMPRODUCT(--(LEFT($L$5:$L55,5)="Vence")),"")</f>
        <v/>
      </c>
    </row>
    <row r="56">
      <c r="A56" s="56">
        <f>IF($N56="","",INDEX('Cronograma Asistente Técnico'!$A$5:$A$1000,$N56))</f>
        <v/>
      </c>
      <c r="B56" s="62">
        <f>IF($N56="","",IF($O56="Sub","      ↳  "&amp;INDEX('Cronograma Asistente Técnico'!$C$5:$C$1000,$N56),INDEX('Cronograma Asistente Técnico'!$C$5:$C$1000,$N56)&amp;""))</f>
        <v/>
      </c>
      <c r="C56" s="79">
        <f>IF($N56="","",IF(INDEX('Cronograma Asistente Técnico'!$AM$5:$AM$1000,$N56)="","",INDEX('Cronograma Asistente Técnico'!$AM$5:$AM$1000,$N56)))</f>
        <v/>
      </c>
      <c r="D56" s="79">
        <f>IF($N56="","",IF(INDEX('Cronograma Asistente Técnico'!$AN$5:$AN$1000,$N56)="","",INDEX('Cronograma Asistente Técnico'!$AN$5:$AN$1000,$N56)))</f>
        <v/>
      </c>
      <c r="E56" s="56">
        <f>IF($N56="","",IF(NOT(ISNUMBER($D56)),"",IF($D56&lt;InicioCiclo,"Antes del ciclo",IF($D56&gt;=InicioCiclo+28,"Después del ciclo","Semana "&amp;(INT(($D56-InicioCiclo)/7)+1)))))</f>
        <v/>
      </c>
      <c r="F56" s="61">
        <f>IF($N56="","",IF($P56&gt;0,IF(1&lt;=SemanaActual,INDEX('Cronograma Asistente Técnico'!$AC$5:$AC$1000,$N56),""),IF(INDEX('Cronograma Asistente Técnico'!$I$5:$I$1000,$N56)="","",INDEX('Cronograma Asistente Técnico'!$I$5:$I$1000,$N56))))</f>
        <v/>
      </c>
      <c r="G56" s="61">
        <f>IF($N56="","",IF($P56&gt;0,IF(2&lt;=SemanaActual,INDEX('Cronograma Asistente Técnico'!$AD$5:$AD$1000,$N56),""),IF(INDEX('Cronograma Asistente Técnico'!$J$5:$J$1000,$N56)="","",INDEX('Cronograma Asistente Técnico'!$J$5:$J$1000,$N56))))</f>
        <v/>
      </c>
      <c r="H56" s="61">
        <f>IF($N56="","",IF($P56&gt;0,IF(3&lt;=SemanaActual,INDEX('Cronograma Asistente Técnico'!$AE$5:$AE$1000,$N56),""),IF(INDEX('Cronograma Asistente Técnico'!$K$5:$K$1000,$N56)="","",INDEX('Cronograma Asistente Técnico'!$K$5:$K$1000,$N56))))</f>
        <v/>
      </c>
      <c r="I56" s="61">
        <f>IF($N56="","",IF($P56&gt;0,IF(4&lt;=SemanaActual,INDEX('Cronograma Asistente Técnico'!$AF$5:$AF$1000,$N56),""),IF(INDEX('Cronograma Asistente Técnico'!$L$5:$L$1000,$N56)="","",INDEX('Cronograma Asistente Técnico'!$L$5:$L$1000,$N56))))</f>
        <v/>
      </c>
      <c r="J56" s="61">
        <f>IF($N56="","",INDEX('Cronograma Asistente Técnico'!$M$5:$M$1000,$N56))</f>
        <v/>
      </c>
      <c r="K56" s="56">
        <f>IF($N56="","",IF(N($J56)&gt;=1,"Completado",IF(AND(ISNUMBER($D56),$D56&lt;FechaRef),"Vencida",IF(N($J56)&gt;0,"En curso","Pendiente"))))</f>
        <v/>
      </c>
      <c r="L56" s="56">
        <f>IF($N56="","",INDEX('Cronograma Asistente Técnico'!$O$5:$O$1000,$N56)&amp;"")</f>
        <v/>
      </c>
      <c r="M56" s="62">
        <f>IF($N56="","",INDEX('Cronograma Asistente Técnico'!$Q$5:$Q$1000,$N56)&amp;"")</f>
        <v/>
      </c>
      <c r="N56">
        <f>IFERROR(MATCH(ROW()-4,rOrden_ATR,0),"")</f>
        <v/>
      </c>
      <c r="O56">
        <f>IF($N56="","",INDEX('Cronograma Asistente Técnico'!$V$5:$V$1000,$N56))</f>
        <v/>
      </c>
      <c r="P56">
        <f>IF($N56="","",N(INDEX('Cronograma Asistente Técnico'!$W$5:$W$1000,$N56)))</f>
        <v/>
      </c>
      <c r="Q56">
        <f>IF(OR(LEFT($L56,7)="Vencida",LEFT($L56,5)="Vence"),SUMPRODUCT(--(LEFT($L$5:$L56,7)="Vencida"))+SUMPRODUCT(--(LEFT($L$5:$L56,5)="Vence")),"")</f>
        <v/>
      </c>
    </row>
    <row r="57">
      <c r="A57" s="56">
        <f>IF($N57="","",INDEX('Cronograma Asistente Técnico'!$A$5:$A$1000,$N57))</f>
        <v/>
      </c>
      <c r="B57" s="62">
        <f>IF($N57="","",IF($O57="Sub","      ↳  "&amp;INDEX('Cronograma Asistente Técnico'!$C$5:$C$1000,$N57),INDEX('Cronograma Asistente Técnico'!$C$5:$C$1000,$N57)&amp;""))</f>
        <v/>
      </c>
      <c r="C57" s="79">
        <f>IF($N57="","",IF(INDEX('Cronograma Asistente Técnico'!$AM$5:$AM$1000,$N57)="","",INDEX('Cronograma Asistente Técnico'!$AM$5:$AM$1000,$N57)))</f>
        <v/>
      </c>
      <c r="D57" s="79">
        <f>IF($N57="","",IF(INDEX('Cronograma Asistente Técnico'!$AN$5:$AN$1000,$N57)="","",INDEX('Cronograma Asistente Técnico'!$AN$5:$AN$1000,$N57)))</f>
        <v/>
      </c>
      <c r="E57" s="56">
        <f>IF($N57="","",IF(NOT(ISNUMBER($D57)),"",IF($D57&lt;InicioCiclo,"Antes del ciclo",IF($D57&gt;=InicioCiclo+28,"Después del ciclo","Semana "&amp;(INT(($D57-InicioCiclo)/7)+1)))))</f>
        <v/>
      </c>
      <c r="F57" s="61">
        <f>IF($N57="","",IF($P57&gt;0,IF(1&lt;=SemanaActual,INDEX('Cronograma Asistente Técnico'!$AC$5:$AC$1000,$N57),""),IF(INDEX('Cronograma Asistente Técnico'!$I$5:$I$1000,$N57)="","",INDEX('Cronograma Asistente Técnico'!$I$5:$I$1000,$N57))))</f>
        <v/>
      </c>
      <c r="G57" s="61">
        <f>IF($N57="","",IF($P57&gt;0,IF(2&lt;=SemanaActual,INDEX('Cronograma Asistente Técnico'!$AD$5:$AD$1000,$N57),""),IF(INDEX('Cronograma Asistente Técnico'!$J$5:$J$1000,$N57)="","",INDEX('Cronograma Asistente Técnico'!$J$5:$J$1000,$N57))))</f>
        <v/>
      </c>
      <c r="H57" s="61">
        <f>IF($N57="","",IF($P57&gt;0,IF(3&lt;=SemanaActual,INDEX('Cronograma Asistente Técnico'!$AE$5:$AE$1000,$N57),""),IF(INDEX('Cronograma Asistente Técnico'!$K$5:$K$1000,$N57)="","",INDEX('Cronograma Asistente Técnico'!$K$5:$K$1000,$N57))))</f>
        <v/>
      </c>
      <c r="I57" s="61">
        <f>IF($N57="","",IF($P57&gt;0,IF(4&lt;=SemanaActual,INDEX('Cronograma Asistente Técnico'!$AF$5:$AF$1000,$N57),""),IF(INDEX('Cronograma Asistente Técnico'!$L$5:$L$1000,$N57)="","",INDEX('Cronograma Asistente Técnico'!$L$5:$L$1000,$N57))))</f>
        <v/>
      </c>
      <c r="J57" s="61">
        <f>IF($N57="","",INDEX('Cronograma Asistente Técnico'!$M$5:$M$1000,$N57))</f>
        <v/>
      </c>
      <c r="K57" s="56">
        <f>IF($N57="","",IF(N($J57)&gt;=1,"Completado",IF(AND(ISNUMBER($D57),$D57&lt;FechaRef),"Vencida",IF(N($J57)&gt;0,"En curso","Pendiente"))))</f>
        <v/>
      </c>
      <c r="L57" s="56">
        <f>IF($N57="","",INDEX('Cronograma Asistente Técnico'!$O$5:$O$1000,$N57)&amp;"")</f>
        <v/>
      </c>
      <c r="M57" s="62">
        <f>IF($N57="","",INDEX('Cronograma Asistente Técnico'!$Q$5:$Q$1000,$N57)&amp;"")</f>
        <v/>
      </c>
      <c r="N57">
        <f>IFERROR(MATCH(ROW()-4,rOrden_ATR,0),"")</f>
        <v/>
      </c>
      <c r="O57">
        <f>IF($N57="","",INDEX('Cronograma Asistente Técnico'!$V$5:$V$1000,$N57))</f>
        <v/>
      </c>
      <c r="P57">
        <f>IF($N57="","",N(INDEX('Cronograma Asistente Técnico'!$W$5:$W$1000,$N57)))</f>
        <v/>
      </c>
      <c r="Q57">
        <f>IF(OR(LEFT($L57,7)="Vencida",LEFT($L57,5)="Vence"),SUMPRODUCT(--(LEFT($L$5:$L57,7)="Vencida"))+SUMPRODUCT(--(LEFT($L$5:$L57,5)="Vence")),"")</f>
        <v/>
      </c>
    </row>
    <row r="58">
      <c r="A58" s="56">
        <f>IF($N58="","",INDEX('Cronograma Asistente Técnico'!$A$5:$A$1000,$N58))</f>
        <v/>
      </c>
      <c r="B58" s="62">
        <f>IF($N58="","",IF($O58="Sub","      ↳  "&amp;INDEX('Cronograma Asistente Técnico'!$C$5:$C$1000,$N58),INDEX('Cronograma Asistente Técnico'!$C$5:$C$1000,$N58)&amp;""))</f>
        <v/>
      </c>
      <c r="C58" s="79">
        <f>IF($N58="","",IF(INDEX('Cronograma Asistente Técnico'!$AM$5:$AM$1000,$N58)="","",INDEX('Cronograma Asistente Técnico'!$AM$5:$AM$1000,$N58)))</f>
        <v/>
      </c>
      <c r="D58" s="79">
        <f>IF($N58="","",IF(INDEX('Cronograma Asistente Técnico'!$AN$5:$AN$1000,$N58)="","",INDEX('Cronograma Asistente Técnico'!$AN$5:$AN$1000,$N58)))</f>
        <v/>
      </c>
      <c r="E58" s="56">
        <f>IF($N58="","",IF(NOT(ISNUMBER($D58)),"",IF($D58&lt;InicioCiclo,"Antes del ciclo",IF($D58&gt;=InicioCiclo+28,"Después del ciclo","Semana "&amp;(INT(($D58-InicioCiclo)/7)+1)))))</f>
        <v/>
      </c>
      <c r="F58" s="61">
        <f>IF($N58="","",IF($P58&gt;0,IF(1&lt;=SemanaActual,INDEX('Cronograma Asistente Técnico'!$AC$5:$AC$1000,$N58),""),IF(INDEX('Cronograma Asistente Técnico'!$I$5:$I$1000,$N58)="","",INDEX('Cronograma Asistente Técnico'!$I$5:$I$1000,$N58))))</f>
        <v/>
      </c>
      <c r="G58" s="61">
        <f>IF($N58="","",IF($P58&gt;0,IF(2&lt;=SemanaActual,INDEX('Cronograma Asistente Técnico'!$AD$5:$AD$1000,$N58),""),IF(INDEX('Cronograma Asistente Técnico'!$J$5:$J$1000,$N58)="","",INDEX('Cronograma Asistente Técnico'!$J$5:$J$1000,$N58))))</f>
        <v/>
      </c>
      <c r="H58" s="61">
        <f>IF($N58="","",IF($P58&gt;0,IF(3&lt;=SemanaActual,INDEX('Cronograma Asistente Técnico'!$AE$5:$AE$1000,$N58),""),IF(INDEX('Cronograma Asistente Técnico'!$K$5:$K$1000,$N58)="","",INDEX('Cronograma Asistente Técnico'!$K$5:$K$1000,$N58))))</f>
        <v/>
      </c>
      <c r="I58" s="61">
        <f>IF($N58="","",IF($P58&gt;0,IF(4&lt;=SemanaActual,INDEX('Cronograma Asistente Técnico'!$AF$5:$AF$1000,$N58),""),IF(INDEX('Cronograma Asistente Técnico'!$L$5:$L$1000,$N58)="","",INDEX('Cronograma Asistente Técnico'!$L$5:$L$1000,$N58))))</f>
        <v/>
      </c>
      <c r="J58" s="61">
        <f>IF($N58="","",INDEX('Cronograma Asistente Técnico'!$M$5:$M$1000,$N58))</f>
        <v/>
      </c>
      <c r="K58" s="56">
        <f>IF($N58="","",IF(N($J58)&gt;=1,"Completado",IF(AND(ISNUMBER($D58),$D58&lt;FechaRef),"Vencida",IF(N($J58)&gt;0,"En curso","Pendiente"))))</f>
        <v/>
      </c>
      <c r="L58" s="56">
        <f>IF($N58="","",INDEX('Cronograma Asistente Técnico'!$O$5:$O$1000,$N58)&amp;"")</f>
        <v/>
      </c>
      <c r="M58" s="62">
        <f>IF($N58="","",INDEX('Cronograma Asistente Técnico'!$Q$5:$Q$1000,$N58)&amp;"")</f>
        <v/>
      </c>
      <c r="N58">
        <f>IFERROR(MATCH(ROW()-4,rOrden_ATR,0),"")</f>
        <v/>
      </c>
      <c r="O58">
        <f>IF($N58="","",INDEX('Cronograma Asistente Técnico'!$V$5:$V$1000,$N58))</f>
        <v/>
      </c>
      <c r="P58">
        <f>IF($N58="","",N(INDEX('Cronograma Asistente Técnico'!$W$5:$W$1000,$N58)))</f>
        <v/>
      </c>
      <c r="Q58">
        <f>IF(OR(LEFT($L58,7)="Vencida",LEFT($L58,5)="Vence"),SUMPRODUCT(--(LEFT($L$5:$L58,7)="Vencida"))+SUMPRODUCT(--(LEFT($L$5:$L58,5)="Vence")),"")</f>
        <v/>
      </c>
    </row>
    <row r="59">
      <c r="A59" s="56">
        <f>IF($N59="","",INDEX('Cronograma Asistente Técnico'!$A$5:$A$1000,$N59))</f>
        <v/>
      </c>
      <c r="B59" s="62">
        <f>IF($N59="","",IF($O59="Sub","      ↳  "&amp;INDEX('Cronograma Asistente Técnico'!$C$5:$C$1000,$N59),INDEX('Cronograma Asistente Técnico'!$C$5:$C$1000,$N59)&amp;""))</f>
        <v/>
      </c>
      <c r="C59" s="79">
        <f>IF($N59="","",IF(INDEX('Cronograma Asistente Técnico'!$AM$5:$AM$1000,$N59)="","",INDEX('Cronograma Asistente Técnico'!$AM$5:$AM$1000,$N59)))</f>
        <v/>
      </c>
      <c r="D59" s="79">
        <f>IF($N59="","",IF(INDEX('Cronograma Asistente Técnico'!$AN$5:$AN$1000,$N59)="","",INDEX('Cronograma Asistente Técnico'!$AN$5:$AN$1000,$N59)))</f>
        <v/>
      </c>
      <c r="E59" s="56">
        <f>IF($N59="","",IF(NOT(ISNUMBER($D59)),"",IF($D59&lt;InicioCiclo,"Antes del ciclo",IF($D59&gt;=InicioCiclo+28,"Después del ciclo","Semana "&amp;(INT(($D59-InicioCiclo)/7)+1)))))</f>
        <v/>
      </c>
      <c r="F59" s="61">
        <f>IF($N59="","",IF($P59&gt;0,IF(1&lt;=SemanaActual,INDEX('Cronograma Asistente Técnico'!$AC$5:$AC$1000,$N59),""),IF(INDEX('Cronograma Asistente Técnico'!$I$5:$I$1000,$N59)="","",INDEX('Cronograma Asistente Técnico'!$I$5:$I$1000,$N59))))</f>
        <v/>
      </c>
      <c r="G59" s="61">
        <f>IF($N59="","",IF($P59&gt;0,IF(2&lt;=SemanaActual,INDEX('Cronograma Asistente Técnico'!$AD$5:$AD$1000,$N59),""),IF(INDEX('Cronograma Asistente Técnico'!$J$5:$J$1000,$N59)="","",INDEX('Cronograma Asistente Técnico'!$J$5:$J$1000,$N59))))</f>
        <v/>
      </c>
      <c r="H59" s="61">
        <f>IF($N59="","",IF($P59&gt;0,IF(3&lt;=SemanaActual,INDEX('Cronograma Asistente Técnico'!$AE$5:$AE$1000,$N59),""),IF(INDEX('Cronograma Asistente Técnico'!$K$5:$K$1000,$N59)="","",INDEX('Cronograma Asistente Técnico'!$K$5:$K$1000,$N59))))</f>
        <v/>
      </c>
      <c r="I59" s="61">
        <f>IF($N59="","",IF($P59&gt;0,IF(4&lt;=SemanaActual,INDEX('Cronograma Asistente Técnico'!$AF$5:$AF$1000,$N59),""),IF(INDEX('Cronograma Asistente Técnico'!$L$5:$L$1000,$N59)="","",INDEX('Cronograma Asistente Técnico'!$L$5:$L$1000,$N59))))</f>
        <v/>
      </c>
      <c r="J59" s="61">
        <f>IF($N59="","",INDEX('Cronograma Asistente Técnico'!$M$5:$M$1000,$N59))</f>
        <v/>
      </c>
      <c r="K59" s="56">
        <f>IF($N59="","",IF(N($J59)&gt;=1,"Completado",IF(AND(ISNUMBER($D59),$D59&lt;FechaRef),"Vencida",IF(N($J59)&gt;0,"En curso","Pendiente"))))</f>
        <v/>
      </c>
      <c r="L59" s="56">
        <f>IF($N59="","",INDEX('Cronograma Asistente Técnico'!$O$5:$O$1000,$N59)&amp;"")</f>
        <v/>
      </c>
      <c r="M59" s="62">
        <f>IF($N59="","",INDEX('Cronograma Asistente Técnico'!$Q$5:$Q$1000,$N59)&amp;"")</f>
        <v/>
      </c>
      <c r="N59">
        <f>IFERROR(MATCH(ROW()-4,rOrden_ATR,0),"")</f>
        <v/>
      </c>
      <c r="O59">
        <f>IF($N59="","",INDEX('Cronograma Asistente Técnico'!$V$5:$V$1000,$N59))</f>
        <v/>
      </c>
      <c r="P59">
        <f>IF($N59="","",N(INDEX('Cronograma Asistente Técnico'!$W$5:$W$1000,$N59)))</f>
        <v/>
      </c>
      <c r="Q59">
        <f>IF(OR(LEFT($L59,7)="Vencida",LEFT($L59,5)="Vence"),SUMPRODUCT(--(LEFT($L$5:$L59,7)="Vencida"))+SUMPRODUCT(--(LEFT($L$5:$L59,5)="Vence")),"")</f>
        <v/>
      </c>
    </row>
    <row r="60">
      <c r="A60" s="56">
        <f>IF($N60="","",INDEX('Cronograma Asistente Técnico'!$A$5:$A$1000,$N60))</f>
        <v/>
      </c>
      <c r="B60" s="62">
        <f>IF($N60="","",IF($O60="Sub","      ↳  "&amp;INDEX('Cronograma Asistente Técnico'!$C$5:$C$1000,$N60),INDEX('Cronograma Asistente Técnico'!$C$5:$C$1000,$N60)&amp;""))</f>
        <v/>
      </c>
      <c r="C60" s="79">
        <f>IF($N60="","",IF(INDEX('Cronograma Asistente Técnico'!$AM$5:$AM$1000,$N60)="","",INDEX('Cronograma Asistente Técnico'!$AM$5:$AM$1000,$N60)))</f>
        <v/>
      </c>
      <c r="D60" s="79">
        <f>IF($N60="","",IF(INDEX('Cronograma Asistente Técnico'!$AN$5:$AN$1000,$N60)="","",INDEX('Cronograma Asistente Técnico'!$AN$5:$AN$1000,$N60)))</f>
        <v/>
      </c>
      <c r="E60" s="56">
        <f>IF($N60="","",IF(NOT(ISNUMBER($D60)),"",IF($D60&lt;InicioCiclo,"Antes del ciclo",IF($D60&gt;=InicioCiclo+28,"Después del ciclo","Semana "&amp;(INT(($D60-InicioCiclo)/7)+1)))))</f>
        <v/>
      </c>
      <c r="F60" s="61">
        <f>IF($N60="","",IF($P60&gt;0,IF(1&lt;=SemanaActual,INDEX('Cronograma Asistente Técnico'!$AC$5:$AC$1000,$N60),""),IF(INDEX('Cronograma Asistente Técnico'!$I$5:$I$1000,$N60)="","",INDEX('Cronograma Asistente Técnico'!$I$5:$I$1000,$N60))))</f>
        <v/>
      </c>
      <c r="G60" s="61">
        <f>IF($N60="","",IF($P60&gt;0,IF(2&lt;=SemanaActual,INDEX('Cronograma Asistente Técnico'!$AD$5:$AD$1000,$N60),""),IF(INDEX('Cronograma Asistente Técnico'!$J$5:$J$1000,$N60)="","",INDEX('Cronograma Asistente Técnico'!$J$5:$J$1000,$N60))))</f>
        <v/>
      </c>
      <c r="H60" s="61">
        <f>IF($N60="","",IF($P60&gt;0,IF(3&lt;=SemanaActual,INDEX('Cronograma Asistente Técnico'!$AE$5:$AE$1000,$N60),""),IF(INDEX('Cronograma Asistente Técnico'!$K$5:$K$1000,$N60)="","",INDEX('Cronograma Asistente Técnico'!$K$5:$K$1000,$N60))))</f>
        <v/>
      </c>
      <c r="I60" s="61">
        <f>IF($N60="","",IF($P60&gt;0,IF(4&lt;=SemanaActual,INDEX('Cronograma Asistente Técnico'!$AF$5:$AF$1000,$N60),""),IF(INDEX('Cronograma Asistente Técnico'!$L$5:$L$1000,$N60)="","",INDEX('Cronograma Asistente Técnico'!$L$5:$L$1000,$N60))))</f>
        <v/>
      </c>
      <c r="J60" s="61">
        <f>IF($N60="","",INDEX('Cronograma Asistente Técnico'!$M$5:$M$1000,$N60))</f>
        <v/>
      </c>
      <c r="K60" s="56">
        <f>IF($N60="","",IF(N($J60)&gt;=1,"Completado",IF(AND(ISNUMBER($D60),$D60&lt;FechaRef),"Vencida",IF(N($J60)&gt;0,"En curso","Pendiente"))))</f>
        <v/>
      </c>
      <c r="L60" s="56">
        <f>IF($N60="","",INDEX('Cronograma Asistente Técnico'!$O$5:$O$1000,$N60)&amp;"")</f>
        <v/>
      </c>
      <c r="M60" s="62">
        <f>IF($N60="","",INDEX('Cronograma Asistente Técnico'!$Q$5:$Q$1000,$N60)&amp;"")</f>
        <v/>
      </c>
      <c r="N60">
        <f>IFERROR(MATCH(ROW()-4,rOrden_ATR,0),"")</f>
        <v/>
      </c>
      <c r="O60">
        <f>IF($N60="","",INDEX('Cronograma Asistente Técnico'!$V$5:$V$1000,$N60))</f>
        <v/>
      </c>
      <c r="P60">
        <f>IF($N60="","",N(INDEX('Cronograma Asistente Técnico'!$W$5:$W$1000,$N60)))</f>
        <v/>
      </c>
      <c r="Q60">
        <f>IF(OR(LEFT($L60,7)="Vencida",LEFT($L60,5)="Vence"),SUMPRODUCT(--(LEFT($L$5:$L60,7)="Vencida"))+SUMPRODUCT(--(LEFT($L$5:$L60,5)="Vence")),"")</f>
        <v/>
      </c>
    </row>
    <row r="61">
      <c r="A61" s="56">
        <f>IF($N61="","",INDEX('Cronograma Asistente Técnico'!$A$5:$A$1000,$N61))</f>
        <v/>
      </c>
      <c r="B61" s="62">
        <f>IF($N61="","",IF($O61="Sub","      ↳  "&amp;INDEX('Cronograma Asistente Técnico'!$C$5:$C$1000,$N61),INDEX('Cronograma Asistente Técnico'!$C$5:$C$1000,$N61)&amp;""))</f>
        <v/>
      </c>
      <c r="C61" s="79">
        <f>IF($N61="","",IF(INDEX('Cronograma Asistente Técnico'!$AM$5:$AM$1000,$N61)="","",INDEX('Cronograma Asistente Técnico'!$AM$5:$AM$1000,$N61)))</f>
        <v/>
      </c>
      <c r="D61" s="79">
        <f>IF($N61="","",IF(INDEX('Cronograma Asistente Técnico'!$AN$5:$AN$1000,$N61)="","",INDEX('Cronograma Asistente Técnico'!$AN$5:$AN$1000,$N61)))</f>
        <v/>
      </c>
      <c r="E61" s="56">
        <f>IF($N61="","",IF(NOT(ISNUMBER($D61)),"",IF($D61&lt;InicioCiclo,"Antes del ciclo",IF($D61&gt;=InicioCiclo+28,"Después del ciclo","Semana "&amp;(INT(($D61-InicioCiclo)/7)+1)))))</f>
        <v/>
      </c>
      <c r="F61" s="61">
        <f>IF($N61="","",IF($P61&gt;0,IF(1&lt;=SemanaActual,INDEX('Cronograma Asistente Técnico'!$AC$5:$AC$1000,$N61),""),IF(INDEX('Cronograma Asistente Técnico'!$I$5:$I$1000,$N61)="","",INDEX('Cronograma Asistente Técnico'!$I$5:$I$1000,$N61))))</f>
        <v/>
      </c>
      <c r="G61" s="61">
        <f>IF($N61="","",IF($P61&gt;0,IF(2&lt;=SemanaActual,INDEX('Cronograma Asistente Técnico'!$AD$5:$AD$1000,$N61),""),IF(INDEX('Cronograma Asistente Técnico'!$J$5:$J$1000,$N61)="","",INDEX('Cronograma Asistente Técnico'!$J$5:$J$1000,$N61))))</f>
        <v/>
      </c>
      <c r="H61" s="61">
        <f>IF($N61="","",IF($P61&gt;0,IF(3&lt;=SemanaActual,INDEX('Cronograma Asistente Técnico'!$AE$5:$AE$1000,$N61),""),IF(INDEX('Cronograma Asistente Técnico'!$K$5:$K$1000,$N61)="","",INDEX('Cronograma Asistente Técnico'!$K$5:$K$1000,$N61))))</f>
        <v/>
      </c>
      <c r="I61" s="61">
        <f>IF($N61="","",IF($P61&gt;0,IF(4&lt;=SemanaActual,INDEX('Cronograma Asistente Técnico'!$AF$5:$AF$1000,$N61),""),IF(INDEX('Cronograma Asistente Técnico'!$L$5:$L$1000,$N61)="","",INDEX('Cronograma Asistente Técnico'!$L$5:$L$1000,$N61))))</f>
        <v/>
      </c>
      <c r="J61" s="61">
        <f>IF($N61="","",INDEX('Cronograma Asistente Técnico'!$M$5:$M$1000,$N61))</f>
        <v/>
      </c>
      <c r="K61" s="56">
        <f>IF($N61="","",IF(N($J61)&gt;=1,"Completado",IF(AND(ISNUMBER($D61),$D61&lt;FechaRef),"Vencida",IF(N($J61)&gt;0,"En curso","Pendiente"))))</f>
        <v/>
      </c>
      <c r="L61" s="56">
        <f>IF($N61="","",INDEX('Cronograma Asistente Técnico'!$O$5:$O$1000,$N61)&amp;"")</f>
        <v/>
      </c>
      <c r="M61" s="62">
        <f>IF($N61="","",INDEX('Cronograma Asistente Técnico'!$Q$5:$Q$1000,$N61)&amp;"")</f>
        <v/>
      </c>
      <c r="N61">
        <f>IFERROR(MATCH(ROW()-4,rOrden_ATR,0),"")</f>
        <v/>
      </c>
      <c r="O61">
        <f>IF($N61="","",INDEX('Cronograma Asistente Técnico'!$V$5:$V$1000,$N61))</f>
        <v/>
      </c>
      <c r="P61">
        <f>IF($N61="","",N(INDEX('Cronograma Asistente Técnico'!$W$5:$W$1000,$N61)))</f>
        <v/>
      </c>
      <c r="Q61">
        <f>IF(OR(LEFT($L61,7)="Vencida",LEFT($L61,5)="Vence"),SUMPRODUCT(--(LEFT($L$5:$L61,7)="Vencida"))+SUMPRODUCT(--(LEFT($L$5:$L61,5)="Vence")),"")</f>
        <v/>
      </c>
    </row>
    <row r="62">
      <c r="A62" s="56">
        <f>IF($N62="","",INDEX('Cronograma Asistente Técnico'!$A$5:$A$1000,$N62))</f>
        <v/>
      </c>
      <c r="B62" s="62">
        <f>IF($N62="","",IF($O62="Sub","      ↳  "&amp;INDEX('Cronograma Asistente Técnico'!$C$5:$C$1000,$N62),INDEX('Cronograma Asistente Técnico'!$C$5:$C$1000,$N62)&amp;""))</f>
        <v/>
      </c>
      <c r="C62" s="79">
        <f>IF($N62="","",IF(INDEX('Cronograma Asistente Técnico'!$AM$5:$AM$1000,$N62)="","",INDEX('Cronograma Asistente Técnico'!$AM$5:$AM$1000,$N62)))</f>
        <v/>
      </c>
      <c r="D62" s="79">
        <f>IF($N62="","",IF(INDEX('Cronograma Asistente Técnico'!$AN$5:$AN$1000,$N62)="","",INDEX('Cronograma Asistente Técnico'!$AN$5:$AN$1000,$N62)))</f>
        <v/>
      </c>
      <c r="E62" s="56">
        <f>IF($N62="","",IF(NOT(ISNUMBER($D62)),"",IF($D62&lt;InicioCiclo,"Antes del ciclo",IF($D62&gt;=InicioCiclo+28,"Después del ciclo","Semana "&amp;(INT(($D62-InicioCiclo)/7)+1)))))</f>
        <v/>
      </c>
      <c r="F62" s="61">
        <f>IF($N62="","",IF($P62&gt;0,IF(1&lt;=SemanaActual,INDEX('Cronograma Asistente Técnico'!$AC$5:$AC$1000,$N62),""),IF(INDEX('Cronograma Asistente Técnico'!$I$5:$I$1000,$N62)="","",INDEX('Cronograma Asistente Técnico'!$I$5:$I$1000,$N62))))</f>
        <v/>
      </c>
      <c r="G62" s="61">
        <f>IF($N62="","",IF($P62&gt;0,IF(2&lt;=SemanaActual,INDEX('Cronograma Asistente Técnico'!$AD$5:$AD$1000,$N62),""),IF(INDEX('Cronograma Asistente Técnico'!$J$5:$J$1000,$N62)="","",INDEX('Cronograma Asistente Técnico'!$J$5:$J$1000,$N62))))</f>
        <v/>
      </c>
      <c r="H62" s="61">
        <f>IF($N62="","",IF($P62&gt;0,IF(3&lt;=SemanaActual,INDEX('Cronograma Asistente Técnico'!$AE$5:$AE$1000,$N62),""),IF(INDEX('Cronograma Asistente Técnico'!$K$5:$K$1000,$N62)="","",INDEX('Cronograma Asistente Técnico'!$K$5:$K$1000,$N62))))</f>
        <v/>
      </c>
      <c r="I62" s="61">
        <f>IF($N62="","",IF($P62&gt;0,IF(4&lt;=SemanaActual,INDEX('Cronograma Asistente Técnico'!$AF$5:$AF$1000,$N62),""),IF(INDEX('Cronograma Asistente Técnico'!$L$5:$L$1000,$N62)="","",INDEX('Cronograma Asistente Técnico'!$L$5:$L$1000,$N62))))</f>
        <v/>
      </c>
      <c r="J62" s="61">
        <f>IF($N62="","",INDEX('Cronograma Asistente Técnico'!$M$5:$M$1000,$N62))</f>
        <v/>
      </c>
      <c r="K62" s="56">
        <f>IF($N62="","",IF(N($J62)&gt;=1,"Completado",IF(AND(ISNUMBER($D62),$D62&lt;FechaRef),"Vencida",IF(N($J62)&gt;0,"En curso","Pendiente"))))</f>
        <v/>
      </c>
      <c r="L62" s="56">
        <f>IF($N62="","",INDEX('Cronograma Asistente Técnico'!$O$5:$O$1000,$N62)&amp;"")</f>
        <v/>
      </c>
      <c r="M62" s="62">
        <f>IF($N62="","",INDEX('Cronograma Asistente Técnico'!$Q$5:$Q$1000,$N62)&amp;"")</f>
        <v/>
      </c>
      <c r="N62">
        <f>IFERROR(MATCH(ROW()-4,rOrden_ATR,0),"")</f>
        <v/>
      </c>
      <c r="O62">
        <f>IF($N62="","",INDEX('Cronograma Asistente Técnico'!$V$5:$V$1000,$N62))</f>
        <v/>
      </c>
      <c r="P62">
        <f>IF($N62="","",N(INDEX('Cronograma Asistente Técnico'!$W$5:$W$1000,$N62)))</f>
        <v/>
      </c>
      <c r="Q62">
        <f>IF(OR(LEFT($L62,7)="Vencida",LEFT($L62,5)="Vence"),SUMPRODUCT(--(LEFT($L$5:$L62,7)="Vencida"))+SUMPRODUCT(--(LEFT($L$5:$L62,5)="Vence")),"")</f>
        <v/>
      </c>
    </row>
    <row r="63">
      <c r="A63" s="56">
        <f>IF($N63="","",INDEX('Cronograma Asistente Técnico'!$A$5:$A$1000,$N63))</f>
        <v/>
      </c>
      <c r="B63" s="62">
        <f>IF($N63="","",IF($O63="Sub","      ↳  "&amp;INDEX('Cronograma Asistente Técnico'!$C$5:$C$1000,$N63),INDEX('Cronograma Asistente Técnico'!$C$5:$C$1000,$N63)&amp;""))</f>
        <v/>
      </c>
      <c r="C63" s="79">
        <f>IF($N63="","",IF(INDEX('Cronograma Asistente Técnico'!$AM$5:$AM$1000,$N63)="","",INDEX('Cronograma Asistente Técnico'!$AM$5:$AM$1000,$N63)))</f>
        <v/>
      </c>
      <c r="D63" s="79">
        <f>IF($N63="","",IF(INDEX('Cronograma Asistente Técnico'!$AN$5:$AN$1000,$N63)="","",INDEX('Cronograma Asistente Técnico'!$AN$5:$AN$1000,$N63)))</f>
        <v/>
      </c>
      <c r="E63" s="56">
        <f>IF($N63="","",IF(NOT(ISNUMBER($D63)),"",IF($D63&lt;InicioCiclo,"Antes del ciclo",IF($D63&gt;=InicioCiclo+28,"Después del ciclo","Semana "&amp;(INT(($D63-InicioCiclo)/7)+1)))))</f>
        <v/>
      </c>
      <c r="F63" s="61">
        <f>IF($N63="","",IF($P63&gt;0,IF(1&lt;=SemanaActual,INDEX('Cronograma Asistente Técnico'!$AC$5:$AC$1000,$N63),""),IF(INDEX('Cronograma Asistente Técnico'!$I$5:$I$1000,$N63)="","",INDEX('Cronograma Asistente Técnico'!$I$5:$I$1000,$N63))))</f>
        <v/>
      </c>
      <c r="G63" s="61">
        <f>IF($N63="","",IF($P63&gt;0,IF(2&lt;=SemanaActual,INDEX('Cronograma Asistente Técnico'!$AD$5:$AD$1000,$N63),""),IF(INDEX('Cronograma Asistente Técnico'!$J$5:$J$1000,$N63)="","",INDEX('Cronograma Asistente Técnico'!$J$5:$J$1000,$N63))))</f>
        <v/>
      </c>
      <c r="H63" s="61">
        <f>IF($N63="","",IF($P63&gt;0,IF(3&lt;=SemanaActual,INDEX('Cronograma Asistente Técnico'!$AE$5:$AE$1000,$N63),""),IF(INDEX('Cronograma Asistente Técnico'!$K$5:$K$1000,$N63)="","",INDEX('Cronograma Asistente Técnico'!$K$5:$K$1000,$N63))))</f>
        <v/>
      </c>
      <c r="I63" s="61">
        <f>IF($N63="","",IF($P63&gt;0,IF(4&lt;=SemanaActual,INDEX('Cronograma Asistente Técnico'!$AF$5:$AF$1000,$N63),""),IF(INDEX('Cronograma Asistente Técnico'!$L$5:$L$1000,$N63)="","",INDEX('Cronograma Asistente Técnico'!$L$5:$L$1000,$N63))))</f>
        <v/>
      </c>
      <c r="J63" s="61">
        <f>IF($N63="","",INDEX('Cronograma Asistente Técnico'!$M$5:$M$1000,$N63))</f>
        <v/>
      </c>
      <c r="K63" s="56">
        <f>IF($N63="","",IF(N($J63)&gt;=1,"Completado",IF(AND(ISNUMBER($D63),$D63&lt;FechaRef),"Vencida",IF(N($J63)&gt;0,"En curso","Pendiente"))))</f>
        <v/>
      </c>
      <c r="L63" s="56">
        <f>IF($N63="","",INDEX('Cronograma Asistente Técnico'!$O$5:$O$1000,$N63)&amp;"")</f>
        <v/>
      </c>
      <c r="M63" s="62">
        <f>IF($N63="","",INDEX('Cronograma Asistente Técnico'!$Q$5:$Q$1000,$N63)&amp;"")</f>
        <v/>
      </c>
      <c r="N63">
        <f>IFERROR(MATCH(ROW()-4,rOrden_ATR,0),"")</f>
        <v/>
      </c>
      <c r="O63">
        <f>IF($N63="","",INDEX('Cronograma Asistente Técnico'!$V$5:$V$1000,$N63))</f>
        <v/>
      </c>
      <c r="P63">
        <f>IF($N63="","",N(INDEX('Cronograma Asistente Técnico'!$W$5:$W$1000,$N63)))</f>
        <v/>
      </c>
      <c r="Q63">
        <f>IF(OR(LEFT($L63,7)="Vencida",LEFT($L63,5)="Vence"),SUMPRODUCT(--(LEFT($L$5:$L63,7)="Vencida"))+SUMPRODUCT(--(LEFT($L$5:$L63,5)="Vence")),"")</f>
        <v/>
      </c>
    </row>
    <row r="64">
      <c r="A64" s="56">
        <f>IF($N64="","",INDEX('Cronograma Asistente Técnico'!$A$5:$A$1000,$N64))</f>
        <v/>
      </c>
      <c r="B64" s="62">
        <f>IF($N64="","",IF($O64="Sub","      ↳  "&amp;INDEX('Cronograma Asistente Técnico'!$C$5:$C$1000,$N64),INDEX('Cronograma Asistente Técnico'!$C$5:$C$1000,$N64)&amp;""))</f>
        <v/>
      </c>
      <c r="C64" s="79">
        <f>IF($N64="","",IF(INDEX('Cronograma Asistente Técnico'!$AM$5:$AM$1000,$N64)="","",INDEX('Cronograma Asistente Técnico'!$AM$5:$AM$1000,$N64)))</f>
        <v/>
      </c>
      <c r="D64" s="79">
        <f>IF($N64="","",IF(INDEX('Cronograma Asistente Técnico'!$AN$5:$AN$1000,$N64)="","",INDEX('Cronograma Asistente Técnico'!$AN$5:$AN$1000,$N64)))</f>
        <v/>
      </c>
      <c r="E64" s="56">
        <f>IF($N64="","",IF(NOT(ISNUMBER($D64)),"",IF($D64&lt;InicioCiclo,"Antes del ciclo",IF($D64&gt;=InicioCiclo+28,"Después del ciclo","Semana "&amp;(INT(($D64-InicioCiclo)/7)+1)))))</f>
        <v/>
      </c>
      <c r="F64" s="61">
        <f>IF($N64="","",IF($P64&gt;0,IF(1&lt;=SemanaActual,INDEX('Cronograma Asistente Técnico'!$AC$5:$AC$1000,$N64),""),IF(INDEX('Cronograma Asistente Técnico'!$I$5:$I$1000,$N64)="","",INDEX('Cronograma Asistente Técnico'!$I$5:$I$1000,$N64))))</f>
        <v/>
      </c>
      <c r="G64" s="61">
        <f>IF($N64="","",IF($P64&gt;0,IF(2&lt;=SemanaActual,INDEX('Cronograma Asistente Técnico'!$AD$5:$AD$1000,$N64),""),IF(INDEX('Cronograma Asistente Técnico'!$J$5:$J$1000,$N64)="","",INDEX('Cronograma Asistente Técnico'!$J$5:$J$1000,$N64))))</f>
        <v/>
      </c>
      <c r="H64" s="61">
        <f>IF($N64="","",IF($P64&gt;0,IF(3&lt;=SemanaActual,INDEX('Cronograma Asistente Técnico'!$AE$5:$AE$1000,$N64),""),IF(INDEX('Cronograma Asistente Técnico'!$K$5:$K$1000,$N64)="","",INDEX('Cronograma Asistente Técnico'!$K$5:$K$1000,$N64))))</f>
        <v/>
      </c>
      <c r="I64" s="61">
        <f>IF($N64="","",IF($P64&gt;0,IF(4&lt;=SemanaActual,INDEX('Cronograma Asistente Técnico'!$AF$5:$AF$1000,$N64),""),IF(INDEX('Cronograma Asistente Técnico'!$L$5:$L$1000,$N64)="","",INDEX('Cronograma Asistente Técnico'!$L$5:$L$1000,$N64))))</f>
        <v/>
      </c>
      <c r="J64" s="61">
        <f>IF($N64="","",INDEX('Cronograma Asistente Técnico'!$M$5:$M$1000,$N64))</f>
        <v/>
      </c>
      <c r="K64" s="56">
        <f>IF($N64="","",IF(N($J64)&gt;=1,"Completado",IF(AND(ISNUMBER($D64),$D64&lt;FechaRef),"Vencida",IF(N($J64)&gt;0,"En curso","Pendiente"))))</f>
        <v/>
      </c>
      <c r="L64" s="56">
        <f>IF($N64="","",INDEX('Cronograma Asistente Técnico'!$O$5:$O$1000,$N64)&amp;"")</f>
        <v/>
      </c>
      <c r="M64" s="62">
        <f>IF($N64="","",INDEX('Cronograma Asistente Técnico'!$Q$5:$Q$1000,$N64)&amp;"")</f>
        <v/>
      </c>
      <c r="N64">
        <f>IFERROR(MATCH(ROW()-4,rOrden_ATR,0),"")</f>
        <v/>
      </c>
      <c r="O64">
        <f>IF($N64="","",INDEX('Cronograma Asistente Técnico'!$V$5:$V$1000,$N64))</f>
        <v/>
      </c>
      <c r="P64">
        <f>IF($N64="","",N(INDEX('Cronograma Asistente Técnico'!$W$5:$W$1000,$N64)))</f>
        <v/>
      </c>
      <c r="Q64">
        <f>IF(OR(LEFT($L64,7)="Vencida",LEFT($L64,5)="Vence"),SUMPRODUCT(--(LEFT($L$5:$L64,7)="Vencida"))+SUMPRODUCT(--(LEFT($L$5:$L64,5)="Vence")),"")</f>
        <v/>
      </c>
    </row>
    <row r="65">
      <c r="A65" s="56">
        <f>IF($N65="","",INDEX('Cronograma Asistente Técnico'!$A$5:$A$1000,$N65))</f>
        <v/>
      </c>
      <c r="B65" s="62">
        <f>IF($N65="","",IF($O65="Sub","      ↳  "&amp;INDEX('Cronograma Asistente Técnico'!$C$5:$C$1000,$N65),INDEX('Cronograma Asistente Técnico'!$C$5:$C$1000,$N65)&amp;""))</f>
        <v/>
      </c>
      <c r="C65" s="79">
        <f>IF($N65="","",IF(INDEX('Cronograma Asistente Técnico'!$AM$5:$AM$1000,$N65)="","",INDEX('Cronograma Asistente Técnico'!$AM$5:$AM$1000,$N65)))</f>
        <v/>
      </c>
      <c r="D65" s="79">
        <f>IF($N65="","",IF(INDEX('Cronograma Asistente Técnico'!$AN$5:$AN$1000,$N65)="","",INDEX('Cronograma Asistente Técnico'!$AN$5:$AN$1000,$N65)))</f>
        <v/>
      </c>
      <c r="E65" s="56">
        <f>IF($N65="","",IF(NOT(ISNUMBER($D65)),"",IF($D65&lt;InicioCiclo,"Antes del ciclo",IF($D65&gt;=InicioCiclo+28,"Después del ciclo","Semana "&amp;(INT(($D65-InicioCiclo)/7)+1)))))</f>
        <v/>
      </c>
      <c r="F65" s="61">
        <f>IF($N65="","",IF($P65&gt;0,IF(1&lt;=SemanaActual,INDEX('Cronograma Asistente Técnico'!$AC$5:$AC$1000,$N65),""),IF(INDEX('Cronograma Asistente Técnico'!$I$5:$I$1000,$N65)="","",INDEX('Cronograma Asistente Técnico'!$I$5:$I$1000,$N65))))</f>
        <v/>
      </c>
      <c r="G65" s="61">
        <f>IF($N65="","",IF($P65&gt;0,IF(2&lt;=SemanaActual,INDEX('Cronograma Asistente Técnico'!$AD$5:$AD$1000,$N65),""),IF(INDEX('Cronograma Asistente Técnico'!$J$5:$J$1000,$N65)="","",INDEX('Cronograma Asistente Técnico'!$J$5:$J$1000,$N65))))</f>
        <v/>
      </c>
      <c r="H65" s="61">
        <f>IF($N65="","",IF($P65&gt;0,IF(3&lt;=SemanaActual,INDEX('Cronograma Asistente Técnico'!$AE$5:$AE$1000,$N65),""),IF(INDEX('Cronograma Asistente Técnico'!$K$5:$K$1000,$N65)="","",INDEX('Cronograma Asistente Técnico'!$K$5:$K$1000,$N65))))</f>
        <v/>
      </c>
      <c r="I65" s="61">
        <f>IF($N65="","",IF($P65&gt;0,IF(4&lt;=SemanaActual,INDEX('Cronograma Asistente Técnico'!$AF$5:$AF$1000,$N65),""),IF(INDEX('Cronograma Asistente Técnico'!$L$5:$L$1000,$N65)="","",INDEX('Cronograma Asistente Técnico'!$L$5:$L$1000,$N65))))</f>
        <v/>
      </c>
      <c r="J65" s="61">
        <f>IF($N65="","",INDEX('Cronograma Asistente Técnico'!$M$5:$M$1000,$N65))</f>
        <v/>
      </c>
      <c r="K65" s="56">
        <f>IF($N65="","",IF(N($J65)&gt;=1,"Completado",IF(AND(ISNUMBER($D65),$D65&lt;FechaRef),"Vencida",IF(N($J65)&gt;0,"En curso","Pendiente"))))</f>
        <v/>
      </c>
      <c r="L65" s="56">
        <f>IF($N65="","",INDEX('Cronograma Asistente Técnico'!$O$5:$O$1000,$N65)&amp;"")</f>
        <v/>
      </c>
      <c r="M65" s="62">
        <f>IF($N65="","",INDEX('Cronograma Asistente Técnico'!$Q$5:$Q$1000,$N65)&amp;"")</f>
        <v/>
      </c>
      <c r="N65">
        <f>IFERROR(MATCH(ROW()-4,rOrden_ATR,0),"")</f>
        <v/>
      </c>
      <c r="O65">
        <f>IF($N65="","",INDEX('Cronograma Asistente Técnico'!$V$5:$V$1000,$N65))</f>
        <v/>
      </c>
      <c r="P65">
        <f>IF($N65="","",N(INDEX('Cronograma Asistente Técnico'!$W$5:$W$1000,$N65)))</f>
        <v/>
      </c>
      <c r="Q65">
        <f>IF(OR(LEFT($L65,7)="Vencida",LEFT($L65,5)="Vence"),SUMPRODUCT(--(LEFT($L$5:$L65,7)="Vencida"))+SUMPRODUCT(--(LEFT($L$5:$L65,5)="Vence")),"")</f>
        <v/>
      </c>
    </row>
    <row r="66">
      <c r="A66" s="56">
        <f>IF($N66="","",INDEX('Cronograma Asistente Técnico'!$A$5:$A$1000,$N66))</f>
        <v/>
      </c>
      <c r="B66" s="62">
        <f>IF($N66="","",IF($O66="Sub","      ↳  "&amp;INDEX('Cronograma Asistente Técnico'!$C$5:$C$1000,$N66),INDEX('Cronograma Asistente Técnico'!$C$5:$C$1000,$N66)&amp;""))</f>
        <v/>
      </c>
      <c r="C66" s="79">
        <f>IF($N66="","",IF(INDEX('Cronograma Asistente Técnico'!$AM$5:$AM$1000,$N66)="","",INDEX('Cronograma Asistente Técnico'!$AM$5:$AM$1000,$N66)))</f>
        <v/>
      </c>
      <c r="D66" s="79">
        <f>IF($N66="","",IF(INDEX('Cronograma Asistente Técnico'!$AN$5:$AN$1000,$N66)="","",INDEX('Cronograma Asistente Técnico'!$AN$5:$AN$1000,$N66)))</f>
        <v/>
      </c>
      <c r="E66" s="56">
        <f>IF($N66="","",IF(NOT(ISNUMBER($D66)),"",IF($D66&lt;InicioCiclo,"Antes del ciclo",IF($D66&gt;=InicioCiclo+28,"Después del ciclo","Semana "&amp;(INT(($D66-InicioCiclo)/7)+1)))))</f>
        <v/>
      </c>
      <c r="F66" s="61">
        <f>IF($N66="","",IF($P66&gt;0,IF(1&lt;=SemanaActual,INDEX('Cronograma Asistente Técnico'!$AC$5:$AC$1000,$N66),""),IF(INDEX('Cronograma Asistente Técnico'!$I$5:$I$1000,$N66)="","",INDEX('Cronograma Asistente Técnico'!$I$5:$I$1000,$N66))))</f>
        <v/>
      </c>
      <c r="G66" s="61">
        <f>IF($N66="","",IF($P66&gt;0,IF(2&lt;=SemanaActual,INDEX('Cronograma Asistente Técnico'!$AD$5:$AD$1000,$N66),""),IF(INDEX('Cronograma Asistente Técnico'!$J$5:$J$1000,$N66)="","",INDEX('Cronograma Asistente Técnico'!$J$5:$J$1000,$N66))))</f>
        <v/>
      </c>
      <c r="H66" s="61">
        <f>IF($N66="","",IF($P66&gt;0,IF(3&lt;=SemanaActual,INDEX('Cronograma Asistente Técnico'!$AE$5:$AE$1000,$N66),""),IF(INDEX('Cronograma Asistente Técnico'!$K$5:$K$1000,$N66)="","",INDEX('Cronograma Asistente Técnico'!$K$5:$K$1000,$N66))))</f>
        <v/>
      </c>
      <c r="I66" s="61">
        <f>IF($N66="","",IF($P66&gt;0,IF(4&lt;=SemanaActual,INDEX('Cronograma Asistente Técnico'!$AF$5:$AF$1000,$N66),""),IF(INDEX('Cronograma Asistente Técnico'!$L$5:$L$1000,$N66)="","",INDEX('Cronograma Asistente Técnico'!$L$5:$L$1000,$N66))))</f>
        <v/>
      </c>
      <c r="J66" s="61">
        <f>IF($N66="","",INDEX('Cronograma Asistente Técnico'!$M$5:$M$1000,$N66))</f>
        <v/>
      </c>
      <c r="K66" s="56">
        <f>IF($N66="","",IF(N($J66)&gt;=1,"Completado",IF(AND(ISNUMBER($D66),$D66&lt;FechaRef),"Vencida",IF(N($J66)&gt;0,"En curso","Pendiente"))))</f>
        <v/>
      </c>
      <c r="L66" s="56">
        <f>IF($N66="","",INDEX('Cronograma Asistente Técnico'!$O$5:$O$1000,$N66)&amp;"")</f>
        <v/>
      </c>
      <c r="M66" s="62">
        <f>IF($N66="","",INDEX('Cronograma Asistente Técnico'!$Q$5:$Q$1000,$N66)&amp;"")</f>
        <v/>
      </c>
      <c r="N66">
        <f>IFERROR(MATCH(ROW()-4,rOrden_ATR,0),"")</f>
        <v/>
      </c>
      <c r="O66">
        <f>IF($N66="","",INDEX('Cronograma Asistente Técnico'!$V$5:$V$1000,$N66))</f>
        <v/>
      </c>
      <c r="P66">
        <f>IF($N66="","",N(INDEX('Cronograma Asistente Técnico'!$W$5:$W$1000,$N66)))</f>
        <v/>
      </c>
      <c r="Q66">
        <f>IF(OR(LEFT($L66,7)="Vencida",LEFT($L66,5)="Vence"),SUMPRODUCT(--(LEFT($L$5:$L66,7)="Vencida"))+SUMPRODUCT(--(LEFT($L$5:$L66,5)="Vence")),"")</f>
        <v/>
      </c>
    </row>
    <row r="67">
      <c r="A67" s="56">
        <f>IF($N67="","",INDEX('Cronograma Asistente Técnico'!$A$5:$A$1000,$N67))</f>
        <v/>
      </c>
      <c r="B67" s="62">
        <f>IF($N67="","",IF($O67="Sub","      ↳  "&amp;INDEX('Cronograma Asistente Técnico'!$C$5:$C$1000,$N67),INDEX('Cronograma Asistente Técnico'!$C$5:$C$1000,$N67)&amp;""))</f>
        <v/>
      </c>
      <c r="C67" s="79">
        <f>IF($N67="","",IF(INDEX('Cronograma Asistente Técnico'!$AM$5:$AM$1000,$N67)="","",INDEX('Cronograma Asistente Técnico'!$AM$5:$AM$1000,$N67)))</f>
        <v/>
      </c>
      <c r="D67" s="79">
        <f>IF($N67="","",IF(INDEX('Cronograma Asistente Técnico'!$AN$5:$AN$1000,$N67)="","",INDEX('Cronograma Asistente Técnico'!$AN$5:$AN$1000,$N67)))</f>
        <v/>
      </c>
      <c r="E67" s="56">
        <f>IF($N67="","",IF(NOT(ISNUMBER($D67)),"",IF($D67&lt;InicioCiclo,"Antes del ciclo",IF($D67&gt;=InicioCiclo+28,"Después del ciclo","Semana "&amp;(INT(($D67-InicioCiclo)/7)+1)))))</f>
        <v/>
      </c>
      <c r="F67" s="61">
        <f>IF($N67="","",IF($P67&gt;0,IF(1&lt;=SemanaActual,INDEX('Cronograma Asistente Técnico'!$AC$5:$AC$1000,$N67),""),IF(INDEX('Cronograma Asistente Técnico'!$I$5:$I$1000,$N67)="","",INDEX('Cronograma Asistente Técnico'!$I$5:$I$1000,$N67))))</f>
        <v/>
      </c>
      <c r="G67" s="61">
        <f>IF($N67="","",IF($P67&gt;0,IF(2&lt;=SemanaActual,INDEX('Cronograma Asistente Técnico'!$AD$5:$AD$1000,$N67),""),IF(INDEX('Cronograma Asistente Técnico'!$J$5:$J$1000,$N67)="","",INDEX('Cronograma Asistente Técnico'!$J$5:$J$1000,$N67))))</f>
        <v/>
      </c>
      <c r="H67" s="61">
        <f>IF($N67="","",IF($P67&gt;0,IF(3&lt;=SemanaActual,INDEX('Cronograma Asistente Técnico'!$AE$5:$AE$1000,$N67),""),IF(INDEX('Cronograma Asistente Técnico'!$K$5:$K$1000,$N67)="","",INDEX('Cronograma Asistente Técnico'!$K$5:$K$1000,$N67))))</f>
        <v/>
      </c>
      <c r="I67" s="61">
        <f>IF($N67="","",IF($P67&gt;0,IF(4&lt;=SemanaActual,INDEX('Cronograma Asistente Técnico'!$AF$5:$AF$1000,$N67),""),IF(INDEX('Cronograma Asistente Técnico'!$L$5:$L$1000,$N67)="","",INDEX('Cronograma Asistente Técnico'!$L$5:$L$1000,$N67))))</f>
        <v/>
      </c>
      <c r="J67" s="61">
        <f>IF($N67="","",INDEX('Cronograma Asistente Técnico'!$M$5:$M$1000,$N67))</f>
        <v/>
      </c>
      <c r="K67" s="56">
        <f>IF($N67="","",IF(N($J67)&gt;=1,"Completado",IF(AND(ISNUMBER($D67),$D67&lt;FechaRef),"Vencida",IF(N($J67)&gt;0,"En curso","Pendiente"))))</f>
        <v/>
      </c>
      <c r="L67" s="56">
        <f>IF($N67="","",INDEX('Cronograma Asistente Técnico'!$O$5:$O$1000,$N67)&amp;"")</f>
        <v/>
      </c>
      <c r="M67" s="62">
        <f>IF($N67="","",INDEX('Cronograma Asistente Técnico'!$Q$5:$Q$1000,$N67)&amp;"")</f>
        <v/>
      </c>
      <c r="N67">
        <f>IFERROR(MATCH(ROW()-4,rOrden_ATR,0),"")</f>
        <v/>
      </c>
      <c r="O67">
        <f>IF($N67="","",INDEX('Cronograma Asistente Técnico'!$V$5:$V$1000,$N67))</f>
        <v/>
      </c>
      <c r="P67">
        <f>IF($N67="","",N(INDEX('Cronograma Asistente Técnico'!$W$5:$W$1000,$N67)))</f>
        <v/>
      </c>
      <c r="Q67">
        <f>IF(OR(LEFT($L67,7)="Vencida",LEFT($L67,5)="Vence"),SUMPRODUCT(--(LEFT($L$5:$L67,7)="Vencida"))+SUMPRODUCT(--(LEFT($L$5:$L67,5)="Vence")),"")</f>
        <v/>
      </c>
    </row>
    <row r="68">
      <c r="A68" s="56">
        <f>IF($N68="","",INDEX('Cronograma Asistente Técnico'!$A$5:$A$1000,$N68))</f>
        <v/>
      </c>
      <c r="B68" s="62">
        <f>IF($N68="","",IF($O68="Sub","      ↳  "&amp;INDEX('Cronograma Asistente Técnico'!$C$5:$C$1000,$N68),INDEX('Cronograma Asistente Técnico'!$C$5:$C$1000,$N68)&amp;""))</f>
        <v/>
      </c>
      <c r="C68" s="79">
        <f>IF($N68="","",IF(INDEX('Cronograma Asistente Técnico'!$AM$5:$AM$1000,$N68)="","",INDEX('Cronograma Asistente Técnico'!$AM$5:$AM$1000,$N68)))</f>
        <v/>
      </c>
      <c r="D68" s="79">
        <f>IF($N68="","",IF(INDEX('Cronograma Asistente Técnico'!$AN$5:$AN$1000,$N68)="","",INDEX('Cronograma Asistente Técnico'!$AN$5:$AN$1000,$N68)))</f>
        <v/>
      </c>
      <c r="E68" s="56">
        <f>IF($N68="","",IF(NOT(ISNUMBER($D68)),"",IF($D68&lt;InicioCiclo,"Antes del ciclo",IF($D68&gt;=InicioCiclo+28,"Después del ciclo","Semana "&amp;(INT(($D68-InicioCiclo)/7)+1)))))</f>
        <v/>
      </c>
      <c r="F68" s="61">
        <f>IF($N68="","",IF($P68&gt;0,IF(1&lt;=SemanaActual,INDEX('Cronograma Asistente Técnico'!$AC$5:$AC$1000,$N68),""),IF(INDEX('Cronograma Asistente Técnico'!$I$5:$I$1000,$N68)="","",INDEX('Cronograma Asistente Técnico'!$I$5:$I$1000,$N68))))</f>
        <v/>
      </c>
      <c r="G68" s="61">
        <f>IF($N68="","",IF($P68&gt;0,IF(2&lt;=SemanaActual,INDEX('Cronograma Asistente Técnico'!$AD$5:$AD$1000,$N68),""),IF(INDEX('Cronograma Asistente Técnico'!$J$5:$J$1000,$N68)="","",INDEX('Cronograma Asistente Técnico'!$J$5:$J$1000,$N68))))</f>
        <v/>
      </c>
      <c r="H68" s="61">
        <f>IF($N68="","",IF($P68&gt;0,IF(3&lt;=SemanaActual,INDEX('Cronograma Asistente Técnico'!$AE$5:$AE$1000,$N68),""),IF(INDEX('Cronograma Asistente Técnico'!$K$5:$K$1000,$N68)="","",INDEX('Cronograma Asistente Técnico'!$K$5:$K$1000,$N68))))</f>
        <v/>
      </c>
      <c r="I68" s="61">
        <f>IF($N68="","",IF($P68&gt;0,IF(4&lt;=SemanaActual,INDEX('Cronograma Asistente Técnico'!$AF$5:$AF$1000,$N68),""),IF(INDEX('Cronograma Asistente Técnico'!$L$5:$L$1000,$N68)="","",INDEX('Cronograma Asistente Técnico'!$L$5:$L$1000,$N68))))</f>
        <v/>
      </c>
      <c r="J68" s="61">
        <f>IF($N68="","",INDEX('Cronograma Asistente Técnico'!$M$5:$M$1000,$N68))</f>
        <v/>
      </c>
      <c r="K68" s="56">
        <f>IF($N68="","",IF(N($J68)&gt;=1,"Completado",IF(AND(ISNUMBER($D68),$D68&lt;FechaRef),"Vencida",IF(N($J68)&gt;0,"En curso","Pendiente"))))</f>
        <v/>
      </c>
      <c r="L68" s="56">
        <f>IF($N68="","",INDEX('Cronograma Asistente Técnico'!$O$5:$O$1000,$N68)&amp;"")</f>
        <v/>
      </c>
      <c r="M68" s="62">
        <f>IF($N68="","",INDEX('Cronograma Asistente Técnico'!$Q$5:$Q$1000,$N68)&amp;"")</f>
        <v/>
      </c>
      <c r="N68">
        <f>IFERROR(MATCH(ROW()-4,rOrden_ATR,0),"")</f>
        <v/>
      </c>
      <c r="O68">
        <f>IF($N68="","",INDEX('Cronograma Asistente Técnico'!$V$5:$V$1000,$N68))</f>
        <v/>
      </c>
      <c r="P68">
        <f>IF($N68="","",N(INDEX('Cronograma Asistente Técnico'!$W$5:$W$1000,$N68)))</f>
        <v/>
      </c>
      <c r="Q68">
        <f>IF(OR(LEFT($L68,7)="Vencida",LEFT($L68,5)="Vence"),SUMPRODUCT(--(LEFT($L$5:$L68,7)="Vencida"))+SUMPRODUCT(--(LEFT($L$5:$L68,5)="Vence")),"")</f>
        <v/>
      </c>
    </row>
    <row r="69">
      <c r="A69" s="56">
        <f>IF($N69="","",INDEX('Cronograma Asistente Técnico'!$A$5:$A$1000,$N69))</f>
        <v/>
      </c>
      <c r="B69" s="62">
        <f>IF($N69="","",IF($O69="Sub","      ↳  "&amp;INDEX('Cronograma Asistente Técnico'!$C$5:$C$1000,$N69),INDEX('Cronograma Asistente Técnico'!$C$5:$C$1000,$N69)&amp;""))</f>
        <v/>
      </c>
      <c r="C69" s="79">
        <f>IF($N69="","",IF(INDEX('Cronograma Asistente Técnico'!$AM$5:$AM$1000,$N69)="","",INDEX('Cronograma Asistente Técnico'!$AM$5:$AM$1000,$N69)))</f>
        <v/>
      </c>
      <c r="D69" s="79">
        <f>IF($N69="","",IF(INDEX('Cronograma Asistente Técnico'!$AN$5:$AN$1000,$N69)="","",INDEX('Cronograma Asistente Técnico'!$AN$5:$AN$1000,$N69)))</f>
        <v/>
      </c>
      <c r="E69" s="56">
        <f>IF($N69="","",IF(NOT(ISNUMBER($D69)),"",IF($D69&lt;InicioCiclo,"Antes del ciclo",IF($D69&gt;=InicioCiclo+28,"Después del ciclo","Semana "&amp;(INT(($D69-InicioCiclo)/7)+1)))))</f>
        <v/>
      </c>
      <c r="F69" s="61">
        <f>IF($N69="","",IF($P69&gt;0,IF(1&lt;=SemanaActual,INDEX('Cronograma Asistente Técnico'!$AC$5:$AC$1000,$N69),""),IF(INDEX('Cronograma Asistente Técnico'!$I$5:$I$1000,$N69)="","",INDEX('Cronograma Asistente Técnico'!$I$5:$I$1000,$N69))))</f>
        <v/>
      </c>
      <c r="G69" s="61">
        <f>IF($N69="","",IF($P69&gt;0,IF(2&lt;=SemanaActual,INDEX('Cronograma Asistente Técnico'!$AD$5:$AD$1000,$N69),""),IF(INDEX('Cronograma Asistente Técnico'!$J$5:$J$1000,$N69)="","",INDEX('Cronograma Asistente Técnico'!$J$5:$J$1000,$N69))))</f>
        <v/>
      </c>
      <c r="H69" s="61">
        <f>IF($N69="","",IF($P69&gt;0,IF(3&lt;=SemanaActual,INDEX('Cronograma Asistente Técnico'!$AE$5:$AE$1000,$N69),""),IF(INDEX('Cronograma Asistente Técnico'!$K$5:$K$1000,$N69)="","",INDEX('Cronograma Asistente Técnico'!$K$5:$K$1000,$N69))))</f>
        <v/>
      </c>
      <c r="I69" s="61">
        <f>IF($N69="","",IF($P69&gt;0,IF(4&lt;=SemanaActual,INDEX('Cronograma Asistente Técnico'!$AF$5:$AF$1000,$N69),""),IF(INDEX('Cronograma Asistente Técnico'!$L$5:$L$1000,$N69)="","",INDEX('Cronograma Asistente Técnico'!$L$5:$L$1000,$N69))))</f>
        <v/>
      </c>
      <c r="J69" s="61">
        <f>IF($N69="","",INDEX('Cronograma Asistente Técnico'!$M$5:$M$1000,$N69))</f>
        <v/>
      </c>
      <c r="K69" s="56">
        <f>IF($N69="","",IF(N($J69)&gt;=1,"Completado",IF(AND(ISNUMBER($D69),$D69&lt;FechaRef),"Vencida",IF(N($J69)&gt;0,"En curso","Pendiente"))))</f>
        <v/>
      </c>
      <c r="L69" s="56">
        <f>IF($N69="","",INDEX('Cronograma Asistente Técnico'!$O$5:$O$1000,$N69)&amp;"")</f>
        <v/>
      </c>
      <c r="M69" s="62">
        <f>IF($N69="","",INDEX('Cronograma Asistente Técnico'!$Q$5:$Q$1000,$N69)&amp;"")</f>
        <v/>
      </c>
      <c r="N69">
        <f>IFERROR(MATCH(ROW()-4,rOrden_ATR,0),"")</f>
        <v/>
      </c>
      <c r="O69">
        <f>IF($N69="","",INDEX('Cronograma Asistente Técnico'!$V$5:$V$1000,$N69))</f>
        <v/>
      </c>
      <c r="P69">
        <f>IF($N69="","",N(INDEX('Cronograma Asistente Técnico'!$W$5:$W$1000,$N69)))</f>
        <v/>
      </c>
      <c r="Q69">
        <f>IF(OR(LEFT($L69,7)="Vencida",LEFT($L69,5)="Vence"),SUMPRODUCT(--(LEFT($L$5:$L69,7)="Vencida"))+SUMPRODUCT(--(LEFT($L$5:$L69,5)="Vence")),"")</f>
        <v/>
      </c>
    </row>
    <row r="70">
      <c r="A70" s="56">
        <f>IF($N70="","",INDEX('Cronograma Asistente Técnico'!$A$5:$A$1000,$N70))</f>
        <v/>
      </c>
      <c r="B70" s="62">
        <f>IF($N70="","",IF($O70="Sub","      ↳  "&amp;INDEX('Cronograma Asistente Técnico'!$C$5:$C$1000,$N70),INDEX('Cronograma Asistente Técnico'!$C$5:$C$1000,$N70)&amp;""))</f>
        <v/>
      </c>
      <c r="C70" s="79">
        <f>IF($N70="","",IF(INDEX('Cronograma Asistente Técnico'!$AM$5:$AM$1000,$N70)="","",INDEX('Cronograma Asistente Técnico'!$AM$5:$AM$1000,$N70)))</f>
        <v/>
      </c>
      <c r="D70" s="79">
        <f>IF($N70="","",IF(INDEX('Cronograma Asistente Técnico'!$AN$5:$AN$1000,$N70)="","",INDEX('Cronograma Asistente Técnico'!$AN$5:$AN$1000,$N70)))</f>
        <v/>
      </c>
      <c r="E70" s="56">
        <f>IF($N70="","",IF(NOT(ISNUMBER($D70)),"",IF($D70&lt;InicioCiclo,"Antes del ciclo",IF($D70&gt;=InicioCiclo+28,"Después del ciclo","Semana "&amp;(INT(($D70-InicioCiclo)/7)+1)))))</f>
        <v/>
      </c>
      <c r="F70" s="61">
        <f>IF($N70="","",IF($P70&gt;0,IF(1&lt;=SemanaActual,INDEX('Cronograma Asistente Técnico'!$AC$5:$AC$1000,$N70),""),IF(INDEX('Cronograma Asistente Técnico'!$I$5:$I$1000,$N70)="","",INDEX('Cronograma Asistente Técnico'!$I$5:$I$1000,$N70))))</f>
        <v/>
      </c>
      <c r="G70" s="61">
        <f>IF($N70="","",IF($P70&gt;0,IF(2&lt;=SemanaActual,INDEX('Cronograma Asistente Técnico'!$AD$5:$AD$1000,$N70),""),IF(INDEX('Cronograma Asistente Técnico'!$J$5:$J$1000,$N70)="","",INDEX('Cronograma Asistente Técnico'!$J$5:$J$1000,$N70))))</f>
        <v/>
      </c>
      <c r="H70" s="61">
        <f>IF($N70="","",IF($P70&gt;0,IF(3&lt;=SemanaActual,INDEX('Cronograma Asistente Técnico'!$AE$5:$AE$1000,$N70),""),IF(INDEX('Cronograma Asistente Técnico'!$K$5:$K$1000,$N70)="","",INDEX('Cronograma Asistente Técnico'!$K$5:$K$1000,$N70))))</f>
        <v/>
      </c>
      <c r="I70" s="61">
        <f>IF($N70="","",IF($P70&gt;0,IF(4&lt;=SemanaActual,INDEX('Cronograma Asistente Técnico'!$AF$5:$AF$1000,$N70),""),IF(INDEX('Cronograma Asistente Técnico'!$L$5:$L$1000,$N70)="","",INDEX('Cronograma Asistente Técnico'!$L$5:$L$1000,$N70))))</f>
        <v/>
      </c>
      <c r="J70" s="61">
        <f>IF($N70="","",INDEX('Cronograma Asistente Técnico'!$M$5:$M$1000,$N70))</f>
        <v/>
      </c>
      <c r="K70" s="56">
        <f>IF($N70="","",IF(N($J70)&gt;=1,"Completado",IF(AND(ISNUMBER($D70),$D70&lt;FechaRef),"Vencida",IF(N($J70)&gt;0,"En curso","Pendiente"))))</f>
        <v/>
      </c>
      <c r="L70" s="56">
        <f>IF($N70="","",INDEX('Cronograma Asistente Técnico'!$O$5:$O$1000,$N70)&amp;"")</f>
        <v/>
      </c>
      <c r="M70" s="62">
        <f>IF($N70="","",INDEX('Cronograma Asistente Técnico'!$Q$5:$Q$1000,$N70)&amp;"")</f>
        <v/>
      </c>
      <c r="N70">
        <f>IFERROR(MATCH(ROW()-4,rOrden_ATR,0),"")</f>
        <v/>
      </c>
      <c r="O70">
        <f>IF($N70="","",INDEX('Cronograma Asistente Técnico'!$V$5:$V$1000,$N70))</f>
        <v/>
      </c>
      <c r="P70">
        <f>IF($N70="","",N(INDEX('Cronograma Asistente Técnico'!$W$5:$W$1000,$N70)))</f>
        <v/>
      </c>
      <c r="Q70">
        <f>IF(OR(LEFT($L70,7)="Vencida",LEFT($L70,5)="Vence"),SUMPRODUCT(--(LEFT($L$5:$L70,7)="Vencida"))+SUMPRODUCT(--(LEFT($L$5:$L70,5)="Vence")),"")</f>
        <v/>
      </c>
    </row>
    <row r="71">
      <c r="A71" s="56">
        <f>IF($N71="","",INDEX('Cronograma Asistente Técnico'!$A$5:$A$1000,$N71))</f>
        <v/>
      </c>
      <c r="B71" s="62">
        <f>IF($N71="","",IF($O71="Sub","      ↳  "&amp;INDEX('Cronograma Asistente Técnico'!$C$5:$C$1000,$N71),INDEX('Cronograma Asistente Técnico'!$C$5:$C$1000,$N71)&amp;""))</f>
        <v/>
      </c>
      <c r="C71" s="79">
        <f>IF($N71="","",IF(INDEX('Cronograma Asistente Técnico'!$AM$5:$AM$1000,$N71)="","",INDEX('Cronograma Asistente Técnico'!$AM$5:$AM$1000,$N71)))</f>
        <v/>
      </c>
      <c r="D71" s="79">
        <f>IF($N71="","",IF(INDEX('Cronograma Asistente Técnico'!$AN$5:$AN$1000,$N71)="","",INDEX('Cronograma Asistente Técnico'!$AN$5:$AN$1000,$N71)))</f>
        <v/>
      </c>
      <c r="E71" s="56">
        <f>IF($N71="","",IF(NOT(ISNUMBER($D71)),"",IF($D71&lt;InicioCiclo,"Antes del ciclo",IF($D71&gt;=InicioCiclo+28,"Después del ciclo","Semana "&amp;(INT(($D71-InicioCiclo)/7)+1)))))</f>
        <v/>
      </c>
      <c r="F71" s="61">
        <f>IF($N71="","",IF($P71&gt;0,IF(1&lt;=SemanaActual,INDEX('Cronograma Asistente Técnico'!$AC$5:$AC$1000,$N71),""),IF(INDEX('Cronograma Asistente Técnico'!$I$5:$I$1000,$N71)="","",INDEX('Cronograma Asistente Técnico'!$I$5:$I$1000,$N71))))</f>
        <v/>
      </c>
      <c r="G71" s="61">
        <f>IF($N71="","",IF($P71&gt;0,IF(2&lt;=SemanaActual,INDEX('Cronograma Asistente Técnico'!$AD$5:$AD$1000,$N71),""),IF(INDEX('Cronograma Asistente Técnico'!$J$5:$J$1000,$N71)="","",INDEX('Cronograma Asistente Técnico'!$J$5:$J$1000,$N71))))</f>
        <v/>
      </c>
      <c r="H71" s="61">
        <f>IF($N71="","",IF($P71&gt;0,IF(3&lt;=SemanaActual,INDEX('Cronograma Asistente Técnico'!$AE$5:$AE$1000,$N71),""),IF(INDEX('Cronograma Asistente Técnico'!$K$5:$K$1000,$N71)="","",INDEX('Cronograma Asistente Técnico'!$K$5:$K$1000,$N71))))</f>
        <v/>
      </c>
      <c r="I71" s="61">
        <f>IF($N71="","",IF($P71&gt;0,IF(4&lt;=SemanaActual,INDEX('Cronograma Asistente Técnico'!$AF$5:$AF$1000,$N71),""),IF(INDEX('Cronograma Asistente Técnico'!$L$5:$L$1000,$N71)="","",INDEX('Cronograma Asistente Técnico'!$L$5:$L$1000,$N71))))</f>
        <v/>
      </c>
      <c r="J71" s="61">
        <f>IF($N71="","",INDEX('Cronograma Asistente Técnico'!$M$5:$M$1000,$N71))</f>
        <v/>
      </c>
      <c r="K71" s="56">
        <f>IF($N71="","",IF(N($J71)&gt;=1,"Completado",IF(AND(ISNUMBER($D71),$D71&lt;FechaRef),"Vencida",IF(N($J71)&gt;0,"En curso","Pendiente"))))</f>
        <v/>
      </c>
      <c r="L71" s="56">
        <f>IF($N71="","",INDEX('Cronograma Asistente Técnico'!$O$5:$O$1000,$N71)&amp;"")</f>
        <v/>
      </c>
      <c r="M71" s="62">
        <f>IF($N71="","",INDEX('Cronograma Asistente Técnico'!$Q$5:$Q$1000,$N71)&amp;"")</f>
        <v/>
      </c>
      <c r="N71">
        <f>IFERROR(MATCH(ROW()-4,rOrden_ATR,0),"")</f>
        <v/>
      </c>
      <c r="O71">
        <f>IF($N71="","",INDEX('Cronograma Asistente Técnico'!$V$5:$V$1000,$N71))</f>
        <v/>
      </c>
      <c r="P71">
        <f>IF($N71="","",N(INDEX('Cronograma Asistente Técnico'!$W$5:$W$1000,$N71)))</f>
        <v/>
      </c>
      <c r="Q71">
        <f>IF(OR(LEFT($L71,7)="Vencida",LEFT($L71,5)="Vence"),SUMPRODUCT(--(LEFT($L$5:$L71,7)="Vencida"))+SUMPRODUCT(--(LEFT($L$5:$L71,5)="Vence")),"")</f>
        <v/>
      </c>
    </row>
    <row r="72">
      <c r="A72" s="56">
        <f>IF($N72="","",INDEX('Cronograma Asistente Técnico'!$A$5:$A$1000,$N72))</f>
        <v/>
      </c>
      <c r="B72" s="62">
        <f>IF($N72="","",IF($O72="Sub","      ↳  "&amp;INDEX('Cronograma Asistente Técnico'!$C$5:$C$1000,$N72),INDEX('Cronograma Asistente Técnico'!$C$5:$C$1000,$N72)&amp;""))</f>
        <v/>
      </c>
      <c r="C72" s="79">
        <f>IF($N72="","",IF(INDEX('Cronograma Asistente Técnico'!$AM$5:$AM$1000,$N72)="","",INDEX('Cronograma Asistente Técnico'!$AM$5:$AM$1000,$N72)))</f>
        <v/>
      </c>
      <c r="D72" s="79">
        <f>IF($N72="","",IF(INDEX('Cronograma Asistente Técnico'!$AN$5:$AN$1000,$N72)="","",INDEX('Cronograma Asistente Técnico'!$AN$5:$AN$1000,$N72)))</f>
        <v/>
      </c>
      <c r="E72" s="56">
        <f>IF($N72="","",IF(NOT(ISNUMBER($D72)),"",IF($D72&lt;InicioCiclo,"Antes del ciclo",IF($D72&gt;=InicioCiclo+28,"Después del ciclo","Semana "&amp;(INT(($D72-InicioCiclo)/7)+1)))))</f>
        <v/>
      </c>
      <c r="F72" s="61">
        <f>IF($N72="","",IF($P72&gt;0,IF(1&lt;=SemanaActual,INDEX('Cronograma Asistente Técnico'!$AC$5:$AC$1000,$N72),""),IF(INDEX('Cronograma Asistente Técnico'!$I$5:$I$1000,$N72)="","",INDEX('Cronograma Asistente Técnico'!$I$5:$I$1000,$N72))))</f>
        <v/>
      </c>
      <c r="G72" s="61">
        <f>IF($N72="","",IF($P72&gt;0,IF(2&lt;=SemanaActual,INDEX('Cronograma Asistente Técnico'!$AD$5:$AD$1000,$N72),""),IF(INDEX('Cronograma Asistente Técnico'!$J$5:$J$1000,$N72)="","",INDEX('Cronograma Asistente Técnico'!$J$5:$J$1000,$N72))))</f>
        <v/>
      </c>
      <c r="H72" s="61">
        <f>IF($N72="","",IF($P72&gt;0,IF(3&lt;=SemanaActual,INDEX('Cronograma Asistente Técnico'!$AE$5:$AE$1000,$N72),""),IF(INDEX('Cronograma Asistente Técnico'!$K$5:$K$1000,$N72)="","",INDEX('Cronograma Asistente Técnico'!$K$5:$K$1000,$N72))))</f>
        <v/>
      </c>
      <c r="I72" s="61">
        <f>IF($N72="","",IF($P72&gt;0,IF(4&lt;=SemanaActual,INDEX('Cronograma Asistente Técnico'!$AF$5:$AF$1000,$N72),""),IF(INDEX('Cronograma Asistente Técnico'!$L$5:$L$1000,$N72)="","",INDEX('Cronograma Asistente Técnico'!$L$5:$L$1000,$N72))))</f>
        <v/>
      </c>
      <c r="J72" s="61">
        <f>IF($N72="","",INDEX('Cronograma Asistente Técnico'!$M$5:$M$1000,$N72))</f>
        <v/>
      </c>
      <c r="K72" s="56">
        <f>IF($N72="","",IF(N($J72)&gt;=1,"Completado",IF(AND(ISNUMBER($D72),$D72&lt;FechaRef),"Vencida",IF(N($J72)&gt;0,"En curso","Pendiente"))))</f>
        <v/>
      </c>
      <c r="L72" s="56">
        <f>IF($N72="","",INDEX('Cronograma Asistente Técnico'!$O$5:$O$1000,$N72)&amp;"")</f>
        <v/>
      </c>
      <c r="M72" s="62">
        <f>IF($N72="","",INDEX('Cronograma Asistente Técnico'!$Q$5:$Q$1000,$N72)&amp;"")</f>
        <v/>
      </c>
      <c r="N72">
        <f>IFERROR(MATCH(ROW()-4,rOrden_ATR,0),"")</f>
        <v/>
      </c>
      <c r="O72">
        <f>IF($N72="","",INDEX('Cronograma Asistente Técnico'!$V$5:$V$1000,$N72))</f>
        <v/>
      </c>
      <c r="P72">
        <f>IF($N72="","",N(INDEX('Cronograma Asistente Técnico'!$W$5:$W$1000,$N72)))</f>
        <v/>
      </c>
      <c r="Q72">
        <f>IF(OR(LEFT($L72,7)="Vencida",LEFT($L72,5)="Vence"),SUMPRODUCT(--(LEFT($L$5:$L72,7)="Vencida"))+SUMPRODUCT(--(LEFT($L$5:$L72,5)="Vence")),"")</f>
        <v/>
      </c>
    </row>
    <row r="73">
      <c r="A73" s="56">
        <f>IF($N73="","",INDEX('Cronograma Asistente Técnico'!$A$5:$A$1000,$N73))</f>
        <v/>
      </c>
      <c r="B73" s="62">
        <f>IF($N73="","",IF($O73="Sub","      ↳  "&amp;INDEX('Cronograma Asistente Técnico'!$C$5:$C$1000,$N73),INDEX('Cronograma Asistente Técnico'!$C$5:$C$1000,$N73)&amp;""))</f>
        <v/>
      </c>
      <c r="C73" s="79">
        <f>IF($N73="","",IF(INDEX('Cronograma Asistente Técnico'!$AM$5:$AM$1000,$N73)="","",INDEX('Cronograma Asistente Técnico'!$AM$5:$AM$1000,$N73)))</f>
        <v/>
      </c>
      <c r="D73" s="79">
        <f>IF($N73="","",IF(INDEX('Cronograma Asistente Técnico'!$AN$5:$AN$1000,$N73)="","",INDEX('Cronograma Asistente Técnico'!$AN$5:$AN$1000,$N73)))</f>
        <v/>
      </c>
      <c r="E73" s="56">
        <f>IF($N73="","",IF(NOT(ISNUMBER($D73)),"",IF($D73&lt;InicioCiclo,"Antes del ciclo",IF($D73&gt;=InicioCiclo+28,"Después del ciclo","Semana "&amp;(INT(($D73-InicioCiclo)/7)+1)))))</f>
        <v/>
      </c>
      <c r="F73" s="61">
        <f>IF($N73="","",IF($P73&gt;0,IF(1&lt;=SemanaActual,INDEX('Cronograma Asistente Técnico'!$AC$5:$AC$1000,$N73),""),IF(INDEX('Cronograma Asistente Técnico'!$I$5:$I$1000,$N73)="","",INDEX('Cronograma Asistente Técnico'!$I$5:$I$1000,$N73))))</f>
        <v/>
      </c>
      <c r="G73" s="61">
        <f>IF($N73="","",IF($P73&gt;0,IF(2&lt;=SemanaActual,INDEX('Cronograma Asistente Técnico'!$AD$5:$AD$1000,$N73),""),IF(INDEX('Cronograma Asistente Técnico'!$J$5:$J$1000,$N73)="","",INDEX('Cronograma Asistente Técnico'!$J$5:$J$1000,$N73))))</f>
        <v/>
      </c>
      <c r="H73" s="61">
        <f>IF($N73="","",IF($P73&gt;0,IF(3&lt;=SemanaActual,INDEX('Cronograma Asistente Técnico'!$AE$5:$AE$1000,$N73),""),IF(INDEX('Cronograma Asistente Técnico'!$K$5:$K$1000,$N73)="","",INDEX('Cronograma Asistente Técnico'!$K$5:$K$1000,$N73))))</f>
        <v/>
      </c>
      <c r="I73" s="61">
        <f>IF($N73="","",IF($P73&gt;0,IF(4&lt;=SemanaActual,INDEX('Cronograma Asistente Técnico'!$AF$5:$AF$1000,$N73),""),IF(INDEX('Cronograma Asistente Técnico'!$L$5:$L$1000,$N73)="","",INDEX('Cronograma Asistente Técnico'!$L$5:$L$1000,$N73))))</f>
        <v/>
      </c>
      <c r="J73" s="61">
        <f>IF($N73="","",INDEX('Cronograma Asistente Técnico'!$M$5:$M$1000,$N73))</f>
        <v/>
      </c>
      <c r="K73" s="56">
        <f>IF($N73="","",IF(N($J73)&gt;=1,"Completado",IF(AND(ISNUMBER($D73),$D73&lt;FechaRef),"Vencida",IF(N($J73)&gt;0,"En curso","Pendiente"))))</f>
        <v/>
      </c>
      <c r="L73" s="56">
        <f>IF($N73="","",INDEX('Cronograma Asistente Técnico'!$O$5:$O$1000,$N73)&amp;"")</f>
        <v/>
      </c>
      <c r="M73" s="62">
        <f>IF($N73="","",INDEX('Cronograma Asistente Técnico'!$Q$5:$Q$1000,$N73)&amp;"")</f>
        <v/>
      </c>
      <c r="N73">
        <f>IFERROR(MATCH(ROW()-4,rOrden_ATR,0),"")</f>
        <v/>
      </c>
      <c r="O73">
        <f>IF($N73="","",INDEX('Cronograma Asistente Técnico'!$V$5:$V$1000,$N73))</f>
        <v/>
      </c>
      <c r="P73">
        <f>IF($N73="","",N(INDEX('Cronograma Asistente Técnico'!$W$5:$W$1000,$N73)))</f>
        <v/>
      </c>
      <c r="Q73">
        <f>IF(OR(LEFT($L73,7)="Vencida",LEFT($L73,5)="Vence"),SUMPRODUCT(--(LEFT($L$5:$L73,7)="Vencida"))+SUMPRODUCT(--(LEFT($L$5:$L73,5)="Vence")),"")</f>
        <v/>
      </c>
    </row>
    <row r="74">
      <c r="A74" s="56">
        <f>IF($N74="","",INDEX('Cronograma Asistente Técnico'!$A$5:$A$1000,$N74))</f>
        <v/>
      </c>
      <c r="B74" s="62">
        <f>IF($N74="","",IF($O74="Sub","      ↳  "&amp;INDEX('Cronograma Asistente Técnico'!$C$5:$C$1000,$N74),INDEX('Cronograma Asistente Técnico'!$C$5:$C$1000,$N74)&amp;""))</f>
        <v/>
      </c>
      <c r="C74" s="79">
        <f>IF($N74="","",IF(INDEX('Cronograma Asistente Técnico'!$AM$5:$AM$1000,$N74)="","",INDEX('Cronograma Asistente Técnico'!$AM$5:$AM$1000,$N74)))</f>
        <v/>
      </c>
      <c r="D74" s="79">
        <f>IF($N74="","",IF(INDEX('Cronograma Asistente Técnico'!$AN$5:$AN$1000,$N74)="","",INDEX('Cronograma Asistente Técnico'!$AN$5:$AN$1000,$N74)))</f>
        <v/>
      </c>
      <c r="E74" s="56">
        <f>IF($N74="","",IF(NOT(ISNUMBER($D74)),"",IF($D74&lt;InicioCiclo,"Antes del ciclo",IF($D74&gt;=InicioCiclo+28,"Después del ciclo","Semana "&amp;(INT(($D74-InicioCiclo)/7)+1)))))</f>
        <v/>
      </c>
      <c r="F74" s="61">
        <f>IF($N74="","",IF($P74&gt;0,IF(1&lt;=SemanaActual,INDEX('Cronograma Asistente Técnico'!$AC$5:$AC$1000,$N74),""),IF(INDEX('Cronograma Asistente Técnico'!$I$5:$I$1000,$N74)="","",INDEX('Cronograma Asistente Técnico'!$I$5:$I$1000,$N74))))</f>
        <v/>
      </c>
      <c r="G74" s="61">
        <f>IF($N74="","",IF($P74&gt;0,IF(2&lt;=SemanaActual,INDEX('Cronograma Asistente Técnico'!$AD$5:$AD$1000,$N74),""),IF(INDEX('Cronograma Asistente Técnico'!$J$5:$J$1000,$N74)="","",INDEX('Cronograma Asistente Técnico'!$J$5:$J$1000,$N74))))</f>
        <v/>
      </c>
      <c r="H74" s="61">
        <f>IF($N74="","",IF($P74&gt;0,IF(3&lt;=SemanaActual,INDEX('Cronograma Asistente Técnico'!$AE$5:$AE$1000,$N74),""),IF(INDEX('Cronograma Asistente Técnico'!$K$5:$K$1000,$N74)="","",INDEX('Cronograma Asistente Técnico'!$K$5:$K$1000,$N74))))</f>
        <v/>
      </c>
      <c r="I74" s="61">
        <f>IF($N74="","",IF($P74&gt;0,IF(4&lt;=SemanaActual,INDEX('Cronograma Asistente Técnico'!$AF$5:$AF$1000,$N74),""),IF(INDEX('Cronograma Asistente Técnico'!$L$5:$L$1000,$N74)="","",INDEX('Cronograma Asistente Técnico'!$L$5:$L$1000,$N74))))</f>
        <v/>
      </c>
      <c r="J74" s="61">
        <f>IF($N74="","",INDEX('Cronograma Asistente Técnico'!$M$5:$M$1000,$N74))</f>
        <v/>
      </c>
      <c r="K74" s="56">
        <f>IF($N74="","",IF(N($J74)&gt;=1,"Completado",IF(AND(ISNUMBER($D74),$D74&lt;FechaRef),"Vencida",IF(N($J74)&gt;0,"En curso","Pendiente"))))</f>
        <v/>
      </c>
      <c r="L74" s="56">
        <f>IF($N74="","",INDEX('Cronograma Asistente Técnico'!$O$5:$O$1000,$N74)&amp;"")</f>
        <v/>
      </c>
      <c r="M74" s="62">
        <f>IF($N74="","",INDEX('Cronograma Asistente Técnico'!$Q$5:$Q$1000,$N74)&amp;"")</f>
        <v/>
      </c>
      <c r="N74">
        <f>IFERROR(MATCH(ROW()-4,rOrden_ATR,0),"")</f>
        <v/>
      </c>
      <c r="O74">
        <f>IF($N74="","",INDEX('Cronograma Asistente Técnico'!$V$5:$V$1000,$N74))</f>
        <v/>
      </c>
      <c r="P74">
        <f>IF($N74="","",N(INDEX('Cronograma Asistente Técnico'!$W$5:$W$1000,$N74)))</f>
        <v/>
      </c>
      <c r="Q74">
        <f>IF(OR(LEFT($L74,7)="Vencida",LEFT($L74,5)="Vence"),SUMPRODUCT(--(LEFT($L$5:$L74,7)="Vencida"))+SUMPRODUCT(--(LEFT($L$5:$L74,5)="Vence")),"")</f>
        <v/>
      </c>
    </row>
    <row r="75">
      <c r="A75" s="56">
        <f>IF($N75="","",INDEX('Cronograma Asistente Técnico'!$A$5:$A$1000,$N75))</f>
        <v/>
      </c>
      <c r="B75" s="62">
        <f>IF($N75="","",IF($O75="Sub","      ↳  "&amp;INDEX('Cronograma Asistente Técnico'!$C$5:$C$1000,$N75),INDEX('Cronograma Asistente Técnico'!$C$5:$C$1000,$N75)&amp;""))</f>
        <v/>
      </c>
      <c r="C75" s="79">
        <f>IF($N75="","",IF(INDEX('Cronograma Asistente Técnico'!$AM$5:$AM$1000,$N75)="","",INDEX('Cronograma Asistente Técnico'!$AM$5:$AM$1000,$N75)))</f>
        <v/>
      </c>
      <c r="D75" s="79">
        <f>IF($N75="","",IF(INDEX('Cronograma Asistente Técnico'!$AN$5:$AN$1000,$N75)="","",INDEX('Cronograma Asistente Técnico'!$AN$5:$AN$1000,$N75)))</f>
        <v/>
      </c>
      <c r="E75" s="56">
        <f>IF($N75="","",IF(NOT(ISNUMBER($D75)),"",IF($D75&lt;InicioCiclo,"Antes del ciclo",IF($D75&gt;=InicioCiclo+28,"Después del ciclo","Semana "&amp;(INT(($D75-InicioCiclo)/7)+1)))))</f>
        <v/>
      </c>
      <c r="F75" s="61">
        <f>IF($N75="","",IF($P75&gt;0,IF(1&lt;=SemanaActual,INDEX('Cronograma Asistente Técnico'!$AC$5:$AC$1000,$N75),""),IF(INDEX('Cronograma Asistente Técnico'!$I$5:$I$1000,$N75)="","",INDEX('Cronograma Asistente Técnico'!$I$5:$I$1000,$N75))))</f>
        <v/>
      </c>
      <c r="G75" s="61">
        <f>IF($N75="","",IF($P75&gt;0,IF(2&lt;=SemanaActual,INDEX('Cronograma Asistente Técnico'!$AD$5:$AD$1000,$N75),""),IF(INDEX('Cronograma Asistente Técnico'!$J$5:$J$1000,$N75)="","",INDEX('Cronograma Asistente Técnico'!$J$5:$J$1000,$N75))))</f>
        <v/>
      </c>
      <c r="H75" s="61">
        <f>IF($N75="","",IF($P75&gt;0,IF(3&lt;=SemanaActual,INDEX('Cronograma Asistente Técnico'!$AE$5:$AE$1000,$N75),""),IF(INDEX('Cronograma Asistente Técnico'!$K$5:$K$1000,$N75)="","",INDEX('Cronograma Asistente Técnico'!$K$5:$K$1000,$N75))))</f>
        <v/>
      </c>
      <c r="I75" s="61">
        <f>IF($N75="","",IF($P75&gt;0,IF(4&lt;=SemanaActual,INDEX('Cronograma Asistente Técnico'!$AF$5:$AF$1000,$N75),""),IF(INDEX('Cronograma Asistente Técnico'!$L$5:$L$1000,$N75)="","",INDEX('Cronograma Asistente Técnico'!$L$5:$L$1000,$N75))))</f>
        <v/>
      </c>
      <c r="J75" s="61">
        <f>IF($N75="","",INDEX('Cronograma Asistente Técnico'!$M$5:$M$1000,$N75))</f>
        <v/>
      </c>
      <c r="K75" s="56">
        <f>IF($N75="","",IF(N($J75)&gt;=1,"Completado",IF(AND(ISNUMBER($D75),$D75&lt;FechaRef),"Vencida",IF(N($J75)&gt;0,"En curso","Pendiente"))))</f>
        <v/>
      </c>
      <c r="L75" s="56">
        <f>IF($N75="","",INDEX('Cronograma Asistente Técnico'!$O$5:$O$1000,$N75)&amp;"")</f>
        <v/>
      </c>
      <c r="M75" s="62">
        <f>IF($N75="","",INDEX('Cronograma Asistente Técnico'!$Q$5:$Q$1000,$N75)&amp;"")</f>
        <v/>
      </c>
      <c r="N75">
        <f>IFERROR(MATCH(ROW()-4,rOrden_ATR,0),"")</f>
        <v/>
      </c>
      <c r="O75">
        <f>IF($N75="","",INDEX('Cronograma Asistente Técnico'!$V$5:$V$1000,$N75))</f>
        <v/>
      </c>
      <c r="P75">
        <f>IF($N75="","",N(INDEX('Cronograma Asistente Técnico'!$W$5:$W$1000,$N75)))</f>
        <v/>
      </c>
      <c r="Q75">
        <f>IF(OR(LEFT($L75,7)="Vencida",LEFT($L75,5)="Vence"),SUMPRODUCT(--(LEFT($L$5:$L75,7)="Vencida"))+SUMPRODUCT(--(LEFT($L$5:$L75,5)="Vence")),"")</f>
        <v/>
      </c>
    </row>
    <row r="76">
      <c r="A76" s="56">
        <f>IF($N76="","",INDEX('Cronograma Asistente Técnico'!$A$5:$A$1000,$N76))</f>
        <v/>
      </c>
      <c r="B76" s="62">
        <f>IF($N76="","",IF($O76="Sub","      ↳  "&amp;INDEX('Cronograma Asistente Técnico'!$C$5:$C$1000,$N76),INDEX('Cronograma Asistente Técnico'!$C$5:$C$1000,$N76)&amp;""))</f>
        <v/>
      </c>
      <c r="C76" s="79">
        <f>IF($N76="","",IF(INDEX('Cronograma Asistente Técnico'!$AM$5:$AM$1000,$N76)="","",INDEX('Cronograma Asistente Técnico'!$AM$5:$AM$1000,$N76)))</f>
        <v/>
      </c>
      <c r="D76" s="79">
        <f>IF($N76="","",IF(INDEX('Cronograma Asistente Técnico'!$AN$5:$AN$1000,$N76)="","",INDEX('Cronograma Asistente Técnico'!$AN$5:$AN$1000,$N76)))</f>
        <v/>
      </c>
      <c r="E76" s="56">
        <f>IF($N76="","",IF(NOT(ISNUMBER($D76)),"",IF($D76&lt;InicioCiclo,"Antes del ciclo",IF($D76&gt;=InicioCiclo+28,"Después del ciclo","Semana "&amp;(INT(($D76-InicioCiclo)/7)+1)))))</f>
        <v/>
      </c>
      <c r="F76" s="61">
        <f>IF($N76="","",IF($P76&gt;0,IF(1&lt;=SemanaActual,INDEX('Cronograma Asistente Técnico'!$AC$5:$AC$1000,$N76),""),IF(INDEX('Cronograma Asistente Técnico'!$I$5:$I$1000,$N76)="","",INDEX('Cronograma Asistente Técnico'!$I$5:$I$1000,$N76))))</f>
        <v/>
      </c>
      <c r="G76" s="61">
        <f>IF($N76="","",IF($P76&gt;0,IF(2&lt;=SemanaActual,INDEX('Cronograma Asistente Técnico'!$AD$5:$AD$1000,$N76),""),IF(INDEX('Cronograma Asistente Técnico'!$J$5:$J$1000,$N76)="","",INDEX('Cronograma Asistente Técnico'!$J$5:$J$1000,$N76))))</f>
        <v/>
      </c>
      <c r="H76" s="61">
        <f>IF($N76="","",IF($P76&gt;0,IF(3&lt;=SemanaActual,INDEX('Cronograma Asistente Técnico'!$AE$5:$AE$1000,$N76),""),IF(INDEX('Cronograma Asistente Técnico'!$K$5:$K$1000,$N76)="","",INDEX('Cronograma Asistente Técnico'!$K$5:$K$1000,$N76))))</f>
        <v/>
      </c>
      <c r="I76" s="61">
        <f>IF($N76="","",IF($P76&gt;0,IF(4&lt;=SemanaActual,INDEX('Cronograma Asistente Técnico'!$AF$5:$AF$1000,$N76),""),IF(INDEX('Cronograma Asistente Técnico'!$L$5:$L$1000,$N76)="","",INDEX('Cronograma Asistente Técnico'!$L$5:$L$1000,$N76))))</f>
        <v/>
      </c>
      <c r="J76" s="61">
        <f>IF($N76="","",INDEX('Cronograma Asistente Técnico'!$M$5:$M$1000,$N76))</f>
        <v/>
      </c>
      <c r="K76" s="56">
        <f>IF($N76="","",IF(N($J76)&gt;=1,"Completado",IF(AND(ISNUMBER($D76),$D76&lt;FechaRef),"Vencida",IF(N($J76)&gt;0,"En curso","Pendiente"))))</f>
        <v/>
      </c>
      <c r="L76" s="56">
        <f>IF($N76="","",INDEX('Cronograma Asistente Técnico'!$O$5:$O$1000,$N76)&amp;"")</f>
        <v/>
      </c>
      <c r="M76" s="62">
        <f>IF($N76="","",INDEX('Cronograma Asistente Técnico'!$Q$5:$Q$1000,$N76)&amp;"")</f>
        <v/>
      </c>
      <c r="N76">
        <f>IFERROR(MATCH(ROW()-4,rOrden_ATR,0),"")</f>
        <v/>
      </c>
      <c r="O76">
        <f>IF($N76="","",INDEX('Cronograma Asistente Técnico'!$V$5:$V$1000,$N76))</f>
        <v/>
      </c>
      <c r="P76">
        <f>IF($N76="","",N(INDEX('Cronograma Asistente Técnico'!$W$5:$W$1000,$N76)))</f>
        <v/>
      </c>
      <c r="Q76">
        <f>IF(OR(LEFT($L76,7)="Vencida",LEFT($L76,5)="Vence"),SUMPRODUCT(--(LEFT($L$5:$L76,7)="Vencida"))+SUMPRODUCT(--(LEFT($L$5:$L76,5)="Vence")),"")</f>
        <v/>
      </c>
    </row>
    <row r="77">
      <c r="A77" s="56">
        <f>IF($N77="","",INDEX('Cronograma Asistente Técnico'!$A$5:$A$1000,$N77))</f>
        <v/>
      </c>
      <c r="B77" s="62">
        <f>IF($N77="","",IF($O77="Sub","      ↳  "&amp;INDEX('Cronograma Asistente Técnico'!$C$5:$C$1000,$N77),INDEX('Cronograma Asistente Técnico'!$C$5:$C$1000,$N77)&amp;""))</f>
        <v/>
      </c>
      <c r="C77" s="79">
        <f>IF($N77="","",IF(INDEX('Cronograma Asistente Técnico'!$AM$5:$AM$1000,$N77)="","",INDEX('Cronograma Asistente Técnico'!$AM$5:$AM$1000,$N77)))</f>
        <v/>
      </c>
      <c r="D77" s="79">
        <f>IF($N77="","",IF(INDEX('Cronograma Asistente Técnico'!$AN$5:$AN$1000,$N77)="","",INDEX('Cronograma Asistente Técnico'!$AN$5:$AN$1000,$N77)))</f>
        <v/>
      </c>
      <c r="E77" s="56">
        <f>IF($N77="","",IF(NOT(ISNUMBER($D77)),"",IF($D77&lt;InicioCiclo,"Antes del ciclo",IF($D77&gt;=InicioCiclo+28,"Después del ciclo","Semana "&amp;(INT(($D77-InicioCiclo)/7)+1)))))</f>
        <v/>
      </c>
      <c r="F77" s="61">
        <f>IF($N77="","",IF($P77&gt;0,IF(1&lt;=SemanaActual,INDEX('Cronograma Asistente Técnico'!$AC$5:$AC$1000,$N77),""),IF(INDEX('Cronograma Asistente Técnico'!$I$5:$I$1000,$N77)="","",INDEX('Cronograma Asistente Técnico'!$I$5:$I$1000,$N77))))</f>
        <v/>
      </c>
      <c r="G77" s="61">
        <f>IF($N77="","",IF($P77&gt;0,IF(2&lt;=SemanaActual,INDEX('Cronograma Asistente Técnico'!$AD$5:$AD$1000,$N77),""),IF(INDEX('Cronograma Asistente Técnico'!$J$5:$J$1000,$N77)="","",INDEX('Cronograma Asistente Técnico'!$J$5:$J$1000,$N77))))</f>
        <v/>
      </c>
      <c r="H77" s="61">
        <f>IF($N77="","",IF($P77&gt;0,IF(3&lt;=SemanaActual,INDEX('Cronograma Asistente Técnico'!$AE$5:$AE$1000,$N77),""),IF(INDEX('Cronograma Asistente Técnico'!$K$5:$K$1000,$N77)="","",INDEX('Cronograma Asistente Técnico'!$K$5:$K$1000,$N77))))</f>
        <v/>
      </c>
      <c r="I77" s="61">
        <f>IF($N77="","",IF($P77&gt;0,IF(4&lt;=SemanaActual,INDEX('Cronograma Asistente Técnico'!$AF$5:$AF$1000,$N77),""),IF(INDEX('Cronograma Asistente Técnico'!$L$5:$L$1000,$N77)="","",INDEX('Cronograma Asistente Técnico'!$L$5:$L$1000,$N77))))</f>
        <v/>
      </c>
      <c r="J77" s="61">
        <f>IF($N77="","",INDEX('Cronograma Asistente Técnico'!$M$5:$M$1000,$N77))</f>
        <v/>
      </c>
      <c r="K77" s="56">
        <f>IF($N77="","",IF(N($J77)&gt;=1,"Completado",IF(AND(ISNUMBER($D77),$D77&lt;FechaRef),"Vencida",IF(N($J77)&gt;0,"En curso","Pendiente"))))</f>
        <v/>
      </c>
      <c r="L77" s="56">
        <f>IF($N77="","",INDEX('Cronograma Asistente Técnico'!$O$5:$O$1000,$N77)&amp;"")</f>
        <v/>
      </c>
      <c r="M77" s="62">
        <f>IF($N77="","",INDEX('Cronograma Asistente Técnico'!$Q$5:$Q$1000,$N77)&amp;"")</f>
        <v/>
      </c>
      <c r="N77">
        <f>IFERROR(MATCH(ROW()-4,rOrden_ATR,0),"")</f>
        <v/>
      </c>
      <c r="O77">
        <f>IF($N77="","",INDEX('Cronograma Asistente Técnico'!$V$5:$V$1000,$N77))</f>
        <v/>
      </c>
      <c r="P77">
        <f>IF($N77="","",N(INDEX('Cronograma Asistente Técnico'!$W$5:$W$1000,$N77)))</f>
        <v/>
      </c>
      <c r="Q77">
        <f>IF(OR(LEFT($L77,7)="Vencida",LEFT($L77,5)="Vence"),SUMPRODUCT(--(LEFT($L$5:$L77,7)="Vencida"))+SUMPRODUCT(--(LEFT($L$5:$L77,5)="Vence")),"")</f>
        <v/>
      </c>
    </row>
    <row r="78">
      <c r="A78" s="56">
        <f>IF($N78="","",INDEX('Cronograma Asistente Técnico'!$A$5:$A$1000,$N78))</f>
        <v/>
      </c>
      <c r="B78" s="62">
        <f>IF($N78="","",IF($O78="Sub","      ↳  "&amp;INDEX('Cronograma Asistente Técnico'!$C$5:$C$1000,$N78),INDEX('Cronograma Asistente Técnico'!$C$5:$C$1000,$N78)&amp;""))</f>
        <v/>
      </c>
      <c r="C78" s="79">
        <f>IF($N78="","",IF(INDEX('Cronograma Asistente Técnico'!$AM$5:$AM$1000,$N78)="","",INDEX('Cronograma Asistente Técnico'!$AM$5:$AM$1000,$N78)))</f>
        <v/>
      </c>
      <c r="D78" s="79">
        <f>IF($N78="","",IF(INDEX('Cronograma Asistente Técnico'!$AN$5:$AN$1000,$N78)="","",INDEX('Cronograma Asistente Técnico'!$AN$5:$AN$1000,$N78)))</f>
        <v/>
      </c>
      <c r="E78" s="56">
        <f>IF($N78="","",IF(NOT(ISNUMBER($D78)),"",IF($D78&lt;InicioCiclo,"Antes del ciclo",IF($D78&gt;=InicioCiclo+28,"Después del ciclo","Semana "&amp;(INT(($D78-InicioCiclo)/7)+1)))))</f>
        <v/>
      </c>
      <c r="F78" s="61">
        <f>IF($N78="","",IF($P78&gt;0,IF(1&lt;=SemanaActual,INDEX('Cronograma Asistente Técnico'!$AC$5:$AC$1000,$N78),""),IF(INDEX('Cronograma Asistente Técnico'!$I$5:$I$1000,$N78)="","",INDEX('Cronograma Asistente Técnico'!$I$5:$I$1000,$N78))))</f>
        <v/>
      </c>
      <c r="G78" s="61">
        <f>IF($N78="","",IF($P78&gt;0,IF(2&lt;=SemanaActual,INDEX('Cronograma Asistente Técnico'!$AD$5:$AD$1000,$N78),""),IF(INDEX('Cronograma Asistente Técnico'!$J$5:$J$1000,$N78)="","",INDEX('Cronograma Asistente Técnico'!$J$5:$J$1000,$N78))))</f>
        <v/>
      </c>
      <c r="H78" s="61">
        <f>IF($N78="","",IF($P78&gt;0,IF(3&lt;=SemanaActual,INDEX('Cronograma Asistente Técnico'!$AE$5:$AE$1000,$N78),""),IF(INDEX('Cronograma Asistente Técnico'!$K$5:$K$1000,$N78)="","",INDEX('Cronograma Asistente Técnico'!$K$5:$K$1000,$N78))))</f>
        <v/>
      </c>
      <c r="I78" s="61">
        <f>IF($N78="","",IF($P78&gt;0,IF(4&lt;=SemanaActual,INDEX('Cronograma Asistente Técnico'!$AF$5:$AF$1000,$N78),""),IF(INDEX('Cronograma Asistente Técnico'!$L$5:$L$1000,$N78)="","",INDEX('Cronograma Asistente Técnico'!$L$5:$L$1000,$N78))))</f>
        <v/>
      </c>
      <c r="J78" s="61">
        <f>IF($N78="","",INDEX('Cronograma Asistente Técnico'!$M$5:$M$1000,$N78))</f>
        <v/>
      </c>
      <c r="K78" s="56">
        <f>IF($N78="","",IF(N($J78)&gt;=1,"Completado",IF(AND(ISNUMBER($D78),$D78&lt;FechaRef),"Vencida",IF(N($J78)&gt;0,"En curso","Pendiente"))))</f>
        <v/>
      </c>
      <c r="L78" s="56">
        <f>IF($N78="","",INDEX('Cronograma Asistente Técnico'!$O$5:$O$1000,$N78)&amp;"")</f>
        <v/>
      </c>
      <c r="M78" s="62">
        <f>IF($N78="","",INDEX('Cronograma Asistente Técnico'!$Q$5:$Q$1000,$N78)&amp;"")</f>
        <v/>
      </c>
      <c r="N78">
        <f>IFERROR(MATCH(ROW()-4,rOrden_ATR,0),"")</f>
        <v/>
      </c>
      <c r="O78">
        <f>IF($N78="","",INDEX('Cronograma Asistente Técnico'!$V$5:$V$1000,$N78))</f>
        <v/>
      </c>
      <c r="P78">
        <f>IF($N78="","",N(INDEX('Cronograma Asistente Técnico'!$W$5:$W$1000,$N78)))</f>
        <v/>
      </c>
      <c r="Q78">
        <f>IF(OR(LEFT($L78,7)="Vencida",LEFT($L78,5)="Vence"),SUMPRODUCT(--(LEFT($L$5:$L78,7)="Vencida"))+SUMPRODUCT(--(LEFT($L$5:$L78,5)="Vence")),"")</f>
        <v/>
      </c>
    </row>
    <row r="79">
      <c r="A79" s="56">
        <f>IF($N79="","",INDEX('Cronograma Asistente Técnico'!$A$5:$A$1000,$N79))</f>
        <v/>
      </c>
      <c r="B79" s="62">
        <f>IF($N79="","",IF($O79="Sub","      ↳  "&amp;INDEX('Cronograma Asistente Técnico'!$C$5:$C$1000,$N79),INDEX('Cronograma Asistente Técnico'!$C$5:$C$1000,$N79)&amp;""))</f>
        <v/>
      </c>
      <c r="C79" s="79">
        <f>IF($N79="","",IF(INDEX('Cronograma Asistente Técnico'!$AM$5:$AM$1000,$N79)="","",INDEX('Cronograma Asistente Técnico'!$AM$5:$AM$1000,$N79)))</f>
        <v/>
      </c>
      <c r="D79" s="79">
        <f>IF($N79="","",IF(INDEX('Cronograma Asistente Técnico'!$AN$5:$AN$1000,$N79)="","",INDEX('Cronograma Asistente Técnico'!$AN$5:$AN$1000,$N79)))</f>
        <v/>
      </c>
      <c r="E79" s="56">
        <f>IF($N79="","",IF(NOT(ISNUMBER($D79)),"",IF($D79&lt;InicioCiclo,"Antes del ciclo",IF($D79&gt;=InicioCiclo+28,"Después del ciclo","Semana "&amp;(INT(($D79-InicioCiclo)/7)+1)))))</f>
        <v/>
      </c>
      <c r="F79" s="61">
        <f>IF($N79="","",IF($P79&gt;0,IF(1&lt;=SemanaActual,INDEX('Cronograma Asistente Técnico'!$AC$5:$AC$1000,$N79),""),IF(INDEX('Cronograma Asistente Técnico'!$I$5:$I$1000,$N79)="","",INDEX('Cronograma Asistente Técnico'!$I$5:$I$1000,$N79))))</f>
        <v/>
      </c>
      <c r="G79" s="61">
        <f>IF($N79="","",IF($P79&gt;0,IF(2&lt;=SemanaActual,INDEX('Cronograma Asistente Técnico'!$AD$5:$AD$1000,$N79),""),IF(INDEX('Cronograma Asistente Técnico'!$J$5:$J$1000,$N79)="","",INDEX('Cronograma Asistente Técnico'!$J$5:$J$1000,$N79))))</f>
        <v/>
      </c>
      <c r="H79" s="61">
        <f>IF($N79="","",IF($P79&gt;0,IF(3&lt;=SemanaActual,INDEX('Cronograma Asistente Técnico'!$AE$5:$AE$1000,$N79),""),IF(INDEX('Cronograma Asistente Técnico'!$K$5:$K$1000,$N79)="","",INDEX('Cronograma Asistente Técnico'!$K$5:$K$1000,$N79))))</f>
        <v/>
      </c>
      <c r="I79" s="61">
        <f>IF($N79="","",IF($P79&gt;0,IF(4&lt;=SemanaActual,INDEX('Cronograma Asistente Técnico'!$AF$5:$AF$1000,$N79),""),IF(INDEX('Cronograma Asistente Técnico'!$L$5:$L$1000,$N79)="","",INDEX('Cronograma Asistente Técnico'!$L$5:$L$1000,$N79))))</f>
        <v/>
      </c>
      <c r="J79" s="61">
        <f>IF($N79="","",INDEX('Cronograma Asistente Técnico'!$M$5:$M$1000,$N79))</f>
        <v/>
      </c>
      <c r="K79" s="56">
        <f>IF($N79="","",IF(N($J79)&gt;=1,"Completado",IF(AND(ISNUMBER($D79),$D79&lt;FechaRef),"Vencida",IF(N($J79)&gt;0,"En curso","Pendiente"))))</f>
        <v/>
      </c>
      <c r="L79" s="56">
        <f>IF($N79="","",INDEX('Cronograma Asistente Técnico'!$O$5:$O$1000,$N79)&amp;"")</f>
        <v/>
      </c>
      <c r="M79" s="62">
        <f>IF($N79="","",INDEX('Cronograma Asistente Técnico'!$Q$5:$Q$1000,$N79)&amp;"")</f>
        <v/>
      </c>
      <c r="N79">
        <f>IFERROR(MATCH(ROW()-4,rOrden_ATR,0),"")</f>
        <v/>
      </c>
      <c r="O79">
        <f>IF($N79="","",INDEX('Cronograma Asistente Técnico'!$V$5:$V$1000,$N79))</f>
        <v/>
      </c>
      <c r="P79">
        <f>IF($N79="","",N(INDEX('Cronograma Asistente Técnico'!$W$5:$W$1000,$N79)))</f>
        <v/>
      </c>
      <c r="Q79">
        <f>IF(OR(LEFT($L79,7)="Vencida",LEFT($L79,5)="Vence"),SUMPRODUCT(--(LEFT($L$5:$L79,7)="Vencida"))+SUMPRODUCT(--(LEFT($L$5:$L79,5)="Vence")),"")</f>
        <v/>
      </c>
    </row>
    <row r="80">
      <c r="A80" s="56">
        <f>IF($N80="","",INDEX('Cronograma Asistente Técnico'!$A$5:$A$1000,$N80))</f>
        <v/>
      </c>
      <c r="B80" s="62">
        <f>IF($N80="","",IF($O80="Sub","      ↳  "&amp;INDEX('Cronograma Asistente Técnico'!$C$5:$C$1000,$N80),INDEX('Cronograma Asistente Técnico'!$C$5:$C$1000,$N80)&amp;""))</f>
        <v/>
      </c>
      <c r="C80" s="79">
        <f>IF($N80="","",IF(INDEX('Cronograma Asistente Técnico'!$AM$5:$AM$1000,$N80)="","",INDEX('Cronograma Asistente Técnico'!$AM$5:$AM$1000,$N80)))</f>
        <v/>
      </c>
      <c r="D80" s="79">
        <f>IF($N80="","",IF(INDEX('Cronograma Asistente Técnico'!$AN$5:$AN$1000,$N80)="","",INDEX('Cronograma Asistente Técnico'!$AN$5:$AN$1000,$N80)))</f>
        <v/>
      </c>
      <c r="E80" s="56">
        <f>IF($N80="","",IF(NOT(ISNUMBER($D80)),"",IF($D80&lt;InicioCiclo,"Antes del ciclo",IF($D80&gt;=InicioCiclo+28,"Después del ciclo","Semana "&amp;(INT(($D80-InicioCiclo)/7)+1)))))</f>
        <v/>
      </c>
      <c r="F80" s="61">
        <f>IF($N80="","",IF($P80&gt;0,IF(1&lt;=SemanaActual,INDEX('Cronograma Asistente Técnico'!$AC$5:$AC$1000,$N80),""),IF(INDEX('Cronograma Asistente Técnico'!$I$5:$I$1000,$N80)="","",INDEX('Cronograma Asistente Técnico'!$I$5:$I$1000,$N80))))</f>
        <v/>
      </c>
      <c r="G80" s="61">
        <f>IF($N80="","",IF($P80&gt;0,IF(2&lt;=SemanaActual,INDEX('Cronograma Asistente Técnico'!$AD$5:$AD$1000,$N80),""),IF(INDEX('Cronograma Asistente Técnico'!$J$5:$J$1000,$N80)="","",INDEX('Cronograma Asistente Técnico'!$J$5:$J$1000,$N80))))</f>
        <v/>
      </c>
      <c r="H80" s="61">
        <f>IF($N80="","",IF($P80&gt;0,IF(3&lt;=SemanaActual,INDEX('Cronograma Asistente Técnico'!$AE$5:$AE$1000,$N80),""),IF(INDEX('Cronograma Asistente Técnico'!$K$5:$K$1000,$N80)="","",INDEX('Cronograma Asistente Técnico'!$K$5:$K$1000,$N80))))</f>
        <v/>
      </c>
      <c r="I80" s="61">
        <f>IF($N80="","",IF($P80&gt;0,IF(4&lt;=SemanaActual,INDEX('Cronograma Asistente Técnico'!$AF$5:$AF$1000,$N80),""),IF(INDEX('Cronograma Asistente Técnico'!$L$5:$L$1000,$N80)="","",INDEX('Cronograma Asistente Técnico'!$L$5:$L$1000,$N80))))</f>
        <v/>
      </c>
      <c r="J80" s="61">
        <f>IF($N80="","",INDEX('Cronograma Asistente Técnico'!$M$5:$M$1000,$N80))</f>
        <v/>
      </c>
      <c r="K80" s="56">
        <f>IF($N80="","",IF(N($J80)&gt;=1,"Completado",IF(AND(ISNUMBER($D80),$D80&lt;FechaRef),"Vencida",IF(N($J80)&gt;0,"En curso","Pendiente"))))</f>
        <v/>
      </c>
      <c r="L80" s="56">
        <f>IF($N80="","",INDEX('Cronograma Asistente Técnico'!$O$5:$O$1000,$N80)&amp;"")</f>
        <v/>
      </c>
      <c r="M80" s="62">
        <f>IF($N80="","",INDEX('Cronograma Asistente Técnico'!$Q$5:$Q$1000,$N80)&amp;"")</f>
        <v/>
      </c>
      <c r="N80">
        <f>IFERROR(MATCH(ROW()-4,rOrden_ATR,0),"")</f>
        <v/>
      </c>
      <c r="O80">
        <f>IF($N80="","",INDEX('Cronograma Asistente Técnico'!$V$5:$V$1000,$N80))</f>
        <v/>
      </c>
      <c r="P80">
        <f>IF($N80="","",N(INDEX('Cronograma Asistente Técnico'!$W$5:$W$1000,$N80)))</f>
        <v/>
      </c>
      <c r="Q80">
        <f>IF(OR(LEFT($L80,7)="Vencida",LEFT($L80,5)="Vence"),SUMPRODUCT(--(LEFT($L$5:$L80,7)="Vencida"))+SUMPRODUCT(--(LEFT($L$5:$L80,5)="Vence")),"")</f>
        <v/>
      </c>
    </row>
    <row r="81">
      <c r="A81" s="56">
        <f>IF($N81="","",INDEX('Cronograma Asistente Técnico'!$A$5:$A$1000,$N81))</f>
        <v/>
      </c>
      <c r="B81" s="62">
        <f>IF($N81="","",IF($O81="Sub","      ↳  "&amp;INDEX('Cronograma Asistente Técnico'!$C$5:$C$1000,$N81),INDEX('Cronograma Asistente Técnico'!$C$5:$C$1000,$N81)&amp;""))</f>
        <v/>
      </c>
      <c r="C81" s="79">
        <f>IF($N81="","",IF(INDEX('Cronograma Asistente Técnico'!$AM$5:$AM$1000,$N81)="","",INDEX('Cronograma Asistente Técnico'!$AM$5:$AM$1000,$N81)))</f>
        <v/>
      </c>
      <c r="D81" s="79">
        <f>IF($N81="","",IF(INDEX('Cronograma Asistente Técnico'!$AN$5:$AN$1000,$N81)="","",INDEX('Cronograma Asistente Técnico'!$AN$5:$AN$1000,$N81)))</f>
        <v/>
      </c>
      <c r="E81" s="56">
        <f>IF($N81="","",IF(NOT(ISNUMBER($D81)),"",IF($D81&lt;InicioCiclo,"Antes del ciclo",IF($D81&gt;=InicioCiclo+28,"Después del ciclo","Semana "&amp;(INT(($D81-InicioCiclo)/7)+1)))))</f>
        <v/>
      </c>
      <c r="F81" s="61">
        <f>IF($N81="","",IF($P81&gt;0,IF(1&lt;=SemanaActual,INDEX('Cronograma Asistente Técnico'!$AC$5:$AC$1000,$N81),""),IF(INDEX('Cronograma Asistente Técnico'!$I$5:$I$1000,$N81)="","",INDEX('Cronograma Asistente Técnico'!$I$5:$I$1000,$N81))))</f>
        <v/>
      </c>
      <c r="G81" s="61">
        <f>IF($N81="","",IF($P81&gt;0,IF(2&lt;=SemanaActual,INDEX('Cronograma Asistente Técnico'!$AD$5:$AD$1000,$N81),""),IF(INDEX('Cronograma Asistente Técnico'!$J$5:$J$1000,$N81)="","",INDEX('Cronograma Asistente Técnico'!$J$5:$J$1000,$N81))))</f>
        <v/>
      </c>
      <c r="H81" s="61">
        <f>IF($N81="","",IF($P81&gt;0,IF(3&lt;=SemanaActual,INDEX('Cronograma Asistente Técnico'!$AE$5:$AE$1000,$N81),""),IF(INDEX('Cronograma Asistente Técnico'!$K$5:$K$1000,$N81)="","",INDEX('Cronograma Asistente Técnico'!$K$5:$K$1000,$N81))))</f>
        <v/>
      </c>
      <c r="I81" s="61">
        <f>IF($N81="","",IF($P81&gt;0,IF(4&lt;=SemanaActual,INDEX('Cronograma Asistente Técnico'!$AF$5:$AF$1000,$N81),""),IF(INDEX('Cronograma Asistente Técnico'!$L$5:$L$1000,$N81)="","",INDEX('Cronograma Asistente Técnico'!$L$5:$L$1000,$N81))))</f>
        <v/>
      </c>
      <c r="J81" s="61">
        <f>IF($N81="","",INDEX('Cronograma Asistente Técnico'!$M$5:$M$1000,$N81))</f>
        <v/>
      </c>
      <c r="K81" s="56">
        <f>IF($N81="","",IF(N($J81)&gt;=1,"Completado",IF(AND(ISNUMBER($D81),$D81&lt;FechaRef),"Vencida",IF(N($J81)&gt;0,"En curso","Pendiente"))))</f>
        <v/>
      </c>
      <c r="L81" s="56">
        <f>IF($N81="","",INDEX('Cronograma Asistente Técnico'!$O$5:$O$1000,$N81)&amp;"")</f>
        <v/>
      </c>
      <c r="M81" s="62">
        <f>IF($N81="","",INDEX('Cronograma Asistente Técnico'!$Q$5:$Q$1000,$N81)&amp;"")</f>
        <v/>
      </c>
      <c r="N81">
        <f>IFERROR(MATCH(ROW()-4,rOrden_ATR,0),"")</f>
        <v/>
      </c>
      <c r="O81">
        <f>IF($N81="","",INDEX('Cronograma Asistente Técnico'!$V$5:$V$1000,$N81))</f>
        <v/>
      </c>
      <c r="P81">
        <f>IF($N81="","",N(INDEX('Cronograma Asistente Técnico'!$W$5:$W$1000,$N81)))</f>
        <v/>
      </c>
      <c r="Q81">
        <f>IF(OR(LEFT($L81,7)="Vencida",LEFT($L81,5)="Vence"),SUMPRODUCT(--(LEFT($L$5:$L81,7)="Vencida"))+SUMPRODUCT(--(LEFT($L$5:$L81,5)="Vence")),"")</f>
        <v/>
      </c>
    </row>
    <row r="82">
      <c r="A82" s="56">
        <f>IF($N82="","",INDEX('Cronograma Asistente Técnico'!$A$5:$A$1000,$N82))</f>
        <v/>
      </c>
      <c r="B82" s="62">
        <f>IF($N82="","",IF($O82="Sub","      ↳  "&amp;INDEX('Cronograma Asistente Técnico'!$C$5:$C$1000,$N82),INDEX('Cronograma Asistente Técnico'!$C$5:$C$1000,$N82)&amp;""))</f>
        <v/>
      </c>
      <c r="C82" s="79">
        <f>IF($N82="","",IF(INDEX('Cronograma Asistente Técnico'!$AM$5:$AM$1000,$N82)="","",INDEX('Cronograma Asistente Técnico'!$AM$5:$AM$1000,$N82)))</f>
        <v/>
      </c>
      <c r="D82" s="79">
        <f>IF($N82="","",IF(INDEX('Cronograma Asistente Técnico'!$AN$5:$AN$1000,$N82)="","",INDEX('Cronograma Asistente Técnico'!$AN$5:$AN$1000,$N82)))</f>
        <v/>
      </c>
      <c r="E82" s="56">
        <f>IF($N82="","",IF(NOT(ISNUMBER($D82)),"",IF($D82&lt;InicioCiclo,"Antes del ciclo",IF($D82&gt;=InicioCiclo+28,"Después del ciclo","Semana "&amp;(INT(($D82-InicioCiclo)/7)+1)))))</f>
        <v/>
      </c>
      <c r="F82" s="61">
        <f>IF($N82="","",IF($P82&gt;0,IF(1&lt;=SemanaActual,INDEX('Cronograma Asistente Técnico'!$AC$5:$AC$1000,$N82),""),IF(INDEX('Cronograma Asistente Técnico'!$I$5:$I$1000,$N82)="","",INDEX('Cronograma Asistente Técnico'!$I$5:$I$1000,$N82))))</f>
        <v/>
      </c>
      <c r="G82" s="61">
        <f>IF($N82="","",IF($P82&gt;0,IF(2&lt;=SemanaActual,INDEX('Cronograma Asistente Técnico'!$AD$5:$AD$1000,$N82),""),IF(INDEX('Cronograma Asistente Técnico'!$J$5:$J$1000,$N82)="","",INDEX('Cronograma Asistente Técnico'!$J$5:$J$1000,$N82))))</f>
        <v/>
      </c>
      <c r="H82" s="61">
        <f>IF($N82="","",IF($P82&gt;0,IF(3&lt;=SemanaActual,INDEX('Cronograma Asistente Técnico'!$AE$5:$AE$1000,$N82),""),IF(INDEX('Cronograma Asistente Técnico'!$K$5:$K$1000,$N82)="","",INDEX('Cronograma Asistente Técnico'!$K$5:$K$1000,$N82))))</f>
        <v/>
      </c>
      <c r="I82" s="61">
        <f>IF($N82="","",IF($P82&gt;0,IF(4&lt;=SemanaActual,INDEX('Cronograma Asistente Técnico'!$AF$5:$AF$1000,$N82),""),IF(INDEX('Cronograma Asistente Técnico'!$L$5:$L$1000,$N82)="","",INDEX('Cronograma Asistente Técnico'!$L$5:$L$1000,$N82))))</f>
        <v/>
      </c>
      <c r="J82" s="61">
        <f>IF($N82="","",INDEX('Cronograma Asistente Técnico'!$M$5:$M$1000,$N82))</f>
        <v/>
      </c>
      <c r="K82" s="56">
        <f>IF($N82="","",IF(N($J82)&gt;=1,"Completado",IF(AND(ISNUMBER($D82),$D82&lt;FechaRef),"Vencida",IF(N($J82)&gt;0,"En curso","Pendiente"))))</f>
        <v/>
      </c>
      <c r="L82" s="56">
        <f>IF($N82="","",INDEX('Cronograma Asistente Técnico'!$O$5:$O$1000,$N82)&amp;"")</f>
        <v/>
      </c>
      <c r="M82" s="62">
        <f>IF($N82="","",INDEX('Cronograma Asistente Técnico'!$Q$5:$Q$1000,$N82)&amp;"")</f>
        <v/>
      </c>
      <c r="N82">
        <f>IFERROR(MATCH(ROW()-4,rOrden_ATR,0),"")</f>
        <v/>
      </c>
      <c r="O82">
        <f>IF($N82="","",INDEX('Cronograma Asistente Técnico'!$V$5:$V$1000,$N82))</f>
        <v/>
      </c>
      <c r="P82">
        <f>IF($N82="","",N(INDEX('Cronograma Asistente Técnico'!$W$5:$W$1000,$N82)))</f>
        <v/>
      </c>
      <c r="Q82">
        <f>IF(OR(LEFT($L82,7)="Vencida",LEFT($L82,5)="Vence"),SUMPRODUCT(--(LEFT($L$5:$L82,7)="Vencida"))+SUMPRODUCT(--(LEFT($L$5:$L82,5)="Vence")),"")</f>
        <v/>
      </c>
    </row>
    <row r="83">
      <c r="A83" s="56">
        <f>IF($N83="","",INDEX('Cronograma Asistente Técnico'!$A$5:$A$1000,$N83))</f>
        <v/>
      </c>
      <c r="B83" s="62">
        <f>IF($N83="","",IF($O83="Sub","      ↳  "&amp;INDEX('Cronograma Asistente Técnico'!$C$5:$C$1000,$N83),INDEX('Cronograma Asistente Técnico'!$C$5:$C$1000,$N83)&amp;""))</f>
        <v/>
      </c>
      <c r="C83" s="79">
        <f>IF($N83="","",IF(INDEX('Cronograma Asistente Técnico'!$AM$5:$AM$1000,$N83)="","",INDEX('Cronograma Asistente Técnico'!$AM$5:$AM$1000,$N83)))</f>
        <v/>
      </c>
      <c r="D83" s="79">
        <f>IF($N83="","",IF(INDEX('Cronograma Asistente Técnico'!$AN$5:$AN$1000,$N83)="","",INDEX('Cronograma Asistente Técnico'!$AN$5:$AN$1000,$N83)))</f>
        <v/>
      </c>
      <c r="E83" s="56">
        <f>IF($N83="","",IF(NOT(ISNUMBER($D83)),"",IF($D83&lt;InicioCiclo,"Antes del ciclo",IF($D83&gt;=InicioCiclo+28,"Después del ciclo","Semana "&amp;(INT(($D83-InicioCiclo)/7)+1)))))</f>
        <v/>
      </c>
      <c r="F83" s="61">
        <f>IF($N83="","",IF($P83&gt;0,IF(1&lt;=SemanaActual,INDEX('Cronograma Asistente Técnico'!$AC$5:$AC$1000,$N83),""),IF(INDEX('Cronograma Asistente Técnico'!$I$5:$I$1000,$N83)="","",INDEX('Cronograma Asistente Técnico'!$I$5:$I$1000,$N83))))</f>
        <v/>
      </c>
      <c r="G83" s="61">
        <f>IF($N83="","",IF($P83&gt;0,IF(2&lt;=SemanaActual,INDEX('Cronograma Asistente Técnico'!$AD$5:$AD$1000,$N83),""),IF(INDEX('Cronograma Asistente Técnico'!$J$5:$J$1000,$N83)="","",INDEX('Cronograma Asistente Técnico'!$J$5:$J$1000,$N83))))</f>
        <v/>
      </c>
      <c r="H83" s="61">
        <f>IF($N83="","",IF($P83&gt;0,IF(3&lt;=SemanaActual,INDEX('Cronograma Asistente Técnico'!$AE$5:$AE$1000,$N83),""),IF(INDEX('Cronograma Asistente Técnico'!$K$5:$K$1000,$N83)="","",INDEX('Cronograma Asistente Técnico'!$K$5:$K$1000,$N83))))</f>
        <v/>
      </c>
      <c r="I83" s="61">
        <f>IF($N83="","",IF($P83&gt;0,IF(4&lt;=SemanaActual,INDEX('Cronograma Asistente Técnico'!$AF$5:$AF$1000,$N83),""),IF(INDEX('Cronograma Asistente Técnico'!$L$5:$L$1000,$N83)="","",INDEX('Cronograma Asistente Técnico'!$L$5:$L$1000,$N83))))</f>
        <v/>
      </c>
      <c r="J83" s="61">
        <f>IF($N83="","",INDEX('Cronograma Asistente Técnico'!$M$5:$M$1000,$N83))</f>
        <v/>
      </c>
      <c r="K83" s="56">
        <f>IF($N83="","",IF(N($J83)&gt;=1,"Completado",IF(AND(ISNUMBER($D83),$D83&lt;FechaRef),"Vencida",IF(N($J83)&gt;0,"En curso","Pendiente"))))</f>
        <v/>
      </c>
      <c r="L83" s="56">
        <f>IF($N83="","",INDEX('Cronograma Asistente Técnico'!$O$5:$O$1000,$N83)&amp;"")</f>
        <v/>
      </c>
      <c r="M83" s="62">
        <f>IF($N83="","",INDEX('Cronograma Asistente Técnico'!$Q$5:$Q$1000,$N83)&amp;"")</f>
        <v/>
      </c>
      <c r="N83">
        <f>IFERROR(MATCH(ROW()-4,rOrden_ATR,0),"")</f>
        <v/>
      </c>
      <c r="O83">
        <f>IF($N83="","",INDEX('Cronograma Asistente Técnico'!$V$5:$V$1000,$N83))</f>
        <v/>
      </c>
      <c r="P83">
        <f>IF($N83="","",N(INDEX('Cronograma Asistente Técnico'!$W$5:$W$1000,$N83)))</f>
        <v/>
      </c>
      <c r="Q83">
        <f>IF(OR(LEFT($L83,7)="Vencida",LEFT($L83,5)="Vence"),SUMPRODUCT(--(LEFT($L$5:$L83,7)="Vencida"))+SUMPRODUCT(--(LEFT($L$5:$L83,5)="Vence")),"")</f>
        <v/>
      </c>
    </row>
    <row r="84">
      <c r="A84" s="56">
        <f>IF($N84="","",INDEX('Cronograma Asistente Técnico'!$A$5:$A$1000,$N84))</f>
        <v/>
      </c>
      <c r="B84" s="62">
        <f>IF($N84="","",IF($O84="Sub","      ↳  "&amp;INDEX('Cronograma Asistente Técnico'!$C$5:$C$1000,$N84),INDEX('Cronograma Asistente Técnico'!$C$5:$C$1000,$N84)&amp;""))</f>
        <v/>
      </c>
      <c r="C84" s="79">
        <f>IF($N84="","",IF(INDEX('Cronograma Asistente Técnico'!$AM$5:$AM$1000,$N84)="","",INDEX('Cronograma Asistente Técnico'!$AM$5:$AM$1000,$N84)))</f>
        <v/>
      </c>
      <c r="D84" s="79">
        <f>IF($N84="","",IF(INDEX('Cronograma Asistente Técnico'!$AN$5:$AN$1000,$N84)="","",INDEX('Cronograma Asistente Técnico'!$AN$5:$AN$1000,$N84)))</f>
        <v/>
      </c>
      <c r="E84" s="56">
        <f>IF($N84="","",IF(NOT(ISNUMBER($D84)),"",IF($D84&lt;InicioCiclo,"Antes del ciclo",IF($D84&gt;=InicioCiclo+28,"Después del ciclo","Semana "&amp;(INT(($D84-InicioCiclo)/7)+1)))))</f>
        <v/>
      </c>
      <c r="F84" s="61">
        <f>IF($N84="","",IF($P84&gt;0,IF(1&lt;=SemanaActual,INDEX('Cronograma Asistente Técnico'!$AC$5:$AC$1000,$N84),""),IF(INDEX('Cronograma Asistente Técnico'!$I$5:$I$1000,$N84)="","",INDEX('Cronograma Asistente Técnico'!$I$5:$I$1000,$N84))))</f>
        <v/>
      </c>
      <c r="G84" s="61">
        <f>IF($N84="","",IF($P84&gt;0,IF(2&lt;=SemanaActual,INDEX('Cronograma Asistente Técnico'!$AD$5:$AD$1000,$N84),""),IF(INDEX('Cronograma Asistente Técnico'!$J$5:$J$1000,$N84)="","",INDEX('Cronograma Asistente Técnico'!$J$5:$J$1000,$N84))))</f>
        <v/>
      </c>
      <c r="H84" s="61">
        <f>IF($N84="","",IF($P84&gt;0,IF(3&lt;=SemanaActual,INDEX('Cronograma Asistente Técnico'!$AE$5:$AE$1000,$N84),""),IF(INDEX('Cronograma Asistente Técnico'!$K$5:$K$1000,$N84)="","",INDEX('Cronograma Asistente Técnico'!$K$5:$K$1000,$N84))))</f>
        <v/>
      </c>
      <c r="I84" s="61">
        <f>IF($N84="","",IF($P84&gt;0,IF(4&lt;=SemanaActual,INDEX('Cronograma Asistente Técnico'!$AF$5:$AF$1000,$N84),""),IF(INDEX('Cronograma Asistente Técnico'!$L$5:$L$1000,$N84)="","",INDEX('Cronograma Asistente Técnico'!$L$5:$L$1000,$N84))))</f>
        <v/>
      </c>
      <c r="J84" s="61">
        <f>IF($N84="","",INDEX('Cronograma Asistente Técnico'!$M$5:$M$1000,$N84))</f>
        <v/>
      </c>
      <c r="K84" s="56">
        <f>IF($N84="","",IF(N($J84)&gt;=1,"Completado",IF(AND(ISNUMBER($D84),$D84&lt;FechaRef),"Vencida",IF(N($J84)&gt;0,"En curso","Pendiente"))))</f>
        <v/>
      </c>
      <c r="L84" s="56">
        <f>IF($N84="","",INDEX('Cronograma Asistente Técnico'!$O$5:$O$1000,$N84)&amp;"")</f>
        <v/>
      </c>
      <c r="M84" s="62">
        <f>IF($N84="","",INDEX('Cronograma Asistente Técnico'!$Q$5:$Q$1000,$N84)&amp;"")</f>
        <v/>
      </c>
      <c r="N84">
        <f>IFERROR(MATCH(ROW()-4,rOrden_ATR,0),"")</f>
        <v/>
      </c>
      <c r="O84">
        <f>IF($N84="","",INDEX('Cronograma Asistente Técnico'!$V$5:$V$1000,$N84))</f>
        <v/>
      </c>
      <c r="P84">
        <f>IF($N84="","",N(INDEX('Cronograma Asistente Técnico'!$W$5:$W$1000,$N84)))</f>
        <v/>
      </c>
      <c r="Q84">
        <f>IF(OR(LEFT($L84,7)="Vencida",LEFT($L84,5)="Vence"),SUMPRODUCT(--(LEFT($L$5:$L84,7)="Vencida"))+SUMPRODUCT(--(LEFT($L$5:$L84,5)="Vence")),"")</f>
        <v/>
      </c>
    </row>
    <row r="85">
      <c r="A85" s="56">
        <f>IF($N85="","",INDEX('Cronograma Asistente Técnico'!$A$5:$A$1000,$N85))</f>
        <v/>
      </c>
      <c r="B85" s="62">
        <f>IF($N85="","",IF($O85="Sub","      ↳  "&amp;INDEX('Cronograma Asistente Técnico'!$C$5:$C$1000,$N85),INDEX('Cronograma Asistente Técnico'!$C$5:$C$1000,$N85)&amp;""))</f>
        <v/>
      </c>
      <c r="C85" s="79">
        <f>IF($N85="","",IF(INDEX('Cronograma Asistente Técnico'!$AM$5:$AM$1000,$N85)="","",INDEX('Cronograma Asistente Técnico'!$AM$5:$AM$1000,$N85)))</f>
        <v/>
      </c>
      <c r="D85" s="79">
        <f>IF($N85="","",IF(INDEX('Cronograma Asistente Técnico'!$AN$5:$AN$1000,$N85)="","",INDEX('Cronograma Asistente Técnico'!$AN$5:$AN$1000,$N85)))</f>
        <v/>
      </c>
      <c r="E85" s="56">
        <f>IF($N85="","",IF(NOT(ISNUMBER($D85)),"",IF($D85&lt;InicioCiclo,"Antes del ciclo",IF($D85&gt;=InicioCiclo+28,"Después del ciclo","Semana "&amp;(INT(($D85-InicioCiclo)/7)+1)))))</f>
        <v/>
      </c>
      <c r="F85" s="61">
        <f>IF($N85="","",IF($P85&gt;0,IF(1&lt;=SemanaActual,INDEX('Cronograma Asistente Técnico'!$AC$5:$AC$1000,$N85),""),IF(INDEX('Cronograma Asistente Técnico'!$I$5:$I$1000,$N85)="","",INDEX('Cronograma Asistente Técnico'!$I$5:$I$1000,$N85))))</f>
        <v/>
      </c>
      <c r="G85" s="61">
        <f>IF($N85="","",IF($P85&gt;0,IF(2&lt;=SemanaActual,INDEX('Cronograma Asistente Técnico'!$AD$5:$AD$1000,$N85),""),IF(INDEX('Cronograma Asistente Técnico'!$J$5:$J$1000,$N85)="","",INDEX('Cronograma Asistente Técnico'!$J$5:$J$1000,$N85))))</f>
        <v/>
      </c>
      <c r="H85" s="61">
        <f>IF($N85="","",IF($P85&gt;0,IF(3&lt;=SemanaActual,INDEX('Cronograma Asistente Técnico'!$AE$5:$AE$1000,$N85),""),IF(INDEX('Cronograma Asistente Técnico'!$K$5:$K$1000,$N85)="","",INDEX('Cronograma Asistente Técnico'!$K$5:$K$1000,$N85))))</f>
        <v/>
      </c>
      <c r="I85" s="61">
        <f>IF($N85="","",IF($P85&gt;0,IF(4&lt;=SemanaActual,INDEX('Cronograma Asistente Técnico'!$AF$5:$AF$1000,$N85),""),IF(INDEX('Cronograma Asistente Técnico'!$L$5:$L$1000,$N85)="","",INDEX('Cronograma Asistente Técnico'!$L$5:$L$1000,$N85))))</f>
        <v/>
      </c>
      <c r="J85" s="61">
        <f>IF($N85="","",INDEX('Cronograma Asistente Técnico'!$M$5:$M$1000,$N85))</f>
        <v/>
      </c>
      <c r="K85" s="56">
        <f>IF($N85="","",IF(N($J85)&gt;=1,"Completado",IF(AND(ISNUMBER($D85),$D85&lt;FechaRef),"Vencida",IF(N($J85)&gt;0,"En curso","Pendiente"))))</f>
        <v/>
      </c>
      <c r="L85" s="56">
        <f>IF($N85="","",INDEX('Cronograma Asistente Técnico'!$O$5:$O$1000,$N85)&amp;"")</f>
        <v/>
      </c>
      <c r="M85" s="62">
        <f>IF($N85="","",INDEX('Cronograma Asistente Técnico'!$Q$5:$Q$1000,$N85)&amp;"")</f>
        <v/>
      </c>
      <c r="N85">
        <f>IFERROR(MATCH(ROW()-4,rOrden_ATR,0),"")</f>
        <v/>
      </c>
      <c r="O85">
        <f>IF($N85="","",INDEX('Cronograma Asistente Técnico'!$V$5:$V$1000,$N85))</f>
        <v/>
      </c>
      <c r="P85">
        <f>IF($N85="","",N(INDEX('Cronograma Asistente Técnico'!$W$5:$W$1000,$N85)))</f>
        <v/>
      </c>
      <c r="Q85">
        <f>IF(OR(LEFT($L85,7)="Vencida",LEFT($L85,5)="Vence"),SUMPRODUCT(--(LEFT($L$5:$L85,7)="Vencida"))+SUMPRODUCT(--(LEFT($L$5:$L85,5)="Vence")),"")</f>
        <v/>
      </c>
    </row>
    <row r="86">
      <c r="A86" s="56">
        <f>IF($N86="","",INDEX('Cronograma Asistente Técnico'!$A$5:$A$1000,$N86))</f>
        <v/>
      </c>
      <c r="B86" s="62">
        <f>IF($N86="","",IF($O86="Sub","      ↳  "&amp;INDEX('Cronograma Asistente Técnico'!$C$5:$C$1000,$N86),INDEX('Cronograma Asistente Técnico'!$C$5:$C$1000,$N86)&amp;""))</f>
        <v/>
      </c>
      <c r="C86" s="79">
        <f>IF($N86="","",IF(INDEX('Cronograma Asistente Técnico'!$AM$5:$AM$1000,$N86)="","",INDEX('Cronograma Asistente Técnico'!$AM$5:$AM$1000,$N86)))</f>
        <v/>
      </c>
      <c r="D86" s="79">
        <f>IF($N86="","",IF(INDEX('Cronograma Asistente Técnico'!$AN$5:$AN$1000,$N86)="","",INDEX('Cronograma Asistente Técnico'!$AN$5:$AN$1000,$N86)))</f>
        <v/>
      </c>
      <c r="E86" s="56">
        <f>IF($N86="","",IF(NOT(ISNUMBER($D86)),"",IF($D86&lt;InicioCiclo,"Antes del ciclo",IF($D86&gt;=InicioCiclo+28,"Después del ciclo","Semana "&amp;(INT(($D86-InicioCiclo)/7)+1)))))</f>
        <v/>
      </c>
      <c r="F86" s="61">
        <f>IF($N86="","",IF($P86&gt;0,IF(1&lt;=SemanaActual,INDEX('Cronograma Asistente Técnico'!$AC$5:$AC$1000,$N86),""),IF(INDEX('Cronograma Asistente Técnico'!$I$5:$I$1000,$N86)="","",INDEX('Cronograma Asistente Técnico'!$I$5:$I$1000,$N86))))</f>
        <v/>
      </c>
      <c r="G86" s="61">
        <f>IF($N86="","",IF($P86&gt;0,IF(2&lt;=SemanaActual,INDEX('Cronograma Asistente Técnico'!$AD$5:$AD$1000,$N86),""),IF(INDEX('Cronograma Asistente Técnico'!$J$5:$J$1000,$N86)="","",INDEX('Cronograma Asistente Técnico'!$J$5:$J$1000,$N86))))</f>
        <v/>
      </c>
      <c r="H86" s="61">
        <f>IF($N86="","",IF($P86&gt;0,IF(3&lt;=SemanaActual,INDEX('Cronograma Asistente Técnico'!$AE$5:$AE$1000,$N86),""),IF(INDEX('Cronograma Asistente Técnico'!$K$5:$K$1000,$N86)="","",INDEX('Cronograma Asistente Técnico'!$K$5:$K$1000,$N86))))</f>
        <v/>
      </c>
      <c r="I86" s="61">
        <f>IF($N86="","",IF($P86&gt;0,IF(4&lt;=SemanaActual,INDEX('Cronograma Asistente Técnico'!$AF$5:$AF$1000,$N86),""),IF(INDEX('Cronograma Asistente Técnico'!$L$5:$L$1000,$N86)="","",INDEX('Cronograma Asistente Técnico'!$L$5:$L$1000,$N86))))</f>
        <v/>
      </c>
      <c r="J86" s="61">
        <f>IF($N86="","",INDEX('Cronograma Asistente Técnico'!$M$5:$M$1000,$N86))</f>
        <v/>
      </c>
      <c r="K86" s="56">
        <f>IF($N86="","",IF(N($J86)&gt;=1,"Completado",IF(AND(ISNUMBER($D86),$D86&lt;FechaRef),"Vencida",IF(N($J86)&gt;0,"En curso","Pendiente"))))</f>
        <v/>
      </c>
      <c r="L86" s="56">
        <f>IF($N86="","",INDEX('Cronograma Asistente Técnico'!$O$5:$O$1000,$N86)&amp;"")</f>
        <v/>
      </c>
      <c r="M86" s="62">
        <f>IF($N86="","",INDEX('Cronograma Asistente Técnico'!$Q$5:$Q$1000,$N86)&amp;"")</f>
        <v/>
      </c>
      <c r="N86">
        <f>IFERROR(MATCH(ROW()-4,rOrden_ATR,0),"")</f>
        <v/>
      </c>
      <c r="O86">
        <f>IF($N86="","",INDEX('Cronograma Asistente Técnico'!$V$5:$V$1000,$N86))</f>
        <v/>
      </c>
      <c r="P86">
        <f>IF($N86="","",N(INDEX('Cronograma Asistente Técnico'!$W$5:$W$1000,$N86)))</f>
        <v/>
      </c>
      <c r="Q86">
        <f>IF(OR(LEFT($L86,7)="Vencida",LEFT($L86,5)="Vence"),SUMPRODUCT(--(LEFT($L$5:$L86,7)="Vencida"))+SUMPRODUCT(--(LEFT($L$5:$L86,5)="Vence")),"")</f>
        <v/>
      </c>
    </row>
    <row r="87">
      <c r="A87" s="56">
        <f>IF($N87="","",INDEX('Cronograma Asistente Técnico'!$A$5:$A$1000,$N87))</f>
        <v/>
      </c>
      <c r="B87" s="62">
        <f>IF($N87="","",IF($O87="Sub","      ↳  "&amp;INDEX('Cronograma Asistente Técnico'!$C$5:$C$1000,$N87),INDEX('Cronograma Asistente Técnico'!$C$5:$C$1000,$N87)&amp;""))</f>
        <v/>
      </c>
      <c r="C87" s="79">
        <f>IF($N87="","",IF(INDEX('Cronograma Asistente Técnico'!$AM$5:$AM$1000,$N87)="","",INDEX('Cronograma Asistente Técnico'!$AM$5:$AM$1000,$N87)))</f>
        <v/>
      </c>
      <c r="D87" s="79">
        <f>IF($N87="","",IF(INDEX('Cronograma Asistente Técnico'!$AN$5:$AN$1000,$N87)="","",INDEX('Cronograma Asistente Técnico'!$AN$5:$AN$1000,$N87)))</f>
        <v/>
      </c>
      <c r="E87" s="56">
        <f>IF($N87="","",IF(NOT(ISNUMBER($D87)),"",IF($D87&lt;InicioCiclo,"Antes del ciclo",IF($D87&gt;=InicioCiclo+28,"Después del ciclo","Semana "&amp;(INT(($D87-InicioCiclo)/7)+1)))))</f>
        <v/>
      </c>
      <c r="F87" s="61">
        <f>IF($N87="","",IF($P87&gt;0,IF(1&lt;=SemanaActual,INDEX('Cronograma Asistente Técnico'!$AC$5:$AC$1000,$N87),""),IF(INDEX('Cronograma Asistente Técnico'!$I$5:$I$1000,$N87)="","",INDEX('Cronograma Asistente Técnico'!$I$5:$I$1000,$N87))))</f>
        <v/>
      </c>
      <c r="G87" s="61">
        <f>IF($N87="","",IF($P87&gt;0,IF(2&lt;=SemanaActual,INDEX('Cronograma Asistente Técnico'!$AD$5:$AD$1000,$N87),""),IF(INDEX('Cronograma Asistente Técnico'!$J$5:$J$1000,$N87)="","",INDEX('Cronograma Asistente Técnico'!$J$5:$J$1000,$N87))))</f>
        <v/>
      </c>
      <c r="H87" s="61">
        <f>IF($N87="","",IF($P87&gt;0,IF(3&lt;=SemanaActual,INDEX('Cronograma Asistente Técnico'!$AE$5:$AE$1000,$N87),""),IF(INDEX('Cronograma Asistente Técnico'!$K$5:$K$1000,$N87)="","",INDEX('Cronograma Asistente Técnico'!$K$5:$K$1000,$N87))))</f>
        <v/>
      </c>
      <c r="I87" s="61">
        <f>IF($N87="","",IF($P87&gt;0,IF(4&lt;=SemanaActual,INDEX('Cronograma Asistente Técnico'!$AF$5:$AF$1000,$N87),""),IF(INDEX('Cronograma Asistente Técnico'!$L$5:$L$1000,$N87)="","",INDEX('Cronograma Asistente Técnico'!$L$5:$L$1000,$N87))))</f>
        <v/>
      </c>
      <c r="J87" s="61">
        <f>IF($N87="","",INDEX('Cronograma Asistente Técnico'!$M$5:$M$1000,$N87))</f>
        <v/>
      </c>
      <c r="K87" s="56">
        <f>IF($N87="","",IF(N($J87)&gt;=1,"Completado",IF(AND(ISNUMBER($D87),$D87&lt;FechaRef),"Vencida",IF(N($J87)&gt;0,"En curso","Pendiente"))))</f>
        <v/>
      </c>
      <c r="L87" s="56">
        <f>IF($N87="","",INDEX('Cronograma Asistente Técnico'!$O$5:$O$1000,$N87)&amp;"")</f>
        <v/>
      </c>
      <c r="M87" s="62">
        <f>IF($N87="","",INDEX('Cronograma Asistente Técnico'!$Q$5:$Q$1000,$N87)&amp;"")</f>
        <v/>
      </c>
      <c r="N87">
        <f>IFERROR(MATCH(ROW()-4,rOrden_ATR,0),"")</f>
        <v/>
      </c>
      <c r="O87">
        <f>IF($N87="","",INDEX('Cronograma Asistente Técnico'!$V$5:$V$1000,$N87))</f>
        <v/>
      </c>
      <c r="P87">
        <f>IF($N87="","",N(INDEX('Cronograma Asistente Técnico'!$W$5:$W$1000,$N87)))</f>
        <v/>
      </c>
      <c r="Q87">
        <f>IF(OR(LEFT($L87,7)="Vencida",LEFT($L87,5)="Vence"),SUMPRODUCT(--(LEFT($L$5:$L87,7)="Vencida"))+SUMPRODUCT(--(LEFT($L$5:$L87,5)="Vence")),"")</f>
        <v/>
      </c>
    </row>
    <row r="88">
      <c r="A88" s="56">
        <f>IF($N88="","",INDEX('Cronograma Asistente Técnico'!$A$5:$A$1000,$N88))</f>
        <v/>
      </c>
      <c r="B88" s="62">
        <f>IF($N88="","",IF($O88="Sub","      ↳  "&amp;INDEX('Cronograma Asistente Técnico'!$C$5:$C$1000,$N88),INDEX('Cronograma Asistente Técnico'!$C$5:$C$1000,$N88)&amp;""))</f>
        <v/>
      </c>
      <c r="C88" s="79">
        <f>IF($N88="","",IF(INDEX('Cronograma Asistente Técnico'!$AM$5:$AM$1000,$N88)="","",INDEX('Cronograma Asistente Técnico'!$AM$5:$AM$1000,$N88)))</f>
        <v/>
      </c>
      <c r="D88" s="79">
        <f>IF($N88="","",IF(INDEX('Cronograma Asistente Técnico'!$AN$5:$AN$1000,$N88)="","",INDEX('Cronograma Asistente Técnico'!$AN$5:$AN$1000,$N88)))</f>
        <v/>
      </c>
      <c r="E88" s="56">
        <f>IF($N88="","",IF(NOT(ISNUMBER($D88)),"",IF($D88&lt;InicioCiclo,"Antes del ciclo",IF($D88&gt;=InicioCiclo+28,"Después del ciclo","Semana "&amp;(INT(($D88-InicioCiclo)/7)+1)))))</f>
        <v/>
      </c>
      <c r="F88" s="61">
        <f>IF($N88="","",IF($P88&gt;0,IF(1&lt;=SemanaActual,INDEX('Cronograma Asistente Técnico'!$AC$5:$AC$1000,$N88),""),IF(INDEX('Cronograma Asistente Técnico'!$I$5:$I$1000,$N88)="","",INDEX('Cronograma Asistente Técnico'!$I$5:$I$1000,$N88))))</f>
        <v/>
      </c>
      <c r="G88" s="61">
        <f>IF($N88="","",IF($P88&gt;0,IF(2&lt;=SemanaActual,INDEX('Cronograma Asistente Técnico'!$AD$5:$AD$1000,$N88),""),IF(INDEX('Cronograma Asistente Técnico'!$J$5:$J$1000,$N88)="","",INDEX('Cronograma Asistente Técnico'!$J$5:$J$1000,$N88))))</f>
        <v/>
      </c>
      <c r="H88" s="61">
        <f>IF($N88="","",IF($P88&gt;0,IF(3&lt;=SemanaActual,INDEX('Cronograma Asistente Técnico'!$AE$5:$AE$1000,$N88),""),IF(INDEX('Cronograma Asistente Técnico'!$K$5:$K$1000,$N88)="","",INDEX('Cronograma Asistente Técnico'!$K$5:$K$1000,$N88))))</f>
        <v/>
      </c>
      <c r="I88" s="61">
        <f>IF($N88="","",IF($P88&gt;0,IF(4&lt;=SemanaActual,INDEX('Cronograma Asistente Técnico'!$AF$5:$AF$1000,$N88),""),IF(INDEX('Cronograma Asistente Técnico'!$L$5:$L$1000,$N88)="","",INDEX('Cronograma Asistente Técnico'!$L$5:$L$1000,$N88))))</f>
        <v/>
      </c>
      <c r="J88" s="61">
        <f>IF($N88="","",INDEX('Cronograma Asistente Técnico'!$M$5:$M$1000,$N88))</f>
        <v/>
      </c>
      <c r="K88" s="56">
        <f>IF($N88="","",IF(N($J88)&gt;=1,"Completado",IF(AND(ISNUMBER($D88),$D88&lt;FechaRef),"Vencida",IF(N($J88)&gt;0,"En curso","Pendiente"))))</f>
        <v/>
      </c>
      <c r="L88" s="56">
        <f>IF($N88="","",INDEX('Cronograma Asistente Técnico'!$O$5:$O$1000,$N88)&amp;"")</f>
        <v/>
      </c>
      <c r="M88" s="62">
        <f>IF($N88="","",INDEX('Cronograma Asistente Técnico'!$Q$5:$Q$1000,$N88)&amp;"")</f>
        <v/>
      </c>
      <c r="N88">
        <f>IFERROR(MATCH(ROW()-4,rOrden_ATR,0),"")</f>
        <v/>
      </c>
      <c r="O88">
        <f>IF($N88="","",INDEX('Cronograma Asistente Técnico'!$V$5:$V$1000,$N88))</f>
        <v/>
      </c>
      <c r="P88">
        <f>IF($N88="","",N(INDEX('Cronograma Asistente Técnico'!$W$5:$W$1000,$N88)))</f>
        <v/>
      </c>
      <c r="Q88">
        <f>IF(OR(LEFT($L88,7)="Vencida",LEFT($L88,5)="Vence"),SUMPRODUCT(--(LEFT($L$5:$L88,7)="Vencida"))+SUMPRODUCT(--(LEFT($L$5:$L88,5)="Vence")),"")</f>
        <v/>
      </c>
    </row>
    <row r="89">
      <c r="A89" s="56">
        <f>IF($N89="","",INDEX('Cronograma Asistente Técnico'!$A$5:$A$1000,$N89))</f>
        <v/>
      </c>
      <c r="B89" s="62">
        <f>IF($N89="","",IF($O89="Sub","      ↳  "&amp;INDEX('Cronograma Asistente Técnico'!$C$5:$C$1000,$N89),INDEX('Cronograma Asistente Técnico'!$C$5:$C$1000,$N89)&amp;""))</f>
        <v/>
      </c>
      <c r="C89" s="79">
        <f>IF($N89="","",IF(INDEX('Cronograma Asistente Técnico'!$AM$5:$AM$1000,$N89)="","",INDEX('Cronograma Asistente Técnico'!$AM$5:$AM$1000,$N89)))</f>
        <v/>
      </c>
      <c r="D89" s="79">
        <f>IF($N89="","",IF(INDEX('Cronograma Asistente Técnico'!$AN$5:$AN$1000,$N89)="","",INDEX('Cronograma Asistente Técnico'!$AN$5:$AN$1000,$N89)))</f>
        <v/>
      </c>
      <c r="E89" s="56">
        <f>IF($N89="","",IF(NOT(ISNUMBER($D89)),"",IF($D89&lt;InicioCiclo,"Antes del ciclo",IF($D89&gt;=InicioCiclo+28,"Después del ciclo","Semana "&amp;(INT(($D89-InicioCiclo)/7)+1)))))</f>
        <v/>
      </c>
      <c r="F89" s="61">
        <f>IF($N89="","",IF($P89&gt;0,IF(1&lt;=SemanaActual,INDEX('Cronograma Asistente Técnico'!$AC$5:$AC$1000,$N89),""),IF(INDEX('Cronograma Asistente Técnico'!$I$5:$I$1000,$N89)="","",INDEX('Cronograma Asistente Técnico'!$I$5:$I$1000,$N89))))</f>
        <v/>
      </c>
      <c r="G89" s="61">
        <f>IF($N89="","",IF($P89&gt;0,IF(2&lt;=SemanaActual,INDEX('Cronograma Asistente Técnico'!$AD$5:$AD$1000,$N89),""),IF(INDEX('Cronograma Asistente Técnico'!$J$5:$J$1000,$N89)="","",INDEX('Cronograma Asistente Técnico'!$J$5:$J$1000,$N89))))</f>
        <v/>
      </c>
      <c r="H89" s="61">
        <f>IF($N89="","",IF($P89&gt;0,IF(3&lt;=SemanaActual,INDEX('Cronograma Asistente Técnico'!$AE$5:$AE$1000,$N89),""),IF(INDEX('Cronograma Asistente Técnico'!$K$5:$K$1000,$N89)="","",INDEX('Cronograma Asistente Técnico'!$K$5:$K$1000,$N89))))</f>
        <v/>
      </c>
      <c r="I89" s="61">
        <f>IF($N89="","",IF($P89&gt;0,IF(4&lt;=SemanaActual,INDEX('Cronograma Asistente Técnico'!$AF$5:$AF$1000,$N89),""),IF(INDEX('Cronograma Asistente Técnico'!$L$5:$L$1000,$N89)="","",INDEX('Cronograma Asistente Técnico'!$L$5:$L$1000,$N89))))</f>
        <v/>
      </c>
      <c r="J89" s="61">
        <f>IF($N89="","",INDEX('Cronograma Asistente Técnico'!$M$5:$M$1000,$N89))</f>
        <v/>
      </c>
      <c r="K89" s="56">
        <f>IF($N89="","",IF(N($J89)&gt;=1,"Completado",IF(AND(ISNUMBER($D89),$D89&lt;FechaRef),"Vencida",IF(N($J89)&gt;0,"En curso","Pendiente"))))</f>
        <v/>
      </c>
      <c r="L89" s="56">
        <f>IF($N89="","",INDEX('Cronograma Asistente Técnico'!$O$5:$O$1000,$N89)&amp;"")</f>
        <v/>
      </c>
      <c r="M89" s="62">
        <f>IF($N89="","",INDEX('Cronograma Asistente Técnico'!$Q$5:$Q$1000,$N89)&amp;"")</f>
        <v/>
      </c>
      <c r="N89">
        <f>IFERROR(MATCH(ROW()-4,rOrden_ATR,0),"")</f>
        <v/>
      </c>
      <c r="O89">
        <f>IF($N89="","",INDEX('Cronograma Asistente Técnico'!$V$5:$V$1000,$N89))</f>
        <v/>
      </c>
      <c r="P89">
        <f>IF($N89="","",N(INDEX('Cronograma Asistente Técnico'!$W$5:$W$1000,$N89)))</f>
        <v/>
      </c>
      <c r="Q89">
        <f>IF(OR(LEFT($L89,7)="Vencida",LEFT($L89,5)="Vence"),SUMPRODUCT(--(LEFT($L$5:$L89,7)="Vencida"))+SUMPRODUCT(--(LEFT($L$5:$L89,5)="Vence")),"")</f>
        <v/>
      </c>
    </row>
    <row r="90">
      <c r="A90" s="56">
        <f>IF($N90="","",INDEX('Cronograma Asistente Técnico'!$A$5:$A$1000,$N90))</f>
        <v/>
      </c>
      <c r="B90" s="62">
        <f>IF($N90="","",IF($O90="Sub","      ↳  "&amp;INDEX('Cronograma Asistente Técnico'!$C$5:$C$1000,$N90),INDEX('Cronograma Asistente Técnico'!$C$5:$C$1000,$N90)&amp;""))</f>
        <v/>
      </c>
      <c r="C90" s="79">
        <f>IF($N90="","",IF(INDEX('Cronograma Asistente Técnico'!$AM$5:$AM$1000,$N90)="","",INDEX('Cronograma Asistente Técnico'!$AM$5:$AM$1000,$N90)))</f>
        <v/>
      </c>
      <c r="D90" s="79">
        <f>IF($N90="","",IF(INDEX('Cronograma Asistente Técnico'!$AN$5:$AN$1000,$N90)="","",INDEX('Cronograma Asistente Técnico'!$AN$5:$AN$1000,$N90)))</f>
        <v/>
      </c>
      <c r="E90" s="56">
        <f>IF($N90="","",IF(NOT(ISNUMBER($D90)),"",IF($D90&lt;InicioCiclo,"Antes del ciclo",IF($D90&gt;=InicioCiclo+28,"Después del ciclo","Semana "&amp;(INT(($D90-InicioCiclo)/7)+1)))))</f>
        <v/>
      </c>
      <c r="F90" s="61">
        <f>IF($N90="","",IF($P90&gt;0,IF(1&lt;=SemanaActual,INDEX('Cronograma Asistente Técnico'!$AC$5:$AC$1000,$N90),""),IF(INDEX('Cronograma Asistente Técnico'!$I$5:$I$1000,$N90)="","",INDEX('Cronograma Asistente Técnico'!$I$5:$I$1000,$N90))))</f>
        <v/>
      </c>
      <c r="G90" s="61">
        <f>IF($N90="","",IF($P90&gt;0,IF(2&lt;=SemanaActual,INDEX('Cronograma Asistente Técnico'!$AD$5:$AD$1000,$N90),""),IF(INDEX('Cronograma Asistente Técnico'!$J$5:$J$1000,$N90)="","",INDEX('Cronograma Asistente Técnico'!$J$5:$J$1000,$N90))))</f>
        <v/>
      </c>
      <c r="H90" s="61">
        <f>IF($N90="","",IF($P90&gt;0,IF(3&lt;=SemanaActual,INDEX('Cronograma Asistente Técnico'!$AE$5:$AE$1000,$N90),""),IF(INDEX('Cronograma Asistente Técnico'!$K$5:$K$1000,$N90)="","",INDEX('Cronograma Asistente Técnico'!$K$5:$K$1000,$N90))))</f>
        <v/>
      </c>
      <c r="I90" s="61">
        <f>IF($N90="","",IF($P90&gt;0,IF(4&lt;=SemanaActual,INDEX('Cronograma Asistente Técnico'!$AF$5:$AF$1000,$N90),""),IF(INDEX('Cronograma Asistente Técnico'!$L$5:$L$1000,$N90)="","",INDEX('Cronograma Asistente Técnico'!$L$5:$L$1000,$N90))))</f>
        <v/>
      </c>
      <c r="J90" s="61">
        <f>IF($N90="","",INDEX('Cronograma Asistente Técnico'!$M$5:$M$1000,$N90))</f>
        <v/>
      </c>
      <c r="K90" s="56">
        <f>IF($N90="","",IF(N($J90)&gt;=1,"Completado",IF(AND(ISNUMBER($D90),$D90&lt;FechaRef),"Vencida",IF(N($J90)&gt;0,"En curso","Pendiente"))))</f>
        <v/>
      </c>
      <c r="L90" s="56">
        <f>IF($N90="","",INDEX('Cronograma Asistente Técnico'!$O$5:$O$1000,$N90)&amp;"")</f>
        <v/>
      </c>
      <c r="M90" s="62">
        <f>IF($N90="","",INDEX('Cronograma Asistente Técnico'!$Q$5:$Q$1000,$N90)&amp;"")</f>
        <v/>
      </c>
      <c r="N90">
        <f>IFERROR(MATCH(ROW()-4,rOrden_ATR,0),"")</f>
        <v/>
      </c>
      <c r="O90">
        <f>IF($N90="","",INDEX('Cronograma Asistente Técnico'!$V$5:$V$1000,$N90))</f>
        <v/>
      </c>
      <c r="P90">
        <f>IF($N90="","",N(INDEX('Cronograma Asistente Técnico'!$W$5:$W$1000,$N90)))</f>
        <v/>
      </c>
      <c r="Q90">
        <f>IF(OR(LEFT($L90,7)="Vencida",LEFT($L90,5)="Vence"),SUMPRODUCT(--(LEFT($L$5:$L90,7)="Vencida"))+SUMPRODUCT(--(LEFT($L$5:$L90,5)="Vence")),"")</f>
        <v/>
      </c>
    </row>
    <row r="91">
      <c r="A91" s="56">
        <f>IF($N91="","",INDEX('Cronograma Asistente Técnico'!$A$5:$A$1000,$N91))</f>
        <v/>
      </c>
      <c r="B91" s="62">
        <f>IF($N91="","",IF($O91="Sub","      ↳  "&amp;INDEX('Cronograma Asistente Técnico'!$C$5:$C$1000,$N91),INDEX('Cronograma Asistente Técnico'!$C$5:$C$1000,$N91)&amp;""))</f>
        <v/>
      </c>
      <c r="C91" s="79">
        <f>IF($N91="","",IF(INDEX('Cronograma Asistente Técnico'!$AM$5:$AM$1000,$N91)="","",INDEX('Cronograma Asistente Técnico'!$AM$5:$AM$1000,$N91)))</f>
        <v/>
      </c>
      <c r="D91" s="79">
        <f>IF($N91="","",IF(INDEX('Cronograma Asistente Técnico'!$AN$5:$AN$1000,$N91)="","",INDEX('Cronograma Asistente Técnico'!$AN$5:$AN$1000,$N91)))</f>
        <v/>
      </c>
      <c r="E91" s="56">
        <f>IF($N91="","",IF(NOT(ISNUMBER($D91)),"",IF($D91&lt;InicioCiclo,"Antes del ciclo",IF($D91&gt;=InicioCiclo+28,"Después del ciclo","Semana "&amp;(INT(($D91-InicioCiclo)/7)+1)))))</f>
        <v/>
      </c>
      <c r="F91" s="61">
        <f>IF($N91="","",IF($P91&gt;0,IF(1&lt;=SemanaActual,INDEX('Cronograma Asistente Técnico'!$AC$5:$AC$1000,$N91),""),IF(INDEX('Cronograma Asistente Técnico'!$I$5:$I$1000,$N91)="","",INDEX('Cronograma Asistente Técnico'!$I$5:$I$1000,$N91))))</f>
        <v/>
      </c>
      <c r="G91" s="61">
        <f>IF($N91="","",IF($P91&gt;0,IF(2&lt;=SemanaActual,INDEX('Cronograma Asistente Técnico'!$AD$5:$AD$1000,$N91),""),IF(INDEX('Cronograma Asistente Técnico'!$J$5:$J$1000,$N91)="","",INDEX('Cronograma Asistente Técnico'!$J$5:$J$1000,$N91))))</f>
        <v/>
      </c>
      <c r="H91" s="61">
        <f>IF($N91="","",IF($P91&gt;0,IF(3&lt;=SemanaActual,INDEX('Cronograma Asistente Técnico'!$AE$5:$AE$1000,$N91),""),IF(INDEX('Cronograma Asistente Técnico'!$K$5:$K$1000,$N91)="","",INDEX('Cronograma Asistente Técnico'!$K$5:$K$1000,$N91))))</f>
        <v/>
      </c>
      <c r="I91" s="61">
        <f>IF($N91="","",IF($P91&gt;0,IF(4&lt;=SemanaActual,INDEX('Cronograma Asistente Técnico'!$AF$5:$AF$1000,$N91),""),IF(INDEX('Cronograma Asistente Técnico'!$L$5:$L$1000,$N91)="","",INDEX('Cronograma Asistente Técnico'!$L$5:$L$1000,$N91))))</f>
        <v/>
      </c>
      <c r="J91" s="61">
        <f>IF($N91="","",INDEX('Cronograma Asistente Técnico'!$M$5:$M$1000,$N91))</f>
        <v/>
      </c>
      <c r="K91" s="56">
        <f>IF($N91="","",IF(N($J91)&gt;=1,"Completado",IF(AND(ISNUMBER($D91),$D91&lt;FechaRef),"Vencida",IF(N($J91)&gt;0,"En curso","Pendiente"))))</f>
        <v/>
      </c>
      <c r="L91" s="56">
        <f>IF($N91="","",INDEX('Cronograma Asistente Técnico'!$O$5:$O$1000,$N91)&amp;"")</f>
        <v/>
      </c>
      <c r="M91" s="62">
        <f>IF($N91="","",INDEX('Cronograma Asistente Técnico'!$Q$5:$Q$1000,$N91)&amp;"")</f>
        <v/>
      </c>
      <c r="N91">
        <f>IFERROR(MATCH(ROW()-4,rOrden_ATR,0),"")</f>
        <v/>
      </c>
      <c r="O91">
        <f>IF($N91="","",INDEX('Cronograma Asistente Técnico'!$V$5:$V$1000,$N91))</f>
        <v/>
      </c>
      <c r="P91">
        <f>IF($N91="","",N(INDEX('Cronograma Asistente Técnico'!$W$5:$W$1000,$N91)))</f>
        <v/>
      </c>
      <c r="Q91">
        <f>IF(OR(LEFT($L91,7)="Vencida",LEFT($L91,5)="Vence"),SUMPRODUCT(--(LEFT($L$5:$L91,7)="Vencida"))+SUMPRODUCT(--(LEFT($L$5:$L91,5)="Vence")),"")</f>
        <v/>
      </c>
    </row>
    <row r="92">
      <c r="A92" s="56">
        <f>IF($N92="","",INDEX('Cronograma Asistente Técnico'!$A$5:$A$1000,$N92))</f>
        <v/>
      </c>
      <c r="B92" s="62">
        <f>IF($N92="","",IF($O92="Sub","      ↳  "&amp;INDEX('Cronograma Asistente Técnico'!$C$5:$C$1000,$N92),INDEX('Cronograma Asistente Técnico'!$C$5:$C$1000,$N92)&amp;""))</f>
        <v/>
      </c>
      <c r="C92" s="79">
        <f>IF($N92="","",IF(INDEX('Cronograma Asistente Técnico'!$AM$5:$AM$1000,$N92)="","",INDEX('Cronograma Asistente Técnico'!$AM$5:$AM$1000,$N92)))</f>
        <v/>
      </c>
      <c r="D92" s="79">
        <f>IF($N92="","",IF(INDEX('Cronograma Asistente Técnico'!$AN$5:$AN$1000,$N92)="","",INDEX('Cronograma Asistente Técnico'!$AN$5:$AN$1000,$N92)))</f>
        <v/>
      </c>
      <c r="E92" s="56">
        <f>IF($N92="","",IF(NOT(ISNUMBER($D92)),"",IF($D92&lt;InicioCiclo,"Antes del ciclo",IF($D92&gt;=InicioCiclo+28,"Después del ciclo","Semana "&amp;(INT(($D92-InicioCiclo)/7)+1)))))</f>
        <v/>
      </c>
      <c r="F92" s="61">
        <f>IF($N92="","",IF($P92&gt;0,IF(1&lt;=SemanaActual,INDEX('Cronograma Asistente Técnico'!$AC$5:$AC$1000,$N92),""),IF(INDEX('Cronograma Asistente Técnico'!$I$5:$I$1000,$N92)="","",INDEX('Cronograma Asistente Técnico'!$I$5:$I$1000,$N92))))</f>
        <v/>
      </c>
      <c r="G92" s="61">
        <f>IF($N92="","",IF($P92&gt;0,IF(2&lt;=SemanaActual,INDEX('Cronograma Asistente Técnico'!$AD$5:$AD$1000,$N92),""),IF(INDEX('Cronograma Asistente Técnico'!$J$5:$J$1000,$N92)="","",INDEX('Cronograma Asistente Técnico'!$J$5:$J$1000,$N92))))</f>
        <v/>
      </c>
      <c r="H92" s="61">
        <f>IF($N92="","",IF($P92&gt;0,IF(3&lt;=SemanaActual,INDEX('Cronograma Asistente Técnico'!$AE$5:$AE$1000,$N92),""),IF(INDEX('Cronograma Asistente Técnico'!$K$5:$K$1000,$N92)="","",INDEX('Cronograma Asistente Técnico'!$K$5:$K$1000,$N92))))</f>
        <v/>
      </c>
      <c r="I92" s="61">
        <f>IF($N92="","",IF($P92&gt;0,IF(4&lt;=SemanaActual,INDEX('Cronograma Asistente Técnico'!$AF$5:$AF$1000,$N92),""),IF(INDEX('Cronograma Asistente Técnico'!$L$5:$L$1000,$N92)="","",INDEX('Cronograma Asistente Técnico'!$L$5:$L$1000,$N92))))</f>
        <v/>
      </c>
      <c r="J92" s="61">
        <f>IF($N92="","",INDEX('Cronograma Asistente Técnico'!$M$5:$M$1000,$N92))</f>
        <v/>
      </c>
      <c r="K92" s="56">
        <f>IF($N92="","",IF(N($J92)&gt;=1,"Completado",IF(AND(ISNUMBER($D92),$D92&lt;FechaRef),"Vencida",IF(N($J92)&gt;0,"En curso","Pendiente"))))</f>
        <v/>
      </c>
      <c r="L92" s="56">
        <f>IF($N92="","",INDEX('Cronograma Asistente Técnico'!$O$5:$O$1000,$N92)&amp;"")</f>
        <v/>
      </c>
      <c r="M92" s="62">
        <f>IF($N92="","",INDEX('Cronograma Asistente Técnico'!$Q$5:$Q$1000,$N92)&amp;"")</f>
        <v/>
      </c>
      <c r="N92">
        <f>IFERROR(MATCH(ROW()-4,rOrden_ATR,0),"")</f>
        <v/>
      </c>
      <c r="O92">
        <f>IF($N92="","",INDEX('Cronograma Asistente Técnico'!$V$5:$V$1000,$N92))</f>
        <v/>
      </c>
      <c r="P92">
        <f>IF($N92="","",N(INDEX('Cronograma Asistente Técnico'!$W$5:$W$1000,$N92)))</f>
        <v/>
      </c>
      <c r="Q92">
        <f>IF(OR(LEFT($L92,7)="Vencida",LEFT($L92,5)="Vence"),SUMPRODUCT(--(LEFT($L$5:$L92,7)="Vencida"))+SUMPRODUCT(--(LEFT($L$5:$L92,5)="Vence")),"")</f>
        <v/>
      </c>
    </row>
    <row r="93">
      <c r="A93" s="56">
        <f>IF($N93="","",INDEX('Cronograma Asistente Técnico'!$A$5:$A$1000,$N93))</f>
        <v/>
      </c>
      <c r="B93" s="62">
        <f>IF($N93="","",IF($O93="Sub","      ↳  "&amp;INDEX('Cronograma Asistente Técnico'!$C$5:$C$1000,$N93),INDEX('Cronograma Asistente Técnico'!$C$5:$C$1000,$N93)&amp;""))</f>
        <v/>
      </c>
      <c r="C93" s="79">
        <f>IF($N93="","",IF(INDEX('Cronograma Asistente Técnico'!$AM$5:$AM$1000,$N93)="","",INDEX('Cronograma Asistente Técnico'!$AM$5:$AM$1000,$N93)))</f>
        <v/>
      </c>
      <c r="D93" s="79">
        <f>IF($N93="","",IF(INDEX('Cronograma Asistente Técnico'!$AN$5:$AN$1000,$N93)="","",INDEX('Cronograma Asistente Técnico'!$AN$5:$AN$1000,$N93)))</f>
        <v/>
      </c>
      <c r="E93" s="56">
        <f>IF($N93="","",IF(NOT(ISNUMBER($D93)),"",IF($D93&lt;InicioCiclo,"Antes del ciclo",IF($D93&gt;=InicioCiclo+28,"Después del ciclo","Semana "&amp;(INT(($D93-InicioCiclo)/7)+1)))))</f>
        <v/>
      </c>
      <c r="F93" s="61">
        <f>IF($N93="","",IF($P93&gt;0,IF(1&lt;=SemanaActual,INDEX('Cronograma Asistente Técnico'!$AC$5:$AC$1000,$N93),""),IF(INDEX('Cronograma Asistente Técnico'!$I$5:$I$1000,$N93)="","",INDEX('Cronograma Asistente Técnico'!$I$5:$I$1000,$N93))))</f>
        <v/>
      </c>
      <c r="G93" s="61">
        <f>IF($N93="","",IF($P93&gt;0,IF(2&lt;=SemanaActual,INDEX('Cronograma Asistente Técnico'!$AD$5:$AD$1000,$N93),""),IF(INDEX('Cronograma Asistente Técnico'!$J$5:$J$1000,$N93)="","",INDEX('Cronograma Asistente Técnico'!$J$5:$J$1000,$N93))))</f>
        <v/>
      </c>
      <c r="H93" s="61">
        <f>IF($N93="","",IF($P93&gt;0,IF(3&lt;=SemanaActual,INDEX('Cronograma Asistente Técnico'!$AE$5:$AE$1000,$N93),""),IF(INDEX('Cronograma Asistente Técnico'!$K$5:$K$1000,$N93)="","",INDEX('Cronograma Asistente Técnico'!$K$5:$K$1000,$N93))))</f>
        <v/>
      </c>
      <c r="I93" s="61">
        <f>IF($N93="","",IF($P93&gt;0,IF(4&lt;=SemanaActual,INDEX('Cronograma Asistente Técnico'!$AF$5:$AF$1000,$N93),""),IF(INDEX('Cronograma Asistente Técnico'!$L$5:$L$1000,$N93)="","",INDEX('Cronograma Asistente Técnico'!$L$5:$L$1000,$N93))))</f>
        <v/>
      </c>
      <c r="J93" s="61">
        <f>IF($N93="","",INDEX('Cronograma Asistente Técnico'!$M$5:$M$1000,$N93))</f>
        <v/>
      </c>
      <c r="K93" s="56">
        <f>IF($N93="","",IF(N($J93)&gt;=1,"Completado",IF(AND(ISNUMBER($D93),$D93&lt;FechaRef),"Vencida",IF(N($J93)&gt;0,"En curso","Pendiente"))))</f>
        <v/>
      </c>
      <c r="L93" s="56">
        <f>IF($N93="","",INDEX('Cronograma Asistente Técnico'!$O$5:$O$1000,$N93)&amp;"")</f>
        <v/>
      </c>
      <c r="M93" s="62">
        <f>IF($N93="","",INDEX('Cronograma Asistente Técnico'!$Q$5:$Q$1000,$N93)&amp;"")</f>
        <v/>
      </c>
      <c r="N93">
        <f>IFERROR(MATCH(ROW()-4,rOrden_ATR,0),"")</f>
        <v/>
      </c>
      <c r="O93">
        <f>IF($N93="","",INDEX('Cronograma Asistente Técnico'!$V$5:$V$1000,$N93))</f>
        <v/>
      </c>
      <c r="P93">
        <f>IF($N93="","",N(INDEX('Cronograma Asistente Técnico'!$W$5:$W$1000,$N93)))</f>
        <v/>
      </c>
      <c r="Q93">
        <f>IF(OR(LEFT($L93,7)="Vencida",LEFT($L93,5)="Vence"),SUMPRODUCT(--(LEFT($L$5:$L93,7)="Vencida"))+SUMPRODUCT(--(LEFT($L$5:$L93,5)="Vence")),"")</f>
        <v/>
      </c>
    </row>
    <row r="94">
      <c r="A94" s="56">
        <f>IF($N94="","",INDEX('Cronograma Asistente Técnico'!$A$5:$A$1000,$N94))</f>
        <v/>
      </c>
      <c r="B94" s="62">
        <f>IF($N94="","",IF($O94="Sub","      ↳  "&amp;INDEX('Cronograma Asistente Técnico'!$C$5:$C$1000,$N94),INDEX('Cronograma Asistente Técnico'!$C$5:$C$1000,$N94)&amp;""))</f>
        <v/>
      </c>
      <c r="C94" s="79">
        <f>IF($N94="","",IF(INDEX('Cronograma Asistente Técnico'!$AM$5:$AM$1000,$N94)="","",INDEX('Cronograma Asistente Técnico'!$AM$5:$AM$1000,$N94)))</f>
        <v/>
      </c>
      <c r="D94" s="79">
        <f>IF($N94="","",IF(INDEX('Cronograma Asistente Técnico'!$AN$5:$AN$1000,$N94)="","",INDEX('Cronograma Asistente Técnico'!$AN$5:$AN$1000,$N94)))</f>
        <v/>
      </c>
      <c r="E94" s="56">
        <f>IF($N94="","",IF(NOT(ISNUMBER($D94)),"",IF($D94&lt;InicioCiclo,"Antes del ciclo",IF($D94&gt;=InicioCiclo+28,"Después del ciclo","Semana "&amp;(INT(($D94-InicioCiclo)/7)+1)))))</f>
        <v/>
      </c>
      <c r="F94" s="61">
        <f>IF($N94="","",IF($P94&gt;0,IF(1&lt;=SemanaActual,INDEX('Cronograma Asistente Técnico'!$AC$5:$AC$1000,$N94),""),IF(INDEX('Cronograma Asistente Técnico'!$I$5:$I$1000,$N94)="","",INDEX('Cronograma Asistente Técnico'!$I$5:$I$1000,$N94))))</f>
        <v/>
      </c>
      <c r="G94" s="61">
        <f>IF($N94="","",IF($P94&gt;0,IF(2&lt;=SemanaActual,INDEX('Cronograma Asistente Técnico'!$AD$5:$AD$1000,$N94),""),IF(INDEX('Cronograma Asistente Técnico'!$J$5:$J$1000,$N94)="","",INDEX('Cronograma Asistente Técnico'!$J$5:$J$1000,$N94))))</f>
        <v/>
      </c>
      <c r="H94" s="61">
        <f>IF($N94="","",IF($P94&gt;0,IF(3&lt;=SemanaActual,INDEX('Cronograma Asistente Técnico'!$AE$5:$AE$1000,$N94),""),IF(INDEX('Cronograma Asistente Técnico'!$K$5:$K$1000,$N94)="","",INDEX('Cronograma Asistente Técnico'!$K$5:$K$1000,$N94))))</f>
        <v/>
      </c>
      <c r="I94" s="61">
        <f>IF($N94="","",IF($P94&gt;0,IF(4&lt;=SemanaActual,INDEX('Cronograma Asistente Técnico'!$AF$5:$AF$1000,$N94),""),IF(INDEX('Cronograma Asistente Técnico'!$L$5:$L$1000,$N94)="","",INDEX('Cronograma Asistente Técnico'!$L$5:$L$1000,$N94))))</f>
        <v/>
      </c>
      <c r="J94" s="61">
        <f>IF($N94="","",INDEX('Cronograma Asistente Técnico'!$M$5:$M$1000,$N94))</f>
        <v/>
      </c>
      <c r="K94" s="56">
        <f>IF($N94="","",IF(N($J94)&gt;=1,"Completado",IF(AND(ISNUMBER($D94),$D94&lt;FechaRef),"Vencida",IF(N($J94)&gt;0,"En curso","Pendiente"))))</f>
        <v/>
      </c>
      <c r="L94" s="56">
        <f>IF($N94="","",INDEX('Cronograma Asistente Técnico'!$O$5:$O$1000,$N94)&amp;"")</f>
        <v/>
      </c>
      <c r="M94" s="62">
        <f>IF($N94="","",INDEX('Cronograma Asistente Técnico'!$Q$5:$Q$1000,$N94)&amp;"")</f>
        <v/>
      </c>
      <c r="N94">
        <f>IFERROR(MATCH(ROW()-4,rOrden_ATR,0),"")</f>
        <v/>
      </c>
      <c r="O94">
        <f>IF($N94="","",INDEX('Cronograma Asistente Técnico'!$V$5:$V$1000,$N94))</f>
        <v/>
      </c>
      <c r="P94">
        <f>IF($N94="","",N(INDEX('Cronograma Asistente Técnico'!$W$5:$W$1000,$N94)))</f>
        <v/>
      </c>
      <c r="Q94">
        <f>IF(OR(LEFT($L94,7)="Vencida",LEFT($L94,5)="Vence"),SUMPRODUCT(--(LEFT($L$5:$L94,7)="Vencida"))+SUMPRODUCT(--(LEFT($L$5:$L94,5)="Vence")),"")</f>
        <v/>
      </c>
    </row>
    <row r="95">
      <c r="A95" s="56">
        <f>IF($N95="","",INDEX('Cronograma Asistente Técnico'!$A$5:$A$1000,$N95))</f>
        <v/>
      </c>
      <c r="B95" s="62">
        <f>IF($N95="","",IF($O95="Sub","      ↳  "&amp;INDEX('Cronograma Asistente Técnico'!$C$5:$C$1000,$N95),INDEX('Cronograma Asistente Técnico'!$C$5:$C$1000,$N95)&amp;""))</f>
        <v/>
      </c>
      <c r="C95" s="79">
        <f>IF($N95="","",IF(INDEX('Cronograma Asistente Técnico'!$AM$5:$AM$1000,$N95)="","",INDEX('Cronograma Asistente Técnico'!$AM$5:$AM$1000,$N95)))</f>
        <v/>
      </c>
      <c r="D95" s="79">
        <f>IF($N95="","",IF(INDEX('Cronograma Asistente Técnico'!$AN$5:$AN$1000,$N95)="","",INDEX('Cronograma Asistente Técnico'!$AN$5:$AN$1000,$N95)))</f>
        <v/>
      </c>
      <c r="E95" s="56">
        <f>IF($N95="","",IF(NOT(ISNUMBER($D95)),"",IF($D95&lt;InicioCiclo,"Antes del ciclo",IF($D95&gt;=InicioCiclo+28,"Después del ciclo","Semana "&amp;(INT(($D95-InicioCiclo)/7)+1)))))</f>
        <v/>
      </c>
      <c r="F95" s="61">
        <f>IF($N95="","",IF($P95&gt;0,IF(1&lt;=SemanaActual,INDEX('Cronograma Asistente Técnico'!$AC$5:$AC$1000,$N95),""),IF(INDEX('Cronograma Asistente Técnico'!$I$5:$I$1000,$N95)="","",INDEX('Cronograma Asistente Técnico'!$I$5:$I$1000,$N95))))</f>
        <v/>
      </c>
      <c r="G95" s="61">
        <f>IF($N95="","",IF($P95&gt;0,IF(2&lt;=SemanaActual,INDEX('Cronograma Asistente Técnico'!$AD$5:$AD$1000,$N95),""),IF(INDEX('Cronograma Asistente Técnico'!$J$5:$J$1000,$N95)="","",INDEX('Cronograma Asistente Técnico'!$J$5:$J$1000,$N95))))</f>
        <v/>
      </c>
      <c r="H95" s="61">
        <f>IF($N95="","",IF($P95&gt;0,IF(3&lt;=SemanaActual,INDEX('Cronograma Asistente Técnico'!$AE$5:$AE$1000,$N95),""),IF(INDEX('Cronograma Asistente Técnico'!$K$5:$K$1000,$N95)="","",INDEX('Cronograma Asistente Técnico'!$K$5:$K$1000,$N95))))</f>
        <v/>
      </c>
      <c r="I95" s="61">
        <f>IF($N95="","",IF($P95&gt;0,IF(4&lt;=SemanaActual,INDEX('Cronograma Asistente Técnico'!$AF$5:$AF$1000,$N95),""),IF(INDEX('Cronograma Asistente Técnico'!$L$5:$L$1000,$N95)="","",INDEX('Cronograma Asistente Técnico'!$L$5:$L$1000,$N95))))</f>
        <v/>
      </c>
      <c r="J95" s="61">
        <f>IF($N95="","",INDEX('Cronograma Asistente Técnico'!$M$5:$M$1000,$N95))</f>
        <v/>
      </c>
      <c r="K95" s="56">
        <f>IF($N95="","",IF(N($J95)&gt;=1,"Completado",IF(AND(ISNUMBER($D95),$D95&lt;FechaRef),"Vencida",IF(N($J95)&gt;0,"En curso","Pendiente"))))</f>
        <v/>
      </c>
      <c r="L95" s="56">
        <f>IF($N95="","",INDEX('Cronograma Asistente Técnico'!$O$5:$O$1000,$N95)&amp;"")</f>
        <v/>
      </c>
      <c r="M95" s="62">
        <f>IF($N95="","",INDEX('Cronograma Asistente Técnico'!$Q$5:$Q$1000,$N95)&amp;"")</f>
        <v/>
      </c>
      <c r="N95">
        <f>IFERROR(MATCH(ROW()-4,rOrden_ATR,0),"")</f>
        <v/>
      </c>
      <c r="O95">
        <f>IF($N95="","",INDEX('Cronograma Asistente Técnico'!$V$5:$V$1000,$N95))</f>
        <v/>
      </c>
      <c r="P95">
        <f>IF($N95="","",N(INDEX('Cronograma Asistente Técnico'!$W$5:$W$1000,$N95)))</f>
        <v/>
      </c>
      <c r="Q95">
        <f>IF(OR(LEFT($L95,7)="Vencida",LEFT($L95,5)="Vence"),SUMPRODUCT(--(LEFT($L$5:$L95,7)="Vencida"))+SUMPRODUCT(--(LEFT($L$5:$L95,5)="Vence")),"")</f>
        <v/>
      </c>
    </row>
    <row r="96">
      <c r="A96" s="56">
        <f>IF($N96="","",INDEX('Cronograma Asistente Técnico'!$A$5:$A$1000,$N96))</f>
        <v/>
      </c>
      <c r="B96" s="62">
        <f>IF($N96="","",IF($O96="Sub","      ↳  "&amp;INDEX('Cronograma Asistente Técnico'!$C$5:$C$1000,$N96),INDEX('Cronograma Asistente Técnico'!$C$5:$C$1000,$N96)&amp;""))</f>
        <v/>
      </c>
      <c r="C96" s="79">
        <f>IF($N96="","",IF(INDEX('Cronograma Asistente Técnico'!$AM$5:$AM$1000,$N96)="","",INDEX('Cronograma Asistente Técnico'!$AM$5:$AM$1000,$N96)))</f>
        <v/>
      </c>
      <c r="D96" s="79">
        <f>IF($N96="","",IF(INDEX('Cronograma Asistente Técnico'!$AN$5:$AN$1000,$N96)="","",INDEX('Cronograma Asistente Técnico'!$AN$5:$AN$1000,$N96)))</f>
        <v/>
      </c>
      <c r="E96" s="56">
        <f>IF($N96="","",IF(NOT(ISNUMBER($D96)),"",IF($D96&lt;InicioCiclo,"Antes del ciclo",IF($D96&gt;=InicioCiclo+28,"Después del ciclo","Semana "&amp;(INT(($D96-InicioCiclo)/7)+1)))))</f>
        <v/>
      </c>
      <c r="F96" s="61">
        <f>IF($N96="","",IF($P96&gt;0,IF(1&lt;=SemanaActual,INDEX('Cronograma Asistente Técnico'!$AC$5:$AC$1000,$N96),""),IF(INDEX('Cronograma Asistente Técnico'!$I$5:$I$1000,$N96)="","",INDEX('Cronograma Asistente Técnico'!$I$5:$I$1000,$N96))))</f>
        <v/>
      </c>
      <c r="G96" s="61">
        <f>IF($N96="","",IF($P96&gt;0,IF(2&lt;=SemanaActual,INDEX('Cronograma Asistente Técnico'!$AD$5:$AD$1000,$N96),""),IF(INDEX('Cronograma Asistente Técnico'!$J$5:$J$1000,$N96)="","",INDEX('Cronograma Asistente Técnico'!$J$5:$J$1000,$N96))))</f>
        <v/>
      </c>
      <c r="H96" s="61">
        <f>IF($N96="","",IF($P96&gt;0,IF(3&lt;=SemanaActual,INDEX('Cronograma Asistente Técnico'!$AE$5:$AE$1000,$N96),""),IF(INDEX('Cronograma Asistente Técnico'!$K$5:$K$1000,$N96)="","",INDEX('Cronograma Asistente Técnico'!$K$5:$K$1000,$N96))))</f>
        <v/>
      </c>
      <c r="I96" s="61">
        <f>IF($N96="","",IF($P96&gt;0,IF(4&lt;=SemanaActual,INDEX('Cronograma Asistente Técnico'!$AF$5:$AF$1000,$N96),""),IF(INDEX('Cronograma Asistente Técnico'!$L$5:$L$1000,$N96)="","",INDEX('Cronograma Asistente Técnico'!$L$5:$L$1000,$N96))))</f>
        <v/>
      </c>
      <c r="J96" s="61">
        <f>IF($N96="","",INDEX('Cronograma Asistente Técnico'!$M$5:$M$1000,$N96))</f>
        <v/>
      </c>
      <c r="K96" s="56">
        <f>IF($N96="","",IF(N($J96)&gt;=1,"Completado",IF(AND(ISNUMBER($D96),$D96&lt;FechaRef),"Vencida",IF(N($J96)&gt;0,"En curso","Pendiente"))))</f>
        <v/>
      </c>
      <c r="L96" s="56">
        <f>IF($N96="","",INDEX('Cronograma Asistente Técnico'!$O$5:$O$1000,$N96)&amp;"")</f>
        <v/>
      </c>
      <c r="M96" s="62">
        <f>IF($N96="","",INDEX('Cronograma Asistente Técnico'!$Q$5:$Q$1000,$N96)&amp;"")</f>
        <v/>
      </c>
      <c r="N96">
        <f>IFERROR(MATCH(ROW()-4,rOrden_ATR,0),"")</f>
        <v/>
      </c>
      <c r="O96">
        <f>IF($N96="","",INDEX('Cronograma Asistente Técnico'!$V$5:$V$1000,$N96))</f>
        <v/>
      </c>
      <c r="P96">
        <f>IF($N96="","",N(INDEX('Cronograma Asistente Técnico'!$W$5:$W$1000,$N96)))</f>
        <v/>
      </c>
      <c r="Q96">
        <f>IF(OR(LEFT($L96,7)="Vencida",LEFT($L96,5)="Vence"),SUMPRODUCT(--(LEFT($L$5:$L96,7)="Vencida"))+SUMPRODUCT(--(LEFT($L$5:$L96,5)="Vence")),"")</f>
        <v/>
      </c>
    </row>
    <row r="97">
      <c r="A97" s="56">
        <f>IF($N97="","",INDEX('Cronograma Asistente Técnico'!$A$5:$A$1000,$N97))</f>
        <v/>
      </c>
      <c r="B97" s="62">
        <f>IF($N97="","",IF($O97="Sub","      ↳  "&amp;INDEX('Cronograma Asistente Técnico'!$C$5:$C$1000,$N97),INDEX('Cronograma Asistente Técnico'!$C$5:$C$1000,$N97)&amp;""))</f>
        <v/>
      </c>
      <c r="C97" s="79">
        <f>IF($N97="","",IF(INDEX('Cronograma Asistente Técnico'!$AM$5:$AM$1000,$N97)="","",INDEX('Cronograma Asistente Técnico'!$AM$5:$AM$1000,$N97)))</f>
        <v/>
      </c>
      <c r="D97" s="79">
        <f>IF($N97="","",IF(INDEX('Cronograma Asistente Técnico'!$AN$5:$AN$1000,$N97)="","",INDEX('Cronograma Asistente Técnico'!$AN$5:$AN$1000,$N97)))</f>
        <v/>
      </c>
      <c r="E97" s="56">
        <f>IF($N97="","",IF(NOT(ISNUMBER($D97)),"",IF($D97&lt;InicioCiclo,"Antes del ciclo",IF($D97&gt;=InicioCiclo+28,"Después del ciclo","Semana "&amp;(INT(($D97-InicioCiclo)/7)+1)))))</f>
        <v/>
      </c>
      <c r="F97" s="61">
        <f>IF($N97="","",IF($P97&gt;0,IF(1&lt;=SemanaActual,INDEX('Cronograma Asistente Técnico'!$AC$5:$AC$1000,$N97),""),IF(INDEX('Cronograma Asistente Técnico'!$I$5:$I$1000,$N97)="","",INDEX('Cronograma Asistente Técnico'!$I$5:$I$1000,$N97))))</f>
        <v/>
      </c>
      <c r="G97" s="61">
        <f>IF($N97="","",IF($P97&gt;0,IF(2&lt;=SemanaActual,INDEX('Cronograma Asistente Técnico'!$AD$5:$AD$1000,$N97),""),IF(INDEX('Cronograma Asistente Técnico'!$J$5:$J$1000,$N97)="","",INDEX('Cronograma Asistente Técnico'!$J$5:$J$1000,$N97))))</f>
        <v/>
      </c>
      <c r="H97" s="61">
        <f>IF($N97="","",IF($P97&gt;0,IF(3&lt;=SemanaActual,INDEX('Cronograma Asistente Técnico'!$AE$5:$AE$1000,$N97),""),IF(INDEX('Cronograma Asistente Técnico'!$K$5:$K$1000,$N97)="","",INDEX('Cronograma Asistente Técnico'!$K$5:$K$1000,$N97))))</f>
        <v/>
      </c>
      <c r="I97" s="61">
        <f>IF($N97="","",IF($P97&gt;0,IF(4&lt;=SemanaActual,INDEX('Cronograma Asistente Técnico'!$AF$5:$AF$1000,$N97),""),IF(INDEX('Cronograma Asistente Técnico'!$L$5:$L$1000,$N97)="","",INDEX('Cronograma Asistente Técnico'!$L$5:$L$1000,$N97))))</f>
        <v/>
      </c>
      <c r="J97" s="61">
        <f>IF($N97="","",INDEX('Cronograma Asistente Técnico'!$M$5:$M$1000,$N97))</f>
        <v/>
      </c>
      <c r="K97" s="56">
        <f>IF($N97="","",IF(N($J97)&gt;=1,"Completado",IF(AND(ISNUMBER($D97),$D97&lt;FechaRef),"Vencida",IF(N($J97)&gt;0,"En curso","Pendiente"))))</f>
        <v/>
      </c>
      <c r="L97" s="56">
        <f>IF($N97="","",INDEX('Cronograma Asistente Técnico'!$O$5:$O$1000,$N97)&amp;"")</f>
        <v/>
      </c>
      <c r="M97" s="62">
        <f>IF($N97="","",INDEX('Cronograma Asistente Técnico'!$Q$5:$Q$1000,$N97)&amp;"")</f>
        <v/>
      </c>
      <c r="N97">
        <f>IFERROR(MATCH(ROW()-4,rOrden_ATR,0),"")</f>
        <v/>
      </c>
      <c r="O97">
        <f>IF($N97="","",INDEX('Cronograma Asistente Técnico'!$V$5:$V$1000,$N97))</f>
        <v/>
      </c>
      <c r="P97">
        <f>IF($N97="","",N(INDEX('Cronograma Asistente Técnico'!$W$5:$W$1000,$N97)))</f>
        <v/>
      </c>
      <c r="Q97">
        <f>IF(OR(LEFT($L97,7)="Vencida",LEFT($L97,5)="Vence"),SUMPRODUCT(--(LEFT($L$5:$L97,7)="Vencida"))+SUMPRODUCT(--(LEFT($L$5:$L97,5)="Vence")),"")</f>
        <v/>
      </c>
    </row>
    <row r="98">
      <c r="A98" s="56">
        <f>IF($N98="","",INDEX('Cronograma Asistente Técnico'!$A$5:$A$1000,$N98))</f>
        <v/>
      </c>
      <c r="B98" s="62">
        <f>IF($N98="","",IF($O98="Sub","      ↳  "&amp;INDEX('Cronograma Asistente Técnico'!$C$5:$C$1000,$N98),INDEX('Cronograma Asistente Técnico'!$C$5:$C$1000,$N98)&amp;""))</f>
        <v/>
      </c>
      <c r="C98" s="79">
        <f>IF($N98="","",IF(INDEX('Cronograma Asistente Técnico'!$AM$5:$AM$1000,$N98)="","",INDEX('Cronograma Asistente Técnico'!$AM$5:$AM$1000,$N98)))</f>
        <v/>
      </c>
      <c r="D98" s="79">
        <f>IF($N98="","",IF(INDEX('Cronograma Asistente Técnico'!$AN$5:$AN$1000,$N98)="","",INDEX('Cronograma Asistente Técnico'!$AN$5:$AN$1000,$N98)))</f>
        <v/>
      </c>
      <c r="E98" s="56">
        <f>IF($N98="","",IF(NOT(ISNUMBER($D98)),"",IF($D98&lt;InicioCiclo,"Antes del ciclo",IF($D98&gt;=InicioCiclo+28,"Después del ciclo","Semana "&amp;(INT(($D98-InicioCiclo)/7)+1)))))</f>
        <v/>
      </c>
      <c r="F98" s="61">
        <f>IF($N98="","",IF($P98&gt;0,IF(1&lt;=SemanaActual,INDEX('Cronograma Asistente Técnico'!$AC$5:$AC$1000,$N98),""),IF(INDEX('Cronograma Asistente Técnico'!$I$5:$I$1000,$N98)="","",INDEX('Cronograma Asistente Técnico'!$I$5:$I$1000,$N98))))</f>
        <v/>
      </c>
      <c r="G98" s="61">
        <f>IF($N98="","",IF($P98&gt;0,IF(2&lt;=SemanaActual,INDEX('Cronograma Asistente Técnico'!$AD$5:$AD$1000,$N98),""),IF(INDEX('Cronograma Asistente Técnico'!$J$5:$J$1000,$N98)="","",INDEX('Cronograma Asistente Técnico'!$J$5:$J$1000,$N98))))</f>
        <v/>
      </c>
      <c r="H98" s="61">
        <f>IF($N98="","",IF($P98&gt;0,IF(3&lt;=SemanaActual,INDEX('Cronograma Asistente Técnico'!$AE$5:$AE$1000,$N98),""),IF(INDEX('Cronograma Asistente Técnico'!$K$5:$K$1000,$N98)="","",INDEX('Cronograma Asistente Técnico'!$K$5:$K$1000,$N98))))</f>
        <v/>
      </c>
      <c r="I98" s="61">
        <f>IF($N98="","",IF($P98&gt;0,IF(4&lt;=SemanaActual,INDEX('Cronograma Asistente Técnico'!$AF$5:$AF$1000,$N98),""),IF(INDEX('Cronograma Asistente Técnico'!$L$5:$L$1000,$N98)="","",INDEX('Cronograma Asistente Técnico'!$L$5:$L$1000,$N98))))</f>
        <v/>
      </c>
      <c r="J98" s="61">
        <f>IF($N98="","",INDEX('Cronograma Asistente Técnico'!$M$5:$M$1000,$N98))</f>
        <v/>
      </c>
      <c r="K98" s="56">
        <f>IF($N98="","",IF(N($J98)&gt;=1,"Completado",IF(AND(ISNUMBER($D98),$D98&lt;FechaRef),"Vencida",IF(N($J98)&gt;0,"En curso","Pendiente"))))</f>
        <v/>
      </c>
      <c r="L98" s="56">
        <f>IF($N98="","",INDEX('Cronograma Asistente Técnico'!$O$5:$O$1000,$N98)&amp;"")</f>
        <v/>
      </c>
      <c r="M98" s="62">
        <f>IF($N98="","",INDEX('Cronograma Asistente Técnico'!$Q$5:$Q$1000,$N98)&amp;"")</f>
        <v/>
      </c>
      <c r="N98">
        <f>IFERROR(MATCH(ROW()-4,rOrden_ATR,0),"")</f>
        <v/>
      </c>
      <c r="O98">
        <f>IF($N98="","",INDEX('Cronograma Asistente Técnico'!$V$5:$V$1000,$N98))</f>
        <v/>
      </c>
      <c r="P98">
        <f>IF($N98="","",N(INDEX('Cronograma Asistente Técnico'!$W$5:$W$1000,$N98)))</f>
        <v/>
      </c>
      <c r="Q98">
        <f>IF(OR(LEFT($L98,7)="Vencida",LEFT($L98,5)="Vence"),SUMPRODUCT(--(LEFT($L$5:$L98,7)="Vencida"))+SUMPRODUCT(--(LEFT($L$5:$L98,5)="Vence")),"")</f>
        <v/>
      </c>
    </row>
    <row r="99">
      <c r="A99" s="56">
        <f>IF($N99="","",INDEX('Cronograma Asistente Técnico'!$A$5:$A$1000,$N99))</f>
        <v/>
      </c>
      <c r="B99" s="62">
        <f>IF($N99="","",IF($O99="Sub","      ↳  "&amp;INDEX('Cronograma Asistente Técnico'!$C$5:$C$1000,$N99),INDEX('Cronograma Asistente Técnico'!$C$5:$C$1000,$N99)&amp;""))</f>
        <v/>
      </c>
      <c r="C99" s="79">
        <f>IF($N99="","",IF(INDEX('Cronograma Asistente Técnico'!$AM$5:$AM$1000,$N99)="","",INDEX('Cronograma Asistente Técnico'!$AM$5:$AM$1000,$N99)))</f>
        <v/>
      </c>
      <c r="D99" s="79">
        <f>IF($N99="","",IF(INDEX('Cronograma Asistente Técnico'!$AN$5:$AN$1000,$N99)="","",INDEX('Cronograma Asistente Técnico'!$AN$5:$AN$1000,$N99)))</f>
        <v/>
      </c>
      <c r="E99" s="56">
        <f>IF($N99="","",IF(NOT(ISNUMBER($D99)),"",IF($D99&lt;InicioCiclo,"Antes del ciclo",IF($D99&gt;=InicioCiclo+28,"Después del ciclo","Semana "&amp;(INT(($D99-InicioCiclo)/7)+1)))))</f>
        <v/>
      </c>
      <c r="F99" s="61">
        <f>IF($N99="","",IF($P99&gt;0,IF(1&lt;=SemanaActual,INDEX('Cronograma Asistente Técnico'!$AC$5:$AC$1000,$N99),""),IF(INDEX('Cronograma Asistente Técnico'!$I$5:$I$1000,$N99)="","",INDEX('Cronograma Asistente Técnico'!$I$5:$I$1000,$N99))))</f>
        <v/>
      </c>
      <c r="G99" s="61">
        <f>IF($N99="","",IF($P99&gt;0,IF(2&lt;=SemanaActual,INDEX('Cronograma Asistente Técnico'!$AD$5:$AD$1000,$N99),""),IF(INDEX('Cronograma Asistente Técnico'!$J$5:$J$1000,$N99)="","",INDEX('Cronograma Asistente Técnico'!$J$5:$J$1000,$N99))))</f>
        <v/>
      </c>
      <c r="H99" s="61">
        <f>IF($N99="","",IF($P99&gt;0,IF(3&lt;=SemanaActual,INDEX('Cronograma Asistente Técnico'!$AE$5:$AE$1000,$N99),""),IF(INDEX('Cronograma Asistente Técnico'!$K$5:$K$1000,$N99)="","",INDEX('Cronograma Asistente Técnico'!$K$5:$K$1000,$N99))))</f>
        <v/>
      </c>
      <c r="I99" s="61">
        <f>IF($N99="","",IF($P99&gt;0,IF(4&lt;=SemanaActual,INDEX('Cronograma Asistente Técnico'!$AF$5:$AF$1000,$N99),""),IF(INDEX('Cronograma Asistente Técnico'!$L$5:$L$1000,$N99)="","",INDEX('Cronograma Asistente Técnico'!$L$5:$L$1000,$N99))))</f>
        <v/>
      </c>
      <c r="J99" s="61">
        <f>IF($N99="","",INDEX('Cronograma Asistente Técnico'!$M$5:$M$1000,$N99))</f>
        <v/>
      </c>
      <c r="K99" s="56">
        <f>IF($N99="","",IF(N($J99)&gt;=1,"Completado",IF(AND(ISNUMBER($D99),$D99&lt;FechaRef),"Vencida",IF(N($J99)&gt;0,"En curso","Pendiente"))))</f>
        <v/>
      </c>
      <c r="L99" s="56">
        <f>IF($N99="","",INDEX('Cronograma Asistente Técnico'!$O$5:$O$1000,$N99)&amp;"")</f>
        <v/>
      </c>
      <c r="M99" s="62">
        <f>IF($N99="","",INDEX('Cronograma Asistente Técnico'!$Q$5:$Q$1000,$N99)&amp;"")</f>
        <v/>
      </c>
      <c r="N99">
        <f>IFERROR(MATCH(ROW()-4,rOrden_ATR,0),"")</f>
        <v/>
      </c>
      <c r="O99">
        <f>IF($N99="","",INDEX('Cronograma Asistente Técnico'!$V$5:$V$1000,$N99))</f>
        <v/>
      </c>
      <c r="P99">
        <f>IF($N99="","",N(INDEX('Cronograma Asistente Técnico'!$W$5:$W$1000,$N99)))</f>
        <v/>
      </c>
      <c r="Q99">
        <f>IF(OR(LEFT($L99,7)="Vencida",LEFT($L99,5)="Vence"),SUMPRODUCT(--(LEFT($L$5:$L99,7)="Vencida"))+SUMPRODUCT(--(LEFT($L$5:$L99,5)="Vence")),"")</f>
        <v/>
      </c>
    </row>
    <row r="100">
      <c r="A100" s="56">
        <f>IF($N100="","",INDEX('Cronograma Asistente Técnico'!$A$5:$A$1000,$N100))</f>
        <v/>
      </c>
      <c r="B100" s="62">
        <f>IF($N100="","",IF($O100="Sub","      ↳  "&amp;INDEX('Cronograma Asistente Técnico'!$C$5:$C$1000,$N100),INDEX('Cronograma Asistente Técnico'!$C$5:$C$1000,$N100)&amp;""))</f>
        <v/>
      </c>
      <c r="C100" s="79">
        <f>IF($N100="","",IF(INDEX('Cronograma Asistente Técnico'!$AM$5:$AM$1000,$N100)="","",INDEX('Cronograma Asistente Técnico'!$AM$5:$AM$1000,$N100)))</f>
        <v/>
      </c>
      <c r="D100" s="79">
        <f>IF($N100="","",IF(INDEX('Cronograma Asistente Técnico'!$AN$5:$AN$1000,$N100)="","",INDEX('Cronograma Asistente Técnico'!$AN$5:$AN$1000,$N100)))</f>
        <v/>
      </c>
      <c r="E100" s="56">
        <f>IF($N100="","",IF(NOT(ISNUMBER($D100)),"",IF($D100&lt;InicioCiclo,"Antes del ciclo",IF($D100&gt;=InicioCiclo+28,"Después del ciclo","Semana "&amp;(INT(($D100-InicioCiclo)/7)+1)))))</f>
        <v/>
      </c>
      <c r="F100" s="61">
        <f>IF($N100="","",IF($P100&gt;0,IF(1&lt;=SemanaActual,INDEX('Cronograma Asistente Técnico'!$AC$5:$AC$1000,$N100),""),IF(INDEX('Cronograma Asistente Técnico'!$I$5:$I$1000,$N100)="","",INDEX('Cronograma Asistente Técnico'!$I$5:$I$1000,$N100))))</f>
        <v/>
      </c>
      <c r="G100" s="61">
        <f>IF($N100="","",IF($P100&gt;0,IF(2&lt;=SemanaActual,INDEX('Cronograma Asistente Técnico'!$AD$5:$AD$1000,$N100),""),IF(INDEX('Cronograma Asistente Técnico'!$J$5:$J$1000,$N100)="","",INDEX('Cronograma Asistente Técnico'!$J$5:$J$1000,$N100))))</f>
        <v/>
      </c>
      <c r="H100" s="61">
        <f>IF($N100="","",IF($P100&gt;0,IF(3&lt;=SemanaActual,INDEX('Cronograma Asistente Técnico'!$AE$5:$AE$1000,$N100),""),IF(INDEX('Cronograma Asistente Técnico'!$K$5:$K$1000,$N100)="","",INDEX('Cronograma Asistente Técnico'!$K$5:$K$1000,$N100))))</f>
        <v/>
      </c>
      <c r="I100" s="61">
        <f>IF($N100="","",IF($P100&gt;0,IF(4&lt;=SemanaActual,INDEX('Cronograma Asistente Técnico'!$AF$5:$AF$1000,$N100),""),IF(INDEX('Cronograma Asistente Técnico'!$L$5:$L$1000,$N100)="","",INDEX('Cronograma Asistente Técnico'!$L$5:$L$1000,$N100))))</f>
        <v/>
      </c>
      <c r="J100" s="61">
        <f>IF($N100="","",INDEX('Cronograma Asistente Técnico'!$M$5:$M$1000,$N100))</f>
        <v/>
      </c>
      <c r="K100" s="56">
        <f>IF($N100="","",IF(N($J100)&gt;=1,"Completado",IF(AND(ISNUMBER($D100),$D100&lt;FechaRef),"Vencida",IF(N($J100)&gt;0,"En curso","Pendiente"))))</f>
        <v/>
      </c>
      <c r="L100" s="56">
        <f>IF($N100="","",INDEX('Cronograma Asistente Técnico'!$O$5:$O$1000,$N100)&amp;"")</f>
        <v/>
      </c>
      <c r="M100" s="62">
        <f>IF($N100="","",INDEX('Cronograma Asistente Técnico'!$Q$5:$Q$1000,$N100)&amp;"")</f>
        <v/>
      </c>
      <c r="N100">
        <f>IFERROR(MATCH(ROW()-4,rOrden_ATR,0),"")</f>
        <v/>
      </c>
      <c r="O100">
        <f>IF($N100="","",INDEX('Cronograma Asistente Técnico'!$V$5:$V$1000,$N100))</f>
        <v/>
      </c>
      <c r="P100">
        <f>IF($N100="","",N(INDEX('Cronograma Asistente Técnico'!$W$5:$W$1000,$N100)))</f>
        <v/>
      </c>
      <c r="Q100">
        <f>IF(OR(LEFT($L100,7)="Vencida",LEFT($L100,5)="Vence"),SUMPRODUCT(--(LEFT($L$5:$L100,7)="Vencida"))+SUMPRODUCT(--(LEFT($L$5:$L100,5)="Vence")),"")</f>
        <v/>
      </c>
    </row>
    <row r="101">
      <c r="A101" s="56">
        <f>IF($N101="","",INDEX('Cronograma Asistente Técnico'!$A$5:$A$1000,$N101))</f>
        <v/>
      </c>
      <c r="B101" s="62">
        <f>IF($N101="","",IF($O101="Sub","      ↳  "&amp;INDEX('Cronograma Asistente Técnico'!$C$5:$C$1000,$N101),INDEX('Cronograma Asistente Técnico'!$C$5:$C$1000,$N101)&amp;""))</f>
        <v/>
      </c>
      <c r="C101" s="79">
        <f>IF($N101="","",IF(INDEX('Cronograma Asistente Técnico'!$AM$5:$AM$1000,$N101)="","",INDEX('Cronograma Asistente Técnico'!$AM$5:$AM$1000,$N101)))</f>
        <v/>
      </c>
      <c r="D101" s="79">
        <f>IF($N101="","",IF(INDEX('Cronograma Asistente Técnico'!$AN$5:$AN$1000,$N101)="","",INDEX('Cronograma Asistente Técnico'!$AN$5:$AN$1000,$N101)))</f>
        <v/>
      </c>
      <c r="E101" s="56">
        <f>IF($N101="","",IF(NOT(ISNUMBER($D101)),"",IF($D101&lt;InicioCiclo,"Antes del ciclo",IF($D101&gt;=InicioCiclo+28,"Después del ciclo","Semana "&amp;(INT(($D101-InicioCiclo)/7)+1)))))</f>
        <v/>
      </c>
      <c r="F101" s="61">
        <f>IF($N101="","",IF($P101&gt;0,IF(1&lt;=SemanaActual,INDEX('Cronograma Asistente Técnico'!$AC$5:$AC$1000,$N101),""),IF(INDEX('Cronograma Asistente Técnico'!$I$5:$I$1000,$N101)="","",INDEX('Cronograma Asistente Técnico'!$I$5:$I$1000,$N101))))</f>
        <v/>
      </c>
      <c r="G101" s="61">
        <f>IF($N101="","",IF($P101&gt;0,IF(2&lt;=SemanaActual,INDEX('Cronograma Asistente Técnico'!$AD$5:$AD$1000,$N101),""),IF(INDEX('Cronograma Asistente Técnico'!$J$5:$J$1000,$N101)="","",INDEX('Cronograma Asistente Técnico'!$J$5:$J$1000,$N101))))</f>
        <v/>
      </c>
      <c r="H101" s="61">
        <f>IF($N101="","",IF($P101&gt;0,IF(3&lt;=SemanaActual,INDEX('Cronograma Asistente Técnico'!$AE$5:$AE$1000,$N101),""),IF(INDEX('Cronograma Asistente Técnico'!$K$5:$K$1000,$N101)="","",INDEX('Cronograma Asistente Técnico'!$K$5:$K$1000,$N101))))</f>
        <v/>
      </c>
      <c r="I101" s="61">
        <f>IF($N101="","",IF($P101&gt;0,IF(4&lt;=SemanaActual,INDEX('Cronograma Asistente Técnico'!$AF$5:$AF$1000,$N101),""),IF(INDEX('Cronograma Asistente Técnico'!$L$5:$L$1000,$N101)="","",INDEX('Cronograma Asistente Técnico'!$L$5:$L$1000,$N101))))</f>
        <v/>
      </c>
      <c r="J101" s="61">
        <f>IF($N101="","",INDEX('Cronograma Asistente Técnico'!$M$5:$M$1000,$N101))</f>
        <v/>
      </c>
      <c r="K101" s="56">
        <f>IF($N101="","",IF(N($J101)&gt;=1,"Completado",IF(AND(ISNUMBER($D101),$D101&lt;FechaRef),"Vencida",IF(N($J101)&gt;0,"En curso","Pendiente"))))</f>
        <v/>
      </c>
      <c r="L101" s="56">
        <f>IF($N101="","",INDEX('Cronograma Asistente Técnico'!$O$5:$O$1000,$N101)&amp;"")</f>
        <v/>
      </c>
      <c r="M101" s="62">
        <f>IF($N101="","",INDEX('Cronograma Asistente Técnico'!$Q$5:$Q$1000,$N101)&amp;"")</f>
        <v/>
      </c>
      <c r="N101">
        <f>IFERROR(MATCH(ROW()-4,rOrden_ATR,0),"")</f>
        <v/>
      </c>
      <c r="O101">
        <f>IF($N101="","",INDEX('Cronograma Asistente Técnico'!$V$5:$V$1000,$N101))</f>
        <v/>
      </c>
      <c r="P101">
        <f>IF($N101="","",N(INDEX('Cronograma Asistente Técnico'!$W$5:$W$1000,$N101)))</f>
        <v/>
      </c>
      <c r="Q101">
        <f>IF(OR(LEFT($L101,7)="Vencida",LEFT($L101,5)="Vence"),SUMPRODUCT(--(LEFT($L$5:$L101,7)="Vencida"))+SUMPRODUCT(--(LEFT($L$5:$L101,5)="Vence")),"")</f>
        <v/>
      </c>
    </row>
    <row r="102">
      <c r="A102" s="56">
        <f>IF($N102="","",INDEX('Cronograma Asistente Técnico'!$A$5:$A$1000,$N102))</f>
        <v/>
      </c>
      <c r="B102" s="62">
        <f>IF($N102="","",IF($O102="Sub","      ↳  "&amp;INDEX('Cronograma Asistente Técnico'!$C$5:$C$1000,$N102),INDEX('Cronograma Asistente Técnico'!$C$5:$C$1000,$N102)&amp;""))</f>
        <v/>
      </c>
      <c r="C102" s="79">
        <f>IF($N102="","",IF(INDEX('Cronograma Asistente Técnico'!$AM$5:$AM$1000,$N102)="","",INDEX('Cronograma Asistente Técnico'!$AM$5:$AM$1000,$N102)))</f>
        <v/>
      </c>
      <c r="D102" s="79">
        <f>IF($N102="","",IF(INDEX('Cronograma Asistente Técnico'!$AN$5:$AN$1000,$N102)="","",INDEX('Cronograma Asistente Técnico'!$AN$5:$AN$1000,$N102)))</f>
        <v/>
      </c>
      <c r="E102" s="56">
        <f>IF($N102="","",IF(NOT(ISNUMBER($D102)),"",IF($D102&lt;InicioCiclo,"Antes del ciclo",IF($D102&gt;=InicioCiclo+28,"Después del ciclo","Semana "&amp;(INT(($D102-InicioCiclo)/7)+1)))))</f>
        <v/>
      </c>
      <c r="F102" s="61">
        <f>IF($N102="","",IF($P102&gt;0,IF(1&lt;=SemanaActual,INDEX('Cronograma Asistente Técnico'!$AC$5:$AC$1000,$N102),""),IF(INDEX('Cronograma Asistente Técnico'!$I$5:$I$1000,$N102)="","",INDEX('Cronograma Asistente Técnico'!$I$5:$I$1000,$N102))))</f>
        <v/>
      </c>
      <c r="G102" s="61">
        <f>IF($N102="","",IF($P102&gt;0,IF(2&lt;=SemanaActual,INDEX('Cronograma Asistente Técnico'!$AD$5:$AD$1000,$N102),""),IF(INDEX('Cronograma Asistente Técnico'!$J$5:$J$1000,$N102)="","",INDEX('Cronograma Asistente Técnico'!$J$5:$J$1000,$N102))))</f>
        <v/>
      </c>
      <c r="H102" s="61">
        <f>IF($N102="","",IF($P102&gt;0,IF(3&lt;=SemanaActual,INDEX('Cronograma Asistente Técnico'!$AE$5:$AE$1000,$N102),""),IF(INDEX('Cronograma Asistente Técnico'!$K$5:$K$1000,$N102)="","",INDEX('Cronograma Asistente Técnico'!$K$5:$K$1000,$N102))))</f>
        <v/>
      </c>
      <c r="I102" s="61">
        <f>IF($N102="","",IF($P102&gt;0,IF(4&lt;=SemanaActual,INDEX('Cronograma Asistente Técnico'!$AF$5:$AF$1000,$N102),""),IF(INDEX('Cronograma Asistente Técnico'!$L$5:$L$1000,$N102)="","",INDEX('Cronograma Asistente Técnico'!$L$5:$L$1000,$N102))))</f>
        <v/>
      </c>
      <c r="J102" s="61">
        <f>IF($N102="","",INDEX('Cronograma Asistente Técnico'!$M$5:$M$1000,$N102))</f>
        <v/>
      </c>
      <c r="K102" s="56">
        <f>IF($N102="","",IF(N($J102)&gt;=1,"Completado",IF(AND(ISNUMBER($D102),$D102&lt;FechaRef),"Vencida",IF(N($J102)&gt;0,"En curso","Pendiente"))))</f>
        <v/>
      </c>
      <c r="L102" s="56">
        <f>IF($N102="","",INDEX('Cronograma Asistente Técnico'!$O$5:$O$1000,$N102)&amp;"")</f>
        <v/>
      </c>
      <c r="M102" s="62">
        <f>IF($N102="","",INDEX('Cronograma Asistente Técnico'!$Q$5:$Q$1000,$N102)&amp;"")</f>
        <v/>
      </c>
      <c r="N102">
        <f>IFERROR(MATCH(ROW()-4,rOrden_ATR,0),"")</f>
        <v/>
      </c>
      <c r="O102">
        <f>IF($N102="","",INDEX('Cronograma Asistente Técnico'!$V$5:$V$1000,$N102))</f>
        <v/>
      </c>
      <c r="P102">
        <f>IF($N102="","",N(INDEX('Cronograma Asistente Técnico'!$W$5:$W$1000,$N102)))</f>
        <v/>
      </c>
      <c r="Q102">
        <f>IF(OR(LEFT($L102,7)="Vencida",LEFT($L102,5)="Vence"),SUMPRODUCT(--(LEFT($L$5:$L102,7)="Vencida"))+SUMPRODUCT(--(LEFT($L$5:$L102,5)="Vence")),"")</f>
        <v/>
      </c>
    </row>
    <row r="103">
      <c r="A103" s="56">
        <f>IF($N103="","",INDEX('Cronograma Asistente Técnico'!$A$5:$A$1000,$N103))</f>
        <v/>
      </c>
      <c r="B103" s="62">
        <f>IF($N103="","",IF($O103="Sub","      ↳  "&amp;INDEX('Cronograma Asistente Técnico'!$C$5:$C$1000,$N103),INDEX('Cronograma Asistente Técnico'!$C$5:$C$1000,$N103)&amp;""))</f>
        <v/>
      </c>
      <c r="C103" s="79">
        <f>IF($N103="","",IF(INDEX('Cronograma Asistente Técnico'!$AM$5:$AM$1000,$N103)="","",INDEX('Cronograma Asistente Técnico'!$AM$5:$AM$1000,$N103)))</f>
        <v/>
      </c>
      <c r="D103" s="79">
        <f>IF($N103="","",IF(INDEX('Cronograma Asistente Técnico'!$AN$5:$AN$1000,$N103)="","",INDEX('Cronograma Asistente Técnico'!$AN$5:$AN$1000,$N103)))</f>
        <v/>
      </c>
      <c r="E103" s="56">
        <f>IF($N103="","",IF(NOT(ISNUMBER($D103)),"",IF($D103&lt;InicioCiclo,"Antes del ciclo",IF($D103&gt;=InicioCiclo+28,"Después del ciclo","Semana "&amp;(INT(($D103-InicioCiclo)/7)+1)))))</f>
        <v/>
      </c>
      <c r="F103" s="61">
        <f>IF($N103="","",IF($P103&gt;0,IF(1&lt;=SemanaActual,INDEX('Cronograma Asistente Técnico'!$AC$5:$AC$1000,$N103),""),IF(INDEX('Cronograma Asistente Técnico'!$I$5:$I$1000,$N103)="","",INDEX('Cronograma Asistente Técnico'!$I$5:$I$1000,$N103))))</f>
        <v/>
      </c>
      <c r="G103" s="61">
        <f>IF($N103="","",IF($P103&gt;0,IF(2&lt;=SemanaActual,INDEX('Cronograma Asistente Técnico'!$AD$5:$AD$1000,$N103),""),IF(INDEX('Cronograma Asistente Técnico'!$J$5:$J$1000,$N103)="","",INDEX('Cronograma Asistente Técnico'!$J$5:$J$1000,$N103))))</f>
        <v/>
      </c>
      <c r="H103" s="61">
        <f>IF($N103="","",IF($P103&gt;0,IF(3&lt;=SemanaActual,INDEX('Cronograma Asistente Técnico'!$AE$5:$AE$1000,$N103),""),IF(INDEX('Cronograma Asistente Técnico'!$K$5:$K$1000,$N103)="","",INDEX('Cronograma Asistente Técnico'!$K$5:$K$1000,$N103))))</f>
        <v/>
      </c>
      <c r="I103" s="61">
        <f>IF($N103="","",IF($P103&gt;0,IF(4&lt;=SemanaActual,INDEX('Cronograma Asistente Técnico'!$AF$5:$AF$1000,$N103),""),IF(INDEX('Cronograma Asistente Técnico'!$L$5:$L$1000,$N103)="","",INDEX('Cronograma Asistente Técnico'!$L$5:$L$1000,$N103))))</f>
        <v/>
      </c>
      <c r="J103" s="61">
        <f>IF($N103="","",INDEX('Cronograma Asistente Técnico'!$M$5:$M$1000,$N103))</f>
        <v/>
      </c>
      <c r="K103" s="56">
        <f>IF($N103="","",IF(N($J103)&gt;=1,"Completado",IF(AND(ISNUMBER($D103),$D103&lt;FechaRef),"Vencida",IF(N($J103)&gt;0,"En curso","Pendiente"))))</f>
        <v/>
      </c>
      <c r="L103" s="56">
        <f>IF($N103="","",INDEX('Cronograma Asistente Técnico'!$O$5:$O$1000,$N103)&amp;"")</f>
        <v/>
      </c>
      <c r="M103" s="62">
        <f>IF($N103="","",INDEX('Cronograma Asistente Técnico'!$Q$5:$Q$1000,$N103)&amp;"")</f>
        <v/>
      </c>
      <c r="N103">
        <f>IFERROR(MATCH(ROW()-4,rOrden_ATR,0),"")</f>
        <v/>
      </c>
      <c r="O103">
        <f>IF($N103="","",INDEX('Cronograma Asistente Técnico'!$V$5:$V$1000,$N103))</f>
        <v/>
      </c>
      <c r="P103">
        <f>IF($N103="","",N(INDEX('Cronograma Asistente Técnico'!$W$5:$W$1000,$N103)))</f>
        <v/>
      </c>
      <c r="Q103">
        <f>IF(OR(LEFT($L103,7)="Vencida",LEFT($L103,5)="Vence"),SUMPRODUCT(--(LEFT($L$5:$L103,7)="Vencida"))+SUMPRODUCT(--(LEFT($L$5:$L103,5)="Vence")),"")</f>
        <v/>
      </c>
    </row>
    <row r="104">
      <c r="A104" s="56">
        <f>IF($N104="","",INDEX('Cronograma Asistente Técnico'!$A$5:$A$1000,$N104))</f>
        <v/>
      </c>
      <c r="B104" s="62">
        <f>IF($N104="","",IF($O104="Sub","      ↳  "&amp;INDEX('Cronograma Asistente Técnico'!$C$5:$C$1000,$N104),INDEX('Cronograma Asistente Técnico'!$C$5:$C$1000,$N104)&amp;""))</f>
        <v/>
      </c>
      <c r="C104" s="79">
        <f>IF($N104="","",IF(INDEX('Cronograma Asistente Técnico'!$AM$5:$AM$1000,$N104)="","",INDEX('Cronograma Asistente Técnico'!$AM$5:$AM$1000,$N104)))</f>
        <v/>
      </c>
      <c r="D104" s="79">
        <f>IF($N104="","",IF(INDEX('Cronograma Asistente Técnico'!$AN$5:$AN$1000,$N104)="","",INDEX('Cronograma Asistente Técnico'!$AN$5:$AN$1000,$N104)))</f>
        <v/>
      </c>
      <c r="E104" s="56">
        <f>IF($N104="","",IF(NOT(ISNUMBER($D104)),"",IF($D104&lt;InicioCiclo,"Antes del ciclo",IF($D104&gt;=InicioCiclo+28,"Después del ciclo","Semana "&amp;(INT(($D104-InicioCiclo)/7)+1)))))</f>
        <v/>
      </c>
      <c r="F104" s="61">
        <f>IF($N104="","",IF($P104&gt;0,IF(1&lt;=SemanaActual,INDEX('Cronograma Asistente Técnico'!$AC$5:$AC$1000,$N104),""),IF(INDEX('Cronograma Asistente Técnico'!$I$5:$I$1000,$N104)="","",INDEX('Cronograma Asistente Técnico'!$I$5:$I$1000,$N104))))</f>
        <v/>
      </c>
      <c r="G104" s="61">
        <f>IF($N104="","",IF($P104&gt;0,IF(2&lt;=SemanaActual,INDEX('Cronograma Asistente Técnico'!$AD$5:$AD$1000,$N104),""),IF(INDEX('Cronograma Asistente Técnico'!$J$5:$J$1000,$N104)="","",INDEX('Cronograma Asistente Técnico'!$J$5:$J$1000,$N104))))</f>
        <v/>
      </c>
      <c r="H104" s="61">
        <f>IF($N104="","",IF($P104&gt;0,IF(3&lt;=SemanaActual,INDEX('Cronograma Asistente Técnico'!$AE$5:$AE$1000,$N104),""),IF(INDEX('Cronograma Asistente Técnico'!$K$5:$K$1000,$N104)="","",INDEX('Cronograma Asistente Técnico'!$K$5:$K$1000,$N104))))</f>
        <v/>
      </c>
      <c r="I104" s="61">
        <f>IF($N104="","",IF($P104&gt;0,IF(4&lt;=SemanaActual,INDEX('Cronograma Asistente Técnico'!$AF$5:$AF$1000,$N104),""),IF(INDEX('Cronograma Asistente Técnico'!$L$5:$L$1000,$N104)="","",INDEX('Cronograma Asistente Técnico'!$L$5:$L$1000,$N104))))</f>
        <v/>
      </c>
      <c r="J104" s="61">
        <f>IF($N104="","",INDEX('Cronograma Asistente Técnico'!$M$5:$M$1000,$N104))</f>
        <v/>
      </c>
      <c r="K104" s="56">
        <f>IF($N104="","",IF(N($J104)&gt;=1,"Completado",IF(AND(ISNUMBER($D104),$D104&lt;FechaRef),"Vencida",IF(N($J104)&gt;0,"En curso","Pendiente"))))</f>
        <v/>
      </c>
      <c r="L104" s="56">
        <f>IF($N104="","",INDEX('Cronograma Asistente Técnico'!$O$5:$O$1000,$N104)&amp;"")</f>
        <v/>
      </c>
      <c r="M104" s="62">
        <f>IF($N104="","",INDEX('Cronograma Asistente Técnico'!$Q$5:$Q$1000,$N104)&amp;"")</f>
        <v/>
      </c>
      <c r="N104">
        <f>IFERROR(MATCH(ROW()-4,rOrden_ATR,0),"")</f>
        <v/>
      </c>
      <c r="O104">
        <f>IF($N104="","",INDEX('Cronograma Asistente Técnico'!$V$5:$V$1000,$N104))</f>
        <v/>
      </c>
      <c r="P104">
        <f>IF($N104="","",N(INDEX('Cronograma Asistente Técnico'!$W$5:$W$1000,$N104)))</f>
        <v/>
      </c>
      <c r="Q104">
        <f>IF(OR(LEFT($L104,7)="Vencida",LEFT($L104,5)="Vence"),SUMPRODUCT(--(LEFT($L$5:$L104,7)="Vencida"))+SUMPRODUCT(--(LEFT($L$5:$L104,5)="Vence")),"")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M2"/>
    <mergeCell ref="A1:M1"/>
  </mergeCells>
  <conditionalFormatting sqref="F5:I104">
    <cfRule type="expression" priority="1" dxfId="6" stopIfTrue="1">
      <formula>AND(AND(ISNUMBER($C5),ISNUMBER($D5),$C5&lt;=InicioCiclo+7*(COLUMN(F5)-6)+6,$D5&gt;=InicioCiclo+7*(COLUMN(F5)-6)),$K5="Vencida")</formula>
    </cfRule>
    <cfRule type="expression" priority="2" dxfId="25">
      <formula>AND(ISNUMBER($C5),ISNUMBER($D5),$C5&lt;=InicioCiclo+7*(COLUMN(F5)-6)+6,$D5&gt;=InicioCiclo+7*(COLUMN(F5)-6))</formula>
    </cfRule>
  </conditionalFormatting>
  <conditionalFormatting sqref="A5:B104">
    <cfRule type="expression" priority="3" dxfId="24">
      <formula>$O5="Macro"</formula>
    </cfRule>
  </conditionalFormatting>
  <conditionalFormatting sqref="K5:K104">
    <cfRule type="expression" priority="4" dxfId="0">
      <formula>$K5="Completado"</formula>
    </cfRule>
    <cfRule type="expression" priority="5" dxfId="6">
      <formula>$K5="Vencida"</formula>
    </cfRule>
    <cfRule type="expression" priority="6" dxfId="4">
      <formula>$K5="En curso"</formula>
    </cfRule>
    <cfRule type="expression" priority="7" dxfId="5">
      <formula>$K5="Pendiente"</formula>
    </cfRule>
  </conditionalFormatting>
  <conditionalFormatting sqref="L5:L104">
    <cfRule type="expression" priority="8" dxfId="8" stopIfTrue="1">
      <formula>LEFT($L5,7)="Vencida"</formula>
    </cfRule>
    <cfRule type="expression" priority="9" dxfId="9" stopIfTrue="1">
      <formula>LEFT($L5,5)="Vence"</formula>
    </cfRule>
    <cfRule type="expression" priority="10" dxfId="0" stopIfTrue="1">
      <formula>LEFT($L5,8)="Cumplida"</formula>
    </cfRule>
    <cfRule type="expression" priority="11" dxfId="13" stopIfTrue="1">
      <formula>$L5="En plazo"</formula>
    </cfRule>
    <cfRule type="expression" priority="12" dxfId="5">
      <formula>$L5="Sin fecha límite"</formula>
    </cfRule>
  </conditionalFormatting>
  <conditionalFormatting sqref="E5:E104">
    <cfRule type="expression" priority="13" dxfId="1">
      <formula>$E5="Semana "&amp;SemanaActual</formula>
    </cfRule>
  </conditionalFormatting>
  <conditionalFormatting sqref="J5:J104">
    <cfRule type="dataBar" priority="14">
      <dataBar showValue="1">
        <cfvo type="num" val="0"/>
        <cfvo type="num" val="1"/>
        <color rgb="005B9BD5"/>
      </dataBar>
    </cfRule>
  </conditionalFormatting>
  <conditionalFormatting sqref="F4:I4">
    <cfRule type="expression" priority="15" dxfId="1">
      <formula>COLUMN(F4)-5=SemanaActual</formula>
    </cfRule>
  </conditionalFormatting>
  <conditionalFormatting sqref="F3:I3">
    <cfRule type="expression" priority="16" dxfId="1">
      <formula>COLUMN(F3)-5=SemanaActual</formula>
    </cfRule>
  </conditionalFormatting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B1:B98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1" ht="28" customHeight="1">
      <c r="B1" s="65" t="inlineStr">
        <is>
          <t>Instrucciones – cómo usar este archivo</t>
        </is>
      </c>
    </row>
    <row r="3" ht="20" customHeight="1">
      <c r="B3" s="86" t="inlineStr">
        <is>
          <t>¿Para qué sirve este archivo?</t>
        </is>
      </c>
    </row>
    <row r="4" ht="45" customHeight="1">
      <c r="B4" s="87" t="inlineStr">
        <is>
          <t>Sirve para planificar y medir, MES A MES, las actividades de los cuatro puestos del área: Riesgo Operacional, Riesgo Normativo, Riesgo Financiero y Asistente Técnico de Riesgo. Cada mes se divide en 4 semanas y la meta es que las actividades lleguen al 100% al terminar la Semana 4. Todo lo de meses anteriores queda guardado como historial.</t>
        </is>
      </c>
    </row>
    <row r="6" ht="20" customHeight="1">
      <c r="B6" s="86" t="inlineStr">
        <is>
          <t>Colores: qué se llena y qué no</t>
        </is>
      </c>
    </row>
    <row r="7" ht="15" customHeight="1">
      <c r="B7" s="87" t="inlineStr">
        <is>
          <t>• GRIS SUAVE = celda que usted llena (desbloqueada).</t>
        </is>
      </c>
    </row>
    <row r="8" ht="15" customHeight="1">
      <c r="B8" s="87" t="inlineStr">
        <is>
          <t>• AZUL MUY CLARO = celda automática (bloqueada: no se puede escribir en ella).</t>
        </is>
      </c>
    </row>
    <row r="9" ht="30" customHeight="1">
      <c r="B9" s="87" t="inlineStr">
        <is>
          <t>• Cada puesto tiene su color: NARANJA = Riesgo Operacional · MORADO = Riesgo Normativo · VERDE = Riesgo Financiero · AZUL = Asistente Técnico de Riesgo.</t>
        </is>
      </c>
    </row>
    <row r="10" ht="30" customHeight="1">
      <c r="B10" s="87" t="inlineStr">
        <is>
          <t>• Colores de avisos: verde = completado · azul claro = en curso · rojo suave = pendiente o dato faltante · ámbar = por vencer o mes actual · naranja = vencida.</t>
        </is>
      </c>
    </row>
    <row r="12" ht="20" customHeight="1">
      <c r="B12" s="86" t="inlineStr">
        <is>
          <t>Las hojas del archivo</t>
        </is>
      </c>
    </row>
    <row r="13" ht="30" customHeight="1">
      <c r="B13" s="87" t="inlineStr">
        <is>
          <t>• Dashboard - Consolidado: resumen del MES ACTUAL con dos gráficas (avance de cada puesto y avance por semana vs plan). Se actualiza solo; no se llena.</t>
        </is>
      </c>
    </row>
    <row r="14" ht="30" customHeight="1">
      <c r="B14" s="87" t="inlineStr">
        <is>
          <t>• Historial mensual: tabla con el avance de cada puesto mes a mes desde octubre 2026 y gráfica de los últimos 6 meses. Se actualiza sola.</t>
        </is>
      </c>
    </row>
    <row r="15" ht="30" customHeight="1">
      <c r="B15" s="87" t="inlineStr">
        <is>
          <t>• Cronograma (una por puesto): la ÚNICA hoja donde cada responsable escribe sus actividades, pesos, avances y observaciones.</t>
        </is>
      </c>
    </row>
    <row r="16" ht="30" customHeight="1">
      <c r="B16" s="87" t="inlineStr">
        <is>
          <t>• Actividades (una por puesto, al lado de su cronograma): muestra sola las actividades del mes, semana por semana. Está bloqueada; no se escribe nada.</t>
        </is>
      </c>
    </row>
    <row r="17" ht="15" customHeight="1">
      <c r="B17" s="87" t="inlineStr">
        <is>
          <t>• Configuración: mes, semana y fecha de corte. Todo se calcula solo con la fecha de hoy.</t>
        </is>
      </c>
    </row>
    <row r="19" ht="20" customHeight="1">
      <c r="B19" s="86" t="inlineStr">
        <is>
          <t>Cómo llenar su hoja «Cronograma» (paso a paso)</t>
        </is>
      </c>
    </row>
    <row r="20" ht="15" customHeight="1">
      <c r="B20" s="87" t="inlineStr">
        <is>
          <t>1) Abra la pestaña «Cronograma» de SU puesto y escriba en la primera fila vacía (celdas gris suave).</t>
        </is>
      </c>
    </row>
    <row r="21" ht="15" customHeight="1">
      <c r="B21" s="87" t="inlineStr">
        <is>
          <t>2) En «Tipo» elija «Macroactividad» (si lo deja vacío, también cuenta como macroactividad).</t>
        </is>
      </c>
    </row>
    <row r="22" ht="30" customHeight="1">
      <c r="B22" s="87" t="inlineStr">
        <is>
          <t>3) Escriba el nombre en «Actividad», la Fecha de inicio y la Fecha límite. El N° (1, 2, 3… por mes) y el Mes se llenan solos.</t>
        </is>
      </c>
    </row>
    <row r="23" ht="45" customHeight="1">
      <c r="B23" s="87" t="inlineStr">
        <is>
          <t>4) Peso (solo macroactividades, OPCIONAL): si lo deja vacío, todas las macroactividades del mes valen lo mismo. Si escribe pesos, se ajustan solos para sumar 100% (ej. si escribe 60% y 20%, quedan 75% y 25%). No hace falta que sumen 100% ni que esté todo el mes completo.</t>
        </is>
      </c>
    </row>
    <row r="24" ht="30" customHeight="1">
      <c r="B24" s="87" t="inlineStr">
        <is>
          <t>5) CUANDO TERMINE una actividad, escriba la FECHA DE CUMPLIMIENTO: queda al 100%, «Completado», y la alerta dice «Cumplida» (ya no aparece vencida).</t>
        </is>
      </c>
    </row>
    <row r="25" ht="30" customHeight="1">
      <c r="B25" s="87" t="inlineStr">
        <is>
          <t>6) Avances parciales (opcional): si una macroactividad sin subactividades va a medias, puede escribir en la columna de la semana el % total logrado hasta esa semana (ej. Semana 1 = 30%, Semana 2 = 70%).</t>
        </is>
      </c>
    </row>
    <row r="26" ht="15" customHeight="1">
      <c r="B26" s="87" t="inlineStr">
        <is>
          <t>7) El «% de Avance Total Actual», el «Estado» y la «Alerta de plazo» se calculan solos.</t>
        </is>
      </c>
    </row>
    <row r="27" ht="15" customHeight="1">
      <c r="B27" s="87" t="inlineStr">
        <is>
          <t>8) Observaciones: si una actividad se atrasa o no se cumplió, escriba aquí el motivo y la nueva fecha.</t>
        </is>
      </c>
    </row>
    <row r="29" ht="20" customHeight="1">
      <c r="B29" s="86" t="inlineStr">
        <is>
          <t>Subactividades (puede agregar todas las que necesite)</t>
        </is>
      </c>
    </row>
    <row r="30" ht="30" customHeight="1">
      <c r="B30" s="87" t="inlineStr">
        <is>
          <t>1) Debajo de la macroactividad, en las filas siguientes, elija en «Tipo» la opción «Subactividad» y escriba su nombre en «Actividad», con sus fechas. Se verá con sangría (↳) justo debajo de su macroactividad.</t>
        </is>
      </c>
    </row>
    <row r="31" ht="15" customHeight="1">
      <c r="B31" s="87" t="inlineStr">
        <is>
          <t>2) El N° NO se escribe: sale solo 1.1, 1.2, 1.3… (la columna está bloqueada).</t>
        </is>
      </c>
    </row>
    <row r="32" ht="15" customHeight="1">
      <c r="B32" s="87" t="inlineStr">
        <is>
          <t>3) Las subactividades NO llevan peso: todas valen lo mismo dentro de su macroactividad.</t>
        </is>
      </c>
    </row>
    <row r="33" ht="30" customHeight="1">
      <c r="B33" s="87" t="inlineStr">
        <is>
          <t>4) Cuando termine una subactividad, escriba su FECHA DE CUMPLIMIENTO (queda al 100%). También puede anotar avances parciales por semana.</t>
        </is>
      </c>
    </row>
    <row r="34" ht="45" customHeight="1">
      <c r="B34" s="87" t="inlineStr">
        <is>
          <t>5) El % de la macroactividad se calcula SOLO: es el promedio de sus subactividades. Ejemplo con 4 subactividades: si cumple 1 → 25%; si cumple 2 → 50%; si cumple las 4 → 100%. En la fila de la macroactividad deje VACÍAS las semanas (se ven en azul claro).</t>
        </is>
      </c>
    </row>
    <row r="35" ht="30" customHeight="1">
      <c r="B35" s="87" t="inlineStr">
        <is>
          <t>6) Para agregar otra subactividad más adelante, escríbala debajo de las demás subactividades de su macroactividad: siempre pertenece a la macroactividad que esté más arriba.</t>
        </is>
      </c>
    </row>
    <row r="37" ht="20" customHeight="1">
      <c r="B37" s="86" t="inlineStr">
        <is>
          <t>Alerta de plazo (vencidas y por vencer)</t>
        </is>
      </c>
    </row>
    <row r="38" ht="30" customHeight="1">
      <c r="B38" s="87" t="inlineStr">
        <is>
          <t>La columna «Alerta de plazo» (en el Cronograma, la hoja Actividades y Administración) dice en cada actividad y subactividad:</t>
        </is>
      </c>
    </row>
    <row r="39" ht="30" customHeight="1">
      <c r="B39" s="87" t="inlineStr">
        <is>
          <t>• «Cumplida» (verde): tiene fecha de cumplimiento o llegó al 100%. Si se cumplió después de la fecha límite dice «Cumplida con X días de retraso».</t>
        </is>
      </c>
    </row>
    <row r="40" ht="30" customHeight="1">
      <c r="B40" s="87" t="inlineStr">
        <is>
          <t>• «Vencida hace X días» (rojo): pasó la fecha límite y no tiene fecha de cumplimiento. Escriba en Observaciones por qué no se cumplió.</t>
        </is>
      </c>
    </row>
    <row r="41" ht="30" customHeight="1">
      <c r="B41" s="87" t="inlineStr">
        <is>
          <t>• «Vence hoy» o «Vence en X días» (amarillo): la fecha límite está cerca (el número de días se cambia en Configuración).</t>
        </is>
      </c>
    </row>
    <row r="42" ht="15" customHeight="1">
      <c r="B42" s="87" t="inlineStr">
        <is>
          <t>• «En plazo» (verde claro): todavía hay tiempo.</t>
        </is>
      </c>
    </row>
    <row r="43" ht="30" customHeight="1">
      <c r="B43" s="87" t="inlineStr">
        <is>
          <t>Arriba de cada hoja aparece el total del mes («X vencida(s) · Y por vencer») y el Dashboard muestra lo mismo por puesto y para la jefatura.</t>
        </is>
      </c>
    </row>
    <row r="45" ht="20" customHeight="1">
      <c r="B45" s="86" t="inlineStr">
        <is>
          <t>Hoja «Administración» (jefatura) y cómo DELEGAR actividades</t>
        </is>
      </c>
    </row>
    <row r="46" ht="30" customHeight="1">
      <c r="B46" s="87" t="inlineStr">
        <is>
          <t>Es la lista de actividades de la jefatura, con el mismo formato del Cronograma: Tipo (macroactividad / subactividad), actividad, fechas, fecha de cumplimiento, avance por semana, estado, alerta de plazo y observaciones.</t>
        </is>
      </c>
    </row>
    <row r="47" ht="30" customHeight="1">
      <c r="B47" s="87" t="inlineStr">
        <is>
          <t>DELEGAR: 1) La jefatura escribe la macroactividad y en «Delegar a» elige el puesto (si lo deja vacío, la actividad es de la jefatura).</t>
        </is>
      </c>
    </row>
    <row r="48" ht="30" customHeight="1">
      <c r="B48" s="87" t="inlineStr">
        <is>
          <t>2) Al puesto le aparece arriba de su Cronograma un aviso amarillo: «La jefatura le delegó X actividad(es)… pendiente(s) de agregar».</t>
        </is>
      </c>
    </row>
    <row r="49" ht="60" customHeight="1">
      <c r="B49" s="87" t="inlineStr">
        <is>
          <t>3) El puesto, en una fila nueva de su Cronograma, abre la lista de la columna «Actividad» y elige la actividad (sale como «[Jefatura] nombre»). La FECHA DE INICIO y la FECHA LÍMITE aparecen solas: las pone la jefatura y el puesto no las puede cambiar (Excel lo impide). El puesto solo registra la FECHA DE CUMPLIMIENTO, el % de avance semanal, las observaciones y, si quiere, subactividades debajo. No debe cambiar el texto elegido.</t>
        </is>
      </c>
    </row>
    <row r="50" ht="30" customHeight="1">
      <c r="B50" s="87" t="inlineStr">
        <is>
          <t>4) En la hoja Administración, las columnas «% de Avance», «Estado», «Alerta de plazo» y «Seguimiento» de esa actividad se llenan solas con lo que registra el puesto. «Seguimiento» dice «✔ Recibida por …» o «⚠ … aún no la agrega».</t>
        </is>
      </c>
    </row>
    <row r="51" ht="45" customHeight="1">
      <c r="B51" s="87" t="inlineStr">
        <is>
          <t>5) La actividad delegada CUENTA COMO TRABAJO DEL PUESTO: es una macroactividad más de su Cronograma y suma en su avance del mes, en el Dashboard y en el Historial (con el mismo peso que las demás, o el peso que el puesto le ponga).</t>
        </is>
      </c>
    </row>
    <row r="52" ht="30" customHeight="1">
      <c r="B52" s="87" t="inlineStr">
        <is>
          <t>Nota: si la jefatura cambia las fechas, se actualizan solas en el puesto. Si cambia el NOMBRE de una actividad ya delegada, el puesto debe volver a elegirla en la lista.</t>
        </is>
      </c>
    </row>
    <row r="53" ht="45" customHeight="1">
      <c r="B53" s="87" t="inlineStr">
        <is>
          <t>Para que SOLO la jefatura pueda escribir en la hoja Administración: en esa hoja vaya a Revisar &gt; Desproteger hoja, seleccione las celdas grises de la tabla, Inicio &gt; Formato &gt; Bloquear celda, y luego Revisar &gt; Proteger hoja con una contraseña que solo tenga la jefatura (para editar, la jefatura desprotege con su contraseña).</t>
        </is>
      </c>
    </row>
    <row r="54" ht="15" customHeight="1">
      <c r="B54" s="87" t="inlineStr">
        <is>
          <t>Las vencidas y por vencer de la jefatura también aparecen en el Dashboard, en la tabla de alertas de plazo.</t>
        </is>
      </c>
    </row>
    <row r="56" ht="20" customHeight="1">
      <c r="B56" s="86" t="inlineStr">
        <is>
          <t>¿Qué es la columna «Revisión automática (alertas)»?</t>
        </is>
      </c>
    </row>
    <row r="57" ht="45" customHeight="1">
      <c r="B57" s="87" t="inlineStr">
        <is>
          <t>Es un revisor automático: revisa cada fila y avisa si algo falta o está mal. «✔ OK» = todo bien. «⚠» = hay algo que corregir y dice qué es, por ejemplo: «Sin fecha límite», «Pesos del mes suman 90%», «Pesos de sus subactividades suman 50% (deben sumar 60%)», «Avance semanal decreciente» o «Vencida».</t>
        </is>
      </c>
    </row>
    <row r="58" ht="15" customHeight="1">
      <c r="B58" s="87" t="inlineStr">
        <is>
          <t>No hay que escribir nada en esa columna. Corrija lo que indica y el aviso desaparece.</t>
        </is>
      </c>
    </row>
    <row r="60" ht="20" customHeight="1">
      <c r="B60" s="86" t="inlineStr">
        <is>
          <t>La hoja «Actividades» (automática y bloqueada)</t>
        </is>
      </c>
    </row>
    <row r="61" ht="30" customHeight="1">
      <c r="B61" s="87" t="inlineStr">
        <is>
          <t>1) Muestra solo las actividades del mes actual de su Cronograma, en orden: cada macroactividad (resaltada) seguida de sus subactividades (con «↳»), con su alerta de plazo. No se escribe nada en ella.</t>
        </is>
      </c>
    </row>
    <row r="62" ht="15" customHeight="1">
      <c r="B62" s="87" t="inlineStr">
        <is>
          <t>2) «Semana de entrega» indica en qué semana del mes cae la fecha límite (la semana actual se resalta en amarillo).</t>
        </is>
      </c>
    </row>
    <row r="63" ht="45" customHeight="1">
      <c r="B63" s="87" t="inlineStr">
        <is>
          <t>3) Las columnas Semana 1 a 4 muestran una barra del color del puesto en las semanas en que la actividad está programada (de la fecha de inicio a la fecha límite) y, dentro, el avance anotado esa semana. Si la actividad está vencida, la barra se pone naranja.</t>
        </is>
      </c>
    </row>
    <row r="64" ht="15" customHeight="1">
      <c r="B64" s="87" t="inlineStr">
        <is>
          <t>4) Para cambiar algo, corríjalo en el Cronograma: esta hoja se actualiza al instante.</t>
        </is>
      </c>
    </row>
    <row r="66" ht="20" customHeight="1">
      <c r="B66" s="86" t="inlineStr">
        <is>
          <t>Cada mes nuevo: NO se borra nada</t>
        </is>
      </c>
    </row>
    <row r="67" ht="30" customHeight="1">
      <c r="B67" s="87" t="inlineStr">
        <is>
          <t>1) Al empezar el mes, cada responsable escribe las actividades del nuevo mes en las filas vacías de su Cronograma, DEBAJO de las del mes anterior. No borre nada: los meses pasados quedan como historial.</t>
        </is>
      </c>
    </row>
    <row r="68" ht="30" customHeight="1">
      <c r="B68" s="87" t="inlineStr">
        <is>
          <t>2) El mes de cada actividad se asigna solo según su fecha de inicio. El Dashboard y las hojas Actividades muestran automáticamente el mes actual, con su Semana 1 a 4.</t>
        </is>
      </c>
    </row>
    <row r="69" ht="30" customHeight="1">
      <c r="B69" s="87" t="inlineStr">
        <is>
          <t>3) Si una actividad se repite cada mes, cópiela en una fila nueva y cambie sus fechas al nuevo mes (y borre los avances de la copia).</t>
        </is>
      </c>
    </row>
    <row r="70" ht="45" customHeight="1">
      <c r="B70" s="87" t="inlineStr">
        <is>
          <t>4) Para revisar un mes anterior: en Configuración, en «Mes que se muestra», escriba cualquier fecha de ese mes (ej. 01/09/2026). Dashboard y Actividades mostrarán ese mes. Para volver al mes actual escriba =FECHA(AÑO(HOY());MES(HOY());1).</t>
        </is>
      </c>
    </row>
    <row r="71" ht="15" customHeight="1">
      <c r="B71" s="87" t="inlineStr">
        <is>
          <t>5) La hoja «Historial mensual» muestra el avance de cada puesto mes a mes, desde octubre 2026 (24 meses).</t>
        </is>
      </c>
    </row>
    <row r="72" ht="30" customHeight="1">
      <c r="B72" s="87" t="inlineStr">
        <is>
          <t>6) Cada Cronograma tiene 300 filas (por ejemplo, 25 actividades al mes durante un año). Si se llena, vea «Necesito más filas» o guarde una copia anual del archivo (Archivo &gt; Guardar una copia).</t>
        </is>
      </c>
    </row>
    <row r="74" ht="20" customHeight="1">
      <c r="B74" s="86" t="inlineStr">
        <is>
          <t>El Dashboard (resumen automático del mes)</t>
        </is>
      </c>
    </row>
    <row r="75" ht="30" customHeight="1">
      <c r="B75" s="87" t="inlineStr">
        <is>
          <t>• Muestra el avance de cada puesto y el general, cuántas actividades están completadas, en curso, pendientes o vencidas, y el avance de cada semana del mes.</t>
        </is>
      </c>
    </row>
    <row r="76" ht="30" customHeight="1">
      <c r="B76" s="87" t="inlineStr">
        <is>
          <t>• Avance del puesto = suma de (peso × avance) de sus actividades del mes. Avance general = promedio de los 4 puestos (todos valen igual).</t>
        </is>
      </c>
    </row>
    <row r="77" ht="30" customHeight="1">
      <c r="B77" s="87" t="inlineStr">
        <is>
          <t>• Si un puesto llega al 100% antes de la Semana 4 aparece «¡Enhorabuena, completado anticipadamente!». Si llega en la Semana 4: «Completado».</t>
        </is>
      </c>
    </row>
    <row r="78" ht="30" customHeight="1">
      <c r="B78" s="87" t="inlineStr">
        <is>
          <t>• Si un puesto no tiene actividades en el mes o sus pesos no suman 100%, el avance general aparece como «No definitivo» hasta que se corrija.</t>
        </is>
      </c>
    </row>
    <row r="79" ht="15" customHeight="1">
      <c r="B79" s="87" t="inlineStr">
        <is>
          <t>• Haga clic en el nombre de un puesto para ir a su hoja.</t>
        </is>
      </c>
    </row>
    <row r="81" ht="20" customHeight="1">
      <c r="B81" s="86" t="inlineStr">
        <is>
          <t>Compartir el archivo con el equipo</t>
        </is>
      </c>
    </row>
    <row r="82" ht="15" customHeight="1">
      <c r="B82" s="87" t="inlineStr">
        <is>
          <t>1) Suba el archivo a OneDrive o SharePoint del área.</t>
        </is>
      </c>
    </row>
    <row r="83" ht="30" customHeight="1">
      <c r="B83" s="87" t="inlineStr">
        <is>
          <t>2) Botón Compartir &gt; invite a los cuatro responsables con permiso de edición, y a la jefatura con permiso de solo lectura.</t>
        </is>
      </c>
    </row>
    <row r="84" ht="30" customHeight="1">
      <c r="B84" s="87" t="inlineStr">
        <is>
          <t>3) Todos pueden trabajar al mismo tiempo, cada quien en su Cronograma (Excel en la Web o Microsoft 365, con Autoguardado activado).</t>
        </is>
      </c>
    </row>
    <row r="85" ht="30" customHeight="1">
      <c r="B85" s="87" t="inlineStr">
        <is>
          <t>4) Si alguien borra algo por error: Archivo &gt; Información &gt; Historial de versiones permite recuperar una versión anterior y ver quién cambió qué.</t>
        </is>
      </c>
    </row>
    <row r="87" ht="20" customHeight="1">
      <c r="B87" s="86" t="inlineStr">
        <is>
          <t>Protección</t>
        </is>
      </c>
    </row>
    <row r="88" ht="45" customHeight="1">
      <c r="B88" s="87" t="inlineStr">
        <is>
          <t>Las celdas automáticas (azul muy claro) están bloqueadas y las de llenar (gris suave) desbloqueadas. Las hojas Dashboard, Actividades, Historial y Configuración (salvo sus celdas gris suave) están completamente bloqueadas. La protección no tiene contraseña.</t>
        </is>
      </c>
    </row>
    <row r="89" ht="30" customHeight="1">
      <c r="B89" s="87" t="inlineStr">
        <is>
          <t>Para poner contraseña: Revisar &gt; Desproteger hoja y luego Revisar &gt; Proteger hoja; marque «Seleccionar celdas desbloqueadas», «Usar Autofiltro» y «Ordenar», y escriba la contraseña.</t>
        </is>
      </c>
    </row>
    <row r="90" ht="60" customHeight="1">
      <c r="B90" s="87" t="inlineStr">
        <is>
          <t>Importante: en un archivo compartido, cualquier persona con permiso de edición podría escribir en el Cronograma de otro puesto. Si se necesita impedirlo por completo, se usan cuatro archivos (uno por puesto) y este archivo los une con Power Query (Datos &gt; Obtener datos &gt; Desde SharePoint/carpeta, una consulta por tabla tblAct_XX, con «Actualizar al abrir»).</t>
        </is>
      </c>
    </row>
    <row r="92" ht="20" customHeight="1">
      <c r="B92" s="86" t="inlineStr">
        <is>
          <t>Necesito más filas</t>
        </is>
      </c>
    </row>
    <row r="93" ht="30" customHeight="1">
      <c r="B93" s="87" t="inlineStr">
        <is>
          <t>Revisar &gt; Desproteger hoja, colóquese en la última celda de la tabla del Cronograma y presione Tab; las fórmulas se copian solas. Luego vuelva a proteger la hoja. El Dashboard lee hasta la fila 1000.</t>
        </is>
      </c>
    </row>
    <row r="95" ht="20" customHeight="1">
      <c r="B95" s="86" t="inlineStr">
        <is>
          <t>Notas técnicas</t>
        </is>
      </c>
    </row>
    <row r="96" ht="30" customHeight="1">
      <c r="B96" s="87" t="inlineStr">
        <is>
          <t>• Archivo .xlsx sin macros, para Microsoft 365 en español (escritorio y Web). Las fórmulas se ven en español (BUSCAR, SI.ERROR, SUMAPRODUCTO, HOY…).</t>
        </is>
      </c>
    </row>
    <row r="97" ht="15" customHeight="1">
      <c r="B97" s="87" t="inlineStr">
        <is>
          <t>• Fórmula del avance actual: =SI.ERROR(BUSCAR(2;1/(G5:J5&lt;&gt;"");G5:J5);0) → toma el último avance semanal escrito.</t>
        </is>
      </c>
    </row>
    <row r="98" ht="30" customHeight="1">
      <c r="B98" s="87" t="inlineStr">
        <is>
          <t>• Mes de la actividad = mes de la fecha de inicio (si no hay, de la fecha límite). Semana actual = ENTERO((fecha de corte − primer lunes del mes) / 7) + 1, entre 1 y 4. Puede forzarse con «Semana manual» en Configuración.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B1"/>
  </mergeCells>
  <pageMargins left="0.75" right="0.75" top="1" bottom="1" header="0.5" footer="0.5"/>
  <pageSetup orientation="portrait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B1:D55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70" customWidth="1" min="4" max="4"/>
  </cols>
  <sheetData>
    <row r="1" ht="28" customHeight="1">
      <c r="B1" s="65" t="inlineStr">
        <is>
          <t>Configuración del ciclo mensual</t>
        </is>
      </c>
      <c r="C1" s="65" t="n"/>
      <c r="D1" s="65" t="n"/>
    </row>
    <row r="2">
      <c r="B2" s="88" t="inlineStr">
        <is>
          <t>Todo se calcula solo a partir de la fecha de hoy. Celdas GRIS SUAVE = puede escribir encima si necesita fijar otro valor; celdas AZUL CLARO = automáticas y bloqueadas.</t>
        </is>
      </c>
    </row>
    <row r="3">
      <c r="B3" s="7" t="inlineStr">
        <is>
          <t>Parámetro</t>
        </is>
      </c>
      <c r="C3" s="7" t="inlineStr">
        <is>
          <t>Valor</t>
        </is>
      </c>
      <c r="D3" s="7" t="inlineStr">
        <is>
          <t>Uso / nota</t>
        </is>
      </c>
    </row>
    <row r="4" ht="30" customHeight="1">
      <c r="B4" s="89" t="inlineStr">
        <is>
          <t>Mes que se muestra</t>
        </is>
      </c>
      <c r="C4" s="90">
        <f>DATE(YEAR(TODAY()),MONTH(TODAY()),1)</f>
        <v/>
      </c>
      <c r="D4" s="44" t="inlineStr">
        <is>
          <t>AUTOMÁTICO: mes actual. Para revisar un mes anterior (historial) escriba cualquier fecha de ese mes (ej. 01/09/2026); para volver al mes actual escriba =FECHA(AÑO(HOY());MES(HOY());1).</t>
        </is>
      </c>
    </row>
    <row r="5" ht="30" customHeight="1">
      <c r="B5" s="89" t="inlineStr">
        <is>
          <t>Fecha de inicio del ciclo (lunes de la Semana 1)</t>
        </is>
      </c>
      <c r="C5" s="91">
        <f>MesCiclo+MOD(2-WEEKDAY(MesCiclo),7)</f>
        <v/>
      </c>
      <c r="D5" s="44" t="inlineStr">
        <is>
          <t>AUTOMÁTICO: primer lunes del mes. Puede escribir otra fecha. Define en qué semana cae cada actividad en las hojas «Actividades».</t>
        </is>
      </c>
    </row>
    <row r="6" ht="30" customHeight="1">
      <c r="B6" s="89" t="inlineStr">
        <is>
          <t>Fecha de corte</t>
        </is>
      </c>
      <c r="C6" s="91">
        <f>TODAY()</f>
        <v/>
      </c>
      <c r="D6" s="44" t="inlineStr">
        <is>
          <t>AUTOMÁTICO: hoy. Puede escribir una fecha fija para emitir un reporte de corte. Determina actividades vencidas.</t>
        </is>
      </c>
    </row>
    <row r="7" ht="30" customHeight="1">
      <c r="B7" s="89" t="inlineStr">
        <is>
          <t>Semana actual del ciclo (1 a 4)</t>
        </is>
      </c>
      <c r="C7" s="92">
        <f>IF(SemanaManual&lt;&gt;"",SemanaManual,MIN(4,MAX(1,INT((FechaRef-InicioCiclo)/7)+1)))</f>
        <v/>
      </c>
      <c r="D7" s="44" t="inlineStr">
        <is>
          <t>AUTOMÁTICA: se calcula con la fecha de inicio y la fecha de corte. Controla los mensajes de finalización anticipada.</t>
        </is>
      </c>
    </row>
    <row r="8" ht="30" customHeight="1">
      <c r="B8" s="89" t="inlineStr">
        <is>
          <t>Semana manual (opcional)</t>
        </is>
      </c>
      <c r="C8" s="93" t="n"/>
      <c r="D8" s="44" t="inlineStr">
        <is>
          <t>Déjela VACÍA para usar la semana automática. Escriba 1–4 solo si necesita forzar otra semana.</t>
        </is>
      </c>
    </row>
    <row r="9" ht="30" customHeight="1">
      <c r="B9" s="89" t="inlineStr">
        <is>
          <t>Días de anticipación para alerta «próxima a vencer»</t>
        </is>
      </c>
      <c r="C9" s="93" t="n">
        <v>3</v>
      </c>
      <c r="D9" s="44" t="inlineStr">
        <is>
          <t>Actividades no completadas cuya fecha límite cae dentro de este número de días se señalan en ámbar.</t>
        </is>
      </c>
    </row>
    <row r="10" ht="30" customHeight="1">
      <c r="B10" s="89" t="inlineStr">
        <is>
          <t>¿Observación obligatoria si una actividad vence sin cumplirse?</t>
        </is>
      </c>
      <c r="C10" s="94" t="inlineStr">
        <is>
          <t>Sí</t>
        </is>
      </c>
      <c r="D10" s="44" t="inlineStr">
        <is>
          <t>Si es «Sí», una actividad vencida sin texto en Observaciones genera alerta (explicar por qué no se cumplió).</t>
        </is>
      </c>
    </row>
    <row r="11" ht="30" customHeight="1">
      <c r="B11" s="89" t="inlineStr">
        <is>
          <t>Meta mensual</t>
        </is>
      </c>
      <c r="C11" s="95" t="n">
        <v>1</v>
      </c>
      <c r="D11" s="44" t="inlineStr">
        <is>
          <t>Meta de cumplimiento de las actividades al cierre de la Semana 4 de cada mes.</t>
        </is>
      </c>
    </row>
    <row r="12" ht="30" customHeight="1">
      <c r="B12" s="89" t="inlineStr">
        <is>
          <t>Primer mes del historial</t>
        </is>
      </c>
      <c r="C12" s="90" t="n">
        <v>46296</v>
      </c>
      <c r="D12" s="44" t="inlineStr">
        <is>
          <t>El Historial mensual empieza en este mes (octubre 2026) y muestra 24 meses seguidos.</t>
        </is>
      </c>
    </row>
    <row r="14">
      <c r="B14" s="96" t="inlineStr">
        <is>
          <t>Plan de referencia (avance esperado acumulado por semana) – supuesto editable</t>
        </is>
      </c>
      <c r="C14" s="96" t="n"/>
      <c r="D14" s="96" t="n"/>
    </row>
    <row r="15">
      <c r="B15" s="97" t="inlineStr">
        <is>
          <t>Semana 1</t>
        </is>
      </c>
      <c r="C15" s="98" t="n">
        <v>0.25</v>
      </c>
      <c r="D15" s="99" t="inlineStr">
        <is>
          <t>Referencia lineal solo para comparación visual; no afecta el cálculo del avance real.</t>
        </is>
      </c>
    </row>
    <row r="16">
      <c r="B16" s="97" t="inlineStr">
        <is>
          <t>Semana 2</t>
        </is>
      </c>
      <c r="C16" s="98" t="n">
        <v>0.5</v>
      </c>
      <c r="D16" s="99" t="inlineStr">
        <is>
          <t>Referencia lineal solo para comparación visual; no afecta el cálculo del avance real.</t>
        </is>
      </c>
    </row>
    <row r="17">
      <c r="B17" s="97" t="inlineStr">
        <is>
          <t>Semana 3</t>
        </is>
      </c>
      <c r="C17" s="98" t="n">
        <v>0.75</v>
      </c>
      <c r="D17" s="99" t="inlineStr">
        <is>
          <t>Referencia lineal solo para comparación visual; no afecta el cálculo del avance real.</t>
        </is>
      </c>
    </row>
    <row r="18">
      <c r="B18" s="97" t="inlineStr">
        <is>
          <t>Semana 4</t>
        </is>
      </c>
      <c r="C18" s="98" t="n">
        <v>1</v>
      </c>
      <c r="D18" s="99" t="inlineStr">
        <is>
          <t>Referencia lineal solo para comparación visual; no afecta el cálculo del avance real.</t>
        </is>
      </c>
    </row>
    <row r="20">
      <c r="B20" s="100" t="inlineStr">
        <is>
          <t>Listas desplegables (no editar sin actualizar las fórmulas)</t>
        </is>
      </c>
      <c r="C20" s="100" t="n"/>
      <c r="D20" s="100" t="n"/>
    </row>
    <row r="21">
      <c r="B21" s="101" t="inlineStr">
        <is>
          <t>Áreas / Puestos</t>
        </is>
      </c>
    </row>
    <row r="22">
      <c r="B22" s="102" t="inlineStr">
        <is>
          <t>Riesgo Operacional</t>
        </is>
      </c>
    </row>
    <row r="23">
      <c r="B23" s="102" t="inlineStr">
        <is>
          <t>Riesgo Normativo</t>
        </is>
      </c>
    </row>
    <row r="24">
      <c r="B24" s="102" t="inlineStr">
        <is>
          <t>Riesgo Financiero</t>
        </is>
      </c>
    </row>
    <row r="25">
      <c r="B25" s="102" t="inlineStr">
        <is>
          <t>Asistente Técnico de Riesgo</t>
        </is>
      </c>
    </row>
    <row r="27">
      <c r="B27" s="101" t="inlineStr">
        <is>
          <t>Estados</t>
        </is>
      </c>
    </row>
    <row r="28">
      <c r="B28" s="102" t="inlineStr">
        <is>
          <t>Pendiente</t>
        </is>
      </c>
    </row>
    <row r="29">
      <c r="B29" s="102" t="inlineStr">
        <is>
          <t>En curso</t>
        </is>
      </c>
    </row>
    <row r="30">
      <c r="B30" s="102" t="inlineStr">
        <is>
          <t>Completado</t>
        </is>
      </c>
    </row>
    <row r="32">
      <c r="B32" s="101" t="inlineStr">
        <is>
          <t>Semanas</t>
        </is>
      </c>
    </row>
    <row r="33">
      <c r="B33" s="102" t="inlineStr">
        <is>
          <t>Semana 1</t>
        </is>
      </c>
    </row>
    <row r="34">
      <c r="B34" s="102" t="inlineStr">
        <is>
          <t>Semana 2</t>
        </is>
      </c>
    </row>
    <row r="35">
      <c r="B35" s="102" t="inlineStr">
        <is>
          <t>Semana 3</t>
        </is>
      </c>
    </row>
    <row r="36">
      <c r="B36" s="102" t="inlineStr">
        <is>
          <t>Semana 4</t>
        </is>
      </c>
    </row>
    <row r="38">
      <c r="B38" s="101" t="inlineStr">
        <is>
          <t>Sí / No</t>
        </is>
      </c>
    </row>
    <row r="39">
      <c r="B39" s="102" t="inlineStr">
        <is>
          <t>Sí</t>
        </is>
      </c>
    </row>
    <row r="40">
      <c r="B40" s="102" t="inlineStr">
        <is>
          <t>No</t>
        </is>
      </c>
    </row>
    <row r="43">
      <c r="B43" s="100" t="inlineStr">
        <is>
          <t>Metodología de cálculo (documentación)</t>
        </is>
      </c>
      <c r="C43" s="100" t="n"/>
      <c r="D43" s="100" t="n"/>
    </row>
    <row r="44" ht="30" customHeight="1">
      <c r="B44" s="103" t="inlineStr">
        <is>
          <t>1. Avance de una actividad = último avance semanal acumulado registrado (Semana 4 → 1), ignorando semanas vacías. Los avances semanales NO se suman.</t>
        </is>
      </c>
      <c r="C44" s="103" t="n"/>
      <c r="D44" s="103" t="n"/>
    </row>
    <row r="45" ht="30" customHeight="1">
      <c r="B45" s="103" t="inlineStr">
        <is>
          <t>2. Estado automático: 0% = Pendiente; &gt;0% y &lt;100% = En curso; 100% = Completado.</t>
        </is>
      </c>
      <c r="C45" s="103" t="n"/>
      <c r="D45" s="103" t="n"/>
    </row>
    <row r="46" ht="30" customHeight="1">
      <c r="B46" s="103" t="inlineStr">
        <is>
          <t>3. Avance ponderado del puesto = Σ (peso efectivo × avance actual) de las macroactividades del mes. Es válido si el puesto tiene ≥1 macroactividad en el mes y ningún peso fuera de 0–100%.</t>
        </is>
      </c>
      <c r="C46" s="103" t="n"/>
      <c r="D46" s="103" t="n"/>
    </row>
    <row r="47" ht="30" customHeight="1">
      <c r="B47" s="103" t="inlineStr">
        <is>
          <t>0. Cada actividad pertenece al mes de su fecha de inicio (columna «Mes» del Cronograma). Dashboard, hojas Actividades y cálculos usan solo el mes mostrado; los meses anteriores quedan en el Historial mensual.</t>
        </is>
      </c>
      <c r="C47" s="103" t="n"/>
      <c r="D47" s="103" t="n"/>
    </row>
    <row r="48" ht="30" customHeight="1">
      <c r="B48" s="103" t="inlineStr">
        <is>
          <t>0b. Subactividades: filas con Tipo «Subactividad» pertenecen a la macroactividad más cercana hacia arriba y valen igual. Avance de la macroactividad = promedio de sus subactividades (semana por semana). Una fila con Fecha de cumplimiento cuenta 100% desde la semana en que se cumplió. Peso efectivo de cada macroactividad = su peso / suma de pesos del mes (vacío = partes iguales), por lo que siempre suma 100%.</t>
        </is>
      </c>
      <c r="C48" s="103" t="n"/>
      <c r="D48" s="103" t="n"/>
    </row>
    <row r="49" ht="30" customHeight="1">
      <c r="B49" s="103" t="inlineStr">
        <is>
          <t>4. Avance general de las actividades = promedio simple de los 4 puestos (cada puesto pesa 25%, sin importar cuántas actividades tenga). Si algún puesto no es válido, el Dashboard muestra «No definitivo» y un valor provisional rotulado como tal.</t>
        </is>
      </c>
      <c r="C49" s="103" t="n"/>
      <c r="D49" s="103" t="n"/>
    </row>
    <row r="50" ht="30" customHeight="1">
      <c r="B50" s="103" t="inlineStr">
        <is>
          <t>5. Avance semanal acumulado (Semana n) = Σ peso × último avance registrado hasta la Semana n. Incremento semanal = acumulado Semana n − acumulado Semana n−1.</t>
        </is>
      </c>
      <c r="C50" s="103" t="n"/>
      <c r="D50" s="103" t="n"/>
    </row>
    <row r="51" ht="30" customHeight="1">
      <c r="B51" s="103" t="inlineStr">
        <is>
          <t>6. «¡Enhorabuena, completado anticipadamente!»: el puesto (o el total de actividades del mes) es válido, llega al 100% y la semana en que lo alcanzó (la menor entre la primera semana con 100% registrada y la Semana actual) es anterior a la Semana 4. Si lo alcanza en la Semana 4: «Completado». Si no: «En ejecución».</t>
        </is>
      </c>
      <c r="C51" s="103" t="n"/>
      <c r="D51" s="103" t="n"/>
    </row>
    <row r="52" ht="30" customHeight="1">
      <c r="B52" s="103" t="inlineStr">
        <is>
          <t>7. Una semana se muestra en el seguimiento si es ≤ Semana actual o si ya tiene algún avance registrado.</t>
        </is>
      </c>
      <c r="C52" s="103" t="n"/>
      <c r="D52" s="103" t="n"/>
    </row>
    <row r="53" ht="30" customHeight="1">
      <c r="B53" s="103" t="inlineStr">
        <is>
          <t>8. Cada puesto tiene su propia hoja «Cronograma» y su hoja «Actividades» semanales. El Dashboard consolida los cuatro cronogramas (filas 5 a 1000) y las cuatro hojas de actividades (filas 5 a 500).</t>
        </is>
      </c>
      <c r="C53" s="103" t="n"/>
      <c r="D53" s="103" t="n"/>
    </row>
    <row r="54" ht="30" customHeight="1">
      <c r="B54" s="103" t="inlineStr">
        <is>
          <t>9. Semana actual = ENTERO((fecha de corte − fecha de inicio) / 7) + 1, limitada entre 1 y 4, salvo que se escriba una semana manual.</t>
        </is>
      </c>
      <c r="C54" s="103" t="n"/>
      <c r="D54" s="103" t="n"/>
    </row>
    <row r="55" ht="30" customHeight="1">
      <c r="B55" s="103" t="inlineStr">
        <is>
          <t>10. Hojas «Actividades»: se llenan solas desde el Cronograma del puesto. Semana de entrega = semana en que cae la fecha límite. Estado: Completado (100%), Vencida (pasó la fecha límite sin llegar a 100%), En curso o Pendiente.</t>
        </is>
      </c>
      <c r="C55" s="103" t="n"/>
      <c r="D55" s="103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1" sort="1"/>
  <mergeCells count="16">
    <mergeCell ref="B54:D54"/>
    <mergeCell ref="B14:D14"/>
    <mergeCell ref="B45:D45"/>
    <mergeCell ref="B46:D46"/>
    <mergeCell ref="B1:D1"/>
    <mergeCell ref="B49:D49"/>
    <mergeCell ref="B50:D50"/>
    <mergeCell ref="B52:D52"/>
    <mergeCell ref="B44:D44"/>
    <mergeCell ref="B53:D53"/>
    <mergeCell ref="B43:D43"/>
    <mergeCell ref="B55:D55"/>
    <mergeCell ref="B51:D51"/>
    <mergeCell ref="B47:D47"/>
    <mergeCell ref="B48:D48"/>
    <mergeCell ref="B20:D20"/>
  </mergeCells>
  <dataValidations count="4">
    <dataValidation sqref="C4 C5 C6 C12" showDropDown="0" showInputMessage="0" showErrorMessage="1" allowBlank="0" error="Ingrese una fecha válida (dd/mm/aaaa)." type="date" operator="greaterThan">
      <formula1>36526</formula1>
    </dataValidation>
    <dataValidation sqref="C8" showDropDown="0" showInputMessage="0" showErrorMessage="1" allowBlank="1" errorTitle="Semana no válida" error="Ingrese un número entero entre 1 y 4, o deje vacío para la semana automática." type="whole" operator="between">
      <formula1>1</formula1>
      <formula2>4</formula2>
    </dataValidation>
    <dataValidation sqref="C9" showDropDown="0" showInputMessage="0" showErrorMessage="1" allowBlank="0" error="Ingrese un número de días entre 0 y 30." type="whole" operator="between">
      <formula1>0</formula1>
      <formula2>30</formula2>
    </dataValidation>
    <dataValidation sqref="C10" showDropDown="0" showInputMessage="0" showErrorMessage="1" allowBlank="0" type="list">
      <formula1>ListaSiNo</formula1>
    </dataValidation>
  </dataValidation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60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</cols>
  <sheetData>
    <row r="1">
      <c r="A1" s="104" t="inlineStr">
        <is>
          <t>Hoja auxiliar OCULTA: cálculos intermedios por puesto (cada fila lee la hoja de cronograma de su puesto) que alimentan el Dashboard. No editar. Ver metodología en Configuración.</t>
        </is>
      </c>
    </row>
    <row r="3">
      <c r="A3" s="105" t="inlineStr">
        <is>
          <t>Puesto</t>
        </is>
      </c>
      <c r="B3" s="105" t="inlineStr">
        <is>
          <t>N° actividades</t>
        </is>
      </c>
      <c r="C3" s="105" t="inlineStr">
        <is>
          <t>Suma de pesos</t>
        </is>
      </c>
      <c r="D3" s="105" t="inlineStr">
        <is>
          <t>Pesos vacíos o inválidos</t>
        </is>
      </c>
      <c r="E3" s="105" t="inlineStr">
        <is>
          <t>Configuración válida</t>
        </is>
      </c>
      <c r="F3" s="105" t="inlineStr">
        <is>
          <t>Avance ponderado actual</t>
        </is>
      </c>
      <c r="G3" s="105" t="inlineStr">
        <is>
          <t>Acum. Semana 1</t>
        </is>
      </c>
      <c r="H3" s="105" t="inlineStr">
        <is>
          <t>Acum. Semana 2</t>
        </is>
      </c>
      <c r="I3" s="105" t="inlineStr">
        <is>
          <t>Acum. Semana 3</t>
        </is>
      </c>
      <c r="J3" s="105" t="inlineStr">
        <is>
          <t>Acum. Semana 4</t>
        </is>
      </c>
      <c r="K3" s="105" t="inlineStr">
        <is>
          <t>Primera semana con 100%</t>
        </is>
      </c>
      <c r="L3" s="105" t="inlineStr">
        <is>
          <t>Completado (100%)</t>
        </is>
      </c>
      <c r="M3" s="105" t="inlineStr">
        <is>
          <t>Completado anticipadamente</t>
        </is>
      </c>
      <c r="N3" s="105" t="inlineStr">
        <is>
          <t>Completadas</t>
        </is>
      </c>
      <c r="O3" s="105" t="inlineStr">
        <is>
          <t>En curso</t>
        </is>
      </c>
      <c r="P3" s="105" t="inlineStr">
        <is>
          <t>Pendientes</t>
        </is>
      </c>
      <c r="Q3" s="105" t="inlineStr">
        <is>
          <t>Vencidas</t>
        </is>
      </c>
      <c r="R3" s="105" t="inlineStr">
        <is>
          <t>Con alertas</t>
        </is>
      </c>
      <c r="S3" s="105" t="inlineStr">
        <is>
          <t>Próximas a vencer</t>
        </is>
      </c>
      <c r="T3" s="105" t="inlineStr">
        <is>
          <t>Hoja de cronograma</t>
        </is>
      </c>
    </row>
    <row r="4">
      <c r="A4">
        <f>INDEX(ListaPuestos,1)</f>
        <v/>
      </c>
      <c r="B4">
        <f>COUNTIFS(rValid_RO,"?*",rMes_RO,MesCiclo,rTipo_RO,"Macro")</f>
        <v/>
      </c>
      <c r="C4" s="106">
        <f>SUMIFS(rPeso_RO,rMes_RO,MesCiclo,rTipo_RO,"Macro")</f>
        <v/>
      </c>
      <c r="D4" s="106">
        <f>COUNTIFS(rPesoEscrito_RO,"&gt;1",rMes_RO,MesCiclo,rTipo_RO,"Macro")+COUNTIFS(rPesoEscrito_RO,"&lt;0",rMes_RO,MesCiclo,rTipo_RO,"Macro")</f>
        <v/>
      </c>
      <c r="E4">
        <f>AND(B4&gt;0,D4=0,ABS(C4-1)&lt;=0.0001)</f>
        <v/>
      </c>
      <c r="F4" s="106">
        <f>IFERROR(SUMPRODUCT(--((rMes_RO=MesCiclo)*(rTipo_RO="Macro")),rPeso_RO,rAvance_RO),0)</f>
        <v/>
      </c>
      <c r="G4" s="106">
        <f>IFERROR(SUMPRODUCT(--((rMes_RO=MesCiclo)*(rTipo_RO="Macro")),rPeso_RO,rEf1_RO),0)</f>
        <v/>
      </c>
      <c r="H4" s="106">
        <f>IFERROR(SUMPRODUCT(--((rMes_RO=MesCiclo)*(rTipo_RO="Macro")),rPeso_RO,rEf2_RO),0)</f>
        <v/>
      </c>
      <c r="I4" s="106">
        <f>IFERROR(SUMPRODUCT(--((rMes_RO=MesCiclo)*(rTipo_RO="Macro")),rPeso_RO,rEf3_RO),0)</f>
        <v/>
      </c>
      <c r="J4" s="106">
        <f>IFERROR(SUMPRODUCT(--((rMes_RO=MesCiclo)*(rTipo_RO="Macro")),rPeso_RO,rEf4_RO),0)</f>
        <v/>
      </c>
      <c r="K4">
        <f>IF(ROUND(G4,4)&gt;=1,1,IF(ROUND(H4,4)&gt;=1,2,IF(ROUND(I4,4)&gt;=1,3,IF(ROUND(J4,4)&gt;=1,4,""))))</f>
        <v/>
      </c>
      <c r="L4">
        <f>AND(E4,ROUND(F4,4)&gt;=1)</f>
        <v/>
      </c>
      <c r="M4">
        <f>AND(L4,MIN(IF(K4="",4,K4),SemanaActual)&lt;4)</f>
        <v/>
      </c>
      <c r="N4">
        <f>COUNTIFS(rEstado_RO,"Completado",rMes_RO,MesCiclo,rTipo_RO,"Macro")</f>
        <v/>
      </c>
      <c r="O4">
        <f>COUNTIFS(rEstado_RO,"En curso",rMes_RO,MesCiclo,rTipo_RO,"Macro")</f>
        <v/>
      </c>
      <c r="P4">
        <f>COUNTIFS(rEstado_RO,"Pendiente",rMes_RO,MesCiclo,rTipo_RO,"Macro")</f>
        <v/>
      </c>
      <c r="Q4">
        <f>SUMPRODUCT((rMes_RO=MesCiclo)*(rTipo_RO="Macro")*ISNUMBER(SEARCH("Vencida",rValid_RO)))</f>
        <v/>
      </c>
      <c r="R4">
        <f>SUMPRODUCT((rMes_RO=MesCiclo)*(LEFT(rValid_RO,1)="⚠"))</f>
        <v/>
      </c>
      <c r="S4">
        <f>COUNTIFS(rFLim_RO,"&gt;="&amp;FechaRef,rFLim_RO,"&lt;="&amp;(FechaRef+DiasAlerta),rAvance_RO,"&lt;1",rMes_RO,MesCiclo,rTipo_RO,"Macro")</f>
        <v/>
      </c>
      <c r="T4" t="inlineStr">
        <is>
          <t>Cronograma R. Operacional</t>
        </is>
      </c>
      <c r="U4">
        <f>COUNTIFS(rMes_RO,MesCiclo,rTipo_RO,"Macro",rAct_RO,"[Jefatura]*")</f>
        <v/>
      </c>
    </row>
    <row r="5">
      <c r="A5">
        <f>INDEX(ListaPuestos,2)</f>
        <v/>
      </c>
      <c r="B5">
        <f>COUNTIFS(rValid_RN,"?*",rMes_RN,MesCiclo,rTipo_RN,"Macro")</f>
        <v/>
      </c>
      <c r="C5" s="106">
        <f>SUMIFS(rPeso_RN,rMes_RN,MesCiclo,rTipo_RN,"Macro")</f>
        <v/>
      </c>
      <c r="D5" s="106">
        <f>COUNTIFS(rPesoEscrito_RN,"&gt;1",rMes_RN,MesCiclo,rTipo_RN,"Macro")+COUNTIFS(rPesoEscrito_RN,"&lt;0",rMes_RN,MesCiclo,rTipo_RN,"Macro")</f>
        <v/>
      </c>
      <c r="E5">
        <f>AND(B5&gt;0,D5=0,ABS(C5-1)&lt;=0.0001)</f>
        <v/>
      </c>
      <c r="F5" s="106">
        <f>IFERROR(SUMPRODUCT(--((rMes_RN=MesCiclo)*(rTipo_RN="Macro")),rPeso_RN,rAvance_RN),0)</f>
        <v/>
      </c>
      <c r="G5" s="106">
        <f>IFERROR(SUMPRODUCT(--((rMes_RN=MesCiclo)*(rTipo_RN="Macro")),rPeso_RN,rEf1_RN),0)</f>
        <v/>
      </c>
      <c r="H5" s="106">
        <f>IFERROR(SUMPRODUCT(--((rMes_RN=MesCiclo)*(rTipo_RN="Macro")),rPeso_RN,rEf2_RN),0)</f>
        <v/>
      </c>
      <c r="I5" s="106">
        <f>IFERROR(SUMPRODUCT(--((rMes_RN=MesCiclo)*(rTipo_RN="Macro")),rPeso_RN,rEf3_RN),0)</f>
        <v/>
      </c>
      <c r="J5" s="106">
        <f>IFERROR(SUMPRODUCT(--((rMes_RN=MesCiclo)*(rTipo_RN="Macro")),rPeso_RN,rEf4_RN),0)</f>
        <v/>
      </c>
      <c r="K5">
        <f>IF(ROUND(G5,4)&gt;=1,1,IF(ROUND(H5,4)&gt;=1,2,IF(ROUND(I5,4)&gt;=1,3,IF(ROUND(J5,4)&gt;=1,4,""))))</f>
        <v/>
      </c>
      <c r="L5">
        <f>AND(E5,ROUND(F5,4)&gt;=1)</f>
        <v/>
      </c>
      <c r="M5">
        <f>AND(L5,MIN(IF(K5="",4,K5),SemanaActual)&lt;4)</f>
        <v/>
      </c>
      <c r="N5">
        <f>COUNTIFS(rEstado_RN,"Completado",rMes_RN,MesCiclo,rTipo_RN,"Macro")</f>
        <v/>
      </c>
      <c r="O5">
        <f>COUNTIFS(rEstado_RN,"En curso",rMes_RN,MesCiclo,rTipo_RN,"Macro")</f>
        <v/>
      </c>
      <c r="P5">
        <f>COUNTIFS(rEstado_RN,"Pendiente",rMes_RN,MesCiclo,rTipo_RN,"Macro")</f>
        <v/>
      </c>
      <c r="Q5">
        <f>SUMPRODUCT((rMes_RN=MesCiclo)*(rTipo_RN="Macro")*ISNUMBER(SEARCH("Vencida",rValid_RN)))</f>
        <v/>
      </c>
      <c r="R5">
        <f>SUMPRODUCT((rMes_RN=MesCiclo)*(LEFT(rValid_RN,1)="⚠"))</f>
        <v/>
      </c>
      <c r="S5">
        <f>COUNTIFS(rFLim_RN,"&gt;="&amp;FechaRef,rFLim_RN,"&lt;="&amp;(FechaRef+DiasAlerta),rAvance_RN,"&lt;1",rMes_RN,MesCiclo,rTipo_RN,"Macro")</f>
        <v/>
      </c>
      <c r="T5" t="inlineStr">
        <is>
          <t>Cronograma R. Normativo</t>
        </is>
      </c>
      <c r="U5">
        <f>COUNTIFS(rMes_RN,MesCiclo,rTipo_RN,"Macro",rAct_RN,"[Jefatura]*")</f>
        <v/>
      </c>
    </row>
    <row r="6">
      <c r="A6">
        <f>INDEX(ListaPuestos,3)</f>
        <v/>
      </c>
      <c r="B6">
        <f>COUNTIFS(rValid_RF,"?*",rMes_RF,MesCiclo,rTipo_RF,"Macro")</f>
        <v/>
      </c>
      <c r="C6" s="106">
        <f>SUMIFS(rPeso_RF,rMes_RF,MesCiclo,rTipo_RF,"Macro")</f>
        <v/>
      </c>
      <c r="D6" s="106">
        <f>COUNTIFS(rPesoEscrito_RF,"&gt;1",rMes_RF,MesCiclo,rTipo_RF,"Macro")+COUNTIFS(rPesoEscrito_RF,"&lt;0",rMes_RF,MesCiclo,rTipo_RF,"Macro")</f>
        <v/>
      </c>
      <c r="E6">
        <f>AND(B6&gt;0,D6=0,ABS(C6-1)&lt;=0.0001)</f>
        <v/>
      </c>
      <c r="F6" s="106">
        <f>IFERROR(SUMPRODUCT(--((rMes_RF=MesCiclo)*(rTipo_RF="Macro")),rPeso_RF,rAvance_RF),0)</f>
        <v/>
      </c>
      <c r="G6" s="106">
        <f>IFERROR(SUMPRODUCT(--((rMes_RF=MesCiclo)*(rTipo_RF="Macro")),rPeso_RF,rEf1_RF),0)</f>
        <v/>
      </c>
      <c r="H6" s="106">
        <f>IFERROR(SUMPRODUCT(--((rMes_RF=MesCiclo)*(rTipo_RF="Macro")),rPeso_RF,rEf2_RF),0)</f>
        <v/>
      </c>
      <c r="I6" s="106">
        <f>IFERROR(SUMPRODUCT(--((rMes_RF=MesCiclo)*(rTipo_RF="Macro")),rPeso_RF,rEf3_RF),0)</f>
        <v/>
      </c>
      <c r="J6" s="106">
        <f>IFERROR(SUMPRODUCT(--((rMes_RF=MesCiclo)*(rTipo_RF="Macro")),rPeso_RF,rEf4_RF),0)</f>
        <v/>
      </c>
      <c r="K6">
        <f>IF(ROUND(G6,4)&gt;=1,1,IF(ROUND(H6,4)&gt;=1,2,IF(ROUND(I6,4)&gt;=1,3,IF(ROUND(J6,4)&gt;=1,4,""))))</f>
        <v/>
      </c>
      <c r="L6">
        <f>AND(E6,ROUND(F6,4)&gt;=1)</f>
        <v/>
      </c>
      <c r="M6">
        <f>AND(L6,MIN(IF(K6="",4,K6),SemanaActual)&lt;4)</f>
        <v/>
      </c>
      <c r="N6">
        <f>COUNTIFS(rEstado_RF,"Completado",rMes_RF,MesCiclo,rTipo_RF,"Macro")</f>
        <v/>
      </c>
      <c r="O6">
        <f>COUNTIFS(rEstado_RF,"En curso",rMes_RF,MesCiclo,rTipo_RF,"Macro")</f>
        <v/>
      </c>
      <c r="P6">
        <f>COUNTIFS(rEstado_RF,"Pendiente",rMes_RF,MesCiclo,rTipo_RF,"Macro")</f>
        <v/>
      </c>
      <c r="Q6">
        <f>SUMPRODUCT((rMes_RF=MesCiclo)*(rTipo_RF="Macro")*ISNUMBER(SEARCH("Vencida",rValid_RF)))</f>
        <v/>
      </c>
      <c r="R6">
        <f>SUMPRODUCT((rMes_RF=MesCiclo)*(LEFT(rValid_RF,1)="⚠"))</f>
        <v/>
      </c>
      <c r="S6">
        <f>COUNTIFS(rFLim_RF,"&gt;="&amp;FechaRef,rFLim_RF,"&lt;="&amp;(FechaRef+DiasAlerta),rAvance_RF,"&lt;1",rMes_RF,MesCiclo,rTipo_RF,"Macro")</f>
        <v/>
      </c>
      <c r="T6" t="inlineStr">
        <is>
          <t>Cronograma R. Financiero</t>
        </is>
      </c>
      <c r="U6">
        <f>COUNTIFS(rMes_RF,MesCiclo,rTipo_RF,"Macro",rAct_RF,"[Jefatura]*")</f>
        <v/>
      </c>
    </row>
    <row r="7">
      <c r="A7">
        <f>INDEX(ListaPuestos,4)</f>
        <v/>
      </c>
      <c r="B7">
        <f>COUNTIFS(rValid_ATR,"?*",rMes_ATR,MesCiclo,rTipo_ATR,"Macro")</f>
        <v/>
      </c>
      <c r="C7" s="106">
        <f>SUMIFS(rPeso_ATR,rMes_ATR,MesCiclo,rTipo_ATR,"Macro")</f>
        <v/>
      </c>
      <c r="D7" s="106">
        <f>COUNTIFS(rPesoEscrito_ATR,"&gt;1",rMes_ATR,MesCiclo,rTipo_ATR,"Macro")+COUNTIFS(rPesoEscrito_ATR,"&lt;0",rMes_ATR,MesCiclo,rTipo_ATR,"Macro")</f>
        <v/>
      </c>
      <c r="E7">
        <f>AND(B7&gt;0,D7=0,ABS(C7-1)&lt;=0.0001)</f>
        <v/>
      </c>
      <c r="F7" s="106">
        <f>IFERROR(SUMPRODUCT(--((rMes_ATR=MesCiclo)*(rTipo_ATR="Macro")),rPeso_ATR,rAvance_ATR),0)</f>
        <v/>
      </c>
      <c r="G7" s="106">
        <f>IFERROR(SUMPRODUCT(--((rMes_ATR=MesCiclo)*(rTipo_ATR="Macro")),rPeso_ATR,rEf1_ATR),0)</f>
        <v/>
      </c>
      <c r="H7" s="106">
        <f>IFERROR(SUMPRODUCT(--((rMes_ATR=MesCiclo)*(rTipo_ATR="Macro")),rPeso_ATR,rEf2_ATR),0)</f>
        <v/>
      </c>
      <c r="I7" s="106">
        <f>IFERROR(SUMPRODUCT(--((rMes_ATR=MesCiclo)*(rTipo_ATR="Macro")),rPeso_ATR,rEf3_ATR),0)</f>
        <v/>
      </c>
      <c r="J7" s="106">
        <f>IFERROR(SUMPRODUCT(--((rMes_ATR=MesCiclo)*(rTipo_ATR="Macro")),rPeso_ATR,rEf4_ATR),0)</f>
        <v/>
      </c>
      <c r="K7">
        <f>IF(ROUND(G7,4)&gt;=1,1,IF(ROUND(H7,4)&gt;=1,2,IF(ROUND(I7,4)&gt;=1,3,IF(ROUND(J7,4)&gt;=1,4,""))))</f>
        <v/>
      </c>
      <c r="L7">
        <f>AND(E7,ROUND(F7,4)&gt;=1)</f>
        <v/>
      </c>
      <c r="M7">
        <f>AND(L7,MIN(IF(K7="",4,K7),SemanaActual)&lt;4)</f>
        <v/>
      </c>
      <c r="N7">
        <f>COUNTIFS(rEstado_ATR,"Completado",rMes_ATR,MesCiclo,rTipo_ATR,"Macro")</f>
        <v/>
      </c>
      <c r="O7">
        <f>COUNTIFS(rEstado_ATR,"En curso",rMes_ATR,MesCiclo,rTipo_ATR,"Macro")</f>
        <v/>
      </c>
      <c r="P7">
        <f>COUNTIFS(rEstado_ATR,"Pendiente",rMes_ATR,MesCiclo,rTipo_ATR,"Macro")</f>
        <v/>
      </c>
      <c r="Q7">
        <f>SUMPRODUCT((rMes_ATR=MesCiclo)*(rTipo_ATR="Macro")*ISNUMBER(SEARCH("Vencida",rValid_ATR)))</f>
        <v/>
      </c>
      <c r="R7">
        <f>SUMPRODUCT((rMes_ATR=MesCiclo)*(LEFT(rValid_ATR,1)="⚠"))</f>
        <v/>
      </c>
      <c r="S7">
        <f>COUNTIFS(rFLim_ATR,"&gt;="&amp;FechaRef,rFLim_ATR,"&lt;="&amp;(FechaRef+DiasAlerta),rAvance_ATR,"&lt;1",rMes_ATR,MesCiclo,rTipo_ATR,"Macro")</f>
        <v/>
      </c>
      <c r="T7" t="inlineStr">
        <is>
          <t>Cronograma Asistente Técnico</t>
        </is>
      </c>
      <c r="U7">
        <f>COUNTIFS(rMes_ATR,MesCiclo,rTipo_ATR,"Macro",rAct_ATR,"[Jefatura]*")</f>
        <v/>
      </c>
    </row>
    <row r="8">
      <c r="A8" t="inlineStr">
        <is>
          <t>Total actividades del mes (promedio de 4 puestos)</t>
        </is>
      </c>
      <c r="B8">
        <f>SUM(B4:B7)</f>
        <v/>
      </c>
      <c r="C8" s="107">
        <f>COUNTIF(E4:E7,TRUE)</f>
        <v/>
      </c>
      <c r="D8" s="106">
        <f>IF(C8&gt;0,SUMPRODUCT(F4:F7*(E4:E7=TRUE))/C8,"")</f>
        <v/>
      </c>
      <c r="E8">
        <f>AND(E4,E5,E6,E7)</f>
        <v/>
      </c>
      <c r="F8" s="106">
        <f>IF(E8,AVERAGE(F4:F7),"")</f>
        <v/>
      </c>
      <c r="G8" s="106">
        <f>IF($E$8,AVERAGE(G4:G7),"")</f>
        <v/>
      </c>
      <c r="H8" s="106">
        <f>IF($E$8,AVERAGE(H4:H7),"")</f>
        <v/>
      </c>
      <c r="I8" s="106">
        <f>IF($E$8,AVERAGE(I4:I7),"")</f>
        <v/>
      </c>
      <c r="J8" s="106">
        <f>IF($E$8,AVERAGE(J4:J7),"")</f>
        <v/>
      </c>
      <c r="K8">
        <f>IF(NOT(E8),"",IF(ROUND(G8,4)&gt;=1,1,IF(ROUND(H8,4)&gt;=1,2,IF(ROUND(I8,4)&gt;=1,3,IF(ROUND(J8,4)&gt;=1,4,"")))))</f>
        <v/>
      </c>
      <c r="L8">
        <f>AND(E8,ROUND(N(F8),4)&gt;=1)</f>
        <v/>
      </c>
      <c r="M8">
        <f>AND(L8,MIN(IF(K8="",4,K8),SemanaActual)&lt;4)</f>
        <v/>
      </c>
      <c r="N8">
        <f>SUM(N4:N7)</f>
        <v/>
      </c>
      <c r="O8">
        <f>SUM(O4:O7)</f>
        <v/>
      </c>
      <c r="P8">
        <f>SUM(P4:P7)</f>
        <v/>
      </c>
      <c r="Q8">
        <f>SUM(Q4:Q7)</f>
        <v/>
      </c>
      <c r="R8">
        <f>SUM(R4:R7)</f>
        <v/>
      </c>
      <c r="S8">
        <f>SUM(S4:S7)</f>
        <v/>
      </c>
      <c r="U8">
        <f>SUM(U4:U7)</f>
        <v/>
      </c>
    </row>
    <row r="9">
      <c r="A9" s="108" t="inlineStr">
        <is>
          <t>Fila 8: C = n° puestos válidos; D = avance provisional (promedio solo de puestos válidos).</t>
        </is>
      </c>
    </row>
    <row r="10">
      <c r="A10" t="inlineStr">
        <is>
          <t>Semana visible en seguimiento</t>
        </is>
      </c>
      <c r="G10">
        <f>OR(1&lt;=SemanaActual,(COUNTIFS(rMes_RO,MesCiclo,rS1_RO,"&lt;&gt;")+COUNTIFS(rMes_RN,MesCiclo,rS1_RN,"&lt;&gt;")+COUNTIFS(rMes_RF,MesCiclo,rS1_RF,"&lt;&gt;")+COUNTIFS(rMes_ATR,MesCiclo,rS1_ATR,"&lt;&gt;"))&gt;0)</f>
        <v/>
      </c>
      <c r="H10">
        <f>OR(2&lt;=SemanaActual,(COUNTIFS(rMes_RO,MesCiclo,rS2_RO,"&lt;&gt;")+COUNTIFS(rMes_RN,MesCiclo,rS2_RN,"&lt;&gt;")+COUNTIFS(rMes_RF,MesCiclo,rS2_RF,"&lt;&gt;")+COUNTIFS(rMes_ATR,MesCiclo,rS2_ATR,"&lt;&gt;"))&gt;0)</f>
        <v/>
      </c>
      <c r="I10">
        <f>OR(3&lt;=SemanaActual,(COUNTIFS(rMes_RO,MesCiclo,rS3_RO,"&lt;&gt;")+COUNTIFS(rMes_RN,MesCiclo,rS3_RN,"&lt;&gt;")+COUNTIFS(rMes_RF,MesCiclo,rS3_RF,"&lt;&gt;")+COUNTIFS(rMes_ATR,MesCiclo,rS3_ATR,"&lt;&gt;"))&gt;0)</f>
        <v/>
      </c>
      <c r="J10">
        <f>OR(4&lt;=SemanaActual,(COUNTIFS(rMes_RO,MesCiclo,rS4_RO,"&lt;&gt;")+COUNTIFS(rMes_RN,MesCiclo,rS4_RN,"&lt;&gt;")+COUNTIFS(rMes_RF,MesCiclo,rS4_RF,"&lt;&gt;")+COUNTIFS(rMes_ATR,MesCiclo,rS4_ATR,"&lt;&gt;"))&gt;0)</f>
        <v/>
      </c>
    </row>
    <row r="11">
      <c r="A11" t="inlineStr">
        <is>
          <t>Total registros</t>
        </is>
      </c>
      <c r="B11">
        <f>B8</f>
        <v/>
      </c>
    </row>
    <row r="12">
      <c r="A12" t="inlineStr">
        <is>
          <t>Puestos al 100%</t>
        </is>
      </c>
      <c r="B12">
        <f>COUNTIF(L4:L7,TRUE)</f>
        <v/>
      </c>
    </row>
    <row r="13">
      <c r="A13" t="inlineStr">
        <is>
          <t>Próximas a vencer</t>
        </is>
      </c>
      <c r="B13">
        <f>S8</f>
        <v/>
      </c>
    </row>
    <row r="15">
      <c r="A15" t="inlineStr">
        <is>
          <t>Mes mostrado (día 1)</t>
        </is>
      </c>
      <c r="B15" s="109">
        <f>DATE(YEAR(MesEntrada),MONTH(MesEntrada),1)</f>
        <v/>
      </c>
    </row>
    <row r="19">
      <c r="A19" s="104" t="inlineStr">
        <is>
          <t>Actividades delegadas por la jefatura (listas desplegables de cada Cronograma)</t>
        </is>
      </c>
    </row>
    <row r="20">
      <c r="B20">
        <f>A4</f>
        <v/>
      </c>
      <c r="C20">
        <f>A5</f>
        <v/>
      </c>
      <c r="D20">
        <f>A6</f>
        <v/>
      </c>
      <c r="E20">
        <f>A7</f>
        <v/>
      </c>
    </row>
    <row r="21">
      <c r="B21">
        <f>IFERROR("[Jefatura] "&amp;INDEX(rAct_ADM,MATCH($A$4&amp;"|"&amp;1,rDkey_ADM,0)),"")</f>
        <v/>
      </c>
      <c r="C21">
        <f>IFERROR("[Jefatura] "&amp;INDEX(rAct_ADM,MATCH($A$5&amp;"|"&amp;1,rDkey_ADM,0)),"")</f>
        <v/>
      </c>
      <c r="D21">
        <f>IFERROR("[Jefatura] "&amp;INDEX(rAct_ADM,MATCH($A$6&amp;"|"&amp;1,rDkey_ADM,0)),"")</f>
        <v/>
      </c>
      <c r="E21">
        <f>IFERROR("[Jefatura] "&amp;INDEX(rAct_ADM,MATCH($A$7&amp;"|"&amp;1,rDkey_ADM,0)),"")</f>
        <v/>
      </c>
    </row>
    <row r="22">
      <c r="B22">
        <f>IFERROR("[Jefatura] "&amp;INDEX(rAct_ADM,MATCH($A$4&amp;"|"&amp;2,rDkey_ADM,0)),"")</f>
        <v/>
      </c>
      <c r="C22">
        <f>IFERROR("[Jefatura] "&amp;INDEX(rAct_ADM,MATCH($A$5&amp;"|"&amp;2,rDkey_ADM,0)),"")</f>
        <v/>
      </c>
      <c r="D22">
        <f>IFERROR("[Jefatura] "&amp;INDEX(rAct_ADM,MATCH($A$6&amp;"|"&amp;2,rDkey_ADM,0)),"")</f>
        <v/>
      </c>
      <c r="E22">
        <f>IFERROR("[Jefatura] "&amp;INDEX(rAct_ADM,MATCH($A$7&amp;"|"&amp;2,rDkey_ADM,0)),"")</f>
        <v/>
      </c>
    </row>
    <row r="23">
      <c r="B23">
        <f>IFERROR("[Jefatura] "&amp;INDEX(rAct_ADM,MATCH($A$4&amp;"|"&amp;3,rDkey_ADM,0)),"")</f>
        <v/>
      </c>
      <c r="C23">
        <f>IFERROR("[Jefatura] "&amp;INDEX(rAct_ADM,MATCH($A$5&amp;"|"&amp;3,rDkey_ADM,0)),"")</f>
        <v/>
      </c>
      <c r="D23">
        <f>IFERROR("[Jefatura] "&amp;INDEX(rAct_ADM,MATCH($A$6&amp;"|"&amp;3,rDkey_ADM,0)),"")</f>
        <v/>
      </c>
      <c r="E23">
        <f>IFERROR("[Jefatura] "&amp;INDEX(rAct_ADM,MATCH($A$7&amp;"|"&amp;3,rDkey_ADM,0)),"")</f>
        <v/>
      </c>
    </row>
    <row r="24">
      <c r="B24">
        <f>IFERROR("[Jefatura] "&amp;INDEX(rAct_ADM,MATCH($A$4&amp;"|"&amp;4,rDkey_ADM,0)),"")</f>
        <v/>
      </c>
      <c r="C24">
        <f>IFERROR("[Jefatura] "&amp;INDEX(rAct_ADM,MATCH($A$5&amp;"|"&amp;4,rDkey_ADM,0)),"")</f>
        <v/>
      </c>
      <c r="D24">
        <f>IFERROR("[Jefatura] "&amp;INDEX(rAct_ADM,MATCH($A$6&amp;"|"&amp;4,rDkey_ADM,0)),"")</f>
        <v/>
      </c>
      <c r="E24">
        <f>IFERROR("[Jefatura] "&amp;INDEX(rAct_ADM,MATCH($A$7&amp;"|"&amp;4,rDkey_ADM,0)),"")</f>
        <v/>
      </c>
    </row>
    <row r="25">
      <c r="B25">
        <f>IFERROR("[Jefatura] "&amp;INDEX(rAct_ADM,MATCH($A$4&amp;"|"&amp;5,rDkey_ADM,0)),"")</f>
        <v/>
      </c>
      <c r="C25">
        <f>IFERROR("[Jefatura] "&amp;INDEX(rAct_ADM,MATCH($A$5&amp;"|"&amp;5,rDkey_ADM,0)),"")</f>
        <v/>
      </c>
      <c r="D25">
        <f>IFERROR("[Jefatura] "&amp;INDEX(rAct_ADM,MATCH($A$6&amp;"|"&amp;5,rDkey_ADM,0)),"")</f>
        <v/>
      </c>
      <c r="E25">
        <f>IFERROR("[Jefatura] "&amp;INDEX(rAct_ADM,MATCH($A$7&amp;"|"&amp;5,rDkey_ADM,0)),"")</f>
        <v/>
      </c>
    </row>
    <row r="26">
      <c r="B26">
        <f>IFERROR("[Jefatura] "&amp;INDEX(rAct_ADM,MATCH($A$4&amp;"|"&amp;6,rDkey_ADM,0)),"")</f>
        <v/>
      </c>
      <c r="C26">
        <f>IFERROR("[Jefatura] "&amp;INDEX(rAct_ADM,MATCH($A$5&amp;"|"&amp;6,rDkey_ADM,0)),"")</f>
        <v/>
      </c>
      <c r="D26">
        <f>IFERROR("[Jefatura] "&amp;INDEX(rAct_ADM,MATCH($A$6&amp;"|"&amp;6,rDkey_ADM,0)),"")</f>
        <v/>
      </c>
      <c r="E26">
        <f>IFERROR("[Jefatura] "&amp;INDEX(rAct_ADM,MATCH($A$7&amp;"|"&amp;6,rDkey_ADM,0)),"")</f>
        <v/>
      </c>
    </row>
    <row r="27">
      <c r="B27">
        <f>IFERROR("[Jefatura] "&amp;INDEX(rAct_ADM,MATCH($A$4&amp;"|"&amp;7,rDkey_ADM,0)),"")</f>
        <v/>
      </c>
      <c r="C27">
        <f>IFERROR("[Jefatura] "&amp;INDEX(rAct_ADM,MATCH($A$5&amp;"|"&amp;7,rDkey_ADM,0)),"")</f>
        <v/>
      </c>
      <c r="D27">
        <f>IFERROR("[Jefatura] "&amp;INDEX(rAct_ADM,MATCH($A$6&amp;"|"&amp;7,rDkey_ADM,0)),"")</f>
        <v/>
      </c>
      <c r="E27">
        <f>IFERROR("[Jefatura] "&amp;INDEX(rAct_ADM,MATCH($A$7&amp;"|"&amp;7,rDkey_ADM,0)),"")</f>
        <v/>
      </c>
    </row>
    <row r="28">
      <c r="B28">
        <f>IFERROR("[Jefatura] "&amp;INDEX(rAct_ADM,MATCH($A$4&amp;"|"&amp;8,rDkey_ADM,0)),"")</f>
        <v/>
      </c>
      <c r="C28">
        <f>IFERROR("[Jefatura] "&amp;INDEX(rAct_ADM,MATCH($A$5&amp;"|"&amp;8,rDkey_ADM,0)),"")</f>
        <v/>
      </c>
      <c r="D28">
        <f>IFERROR("[Jefatura] "&amp;INDEX(rAct_ADM,MATCH($A$6&amp;"|"&amp;8,rDkey_ADM,0)),"")</f>
        <v/>
      </c>
      <c r="E28">
        <f>IFERROR("[Jefatura] "&amp;INDEX(rAct_ADM,MATCH($A$7&amp;"|"&amp;8,rDkey_ADM,0)),"")</f>
        <v/>
      </c>
    </row>
    <row r="29">
      <c r="B29">
        <f>IFERROR("[Jefatura] "&amp;INDEX(rAct_ADM,MATCH($A$4&amp;"|"&amp;9,rDkey_ADM,0)),"")</f>
        <v/>
      </c>
      <c r="C29">
        <f>IFERROR("[Jefatura] "&amp;INDEX(rAct_ADM,MATCH($A$5&amp;"|"&amp;9,rDkey_ADM,0)),"")</f>
        <v/>
      </c>
      <c r="D29">
        <f>IFERROR("[Jefatura] "&amp;INDEX(rAct_ADM,MATCH($A$6&amp;"|"&amp;9,rDkey_ADM,0)),"")</f>
        <v/>
      </c>
      <c r="E29">
        <f>IFERROR("[Jefatura] "&amp;INDEX(rAct_ADM,MATCH($A$7&amp;"|"&amp;9,rDkey_ADM,0)),"")</f>
        <v/>
      </c>
    </row>
    <row r="30">
      <c r="B30">
        <f>IFERROR("[Jefatura] "&amp;INDEX(rAct_ADM,MATCH($A$4&amp;"|"&amp;10,rDkey_ADM,0)),"")</f>
        <v/>
      </c>
      <c r="C30">
        <f>IFERROR("[Jefatura] "&amp;INDEX(rAct_ADM,MATCH($A$5&amp;"|"&amp;10,rDkey_ADM,0)),"")</f>
        <v/>
      </c>
      <c r="D30">
        <f>IFERROR("[Jefatura] "&amp;INDEX(rAct_ADM,MATCH($A$6&amp;"|"&amp;10,rDkey_ADM,0)),"")</f>
        <v/>
      </c>
      <c r="E30">
        <f>IFERROR("[Jefatura] "&amp;INDEX(rAct_ADM,MATCH($A$7&amp;"|"&amp;10,rDkey_ADM,0)),"")</f>
        <v/>
      </c>
    </row>
    <row r="31">
      <c r="B31">
        <f>IFERROR("[Jefatura] "&amp;INDEX(rAct_ADM,MATCH($A$4&amp;"|"&amp;11,rDkey_ADM,0)),"")</f>
        <v/>
      </c>
      <c r="C31">
        <f>IFERROR("[Jefatura] "&amp;INDEX(rAct_ADM,MATCH($A$5&amp;"|"&amp;11,rDkey_ADM,0)),"")</f>
        <v/>
      </c>
      <c r="D31">
        <f>IFERROR("[Jefatura] "&amp;INDEX(rAct_ADM,MATCH($A$6&amp;"|"&amp;11,rDkey_ADM,0)),"")</f>
        <v/>
      </c>
      <c r="E31">
        <f>IFERROR("[Jefatura] "&amp;INDEX(rAct_ADM,MATCH($A$7&amp;"|"&amp;11,rDkey_ADM,0)),"")</f>
        <v/>
      </c>
    </row>
    <row r="32">
      <c r="B32">
        <f>IFERROR("[Jefatura] "&amp;INDEX(rAct_ADM,MATCH($A$4&amp;"|"&amp;12,rDkey_ADM,0)),"")</f>
        <v/>
      </c>
      <c r="C32">
        <f>IFERROR("[Jefatura] "&amp;INDEX(rAct_ADM,MATCH($A$5&amp;"|"&amp;12,rDkey_ADM,0)),"")</f>
        <v/>
      </c>
      <c r="D32">
        <f>IFERROR("[Jefatura] "&amp;INDEX(rAct_ADM,MATCH($A$6&amp;"|"&amp;12,rDkey_ADM,0)),"")</f>
        <v/>
      </c>
      <c r="E32">
        <f>IFERROR("[Jefatura] "&amp;INDEX(rAct_ADM,MATCH($A$7&amp;"|"&amp;12,rDkey_ADM,0)),"")</f>
        <v/>
      </c>
    </row>
    <row r="33">
      <c r="B33">
        <f>IFERROR("[Jefatura] "&amp;INDEX(rAct_ADM,MATCH($A$4&amp;"|"&amp;13,rDkey_ADM,0)),"")</f>
        <v/>
      </c>
      <c r="C33">
        <f>IFERROR("[Jefatura] "&amp;INDEX(rAct_ADM,MATCH($A$5&amp;"|"&amp;13,rDkey_ADM,0)),"")</f>
        <v/>
      </c>
      <c r="D33">
        <f>IFERROR("[Jefatura] "&amp;INDEX(rAct_ADM,MATCH($A$6&amp;"|"&amp;13,rDkey_ADM,0)),"")</f>
        <v/>
      </c>
      <c r="E33">
        <f>IFERROR("[Jefatura] "&amp;INDEX(rAct_ADM,MATCH($A$7&amp;"|"&amp;13,rDkey_ADM,0)),"")</f>
        <v/>
      </c>
    </row>
    <row r="34">
      <c r="B34">
        <f>IFERROR("[Jefatura] "&amp;INDEX(rAct_ADM,MATCH($A$4&amp;"|"&amp;14,rDkey_ADM,0)),"")</f>
        <v/>
      </c>
      <c r="C34">
        <f>IFERROR("[Jefatura] "&amp;INDEX(rAct_ADM,MATCH($A$5&amp;"|"&amp;14,rDkey_ADM,0)),"")</f>
        <v/>
      </c>
      <c r="D34">
        <f>IFERROR("[Jefatura] "&amp;INDEX(rAct_ADM,MATCH($A$6&amp;"|"&amp;14,rDkey_ADM,0)),"")</f>
        <v/>
      </c>
      <c r="E34">
        <f>IFERROR("[Jefatura] "&amp;INDEX(rAct_ADM,MATCH($A$7&amp;"|"&amp;14,rDkey_ADM,0)),"")</f>
        <v/>
      </c>
    </row>
    <row r="35">
      <c r="B35">
        <f>IFERROR("[Jefatura] "&amp;INDEX(rAct_ADM,MATCH($A$4&amp;"|"&amp;15,rDkey_ADM,0)),"")</f>
        <v/>
      </c>
      <c r="C35">
        <f>IFERROR("[Jefatura] "&amp;INDEX(rAct_ADM,MATCH($A$5&amp;"|"&amp;15,rDkey_ADM,0)),"")</f>
        <v/>
      </c>
      <c r="D35">
        <f>IFERROR("[Jefatura] "&amp;INDEX(rAct_ADM,MATCH($A$6&amp;"|"&amp;15,rDkey_ADM,0)),"")</f>
        <v/>
      </c>
      <c r="E35">
        <f>IFERROR("[Jefatura] "&amp;INDEX(rAct_ADM,MATCH($A$7&amp;"|"&amp;15,rDkey_ADM,0)),"")</f>
        <v/>
      </c>
    </row>
    <row r="36">
      <c r="B36">
        <f>IFERROR("[Jefatura] "&amp;INDEX(rAct_ADM,MATCH($A$4&amp;"|"&amp;16,rDkey_ADM,0)),"")</f>
        <v/>
      </c>
      <c r="C36">
        <f>IFERROR("[Jefatura] "&amp;INDEX(rAct_ADM,MATCH($A$5&amp;"|"&amp;16,rDkey_ADM,0)),"")</f>
        <v/>
      </c>
      <c r="D36">
        <f>IFERROR("[Jefatura] "&amp;INDEX(rAct_ADM,MATCH($A$6&amp;"|"&amp;16,rDkey_ADM,0)),"")</f>
        <v/>
      </c>
      <c r="E36">
        <f>IFERROR("[Jefatura] "&amp;INDEX(rAct_ADM,MATCH($A$7&amp;"|"&amp;16,rDkey_ADM,0)),"")</f>
        <v/>
      </c>
    </row>
    <row r="37">
      <c r="B37">
        <f>IFERROR("[Jefatura] "&amp;INDEX(rAct_ADM,MATCH($A$4&amp;"|"&amp;17,rDkey_ADM,0)),"")</f>
        <v/>
      </c>
      <c r="C37">
        <f>IFERROR("[Jefatura] "&amp;INDEX(rAct_ADM,MATCH($A$5&amp;"|"&amp;17,rDkey_ADM,0)),"")</f>
        <v/>
      </c>
      <c r="D37">
        <f>IFERROR("[Jefatura] "&amp;INDEX(rAct_ADM,MATCH($A$6&amp;"|"&amp;17,rDkey_ADM,0)),"")</f>
        <v/>
      </c>
      <c r="E37">
        <f>IFERROR("[Jefatura] "&amp;INDEX(rAct_ADM,MATCH($A$7&amp;"|"&amp;17,rDkey_ADM,0)),"")</f>
        <v/>
      </c>
    </row>
    <row r="38">
      <c r="B38">
        <f>IFERROR("[Jefatura] "&amp;INDEX(rAct_ADM,MATCH($A$4&amp;"|"&amp;18,rDkey_ADM,0)),"")</f>
        <v/>
      </c>
      <c r="C38">
        <f>IFERROR("[Jefatura] "&amp;INDEX(rAct_ADM,MATCH($A$5&amp;"|"&amp;18,rDkey_ADM,0)),"")</f>
        <v/>
      </c>
      <c r="D38">
        <f>IFERROR("[Jefatura] "&amp;INDEX(rAct_ADM,MATCH($A$6&amp;"|"&amp;18,rDkey_ADM,0)),"")</f>
        <v/>
      </c>
      <c r="E38">
        <f>IFERROR("[Jefatura] "&amp;INDEX(rAct_ADM,MATCH($A$7&amp;"|"&amp;18,rDkey_ADM,0)),"")</f>
        <v/>
      </c>
    </row>
    <row r="39">
      <c r="B39">
        <f>IFERROR("[Jefatura] "&amp;INDEX(rAct_ADM,MATCH($A$4&amp;"|"&amp;19,rDkey_ADM,0)),"")</f>
        <v/>
      </c>
      <c r="C39">
        <f>IFERROR("[Jefatura] "&amp;INDEX(rAct_ADM,MATCH($A$5&amp;"|"&amp;19,rDkey_ADM,0)),"")</f>
        <v/>
      </c>
      <c r="D39">
        <f>IFERROR("[Jefatura] "&amp;INDEX(rAct_ADM,MATCH($A$6&amp;"|"&amp;19,rDkey_ADM,0)),"")</f>
        <v/>
      </c>
      <c r="E39">
        <f>IFERROR("[Jefatura] "&amp;INDEX(rAct_ADM,MATCH($A$7&amp;"|"&amp;19,rDkey_ADM,0)),"")</f>
        <v/>
      </c>
    </row>
    <row r="40">
      <c r="B40">
        <f>IFERROR("[Jefatura] "&amp;INDEX(rAct_ADM,MATCH($A$4&amp;"|"&amp;20,rDkey_ADM,0)),"")</f>
        <v/>
      </c>
      <c r="C40">
        <f>IFERROR("[Jefatura] "&amp;INDEX(rAct_ADM,MATCH($A$5&amp;"|"&amp;20,rDkey_ADM,0)),"")</f>
        <v/>
      </c>
      <c r="D40">
        <f>IFERROR("[Jefatura] "&amp;INDEX(rAct_ADM,MATCH($A$6&amp;"|"&amp;20,rDkey_ADM,0)),"")</f>
        <v/>
      </c>
      <c r="E40">
        <f>IFERROR("[Jefatura] "&amp;INDEX(rAct_ADM,MATCH($A$7&amp;"|"&amp;20,rDkey_ADM,0)),"")</f>
        <v/>
      </c>
    </row>
    <row r="41">
      <c r="B41">
        <f>IFERROR("[Jefatura] "&amp;INDEX(rAct_ADM,MATCH($A$4&amp;"|"&amp;21,rDkey_ADM,0)),"")</f>
        <v/>
      </c>
      <c r="C41">
        <f>IFERROR("[Jefatura] "&amp;INDEX(rAct_ADM,MATCH($A$5&amp;"|"&amp;21,rDkey_ADM,0)),"")</f>
        <v/>
      </c>
      <c r="D41">
        <f>IFERROR("[Jefatura] "&amp;INDEX(rAct_ADM,MATCH($A$6&amp;"|"&amp;21,rDkey_ADM,0)),"")</f>
        <v/>
      </c>
      <c r="E41">
        <f>IFERROR("[Jefatura] "&amp;INDEX(rAct_ADM,MATCH($A$7&amp;"|"&amp;21,rDkey_ADM,0)),"")</f>
        <v/>
      </c>
    </row>
    <row r="42">
      <c r="B42">
        <f>IFERROR("[Jefatura] "&amp;INDEX(rAct_ADM,MATCH($A$4&amp;"|"&amp;22,rDkey_ADM,0)),"")</f>
        <v/>
      </c>
      <c r="C42">
        <f>IFERROR("[Jefatura] "&amp;INDEX(rAct_ADM,MATCH($A$5&amp;"|"&amp;22,rDkey_ADM,0)),"")</f>
        <v/>
      </c>
      <c r="D42">
        <f>IFERROR("[Jefatura] "&amp;INDEX(rAct_ADM,MATCH($A$6&amp;"|"&amp;22,rDkey_ADM,0)),"")</f>
        <v/>
      </c>
      <c r="E42">
        <f>IFERROR("[Jefatura] "&amp;INDEX(rAct_ADM,MATCH($A$7&amp;"|"&amp;22,rDkey_ADM,0)),"")</f>
        <v/>
      </c>
    </row>
    <row r="43">
      <c r="B43">
        <f>IFERROR("[Jefatura] "&amp;INDEX(rAct_ADM,MATCH($A$4&amp;"|"&amp;23,rDkey_ADM,0)),"")</f>
        <v/>
      </c>
      <c r="C43">
        <f>IFERROR("[Jefatura] "&amp;INDEX(rAct_ADM,MATCH($A$5&amp;"|"&amp;23,rDkey_ADM,0)),"")</f>
        <v/>
      </c>
      <c r="D43">
        <f>IFERROR("[Jefatura] "&amp;INDEX(rAct_ADM,MATCH($A$6&amp;"|"&amp;23,rDkey_ADM,0)),"")</f>
        <v/>
      </c>
      <c r="E43">
        <f>IFERROR("[Jefatura] "&amp;INDEX(rAct_ADM,MATCH($A$7&amp;"|"&amp;23,rDkey_ADM,0)),"")</f>
        <v/>
      </c>
    </row>
    <row r="44">
      <c r="B44">
        <f>IFERROR("[Jefatura] "&amp;INDEX(rAct_ADM,MATCH($A$4&amp;"|"&amp;24,rDkey_ADM,0)),"")</f>
        <v/>
      </c>
      <c r="C44">
        <f>IFERROR("[Jefatura] "&amp;INDEX(rAct_ADM,MATCH($A$5&amp;"|"&amp;24,rDkey_ADM,0)),"")</f>
        <v/>
      </c>
      <c r="D44">
        <f>IFERROR("[Jefatura] "&amp;INDEX(rAct_ADM,MATCH($A$6&amp;"|"&amp;24,rDkey_ADM,0)),"")</f>
        <v/>
      </c>
      <c r="E44">
        <f>IFERROR("[Jefatura] "&amp;INDEX(rAct_ADM,MATCH($A$7&amp;"|"&amp;24,rDkey_ADM,0)),"")</f>
        <v/>
      </c>
    </row>
    <row r="45">
      <c r="B45">
        <f>IFERROR("[Jefatura] "&amp;INDEX(rAct_ADM,MATCH($A$4&amp;"|"&amp;25,rDkey_ADM,0)),"")</f>
        <v/>
      </c>
      <c r="C45">
        <f>IFERROR("[Jefatura] "&amp;INDEX(rAct_ADM,MATCH($A$5&amp;"|"&amp;25,rDkey_ADM,0)),"")</f>
        <v/>
      </c>
      <c r="D45">
        <f>IFERROR("[Jefatura] "&amp;INDEX(rAct_ADM,MATCH($A$6&amp;"|"&amp;25,rDkey_ADM,0)),"")</f>
        <v/>
      </c>
      <c r="E45">
        <f>IFERROR("[Jefatura] "&amp;INDEX(rAct_ADM,MATCH($A$7&amp;"|"&amp;25,rDkey_ADM,0)),"")</f>
        <v/>
      </c>
    </row>
    <row r="46">
      <c r="B46">
        <f>IFERROR("[Jefatura] "&amp;INDEX(rAct_ADM,MATCH($A$4&amp;"|"&amp;26,rDkey_ADM,0)),"")</f>
        <v/>
      </c>
      <c r="C46">
        <f>IFERROR("[Jefatura] "&amp;INDEX(rAct_ADM,MATCH($A$5&amp;"|"&amp;26,rDkey_ADM,0)),"")</f>
        <v/>
      </c>
      <c r="D46">
        <f>IFERROR("[Jefatura] "&amp;INDEX(rAct_ADM,MATCH($A$6&amp;"|"&amp;26,rDkey_ADM,0)),"")</f>
        <v/>
      </c>
      <c r="E46">
        <f>IFERROR("[Jefatura] "&amp;INDEX(rAct_ADM,MATCH($A$7&amp;"|"&amp;26,rDkey_ADM,0)),"")</f>
        <v/>
      </c>
    </row>
    <row r="47">
      <c r="B47">
        <f>IFERROR("[Jefatura] "&amp;INDEX(rAct_ADM,MATCH($A$4&amp;"|"&amp;27,rDkey_ADM,0)),"")</f>
        <v/>
      </c>
      <c r="C47">
        <f>IFERROR("[Jefatura] "&amp;INDEX(rAct_ADM,MATCH($A$5&amp;"|"&amp;27,rDkey_ADM,0)),"")</f>
        <v/>
      </c>
      <c r="D47">
        <f>IFERROR("[Jefatura] "&amp;INDEX(rAct_ADM,MATCH($A$6&amp;"|"&amp;27,rDkey_ADM,0)),"")</f>
        <v/>
      </c>
      <c r="E47">
        <f>IFERROR("[Jefatura] "&amp;INDEX(rAct_ADM,MATCH($A$7&amp;"|"&amp;27,rDkey_ADM,0)),"")</f>
        <v/>
      </c>
    </row>
    <row r="48">
      <c r="B48">
        <f>IFERROR("[Jefatura] "&amp;INDEX(rAct_ADM,MATCH($A$4&amp;"|"&amp;28,rDkey_ADM,0)),"")</f>
        <v/>
      </c>
      <c r="C48">
        <f>IFERROR("[Jefatura] "&amp;INDEX(rAct_ADM,MATCH($A$5&amp;"|"&amp;28,rDkey_ADM,0)),"")</f>
        <v/>
      </c>
      <c r="D48">
        <f>IFERROR("[Jefatura] "&amp;INDEX(rAct_ADM,MATCH($A$6&amp;"|"&amp;28,rDkey_ADM,0)),"")</f>
        <v/>
      </c>
      <c r="E48">
        <f>IFERROR("[Jefatura] "&amp;INDEX(rAct_ADM,MATCH($A$7&amp;"|"&amp;28,rDkey_ADM,0)),"")</f>
        <v/>
      </c>
    </row>
    <row r="49">
      <c r="B49">
        <f>IFERROR("[Jefatura] "&amp;INDEX(rAct_ADM,MATCH($A$4&amp;"|"&amp;29,rDkey_ADM,0)),"")</f>
        <v/>
      </c>
      <c r="C49">
        <f>IFERROR("[Jefatura] "&amp;INDEX(rAct_ADM,MATCH($A$5&amp;"|"&amp;29,rDkey_ADM,0)),"")</f>
        <v/>
      </c>
      <c r="D49">
        <f>IFERROR("[Jefatura] "&amp;INDEX(rAct_ADM,MATCH($A$6&amp;"|"&amp;29,rDkey_ADM,0)),"")</f>
        <v/>
      </c>
      <c r="E49">
        <f>IFERROR("[Jefatura] "&amp;INDEX(rAct_ADM,MATCH($A$7&amp;"|"&amp;29,rDkey_ADM,0)),"")</f>
        <v/>
      </c>
    </row>
    <row r="50">
      <c r="B50">
        <f>IFERROR("[Jefatura] "&amp;INDEX(rAct_ADM,MATCH($A$4&amp;"|"&amp;30,rDkey_ADM,0)),"")</f>
        <v/>
      </c>
      <c r="C50">
        <f>IFERROR("[Jefatura] "&amp;INDEX(rAct_ADM,MATCH($A$5&amp;"|"&amp;30,rDkey_ADM,0)),"")</f>
        <v/>
      </c>
      <c r="D50">
        <f>IFERROR("[Jefatura] "&amp;INDEX(rAct_ADM,MATCH($A$6&amp;"|"&amp;30,rDkey_ADM,0)),"")</f>
        <v/>
      </c>
      <c r="E50">
        <f>IFERROR("[Jefatura] "&amp;INDEX(rAct_ADM,MATCH($A$7&amp;"|"&amp;30,rDkey_ADM,0)),"")</f>
        <v/>
      </c>
    </row>
    <row r="51">
      <c r="B51">
        <f>IFERROR("[Jefatura] "&amp;INDEX(rAct_ADM,MATCH($A$4&amp;"|"&amp;31,rDkey_ADM,0)),"")</f>
        <v/>
      </c>
      <c r="C51">
        <f>IFERROR("[Jefatura] "&amp;INDEX(rAct_ADM,MATCH($A$5&amp;"|"&amp;31,rDkey_ADM,0)),"")</f>
        <v/>
      </c>
      <c r="D51">
        <f>IFERROR("[Jefatura] "&amp;INDEX(rAct_ADM,MATCH($A$6&amp;"|"&amp;31,rDkey_ADM,0)),"")</f>
        <v/>
      </c>
      <c r="E51">
        <f>IFERROR("[Jefatura] "&amp;INDEX(rAct_ADM,MATCH($A$7&amp;"|"&amp;31,rDkey_ADM,0)),"")</f>
        <v/>
      </c>
    </row>
    <row r="52">
      <c r="B52">
        <f>IFERROR("[Jefatura] "&amp;INDEX(rAct_ADM,MATCH($A$4&amp;"|"&amp;32,rDkey_ADM,0)),"")</f>
        <v/>
      </c>
      <c r="C52">
        <f>IFERROR("[Jefatura] "&amp;INDEX(rAct_ADM,MATCH($A$5&amp;"|"&amp;32,rDkey_ADM,0)),"")</f>
        <v/>
      </c>
      <c r="D52">
        <f>IFERROR("[Jefatura] "&amp;INDEX(rAct_ADM,MATCH($A$6&amp;"|"&amp;32,rDkey_ADM,0)),"")</f>
        <v/>
      </c>
      <c r="E52">
        <f>IFERROR("[Jefatura] "&amp;INDEX(rAct_ADM,MATCH($A$7&amp;"|"&amp;32,rDkey_ADM,0)),"")</f>
        <v/>
      </c>
    </row>
    <row r="53">
      <c r="B53">
        <f>IFERROR("[Jefatura] "&amp;INDEX(rAct_ADM,MATCH($A$4&amp;"|"&amp;33,rDkey_ADM,0)),"")</f>
        <v/>
      </c>
      <c r="C53">
        <f>IFERROR("[Jefatura] "&amp;INDEX(rAct_ADM,MATCH($A$5&amp;"|"&amp;33,rDkey_ADM,0)),"")</f>
        <v/>
      </c>
      <c r="D53">
        <f>IFERROR("[Jefatura] "&amp;INDEX(rAct_ADM,MATCH($A$6&amp;"|"&amp;33,rDkey_ADM,0)),"")</f>
        <v/>
      </c>
      <c r="E53">
        <f>IFERROR("[Jefatura] "&amp;INDEX(rAct_ADM,MATCH($A$7&amp;"|"&amp;33,rDkey_ADM,0)),"")</f>
        <v/>
      </c>
    </row>
    <row r="54">
      <c r="B54">
        <f>IFERROR("[Jefatura] "&amp;INDEX(rAct_ADM,MATCH($A$4&amp;"|"&amp;34,rDkey_ADM,0)),"")</f>
        <v/>
      </c>
      <c r="C54">
        <f>IFERROR("[Jefatura] "&amp;INDEX(rAct_ADM,MATCH($A$5&amp;"|"&amp;34,rDkey_ADM,0)),"")</f>
        <v/>
      </c>
      <c r="D54">
        <f>IFERROR("[Jefatura] "&amp;INDEX(rAct_ADM,MATCH($A$6&amp;"|"&amp;34,rDkey_ADM,0)),"")</f>
        <v/>
      </c>
      <c r="E54">
        <f>IFERROR("[Jefatura] "&amp;INDEX(rAct_ADM,MATCH($A$7&amp;"|"&amp;34,rDkey_ADM,0)),"")</f>
        <v/>
      </c>
    </row>
    <row r="55">
      <c r="B55">
        <f>IFERROR("[Jefatura] "&amp;INDEX(rAct_ADM,MATCH($A$4&amp;"|"&amp;35,rDkey_ADM,0)),"")</f>
        <v/>
      </c>
      <c r="C55">
        <f>IFERROR("[Jefatura] "&amp;INDEX(rAct_ADM,MATCH($A$5&amp;"|"&amp;35,rDkey_ADM,0)),"")</f>
        <v/>
      </c>
      <c r="D55">
        <f>IFERROR("[Jefatura] "&amp;INDEX(rAct_ADM,MATCH($A$6&amp;"|"&amp;35,rDkey_ADM,0)),"")</f>
        <v/>
      </c>
      <c r="E55">
        <f>IFERROR("[Jefatura] "&amp;INDEX(rAct_ADM,MATCH($A$7&amp;"|"&amp;35,rDkey_ADM,0)),"")</f>
        <v/>
      </c>
    </row>
    <row r="56">
      <c r="B56">
        <f>IFERROR("[Jefatura] "&amp;INDEX(rAct_ADM,MATCH($A$4&amp;"|"&amp;36,rDkey_ADM,0)),"")</f>
        <v/>
      </c>
      <c r="C56">
        <f>IFERROR("[Jefatura] "&amp;INDEX(rAct_ADM,MATCH($A$5&amp;"|"&amp;36,rDkey_ADM,0)),"")</f>
        <v/>
      </c>
      <c r="D56">
        <f>IFERROR("[Jefatura] "&amp;INDEX(rAct_ADM,MATCH($A$6&amp;"|"&amp;36,rDkey_ADM,0)),"")</f>
        <v/>
      </c>
      <c r="E56">
        <f>IFERROR("[Jefatura] "&amp;INDEX(rAct_ADM,MATCH($A$7&amp;"|"&amp;36,rDkey_ADM,0)),"")</f>
        <v/>
      </c>
    </row>
    <row r="57">
      <c r="B57">
        <f>IFERROR("[Jefatura] "&amp;INDEX(rAct_ADM,MATCH($A$4&amp;"|"&amp;37,rDkey_ADM,0)),"")</f>
        <v/>
      </c>
      <c r="C57">
        <f>IFERROR("[Jefatura] "&amp;INDEX(rAct_ADM,MATCH($A$5&amp;"|"&amp;37,rDkey_ADM,0)),"")</f>
        <v/>
      </c>
      <c r="D57">
        <f>IFERROR("[Jefatura] "&amp;INDEX(rAct_ADM,MATCH($A$6&amp;"|"&amp;37,rDkey_ADM,0)),"")</f>
        <v/>
      </c>
      <c r="E57">
        <f>IFERROR("[Jefatura] "&amp;INDEX(rAct_ADM,MATCH($A$7&amp;"|"&amp;37,rDkey_ADM,0)),"")</f>
        <v/>
      </c>
    </row>
    <row r="58">
      <c r="B58">
        <f>IFERROR("[Jefatura] "&amp;INDEX(rAct_ADM,MATCH($A$4&amp;"|"&amp;38,rDkey_ADM,0)),"")</f>
        <v/>
      </c>
      <c r="C58">
        <f>IFERROR("[Jefatura] "&amp;INDEX(rAct_ADM,MATCH($A$5&amp;"|"&amp;38,rDkey_ADM,0)),"")</f>
        <v/>
      </c>
      <c r="D58">
        <f>IFERROR("[Jefatura] "&amp;INDEX(rAct_ADM,MATCH($A$6&amp;"|"&amp;38,rDkey_ADM,0)),"")</f>
        <v/>
      </c>
      <c r="E58">
        <f>IFERROR("[Jefatura] "&amp;INDEX(rAct_ADM,MATCH($A$7&amp;"|"&amp;38,rDkey_ADM,0)),"")</f>
        <v/>
      </c>
    </row>
    <row r="59">
      <c r="B59">
        <f>IFERROR("[Jefatura] "&amp;INDEX(rAct_ADM,MATCH($A$4&amp;"|"&amp;39,rDkey_ADM,0)),"")</f>
        <v/>
      </c>
      <c r="C59">
        <f>IFERROR("[Jefatura] "&amp;INDEX(rAct_ADM,MATCH($A$5&amp;"|"&amp;39,rDkey_ADM,0)),"")</f>
        <v/>
      </c>
      <c r="D59">
        <f>IFERROR("[Jefatura] "&amp;INDEX(rAct_ADM,MATCH($A$6&amp;"|"&amp;39,rDkey_ADM,0)),"")</f>
        <v/>
      </c>
      <c r="E59">
        <f>IFERROR("[Jefatura] "&amp;INDEX(rAct_ADM,MATCH($A$7&amp;"|"&amp;39,rDkey_ADM,0)),"")</f>
        <v/>
      </c>
    </row>
    <row r="60">
      <c r="B60">
        <f>IFERROR("[Jefatura] "&amp;INDEX(rAct_ADM,MATCH($A$4&amp;"|"&amp;40,rDkey_ADM,0)),"")</f>
        <v/>
      </c>
      <c r="C60">
        <f>IFERROR("[Jefatura] "&amp;INDEX(rAct_ADM,MATCH($A$5&amp;"|"&amp;40,rDkey_ADM,0)),"")</f>
        <v/>
      </c>
      <c r="D60">
        <f>IFERROR("[Jefatura] "&amp;INDEX(rAct_ADM,MATCH($A$6&amp;"|"&amp;40,rDkey_ADM,0)),"")</f>
        <v/>
      </c>
      <c r="E60">
        <f>IFERROR("[Jefatura] "&amp;INDEX(rAct_ADM,MATCH($A$7&amp;"|"&amp;40,rDkey_ADM,0)),"")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2026-10-09T22:49:11Z</dcterms:created>
  <dcterms:modified xmlns:dcterms="http://purl.org/dc/terms/" xmlns:xsi="http://www.w3.org/2001/XMLSchema-instance" xsi:type="dcterms:W3CDTF">2026-10-09T22:49:16Z</dcterms:modified>
</cp:coreProperties>
</file>